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rajlbc-my.sharepoint.com/personal/kamila_lofflerova_kraj-lbc_cz/Documents/2025/ROZPOČET/06_ÚPRAVA_LISTOPAD/"/>
    </mc:Choice>
  </mc:AlternateContent>
  <xr:revisionPtr revIDLastSave="0" documentId="8_{467969F9-92F1-4245-9E8E-2175F4D4906B}" xr6:coauthVersionLast="47" xr6:coauthVersionMax="47" xr10:uidLastSave="{00000000-0000-0000-0000-000000000000}"/>
  <bookViews>
    <workbookView xWindow="-120" yWindow="-120" windowWidth="29040" windowHeight="15840" tabRatio="829" activeTab="9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ČL!$G$1:$G$308</definedName>
    <definedName name="_xlnm._FilterDatabase" localSheetId="2" hidden="1">FR!$G$1:$G$144</definedName>
    <definedName name="_xlnm._FilterDatabase" localSheetId="9" hidden="1">JI!$U$1:$U$159</definedName>
    <definedName name="_xlnm._FilterDatabase" localSheetId="3" hidden="1">JN!$G$1:$G$211</definedName>
    <definedName name="_xlnm._FilterDatabase" localSheetId="1" hidden="1">LB!$G$1:$G$483</definedName>
    <definedName name="_xlnm._FilterDatabase" localSheetId="7" hidden="1">NB!$BL$1:$BL$155</definedName>
    <definedName name="_xlnm._FilterDatabase" localSheetId="8" hidden="1">SM!$U$1:$U$184</definedName>
    <definedName name="_xlnm._FilterDatabase" localSheetId="4" hidden="1">TA!$G$1:$G$114</definedName>
    <definedName name="_xlnm._FilterDatabase" localSheetId="10" hidden="1">TU!$BL$1:$BL$223</definedName>
    <definedName name="_xlnm._FilterDatabase" localSheetId="5" hidden="1">ŽB!$G$1:$G$131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92" i="32" l="1"/>
  <c r="BX114" i="42"/>
  <c r="BW114" i="42"/>
  <c r="BV114" i="42"/>
  <c r="BU114" i="42"/>
  <c r="BT114" i="42"/>
  <c r="BS114" i="42"/>
  <c r="BR114" i="42"/>
  <c r="BQ114" i="42"/>
  <c r="BP114" i="42"/>
  <c r="BO114" i="42"/>
  <c r="BN114" i="42"/>
  <c r="BM114" i="42"/>
  <c r="BL114" i="42"/>
  <c r="BH200" i="42"/>
  <c r="BG200" i="42"/>
  <c r="BF200" i="42"/>
  <c r="BE200" i="42"/>
  <c r="BD200" i="42"/>
  <c r="BC200" i="42"/>
  <c r="BB200" i="42"/>
  <c r="BA200" i="42"/>
  <c r="AZ200" i="42"/>
  <c r="AX200" i="42"/>
  <c r="AW200" i="42"/>
  <c r="AV200" i="42"/>
  <c r="AU200" i="42"/>
  <c r="AL200" i="42"/>
  <c r="AK200" i="42"/>
  <c r="AJ200" i="42"/>
  <c r="AI200" i="42"/>
  <c r="AH200" i="42"/>
  <c r="AD200" i="42"/>
  <c r="AC200" i="42"/>
  <c r="AB200" i="42"/>
  <c r="AA200" i="42"/>
  <c r="Z200" i="42"/>
  <c r="Y200" i="42"/>
  <c r="X200" i="42"/>
  <c r="BJ199" i="42"/>
  <c r="BI199" i="42"/>
  <c r="BK199" i="42" s="1"/>
  <c r="AX199" i="42"/>
  <c r="AN199" i="42"/>
  <c r="AO199" i="42" s="1"/>
  <c r="AM199" i="42"/>
  <c r="AF199" i="42"/>
  <c r="AE199" i="42"/>
  <c r="AP199" i="42" s="1"/>
  <c r="W199" i="42"/>
  <c r="V199" i="42"/>
  <c r="BJ198" i="42"/>
  <c r="BK198" i="42" s="1"/>
  <c r="BI198" i="42"/>
  <c r="AX198" i="42"/>
  <c r="AN198" i="42"/>
  <c r="AM198" i="42"/>
  <c r="AO198" i="42" s="1"/>
  <c r="W198" i="42"/>
  <c r="AF198" i="42" s="1"/>
  <c r="AQ198" i="42" s="1"/>
  <c r="V198" i="42"/>
  <c r="AE198" i="42" s="1"/>
  <c r="BJ197" i="42"/>
  <c r="BI197" i="42"/>
  <c r="AX197" i="42"/>
  <c r="AP197" i="42"/>
  <c r="AN197" i="42"/>
  <c r="AO197" i="42" s="1"/>
  <c r="AM197" i="42"/>
  <c r="AF197" i="42"/>
  <c r="AE197" i="42"/>
  <c r="AG197" i="42" s="1"/>
  <c r="W197" i="42"/>
  <c r="V197" i="42"/>
  <c r="BJ196" i="42"/>
  <c r="BK196" i="42" s="1"/>
  <c r="BI196" i="42"/>
  <c r="AX196" i="42"/>
  <c r="AN196" i="42"/>
  <c r="AM196" i="42"/>
  <c r="AO196" i="42" s="1"/>
  <c r="W196" i="42"/>
  <c r="AF196" i="42" s="1"/>
  <c r="AQ196" i="42" s="1"/>
  <c r="V196" i="42"/>
  <c r="AE196" i="42" s="1"/>
  <c r="BJ195" i="42"/>
  <c r="BI195" i="42"/>
  <c r="BK195" i="42" s="1"/>
  <c r="AX195" i="42"/>
  <c r="AN195" i="42"/>
  <c r="AO195" i="42" s="1"/>
  <c r="AM195" i="42"/>
  <c r="AF195" i="42"/>
  <c r="AE195" i="42"/>
  <c r="AP195" i="42" s="1"/>
  <c r="W195" i="42"/>
  <c r="V195" i="42"/>
  <c r="BJ194" i="42"/>
  <c r="BK194" i="42" s="1"/>
  <c r="BI194" i="42"/>
  <c r="AX194" i="42"/>
  <c r="AN194" i="42"/>
  <c r="AM194" i="42"/>
  <c r="AM200" i="42" s="1"/>
  <c r="W194" i="42"/>
  <c r="W200" i="42" s="1"/>
  <c r="V194" i="42"/>
  <c r="BH193" i="42"/>
  <c r="BG193" i="42"/>
  <c r="BF193" i="42"/>
  <c r="BE193" i="42"/>
  <c r="BD193" i="42"/>
  <c r="BC193" i="42"/>
  <c r="BB193" i="42"/>
  <c r="BA193" i="42"/>
  <c r="AZ193" i="42"/>
  <c r="AW193" i="42"/>
  <c r="AV193" i="42"/>
  <c r="AU193" i="42"/>
  <c r="AN193" i="42"/>
  <c r="AL193" i="42"/>
  <c r="AK193" i="42"/>
  <c r="AJ193" i="42"/>
  <c r="AI193" i="42"/>
  <c r="AH193" i="42"/>
  <c r="AD193" i="42"/>
  <c r="AC193" i="42"/>
  <c r="AB193" i="42"/>
  <c r="AA193" i="42"/>
  <c r="Z193" i="42"/>
  <c r="Y193" i="42"/>
  <c r="X193" i="42"/>
  <c r="BJ192" i="42"/>
  <c r="BK192" i="42" s="1"/>
  <c r="BI192" i="42"/>
  <c r="AX192" i="42"/>
  <c r="AN192" i="42"/>
  <c r="AM192" i="42"/>
  <c r="AO192" i="42" s="1"/>
  <c r="AG192" i="42"/>
  <c r="AE192" i="42"/>
  <c r="AP192" i="42" s="1"/>
  <c r="AR192" i="42" s="1"/>
  <c r="W192" i="42"/>
  <c r="AF192" i="42" s="1"/>
  <c r="AQ192" i="42" s="1"/>
  <c r="V192" i="42"/>
  <c r="BJ191" i="42"/>
  <c r="BI191" i="42"/>
  <c r="BK191" i="42" s="1"/>
  <c r="AX191" i="42"/>
  <c r="AT191" i="42"/>
  <c r="AN191" i="42"/>
  <c r="AO191" i="42" s="1"/>
  <c r="AM191" i="42"/>
  <c r="AG191" i="42"/>
  <c r="AS191" i="42" s="1"/>
  <c r="AF191" i="42"/>
  <c r="AE191" i="42"/>
  <c r="AP191" i="42" s="1"/>
  <c r="W191" i="42"/>
  <c r="V191" i="42"/>
  <c r="BJ190" i="42"/>
  <c r="BK190" i="42" s="1"/>
  <c r="BI190" i="42"/>
  <c r="AX190" i="42"/>
  <c r="AP190" i="42"/>
  <c r="AN190" i="42"/>
  <c r="AM190" i="42"/>
  <c r="AO190" i="42" s="1"/>
  <c r="AG190" i="42"/>
  <c r="W190" i="42"/>
  <c r="AF190" i="42" s="1"/>
  <c r="AQ190" i="42" s="1"/>
  <c r="V190" i="42"/>
  <c r="AE190" i="42" s="1"/>
  <c r="BJ189" i="42"/>
  <c r="BI189" i="42"/>
  <c r="AX189" i="42"/>
  <c r="AN189" i="42"/>
  <c r="AO189" i="42" s="1"/>
  <c r="AM189" i="42"/>
  <c r="AF189" i="42"/>
  <c r="AQ189" i="42" s="1"/>
  <c r="W189" i="42"/>
  <c r="V189" i="42"/>
  <c r="AE189" i="42" s="1"/>
  <c r="AG189" i="42" s="1"/>
  <c r="BJ188" i="42"/>
  <c r="BI188" i="42"/>
  <c r="BI193" i="42" s="1"/>
  <c r="AX188" i="42"/>
  <c r="AX193" i="42" s="1"/>
  <c r="AN188" i="42"/>
  <c r="AM188" i="42"/>
  <c r="AO188" i="42" s="1"/>
  <c r="AE188" i="42"/>
  <c r="W188" i="42"/>
  <c r="W193" i="42" s="1"/>
  <c r="V188" i="42"/>
  <c r="BH187" i="42"/>
  <c r="BG187" i="42"/>
  <c r="BF187" i="42"/>
  <c r="BE187" i="42"/>
  <c r="BD187" i="42"/>
  <c r="BC187" i="42"/>
  <c r="BB187" i="42"/>
  <c r="BA187" i="42"/>
  <c r="AZ187" i="42"/>
  <c r="AX187" i="42"/>
  <c r="AW187" i="42"/>
  <c r="AV187" i="42"/>
  <c r="AU187" i="42"/>
  <c r="AL187" i="42"/>
  <c r="AK187" i="42"/>
  <c r="AJ187" i="42"/>
  <c r="AI187" i="42"/>
  <c r="AH187" i="42"/>
  <c r="AD187" i="42"/>
  <c r="AC187" i="42"/>
  <c r="AB187" i="42"/>
  <c r="AA187" i="42"/>
  <c r="Z187" i="42"/>
  <c r="Y187" i="42"/>
  <c r="X187" i="42"/>
  <c r="BJ186" i="42"/>
  <c r="BK186" i="42" s="1"/>
  <c r="BI186" i="42"/>
  <c r="AX186" i="42"/>
  <c r="AP186" i="42"/>
  <c r="AN186" i="42"/>
  <c r="AM186" i="42"/>
  <c r="AO186" i="42" s="1"/>
  <c r="AG186" i="42"/>
  <c r="W186" i="42"/>
  <c r="AF186" i="42" s="1"/>
  <c r="AQ186" i="42" s="1"/>
  <c r="V186" i="42"/>
  <c r="AE186" i="42" s="1"/>
  <c r="BJ185" i="42"/>
  <c r="BI185" i="42"/>
  <c r="AX185" i="42"/>
  <c r="AP185" i="42"/>
  <c r="AR185" i="42" s="1"/>
  <c r="AN185" i="42"/>
  <c r="AO185" i="42" s="1"/>
  <c r="AM185" i="42"/>
  <c r="AF185" i="42"/>
  <c r="AQ185" i="42" s="1"/>
  <c r="W185" i="42"/>
  <c r="V185" i="42"/>
  <c r="AE185" i="42" s="1"/>
  <c r="AG185" i="42" s="1"/>
  <c r="BJ184" i="42"/>
  <c r="BK184" i="42" s="1"/>
  <c r="BI184" i="42"/>
  <c r="AX184" i="42"/>
  <c r="AN184" i="42"/>
  <c r="AM184" i="42"/>
  <c r="AO184" i="42" s="1"/>
  <c r="AE184" i="42"/>
  <c r="W184" i="42"/>
  <c r="AF184" i="42" s="1"/>
  <c r="AQ184" i="42" s="1"/>
  <c r="V184" i="42"/>
  <c r="BJ183" i="42"/>
  <c r="BI183" i="42"/>
  <c r="BK183" i="42" s="1"/>
  <c r="AX183" i="42"/>
  <c r="AT183" i="42"/>
  <c r="AN183" i="42"/>
  <c r="AO183" i="42" s="1"/>
  <c r="AM183" i="42"/>
  <c r="AG183" i="42"/>
  <c r="AS183" i="42" s="1"/>
  <c r="AF183" i="42"/>
  <c r="AE183" i="42"/>
  <c r="AP183" i="42" s="1"/>
  <c r="W183" i="42"/>
  <c r="V183" i="42"/>
  <c r="BJ182" i="42"/>
  <c r="BI182" i="42"/>
  <c r="BI187" i="42" s="1"/>
  <c r="AX182" i="42"/>
  <c r="AN182" i="42"/>
  <c r="AN187" i="42" s="1"/>
  <c r="AM182" i="42"/>
  <c r="AM187" i="42" s="1"/>
  <c r="W182" i="42"/>
  <c r="W187" i="42" s="1"/>
  <c r="V182" i="42"/>
  <c r="BJ181" i="42"/>
  <c r="BH181" i="42"/>
  <c r="BG181" i="42"/>
  <c r="BF181" i="42"/>
  <c r="BE181" i="42"/>
  <c r="BD181" i="42"/>
  <c r="BC181" i="42"/>
  <c r="BB181" i="42"/>
  <c r="BA181" i="42"/>
  <c r="AZ181" i="42"/>
  <c r="AW181" i="42"/>
  <c r="AV181" i="42"/>
  <c r="AU181" i="42"/>
  <c r="AL181" i="42"/>
  <c r="AK181" i="42"/>
  <c r="AJ181" i="42"/>
  <c r="AI181" i="42"/>
  <c r="AH181" i="42"/>
  <c r="AF181" i="42"/>
  <c r="AD181" i="42"/>
  <c r="AC181" i="42"/>
  <c r="AB181" i="42"/>
  <c r="AA181" i="42"/>
  <c r="Z181" i="42"/>
  <c r="Y181" i="42"/>
  <c r="X181" i="42"/>
  <c r="V181" i="42"/>
  <c r="BJ180" i="42"/>
  <c r="BK180" i="42" s="1"/>
  <c r="BI180" i="42"/>
  <c r="AX180" i="42"/>
  <c r="AN180" i="42"/>
  <c r="AM180" i="42"/>
  <c r="AO180" i="42" s="1"/>
  <c r="W180" i="42"/>
  <c r="AF180" i="42" s="1"/>
  <c r="AQ180" i="42" s="1"/>
  <c r="V180" i="42"/>
  <c r="AE180" i="42" s="1"/>
  <c r="BJ179" i="42"/>
  <c r="BI179" i="42"/>
  <c r="BK179" i="42" s="1"/>
  <c r="AX179" i="42"/>
  <c r="AN179" i="42"/>
  <c r="AO179" i="42" s="1"/>
  <c r="AM179" i="42"/>
  <c r="AF179" i="42"/>
  <c r="AE179" i="42"/>
  <c r="W179" i="42"/>
  <c r="V179" i="42"/>
  <c r="BJ178" i="42"/>
  <c r="BK178" i="42" s="1"/>
  <c r="BI178" i="42"/>
  <c r="AX178" i="42"/>
  <c r="AP178" i="42"/>
  <c r="AN178" i="42"/>
  <c r="AM178" i="42"/>
  <c r="W178" i="42"/>
  <c r="AF178" i="42" s="1"/>
  <c r="V178" i="42"/>
  <c r="AE178" i="42" s="1"/>
  <c r="AG178" i="42" s="1"/>
  <c r="BJ177" i="42"/>
  <c r="BI177" i="42"/>
  <c r="BK177" i="42" s="1"/>
  <c r="AX177" i="42"/>
  <c r="AN177" i="42"/>
  <c r="AO177" i="42" s="1"/>
  <c r="AM177" i="42"/>
  <c r="AF177" i="42"/>
  <c r="W177" i="42"/>
  <c r="V177" i="42"/>
  <c r="AE177" i="42" s="1"/>
  <c r="BJ176" i="42"/>
  <c r="BK176" i="42" s="1"/>
  <c r="BI176" i="42"/>
  <c r="AX176" i="42"/>
  <c r="AN176" i="42"/>
  <c r="AM176" i="42"/>
  <c r="AO176" i="42" s="1"/>
  <c r="W176" i="42"/>
  <c r="AF176" i="42" s="1"/>
  <c r="AQ176" i="42" s="1"/>
  <c r="V176" i="42"/>
  <c r="AE176" i="42" s="1"/>
  <c r="BJ175" i="42"/>
  <c r="BI175" i="42"/>
  <c r="BI181" i="42" s="1"/>
  <c r="AX175" i="42"/>
  <c r="AX181" i="42" s="1"/>
  <c r="AN175" i="42"/>
  <c r="AO175" i="42" s="1"/>
  <c r="AM175" i="42"/>
  <c r="AM181" i="42" s="1"/>
  <c r="AF175" i="42"/>
  <c r="AE175" i="42"/>
  <c r="W175" i="42"/>
  <c r="W181" i="42" s="1"/>
  <c r="V175" i="42"/>
  <c r="BH174" i="42"/>
  <c r="BG174" i="42"/>
  <c r="BF174" i="42"/>
  <c r="BE174" i="42"/>
  <c r="BD174" i="42"/>
  <c r="BC174" i="42"/>
  <c r="BB174" i="42"/>
  <c r="BA174" i="42"/>
  <c r="AZ174" i="42"/>
  <c r="AX174" i="42"/>
  <c r="AW174" i="42"/>
  <c r="AV174" i="42"/>
  <c r="AU174" i="42"/>
  <c r="AL174" i="42"/>
  <c r="AK174" i="42"/>
  <c r="AJ174" i="42"/>
  <c r="AI174" i="42"/>
  <c r="AH174" i="42"/>
  <c r="AD174" i="42"/>
  <c r="AC174" i="42"/>
  <c r="AB174" i="42"/>
  <c r="AA174" i="42"/>
  <c r="Z174" i="42"/>
  <c r="Y174" i="42"/>
  <c r="X174" i="42"/>
  <c r="V174" i="42"/>
  <c r="BJ173" i="42"/>
  <c r="BI173" i="42"/>
  <c r="AX173" i="42"/>
  <c r="AN173" i="42"/>
  <c r="AO173" i="42" s="1"/>
  <c r="AM173" i="42"/>
  <c r="AF173" i="42"/>
  <c r="AQ173" i="42" s="1"/>
  <c r="W173" i="42"/>
  <c r="V173" i="42"/>
  <c r="AE173" i="42" s="1"/>
  <c r="BJ172" i="42"/>
  <c r="BK172" i="42" s="1"/>
  <c r="BI172" i="42"/>
  <c r="AX172" i="42"/>
  <c r="AN172" i="42"/>
  <c r="AM172" i="42"/>
  <c r="AO172" i="42" s="1"/>
  <c r="W172" i="42"/>
  <c r="AF172" i="42" s="1"/>
  <c r="AQ172" i="42" s="1"/>
  <c r="V172" i="42"/>
  <c r="AE172" i="42" s="1"/>
  <c r="BJ171" i="42"/>
  <c r="BI171" i="42"/>
  <c r="BK171" i="42" s="1"/>
  <c r="AX171" i="42"/>
  <c r="AN171" i="42"/>
  <c r="AO171" i="42" s="1"/>
  <c r="AM171" i="42"/>
  <c r="AE171" i="42"/>
  <c r="AP171" i="42" s="1"/>
  <c r="W171" i="42"/>
  <c r="AF171" i="42" s="1"/>
  <c r="V171" i="42"/>
  <c r="BJ170" i="42"/>
  <c r="BK170" i="42" s="1"/>
  <c r="BI170" i="42"/>
  <c r="AX170" i="42"/>
  <c r="AN170" i="42"/>
  <c r="AM170" i="42"/>
  <c r="W170" i="42"/>
  <c r="AF170" i="42" s="1"/>
  <c r="V170" i="42"/>
  <c r="AE170" i="42" s="1"/>
  <c r="BJ169" i="42"/>
  <c r="BJ174" i="42" s="1"/>
  <c r="BI169" i="42"/>
  <c r="BI174" i="42" s="1"/>
  <c r="AX169" i="42"/>
  <c r="AN169" i="42"/>
  <c r="AM169" i="42"/>
  <c r="AM174" i="42" s="1"/>
  <c r="AF169" i="42"/>
  <c r="W169" i="42"/>
  <c r="V169" i="42"/>
  <c r="AE169" i="42" s="1"/>
  <c r="BH168" i="42"/>
  <c r="BG168" i="42"/>
  <c r="BF168" i="42"/>
  <c r="BE168" i="42"/>
  <c r="BD168" i="42"/>
  <c r="BC168" i="42"/>
  <c r="BB168" i="42"/>
  <c r="BA168" i="42"/>
  <c r="AZ168" i="42"/>
  <c r="AX168" i="42"/>
  <c r="AW168" i="42"/>
  <c r="AV168" i="42"/>
  <c r="AU168" i="42"/>
  <c r="AL168" i="42"/>
  <c r="AK168" i="42"/>
  <c r="AJ168" i="42"/>
  <c r="AI168" i="42"/>
  <c r="AH168" i="42"/>
  <c r="AD168" i="42"/>
  <c r="AC168" i="42"/>
  <c r="AB168" i="42"/>
  <c r="AA168" i="42"/>
  <c r="Z168" i="42"/>
  <c r="Y168" i="42"/>
  <c r="X168" i="42"/>
  <c r="BJ167" i="42"/>
  <c r="BI167" i="42"/>
  <c r="BK167" i="42" s="1"/>
  <c r="AX167" i="42"/>
  <c r="AT167" i="42"/>
  <c r="AN167" i="42"/>
  <c r="AO167" i="42" s="1"/>
  <c r="AM167" i="42"/>
  <c r="AG167" i="42"/>
  <c r="AS167" i="42" s="1"/>
  <c r="AF167" i="42"/>
  <c r="AE167" i="42"/>
  <c r="AP167" i="42" s="1"/>
  <c r="W167" i="42"/>
  <c r="V167" i="42"/>
  <c r="BJ166" i="42"/>
  <c r="BK166" i="42" s="1"/>
  <c r="BI166" i="42"/>
  <c r="AX166" i="42"/>
  <c r="AN166" i="42"/>
  <c r="AM166" i="42"/>
  <c r="AM168" i="42" s="1"/>
  <c r="W166" i="42"/>
  <c r="W168" i="42" s="1"/>
  <c r="V166" i="42"/>
  <c r="AE166" i="42" s="1"/>
  <c r="AP166" i="42" s="1"/>
  <c r="BJ165" i="42"/>
  <c r="BJ168" i="42" s="1"/>
  <c r="BI165" i="42"/>
  <c r="BI168" i="42" s="1"/>
  <c r="AX165" i="42"/>
  <c r="AN165" i="42"/>
  <c r="AO165" i="42" s="1"/>
  <c r="AM165" i="42"/>
  <c r="AF165" i="42"/>
  <c r="AQ165" i="42" s="1"/>
  <c r="W165" i="42"/>
  <c r="V165" i="42"/>
  <c r="V168" i="42" s="1"/>
  <c r="BH164" i="42"/>
  <c r="BG164" i="42"/>
  <c r="BF164" i="42"/>
  <c r="BE164" i="42"/>
  <c r="BD164" i="42"/>
  <c r="BC164" i="42"/>
  <c r="BB164" i="42"/>
  <c r="BA164" i="42"/>
  <c r="AZ164" i="42"/>
  <c r="AX164" i="42"/>
  <c r="AW164" i="42"/>
  <c r="AV164" i="42"/>
  <c r="AU164" i="42"/>
  <c r="AN164" i="42"/>
  <c r="AL164" i="42"/>
  <c r="AK164" i="42"/>
  <c r="AJ164" i="42"/>
  <c r="AI164" i="42"/>
  <c r="AH164" i="42"/>
  <c r="AD164" i="42"/>
  <c r="AC164" i="42"/>
  <c r="AB164" i="42"/>
  <c r="AA164" i="42"/>
  <c r="Z164" i="42"/>
  <c r="Y164" i="42"/>
  <c r="X164" i="42"/>
  <c r="BJ163" i="42"/>
  <c r="BI163" i="42"/>
  <c r="BK163" i="42" s="1"/>
  <c r="AX163" i="42"/>
  <c r="AN163" i="42"/>
  <c r="AO163" i="42" s="1"/>
  <c r="AM163" i="42"/>
  <c r="AF163" i="42"/>
  <c r="AQ163" i="42" s="1"/>
  <c r="AE163" i="42"/>
  <c r="W163" i="42"/>
  <c r="V163" i="42"/>
  <c r="BJ162" i="42"/>
  <c r="BK162" i="42" s="1"/>
  <c r="BI162" i="42"/>
  <c r="AX162" i="42"/>
  <c r="AP162" i="42"/>
  <c r="AN162" i="42"/>
  <c r="AM162" i="42"/>
  <c r="AG162" i="42"/>
  <c r="AS162" i="42" s="1"/>
  <c r="W162" i="42"/>
  <c r="AF162" i="42" s="1"/>
  <c r="V162" i="42"/>
  <c r="AE162" i="42" s="1"/>
  <c r="BJ161" i="42"/>
  <c r="BI161" i="42"/>
  <c r="BK161" i="42" s="1"/>
  <c r="AX161" i="42"/>
  <c r="AP161" i="42"/>
  <c r="AR161" i="42" s="1"/>
  <c r="AN161" i="42"/>
  <c r="AO161" i="42" s="1"/>
  <c r="AM161" i="42"/>
  <c r="AF161" i="42"/>
  <c r="AQ161" i="42" s="1"/>
  <c r="AE161" i="42"/>
  <c r="AG161" i="42" s="1"/>
  <c r="W161" i="42"/>
  <c r="V161" i="42"/>
  <c r="BJ160" i="42"/>
  <c r="BK160" i="42" s="1"/>
  <c r="BI160" i="42"/>
  <c r="AX160" i="42"/>
  <c r="AP160" i="42"/>
  <c r="AR160" i="42" s="1"/>
  <c r="AN160" i="42"/>
  <c r="AM160" i="42"/>
  <c r="AO160" i="42" s="1"/>
  <c r="AE160" i="42"/>
  <c r="AG160" i="42" s="1"/>
  <c r="W160" i="42"/>
  <c r="AF160" i="42" s="1"/>
  <c r="AQ160" i="42" s="1"/>
  <c r="V160" i="42"/>
  <c r="V164" i="42" s="1"/>
  <c r="BJ159" i="42"/>
  <c r="BI159" i="42"/>
  <c r="BI164" i="42" s="1"/>
  <c r="AX159" i="42"/>
  <c r="AN159" i="42"/>
  <c r="AO159" i="42" s="1"/>
  <c r="AM159" i="42"/>
  <c r="AM164" i="42" s="1"/>
  <c r="AF159" i="42"/>
  <c r="AQ159" i="42" s="1"/>
  <c r="AE159" i="42"/>
  <c r="W159" i="42"/>
  <c r="W164" i="42" s="1"/>
  <c r="V159" i="42"/>
  <c r="BJ158" i="42"/>
  <c r="BH158" i="42"/>
  <c r="BG158" i="42"/>
  <c r="BF158" i="42"/>
  <c r="BE158" i="42"/>
  <c r="BD158" i="42"/>
  <c r="BC158" i="42"/>
  <c r="BB158" i="42"/>
  <c r="BA158" i="42"/>
  <c r="AZ158" i="42"/>
  <c r="AX158" i="42"/>
  <c r="AW158" i="42"/>
  <c r="AV158" i="42"/>
  <c r="AU158" i="42"/>
  <c r="AL158" i="42"/>
  <c r="AK158" i="42"/>
  <c r="AJ158" i="42"/>
  <c r="AI158" i="42"/>
  <c r="AH158" i="42"/>
  <c r="AD158" i="42"/>
  <c r="AC158" i="42"/>
  <c r="AB158" i="42"/>
  <c r="AA158" i="42"/>
  <c r="Z158" i="42"/>
  <c r="Y158" i="42"/>
  <c r="X158" i="42"/>
  <c r="V158" i="42"/>
  <c r="BJ157" i="42"/>
  <c r="BI157" i="42"/>
  <c r="AX157" i="42"/>
  <c r="AN157" i="42"/>
  <c r="AO157" i="42" s="1"/>
  <c r="AM157" i="42"/>
  <c r="AF157" i="42"/>
  <c r="W157" i="42"/>
  <c r="V157" i="42"/>
  <c r="AE157" i="42" s="1"/>
  <c r="BJ156" i="42"/>
  <c r="BK156" i="42" s="1"/>
  <c r="BI156" i="42"/>
  <c r="BI158" i="42" s="1"/>
  <c r="AX156" i="42"/>
  <c r="AN156" i="42"/>
  <c r="AN158" i="42" s="1"/>
  <c r="AM156" i="42"/>
  <c r="AO156" i="42" s="1"/>
  <c r="W156" i="42"/>
  <c r="W158" i="42" s="1"/>
  <c r="V156" i="42"/>
  <c r="AE156" i="42" s="1"/>
  <c r="BH155" i="42"/>
  <c r="BG155" i="42"/>
  <c r="BF155" i="42"/>
  <c r="BE155" i="42"/>
  <c r="BD155" i="42"/>
  <c r="BC155" i="42"/>
  <c r="BB155" i="42"/>
  <c r="BA155" i="42"/>
  <c r="AZ155" i="42"/>
  <c r="AX155" i="42"/>
  <c r="AW155" i="42"/>
  <c r="AV155" i="42"/>
  <c r="AU155" i="42"/>
  <c r="AL155" i="42"/>
  <c r="AK155" i="42"/>
  <c r="AJ155" i="42"/>
  <c r="AI155" i="42"/>
  <c r="AH155" i="42"/>
  <c r="AD155" i="42"/>
  <c r="AC155" i="42"/>
  <c r="AB155" i="42"/>
  <c r="AA155" i="42"/>
  <c r="Z155" i="42"/>
  <c r="Y155" i="42"/>
  <c r="X155" i="42"/>
  <c r="BJ154" i="42"/>
  <c r="BK154" i="42" s="1"/>
  <c r="BI154" i="42"/>
  <c r="AX154" i="42"/>
  <c r="AP154" i="42"/>
  <c r="AN154" i="42"/>
  <c r="AM154" i="42"/>
  <c r="W154" i="42"/>
  <c r="AF154" i="42" s="1"/>
  <c r="AQ154" i="42" s="1"/>
  <c r="V154" i="42"/>
  <c r="AE154" i="42" s="1"/>
  <c r="BJ153" i="42"/>
  <c r="BI153" i="42"/>
  <c r="AX153" i="42"/>
  <c r="AN153" i="42"/>
  <c r="AM153" i="42"/>
  <c r="AF153" i="42"/>
  <c r="W153" i="42"/>
  <c r="V153" i="42"/>
  <c r="AE153" i="42" s="1"/>
  <c r="BJ152" i="42"/>
  <c r="BK152" i="42" s="1"/>
  <c r="BI152" i="42"/>
  <c r="AX152" i="42"/>
  <c r="AN152" i="42"/>
  <c r="AM152" i="42"/>
  <c r="AO152" i="42" s="1"/>
  <c r="W152" i="42"/>
  <c r="AF152" i="42" s="1"/>
  <c r="V152" i="42"/>
  <c r="AE152" i="42" s="1"/>
  <c r="BJ151" i="42"/>
  <c r="BJ155" i="42" s="1"/>
  <c r="BI151" i="42"/>
  <c r="BK151" i="42" s="1"/>
  <c r="AX151" i="42"/>
  <c r="AN151" i="42"/>
  <c r="AO151" i="42" s="1"/>
  <c r="AM151" i="42"/>
  <c r="AM155" i="42" s="1"/>
  <c r="AF151" i="42"/>
  <c r="AE151" i="42"/>
  <c r="W151" i="42"/>
  <c r="W155" i="42" s="1"/>
  <c r="V151" i="42"/>
  <c r="BH150" i="42"/>
  <c r="BG150" i="42"/>
  <c r="BF150" i="42"/>
  <c r="BE150" i="42"/>
  <c r="BD150" i="42"/>
  <c r="BC150" i="42"/>
  <c r="BB150" i="42"/>
  <c r="BA150" i="42"/>
  <c r="AZ150" i="42"/>
  <c r="AX150" i="42"/>
  <c r="AW150" i="42"/>
  <c r="AV150" i="42"/>
  <c r="AU150" i="42"/>
  <c r="AL150" i="42"/>
  <c r="AK150" i="42"/>
  <c r="AJ150" i="42"/>
  <c r="AI150" i="42"/>
  <c r="AH150" i="42"/>
  <c r="AD150" i="42"/>
  <c r="AC150" i="42"/>
  <c r="AB150" i="42"/>
  <c r="AA150" i="42"/>
  <c r="Z150" i="42"/>
  <c r="Y150" i="42"/>
  <c r="X150" i="42"/>
  <c r="V150" i="42"/>
  <c r="BJ149" i="42"/>
  <c r="BI149" i="42"/>
  <c r="AX149" i="42"/>
  <c r="AN149" i="42"/>
  <c r="AO149" i="42" s="1"/>
  <c r="AM149" i="42"/>
  <c r="AF149" i="42"/>
  <c r="AQ149" i="42" s="1"/>
  <c r="W149" i="42"/>
  <c r="V149" i="42"/>
  <c r="AE149" i="42" s="1"/>
  <c r="BJ148" i="42"/>
  <c r="BI148" i="42"/>
  <c r="BI150" i="42" s="1"/>
  <c r="AX148" i="42"/>
  <c r="AN148" i="42"/>
  <c r="AN150" i="42" s="1"/>
  <c r="AM148" i="42"/>
  <c r="AO148" i="42" s="1"/>
  <c r="AO150" i="42" s="1"/>
  <c r="W148" i="42"/>
  <c r="W150" i="42" s="1"/>
  <c r="V148" i="42"/>
  <c r="AE148" i="42" s="1"/>
  <c r="BH147" i="42"/>
  <c r="BG147" i="42"/>
  <c r="BF147" i="42"/>
  <c r="BE147" i="42"/>
  <c r="BD147" i="42"/>
  <c r="BC147" i="42"/>
  <c r="BB147" i="42"/>
  <c r="BA147" i="42"/>
  <c r="AZ147" i="42"/>
  <c r="AW147" i="42"/>
  <c r="AV147" i="42"/>
  <c r="AU147" i="42"/>
  <c r="AL147" i="42"/>
  <c r="AK147" i="42"/>
  <c r="AJ147" i="42"/>
  <c r="AI147" i="42"/>
  <c r="AH147" i="42"/>
  <c r="AD147" i="42"/>
  <c r="AC147" i="42"/>
  <c r="AB147" i="42"/>
  <c r="AA147" i="42"/>
  <c r="Z147" i="42"/>
  <c r="Y147" i="42"/>
  <c r="X147" i="42"/>
  <c r="BJ146" i="42"/>
  <c r="BI146" i="42"/>
  <c r="BK146" i="42" s="1"/>
  <c r="AX146" i="42"/>
  <c r="AN146" i="42"/>
  <c r="AO146" i="42" s="1"/>
  <c r="AM146" i="42"/>
  <c r="AF146" i="42"/>
  <c r="AQ146" i="42" s="1"/>
  <c r="W146" i="42"/>
  <c r="V146" i="42"/>
  <c r="AE146" i="42" s="1"/>
  <c r="BJ145" i="42"/>
  <c r="BK145" i="42" s="1"/>
  <c r="BI145" i="42"/>
  <c r="AX145" i="42"/>
  <c r="AN145" i="42"/>
  <c r="AM145" i="42"/>
  <c r="AO145" i="42" s="1"/>
  <c r="W145" i="42"/>
  <c r="AF145" i="42" s="1"/>
  <c r="AQ145" i="42" s="1"/>
  <c r="V145" i="42"/>
  <c r="AE145" i="42" s="1"/>
  <c r="AG145" i="42" s="1"/>
  <c r="BJ144" i="42"/>
  <c r="BI144" i="42"/>
  <c r="BK144" i="42" s="1"/>
  <c r="AX144" i="42"/>
  <c r="AO144" i="42"/>
  <c r="AN144" i="42"/>
  <c r="AM144" i="42"/>
  <c r="AF144" i="42"/>
  <c r="AQ144" i="42" s="1"/>
  <c r="AE144" i="42"/>
  <c r="W144" i="42"/>
  <c r="V144" i="42"/>
  <c r="BK143" i="42"/>
  <c r="BJ143" i="42"/>
  <c r="BI143" i="42"/>
  <c r="AX143" i="42"/>
  <c r="AN143" i="42"/>
  <c r="AM143" i="42"/>
  <c r="AO143" i="42" s="1"/>
  <c r="W143" i="42"/>
  <c r="AF143" i="42" s="1"/>
  <c r="V143" i="42"/>
  <c r="AE143" i="42" s="1"/>
  <c r="BJ142" i="42"/>
  <c r="BI142" i="42"/>
  <c r="BK142" i="42" s="1"/>
  <c r="AX142" i="42"/>
  <c r="AN142" i="42"/>
  <c r="AO142" i="42" s="1"/>
  <c r="AM142" i="42"/>
  <c r="AF142" i="42"/>
  <c r="W142" i="42"/>
  <c r="V142" i="42"/>
  <c r="AE142" i="42" s="1"/>
  <c r="BJ141" i="42"/>
  <c r="BJ147" i="42" s="1"/>
  <c r="BI141" i="42"/>
  <c r="AX141" i="42"/>
  <c r="AX147" i="42" s="1"/>
  <c r="AQ141" i="42"/>
  <c r="AN141" i="42"/>
  <c r="AM141" i="42"/>
  <c r="W141" i="42"/>
  <c r="AF141" i="42" s="1"/>
  <c r="AF147" i="42" s="1"/>
  <c r="V141" i="42"/>
  <c r="BI140" i="42"/>
  <c r="BH140" i="42"/>
  <c r="BG140" i="42"/>
  <c r="BF140" i="42"/>
  <c r="BE140" i="42"/>
  <c r="BD140" i="42"/>
  <c r="BC140" i="42"/>
  <c r="BB140" i="42"/>
  <c r="BA140" i="42"/>
  <c r="AZ140" i="42"/>
  <c r="AW140" i="42"/>
  <c r="AV140" i="42"/>
  <c r="AU140" i="42"/>
  <c r="AL140" i="42"/>
  <c r="AK140" i="42"/>
  <c r="AJ140" i="42"/>
  <c r="AI140" i="42"/>
  <c r="AH140" i="42"/>
  <c r="AD140" i="42"/>
  <c r="AC140" i="42"/>
  <c r="AB140" i="42"/>
  <c r="AA140" i="42"/>
  <c r="Z140" i="42"/>
  <c r="Y140" i="42"/>
  <c r="X140" i="42"/>
  <c r="BK139" i="42"/>
  <c r="BJ139" i="42"/>
  <c r="BI139" i="42"/>
  <c r="AX139" i="42"/>
  <c r="AQ139" i="42"/>
  <c r="AN139" i="42"/>
  <c r="AM139" i="42"/>
  <c r="AO139" i="42" s="1"/>
  <c r="W139" i="42"/>
  <c r="AF139" i="42" s="1"/>
  <c r="V139" i="42"/>
  <c r="AE139" i="42" s="1"/>
  <c r="AP139" i="42" s="1"/>
  <c r="BJ138" i="42"/>
  <c r="BI138" i="42"/>
  <c r="BK138" i="42" s="1"/>
  <c r="AX138" i="42"/>
  <c r="AN138" i="42"/>
  <c r="AO138" i="42" s="1"/>
  <c r="AM138" i="42"/>
  <c r="AF138" i="42"/>
  <c r="AQ138" i="42" s="1"/>
  <c r="W138" i="42"/>
  <c r="V138" i="42"/>
  <c r="AE138" i="42" s="1"/>
  <c r="BJ137" i="42"/>
  <c r="BJ140" i="42" s="1"/>
  <c r="BI137" i="42"/>
  <c r="AX137" i="42"/>
  <c r="AN137" i="42"/>
  <c r="AM137" i="42"/>
  <c r="W137" i="42"/>
  <c r="V137" i="42"/>
  <c r="BH136" i="42"/>
  <c r="BG136" i="42"/>
  <c r="BF136" i="42"/>
  <c r="BE136" i="42"/>
  <c r="BD136" i="42"/>
  <c r="BC136" i="42"/>
  <c r="BB136" i="42"/>
  <c r="BA136" i="42"/>
  <c r="AZ136" i="42"/>
  <c r="AW136" i="42"/>
  <c r="AV136" i="42"/>
  <c r="AU136" i="42"/>
  <c r="AN136" i="42"/>
  <c r="AL136" i="42"/>
  <c r="AK136" i="42"/>
  <c r="AJ136" i="42"/>
  <c r="AI136" i="42"/>
  <c r="AH136" i="42"/>
  <c r="AD136" i="42"/>
  <c r="AC136" i="42"/>
  <c r="AB136" i="42"/>
  <c r="AA136" i="42"/>
  <c r="Z136" i="42"/>
  <c r="Y136" i="42"/>
  <c r="X136" i="42"/>
  <c r="BK135" i="42"/>
  <c r="BJ135" i="42"/>
  <c r="BI135" i="42"/>
  <c r="AX135" i="42"/>
  <c r="AQ135" i="42"/>
  <c r="AN135" i="42"/>
  <c r="AM135" i="42"/>
  <c r="AO135" i="42" s="1"/>
  <c r="AE135" i="42"/>
  <c r="W135" i="42"/>
  <c r="AF135" i="42" s="1"/>
  <c r="AG135" i="42" s="1"/>
  <c r="V135" i="42"/>
  <c r="BJ134" i="42"/>
  <c r="BI134" i="42"/>
  <c r="AX134" i="42"/>
  <c r="AO134" i="42"/>
  <c r="AN134" i="42"/>
  <c r="AM134" i="42"/>
  <c r="AF134" i="42"/>
  <c r="AQ134" i="42" s="1"/>
  <c r="W134" i="42"/>
  <c r="V134" i="42"/>
  <c r="AE134" i="42" s="1"/>
  <c r="BJ133" i="42"/>
  <c r="BJ136" i="42" s="1"/>
  <c r="BI133" i="42"/>
  <c r="BK133" i="42" s="1"/>
  <c r="AX133" i="42"/>
  <c r="AN133" i="42"/>
  <c r="AM133" i="42"/>
  <c r="W133" i="42"/>
  <c r="V133" i="42"/>
  <c r="BH132" i="42"/>
  <c r="BG132" i="42"/>
  <c r="BF132" i="42"/>
  <c r="BE132" i="42"/>
  <c r="BD132" i="42"/>
  <c r="BC132" i="42"/>
  <c r="BB132" i="42"/>
  <c r="BA132" i="42"/>
  <c r="AZ132" i="42"/>
  <c r="AW132" i="42"/>
  <c r="AV132" i="42"/>
  <c r="AU132" i="42"/>
  <c r="AL132" i="42"/>
  <c r="AK132" i="42"/>
  <c r="AJ132" i="42"/>
  <c r="AI132" i="42"/>
  <c r="AH132" i="42"/>
  <c r="AD132" i="42"/>
  <c r="AC132" i="42"/>
  <c r="AB132" i="42"/>
  <c r="AA132" i="42"/>
  <c r="Z132" i="42"/>
  <c r="Y132" i="42"/>
  <c r="X132" i="42"/>
  <c r="BK131" i="42"/>
  <c r="BJ131" i="42"/>
  <c r="BI131" i="42"/>
  <c r="AX131" i="42"/>
  <c r="AQ131" i="42"/>
  <c r="AN131" i="42"/>
  <c r="AM131" i="42"/>
  <c r="AO131" i="42" s="1"/>
  <c r="AG131" i="42"/>
  <c r="AS131" i="42" s="1"/>
  <c r="W131" i="42"/>
  <c r="AF131" i="42" s="1"/>
  <c r="V131" i="42"/>
  <c r="AE131" i="42" s="1"/>
  <c r="AP131" i="42" s="1"/>
  <c r="BJ130" i="42"/>
  <c r="BI130" i="42"/>
  <c r="AX130" i="42"/>
  <c r="AO130" i="42"/>
  <c r="AN130" i="42"/>
  <c r="AN132" i="42" s="1"/>
  <c r="AM130" i="42"/>
  <c r="AF130" i="42"/>
  <c r="AQ130" i="42" s="1"/>
  <c r="W130" i="42"/>
  <c r="V130" i="42"/>
  <c r="AE130" i="42" s="1"/>
  <c r="BK129" i="42"/>
  <c r="BJ129" i="42"/>
  <c r="BI129" i="42"/>
  <c r="AX129" i="42"/>
  <c r="AN129" i="42"/>
  <c r="AM129" i="42"/>
  <c r="AO129" i="42" s="1"/>
  <c r="W129" i="42"/>
  <c r="AF129" i="42" s="1"/>
  <c r="AQ129" i="42" s="1"/>
  <c r="V129" i="42"/>
  <c r="AE129" i="42" s="1"/>
  <c r="AP129" i="42" s="1"/>
  <c r="AR129" i="42" s="1"/>
  <c r="BJ128" i="42"/>
  <c r="BI128" i="42"/>
  <c r="BK128" i="42" s="1"/>
  <c r="AX128" i="42"/>
  <c r="AO128" i="42"/>
  <c r="AN128" i="42"/>
  <c r="AM128" i="42"/>
  <c r="AF128" i="42"/>
  <c r="AQ128" i="42" s="1"/>
  <c r="AE128" i="42"/>
  <c r="W128" i="42"/>
  <c r="V128" i="42"/>
  <c r="BK127" i="42"/>
  <c r="BJ127" i="42"/>
  <c r="BJ132" i="42" s="1"/>
  <c r="BI127" i="42"/>
  <c r="AX127" i="42"/>
  <c r="AX132" i="42" s="1"/>
  <c r="AN127" i="42"/>
  <c r="AM127" i="42"/>
  <c r="W127" i="42"/>
  <c r="V127" i="42"/>
  <c r="V132" i="42" s="1"/>
  <c r="BH126" i="42"/>
  <c r="BG126" i="42"/>
  <c r="BF126" i="42"/>
  <c r="BE126" i="42"/>
  <c r="BD126" i="42"/>
  <c r="BC126" i="42"/>
  <c r="BB126" i="42"/>
  <c r="BA126" i="42"/>
  <c r="AZ126" i="42"/>
  <c r="AW126" i="42"/>
  <c r="AV126" i="42"/>
  <c r="AU126" i="42"/>
  <c r="AM126" i="42"/>
  <c r="AL126" i="42"/>
  <c r="AK126" i="42"/>
  <c r="AJ126" i="42"/>
  <c r="AI126" i="42"/>
  <c r="AH126" i="42"/>
  <c r="AE126" i="42"/>
  <c r="AD126" i="42"/>
  <c r="AC126" i="42"/>
  <c r="AB126" i="42"/>
  <c r="AA126" i="42"/>
  <c r="Z126" i="42"/>
  <c r="Y126" i="42"/>
  <c r="X126" i="42"/>
  <c r="BJ125" i="42"/>
  <c r="BI125" i="42"/>
  <c r="BK125" i="42" s="1"/>
  <c r="AX125" i="42"/>
  <c r="AN125" i="42"/>
  <c r="AM125" i="42"/>
  <c r="AO125" i="42" s="1"/>
  <c r="AF125" i="42"/>
  <c r="AQ125" i="42" s="1"/>
  <c r="W125" i="42"/>
  <c r="V125" i="42"/>
  <c r="AE125" i="42" s="1"/>
  <c r="BK124" i="42"/>
  <c r="BJ124" i="42"/>
  <c r="BI124" i="42"/>
  <c r="AX124" i="42"/>
  <c r="AX126" i="42" s="1"/>
  <c r="AO124" i="42"/>
  <c r="AO126" i="42" s="1"/>
  <c r="AN124" i="42"/>
  <c r="AN126" i="42" s="1"/>
  <c r="AM124" i="42"/>
  <c r="W124" i="42"/>
  <c r="AF124" i="42" s="1"/>
  <c r="AQ124" i="42" s="1"/>
  <c r="V124" i="42"/>
  <c r="AE124" i="42" s="1"/>
  <c r="BJ123" i="42"/>
  <c r="BJ126" i="42" s="1"/>
  <c r="BI123" i="42"/>
  <c r="BI126" i="42" s="1"/>
  <c r="AX123" i="42"/>
  <c r="AO123" i="42"/>
  <c r="AN123" i="42"/>
  <c r="AM123" i="42"/>
  <c r="AF123" i="42"/>
  <c r="AE123" i="42"/>
  <c r="AP123" i="42" s="1"/>
  <c r="W123" i="42"/>
  <c r="W126" i="42" s="1"/>
  <c r="V123" i="42"/>
  <c r="V126" i="42" s="1"/>
  <c r="BH122" i="42"/>
  <c r="BG122" i="42"/>
  <c r="BF122" i="42"/>
  <c r="BE122" i="42"/>
  <c r="BD122" i="42"/>
  <c r="BC122" i="42"/>
  <c r="BB122" i="42"/>
  <c r="BA122" i="42"/>
  <c r="AZ122" i="42"/>
  <c r="AW122" i="42"/>
  <c r="AV122" i="42"/>
  <c r="AU122" i="42"/>
  <c r="AL122" i="42"/>
  <c r="AK122" i="42"/>
  <c r="AJ122" i="42"/>
  <c r="AI122" i="42"/>
  <c r="AH122" i="42"/>
  <c r="AD122" i="42"/>
  <c r="AC122" i="42"/>
  <c r="AB122" i="42"/>
  <c r="AA122" i="42"/>
  <c r="Z122" i="42"/>
  <c r="Y122" i="42"/>
  <c r="X122" i="42"/>
  <c r="BJ121" i="42"/>
  <c r="BI121" i="42"/>
  <c r="BK121" i="42" s="1"/>
  <c r="AX121" i="42"/>
  <c r="AO121" i="42"/>
  <c r="AN121" i="42"/>
  <c r="AM121" i="42"/>
  <c r="AF121" i="42"/>
  <c r="AQ121" i="42" s="1"/>
  <c r="W121" i="42"/>
  <c r="V121" i="42"/>
  <c r="AE121" i="42" s="1"/>
  <c r="BJ120" i="42"/>
  <c r="BI120" i="42"/>
  <c r="BK120" i="42" s="1"/>
  <c r="AX120" i="42"/>
  <c r="AQ120" i="42"/>
  <c r="AO120" i="42"/>
  <c r="AN120" i="42"/>
  <c r="AM120" i="42"/>
  <c r="W120" i="42"/>
  <c r="AF120" i="42" s="1"/>
  <c r="V120" i="42"/>
  <c r="AE120" i="42" s="1"/>
  <c r="BK119" i="42"/>
  <c r="BJ119" i="42"/>
  <c r="BI119" i="42"/>
  <c r="AX119" i="42"/>
  <c r="AO119" i="42"/>
  <c r="AN119" i="42"/>
  <c r="AM119" i="42"/>
  <c r="AE119" i="42"/>
  <c r="AP119" i="42" s="1"/>
  <c r="W119" i="42"/>
  <c r="W122" i="42" s="1"/>
  <c r="V119" i="42"/>
  <c r="BK118" i="42"/>
  <c r="BJ118" i="42"/>
  <c r="BI118" i="42"/>
  <c r="AX118" i="42"/>
  <c r="AQ118" i="42"/>
  <c r="AN118" i="42"/>
  <c r="AM118" i="42"/>
  <c r="AO118" i="42" s="1"/>
  <c r="AF118" i="42"/>
  <c r="AG118" i="42" s="1"/>
  <c r="AT118" i="42" s="1"/>
  <c r="AE118" i="42"/>
  <c r="AP118" i="42" s="1"/>
  <c r="W118" i="42"/>
  <c r="V118" i="42"/>
  <c r="BJ117" i="42"/>
  <c r="BJ122" i="42" s="1"/>
  <c r="BI117" i="42"/>
  <c r="AX117" i="42"/>
  <c r="AO117" i="42"/>
  <c r="AN117" i="42"/>
  <c r="AN122" i="42" s="1"/>
  <c r="AM117" i="42"/>
  <c r="AM122" i="42" s="1"/>
  <c r="AF117" i="42"/>
  <c r="W117" i="42"/>
  <c r="V117" i="42"/>
  <c r="V122" i="42" s="1"/>
  <c r="BH116" i="42"/>
  <c r="BG116" i="42"/>
  <c r="BF116" i="42"/>
  <c r="BE116" i="42"/>
  <c r="BD116" i="42"/>
  <c r="BC116" i="42"/>
  <c r="BB116" i="42"/>
  <c r="BA116" i="42"/>
  <c r="AZ116" i="42"/>
  <c r="AW116" i="42"/>
  <c r="AV116" i="42"/>
  <c r="AU116" i="42"/>
  <c r="AL116" i="42"/>
  <c r="AK116" i="42"/>
  <c r="AJ116" i="42"/>
  <c r="AI116" i="42"/>
  <c r="AH116" i="42"/>
  <c r="AE116" i="42"/>
  <c r="AD116" i="42"/>
  <c r="AC116" i="42"/>
  <c r="AB116" i="42"/>
  <c r="AA116" i="42"/>
  <c r="Z116" i="42"/>
  <c r="Y116" i="42"/>
  <c r="X116" i="42"/>
  <c r="W116" i="42"/>
  <c r="V116" i="42"/>
  <c r="BJ115" i="42"/>
  <c r="BI115" i="42"/>
  <c r="BK115" i="42" s="1"/>
  <c r="BK116" i="42" s="1"/>
  <c r="AX115" i="42"/>
  <c r="AO115" i="42"/>
  <c r="AN115" i="42"/>
  <c r="AM115" i="42"/>
  <c r="AF115" i="42"/>
  <c r="AQ115" i="42" s="1"/>
  <c r="AE115" i="42"/>
  <c r="AP115" i="42" s="1"/>
  <c r="W115" i="42"/>
  <c r="V115" i="42"/>
  <c r="BK114" i="42"/>
  <c r="BJ114" i="42"/>
  <c r="BI114" i="42"/>
  <c r="AX114" i="42"/>
  <c r="AN114" i="42"/>
  <c r="AM114" i="42"/>
  <c r="AO114" i="42" s="1"/>
  <c r="AE114" i="42"/>
  <c r="W114" i="42"/>
  <c r="AF114" i="42" s="1"/>
  <c r="V114" i="42"/>
  <c r="BJ113" i="42"/>
  <c r="BJ116" i="42" s="1"/>
  <c r="BI113" i="42"/>
  <c r="BK113" i="42" s="1"/>
  <c r="AX113" i="42"/>
  <c r="AN113" i="42"/>
  <c r="AN116" i="42" s="1"/>
  <c r="AM113" i="42"/>
  <c r="AF113" i="42"/>
  <c r="W113" i="42"/>
  <c r="V113" i="42"/>
  <c r="AE113" i="42" s="1"/>
  <c r="BI112" i="42"/>
  <c r="BH112" i="42"/>
  <c r="BG112" i="42"/>
  <c r="BF112" i="42"/>
  <c r="BE112" i="42"/>
  <c r="BD112" i="42"/>
  <c r="BC112" i="42"/>
  <c r="BB112" i="42"/>
  <c r="BA112" i="42"/>
  <c r="AZ112" i="42"/>
  <c r="AW112" i="42"/>
  <c r="AV112" i="42"/>
  <c r="AU112" i="42"/>
  <c r="AL112" i="42"/>
  <c r="AK112" i="42"/>
  <c r="AJ112" i="42"/>
  <c r="AI112" i="42"/>
  <c r="AH112" i="42"/>
  <c r="AD112" i="42"/>
  <c r="AC112" i="42"/>
  <c r="AB112" i="42"/>
  <c r="AA112" i="42"/>
  <c r="Z112" i="42"/>
  <c r="Y112" i="42"/>
  <c r="X112" i="42"/>
  <c r="BJ111" i="42"/>
  <c r="BI111" i="42"/>
  <c r="BK111" i="42" s="1"/>
  <c r="AX111" i="42"/>
  <c r="AO111" i="42"/>
  <c r="AN111" i="42"/>
  <c r="AM111" i="42"/>
  <c r="AF111" i="42"/>
  <c r="AQ111" i="42" s="1"/>
  <c r="AE111" i="42"/>
  <c r="AP111" i="42" s="1"/>
  <c r="W111" i="42"/>
  <c r="V111" i="42"/>
  <c r="BK110" i="42"/>
  <c r="BJ110" i="42"/>
  <c r="BI110" i="42"/>
  <c r="AX110" i="42"/>
  <c r="AN110" i="42"/>
  <c r="AM110" i="42"/>
  <c r="AO110" i="42" s="1"/>
  <c r="AE110" i="42"/>
  <c r="W110" i="42"/>
  <c r="AF110" i="42" s="1"/>
  <c r="V110" i="42"/>
  <c r="BJ109" i="42"/>
  <c r="BI109" i="42"/>
  <c r="BK109" i="42" s="1"/>
  <c r="AX109" i="42"/>
  <c r="AN109" i="42"/>
  <c r="AM109" i="42"/>
  <c r="AO109" i="42" s="1"/>
  <c r="AF109" i="42"/>
  <c r="AQ109" i="42" s="1"/>
  <c r="W109" i="42"/>
  <c r="V109" i="42"/>
  <c r="AE109" i="42" s="1"/>
  <c r="BK108" i="42"/>
  <c r="BJ108" i="42"/>
  <c r="BI108" i="42"/>
  <c r="AX108" i="42"/>
  <c r="AN108" i="42"/>
  <c r="AM108" i="42"/>
  <c r="AO108" i="42" s="1"/>
  <c r="W108" i="42"/>
  <c r="AF108" i="42" s="1"/>
  <c r="AQ108" i="42" s="1"/>
  <c r="V108" i="42"/>
  <c r="AE108" i="42" s="1"/>
  <c r="BJ107" i="42"/>
  <c r="BI107" i="42"/>
  <c r="BK107" i="42" s="1"/>
  <c r="AX107" i="42"/>
  <c r="AO107" i="42"/>
  <c r="AN107" i="42"/>
  <c r="AM107" i="42"/>
  <c r="AF107" i="42"/>
  <c r="AQ107" i="42" s="1"/>
  <c r="AE107" i="42"/>
  <c r="AP107" i="42" s="1"/>
  <c r="W107" i="42"/>
  <c r="V107" i="42"/>
  <c r="BK106" i="42"/>
  <c r="BJ106" i="42"/>
  <c r="BJ112" i="42" s="1"/>
  <c r="BI106" i="42"/>
  <c r="AX106" i="42"/>
  <c r="AN106" i="42"/>
  <c r="AN112" i="42" s="1"/>
  <c r="AM106" i="42"/>
  <c r="AO106" i="42" s="1"/>
  <c r="W106" i="42"/>
  <c r="W112" i="42" s="1"/>
  <c r="V106" i="42"/>
  <c r="AE106" i="42" s="1"/>
  <c r="AE112" i="42" s="1"/>
  <c r="BH105" i="42"/>
  <c r="BG105" i="42"/>
  <c r="BF105" i="42"/>
  <c r="BE105" i="42"/>
  <c r="BD105" i="42"/>
  <c r="BC105" i="42"/>
  <c r="BB105" i="42"/>
  <c r="BA105" i="42"/>
  <c r="AZ105" i="42"/>
  <c r="AW105" i="42"/>
  <c r="AV105" i="42"/>
  <c r="AU105" i="42"/>
  <c r="AL105" i="42"/>
  <c r="AK105" i="42"/>
  <c r="AJ105" i="42"/>
  <c r="AI105" i="42"/>
  <c r="AH105" i="42"/>
  <c r="AD105" i="42"/>
  <c r="AC105" i="42"/>
  <c r="AB105" i="42"/>
  <c r="AA105" i="42"/>
  <c r="Z105" i="42"/>
  <c r="Y105" i="42"/>
  <c r="X105" i="42"/>
  <c r="BK104" i="42"/>
  <c r="BJ104" i="42"/>
  <c r="BI104" i="42"/>
  <c r="AX104" i="42"/>
  <c r="AN104" i="42"/>
  <c r="AM104" i="42"/>
  <c r="AO104" i="42" s="1"/>
  <c r="W104" i="42"/>
  <c r="AF104" i="42" s="1"/>
  <c r="AQ104" i="42" s="1"/>
  <c r="V104" i="42"/>
  <c r="AE104" i="42" s="1"/>
  <c r="BJ103" i="42"/>
  <c r="BI103" i="42"/>
  <c r="BK103" i="42" s="1"/>
  <c r="AX103" i="42"/>
  <c r="AO103" i="42"/>
  <c r="AN103" i="42"/>
  <c r="AM103" i="42"/>
  <c r="AF103" i="42"/>
  <c r="AQ103" i="42" s="1"/>
  <c r="AE103" i="42"/>
  <c r="AP103" i="42" s="1"/>
  <c r="W103" i="42"/>
  <c r="V103" i="42"/>
  <c r="BK102" i="42"/>
  <c r="BJ102" i="42"/>
  <c r="BI102" i="42"/>
  <c r="AX102" i="42"/>
  <c r="AN102" i="42"/>
  <c r="AM102" i="42"/>
  <c r="AO102" i="42" s="1"/>
  <c r="W102" i="42"/>
  <c r="AF102" i="42" s="1"/>
  <c r="AQ102" i="42" s="1"/>
  <c r="V102" i="42"/>
  <c r="AE102" i="42" s="1"/>
  <c r="BJ101" i="42"/>
  <c r="BI101" i="42"/>
  <c r="BK101" i="42" s="1"/>
  <c r="AX101" i="42"/>
  <c r="AN101" i="42"/>
  <c r="AM101" i="42"/>
  <c r="AO101" i="42" s="1"/>
  <c r="AF101" i="42"/>
  <c r="AQ101" i="42" s="1"/>
  <c r="AE101" i="42"/>
  <c r="W101" i="42"/>
  <c r="V101" i="42"/>
  <c r="BJ100" i="42"/>
  <c r="BJ105" i="42" s="1"/>
  <c r="BI100" i="42"/>
  <c r="BI105" i="42" s="1"/>
  <c r="AX100" i="42"/>
  <c r="AX105" i="42" s="1"/>
  <c r="AN100" i="42"/>
  <c r="AN105" i="42" s="1"/>
  <c r="AM100" i="42"/>
  <c r="W100" i="42"/>
  <c r="V100" i="42"/>
  <c r="V105" i="42" s="1"/>
  <c r="BI99" i="42"/>
  <c r="BH99" i="42"/>
  <c r="BG99" i="42"/>
  <c r="BF99" i="42"/>
  <c r="BE99" i="42"/>
  <c r="BD99" i="42"/>
  <c r="BC99" i="42"/>
  <c r="BB99" i="42"/>
  <c r="BA99" i="42"/>
  <c r="AZ99" i="42"/>
  <c r="AW99" i="42"/>
  <c r="AV99" i="42"/>
  <c r="AU99" i="42"/>
  <c r="AL99" i="42"/>
  <c r="AK99" i="42"/>
  <c r="AJ99" i="42"/>
  <c r="AI99" i="42"/>
  <c r="AH99" i="42"/>
  <c r="AD99" i="42"/>
  <c r="AC99" i="42"/>
  <c r="AB99" i="42"/>
  <c r="AA99" i="42"/>
  <c r="Z99" i="42"/>
  <c r="Y99" i="42"/>
  <c r="X99" i="42"/>
  <c r="W99" i="42"/>
  <c r="BK98" i="42"/>
  <c r="BJ98" i="42"/>
  <c r="BI98" i="42"/>
  <c r="AX98" i="42"/>
  <c r="AN98" i="42"/>
  <c r="AM98" i="42"/>
  <c r="AO98" i="42" s="1"/>
  <c r="W98" i="42"/>
  <c r="AF98" i="42" s="1"/>
  <c r="AQ98" i="42" s="1"/>
  <c r="V98" i="42"/>
  <c r="AE98" i="42" s="1"/>
  <c r="BJ97" i="42"/>
  <c r="BI97" i="42"/>
  <c r="BK97" i="42" s="1"/>
  <c r="AX97" i="42"/>
  <c r="AN97" i="42"/>
  <c r="AM97" i="42"/>
  <c r="AO97" i="42" s="1"/>
  <c r="AF97" i="42"/>
  <c r="AQ97" i="42" s="1"/>
  <c r="AE97" i="42"/>
  <c r="W97" i="42"/>
  <c r="V97" i="42"/>
  <c r="BJ96" i="42"/>
  <c r="BJ99" i="42" s="1"/>
  <c r="BI96" i="42"/>
  <c r="BK96" i="42" s="1"/>
  <c r="BK99" i="42" s="1"/>
  <c r="AX96" i="42"/>
  <c r="AX99" i="42" s="1"/>
  <c r="AQ96" i="42"/>
  <c r="AN96" i="42"/>
  <c r="AN99" i="42" s="1"/>
  <c r="AM96" i="42"/>
  <c r="AO96" i="42" s="1"/>
  <c r="AO99" i="42" s="1"/>
  <c r="W96" i="42"/>
  <c r="AF96" i="42" s="1"/>
  <c r="V96" i="42"/>
  <c r="V99" i="42" s="1"/>
  <c r="BI95" i="42"/>
  <c r="BH95" i="42"/>
  <c r="BG95" i="42"/>
  <c r="BF95" i="42"/>
  <c r="BE95" i="42"/>
  <c r="BD95" i="42"/>
  <c r="BC95" i="42"/>
  <c r="BB95" i="42"/>
  <c r="BA95" i="42"/>
  <c r="AZ95" i="42"/>
  <c r="AW95" i="42"/>
  <c r="AV95" i="42"/>
  <c r="AU95" i="42"/>
  <c r="AL95" i="42"/>
  <c r="AK95" i="42"/>
  <c r="AJ95" i="42"/>
  <c r="AI95" i="42"/>
  <c r="AH95" i="42"/>
  <c r="AD95" i="42"/>
  <c r="AC95" i="42"/>
  <c r="AB95" i="42"/>
  <c r="AA95" i="42"/>
  <c r="Z95" i="42"/>
  <c r="Y95" i="42"/>
  <c r="X95" i="42"/>
  <c r="W95" i="42"/>
  <c r="BK94" i="42"/>
  <c r="BJ94" i="42"/>
  <c r="BI94" i="42"/>
  <c r="AX94" i="42"/>
  <c r="AN94" i="42"/>
  <c r="AM94" i="42"/>
  <c r="AO94" i="42" s="1"/>
  <c r="W94" i="42"/>
  <c r="AF94" i="42" s="1"/>
  <c r="AQ94" i="42" s="1"/>
  <c r="V94" i="42"/>
  <c r="AE94" i="42" s="1"/>
  <c r="BJ93" i="42"/>
  <c r="BI93" i="42"/>
  <c r="BK93" i="42" s="1"/>
  <c r="AX93" i="42"/>
  <c r="AN93" i="42"/>
  <c r="AM93" i="42"/>
  <c r="AO93" i="42" s="1"/>
  <c r="AF93" i="42"/>
  <c r="AQ93" i="42" s="1"/>
  <c r="AE93" i="42"/>
  <c r="W93" i="42"/>
  <c r="V93" i="42"/>
  <c r="BJ92" i="42"/>
  <c r="BI92" i="42"/>
  <c r="BK92" i="42" s="1"/>
  <c r="AX92" i="42"/>
  <c r="AQ92" i="42"/>
  <c r="AN92" i="42"/>
  <c r="AM92" i="42"/>
  <c r="AO92" i="42" s="1"/>
  <c r="W92" i="42"/>
  <c r="AF92" i="42" s="1"/>
  <c r="V92" i="42"/>
  <c r="AE92" i="42" s="1"/>
  <c r="BJ91" i="42"/>
  <c r="BI91" i="42"/>
  <c r="BK91" i="42" s="1"/>
  <c r="AX91" i="42"/>
  <c r="AO91" i="42"/>
  <c r="AN91" i="42"/>
  <c r="AM91" i="42"/>
  <c r="AF91" i="42"/>
  <c r="AQ91" i="42" s="1"/>
  <c r="AE91" i="42"/>
  <c r="AP91" i="42" s="1"/>
  <c r="AR91" i="42" s="1"/>
  <c r="W91" i="42"/>
  <c r="V91" i="42"/>
  <c r="BK90" i="42"/>
  <c r="BK95" i="42" s="1"/>
  <c r="BJ90" i="42"/>
  <c r="BJ95" i="42" s="1"/>
  <c r="BI90" i="42"/>
  <c r="AX90" i="42"/>
  <c r="AQ90" i="42"/>
  <c r="AN90" i="42"/>
  <c r="AN95" i="42" s="1"/>
  <c r="AM90" i="42"/>
  <c r="AO90" i="42" s="1"/>
  <c r="AF90" i="42"/>
  <c r="W90" i="42"/>
  <c r="V90" i="42"/>
  <c r="V95" i="42" s="1"/>
  <c r="BH89" i="42"/>
  <c r="BG89" i="42"/>
  <c r="BF89" i="42"/>
  <c r="BE89" i="42"/>
  <c r="BD89" i="42"/>
  <c r="BC89" i="42"/>
  <c r="BB89" i="42"/>
  <c r="BA89" i="42"/>
  <c r="AZ89" i="42"/>
  <c r="AW89" i="42"/>
  <c r="AV89" i="42"/>
  <c r="AU89" i="42"/>
  <c r="AL89" i="42"/>
  <c r="AK89" i="42"/>
  <c r="AJ89" i="42"/>
  <c r="AI89" i="42"/>
  <c r="AH89" i="42"/>
  <c r="AD89" i="42"/>
  <c r="AC89" i="42"/>
  <c r="AB89" i="42"/>
  <c r="AA89" i="42"/>
  <c r="Z89" i="42"/>
  <c r="Y89" i="42"/>
  <c r="X89" i="42"/>
  <c r="BJ88" i="42"/>
  <c r="BI88" i="42"/>
  <c r="BK88" i="42" s="1"/>
  <c r="AX88" i="42"/>
  <c r="AQ88" i="42"/>
  <c r="AN88" i="42"/>
  <c r="AM88" i="42"/>
  <c r="AO88" i="42" s="1"/>
  <c r="W88" i="42"/>
  <c r="AF88" i="42" s="1"/>
  <c r="V88" i="42"/>
  <c r="AE88" i="42" s="1"/>
  <c r="BJ87" i="42"/>
  <c r="BI87" i="42"/>
  <c r="AX87" i="42"/>
  <c r="AN87" i="42"/>
  <c r="AO87" i="42" s="1"/>
  <c r="AM87" i="42"/>
  <c r="AG87" i="42"/>
  <c r="AF87" i="42"/>
  <c r="AE87" i="42"/>
  <c r="AP87" i="42" s="1"/>
  <c r="W87" i="42"/>
  <c r="V87" i="42"/>
  <c r="BJ86" i="42"/>
  <c r="BI86" i="42"/>
  <c r="AX86" i="42"/>
  <c r="AX89" i="42" s="1"/>
  <c r="AP86" i="42"/>
  <c r="AN86" i="42"/>
  <c r="AM86" i="42"/>
  <c r="AE86" i="42"/>
  <c r="W86" i="42"/>
  <c r="W89" i="42" s="1"/>
  <c r="V86" i="42"/>
  <c r="V89" i="42" s="1"/>
  <c r="BI85" i="42"/>
  <c r="BH85" i="42"/>
  <c r="BG85" i="42"/>
  <c r="BF85" i="42"/>
  <c r="BE85" i="42"/>
  <c r="BD85" i="42"/>
  <c r="BC85" i="42"/>
  <c r="BB85" i="42"/>
  <c r="BA85" i="42"/>
  <c r="AZ85" i="42"/>
  <c r="AW85" i="42"/>
  <c r="AV85" i="42"/>
  <c r="AU85" i="42"/>
  <c r="AL85" i="42"/>
  <c r="AK85" i="42"/>
  <c r="AJ85" i="42"/>
  <c r="AI85" i="42"/>
  <c r="AH85" i="42"/>
  <c r="AD85" i="42"/>
  <c r="AC85" i="42"/>
  <c r="AB85" i="42"/>
  <c r="AA85" i="42"/>
  <c r="Z85" i="42"/>
  <c r="Y85" i="42"/>
  <c r="X85" i="42"/>
  <c r="BJ84" i="42"/>
  <c r="BK84" i="42" s="1"/>
  <c r="BI84" i="42"/>
  <c r="AX84" i="42"/>
  <c r="AN84" i="42"/>
  <c r="AM84" i="42"/>
  <c r="AO84" i="42" s="1"/>
  <c r="W84" i="42"/>
  <c r="AF84" i="42" s="1"/>
  <c r="AQ84" i="42" s="1"/>
  <c r="V84" i="42"/>
  <c r="AE84" i="42" s="1"/>
  <c r="AP84" i="42" s="1"/>
  <c r="BJ83" i="42"/>
  <c r="BI83" i="42"/>
  <c r="BK83" i="42" s="1"/>
  <c r="AX83" i="42"/>
  <c r="AN83" i="42"/>
  <c r="AM83" i="42"/>
  <c r="AO83" i="42" s="1"/>
  <c r="AF83" i="42"/>
  <c r="AQ83" i="42" s="1"/>
  <c r="AE83" i="42"/>
  <c r="W83" i="42"/>
  <c r="V83" i="42"/>
  <c r="BJ82" i="42"/>
  <c r="BI82" i="42"/>
  <c r="BK82" i="42" s="1"/>
  <c r="AX82" i="42"/>
  <c r="AN82" i="42"/>
  <c r="AM82" i="42"/>
  <c r="AO82" i="42" s="1"/>
  <c r="AE82" i="42"/>
  <c r="AP82" i="42" s="1"/>
  <c r="AR82" i="42" s="1"/>
  <c r="W82" i="42"/>
  <c r="AF82" i="42" s="1"/>
  <c r="AQ82" i="42" s="1"/>
  <c r="V82" i="42"/>
  <c r="BK81" i="42"/>
  <c r="BJ81" i="42"/>
  <c r="BI81" i="42"/>
  <c r="AX81" i="42"/>
  <c r="AN81" i="42"/>
  <c r="AO81" i="42" s="1"/>
  <c r="AM81" i="42"/>
  <c r="W81" i="42"/>
  <c r="AF81" i="42" s="1"/>
  <c r="V81" i="42"/>
  <c r="AE81" i="42" s="1"/>
  <c r="BK80" i="42"/>
  <c r="BJ80" i="42"/>
  <c r="BI80" i="42"/>
  <c r="AX80" i="42"/>
  <c r="AN80" i="42"/>
  <c r="AM80" i="42"/>
  <c r="AO80" i="42" s="1"/>
  <c r="W80" i="42"/>
  <c r="AF80" i="42" s="1"/>
  <c r="AQ80" i="42" s="1"/>
  <c r="V80" i="42"/>
  <c r="AE80" i="42" s="1"/>
  <c r="BJ79" i="42"/>
  <c r="BJ85" i="42" s="1"/>
  <c r="BI79" i="42"/>
  <c r="BK79" i="42" s="1"/>
  <c r="AX79" i="42"/>
  <c r="AN79" i="42"/>
  <c r="AM79" i="42"/>
  <c r="AO79" i="42" s="1"/>
  <c r="AF79" i="42"/>
  <c r="AE79" i="42"/>
  <c r="W79" i="42"/>
  <c r="V79" i="42"/>
  <c r="BI78" i="42"/>
  <c r="BH78" i="42"/>
  <c r="BG78" i="42"/>
  <c r="BF78" i="42"/>
  <c r="BE78" i="42"/>
  <c r="BD78" i="42"/>
  <c r="BC78" i="42"/>
  <c r="BB78" i="42"/>
  <c r="BA78" i="42"/>
  <c r="AZ78" i="42"/>
  <c r="AX78" i="42"/>
  <c r="AW78" i="42"/>
  <c r="AV78" i="42"/>
  <c r="AU78" i="42"/>
  <c r="AM78" i="42"/>
  <c r="AL78" i="42"/>
  <c r="AK78" i="42"/>
  <c r="AJ78" i="42"/>
  <c r="AI78" i="42"/>
  <c r="AH78" i="42"/>
  <c r="AD78" i="42"/>
  <c r="AC78" i="42"/>
  <c r="AB78" i="42"/>
  <c r="AA78" i="42"/>
  <c r="Z78" i="42"/>
  <c r="Y78" i="42"/>
  <c r="X78" i="42"/>
  <c r="BJ77" i="42"/>
  <c r="BJ78" i="42" s="1"/>
  <c r="BI77" i="42"/>
  <c r="BK77" i="42" s="1"/>
  <c r="BK78" i="42" s="1"/>
  <c r="AX77" i="42"/>
  <c r="AO77" i="42"/>
  <c r="AO78" i="42" s="1"/>
  <c r="AN77" i="42"/>
  <c r="AN78" i="42" s="1"/>
  <c r="AM77" i="42"/>
  <c r="W77" i="42"/>
  <c r="V77" i="42"/>
  <c r="V78" i="42" s="1"/>
  <c r="BH76" i="42"/>
  <c r="BG76" i="42"/>
  <c r="BF76" i="42"/>
  <c r="BE76" i="42"/>
  <c r="BD76" i="42"/>
  <c r="BC76" i="42"/>
  <c r="BB76" i="42"/>
  <c r="BA76" i="42"/>
  <c r="AZ76" i="42"/>
  <c r="AW76" i="42"/>
  <c r="AV76" i="42"/>
  <c r="AU76" i="42"/>
  <c r="AL76" i="42"/>
  <c r="AK76" i="42"/>
  <c r="AJ76" i="42"/>
  <c r="AI76" i="42"/>
  <c r="AH76" i="42"/>
  <c r="AD76" i="42"/>
  <c r="AC76" i="42"/>
  <c r="AB76" i="42"/>
  <c r="AA76" i="42"/>
  <c r="Z76" i="42"/>
  <c r="Y76" i="42"/>
  <c r="X76" i="42"/>
  <c r="BJ75" i="42"/>
  <c r="BI75" i="42"/>
  <c r="BK75" i="42" s="1"/>
  <c r="AX75" i="42"/>
  <c r="AN75" i="42"/>
  <c r="AM75" i="42"/>
  <c r="AO75" i="42" s="1"/>
  <c r="AF75" i="42"/>
  <c r="AQ75" i="42" s="1"/>
  <c r="AE75" i="42"/>
  <c r="W75" i="42"/>
  <c r="V75" i="42"/>
  <c r="BJ74" i="42"/>
  <c r="BI74" i="42"/>
  <c r="BK74" i="42" s="1"/>
  <c r="AX74" i="42"/>
  <c r="AN74" i="42"/>
  <c r="AM74" i="42"/>
  <c r="AO74" i="42" s="1"/>
  <c r="AG74" i="42"/>
  <c r="AE74" i="42"/>
  <c r="AP74" i="42" s="1"/>
  <c r="AR74" i="42" s="1"/>
  <c r="W74" i="42"/>
  <c r="AF74" i="42" s="1"/>
  <c r="AQ74" i="42" s="1"/>
  <c r="V74" i="42"/>
  <c r="BJ73" i="42"/>
  <c r="BI73" i="42"/>
  <c r="BK73" i="42" s="1"/>
  <c r="AX73" i="42"/>
  <c r="AQ73" i="42"/>
  <c r="AN73" i="42"/>
  <c r="AO73" i="42" s="1"/>
  <c r="AM73" i="42"/>
  <c r="W73" i="42"/>
  <c r="AF73" i="42" s="1"/>
  <c r="V73" i="42"/>
  <c r="AE73" i="42" s="1"/>
  <c r="BJ72" i="42"/>
  <c r="BK72" i="42" s="1"/>
  <c r="BI72" i="42"/>
  <c r="AX72" i="42"/>
  <c r="AN72" i="42"/>
  <c r="AM72" i="42"/>
  <c r="AO72" i="42" s="1"/>
  <c r="AF72" i="42"/>
  <c r="AQ72" i="42" s="1"/>
  <c r="W72" i="42"/>
  <c r="W76" i="42" s="1"/>
  <c r="V72" i="42"/>
  <c r="AE72" i="42" s="1"/>
  <c r="AP72" i="42" s="1"/>
  <c r="BJ71" i="42"/>
  <c r="BI71" i="42"/>
  <c r="BK71" i="42" s="1"/>
  <c r="AX71" i="42"/>
  <c r="AN71" i="42"/>
  <c r="AM71" i="42"/>
  <c r="AO71" i="42" s="1"/>
  <c r="AF71" i="42"/>
  <c r="AQ71" i="42" s="1"/>
  <c r="AE71" i="42"/>
  <c r="W71" i="42"/>
  <c r="V71" i="42"/>
  <c r="BJ70" i="42"/>
  <c r="BI70" i="42"/>
  <c r="AX70" i="42"/>
  <c r="AN70" i="42"/>
  <c r="AN76" i="42" s="1"/>
  <c r="AM70" i="42"/>
  <c r="AO70" i="42" s="1"/>
  <c r="AE70" i="42"/>
  <c r="AP70" i="42" s="1"/>
  <c r="W70" i="42"/>
  <c r="AF70" i="42" s="1"/>
  <c r="V70" i="42"/>
  <c r="BH69" i="42"/>
  <c r="BG69" i="42"/>
  <c r="BF69" i="42"/>
  <c r="BE69" i="42"/>
  <c r="BD69" i="42"/>
  <c r="BC69" i="42"/>
  <c r="BB69" i="42"/>
  <c r="BA69" i="42"/>
  <c r="AZ69" i="42"/>
  <c r="AW69" i="42"/>
  <c r="AV69" i="42"/>
  <c r="AU69" i="42"/>
  <c r="AM69" i="42"/>
  <c r="AL69" i="42"/>
  <c r="AK69" i="42"/>
  <c r="AJ69" i="42"/>
  <c r="AI69" i="42"/>
  <c r="AH69" i="42"/>
  <c r="AD69" i="42"/>
  <c r="AC69" i="42"/>
  <c r="AB69" i="42"/>
  <c r="AA69" i="42"/>
  <c r="Z69" i="42"/>
  <c r="Y69" i="42"/>
  <c r="X69" i="42"/>
  <c r="BJ68" i="42"/>
  <c r="BK68" i="42" s="1"/>
  <c r="BI68" i="42"/>
  <c r="AX68" i="42"/>
  <c r="AP68" i="42"/>
  <c r="AN68" i="42"/>
  <c r="AM68" i="42"/>
  <c r="AO68" i="42" s="1"/>
  <c r="AF68" i="42"/>
  <c r="AQ68" i="42" s="1"/>
  <c r="W68" i="42"/>
  <c r="V68" i="42"/>
  <c r="AE68" i="42" s="1"/>
  <c r="BJ67" i="42"/>
  <c r="BI67" i="42"/>
  <c r="BK67" i="42" s="1"/>
  <c r="AX67" i="42"/>
  <c r="AN67" i="42"/>
  <c r="AM67" i="42"/>
  <c r="AO67" i="42" s="1"/>
  <c r="AF67" i="42"/>
  <c r="AQ67" i="42" s="1"/>
  <c r="AE67" i="42"/>
  <c r="W67" i="42"/>
  <c r="V67" i="42"/>
  <c r="BJ66" i="42"/>
  <c r="BI66" i="42"/>
  <c r="BK66" i="42" s="1"/>
  <c r="AX66" i="42"/>
  <c r="AO66" i="42"/>
  <c r="AN66" i="42"/>
  <c r="AM66" i="42"/>
  <c r="AG66" i="42"/>
  <c r="AE66" i="42"/>
  <c r="AP66" i="42" s="1"/>
  <c r="W66" i="42"/>
  <c r="AF66" i="42" s="1"/>
  <c r="AQ66" i="42" s="1"/>
  <c r="V66" i="42"/>
  <c r="BJ65" i="42"/>
  <c r="BI65" i="42"/>
  <c r="AX65" i="42"/>
  <c r="AO65" i="42"/>
  <c r="AO69" i="42" s="1"/>
  <c r="AN65" i="42"/>
  <c r="AN69" i="42" s="1"/>
  <c r="AM65" i="42"/>
  <c r="W65" i="42"/>
  <c r="AF65" i="42" s="1"/>
  <c r="V65" i="42"/>
  <c r="AE65" i="42" s="1"/>
  <c r="BH64" i="42"/>
  <c r="BG64" i="42"/>
  <c r="BF64" i="42"/>
  <c r="BE64" i="42"/>
  <c r="BD64" i="42"/>
  <c r="BC64" i="42"/>
  <c r="BB64" i="42"/>
  <c r="BA64" i="42"/>
  <c r="AZ64" i="42"/>
  <c r="AW64" i="42"/>
  <c r="AV64" i="42"/>
  <c r="AU64" i="42"/>
  <c r="AL64" i="42"/>
  <c r="AK64" i="42"/>
  <c r="AJ64" i="42"/>
  <c r="AI64" i="42"/>
  <c r="AH64" i="42"/>
  <c r="AD64" i="42"/>
  <c r="AC64" i="42"/>
  <c r="AB64" i="42"/>
  <c r="AA64" i="42"/>
  <c r="Z64" i="42"/>
  <c r="Y64" i="42"/>
  <c r="X64" i="42"/>
  <c r="BJ63" i="42"/>
  <c r="BI63" i="42"/>
  <c r="BK63" i="42" s="1"/>
  <c r="AX63" i="42"/>
  <c r="AN63" i="42"/>
  <c r="AM63" i="42"/>
  <c r="AO63" i="42" s="1"/>
  <c r="AF63" i="42"/>
  <c r="AQ63" i="42" s="1"/>
  <c r="AE63" i="42"/>
  <c r="W63" i="42"/>
  <c r="V63" i="42"/>
  <c r="BJ62" i="42"/>
  <c r="BI62" i="42"/>
  <c r="BK62" i="42" s="1"/>
  <c r="AX62" i="42"/>
  <c r="AN62" i="42"/>
  <c r="AM62" i="42"/>
  <c r="AO62" i="42" s="1"/>
  <c r="AG62" i="42"/>
  <c r="AE62" i="42"/>
  <c r="AP62" i="42" s="1"/>
  <c r="AR62" i="42" s="1"/>
  <c r="W62" i="42"/>
  <c r="AF62" i="42" s="1"/>
  <c r="AQ62" i="42" s="1"/>
  <c r="V62" i="42"/>
  <c r="BJ61" i="42"/>
  <c r="BI61" i="42"/>
  <c r="BK61" i="42" s="1"/>
  <c r="AX61" i="42"/>
  <c r="AQ61" i="42"/>
  <c r="AN61" i="42"/>
  <c r="AO61" i="42" s="1"/>
  <c r="AM61" i="42"/>
  <c r="W61" i="42"/>
  <c r="AF61" i="42" s="1"/>
  <c r="V61" i="42"/>
  <c r="AE61" i="42" s="1"/>
  <c r="BJ60" i="42"/>
  <c r="BK60" i="42" s="1"/>
  <c r="BI60" i="42"/>
  <c r="AX60" i="42"/>
  <c r="AN60" i="42"/>
  <c r="AN64" i="42" s="1"/>
  <c r="AM60" i="42"/>
  <c r="AO60" i="42" s="1"/>
  <c r="AF60" i="42"/>
  <c r="AQ60" i="42" s="1"/>
  <c r="W60" i="42"/>
  <c r="W64" i="42" s="1"/>
  <c r="V60" i="42"/>
  <c r="AE60" i="42" s="1"/>
  <c r="AP60" i="42" s="1"/>
  <c r="BJ59" i="42"/>
  <c r="BI59" i="42"/>
  <c r="AX59" i="42"/>
  <c r="AN59" i="42"/>
  <c r="AM59" i="42"/>
  <c r="AF59" i="42"/>
  <c r="AE59" i="42"/>
  <c r="AE64" i="42" s="1"/>
  <c r="W59" i="42"/>
  <c r="V59" i="42"/>
  <c r="BH58" i="42"/>
  <c r="BG58" i="42"/>
  <c r="BF58" i="42"/>
  <c r="BE58" i="42"/>
  <c r="BD58" i="42"/>
  <c r="BC58" i="42"/>
  <c r="BB58" i="42"/>
  <c r="BA58" i="42"/>
  <c r="AZ58" i="42"/>
  <c r="AW58" i="42"/>
  <c r="AV58" i="42"/>
  <c r="AU58" i="42"/>
  <c r="AL58" i="42"/>
  <c r="AK58" i="42"/>
  <c r="AJ58" i="42"/>
  <c r="AI58" i="42"/>
  <c r="AH58" i="42"/>
  <c r="AD58" i="42"/>
  <c r="AC58" i="42"/>
  <c r="AB58" i="42"/>
  <c r="AA58" i="42"/>
  <c r="Z58" i="42"/>
  <c r="Y58" i="42"/>
  <c r="X58" i="42"/>
  <c r="BJ57" i="42"/>
  <c r="BI57" i="42"/>
  <c r="BK57" i="42" s="1"/>
  <c r="AX57" i="42"/>
  <c r="AN57" i="42"/>
  <c r="AO57" i="42" s="1"/>
  <c r="AM57" i="42"/>
  <c r="W57" i="42"/>
  <c r="AF57" i="42" s="1"/>
  <c r="AQ57" i="42" s="1"/>
  <c r="V57" i="42"/>
  <c r="AE57" i="42" s="1"/>
  <c r="AP57" i="42" s="1"/>
  <c r="BJ56" i="42"/>
  <c r="BK56" i="42" s="1"/>
  <c r="BI56" i="42"/>
  <c r="AX56" i="42"/>
  <c r="AQ56" i="42"/>
  <c r="AN56" i="42"/>
  <c r="AM56" i="42"/>
  <c r="AO56" i="42" s="1"/>
  <c r="W56" i="42"/>
  <c r="AF56" i="42" s="1"/>
  <c r="V56" i="42"/>
  <c r="AE56" i="42" s="1"/>
  <c r="AP56" i="42" s="1"/>
  <c r="BJ55" i="42"/>
  <c r="BI55" i="42"/>
  <c r="BK55" i="42" s="1"/>
  <c r="AX55" i="42"/>
  <c r="AN55" i="42"/>
  <c r="AM55" i="42"/>
  <c r="AO55" i="42" s="1"/>
  <c r="AF55" i="42"/>
  <c r="AQ55" i="42" s="1"/>
  <c r="AE55" i="42"/>
  <c r="W55" i="42"/>
  <c r="V55" i="42"/>
  <c r="BJ54" i="42"/>
  <c r="BI54" i="42"/>
  <c r="BK54" i="42" s="1"/>
  <c r="AX54" i="42"/>
  <c r="AX58" i="42" s="1"/>
  <c r="AN54" i="42"/>
  <c r="AM54" i="42"/>
  <c r="AE54" i="42"/>
  <c r="W54" i="42"/>
  <c r="AF54" i="42" s="1"/>
  <c r="AQ54" i="42" s="1"/>
  <c r="V54" i="42"/>
  <c r="BJ53" i="42"/>
  <c r="BI53" i="42"/>
  <c r="BK53" i="42" s="1"/>
  <c r="AX53" i="42"/>
  <c r="AO53" i="42"/>
  <c r="AN53" i="42"/>
  <c r="AM53" i="42"/>
  <c r="W53" i="42"/>
  <c r="W58" i="42" s="1"/>
  <c r="V53" i="42"/>
  <c r="BH52" i="42"/>
  <c r="BG52" i="42"/>
  <c r="BF52" i="42"/>
  <c r="BE52" i="42"/>
  <c r="BD52" i="42"/>
  <c r="BC52" i="42"/>
  <c r="BB52" i="42"/>
  <c r="BA52" i="42"/>
  <c r="AZ52" i="42"/>
  <c r="AW52" i="42"/>
  <c r="AV52" i="42"/>
  <c r="AU52" i="42"/>
  <c r="AL52" i="42"/>
  <c r="AK52" i="42"/>
  <c r="AJ52" i="42"/>
  <c r="AI52" i="42"/>
  <c r="AH52" i="42"/>
  <c r="AD52" i="42"/>
  <c r="AC52" i="42"/>
  <c r="AB52" i="42"/>
  <c r="AA52" i="42"/>
  <c r="Z52" i="42"/>
  <c r="Y52" i="42"/>
  <c r="X52" i="42"/>
  <c r="V52" i="42"/>
  <c r="BJ51" i="42"/>
  <c r="BI51" i="42"/>
  <c r="AX51" i="42"/>
  <c r="AN51" i="42"/>
  <c r="AO51" i="42" s="1"/>
  <c r="AM51" i="42"/>
  <c r="W51" i="42"/>
  <c r="AF51" i="42" s="1"/>
  <c r="V51" i="42"/>
  <c r="AE51" i="42" s="1"/>
  <c r="BJ50" i="42"/>
  <c r="BK50" i="42" s="1"/>
  <c r="BI50" i="42"/>
  <c r="AX50" i="42"/>
  <c r="AP50" i="42"/>
  <c r="AN50" i="42"/>
  <c r="AM50" i="42"/>
  <c r="AO50" i="42" s="1"/>
  <c r="AF50" i="42"/>
  <c r="AQ50" i="42" s="1"/>
  <c r="W50" i="42"/>
  <c r="V50" i="42"/>
  <c r="AE50" i="42" s="1"/>
  <c r="BJ49" i="42"/>
  <c r="BI49" i="42"/>
  <c r="BK49" i="42" s="1"/>
  <c r="AX49" i="42"/>
  <c r="AN49" i="42"/>
  <c r="AM49" i="42"/>
  <c r="AO49" i="42" s="1"/>
  <c r="AF49" i="42"/>
  <c r="AQ49" i="42" s="1"/>
  <c r="AE49" i="42"/>
  <c r="W49" i="42"/>
  <c r="V49" i="42"/>
  <c r="BJ48" i="42"/>
  <c r="BI48" i="42"/>
  <c r="BK48" i="42" s="1"/>
  <c r="AX48" i="42"/>
  <c r="AN48" i="42"/>
  <c r="AM48" i="42"/>
  <c r="AO48" i="42" s="1"/>
  <c r="AE48" i="42"/>
  <c r="AP48" i="42" s="1"/>
  <c r="AR48" i="42" s="1"/>
  <c r="W48" i="42"/>
  <c r="AF48" i="42" s="1"/>
  <c r="AQ48" i="42" s="1"/>
  <c r="V48" i="42"/>
  <c r="BK47" i="42"/>
  <c r="BJ47" i="42"/>
  <c r="BI47" i="42"/>
  <c r="BI52" i="42" s="1"/>
  <c r="AX47" i="42"/>
  <c r="AN47" i="42"/>
  <c r="AN52" i="42" s="1"/>
  <c r="AM47" i="42"/>
  <c r="AM52" i="42" s="1"/>
  <c r="W47" i="42"/>
  <c r="V47" i="42"/>
  <c r="AE47" i="42" s="1"/>
  <c r="BJ46" i="42"/>
  <c r="BH46" i="42"/>
  <c r="BG46" i="42"/>
  <c r="BF46" i="42"/>
  <c r="BE46" i="42"/>
  <c r="BD46" i="42"/>
  <c r="BC46" i="42"/>
  <c r="BB46" i="42"/>
  <c r="BA46" i="42"/>
  <c r="AZ46" i="42"/>
  <c r="AW46" i="42"/>
  <c r="AV46" i="42"/>
  <c r="AU46" i="42"/>
  <c r="AO46" i="42"/>
  <c r="AN46" i="42"/>
  <c r="AL46" i="42"/>
  <c r="AK46" i="42"/>
  <c r="AJ46" i="42"/>
  <c r="AI46" i="42"/>
  <c r="AH46" i="42"/>
  <c r="AD46" i="42"/>
  <c r="AC46" i="42"/>
  <c r="AB46" i="42"/>
  <c r="AA46" i="42"/>
  <c r="Z46" i="42"/>
  <c r="Y46" i="42"/>
  <c r="X46" i="42"/>
  <c r="W46" i="42"/>
  <c r="BJ45" i="42"/>
  <c r="BI45" i="42"/>
  <c r="BI46" i="42" s="1"/>
  <c r="AX45" i="42"/>
  <c r="AX46" i="42" s="1"/>
  <c r="AN45" i="42"/>
  <c r="AM45" i="42"/>
  <c r="AO45" i="42" s="1"/>
  <c r="AF45" i="42"/>
  <c r="W45" i="42"/>
  <c r="V45" i="42"/>
  <c r="V46" i="42" s="1"/>
  <c r="BH44" i="42"/>
  <c r="BG44" i="42"/>
  <c r="BF44" i="42"/>
  <c r="BE44" i="42"/>
  <c r="BD44" i="42"/>
  <c r="BC44" i="42"/>
  <c r="BB44" i="42"/>
  <c r="BA44" i="42"/>
  <c r="AZ44" i="42"/>
  <c r="AW44" i="42"/>
  <c r="AV44" i="42"/>
  <c r="AU44" i="42"/>
  <c r="AL44" i="42"/>
  <c r="AK44" i="42"/>
  <c r="AJ44" i="42"/>
  <c r="AI44" i="42"/>
  <c r="AH44" i="42"/>
  <c r="AD44" i="42"/>
  <c r="AC44" i="42"/>
  <c r="AB44" i="42"/>
  <c r="AA44" i="42"/>
  <c r="Z44" i="42"/>
  <c r="Y44" i="42"/>
  <c r="X44" i="42"/>
  <c r="BJ43" i="42"/>
  <c r="BI43" i="42"/>
  <c r="BI44" i="42" s="1"/>
  <c r="AX43" i="42"/>
  <c r="AN43" i="42"/>
  <c r="AO43" i="42" s="1"/>
  <c r="AM43" i="42"/>
  <c r="W43" i="42"/>
  <c r="AF43" i="42" s="1"/>
  <c r="AQ43" i="42" s="1"/>
  <c r="V43" i="42"/>
  <c r="AE43" i="42" s="1"/>
  <c r="BJ42" i="42"/>
  <c r="BK42" i="42" s="1"/>
  <c r="BI42" i="42"/>
  <c r="AX42" i="42"/>
  <c r="AP42" i="42"/>
  <c r="AN42" i="42"/>
  <c r="AM42" i="42"/>
  <c r="AO42" i="42" s="1"/>
  <c r="AF42" i="42"/>
  <c r="AQ42" i="42" s="1"/>
  <c r="W42" i="42"/>
  <c r="V42" i="42"/>
  <c r="AE42" i="42" s="1"/>
  <c r="BJ41" i="42"/>
  <c r="BJ44" i="42" s="1"/>
  <c r="BI41" i="42"/>
  <c r="BK41" i="42" s="1"/>
  <c r="AX41" i="42"/>
  <c r="AX44" i="42" s="1"/>
  <c r="AN41" i="42"/>
  <c r="AM41" i="42"/>
  <c r="AF41" i="42"/>
  <c r="AE41" i="42"/>
  <c r="W41" i="42"/>
  <c r="V41" i="42"/>
  <c r="V44" i="42" s="1"/>
  <c r="BH40" i="42"/>
  <c r="BG40" i="42"/>
  <c r="BF40" i="42"/>
  <c r="BE40" i="42"/>
  <c r="BD40" i="42"/>
  <c r="BC40" i="42"/>
  <c r="BB40" i="42"/>
  <c r="BA40" i="42"/>
  <c r="AZ40" i="42"/>
  <c r="AX40" i="42"/>
  <c r="AW40" i="42"/>
  <c r="AV40" i="42"/>
  <c r="AU40" i="42"/>
  <c r="AL40" i="42"/>
  <c r="AK40" i="42"/>
  <c r="AJ40" i="42"/>
  <c r="AI40" i="42"/>
  <c r="AH40" i="42"/>
  <c r="AD40" i="42"/>
  <c r="AC40" i="42"/>
  <c r="AB40" i="42"/>
  <c r="AA40" i="42"/>
  <c r="Z40" i="42"/>
  <c r="Y40" i="42"/>
  <c r="X40" i="42"/>
  <c r="BJ39" i="42"/>
  <c r="BI39" i="42"/>
  <c r="BI40" i="42" s="1"/>
  <c r="AX39" i="42"/>
  <c r="AN39" i="42"/>
  <c r="AO39" i="42" s="1"/>
  <c r="AM39" i="42"/>
  <c r="W39" i="42"/>
  <c r="AF39" i="42" s="1"/>
  <c r="AQ39" i="42" s="1"/>
  <c r="V39" i="42"/>
  <c r="AE39" i="42" s="1"/>
  <c r="BJ38" i="42"/>
  <c r="BJ40" i="42" s="1"/>
  <c r="BI38" i="42"/>
  <c r="AX38" i="42"/>
  <c r="AN38" i="42"/>
  <c r="AM38" i="42"/>
  <c r="AO38" i="42" s="1"/>
  <c r="AF38" i="42"/>
  <c r="AQ38" i="42" s="1"/>
  <c r="AQ40" i="42" s="1"/>
  <c r="W38" i="42"/>
  <c r="V38" i="42"/>
  <c r="BH37" i="42"/>
  <c r="BG37" i="42"/>
  <c r="BF37" i="42"/>
  <c r="BE37" i="42"/>
  <c r="BD37" i="42"/>
  <c r="BC37" i="42"/>
  <c r="BB37" i="42"/>
  <c r="BA37" i="42"/>
  <c r="AZ37" i="42"/>
  <c r="AW37" i="42"/>
  <c r="AV37" i="42"/>
  <c r="AU37" i="42"/>
  <c r="AL37" i="42"/>
  <c r="AK37" i="42"/>
  <c r="AJ37" i="42"/>
  <c r="AI37" i="42"/>
  <c r="AH37" i="42"/>
  <c r="AD37" i="42"/>
  <c r="AC37" i="42"/>
  <c r="AB37" i="42"/>
  <c r="AA37" i="42"/>
  <c r="Z37" i="42"/>
  <c r="Y37" i="42"/>
  <c r="X37" i="42"/>
  <c r="BJ36" i="42"/>
  <c r="BI36" i="42"/>
  <c r="BK36" i="42" s="1"/>
  <c r="AX36" i="42"/>
  <c r="AO36" i="42"/>
  <c r="AN36" i="42"/>
  <c r="AM36" i="42"/>
  <c r="AG36" i="42"/>
  <c r="AS36" i="42" s="1"/>
  <c r="AE36" i="42"/>
  <c r="AP36" i="42" s="1"/>
  <c r="AR36" i="42" s="1"/>
  <c r="W36" i="42"/>
  <c r="AF36" i="42" s="1"/>
  <c r="AQ36" i="42" s="1"/>
  <c r="V36" i="42"/>
  <c r="BJ35" i="42"/>
  <c r="BI35" i="42"/>
  <c r="BK35" i="42" s="1"/>
  <c r="AX35" i="42"/>
  <c r="AN35" i="42"/>
  <c r="AN37" i="42" s="1"/>
  <c r="AM35" i="42"/>
  <c r="W35" i="42"/>
  <c r="AF35" i="42" s="1"/>
  <c r="AQ35" i="42" s="1"/>
  <c r="V35" i="42"/>
  <c r="AE35" i="42" s="1"/>
  <c r="BJ34" i="42"/>
  <c r="BJ37" i="42" s="1"/>
  <c r="BI34" i="42"/>
  <c r="AX34" i="42"/>
  <c r="AN34" i="42"/>
  <c r="AM34" i="42"/>
  <c r="AM37" i="42" s="1"/>
  <c r="AF34" i="42"/>
  <c r="AF37" i="42" s="1"/>
  <c r="W34" i="42"/>
  <c r="V34" i="42"/>
  <c r="BH33" i="42"/>
  <c r="BG33" i="42"/>
  <c r="BF33" i="42"/>
  <c r="BE33" i="42"/>
  <c r="BD33" i="42"/>
  <c r="BC33" i="42"/>
  <c r="BB33" i="42"/>
  <c r="BA33" i="42"/>
  <c r="AZ33" i="42"/>
  <c r="AW33" i="42"/>
  <c r="AV33" i="42"/>
  <c r="AU33" i="42"/>
  <c r="AL33" i="42"/>
  <c r="AK33" i="42"/>
  <c r="AJ33" i="42"/>
  <c r="AI33" i="42"/>
  <c r="AH33" i="42"/>
  <c r="AD33" i="42"/>
  <c r="AC33" i="42"/>
  <c r="AB33" i="42"/>
  <c r="AA33" i="42"/>
  <c r="Z33" i="42"/>
  <c r="Y33" i="42"/>
  <c r="X33" i="42"/>
  <c r="BJ32" i="42"/>
  <c r="BI32" i="42"/>
  <c r="BK32" i="42" s="1"/>
  <c r="AX32" i="42"/>
  <c r="AO32" i="42"/>
  <c r="AN32" i="42"/>
  <c r="AM32" i="42"/>
  <c r="AG32" i="42"/>
  <c r="AS32" i="42" s="1"/>
  <c r="AE32" i="42"/>
  <c r="AP32" i="42" s="1"/>
  <c r="AR32" i="42" s="1"/>
  <c r="W32" i="42"/>
  <c r="AF32" i="42" s="1"/>
  <c r="AQ32" i="42" s="1"/>
  <c r="V32" i="42"/>
  <c r="BJ31" i="42"/>
  <c r="BI31" i="42"/>
  <c r="BK31" i="42" s="1"/>
  <c r="AX31" i="42"/>
  <c r="AN31" i="42"/>
  <c r="AN33" i="42" s="1"/>
  <c r="AM31" i="42"/>
  <c r="W31" i="42"/>
  <c r="AF31" i="42" s="1"/>
  <c r="AQ31" i="42" s="1"/>
  <c r="V31" i="42"/>
  <c r="AE31" i="42" s="1"/>
  <c r="BJ30" i="42"/>
  <c r="BJ33" i="42" s="1"/>
  <c r="BI30" i="42"/>
  <c r="AX30" i="42"/>
  <c r="AN30" i="42"/>
  <c r="AM30" i="42"/>
  <c r="AM33" i="42" s="1"/>
  <c r="AF30" i="42"/>
  <c r="AF33" i="42" s="1"/>
  <c r="W30" i="42"/>
  <c r="V30" i="42"/>
  <c r="BH29" i="42"/>
  <c r="BG29" i="42"/>
  <c r="BF29" i="42"/>
  <c r="BE29" i="42"/>
  <c r="BD29" i="42"/>
  <c r="BC29" i="42"/>
  <c r="BB29" i="42"/>
  <c r="BA29" i="42"/>
  <c r="AZ29" i="42"/>
  <c r="AW29" i="42"/>
  <c r="AV29" i="42"/>
  <c r="AU29" i="42"/>
  <c r="AL29" i="42"/>
  <c r="AK29" i="42"/>
  <c r="AJ29" i="42"/>
  <c r="AI29" i="42"/>
  <c r="AH29" i="42"/>
  <c r="AD29" i="42"/>
  <c r="AC29" i="42"/>
  <c r="AB29" i="42"/>
  <c r="AA29" i="42"/>
  <c r="Z29" i="42"/>
  <c r="Y29" i="42"/>
  <c r="X29" i="42"/>
  <c r="BJ28" i="42"/>
  <c r="BI28" i="42"/>
  <c r="BK28" i="42" s="1"/>
  <c r="AX28" i="42"/>
  <c r="AO28" i="42"/>
  <c r="AN28" i="42"/>
  <c r="AM28" i="42"/>
  <c r="AG28" i="42"/>
  <c r="AS28" i="42" s="1"/>
  <c r="AE28" i="42"/>
  <c r="AP28" i="42" s="1"/>
  <c r="AR28" i="42" s="1"/>
  <c r="W28" i="42"/>
  <c r="AF28" i="42" s="1"/>
  <c r="AQ28" i="42" s="1"/>
  <c r="V28" i="42"/>
  <c r="BJ27" i="42"/>
  <c r="BI27" i="42"/>
  <c r="BK27" i="42" s="1"/>
  <c r="AX27" i="42"/>
  <c r="AN27" i="42"/>
  <c r="AN29" i="42" s="1"/>
  <c r="AM27" i="42"/>
  <c r="W27" i="42"/>
  <c r="AF27" i="42" s="1"/>
  <c r="AQ27" i="42" s="1"/>
  <c r="V27" i="42"/>
  <c r="AE27" i="42" s="1"/>
  <c r="BJ26" i="42"/>
  <c r="BJ29" i="42" s="1"/>
  <c r="BI26" i="42"/>
  <c r="AX26" i="42"/>
  <c r="AN26" i="42"/>
  <c r="AM26" i="42"/>
  <c r="AM29" i="42" s="1"/>
  <c r="AF26" i="42"/>
  <c r="AF29" i="42" s="1"/>
  <c r="W26" i="42"/>
  <c r="V26" i="42"/>
  <c r="BH25" i="42"/>
  <c r="BG25" i="42"/>
  <c r="BF25" i="42"/>
  <c r="BE25" i="42"/>
  <c r="BD25" i="42"/>
  <c r="BC25" i="42"/>
  <c r="BB25" i="42"/>
  <c r="BA25" i="42"/>
  <c r="AZ25" i="42"/>
  <c r="AW25" i="42"/>
  <c r="AV25" i="42"/>
  <c r="AU25" i="42"/>
  <c r="AL25" i="42"/>
  <c r="AK25" i="42"/>
  <c r="AJ25" i="42"/>
  <c r="AI25" i="42"/>
  <c r="AH25" i="42"/>
  <c r="AD25" i="42"/>
  <c r="AC25" i="42"/>
  <c r="AB25" i="42"/>
  <c r="AA25" i="42"/>
  <c r="Z25" i="42"/>
  <c r="Y25" i="42"/>
  <c r="X25" i="42"/>
  <c r="BJ24" i="42"/>
  <c r="BI24" i="42"/>
  <c r="BK24" i="42" s="1"/>
  <c r="AX24" i="42"/>
  <c r="AO24" i="42"/>
  <c r="AN24" i="42"/>
  <c r="AM24" i="42"/>
  <c r="AG24" i="42"/>
  <c r="AS24" i="42" s="1"/>
  <c r="AE24" i="42"/>
  <c r="AP24" i="42" s="1"/>
  <c r="AR24" i="42" s="1"/>
  <c r="W24" i="42"/>
  <c r="AF24" i="42" s="1"/>
  <c r="AQ24" i="42" s="1"/>
  <c r="V24" i="42"/>
  <c r="BJ23" i="42"/>
  <c r="BI23" i="42"/>
  <c r="BK23" i="42" s="1"/>
  <c r="AX23" i="42"/>
  <c r="AN23" i="42"/>
  <c r="AN25" i="42" s="1"/>
  <c r="AM23" i="42"/>
  <c r="W23" i="42"/>
  <c r="AF23" i="42" s="1"/>
  <c r="AQ23" i="42" s="1"/>
  <c r="V23" i="42"/>
  <c r="AE23" i="42" s="1"/>
  <c r="BJ22" i="42"/>
  <c r="BJ25" i="42" s="1"/>
  <c r="BI22" i="42"/>
  <c r="AX22" i="42"/>
  <c r="AN22" i="42"/>
  <c r="AO22" i="42" s="1"/>
  <c r="AM22" i="42"/>
  <c r="AM25" i="42" s="1"/>
  <c r="AF22" i="42"/>
  <c r="AF25" i="42" s="1"/>
  <c r="W22" i="42"/>
  <c r="V22" i="42"/>
  <c r="BH21" i="42"/>
  <c r="BG21" i="42"/>
  <c r="BF21" i="42"/>
  <c r="BE21" i="42"/>
  <c r="BD21" i="42"/>
  <c r="BC21" i="42"/>
  <c r="BB21" i="42"/>
  <c r="BA21" i="42"/>
  <c r="AZ21" i="42"/>
  <c r="AW21" i="42"/>
  <c r="AV21" i="42"/>
  <c r="AU21" i="42"/>
  <c r="AL21" i="42"/>
  <c r="AK21" i="42"/>
  <c r="AJ21" i="42"/>
  <c r="AI21" i="42"/>
  <c r="AH21" i="42"/>
  <c r="AD21" i="42"/>
  <c r="AC21" i="42"/>
  <c r="AB21" i="42"/>
  <c r="AA21" i="42"/>
  <c r="Z21" i="42"/>
  <c r="Y21" i="42"/>
  <c r="X21" i="42"/>
  <c r="BJ20" i="42"/>
  <c r="BI20" i="42"/>
  <c r="BK20" i="42" s="1"/>
  <c r="AX20" i="42"/>
  <c r="AO20" i="42"/>
  <c r="AN20" i="42"/>
  <c r="AM20" i="42"/>
  <c r="AG20" i="42"/>
  <c r="AS20" i="42" s="1"/>
  <c r="W20" i="42"/>
  <c r="AF20" i="42" s="1"/>
  <c r="AQ20" i="42" s="1"/>
  <c r="V20" i="42"/>
  <c r="AE20" i="42" s="1"/>
  <c r="AP20" i="42" s="1"/>
  <c r="BK19" i="42"/>
  <c r="BJ19" i="42"/>
  <c r="BI19" i="42"/>
  <c r="AX19" i="42"/>
  <c r="AO19" i="42"/>
  <c r="AN19" i="42"/>
  <c r="AM19" i="42"/>
  <c r="AE19" i="42"/>
  <c r="W19" i="42"/>
  <c r="AF19" i="42" s="1"/>
  <c r="AQ19" i="42" s="1"/>
  <c r="V19" i="42"/>
  <c r="BJ18" i="42"/>
  <c r="BK18" i="42" s="1"/>
  <c r="BI18" i="42"/>
  <c r="AX18" i="42"/>
  <c r="AO18" i="42"/>
  <c r="AN18" i="42"/>
  <c r="AM18" i="42"/>
  <c r="AF18" i="42"/>
  <c r="AQ18" i="42" s="1"/>
  <c r="W18" i="42"/>
  <c r="V18" i="42"/>
  <c r="AE18" i="42" s="1"/>
  <c r="AG18" i="42" s="1"/>
  <c r="AT18" i="42" s="1"/>
  <c r="BK17" i="42"/>
  <c r="BJ17" i="42"/>
  <c r="BI17" i="42"/>
  <c r="AX17" i="42"/>
  <c r="AO17" i="42"/>
  <c r="AN17" i="42"/>
  <c r="AM17" i="42"/>
  <c r="AF17" i="42"/>
  <c r="AQ17" i="42" s="1"/>
  <c r="AE17" i="42"/>
  <c r="AP17" i="42" s="1"/>
  <c r="W17" i="42"/>
  <c r="V17" i="42"/>
  <c r="BK16" i="42"/>
  <c r="BJ16" i="42"/>
  <c r="BI16" i="42"/>
  <c r="AX16" i="42"/>
  <c r="AO16" i="42"/>
  <c r="AN16" i="42"/>
  <c r="AM16" i="42"/>
  <c r="AE16" i="42"/>
  <c r="AP16" i="42" s="1"/>
  <c r="W16" i="42"/>
  <c r="AF16" i="42" s="1"/>
  <c r="V16" i="42"/>
  <c r="BK15" i="42"/>
  <c r="BJ15" i="42"/>
  <c r="BI15" i="42"/>
  <c r="AX15" i="42"/>
  <c r="AN15" i="42"/>
  <c r="AO15" i="42" s="1"/>
  <c r="AM15" i="42"/>
  <c r="AF15" i="42"/>
  <c r="AQ15" i="42" s="1"/>
  <c r="W15" i="42"/>
  <c r="V15" i="42"/>
  <c r="AE15" i="42" s="1"/>
  <c r="BJ14" i="42"/>
  <c r="BK14" i="42" s="1"/>
  <c r="BI14" i="42"/>
  <c r="AX14" i="42"/>
  <c r="AN14" i="42"/>
  <c r="AM14" i="42"/>
  <c r="AO14" i="42" s="1"/>
  <c r="AF14" i="42"/>
  <c r="AQ14" i="42" s="1"/>
  <c r="W14" i="42"/>
  <c r="V14" i="42"/>
  <c r="AE14" i="42" s="1"/>
  <c r="BJ13" i="42"/>
  <c r="BI13" i="42"/>
  <c r="BK13" i="42" s="1"/>
  <c r="AX13" i="42"/>
  <c r="AO13" i="42"/>
  <c r="AN13" i="42"/>
  <c r="AM13" i="42"/>
  <c r="AF13" i="42"/>
  <c r="AQ13" i="42" s="1"/>
  <c r="AE13" i="42"/>
  <c r="AP13" i="42" s="1"/>
  <c r="AR13" i="42" s="1"/>
  <c r="W13" i="42"/>
  <c r="V13" i="42"/>
  <c r="BK12" i="42"/>
  <c r="BJ12" i="42"/>
  <c r="BI12" i="42"/>
  <c r="AX12" i="42"/>
  <c r="AO12" i="42"/>
  <c r="AN12" i="42"/>
  <c r="AN21" i="42" s="1"/>
  <c r="AM12" i="42"/>
  <c r="AE12" i="42"/>
  <c r="AP12" i="42" s="1"/>
  <c r="W12" i="42"/>
  <c r="AF12" i="42" s="1"/>
  <c r="V12" i="42"/>
  <c r="BH137" i="41"/>
  <c r="BG137" i="41"/>
  <c r="BF137" i="41"/>
  <c r="BE137" i="41"/>
  <c r="BD137" i="41"/>
  <c r="BC137" i="41"/>
  <c r="BB137" i="41"/>
  <c r="BA137" i="41"/>
  <c r="AZ137" i="41"/>
  <c r="BJ136" i="41"/>
  <c r="BI136" i="41"/>
  <c r="BK136" i="41" s="1"/>
  <c r="BJ135" i="41"/>
  <c r="BI135" i="41"/>
  <c r="BJ134" i="41"/>
  <c r="BI134" i="41"/>
  <c r="BJ133" i="41"/>
  <c r="BI133" i="41"/>
  <c r="BJ132" i="41"/>
  <c r="BI132" i="41"/>
  <c r="BJ131" i="41"/>
  <c r="BI131" i="41"/>
  <c r="BH130" i="41"/>
  <c r="BG130" i="41"/>
  <c r="BF130" i="41"/>
  <c r="BE130" i="41"/>
  <c r="BD130" i="41"/>
  <c r="BC130" i="41"/>
  <c r="BB130" i="41"/>
  <c r="BA130" i="41"/>
  <c r="AZ130" i="41"/>
  <c r="BJ127" i="41"/>
  <c r="BI127" i="41"/>
  <c r="BJ129" i="41"/>
  <c r="BI129" i="41"/>
  <c r="BJ128" i="41"/>
  <c r="BI128" i="41"/>
  <c r="BK128" i="41" s="1"/>
  <c r="BJ126" i="41"/>
  <c r="BI126" i="41"/>
  <c r="BK126" i="41" s="1"/>
  <c r="BJ125" i="41"/>
  <c r="BI125" i="41"/>
  <c r="BH124" i="41"/>
  <c r="BG124" i="41"/>
  <c r="BF124" i="41"/>
  <c r="BE124" i="41"/>
  <c r="BD124" i="41"/>
  <c r="BC124" i="41"/>
  <c r="BB124" i="41"/>
  <c r="BA124" i="41"/>
  <c r="AZ124" i="41"/>
  <c r="BJ123" i="41"/>
  <c r="BI123" i="41"/>
  <c r="BJ122" i="41"/>
  <c r="BI122" i="41"/>
  <c r="BJ121" i="41"/>
  <c r="BK121" i="41" s="1"/>
  <c r="BI121" i="41"/>
  <c r="BH120" i="41"/>
  <c r="BG120" i="41"/>
  <c r="BF120" i="41"/>
  <c r="BE120" i="41"/>
  <c r="BD120" i="41"/>
  <c r="BC120" i="41"/>
  <c r="BB120" i="41"/>
  <c r="BA120" i="41"/>
  <c r="AZ120" i="41"/>
  <c r="BJ119" i="41"/>
  <c r="BI119" i="41"/>
  <c r="BJ118" i="41"/>
  <c r="BI118" i="41"/>
  <c r="BJ117" i="41"/>
  <c r="BK117" i="41" s="1"/>
  <c r="BI117" i="41"/>
  <c r="BJ116" i="41"/>
  <c r="BI116" i="41"/>
  <c r="BK116" i="41" s="1"/>
  <c r="BJ115" i="41"/>
  <c r="BI115" i="41"/>
  <c r="BK115" i="41" s="1"/>
  <c r="BJ114" i="41"/>
  <c r="BI114" i="41"/>
  <c r="BJ113" i="41"/>
  <c r="BI113" i="41"/>
  <c r="BH112" i="41"/>
  <c r="BG112" i="41"/>
  <c r="BF112" i="41"/>
  <c r="BE112" i="41"/>
  <c r="BD112" i="41"/>
  <c r="BC112" i="41"/>
  <c r="BB112" i="41"/>
  <c r="BA112" i="41"/>
  <c r="AZ112" i="41"/>
  <c r="BJ111" i="41"/>
  <c r="BI111" i="41"/>
  <c r="BK111" i="41" s="1"/>
  <c r="BJ110" i="41"/>
  <c r="BI110" i="41"/>
  <c r="BJ109" i="41"/>
  <c r="BI109" i="41"/>
  <c r="BJ108" i="41"/>
  <c r="BI108" i="41"/>
  <c r="BK108" i="41" s="1"/>
  <c r="BJ107" i="41"/>
  <c r="BI107" i="41"/>
  <c r="BK107" i="41" s="1"/>
  <c r="BJ106" i="41"/>
  <c r="BI106" i="41"/>
  <c r="BH105" i="41"/>
  <c r="BG105" i="41"/>
  <c r="BF105" i="41"/>
  <c r="BE105" i="41"/>
  <c r="BD105" i="41"/>
  <c r="BC105" i="41"/>
  <c r="BB105" i="41"/>
  <c r="BA105" i="41"/>
  <c r="AZ105" i="41"/>
  <c r="BJ104" i="41"/>
  <c r="BI104" i="41"/>
  <c r="BJ103" i="41"/>
  <c r="BI103" i="41"/>
  <c r="BK103" i="41" s="1"/>
  <c r="BJ102" i="41"/>
  <c r="BI102" i="41"/>
  <c r="BJ101" i="41"/>
  <c r="BI101" i="41"/>
  <c r="BK101" i="41" s="1"/>
  <c r="BJ100" i="41"/>
  <c r="BI100" i="41"/>
  <c r="BJ99" i="41"/>
  <c r="BI99" i="41"/>
  <c r="BK99" i="41" s="1"/>
  <c r="BJ98" i="41"/>
  <c r="BI98" i="41"/>
  <c r="BH97" i="41"/>
  <c r="BG97" i="41"/>
  <c r="BF97" i="41"/>
  <c r="BE97" i="41"/>
  <c r="BD97" i="41"/>
  <c r="BC97" i="41"/>
  <c r="BB97" i="41"/>
  <c r="BA97" i="41"/>
  <c r="AZ97" i="41"/>
  <c r="BJ96" i="41"/>
  <c r="BI96" i="41"/>
  <c r="BJ95" i="41"/>
  <c r="BI95" i="41"/>
  <c r="BJ94" i="41"/>
  <c r="BI94" i="41"/>
  <c r="BK94" i="41" s="1"/>
  <c r="BH93" i="41"/>
  <c r="BG93" i="41"/>
  <c r="BF93" i="41"/>
  <c r="BE93" i="41"/>
  <c r="BD93" i="41"/>
  <c r="BC93" i="41"/>
  <c r="BB93" i="41"/>
  <c r="BA93" i="41"/>
  <c r="AZ93" i="41"/>
  <c r="BJ92" i="41"/>
  <c r="BI92" i="41"/>
  <c r="BK92" i="41" s="1"/>
  <c r="BJ91" i="41"/>
  <c r="BI91" i="41"/>
  <c r="BK91" i="41" s="1"/>
  <c r="BJ90" i="41"/>
  <c r="BI90" i="41"/>
  <c r="BK90" i="41" s="1"/>
  <c r="BJ89" i="41"/>
  <c r="BI89" i="41"/>
  <c r="BJ88" i="41"/>
  <c r="BI88" i="41"/>
  <c r="BK88" i="41" s="1"/>
  <c r="BH87" i="41"/>
  <c r="BG87" i="41"/>
  <c r="BF87" i="41"/>
  <c r="BE87" i="41"/>
  <c r="BD87" i="41"/>
  <c r="BC87" i="41"/>
  <c r="BB87" i="41"/>
  <c r="BA87" i="41"/>
  <c r="AZ87" i="41"/>
  <c r="BJ86" i="41"/>
  <c r="BI86" i="41"/>
  <c r="BJ85" i="41"/>
  <c r="BI85" i="41"/>
  <c r="BJ84" i="41"/>
  <c r="BI84" i="41"/>
  <c r="BH83" i="41"/>
  <c r="BG83" i="41"/>
  <c r="BF83" i="41"/>
  <c r="BE83" i="41"/>
  <c r="BD83" i="41"/>
  <c r="BC83" i="41"/>
  <c r="BB83" i="41"/>
  <c r="BA83" i="41"/>
  <c r="AZ83" i="41"/>
  <c r="BJ82" i="41"/>
  <c r="BI82" i="41"/>
  <c r="BK82" i="41" s="1"/>
  <c r="BJ81" i="41"/>
  <c r="BI81" i="41"/>
  <c r="BJ80" i="41"/>
  <c r="BI80" i="41"/>
  <c r="BH79" i="41"/>
  <c r="BG79" i="41"/>
  <c r="BF79" i="41"/>
  <c r="BE79" i="41"/>
  <c r="BD79" i="41"/>
  <c r="BC79" i="41"/>
  <c r="BB79" i="41"/>
  <c r="BA79" i="41"/>
  <c r="AZ79" i="41"/>
  <c r="BJ78" i="41"/>
  <c r="BI78" i="41"/>
  <c r="BJ77" i="41"/>
  <c r="BI77" i="41"/>
  <c r="BJ76" i="41"/>
  <c r="BI76" i="41"/>
  <c r="BK76" i="41" s="1"/>
  <c r="BJ75" i="41"/>
  <c r="BI75" i="41"/>
  <c r="BK75" i="41" s="1"/>
  <c r="BJ74" i="41"/>
  <c r="BI74" i="41"/>
  <c r="BJ73" i="41"/>
  <c r="BI73" i="41"/>
  <c r="BH72" i="41"/>
  <c r="BG72" i="41"/>
  <c r="BF72" i="41"/>
  <c r="BE72" i="41"/>
  <c r="BD72" i="41"/>
  <c r="BC72" i="41"/>
  <c r="BB72" i="41"/>
  <c r="BA72" i="41"/>
  <c r="AZ72" i="41"/>
  <c r="BJ71" i="41"/>
  <c r="BI71" i="41"/>
  <c r="BJ70" i="41"/>
  <c r="BI70" i="41"/>
  <c r="BJ69" i="41"/>
  <c r="BI69" i="41"/>
  <c r="BK69" i="41" s="1"/>
  <c r="BJ68" i="41"/>
  <c r="BI68" i="41"/>
  <c r="BK68" i="41" s="1"/>
  <c r="BJ67" i="41"/>
  <c r="BI67" i="41"/>
  <c r="BJ66" i="41"/>
  <c r="BI66" i="41"/>
  <c r="BH65" i="41"/>
  <c r="BG65" i="41"/>
  <c r="BF65" i="41"/>
  <c r="BE65" i="41"/>
  <c r="BD65" i="41"/>
  <c r="BC65" i="41"/>
  <c r="BB65" i="41"/>
  <c r="BA65" i="41"/>
  <c r="AZ65" i="41"/>
  <c r="BJ64" i="41"/>
  <c r="BI64" i="41"/>
  <c r="BJ63" i="41"/>
  <c r="BI63" i="41"/>
  <c r="BK63" i="41" s="1"/>
  <c r="BJ62" i="41"/>
  <c r="BI62" i="41"/>
  <c r="BI65" i="41" s="1"/>
  <c r="BH61" i="41"/>
  <c r="BG61" i="41"/>
  <c r="BF61" i="41"/>
  <c r="BE61" i="41"/>
  <c r="BD61" i="41"/>
  <c r="BC61" i="41"/>
  <c r="BB61" i="41"/>
  <c r="BA61" i="41"/>
  <c r="AZ61" i="41"/>
  <c r="BJ60" i="41"/>
  <c r="BI60" i="41"/>
  <c r="BJ59" i="41"/>
  <c r="BI59" i="41"/>
  <c r="BK59" i="41" s="1"/>
  <c r="BH58" i="41"/>
  <c r="BG58" i="41"/>
  <c r="BF58" i="41"/>
  <c r="BE58" i="41"/>
  <c r="BD58" i="41"/>
  <c r="BC58" i="41"/>
  <c r="BB58" i="41"/>
  <c r="BA58" i="41"/>
  <c r="AZ58" i="41"/>
  <c r="BJ57" i="41"/>
  <c r="BI57" i="41"/>
  <c r="BK57" i="41" s="1"/>
  <c r="BJ56" i="41"/>
  <c r="BI56" i="41"/>
  <c r="BJ55" i="41"/>
  <c r="BI55" i="41"/>
  <c r="BJ54" i="41"/>
  <c r="BI54" i="41"/>
  <c r="BJ53" i="41"/>
  <c r="BI53" i="41"/>
  <c r="BK53" i="41" s="1"/>
  <c r="BJ52" i="41"/>
  <c r="BI52" i="41"/>
  <c r="BJ51" i="41"/>
  <c r="BI51" i="41"/>
  <c r="BH50" i="41"/>
  <c r="BG50" i="41"/>
  <c r="BF50" i="41"/>
  <c r="BE50" i="41"/>
  <c r="BD50" i="41"/>
  <c r="BC50" i="41"/>
  <c r="BB50" i="41"/>
  <c r="BA50" i="41"/>
  <c r="AZ50" i="41"/>
  <c r="BJ49" i="41"/>
  <c r="BI49" i="41"/>
  <c r="BJ48" i="41"/>
  <c r="BI48" i="41"/>
  <c r="BJ47" i="41"/>
  <c r="BI47" i="41"/>
  <c r="BJ46" i="41"/>
  <c r="BI46" i="41"/>
  <c r="BJ45" i="41"/>
  <c r="BI45" i="41"/>
  <c r="BJ44" i="41"/>
  <c r="BI44" i="41"/>
  <c r="BH43" i="41"/>
  <c r="BG43" i="41"/>
  <c r="BF43" i="41"/>
  <c r="BE43" i="41"/>
  <c r="BD43" i="41"/>
  <c r="BC43" i="41"/>
  <c r="BB43" i="41"/>
  <c r="BA43" i="41"/>
  <c r="AZ43" i="41"/>
  <c r="BJ42" i="41"/>
  <c r="BI42" i="41"/>
  <c r="BJ41" i="41"/>
  <c r="BI41" i="41"/>
  <c r="BK41" i="41" s="1"/>
  <c r="BJ40" i="41"/>
  <c r="BI40" i="41"/>
  <c r="BJ39" i="41"/>
  <c r="BI39" i="41"/>
  <c r="BJ38" i="41"/>
  <c r="BI38" i="41"/>
  <c r="BK38" i="41" s="1"/>
  <c r="BJ37" i="41"/>
  <c r="BI37" i="41"/>
  <c r="BH36" i="41"/>
  <c r="BG36" i="41"/>
  <c r="BF36" i="41"/>
  <c r="BE36" i="41"/>
  <c r="BD36" i="41"/>
  <c r="BC36" i="41"/>
  <c r="BB36" i="41"/>
  <c r="BA36" i="41"/>
  <c r="AZ36" i="41"/>
  <c r="BJ35" i="41"/>
  <c r="BI35" i="41"/>
  <c r="BK35" i="41" s="1"/>
  <c r="BJ34" i="41"/>
  <c r="BI34" i="41"/>
  <c r="BK34" i="41" s="1"/>
  <c r="BJ33" i="41"/>
  <c r="BI33" i="41"/>
  <c r="BJ32" i="41"/>
  <c r="BI32" i="41"/>
  <c r="BJ31" i="41"/>
  <c r="BI31" i="41"/>
  <c r="BK31" i="41" s="1"/>
  <c r="BJ30" i="41"/>
  <c r="BI30" i="41"/>
  <c r="BH29" i="41"/>
  <c r="BG29" i="41"/>
  <c r="BF29" i="41"/>
  <c r="BE29" i="41"/>
  <c r="BD29" i="41"/>
  <c r="BC29" i="41"/>
  <c r="BB29" i="41"/>
  <c r="BA29" i="41"/>
  <c r="AZ29" i="41"/>
  <c r="BJ28" i="41"/>
  <c r="BJ29" i="41" s="1"/>
  <c r="BI28" i="41"/>
  <c r="BH27" i="41"/>
  <c r="BG27" i="41"/>
  <c r="BF27" i="41"/>
  <c r="BE27" i="41"/>
  <c r="BD27" i="41"/>
  <c r="BC27" i="41"/>
  <c r="BB27" i="41"/>
  <c r="BA27" i="41"/>
  <c r="AZ27" i="41"/>
  <c r="BJ26" i="41"/>
  <c r="BI26" i="41"/>
  <c r="BK26" i="41" s="1"/>
  <c r="BJ25" i="41"/>
  <c r="BI25" i="41"/>
  <c r="BK25" i="41" s="1"/>
  <c r="BJ24" i="41"/>
  <c r="BI24" i="41"/>
  <c r="BK24" i="41" s="1"/>
  <c r="BJ23" i="41"/>
  <c r="BI23" i="41"/>
  <c r="BJ22" i="41"/>
  <c r="BI22" i="41"/>
  <c r="BK22" i="41" s="1"/>
  <c r="BH21" i="41"/>
  <c r="BG21" i="41"/>
  <c r="BF21" i="41"/>
  <c r="BE21" i="41"/>
  <c r="BD21" i="41"/>
  <c r="BC21" i="41"/>
  <c r="BB21" i="41"/>
  <c r="BA21" i="41"/>
  <c r="AZ21" i="41"/>
  <c r="BJ20" i="41"/>
  <c r="BI20" i="41"/>
  <c r="BJ19" i="41"/>
  <c r="BI19" i="41"/>
  <c r="BJ18" i="41"/>
  <c r="BI18" i="41"/>
  <c r="BJ17" i="41"/>
  <c r="BI17" i="41"/>
  <c r="BH16" i="41"/>
  <c r="BG16" i="41"/>
  <c r="BF16" i="41"/>
  <c r="BE16" i="41"/>
  <c r="BD16" i="41"/>
  <c r="BC16" i="41"/>
  <c r="BB16" i="41"/>
  <c r="BA16" i="41"/>
  <c r="AZ16" i="41"/>
  <c r="BJ15" i="41"/>
  <c r="BI15" i="41"/>
  <c r="BK15" i="41" s="1"/>
  <c r="BJ14" i="41"/>
  <c r="BK14" i="41" s="1"/>
  <c r="BI14" i="41"/>
  <c r="BJ13" i="41"/>
  <c r="BI13" i="41"/>
  <c r="BJ12" i="41"/>
  <c r="BI12" i="41"/>
  <c r="AW137" i="41"/>
  <c r="AV137" i="41"/>
  <c r="AU137" i="41"/>
  <c r="AL137" i="41"/>
  <c r="AK137" i="41"/>
  <c r="AJ137" i="41"/>
  <c r="AI137" i="41"/>
  <c r="AH137" i="41"/>
  <c r="AD137" i="41"/>
  <c r="AC137" i="41"/>
  <c r="AB137" i="41"/>
  <c r="AA137" i="41"/>
  <c r="Z137" i="41"/>
  <c r="Y137" i="41"/>
  <c r="X137" i="41"/>
  <c r="AX136" i="41"/>
  <c r="AN136" i="41"/>
  <c r="AM136" i="41"/>
  <c r="W136" i="41"/>
  <c r="AF136" i="41" s="1"/>
  <c r="V136" i="41"/>
  <c r="AE136" i="41" s="1"/>
  <c r="AX135" i="41"/>
  <c r="AN135" i="41"/>
  <c r="AM135" i="41"/>
  <c r="W135" i="41"/>
  <c r="AF135" i="41" s="1"/>
  <c r="V135" i="41"/>
  <c r="AE135" i="41" s="1"/>
  <c r="AX134" i="41"/>
  <c r="AN134" i="41"/>
  <c r="AM134" i="41"/>
  <c r="W134" i="41"/>
  <c r="AF134" i="41" s="1"/>
  <c r="V134" i="41"/>
  <c r="AE134" i="41" s="1"/>
  <c r="AX133" i="41"/>
  <c r="AN133" i="41"/>
  <c r="AM133" i="41"/>
  <c r="AO133" i="41" s="1"/>
  <c r="W133" i="41"/>
  <c r="AF133" i="41" s="1"/>
  <c r="AQ133" i="41" s="1"/>
  <c r="V133" i="41"/>
  <c r="AE133" i="41" s="1"/>
  <c r="AX132" i="41"/>
  <c r="AN132" i="41"/>
  <c r="AM132" i="41"/>
  <c r="AE132" i="41"/>
  <c r="W132" i="41"/>
  <c r="AF132" i="41" s="1"/>
  <c r="V132" i="41"/>
  <c r="AX131" i="41"/>
  <c r="AN131" i="41"/>
  <c r="AM131" i="41"/>
  <c r="W131" i="41"/>
  <c r="V131" i="41"/>
  <c r="AW130" i="41"/>
  <c r="AV130" i="41"/>
  <c r="AU130" i="41"/>
  <c r="AL130" i="41"/>
  <c r="AK130" i="41"/>
  <c r="AJ130" i="41"/>
  <c r="AI130" i="41"/>
  <c r="AH130" i="41"/>
  <c r="AD130" i="41"/>
  <c r="AC130" i="41"/>
  <c r="AB130" i="41"/>
  <c r="AA130" i="41"/>
  <c r="Z130" i="41"/>
  <c r="Y130" i="41"/>
  <c r="X130" i="41"/>
  <c r="AX127" i="41"/>
  <c r="AN127" i="41"/>
  <c r="AM127" i="41"/>
  <c r="W127" i="41"/>
  <c r="AF127" i="41" s="1"/>
  <c r="V127" i="41"/>
  <c r="AE127" i="41" s="1"/>
  <c r="AX129" i="41"/>
  <c r="AN129" i="41"/>
  <c r="AM129" i="41"/>
  <c r="AO129" i="41" s="1"/>
  <c r="W129" i="41"/>
  <c r="AF129" i="41" s="1"/>
  <c r="V129" i="41"/>
  <c r="AE129" i="41" s="1"/>
  <c r="AX128" i="41"/>
  <c r="AN128" i="41"/>
  <c r="AM128" i="41"/>
  <c r="W128" i="41"/>
  <c r="AF128" i="41" s="1"/>
  <c r="V128" i="41"/>
  <c r="AE128" i="41" s="1"/>
  <c r="AX126" i="41"/>
  <c r="AN126" i="41"/>
  <c r="AM126" i="41"/>
  <c r="AO126" i="41" s="1"/>
  <c r="W126" i="41"/>
  <c r="AF126" i="41" s="1"/>
  <c r="V126" i="41"/>
  <c r="AE126" i="41" s="1"/>
  <c r="AX125" i="41"/>
  <c r="AX130" i="41" s="1"/>
  <c r="AN125" i="41"/>
  <c r="AM125" i="41"/>
  <c r="W125" i="41"/>
  <c r="V125" i="41"/>
  <c r="AE125" i="41" s="1"/>
  <c r="AW124" i="41"/>
  <c r="AV124" i="41"/>
  <c r="AU124" i="41"/>
  <c r="AL124" i="41"/>
  <c r="AK124" i="41"/>
  <c r="AJ124" i="41"/>
  <c r="AI124" i="41"/>
  <c r="AH124" i="41"/>
  <c r="AD124" i="41"/>
  <c r="AC124" i="41"/>
  <c r="AB124" i="41"/>
  <c r="AA124" i="41"/>
  <c r="Z124" i="41"/>
  <c r="Y124" i="41"/>
  <c r="X124" i="41"/>
  <c r="AX123" i="41"/>
  <c r="AN123" i="41"/>
  <c r="AM123" i="41"/>
  <c r="W123" i="41"/>
  <c r="AF123" i="41" s="1"/>
  <c r="V123" i="41"/>
  <c r="AE123" i="41" s="1"/>
  <c r="AG123" i="41" s="1"/>
  <c r="AX122" i="41"/>
  <c r="AN122" i="41"/>
  <c r="AM122" i="41"/>
  <c r="AE122" i="41"/>
  <c r="W122" i="41"/>
  <c r="AF122" i="41" s="1"/>
  <c r="V122" i="41"/>
  <c r="AX121" i="41"/>
  <c r="AN121" i="41"/>
  <c r="AM121" i="41"/>
  <c r="W121" i="41"/>
  <c r="V121" i="41"/>
  <c r="AE121" i="41" s="1"/>
  <c r="AW120" i="41"/>
  <c r="AV120" i="41"/>
  <c r="AU120" i="41"/>
  <c r="AL120" i="41"/>
  <c r="AK120" i="41"/>
  <c r="AJ120" i="41"/>
  <c r="AI120" i="41"/>
  <c r="AH120" i="41"/>
  <c r="AD120" i="41"/>
  <c r="AC120" i="41"/>
  <c r="AB120" i="41"/>
  <c r="AA120" i="41"/>
  <c r="Z120" i="41"/>
  <c r="Y120" i="41"/>
  <c r="X120" i="41"/>
  <c r="AX119" i="41"/>
  <c r="AN119" i="41"/>
  <c r="AM119" i="41"/>
  <c r="AO119" i="41" s="1"/>
  <c r="W119" i="41"/>
  <c r="AF119" i="41" s="1"/>
  <c r="AQ119" i="41" s="1"/>
  <c r="V119" i="41"/>
  <c r="AE119" i="41" s="1"/>
  <c r="AX118" i="41"/>
  <c r="AN118" i="41"/>
  <c r="AM118" i="41"/>
  <c r="AO118" i="41" s="1"/>
  <c r="W118" i="41"/>
  <c r="AF118" i="41" s="1"/>
  <c r="V118" i="41"/>
  <c r="AE118" i="41" s="1"/>
  <c r="AX117" i="41"/>
  <c r="AN117" i="41"/>
  <c r="AM117" i="41"/>
  <c r="W117" i="41"/>
  <c r="AF117" i="41" s="1"/>
  <c r="V117" i="41"/>
  <c r="AE117" i="41" s="1"/>
  <c r="AX116" i="41"/>
  <c r="AN116" i="41"/>
  <c r="AM116" i="41"/>
  <c r="AE116" i="41"/>
  <c r="W116" i="41"/>
  <c r="AF116" i="41" s="1"/>
  <c r="V116" i="41"/>
  <c r="AX115" i="41"/>
  <c r="AN115" i="41"/>
  <c r="AM115" i="41"/>
  <c r="W115" i="41"/>
  <c r="AF115" i="41" s="1"/>
  <c r="V115" i="41"/>
  <c r="AE115" i="41" s="1"/>
  <c r="AX114" i="41"/>
  <c r="AN114" i="41"/>
  <c r="AM114" i="41"/>
  <c r="W114" i="41"/>
  <c r="AF114" i="41" s="1"/>
  <c r="V114" i="41"/>
  <c r="AE114" i="41" s="1"/>
  <c r="AX113" i="41"/>
  <c r="AN113" i="41"/>
  <c r="AM113" i="41"/>
  <c r="W113" i="41"/>
  <c r="AF113" i="41" s="1"/>
  <c r="V113" i="41"/>
  <c r="AW112" i="41"/>
  <c r="AV112" i="41"/>
  <c r="AU112" i="41"/>
  <c r="AL112" i="41"/>
  <c r="AK112" i="41"/>
  <c r="AJ112" i="41"/>
  <c r="AI112" i="41"/>
  <c r="AH112" i="41"/>
  <c r="AD112" i="41"/>
  <c r="AC112" i="41"/>
  <c r="AB112" i="41"/>
  <c r="AA112" i="41"/>
  <c r="Z112" i="41"/>
  <c r="Y112" i="41"/>
  <c r="X112" i="41"/>
  <c r="AX111" i="41"/>
  <c r="AN111" i="41"/>
  <c r="AM111" i="41"/>
  <c r="W111" i="41"/>
  <c r="AF111" i="41" s="1"/>
  <c r="AQ111" i="41" s="1"/>
  <c r="V111" i="41"/>
  <c r="AE111" i="41" s="1"/>
  <c r="AX110" i="41"/>
  <c r="AN110" i="41"/>
  <c r="AM110" i="41"/>
  <c r="W110" i="41"/>
  <c r="AF110" i="41" s="1"/>
  <c r="V110" i="41"/>
  <c r="AE110" i="41" s="1"/>
  <c r="AX109" i="41"/>
  <c r="AN109" i="41"/>
  <c r="AM109" i="41"/>
  <c r="AO109" i="41" s="1"/>
  <c r="W109" i="41"/>
  <c r="AF109" i="41" s="1"/>
  <c r="V109" i="41"/>
  <c r="AE109" i="41" s="1"/>
  <c r="AX108" i="41"/>
  <c r="AN108" i="41"/>
  <c r="AM108" i="41"/>
  <c r="AO108" i="41" s="1"/>
  <c r="W108" i="41"/>
  <c r="AF108" i="41" s="1"/>
  <c r="V108" i="41"/>
  <c r="AE108" i="41" s="1"/>
  <c r="AX107" i="41"/>
  <c r="AN107" i="41"/>
  <c r="AM107" i="41"/>
  <c r="W107" i="41"/>
  <c r="V107" i="41"/>
  <c r="AE107" i="41" s="1"/>
  <c r="AX106" i="41"/>
  <c r="AN106" i="41"/>
  <c r="AM106" i="41"/>
  <c r="W106" i="41"/>
  <c r="AF106" i="41" s="1"/>
  <c r="V106" i="41"/>
  <c r="AW105" i="41"/>
  <c r="AV105" i="41"/>
  <c r="AU105" i="41"/>
  <c r="AL105" i="41"/>
  <c r="AK105" i="41"/>
  <c r="AJ105" i="41"/>
  <c r="AI105" i="41"/>
  <c r="AH105" i="41"/>
  <c r="AD105" i="41"/>
  <c r="AC105" i="41"/>
  <c r="AB105" i="41"/>
  <c r="AA105" i="41"/>
  <c r="Z105" i="41"/>
  <c r="Y105" i="41"/>
  <c r="X105" i="41"/>
  <c r="AX104" i="41"/>
  <c r="AN104" i="41"/>
  <c r="AM104" i="41"/>
  <c r="AO104" i="41" s="1"/>
  <c r="W104" i="41"/>
  <c r="AF104" i="41" s="1"/>
  <c r="V104" i="41"/>
  <c r="AE104" i="41" s="1"/>
  <c r="AX103" i="41"/>
  <c r="AN103" i="41"/>
  <c r="AM103" i="41"/>
  <c r="AP103" i="41" s="1"/>
  <c r="W103" i="41"/>
  <c r="AF103" i="41" s="1"/>
  <c r="AQ103" i="41" s="1"/>
  <c r="V103" i="41"/>
  <c r="AE103" i="41" s="1"/>
  <c r="AX102" i="41"/>
  <c r="AN102" i="41"/>
  <c r="AM102" i="41"/>
  <c r="W102" i="41"/>
  <c r="AF102" i="41" s="1"/>
  <c r="AQ102" i="41" s="1"/>
  <c r="V102" i="41"/>
  <c r="AE102" i="41" s="1"/>
  <c r="AX101" i="41"/>
  <c r="AN101" i="41"/>
  <c r="AM101" i="41"/>
  <c r="W101" i="41"/>
  <c r="AF101" i="41" s="1"/>
  <c r="V101" i="41"/>
  <c r="AE101" i="41" s="1"/>
  <c r="AX100" i="41"/>
  <c r="AN100" i="41"/>
  <c r="AO100" i="41" s="1"/>
  <c r="AM100" i="41"/>
  <c r="W100" i="41"/>
  <c r="AF100" i="41" s="1"/>
  <c r="V100" i="41"/>
  <c r="AE100" i="41" s="1"/>
  <c r="AX99" i="41"/>
  <c r="AN99" i="41"/>
  <c r="AO99" i="41" s="1"/>
  <c r="AM99" i="41"/>
  <c r="W99" i="41"/>
  <c r="AF99" i="41" s="1"/>
  <c r="AQ99" i="41" s="1"/>
  <c r="V99" i="41"/>
  <c r="AE99" i="41" s="1"/>
  <c r="AP99" i="41" s="1"/>
  <c r="AX98" i="41"/>
  <c r="AN98" i="41"/>
  <c r="AM98" i="41"/>
  <c r="W98" i="41"/>
  <c r="AF98" i="41" s="1"/>
  <c r="V98" i="41"/>
  <c r="AE98" i="41" s="1"/>
  <c r="AW97" i="41"/>
  <c r="AV97" i="41"/>
  <c r="AU97" i="41"/>
  <c r="AL97" i="41"/>
  <c r="AK97" i="41"/>
  <c r="AJ97" i="41"/>
  <c r="AI97" i="41"/>
  <c r="AH97" i="41"/>
  <c r="AD97" i="41"/>
  <c r="AC97" i="41"/>
  <c r="AB97" i="41"/>
  <c r="AA97" i="41"/>
  <c r="Z97" i="41"/>
  <c r="Y97" i="41"/>
  <c r="X97" i="41"/>
  <c r="AX96" i="41"/>
  <c r="AN96" i="41"/>
  <c r="AM96" i="41"/>
  <c r="AO96" i="41" s="1"/>
  <c r="AF96" i="41"/>
  <c r="AQ96" i="41" s="1"/>
  <c r="W96" i="41"/>
  <c r="V96" i="41"/>
  <c r="AE96" i="41" s="1"/>
  <c r="AX95" i="41"/>
  <c r="AN95" i="41"/>
  <c r="AM95" i="41"/>
  <c r="W95" i="41"/>
  <c r="V95" i="41"/>
  <c r="AE95" i="41" s="1"/>
  <c r="AX94" i="41"/>
  <c r="AN94" i="41"/>
  <c r="AM94" i="41"/>
  <c r="W94" i="41"/>
  <c r="AF94" i="41" s="1"/>
  <c r="V94" i="41"/>
  <c r="AE94" i="41" s="1"/>
  <c r="AW93" i="41"/>
  <c r="AV93" i="41"/>
  <c r="AU93" i="41"/>
  <c r="AL93" i="41"/>
  <c r="AK93" i="41"/>
  <c r="AJ93" i="41"/>
  <c r="AI93" i="41"/>
  <c r="AH93" i="41"/>
  <c r="AD93" i="41"/>
  <c r="AC93" i="41"/>
  <c r="AB93" i="41"/>
  <c r="AA93" i="41"/>
  <c r="Z93" i="41"/>
  <c r="Y93" i="41"/>
  <c r="X93" i="41"/>
  <c r="AX92" i="41"/>
  <c r="AN92" i="41"/>
  <c r="AM92" i="41"/>
  <c r="AE92" i="41"/>
  <c r="W92" i="41"/>
  <c r="AF92" i="41" s="1"/>
  <c r="AQ92" i="41" s="1"/>
  <c r="V92" i="41"/>
  <c r="AX91" i="41"/>
  <c r="AN91" i="41"/>
  <c r="AM91" i="41"/>
  <c r="W91" i="41"/>
  <c r="AF91" i="41" s="1"/>
  <c r="V91" i="41"/>
  <c r="AE91" i="41" s="1"/>
  <c r="AP91" i="41" s="1"/>
  <c r="AX90" i="41"/>
  <c r="AN90" i="41"/>
  <c r="AM90" i="41"/>
  <c r="W90" i="41"/>
  <c r="AF90" i="41" s="1"/>
  <c r="AQ90" i="41" s="1"/>
  <c r="V90" i="41"/>
  <c r="AE90" i="41" s="1"/>
  <c r="AX89" i="41"/>
  <c r="AN89" i="41"/>
  <c r="AO89" i="41" s="1"/>
  <c r="AM89" i="41"/>
  <c r="W89" i="41"/>
  <c r="AF89" i="41" s="1"/>
  <c r="V89" i="41"/>
  <c r="AE89" i="41" s="1"/>
  <c r="AX88" i="41"/>
  <c r="AN88" i="41"/>
  <c r="AM88" i="41"/>
  <c r="W88" i="41"/>
  <c r="AF88" i="41" s="1"/>
  <c r="V88" i="41"/>
  <c r="AE88" i="41" s="1"/>
  <c r="AW87" i="41"/>
  <c r="AV87" i="41"/>
  <c r="AU87" i="41"/>
  <c r="AL87" i="41"/>
  <c r="AK87" i="41"/>
  <c r="AJ87" i="41"/>
  <c r="AI87" i="41"/>
  <c r="AH87" i="41"/>
  <c r="AD87" i="41"/>
  <c r="AC87" i="41"/>
  <c r="AB87" i="41"/>
  <c r="AA87" i="41"/>
  <c r="Z87" i="41"/>
  <c r="Y87" i="41"/>
  <c r="X87" i="41"/>
  <c r="AX86" i="41"/>
  <c r="AN86" i="41"/>
  <c r="AM86" i="41"/>
  <c r="W86" i="41"/>
  <c r="AF86" i="41" s="1"/>
  <c r="V86" i="41"/>
  <c r="AE86" i="41" s="1"/>
  <c r="AX85" i="41"/>
  <c r="AX87" i="41" s="1"/>
  <c r="AN85" i="41"/>
  <c r="AM85" i="41"/>
  <c r="W85" i="41"/>
  <c r="AF85" i="41" s="1"/>
  <c r="V85" i="41"/>
  <c r="AE85" i="41" s="1"/>
  <c r="AX84" i="41"/>
  <c r="AN84" i="41"/>
  <c r="AM84" i="41"/>
  <c r="W84" i="41"/>
  <c r="AF84" i="41" s="1"/>
  <c r="V84" i="41"/>
  <c r="AE84" i="41" s="1"/>
  <c r="AW83" i="41"/>
  <c r="AV83" i="41"/>
  <c r="AU83" i="41"/>
  <c r="AL83" i="41"/>
  <c r="AK83" i="41"/>
  <c r="AJ83" i="41"/>
  <c r="AI83" i="41"/>
  <c r="AH83" i="41"/>
  <c r="AD83" i="41"/>
  <c r="AC83" i="41"/>
  <c r="AB83" i="41"/>
  <c r="AA83" i="41"/>
  <c r="Z83" i="41"/>
  <c r="Y83" i="41"/>
  <c r="X83" i="41"/>
  <c r="AX82" i="41"/>
  <c r="AN82" i="41"/>
  <c r="AM82" i="41"/>
  <c r="W82" i="41"/>
  <c r="AF82" i="41" s="1"/>
  <c r="V82" i="41"/>
  <c r="AE82" i="41" s="1"/>
  <c r="AX81" i="41"/>
  <c r="AN81" i="41"/>
  <c r="AM81" i="41"/>
  <c r="W81" i="41"/>
  <c r="AF81" i="41" s="1"/>
  <c r="V81" i="41"/>
  <c r="AX80" i="41"/>
  <c r="AN80" i="41"/>
  <c r="AM80" i="41"/>
  <c r="W80" i="41"/>
  <c r="V80" i="41"/>
  <c r="AE80" i="41" s="1"/>
  <c r="AW79" i="41"/>
  <c r="AV79" i="41"/>
  <c r="AU79" i="41"/>
  <c r="AL79" i="41"/>
  <c r="AK79" i="41"/>
  <c r="AJ79" i="41"/>
  <c r="AI79" i="41"/>
  <c r="AH79" i="41"/>
  <c r="AD79" i="41"/>
  <c r="AC79" i="41"/>
  <c r="AB79" i="41"/>
  <c r="AA79" i="41"/>
  <c r="Z79" i="41"/>
  <c r="Y79" i="41"/>
  <c r="X79" i="41"/>
  <c r="AX78" i="41"/>
  <c r="AN78" i="41"/>
  <c r="AM78" i="41"/>
  <c r="W78" i="41"/>
  <c r="AF78" i="41" s="1"/>
  <c r="V78" i="41"/>
  <c r="AE78" i="41" s="1"/>
  <c r="AX77" i="41"/>
  <c r="AN77" i="41"/>
  <c r="AM77" i="41"/>
  <c r="W77" i="41"/>
  <c r="AF77" i="41" s="1"/>
  <c r="V77" i="41"/>
  <c r="AE77" i="41" s="1"/>
  <c r="AX76" i="41"/>
  <c r="AN76" i="41"/>
  <c r="AM76" i="41"/>
  <c r="AO76" i="41" s="1"/>
  <c r="W76" i="41"/>
  <c r="AF76" i="41" s="1"/>
  <c r="AQ76" i="41" s="1"/>
  <c r="V76" i="41"/>
  <c r="AE76" i="41" s="1"/>
  <c r="AX75" i="41"/>
  <c r="AN75" i="41"/>
  <c r="AM75" i="41"/>
  <c r="AO75" i="41" s="1"/>
  <c r="W75" i="41"/>
  <c r="AF75" i="41" s="1"/>
  <c r="V75" i="41"/>
  <c r="AE75" i="41" s="1"/>
  <c r="AX74" i="41"/>
  <c r="AN74" i="41"/>
  <c r="AM74" i="41"/>
  <c r="W74" i="41"/>
  <c r="AF74" i="41" s="1"/>
  <c r="V74" i="41"/>
  <c r="AE74" i="41" s="1"/>
  <c r="AX73" i="41"/>
  <c r="AN73" i="41"/>
  <c r="AM73" i="41"/>
  <c r="AO73" i="41" s="1"/>
  <c r="W73" i="41"/>
  <c r="V73" i="41"/>
  <c r="AW72" i="41"/>
  <c r="AV72" i="41"/>
  <c r="AU72" i="41"/>
  <c r="AL72" i="41"/>
  <c r="AK72" i="41"/>
  <c r="AJ72" i="41"/>
  <c r="AI72" i="41"/>
  <c r="AH72" i="41"/>
  <c r="AD72" i="41"/>
  <c r="AC72" i="41"/>
  <c r="AB72" i="41"/>
  <c r="AA72" i="41"/>
  <c r="Z72" i="41"/>
  <c r="Y72" i="41"/>
  <c r="X72" i="41"/>
  <c r="AX71" i="41"/>
  <c r="AN71" i="41"/>
  <c r="AM71" i="41"/>
  <c r="W71" i="41"/>
  <c r="AF71" i="41" s="1"/>
  <c r="V71" i="41"/>
  <c r="AE71" i="41" s="1"/>
  <c r="AX70" i="41"/>
  <c r="AN70" i="41"/>
  <c r="AM70" i="41"/>
  <c r="W70" i="41"/>
  <c r="AF70" i="41" s="1"/>
  <c r="V70" i="41"/>
  <c r="AE70" i="41" s="1"/>
  <c r="AX69" i="41"/>
  <c r="AN69" i="41"/>
  <c r="AM69" i="41"/>
  <c r="W69" i="41"/>
  <c r="AF69" i="41" s="1"/>
  <c r="V69" i="41"/>
  <c r="AE69" i="41" s="1"/>
  <c r="AX68" i="41"/>
  <c r="AN68" i="41"/>
  <c r="AM68" i="41"/>
  <c r="W68" i="41"/>
  <c r="AF68" i="41" s="1"/>
  <c r="V68" i="41"/>
  <c r="AE68" i="41" s="1"/>
  <c r="AP68" i="41" s="1"/>
  <c r="AX67" i="41"/>
  <c r="AN67" i="41"/>
  <c r="AM67" i="41"/>
  <c r="W67" i="41"/>
  <c r="AF67" i="41" s="1"/>
  <c r="AQ67" i="41" s="1"/>
  <c r="V67" i="41"/>
  <c r="AE67" i="41" s="1"/>
  <c r="AX66" i="41"/>
  <c r="AN66" i="41"/>
  <c r="AM66" i="41"/>
  <c r="W66" i="41"/>
  <c r="V66" i="41"/>
  <c r="AW65" i="41"/>
  <c r="AV65" i="41"/>
  <c r="AU65" i="41"/>
  <c r="AL65" i="41"/>
  <c r="AK65" i="41"/>
  <c r="AJ65" i="41"/>
  <c r="AI65" i="41"/>
  <c r="AH65" i="41"/>
  <c r="AD65" i="41"/>
  <c r="AC65" i="41"/>
  <c r="AB65" i="41"/>
  <c r="AA65" i="41"/>
  <c r="Z65" i="41"/>
  <c r="Y65" i="41"/>
  <c r="X65" i="41"/>
  <c r="AX64" i="41"/>
  <c r="AN64" i="41"/>
  <c r="AM64" i="41"/>
  <c r="W64" i="41"/>
  <c r="AF64" i="41" s="1"/>
  <c r="AQ64" i="41" s="1"/>
  <c r="V64" i="41"/>
  <c r="AE64" i="41" s="1"/>
  <c r="AX63" i="41"/>
  <c r="AN63" i="41"/>
  <c r="AM63" i="41"/>
  <c r="AO63" i="41" s="1"/>
  <c r="W63" i="41"/>
  <c r="AF63" i="41" s="1"/>
  <c r="AQ63" i="41" s="1"/>
  <c r="V63" i="41"/>
  <c r="AE63" i="41" s="1"/>
  <c r="AX62" i="41"/>
  <c r="AN62" i="41"/>
  <c r="AM62" i="41"/>
  <c r="AE62" i="41"/>
  <c r="W62" i="41"/>
  <c r="W65" i="41" s="1"/>
  <c r="V62" i="41"/>
  <c r="AW61" i="41"/>
  <c r="AV61" i="41"/>
  <c r="AU61" i="41"/>
  <c r="AL61" i="41"/>
  <c r="AK61" i="41"/>
  <c r="AJ61" i="41"/>
  <c r="AI61" i="41"/>
  <c r="AH61" i="41"/>
  <c r="AD61" i="41"/>
  <c r="AC61" i="41"/>
  <c r="AB61" i="41"/>
  <c r="AA61" i="41"/>
  <c r="Z61" i="41"/>
  <c r="Y61" i="41"/>
  <c r="X61" i="41"/>
  <c r="AX60" i="41"/>
  <c r="AN60" i="41"/>
  <c r="AO60" i="41" s="1"/>
  <c r="AM60" i="41"/>
  <c r="W60" i="41"/>
  <c r="AF60" i="41" s="1"/>
  <c r="AQ60" i="41" s="1"/>
  <c r="V60" i="41"/>
  <c r="AE60" i="41" s="1"/>
  <c r="AX59" i="41"/>
  <c r="AX61" i="41" s="1"/>
  <c r="AN59" i="41"/>
  <c r="AN61" i="41" s="1"/>
  <c r="AM59" i="41"/>
  <c r="W59" i="41"/>
  <c r="AF59" i="41" s="1"/>
  <c r="V59" i="41"/>
  <c r="AE59" i="41" s="1"/>
  <c r="AW58" i="41"/>
  <c r="AV58" i="41"/>
  <c r="AU58" i="41"/>
  <c r="AL58" i="41"/>
  <c r="AK58" i="41"/>
  <c r="AJ58" i="41"/>
  <c r="AI58" i="41"/>
  <c r="AH58" i="41"/>
  <c r="AD58" i="41"/>
  <c r="AC58" i="41"/>
  <c r="AB58" i="41"/>
  <c r="AA58" i="41"/>
  <c r="Z58" i="41"/>
  <c r="Y58" i="41"/>
  <c r="X58" i="41"/>
  <c r="AX57" i="41"/>
  <c r="AN57" i="41"/>
  <c r="AM57" i="41"/>
  <c r="AO57" i="41" s="1"/>
  <c r="W57" i="41"/>
  <c r="AF57" i="41" s="1"/>
  <c r="AQ57" i="41" s="1"/>
  <c r="V57" i="41"/>
  <c r="AE57" i="41" s="1"/>
  <c r="AX56" i="41"/>
  <c r="AN56" i="41"/>
  <c r="AM56" i="41"/>
  <c r="W56" i="41"/>
  <c r="AF56" i="41" s="1"/>
  <c r="V56" i="41"/>
  <c r="AE56" i="41" s="1"/>
  <c r="AX55" i="41"/>
  <c r="AN55" i="41"/>
  <c r="AM55" i="41"/>
  <c r="AE55" i="41"/>
  <c r="W55" i="41"/>
  <c r="AF55" i="41" s="1"/>
  <c r="V55" i="41"/>
  <c r="AX54" i="41"/>
  <c r="AN54" i="41"/>
  <c r="AM54" i="41"/>
  <c r="W54" i="41"/>
  <c r="AF54" i="41" s="1"/>
  <c r="V54" i="41"/>
  <c r="AE54" i="41" s="1"/>
  <c r="AX53" i="41"/>
  <c r="AN53" i="41"/>
  <c r="AM53" i="41"/>
  <c r="W53" i="41"/>
  <c r="AF53" i="41" s="1"/>
  <c r="V53" i="41"/>
  <c r="AE53" i="41" s="1"/>
  <c r="AX52" i="41"/>
  <c r="AN52" i="41"/>
  <c r="AM52" i="41"/>
  <c r="W52" i="41"/>
  <c r="AF52" i="41" s="1"/>
  <c r="V52" i="41"/>
  <c r="AE52" i="41" s="1"/>
  <c r="AG52" i="41" s="1"/>
  <c r="AX51" i="41"/>
  <c r="AN51" i="41"/>
  <c r="AM51" i="41"/>
  <c r="W51" i="41"/>
  <c r="AF51" i="41" s="1"/>
  <c r="V51" i="41"/>
  <c r="AW50" i="41"/>
  <c r="AV50" i="41"/>
  <c r="AU50" i="41"/>
  <c r="AL50" i="41"/>
  <c r="AK50" i="41"/>
  <c r="AJ50" i="41"/>
  <c r="AI50" i="41"/>
  <c r="AH50" i="41"/>
  <c r="AD50" i="41"/>
  <c r="AC50" i="41"/>
  <c r="AB50" i="41"/>
  <c r="AA50" i="41"/>
  <c r="Z50" i="41"/>
  <c r="Y50" i="41"/>
  <c r="X50" i="41"/>
  <c r="AX49" i="41"/>
  <c r="AN49" i="41"/>
  <c r="AM49" i="41"/>
  <c r="W49" i="41"/>
  <c r="AF49" i="41" s="1"/>
  <c r="AQ49" i="41" s="1"/>
  <c r="V49" i="41"/>
  <c r="AE49" i="41" s="1"/>
  <c r="AX48" i="41"/>
  <c r="AN48" i="41"/>
  <c r="AM48" i="41"/>
  <c r="AO48" i="41" s="1"/>
  <c r="W48" i="41"/>
  <c r="AF48" i="41" s="1"/>
  <c r="V48" i="41"/>
  <c r="AE48" i="41" s="1"/>
  <c r="AX47" i="41"/>
  <c r="AN47" i="41"/>
  <c r="AM47" i="41"/>
  <c r="W47" i="41"/>
  <c r="AF47" i="41" s="1"/>
  <c r="V47" i="41"/>
  <c r="AE47" i="41" s="1"/>
  <c r="AX46" i="41"/>
  <c r="AN46" i="41"/>
  <c r="AM46" i="41"/>
  <c r="AO46" i="41" s="1"/>
  <c r="W46" i="41"/>
  <c r="AF46" i="41" s="1"/>
  <c r="V46" i="41"/>
  <c r="AE46" i="41" s="1"/>
  <c r="AX45" i="41"/>
  <c r="AN45" i="41"/>
  <c r="AM45" i="41"/>
  <c r="W45" i="41"/>
  <c r="AF45" i="41" s="1"/>
  <c r="V45" i="41"/>
  <c r="AE45" i="41" s="1"/>
  <c r="AX44" i="41"/>
  <c r="AN44" i="41"/>
  <c r="AM44" i="41"/>
  <c r="W44" i="41"/>
  <c r="AF44" i="41" s="1"/>
  <c r="V44" i="41"/>
  <c r="AE44" i="41" s="1"/>
  <c r="AW43" i="41"/>
  <c r="AV43" i="41"/>
  <c r="AU43" i="41"/>
  <c r="AL43" i="41"/>
  <c r="AK43" i="41"/>
  <c r="AJ43" i="41"/>
  <c r="AI43" i="41"/>
  <c r="AH43" i="41"/>
  <c r="AD43" i="41"/>
  <c r="AC43" i="41"/>
  <c r="AB43" i="41"/>
  <c r="AA43" i="41"/>
  <c r="Z43" i="41"/>
  <c r="Y43" i="41"/>
  <c r="X43" i="41"/>
  <c r="AX42" i="41"/>
  <c r="AN42" i="41"/>
  <c r="AM42" i="41"/>
  <c r="W42" i="41"/>
  <c r="AF42" i="41" s="1"/>
  <c r="AQ42" i="41" s="1"/>
  <c r="V42" i="41"/>
  <c r="AE42" i="41" s="1"/>
  <c r="AX41" i="41"/>
  <c r="AN41" i="41"/>
  <c r="AM41" i="41"/>
  <c r="W41" i="41"/>
  <c r="AF41" i="41" s="1"/>
  <c r="V41" i="41"/>
  <c r="AE41" i="41" s="1"/>
  <c r="AX40" i="41"/>
  <c r="AN40" i="41"/>
  <c r="AM40" i="41"/>
  <c r="W40" i="41"/>
  <c r="AF40" i="41" s="1"/>
  <c r="V40" i="41"/>
  <c r="AE40" i="41" s="1"/>
  <c r="AX39" i="41"/>
  <c r="AN39" i="41"/>
  <c r="AM39" i="41"/>
  <c r="AO39" i="41" s="1"/>
  <c r="W39" i="41"/>
  <c r="AF39" i="41" s="1"/>
  <c r="V39" i="41"/>
  <c r="AE39" i="41" s="1"/>
  <c r="AG39" i="41" s="1"/>
  <c r="AS39" i="41" s="1"/>
  <c r="AX38" i="41"/>
  <c r="AN38" i="41"/>
  <c r="AO38" i="41" s="1"/>
  <c r="AM38" i="41"/>
  <c r="W38" i="41"/>
  <c r="AF38" i="41" s="1"/>
  <c r="V38" i="41"/>
  <c r="AE38" i="41" s="1"/>
  <c r="AP38" i="41" s="1"/>
  <c r="AX37" i="41"/>
  <c r="AN37" i="41"/>
  <c r="AM37" i="41"/>
  <c r="W37" i="41"/>
  <c r="AF37" i="41" s="1"/>
  <c r="V37" i="41"/>
  <c r="AE37" i="41" s="1"/>
  <c r="AW36" i="41"/>
  <c r="AV36" i="41"/>
  <c r="AU36" i="41"/>
  <c r="AL36" i="41"/>
  <c r="AK36" i="41"/>
  <c r="AJ36" i="41"/>
  <c r="AI36" i="41"/>
  <c r="AH36" i="41"/>
  <c r="AD36" i="41"/>
  <c r="AC36" i="41"/>
  <c r="AB36" i="41"/>
  <c r="AA36" i="41"/>
  <c r="Z36" i="41"/>
  <c r="Y36" i="41"/>
  <c r="X36" i="41"/>
  <c r="AX35" i="41"/>
  <c r="AN35" i="41"/>
  <c r="AM35" i="41"/>
  <c r="AO35" i="41" s="1"/>
  <c r="W35" i="41"/>
  <c r="AF35" i="41" s="1"/>
  <c r="AQ35" i="41" s="1"/>
  <c r="V35" i="41"/>
  <c r="AE35" i="41" s="1"/>
  <c r="AX34" i="41"/>
  <c r="AN34" i="41"/>
  <c r="AQ34" i="41" s="1"/>
  <c r="AM34" i="41"/>
  <c r="W34" i="41"/>
  <c r="AF34" i="41" s="1"/>
  <c r="V34" i="41"/>
  <c r="AE34" i="41" s="1"/>
  <c r="AX33" i="41"/>
  <c r="AN33" i="41"/>
  <c r="AM33" i="41"/>
  <c r="AP33" i="41" s="1"/>
  <c r="W33" i="41"/>
  <c r="AF33" i="41" s="1"/>
  <c r="V33" i="41"/>
  <c r="AE33" i="41" s="1"/>
  <c r="AX32" i="41"/>
  <c r="AN32" i="41"/>
  <c r="AM32" i="41"/>
  <c r="AO32" i="41" s="1"/>
  <c r="W32" i="41"/>
  <c r="AF32" i="41" s="1"/>
  <c r="V32" i="41"/>
  <c r="AE32" i="41" s="1"/>
  <c r="AX31" i="41"/>
  <c r="AN31" i="41"/>
  <c r="AO31" i="41" s="1"/>
  <c r="AM31" i="41"/>
  <c r="W31" i="41"/>
  <c r="AF31" i="41" s="1"/>
  <c r="V31" i="41"/>
  <c r="AE31" i="41" s="1"/>
  <c r="AP31" i="41" s="1"/>
  <c r="AX30" i="41"/>
  <c r="AN30" i="41"/>
  <c r="AM30" i="41"/>
  <c r="W30" i="41"/>
  <c r="AF30" i="41" s="1"/>
  <c r="V30" i="41"/>
  <c r="AE30" i="41" s="1"/>
  <c r="AW29" i="41"/>
  <c r="AV29" i="41"/>
  <c r="AU29" i="41"/>
  <c r="AL29" i="41"/>
  <c r="AK29" i="41"/>
  <c r="AJ29" i="41"/>
  <c r="AI29" i="41"/>
  <c r="AH29" i="41"/>
  <c r="AD29" i="41"/>
  <c r="AC29" i="41"/>
  <c r="AB29" i="41"/>
  <c r="AA29" i="41"/>
  <c r="Z29" i="41"/>
  <c r="Y29" i="41"/>
  <c r="X29" i="41"/>
  <c r="AX28" i="41"/>
  <c r="AX29" i="41" s="1"/>
  <c r="AN28" i="41"/>
  <c r="AN29" i="41" s="1"/>
  <c r="AM28" i="41"/>
  <c r="AM29" i="41" s="1"/>
  <c r="W28" i="41"/>
  <c r="W29" i="41" s="1"/>
  <c r="V28" i="41"/>
  <c r="V29" i="41" s="1"/>
  <c r="AW27" i="41"/>
  <c r="AV27" i="41"/>
  <c r="AU27" i="41"/>
  <c r="AL27" i="41"/>
  <c r="AK27" i="41"/>
  <c r="AJ27" i="41"/>
  <c r="AI27" i="41"/>
  <c r="AH27" i="41"/>
  <c r="AD27" i="41"/>
  <c r="AC27" i="41"/>
  <c r="AB27" i="41"/>
  <c r="AA27" i="41"/>
  <c r="Z27" i="41"/>
  <c r="Y27" i="41"/>
  <c r="X27" i="41"/>
  <c r="AX26" i="41"/>
  <c r="AN26" i="41"/>
  <c r="AO26" i="41" s="1"/>
  <c r="AM26" i="41"/>
  <c r="W26" i="41"/>
  <c r="AF26" i="41" s="1"/>
  <c r="V26" i="41"/>
  <c r="AE26" i="41" s="1"/>
  <c r="AP26" i="41" s="1"/>
  <c r="AX25" i="41"/>
  <c r="AN25" i="41"/>
  <c r="AM25" i="41"/>
  <c r="W25" i="41"/>
  <c r="AF25" i="41" s="1"/>
  <c r="V25" i="41"/>
  <c r="AE25" i="41" s="1"/>
  <c r="AX24" i="41"/>
  <c r="AN24" i="41"/>
  <c r="AM24" i="41"/>
  <c r="AO24" i="41" s="1"/>
  <c r="W24" i="41"/>
  <c r="AF24" i="41" s="1"/>
  <c r="V24" i="41"/>
  <c r="AE24" i="41" s="1"/>
  <c r="AX23" i="41"/>
  <c r="AN23" i="41"/>
  <c r="AM23" i="41"/>
  <c r="AO23" i="41" s="1"/>
  <c r="W23" i="41"/>
  <c r="AF23" i="41" s="1"/>
  <c r="V23" i="41"/>
  <c r="AE23" i="41" s="1"/>
  <c r="AP23" i="41" s="1"/>
  <c r="AX22" i="41"/>
  <c r="AN22" i="41"/>
  <c r="AM22" i="41"/>
  <c r="AO22" i="41" s="1"/>
  <c r="W22" i="41"/>
  <c r="AF22" i="41" s="1"/>
  <c r="AQ22" i="41" s="1"/>
  <c r="V22" i="41"/>
  <c r="AE22" i="41" s="1"/>
  <c r="AW21" i="41"/>
  <c r="AV21" i="41"/>
  <c r="AU21" i="41"/>
  <c r="AL21" i="41"/>
  <c r="AK21" i="41"/>
  <c r="AJ21" i="41"/>
  <c r="AI21" i="41"/>
  <c r="AH21" i="41"/>
  <c r="AD21" i="41"/>
  <c r="AC21" i="41"/>
  <c r="AB21" i="41"/>
  <c r="AA21" i="41"/>
  <c r="Z21" i="41"/>
  <c r="Y21" i="41"/>
  <c r="X21" i="41"/>
  <c r="AX20" i="41"/>
  <c r="AN20" i="41"/>
  <c r="AM20" i="41"/>
  <c r="W20" i="41"/>
  <c r="AF20" i="41" s="1"/>
  <c r="V20" i="41"/>
  <c r="AE20" i="41" s="1"/>
  <c r="AX19" i="41"/>
  <c r="AN19" i="41"/>
  <c r="AM19" i="41"/>
  <c r="W19" i="41"/>
  <c r="AF19" i="41" s="1"/>
  <c r="V19" i="41"/>
  <c r="AE19" i="41" s="1"/>
  <c r="AX18" i="41"/>
  <c r="AN18" i="41"/>
  <c r="AM18" i="41"/>
  <c r="W18" i="41"/>
  <c r="AF18" i="41" s="1"/>
  <c r="V18" i="41"/>
  <c r="AE18" i="41" s="1"/>
  <c r="AP18" i="41" s="1"/>
  <c r="AX17" i="41"/>
  <c r="AN17" i="41"/>
  <c r="AM17" i="41"/>
  <c r="W17" i="41"/>
  <c r="V17" i="41"/>
  <c r="AE17" i="41" s="1"/>
  <c r="AW16" i="41"/>
  <c r="AV16" i="41"/>
  <c r="AU16" i="41"/>
  <c r="AL16" i="41"/>
  <c r="AK16" i="41"/>
  <c r="AJ16" i="41"/>
  <c r="AI16" i="41"/>
  <c r="AH16" i="41"/>
  <c r="AD16" i="41"/>
  <c r="AC16" i="41"/>
  <c r="AB16" i="41"/>
  <c r="AA16" i="41"/>
  <c r="Z16" i="41"/>
  <c r="Y16" i="41"/>
  <c r="X16" i="41"/>
  <c r="AX15" i="41"/>
  <c r="AN15" i="41"/>
  <c r="AM15" i="41"/>
  <c r="AO15" i="41" s="1"/>
  <c r="W15" i="41"/>
  <c r="AF15" i="41" s="1"/>
  <c r="AQ15" i="41" s="1"/>
  <c r="V15" i="41"/>
  <c r="AE15" i="41" s="1"/>
  <c r="AX14" i="41"/>
  <c r="AQ14" i="41"/>
  <c r="AN14" i="41"/>
  <c r="AM14" i="41"/>
  <c r="AO14" i="41" s="1"/>
  <c r="W14" i="41"/>
  <c r="AF14" i="41" s="1"/>
  <c r="V14" i="41"/>
  <c r="AE14" i="41" s="1"/>
  <c r="AG14" i="41" s="1"/>
  <c r="AX13" i="41"/>
  <c r="AN13" i="41"/>
  <c r="AM13" i="41"/>
  <c r="W13" i="41"/>
  <c r="AF13" i="41" s="1"/>
  <c r="V13" i="41"/>
  <c r="AE13" i="41" s="1"/>
  <c r="AX12" i="41"/>
  <c r="AN12" i="41"/>
  <c r="AM12" i="41"/>
  <c r="W12" i="41"/>
  <c r="AF12" i="41" s="1"/>
  <c r="V12" i="41"/>
  <c r="AE12" i="41" s="1"/>
  <c r="BJ165" i="40"/>
  <c r="BH165" i="40"/>
  <c r="BG165" i="40"/>
  <c r="BF165" i="40"/>
  <c r="BE165" i="40"/>
  <c r="BD165" i="40"/>
  <c r="BC165" i="40"/>
  <c r="BB165" i="40"/>
  <c r="BA165" i="40"/>
  <c r="AZ165" i="40"/>
  <c r="BJ164" i="40"/>
  <c r="BI164" i="40"/>
  <c r="BK164" i="40" s="1"/>
  <c r="BJ163" i="40"/>
  <c r="BI163" i="40"/>
  <c r="BK163" i="40" s="1"/>
  <c r="BJ162" i="40"/>
  <c r="BI162" i="40"/>
  <c r="BI165" i="40" s="1"/>
  <c r="BH161" i="40"/>
  <c r="BG161" i="40"/>
  <c r="BF161" i="40"/>
  <c r="BE161" i="40"/>
  <c r="BD161" i="40"/>
  <c r="BC161" i="40"/>
  <c r="BB161" i="40"/>
  <c r="BA161" i="40"/>
  <c r="AZ161" i="40"/>
  <c r="BK160" i="40"/>
  <c r="BJ160" i="40"/>
  <c r="BI160" i="40"/>
  <c r="BJ159" i="40"/>
  <c r="BI159" i="40"/>
  <c r="BK159" i="40" s="1"/>
  <c r="BJ158" i="40"/>
  <c r="BI158" i="40"/>
  <c r="BK158" i="40" s="1"/>
  <c r="BJ157" i="40"/>
  <c r="BI157" i="40"/>
  <c r="BK157" i="40" s="1"/>
  <c r="BJ156" i="40"/>
  <c r="BK156" i="40" s="1"/>
  <c r="BI156" i="40"/>
  <c r="BI161" i="40" s="1"/>
  <c r="BJ155" i="40"/>
  <c r="BH155" i="40"/>
  <c r="BG155" i="40"/>
  <c r="BF155" i="40"/>
  <c r="BE155" i="40"/>
  <c r="BD155" i="40"/>
  <c r="BC155" i="40"/>
  <c r="BB155" i="40"/>
  <c r="BA155" i="40"/>
  <c r="AZ155" i="40"/>
  <c r="BJ154" i="40"/>
  <c r="BI154" i="40"/>
  <c r="BK154" i="40" s="1"/>
  <c r="BJ153" i="40"/>
  <c r="BI153" i="40"/>
  <c r="BK153" i="40" s="1"/>
  <c r="BJ152" i="40"/>
  <c r="BI152" i="40"/>
  <c r="BI155" i="40" s="1"/>
  <c r="BH151" i="40"/>
  <c r="BG151" i="40"/>
  <c r="BF151" i="40"/>
  <c r="BE151" i="40"/>
  <c r="BD151" i="40"/>
  <c r="BC151" i="40"/>
  <c r="BB151" i="40"/>
  <c r="BA151" i="40"/>
  <c r="AZ151" i="40"/>
  <c r="BK150" i="40"/>
  <c r="BJ150" i="40"/>
  <c r="BI150" i="40"/>
  <c r="BJ149" i="40"/>
  <c r="BI149" i="40"/>
  <c r="BK149" i="40" s="1"/>
  <c r="BJ148" i="40"/>
  <c r="BI148" i="40"/>
  <c r="BK148" i="40" s="1"/>
  <c r="BJ147" i="40"/>
  <c r="BI147" i="40"/>
  <c r="BK147" i="40" s="1"/>
  <c r="BJ146" i="40"/>
  <c r="BK146" i="40" s="1"/>
  <c r="BI146" i="40"/>
  <c r="BJ145" i="40"/>
  <c r="BK145" i="40" s="1"/>
  <c r="BI145" i="40"/>
  <c r="BI151" i="40" s="1"/>
  <c r="BH144" i="40"/>
  <c r="BG144" i="40"/>
  <c r="BF144" i="40"/>
  <c r="BE144" i="40"/>
  <c r="BD144" i="40"/>
  <c r="BC144" i="40"/>
  <c r="BB144" i="40"/>
  <c r="BA144" i="40"/>
  <c r="AZ144" i="40"/>
  <c r="BJ143" i="40"/>
  <c r="BI143" i="40"/>
  <c r="BK143" i="40" s="1"/>
  <c r="BJ142" i="40"/>
  <c r="BI142" i="40"/>
  <c r="BK142" i="40" s="1"/>
  <c r="BJ141" i="40"/>
  <c r="BK141" i="40" s="1"/>
  <c r="BI141" i="40"/>
  <c r="BJ140" i="40"/>
  <c r="BK140" i="40" s="1"/>
  <c r="BI140" i="40"/>
  <c r="BJ139" i="40"/>
  <c r="BK139" i="40" s="1"/>
  <c r="BI139" i="40"/>
  <c r="BK138" i="40"/>
  <c r="BJ138" i="40"/>
  <c r="BI138" i="40"/>
  <c r="BI144" i="40" s="1"/>
  <c r="BH137" i="40"/>
  <c r="BG137" i="40"/>
  <c r="BF137" i="40"/>
  <c r="BE137" i="40"/>
  <c r="BD137" i="40"/>
  <c r="BC137" i="40"/>
  <c r="BB137" i="40"/>
  <c r="BA137" i="40"/>
  <c r="AZ137" i="40"/>
  <c r="BJ136" i="40"/>
  <c r="BK136" i="40" s="1"/>
  <c r="BI136" i="40"/>
  <c r="BJ135" i="40"/>
  <c r="BK135" i="40" s="1"/>
  <c r="BI135" i="40"/>
  <c r="BJ134" i="40"/>
  <c r="BK134" i="40" s="1"/>
  <c r="BI134" i="40"/>
  <c r="BK133" i="40"/>
  <c r="BJ133" i="40"/>
  <c r="BI133" i="40"/>
  <c r="BK132" i="40"/>
  <c r="BJ132" i="40"/>
  <c r="BI132" i="40"/>
  <c r="BJ131" i="40"/>
  <c r="BJ137" i="40" s="1"/>
  <c r="BI131" i="40"/>
  <c r="BI137" i="40" s="1"/>
  <c r="BI130" i="40"/>
  <c r="BH130" i="40"/>
  <c r="BG130" i="40"/>
  <c r="BF130" i="40"/>
  <c r="BE130" i="40"/>
  <c r="BD130" i="40"/>
  <c r="BC130" i="40"/>
  <c r="BB130" i="40"/>
  <c r="BA130" i="40"/>
  <c r="AZ130" i="40"/>
  <c r="BJ129" i="40"/>
  <c r="BJ130" i="40" s="1"/>
  <c r="BI129" i="40"/>
  <c r="BK128" i="40"/>
  <c r="BJ128" i="40"/>
  <c r="BI128" i="40"/>
  <c r="BH127" i="40"/>
  <c r="BG127" i="40"/>
  <c r="BF127" i="40"/>
  <c r="BE127" i="40"/>
  <c r="BD127" i="40"/>
  <c r="BC127" i="40"/>
  <c r="BB127" i="40"/>
  <c r="BA127" i="40"/>
  <c r="AZ127" i="40"/>
  <c r="BJ126" i="40"/>
  <c r="BK126" i="40" s="1"/>
  <c r="BI126" i="40"/>
  <c r="BJ125" i="40"/>
  <c r="BK125" i="40" s="1"/>
  <c r="BI125" i="40"/>
  <c r="BI127" i="40" s="1"/>
  <c r="BH124" i="40"/>
  <c r="BG124" i="40"/>
  <c r="BF124" i="40"/>
  <c r="BE124" i="40"/>
  <c r="BD124" i="40"/>
  <c r="BC124" i="40"/>
  <c r="BB124" i="40"/>
  <c r="BA124" i="40"/>
  <c r="AZ124" i="40"/>
  <c r="BJ123" i="40"/>
  <c r="BI123" i="40"/>
  <c r="BK123" i="40" s="1"/>
  <c r="BJ122" i="40"/>
  <c r="BI122" i="40"/>
  <c r="BK122" i="40" s="1"/>
  <c r="BJ121" i="40"/>
  <c r="BK121" i="40" s="1"/>
  <c r="BI121" i="40"/>
  <c r="BJ120" i="40"/>
  <c r="BK120" i="40" s="1"/>
  <c r="BI120" i="40"/>
  <c r="BJ119" i="40"/>
  <c r="BK119" i="40" s="1"/>
  <c r="BI119" i="40"/>
  <c r="BI124" i="40" s="1"/>
  <c r="BH118" i="40"/>
  <c r="BG118" i="40"/>
  <c r="BF118" i="40"/>
  <c r="BE118" i="40"/>
  <c r="BD118" i="40"/>
  <c r="BC118" i="40"/>
  <c r="BB118" i="40"/>
  <c r="BA118" i="40"/>
  <c r="AZ118" i="40"/>
  <c r="BJ117" i="40"/>
  <c r="BI117" i="40"/>
  <c r="BI118" i="40" s="1"/>
  <c r="BJ116" i="40"/>
  <c r="BK116" i="40" s="1"/>
  <c r="BI116" i="40"/>
  <c r="BJ115" i="40"/>
  <c r="BK115" i="40" s="1"/>
  <c r="BI115" i="40"/>
  <c r="BH114" i="40"/>
  <c r="BG114" i="40"/>
  <c r="BF114" i="40"/>
  <c r="BE114" i="40"/>
  <c r="BD114" i="40"/>
  <c r="BC114" i="40"/>
  <c r="BB114" i="40"/>
  <c r="BA114" i="40"/>
  <c r="AZ114" i="40"/>
  <c r="BJ113" i="40"/>
  <c r="BI113" i="40"/>
  <c r="BK113" i="40" s="1"/>
  <c r="BJ112" i="40"/>
  <c r="BI112" i="40"/>
  <c r="BK112" i="40" s="1"/>
  <c r="BJ111" i="40"/>
  <c r="BJ114" i="40" s="1"/>
  <c r="BI111" i="40"/>
  <c r="BJ110" i="40"/>
  <c r="BH110" i="40"/>
  <c r="BG110" i="40"/>
  <c r="BF110" i="40"/>
  <c r="BE110" i="40"/>
  <c r="BD110" i="40"/>
  <c r="BC110" i="40"/>
  <c r="BB110" i="40"/>
  <c r="BA110" i="40"/>
  <c r="AZ110" i="40"/>
  <c r="BJ109" i="40"/>
  <c r="BI109" i="40"/>
  <c r="BI110" i="40" s="1"/>
  <c r="BH108" i="40"/>
  <c r="BG108" i="40"/>
  <c r="BF108" i="40"/>
  <c r="BE108" i="40"/>
  <c r="BD108" i="40"/>
  <c r="BC108" i="40"/>
  <c r="BB108" i="40"/>
  <c r="BA108" i="40"/>
  <c r="AZ108" i="40"/>
  <c r="BJ107" i="40"/>
  <c r="BK107" i="40" s="1"/>
  <c r="BI107" i="40"/>
  <c r="BK106" i="40"/>
  <c r="BJ106" i="40"/>
  <c r="BI106" i="40"/>
  <c r="BK105" i="40"/>
  <c r="BJ105" i="40"/>
  <c r="BI105" i="40"/>
  <c r="BJ104" i="40"/>
  <c r="BI104" i="40"/>
  <c r="BK104" i="40" s="1"/>
  <c r="BJ103" i="40"/>
  <c r="BJ108" i="40" s="1"/>
  <c r="BI103" i="40"/>
  <c r="BI108" i="40" s="1"/>
  <c r="BJ102" i="40"/>
  <c r="BH102" i="40"/>
  <c r="BG102" i="40"/>
  <c r="BF102" i="40"/>
  <c r="BE102" i="40"/>
  <c r="BD102" i="40"/>
  <c r="BC102" i="40"/>
  <c r="BB102" i="40"/>
  <c r="BA102" i="40"/>
  <c r="AZ102" i="40"/>
  <c r="BK101" i="40"/>
  <c r="BJ101" i="40"/>
  <c r="BI101" i="40"/>
  <c r="BK100" i="40"/>
  <c r="BJ100" i="40"/>
  <c r="BI100" i="40"/>
  <c r="BJ99" i="40"/>
  <c r="BI99" i="40"/>
  <c r="BI102" i="40" s="1"/>
  <c r="BH98" i="40"/>
  <c r="BG98" i="40"/>
  <c r="BF98" i="40"/>
  <c r="BE98" i="40"/>
  <c r="BD98" i="40"/>
  <c r="BC98" i="40"/>
  <c r="BB98" i="40"/>
  <c r="BA98" i="40"/>
  <c r="AZ98" i="40"/>
  <c r="BJ97" i="40"/>
  <c r="BK97" i="40" s="1"/>
  <c r="BI97" i="40"/>
  <c r="BK96" i="40"/>
  <c r="BJ96" i="40"/>
  <c r="BI96" i="40"/>
  <c r="BK95" i="40"/>
  <c r="BJ95" i="40"/>
  <c r="BI95" i="40"/>
  <c r="BJ94" i="40"/>
  <c r="BI94" i="40"/>
  <c r="BK94" i="40" s="1"/>
  <c r="BJ93" i="40"/>
  <c r="BJ98" i="40" s="1"/>
  <c r="BI93" i="40"/>
  <c r="BI98" i="40" s="1"/>
  <c r="BJ92" i="40"/>
  <c r="BH92" i="40"/>
  <c r="BG92" i="40"/>
  <c r="BF92" i="40"/>
  <c r="BE92" i="40"/>
  <c r="BD92" i="40"/>
  <c r="BC92" i="40"/>
  <c r="BB92" i="40"/>
  <c r="BA92" i="40"/>
  <c r="AZ92" i="40"/>
  <c r="BK91" i="40"/>
  <c r="BJ91" i="40"/>
  <c r="BI91" i="40"/>
  <c r="BK90" i="40"/>
  <c r="BJ90" i="40"/>
  <c r="BI90" i="40"/>
  <c r="BJ89" i="40"/>
  <c r="BI89" i="40"/>
  <c r="BI92" i="40" s="1"/>
  <c r="BH88" i="40"/>
  <c r="BG88" i="40"/>
  <c r="BF88" i="40"/>
  <c r="BE88" i="40"/>
  <c r="BD88" i="40"/>
  <c r="BC88" i="40"/>
  <c r="BB88" i="40"/>
  <c r="BA88" i="40"/>
  <c r="AZ88" i="40"/>
  <c r="BJ87" i="40"/>
  <c r="BK87" i="40" s="1"/>
  <c r="BI87" i="40"/>
  <c r="BK86" i="40"/>
  <c r="BJ86" i="40"/>
  <c r="BI86" i="40"/>
  <c r="BK85" i="40"/>
  <c r="BJ85" i="40"/>
  <c r="BI85" i="40"/>
  <c r="BJ84" i="40"/>
  <c r="BI84" i="40"/>
  <c r="BK84" i="40" s="1"/>
  <c r="BJ83" i="40"/>
  <c r="BI83" i="40"/>
  <c r="BK83" i="40" s="1"/>
  <c r="BJ82" i="40"/>
  <c r="BJ88" i="40" s="1"/>
  <c r="BI82" i="40"/>
  <c r="BI88" i="40" s="1"/>
  <c r="BH81" i="40"/>
  <c r="BG81" i="40"/>
  <c r="BF81" i="40"/>
  <c r="BE81" i="40"/>
  <c r="BD81" i="40"/>
  <c r="BC81" i="40"/>
  <c r="BB81" i="40"/>
  <c r="BA81" i="40"/>
  <c r="AZ81" i="40"/>
  <c r="BK80" i="40"/>
  <c r="BJ80" i="40"/>
  <c r="BI80" i="40"/>
  <c r="BJ79" i="40"/>
  <c r="BI79" i="40"/>
  <c r="BK79" i="40" s="1"/>
  <c r="BJ78" i="40"/>
  <c r="BI78" i="40"/>
  <c r="BK78" i="40" s="1"/>
  <c r="BJ77" i="40"/>
  <c r="BI77" i="40"/>
  <c r="BK77" i="40" s="1"/>
  <c r="BJ76" i="40"/>
  <c r="BI76" i="40"/>
  <c r="BJ75" i="40"/>
  <c r="BK75" i="40" s="1"/>
  <c r="BI75" i="40"/>
  <c r="BH74" i="40"/>
  <c r="BG74" i="40"/>
  <c r="BF74" i="40"/>
  <c r="BE74" i="40"/>
  <c r="BD74" i="40"/>
  <c r="BC74" i="40"/>
  <c r="BB74" i="40"/>
  <c r="BA74" i="40"/>
  <c r="AZ74" i="40"/>
  <c r="BJ73" i="40"/>
  <c r="BI73" i="40"/>
  <c r="BK73" i="40" s="1"/>
  <c r="BJ72" i="40"/>
  <c r="BI72" i="40"/>
  <c r="BK72" i="40" s="1"/>
  <c r="BJ71" i="40"/>
  <c r="BK71" i="40" s="1"/>
  <c r="BI71" i="40"/>
  <c r="BJ70" i="40"/>
  <c r="BK70" i="40" s="1"/>
  <c r="BI70" i="40"/>
  <c r="BJ69" i="40"/>
  <c r="BK69" i="40" s="1"/>
  <c r="BI69" i="40"/>
  <c r="BK68" i="40"/>
  <c r="BK74" i="40" s="1"/>
  <c r="BJ68" i="40"/>
  <c r="BI68" i="40"/>
  <c r="BI74" i="40" s="1"/>
  <c r="BH67" i="40"/>
  <c r="BG67" i="40"/>
  <c r="BF67" i="40"/>
  <c r="BE67" i="40"/>
  <c r="BD67" i="40"/>
  <c r="BC67" i="40"/>
  <c r="BB67" i="40"/>
  <c r="BA67" i="40"/>
  <c r="AZ67" i="40"/>
  <c r="BJ66" i="40"/>
  <c r="BK66" i="40" s="1"/>
  <c r="BI66" i="40"/>
  <c r="BJ65" i="40"/>
  <c r="BK65" i="40" s="1"/>
  <c r="BI65" i="40"/>
  <c r="BJ64" i="40"/>
  <c r="BK64" i="40" s="1"/>
  <c r="BI64" i="40"/>
  <c r="BK63" i="40"/>
  <c r="BJ63" i="40"/>
  <c r="BI63" i="40"/>
  <c r="BK62" i="40"/>
  <c r="BJ62" i="40"/>
  <c r="BI62" i="40"/>
  <c r="BJ61" i="40"/>
  <c r="BJ67" i="40" s="1"/>
  <c r="BI61" i="40"/>
  <c r="BI67" i="40" s="1"/>
  <c r="BH60" i="40"/>
  <c r="BG60" i="40"/>
  <c r="BF60" i="40"/>
  <c r="BE60" i="40"/>
  <c r="BD60" i="40"/>
  <c r="BC60" i="40"/>
  <c r="BB60" i="40"/>
  <c r="BA60" i="40"/>
  <c r="AZ60" i="40"/>
  <c r="BJ59" i="40"/>
  <c r="BK59" i="40" s="1"/>
  <c r="BI59" i="40"/>
  <c r="BK58" i="40"/>
  <c r="BJ58" i="40"/>
  <c r="BI58" i="40"/>
  <c r="BK57" i="40"/>
  <c r="BJ57" i="40"/>
  <c r="BI57" i="40"/>
  <c r="BJ56" i="40"/>
  <c r="BI56" i="40"/>
  <c r="BK56" i="40" s="1"/>
  <c r="BJ55" i="40"/>
  <c r="BI55" i="40"/>
  <c r="BK55" i="40" s="1"/>
  <c r="BJ54" i="40"/>
  <c r="BJ60" i="40" s="1"/>
  <c r="BI54" i="40"/>
  <c r="BJ53" i="40"/>
  <c r="BH53" i="40"/>
  <c r="BG53" i="40"/>
  <c r="BF53" i="40"/>
  <c r="BE53" i="40"/>
  <c r="BD53" i="40"/>
  <c r="BC53" i="40"/>
  <c r="BB53" i="40"/>
  <c r="BA53" i="40"/>
  <c r="AZ53" i="40"/>
  <c r="BK52" i="40"/>
  <c r="BK53" i="40" s="1"/>
  <c r="BJ52" i="40"/>
  <c r="BI52" i="40"/>
  <c r="BI53" i="40" s="1"/>
  <c r="BH51" i="40"/>
  <c r="BG51" i="40"/>
  <c r="BF51" i="40"/>
  <c r="BE51" i="40"/>
  <c r="BD51" i="40"/>
  <c r="BC51" i="40"/>
  <c r="BB51" i="40"/>
  <c r="BA51" i="40"/>
  <c r="AZ51" i="40"/>
  <c r="BJ50" i="40"/>
  <c r="BK50" i="40" s="1"/>
  <c r="BI50" i="40"/>
  <c r="BJ49" i="40"/>
  <c r="BK49" i="40" s="1"/>
  <c r="BI49" i="40"/>
  <c r="BK48" i="40"/>
  <c r="BJ48" i="40"/>
  <c r="BI48" i="40"/>
  <c r="BK47" i="40"/>
  <c r="BJ47" i="40"/>
  <c r="BI47" i="40"/>
  <c r="BJ46" i="40"/>
  <c r="BI46" i="40"/>
  <c r="BK46" i="40" s="1"/>
  <c r="BB46" i="40"/>
  <c r="BJ45" i="40"/>
  <c r="BK45" i="40" s="1"/>
  <c r="BI45" i="40"/>
  <c r="BH44" i="40"/>
  <c r="BG44" i="40"/>
  <c r="BF44" i="40"/>
  <c r="BE44" i="40"/>
  <c r="BD44" i="40"/>
  <c r="BC44" i="40"/>
  <c r="BB44" i="40"/>
  <c r="BA44" i="40"/>
  <c r="AZ44" i="40"/>
  <c r="BJ43" i="40"/>
  <c r="BI43" i="40"/>
  <c r="BK43" i="40" s="1"/>
  <c r="BJ42" i="40"/>
  <c r="BI42" i="40"/>
  <c r="BK42" i="40" s="1"/>
  <c r="BJ41" i="40"/>
  <c r="BK41" i="40" s="1"/>
  <c r="BI41" i="40"/>
  <c r="BJ40" i="40"/>
  <c r="BJ44" i="40" s="1"/>
  <c r="BB40" i="40"/>
  <c r="BI40" i="40" s="1"/>
  <c r="BK40" i="40" s="1"/>
  <c r="BJ39" i="40"/>
  <c r="BI39" i="40"/>
  <c r="BK39" i="40" s="1"/>
  <c r="BK44" i="40" s="1"/>
  <c r="BH38" i="40"/>
  <c r="BG38" i="40"/>
  <c r="BF38" i="40"/>
  <c r="BE38" i="40"/>
  <c r="BD38" i="40"/>
  <c r="BC38" i="40"/>
  <c r="BB38" i="40"/>
  <c r="BA38" i="40"/>
  <c r="AZ38" i="40"/>
  <c r="BJ37" i="40"/>
  <c r="BK37" i="40" s="1"/>
  <c r="BI37" i="40"/>
  <c r="BK36" i="40"/>
  <c r="BJ36" i="40"/>
  <c r="BI36" i="40"/>
  <c r="BK35" i="40"/>
  <c r="BJ35" i="40"/>
  <c r="BI35" i="40"/>
  <c r="BJ34" i="40"/>
  <c r="BI34" i="40"/>
  <c r="BK34" i="40" s="1"/>
  <c r="BJ33" i="40"/>
  <c r="BJ38" i="40" s="1"/>
  <c r="BI33" i="40"/>
  <c r="BH32" i="40"/>
  <c r="BG32" i="40"/>
  <c r="BF32" i="40"/>
  <c r="BE32" i="40"/>
  <c r="BD32" i="40"/>
  <c r="BC32" i="40"/>
  <c r="BB32" i="40"/>
  <c r="BA32" i="40"/>
  <c r="AZ32" i="40"/>
  <c r="BK31" i="40"/>
  <c r="BJ31" i="40"/>
  <c r="BI31" i="40"/>
  <c r="BK30" i="40"/>
  <c r="BJ30" i="40"/>
  <c r="BI30" i="40"/>
  <c r="BJ29" i="40"/>
  <c r="BI29" i="40"/>
  <c r="BK29" i="40" s="1"/>
  <c r="BJ28" i="40"/>
  <c r="BI28" i="40"/>
  <c r="BK28" i="40" s="1"/>
  <c r="BJ27" i="40"/>
  <c r="BJ32" i="40" s="1"/>
  <c r="BI27" i="40"/>
  <c r="BK27" i="40" s="1"/>
  <c r="BB27" i="40"/>
  <c r="BK26" i="40"/>
  <c r="BJ26" i="40"/>
  <c r="BI26" i="40"/>
  <c r="BH25" i="40"/>
  <c r="BG25" i="40"/>
  <c r="BF25" i="40"/>
  <c r="BE25" i="40"/>
  <c r="BD25" i="40"/>
  <c r="BC25" i="40"/>
  <c r="BB25" i="40"/>
  <c r="BA25" i="40"/>
  <c r="AZ25" i="40"/>
  <c r="BJ24" i="40"/>
  <c r="BJ25" i="40" s="1"/>
  <c r="BI24" i="40"/>
  <c r="BI25" i="40" s="1"/>
  <c r="BJ23" i="40"/>
  <c r="BH23" i="40"/>
  <c r="BG23" i="40"/>
  <c r="BF23" i="40"/>
  <c r="BE23" i="40"/>
  <c r="BD23" i="40"/>
  <c r="BC23" i="40"/>
  <c r="BB23" i="40"/>
  <c r="BA23" i="40"/>
  <c r="AZ23" i="40"/>
  <c r="BJ22" i="40"/>
  <c r="BI22" i="40"/>
  <c r="BK22" i="40" s="1"/>
  <c r="BJ21" i="40"/>
  <c r="BI21" i="40"/>
  <c r="BK21" i="40" s="1"/>
  <c r="BJ20" i="40"/>
  <c r="BI20" i="40"/>
  <c r="BI23" i="40" s="1"/>
  <c r="BJ19" i="40"/>
  <c r="BH19" i="40"/>
  <c r="BG19" i="40"/>
  <c r="BF19" i="40"/>
  <c r="BE19" i="40"/>
  <c r="BD19" i="40"/>
  <c r="BC19" i="40"/>
  <c r="BB19" i="40"/>
  <c r="BA19" i="40"/>
  <c r="AZ19" i="40"/>
  <c r="BK18" i="40"/>
  <c r="BJ18" i="40"/>
  <c r="BI18" i="40"/>
  <c r="BJ17" i="40"/>
  <c r="BI17" i="40"/>
  <c r="BK17" i="40" s="1"/>
  <c r="BJ16" i="40"/>
  <c r="BI16" i="40"/>
  <c r="BI19" i="40" s="1"/>
  <c r="BJ15" i="40"/>
  <c r="BH15" i="40"/>
  <c r="BG15" i="40"/>
  <c r="BF15" i="40"/>
  <c r="BE15" i="40"/>
  <c r="BD15" i="40"/>
  <c r="BC15" i="40"/>
  <c r="BB15" i="40"/>
  <c r="BA15" i="40"/>
  <c r="AZ15" i="40"/>
  <c r="BK14" i="40"/>
  <c r="BJ14" i="40"/>
  <c r="BI14" i="40"/>
  <c r="BK13" i="40"/>
  <c r="BJ13" i="40"/>
  <c r="BI13" i="40"/>
  <c r="BJ12" i="40"/>
  <c r="BI12" i="40"/>
  <c r="BI15" i="40" s="1"/>
  <c r="AW165" i="40"/>
  <c r="AV165" i="40"/>
  <c r="AU165" i="40"/>
  <c r="AL165" i="40"/>
  <c r="AK165" i="40"/>
  <c r="AJ165" i="40"/>
  <c r="AI165" i="40"/>
  <c r="AH165" i="40"/>
  <c r="AD165" i="40"/>
  <c r="AC165" i="40"/>
  <c r="AB165" i="40"/>
  <c r="AA165" i="40"/>
  <c r="Z165" i="40"/>
  <c r="Y165" i="40"/>
  <c r="X165" i="40"/>
  <c r="W165" i="40"/>
  <c r="AX164" i="40"/>
  <c r="AN164" i="40"/>
  <c r="AM164" i="40"/>
  <c r="AO164" i="40" s="1"/>
  <c r="W164" i="40"/>
  <c r="AF164" i="40" s="1"/>
  <c r="AQ164" i="40" s="1"/>
  <c r="V164" i="40"/>
  <c r="AE164" i="40" s="1"/>
  <c r="AP164" i="40" s="1"/>
  <c r="AX163" i="40"/>
  <c r="AN163" i="40"/>
  <c r="AM163" i="40"/>
  <c r="AF163" i="40"/>
  <c r="AQ163" i="40" s="1"/>
  <c r="W163" i="40"/>
  <c r="V163" i="40"/>
  <c r="AE163" i="40" s="1"/>
  <c r="AX162" i="40"/>
  <c r="AX165" i="40" s="1"/>
  <c r="AN162" i="40"/>
  <c r="AM162" i="40"/>
  <c r="AO162" i="40" s="1"/>
  <c r="AF162" i="40"/>
  <c r="AQ162" i="40" s="1"/>
  <c r="AE162" i="40"/>
  <c r="W162" i="40"/>
  <c r="V162" i="40"/>
  <c r="V165" i="40" s="1"/>
  <c r="AW161" i="40"/>
  <c r="AV161" i="40"/>
  <c r="AU161" i="40"/>
  <c r="AN161" i="40"/>
  <c r="AL161" i="40"/>
  <c r="AK161" i="40"/>
  <c r="AJ161" i="40"/>
  <c r="AI161" i="40"/>
  <c r="AH161" i="40"/>
  <c r="AD161" i="40"/>
  <c r="AC161" i="40"/>
  <c r="AB161" i="40"/>
  <c r="AA161" i="40"/>
  <c r="Z161" i="40"/>
  <c r="Y161" i="40"/>
  <c r="X161" i="40"/>
  <c r="V161" i="40"/>
  <c r="AX160" i="40"/>
  <c r="AO160" i="40"/>
  <c r="AN160" i="40"/>
  <c r="AM160" i="40"/>
  <c r="W160" i="40"/>
  <c r="V160" i="40"/>
  <c r="AE160" i="40" s="1"/>
  <c r="AX159" i="40"/>
  <c r="AP159" i="40"/>
  <c r="AN159" i="40"/>
  <c r="AO159" i="40" s="1"/>
  <c r="AM159" i="40"/>
  <c r="AF159" i="40"/>
  <c r="W159" i="40"/>
  <c r="V159" i="40"/>
  <c r="AE159" i="40" s="1"/>
  <c r="AG159" i="40" s="1"/>
  <c r="AX158" i="40"/>
  <c r="AN158" i="40"/>
  <c r="AM158" i="40"/>
  <c r="AO158" i="40" s="1"/>
  <c r="AE158" i="40"/>
  <c r="AG158" i="40" s="1"/>
  <c r="W158" i="40"/>
  <c r="AF158" i="40" s="1"/>
  <c r="AQ158" i="40" s="1"/>
  <c r="V158" i="40"/>
  <c r="AX157" i="40"/>
  <c r="AT157" i="40"/>
  <c r="AN157" i="40"/>
  <c r="AM157" i="40"/>
  <c r="AO157" i="40" s="1"/>
  <c r="AG157" i="40"/>
  <c r="AS157" i="40" s="1"/>
  <c r="W157" i="40"/>
  <c r="AF157" i="40" s="1"/>
  <c r="V157" i="40"/>
  <c r="AE157" i="40" s="1"/>
  <c r="AP157" i="40" s="1"/>
  <c r="AX156" i="40"/>
  <c r="AX161" i="40" s="1"/>
  <c r="AN156" i="40"/>
  <c r="AM156" i="40"/>
  <c r="AF156" i="40"/>
  <c r="W156" i="40"/>
  <c r="V156" i="40"/>
  <c r="AE156" i="40" s="1"/>
  <c r="AW155" i="40"/>
  <c r="AV155" i="40"/>
  <c r="AU155" i="40"/>
  <c r="AM155" i="40"/>
  <c r="AL155" i="40"/>
  <c r="AK155" i="40"/>
  <c r="AJ155" i="40"/>
  <c r="AI155" i="40"/>
  <c r="AH155" i="40"/>
  <c r="AD155" i="40"/>
  <c r="AC155" i="40"/>
  <c r="AB155" i="40"/>
  <c r="AA155" i="40"/>
  <c r="Z155" i="40"/>
  <c r="Y155" i="40"/>
  <c r="X155" i="40"/>
  <c r="W155" i="40"/>
  <c r="AX154" i="40"/>
  <c r="AN154" i="40"/>
  <c r="AM154" i="40"/>
  <c r="AO154" i="40" s="1"/>
  <c r="W154" i="40"/>
  <c r="AF154" i="40" s="1"/>
  <c r="AQ154" i="40" s="1"/>
  <c r="V154" i="40"/>
  <c r="AE154" i="40" s="1"/>
  <c r="AX153" i="40"/>
  <c r="AQ153" i="40"/>
  <c r="AO153" i="40"/>
  <c r="AN153" i="40"/>
  <c r="AM153" i="40"/>
  <c r="W153" i="40"/>
  <c r="AF153" i="40" s="1"/>
  <c r="AF155" i="40" s="1"/>
  <c r="V153" i="40"/>
  <c r="AE153" i="40" s="1"/>
  <c r="AX152" i="40"/>
  <c r="AX155" i="40" s="1"/>
  <c r="AN152" i="40"/>
  <c r="AM152" i="40"/>
  <c r="AF152" i="40"/>
  <c r="W152" i="40"/>
  <c r="V152" i="40"/>
  <c r="AW151" i="40"/>
  <c r="AV151" i="40"/>
  <c r="AU151" i="40"/>
  <c r="AL151" i="40"/>
  <c r="AK151" i="40"/>
  <c r="AJ151" i="40"/>
  <c r="AI151" i="40"/>
  <c r="AH151" i="40"/>
  <c r="AD151" i="40"/>
  <c r="AC151" i="40"/>
  <c r="AB151" i="40"/>
  <c r="AA151" i="40"/>
  <c r="Z151" i="40"/>
  <c r="Y151" i="40"/>
  <c r="X151" i="40"/>
  <c r="AX150" i="40"/>
  <c r="AX151" i="40" s="1"/>
  <c r="AN150" i="40"/>
  <c r="AM150" i="40"/>
  <c r="AO150" i="40" s="1"/>
  <c r="AF150" i="40"/>
  <c r="AQ150" i="40" s="1"/>
  <c r="W150" i="40"/>
  <c r="V150" i="40"/>
  <c r="AE150" i="40" s="1"/>
  <c r="AX149" i="40"/>
  <c r="AN149" i="40"/>
  <c r="AO149" i="40" s="1"/>
  <c r="AM149" i="40"/>
  <c r="AF149" i="40"/>
  <c r="AQ149" i="40" s="1"/>
  <c r="AE149" i="40"/>
  <c r="AP149" i="40" s="1"/>
  <c r="AR149" i="40" s="1"/>
  <c r="W149" i="40"/>
  <c r="V149" i="40"/>
  <c r="AX148" i="40"/>
  <c r="AN148" i="40"/>
  <c r="AM148" i="40"/>
  <c r="AO148" i="40" s="1"/>
  <c r="AE148" i="40"/>
  <c r="AP148" i="40" s="1"/>
  <c r="W148" i="40"/>
  <c r="AF148" i="40" s="1"/>
  <c r="AQ148" i="40" s="1"/>
  <c r="V148" i="40"/>
  <c r="AX147" i="40"/>
  <c r="AN147" i="40"/>
  <c r="AM147" i="40"/>
  <c r="AO147" i="40" s="1"/>
  <c r="AE147" i="40"/>
  <c r="W147" i="40"/>
  <c r="AF147" i="40" s="1"/>
  <c r="AQ147" i="40" s="1"/>
  <c r="V147" i="40"/>
  <c r="AX146" i="40"/>
  <c r="AO146" i="40"/>
  <c r="AN146" i="40"/>
  <c r="AM146" i="40"/>
  <c r="W146" i="40"/>
  <c r="AF146" i="40" s="1"/>
  <c r="AQ146" i="40" s="1"/>
  <c r="V146" i="40"/>
  <c r="AE146" i="40" s="1"/>
  <c r="AX145" i="40"/>
  <c r="AN145" i="40"/>
  <c r="AM145" i="40"/>
  <c r="AM151" i="40" s="1"/>
  <c r="AF145" i="40"/>
  <c r="W145" i="40"/>
  <c r="W151" i="40" s="1"/>
  <c r="V145" i="40"/>
  <c r="AX144" i="40"/>
  <c r="AW144" i="40"/>
  <c r="AV144" i="40"/>
  <c r="AU144" i="40"/>
  <c r="AL144" i="40"/>
  <c r="AK144" i="40"/>
  <c r="AJ144" i="40"/>
  <c r="AI144" i="40"/>
  <c r="AH144" i="40"/>
  <c r="AD144" i="40"/>
  <c r="AC144" i="40"/>
  <c r="AB144" i="40"/>
  <c r="AA144" i="40"/>
  <c r="Z144" i="40"/>
  <c r="Y144" i="40"/>
  <c r="X144" i="40"/>
  <c r="AX143" i="40"/>
  <c r="AN143" i="40"/>
  <c r="AM143" i="40"/>
  <c r="AO143" i="40" s="1"/>
  <c r="AF143" i="40"/>
  <c r="AQ143" i="40" s="1"/>
  <c r="W143" i="40"/>
  <c r="V143" i="40"/>
  <c r="AE143" i="40" s="1"/>
  <c r="AX142" i="40"/>
  <c r="AN142" i="40"/>
  <c r="AO142" i="40" s="1"/>
  <c r="AM142" i="40"/>
  <c r="AG142" i="40"/>
  <c r="AF142" i="40"/>
  <c r="AQ142" i="40" s="1"/>
  <c r="AE142" i="40"/>
  <c r="AP142" i="40" s="1"/>
  <c r="W142" i="40"/>
  <c r="V142" i="40"/>
  <c r="AX141" i="40"/>
  <c r="AQ141" i="40"/>
  <c r="AN141" i="40"/>
  <c r="AM141" i="40"/>
  <c r="AO141" i="40" s="1"/>
  <c r="AF141" i="40"/>
  <c r="AE141" i="40"/>
  <c r="AP141" i="40" s="1"/>
  <c r="W141" i="40"/>
  <c r="V141" i="40"/>
  <c r="AX140" i="40"/>
  <c r="AP140" i="40"/>
  <c r="AR140" i="40" s="1"/>
  <c r="AN140" i="40"/>
  <c r="AM140" i="40"/>
  <c r="AO140" i="40" s="1"/>
  <c r="W140" i="40"/>
  <c r="AF140" i="40" s="1"/>
  <c r="AQ140" i="40" s="1"/>
  <c r="V140" i="40"/>
  <c r="AE140" i="40" s="1"/>
  <c r="AG140" i="40" s="1"/>
  <c r="AX139" i="40"/>
  <c r="AQ139" i="40"/>
  <c r="AO139" i="40"/>
  <c r="AN139" i="40"/>
  <c r="AM139" i="40"/>
  <c r="W139" i="40"/>
  <c r="AF139" i="40" s="1"/>
  <c r="V139" i="40"/>
  <c r="AE139" i="40" s="1"/>
  <c r="AX138" i="40"/>
  <c r="AN138" i="40"/>
  <c r="AM138" i="40"/>
  <c r="AM144" i="40" s="1"/>
  <c r="W138" i="40"/>
  <c r="W144" i="40" s="1"/>
  <c r="V138" i="40"/>
  <c r="AW137" i="40"/>
  <c r="AV137" i="40"/>
  <c r="AU137" i="40"/>
  <c r="AL137" i="40"/>
  <c r="AK137" i="40"/>
  <c r="AJ137" i="40"/>
  <c r="AI137" i="40"/>
  <c r="AH137" i="40"/>
  <c r="AD137" i="40"/>
  <c r="AC137" i="40"/>
  <c r="AB137" i="40"/>
  <c r="AA137" i="40"/>
  <c r="Z137" i="40"/>
  <c r="Y137" i="40"/>
  <c r="X137" i="40"/>
  <c r="AX136" i="40"/>
  <c r="AX137" i="40" s="1"/>
  <c r="AN136" i="40"/>
  <c r="AM136" i="40"/>
  <c r="AO136" i="40" s="1"/>
  <c r="AF136" i="40"/>
  <c r="AQ136" i="40" s="1"/>
  <c r="W136" i="40"/>
  <c r="V136" i="40"/>
  <c r="AE136" i="40" s="1"/>
  <c r="AX135" i="40"/>
  <c r="AR135" i="40"/>
  <c r="AN135" i="40"/>
  <c r="AO135" i="40" s="1"/>
  <c r="AM135" i="40"/>
  <c r="AG135" i="40"/>
  <c r="AS135" i="40" s="1"/>
  <c r="AF135" i="40"/>
  <c r="AQ135" i="40" s="1"/>
  <c r="AE135" i="40"/>
  <c r="AP135" i="40" s="1"/>
  <c r="W135" i="40"/>
  <c r="V135" i="40"/>
  <c r="AX134" i="40"/>
  <c r="AQ134" i="40"/>
  <c r="AN134" i="40"/>
  <c r="AM134" i="40"/>
  <c r="AO134" i="40" s="1"/>
  <c r="AE134" i="40"/>
  <c r="AP134" i="40" s="1"/>
  <c r="W134" i="40"/>
  <c r="AF134" i="40" s="1"/>
  <c r="V134" i="40"/>
  <c r="AX133" i="40"/>
  <c r="AN133" i="40"/>
  <c r="AM133" i="40"/>
  <c r="AO133" i="40" s="1"/>
  <c r="W133" i="40"/>
  <c r="AF133" i="40" s="1"/>
  <c r="AQ133" i="40" s="1"/>
  <c r="V133" i="40"/>
  <c r="AE133" i="40" s="1"/>
  <c r="AX132" i="40"/>
  <c r="AQ132" i="40"/>
  <c r="AO132" i="40"/>
  <c r="AN132" i="40"/>
  <c r="AM132" i="40"/>
  <c r="W132" i="40"/>
  <c r="AF132" i="40" s="1"/>
  <c r="V132" i="40"/>
  <c r="AE132" i="40" s="1"/>
  <c r="AX131" i="40"/>
  <c r="AN131" i="40"/>
  <c r="AM131" i="40"/>
  <c r="AF131" i="40"/>
  <c r="W131" i="40"/>
  <c r="W137" i="40" s="1"/>
  <c r="V131" i="40"/>
  <c r="AX130" i="40"/>
  <c r="AW130" i="40"/>
  <c r="AV130" i="40"/>
  <c r="AU130" i="40"/>
  <c r="AL130" i="40"/>
  <c r="AK130" i="40"/>
  <c r="AJ130" i="40"/>
  <c r="AI130" i="40"/>
  <c r="AH130" i="40"/>
  <c r="AD130" i="40"/>
  <c r="AC130" i="40"/>
  <c r="AB130" i="40"/>
  <c r="AA130" i="40"/>
  <c r="Z130" i="40"/>
  <c r="Y130" i="40"/>
  <c r="X130" i="40"/>
  <c r="V130" i="40"/>
  <c r="AX129" i="40"/>
  <c r="AN129" i="40"/>
  <c r="AM129" i="40"/>
  <c r="AO129" i="40" s="1"/>
  <c r="AF129" i="40"/>
  <c r="AQ129" i="40" s="1"/>
  <c r="W129" i="40"/>
  <c r="V129" i="40"/>
  <c r="AE129" i="40" s="1"/>
  <c r="AX128" i="40"/>
  <c r="AN128" i="40"/>
  <c r="AN130" i="40" s="1"/>
  <c r="AM128" i="40"/>
  <c r="AM130" i="40" s="1"/>
  <c r="AF128" i="40"/>
  <c r="AQ128" i="40" s="1"/>
  <c r="AQ130" i="40" s="1"/>
  <c r="AE128" i="40"/>
  <c r="W128" i="40"/>
  <c r="W130" i="40" s="1"/>
  <c r="V128" i="40"/>
  <c r="AX127" i="40"/>
  <c r="AW127" i="40"/>
  <c r="AV127" i="40"/>
  <c r="AU127" i="40"/>
  <c r="AN127" i="40"/>
  <c r="AM127" i="40"/>
  <c r="AL127" i="40"/>
  <c r="AK127" i="40"/>
  <c r="AJ127" i="40"/>
  <c r="AI127" i="40"/>
  <c r="AH127" i="40"/>
  <c r="AD127" i="40"/>
  <c r="AC127" i="40"/>
  <c r="AB127" i="40"/>
  <c r="AA127" i="40"/>
  <c r="Z127" i="40"/>
  <c r="Y127" i="40"/>
  <c r="X127" i="40"/>
  <c r="V127" i="40"/>
  <c r="AX126" i="40"/>
  <c r="AO126" i="40"/>
  <c r="AN126" i="40"/>
  <c r="AM126" i="40"/>
  <c r="W126" i="40"/>
  <c r="V126" i="40"/>
  <c r="AE126" i="40" s="1"/>
  <c r="AX125" i="40"/>
  <c r="AN125" i="40"/>
  <c r="AO125" i="40" s="1"/>
  <c r="AO127" i="40" s="1"/>
  <c r="AM125" i="40"/>
  <c r="AF125" i="40"/>
  <c r="W125" i="40"/>
  <c r="V125" i="40"/>
  <c r="AE125" i="40" s="1"/>
  <c r="AP125" i="40" s="1"/>
  <c r="AX124" i="40"/>
  <c r="AW124" i="40"/>
  <c r="AV124" i="40"/>
  <c r="AU124" i="40"/>
  <c r="AL124" i="40"/>
  <c r="AK124" i="40"/>
  <c r="AJ124" i="40"/>
  <c r="AI124" i="40"/>
  <c r="AH124" i="40"/>
  <c r="AD124" i="40"/>
  <c r="AC124" i="40"/>
  <c r="AB124" i="40"/>
  <c r="AA124" i="40"/>
  <c r="Z124" i="40"/>
  <c r="Y124" i="40"/>
  <c r="X124" i="40"/>
  <c r="AX123" i="40"/>
  <c r="AN123" i="40"/>
  <c r="AM123" i="40"/>
  <c r="AO123" i="40" s="1"/>
  <c r="AF123" i="40"/>
  <c r="W123" i="40"/>
  <c r="V123" i="40"/>
  <c r="AE123" i="40" s="1"/>
  <c r="AP123" i="40" s="1"/>
  <c r="AX122" i="40"/>
  <c r="AN122" i="40"/>
  <c r="AO122" i="40" s="1"/>
  <c r="AM122" i="40"/>
  <c r="AG122" i="40"/>
  <c r="AF122" i="40"/>
  <c r="AQ122" i="40" s="1"/>
  <c r="AR122" i="40" s="1"/>
  <c r="AE122" i="40"/>
  <c r="AP122" i="40" s="1"/>
  <c r="W122" i="40"/>
  <c r="V122" i="40"/>
  <c r="AX121" i="40"/>
  <c r="AN121" i="40"/>
  <c r="AM121" i="40"/>
  <c r="AO121" i="40" s="1"/>
  <c r="AE121" i="40"/>
  <c r="W121" i="40"/>
  <c r="AF121" i="40" s="1"/>
  <c r="AQ121" i="40" s="1"/>
  <c r="V121" i="40"/>
  <c r="AX120" i="40"/>
  <c r="AN120" i="40"/>
  <c r="AM120" i="40"/>
  <c r="AO120" i="40" s="1"/>
  <c r="W120" i="40"/>
  <c r="AF120" i="40" s="1"/>
  <c r="AQ120" i="40" s="1"/>
  <c r="V120" i="40"/>
  <c r="AE120" i="40" s="1"/>
  <c r="AX119" i="40"/>
  <c r="AO119" i="40"/>
  <c r="AN119" i="40"/>
  <c r="AN124" i="40" s="1"/>
  <c r="AM119" i="40"/>
  <c r="AM124" i="40" s="1"/>
  <c r="W119" i="40"/>
  <c r="V119" i="40"/>
  <c r="AW118" i="40"/>
  <c r="AV118" i="40"/>
  <c r="AU118" i="40"/>
  <c r="AL118" i="40"/>
  <c r="AK118" i="40"/>
  <c r="AJ118" i="40"/>
  <c r="AI118" i="40"/>
  <c r="AH118" i="40"/>
  <c r="AD118" i="40"/>
  <c r="AC118" i="40"/>
  <c r="AB118" i="40"/>
  <c r="AA118" i="40"/>
  <c r="Z118" i="40"/>
  <c r="Y118" i="40"/>
  <c r="X118" i="40"/>
  <c r="AX117" i="40"/>
  <c r="AN117" i="40"/>
  <c r="AN118" i="40" s="1"/>
  <c r="AM117" i="40"/>
  <c r="W117" i="40"/>
  <c r="V117" i="40"/>
  <c r="AE117" i="40" s="1"/>
  <c r="AX116" i="40"/>
  <c r="AT116" i="40"/>
  <c r="AS116" i="40"/>
  <c r="AN116" i="40"/>
  <c r="AM116" i="40"/>
  <c r="AF116" i="40"/>
  <c r="AQ116" i="40" s="1"/>
  <c r="W116" i="40"/>
  <c r="V116" i="40"/>
  <c r="AE116" i="40" s="1"/>
  <c r="AG116" i="40" s="1"/>
  <c r="AX115" i="40"/>
  <c r="AX118" i="40" s="1"/>
  <c r="AO115" i="40"/>
  <c r="AN115" i="40"/>
  <c r="AM115" i="40"/>
  <c r="AF115" i="40"/>
  <c r="AE115" i="40"/>
  <c r="W115" i="40"/>
  <c r="V115" i="40"/>
  <c r="AW114" i="40"/>
  <c r="AV114" i="40"/>
  <c r="AU114" i="40"/>
  <c r="AN114" i="40"/>
  <c r="AL114" i="40"/>
  <c r="AK114" i="40"/>
  <c r="AJ114" i="40"/>
  <c r="AI114" i="40"/>
  <c r="AH114" i="40"/>
  <c r="AD114" i="40"/>
  <c r="AC114" i="40"/>
  <c r="AB114" i="40"/>
  <c r="AA114" i="40"/>
  <c r="Z114" i="40"/>
  <c r="Y114" i="40"/>
  <c r="X114" i="40"/>
  <c r="W114" i="40"/>
  <c r="AX113" i="40"/>
  <c r="AQ113" i="40"/>
  <c r="AP113" i="40"/>
  <c r="AR113" i="40" s="1"/>
  <c r="AO113" i="40"/>
  <c r="AN113" i="40"/>
  <c r="AM113" i="40"/>
  <c r="W113" i="40"/>
  <c r="AF113" i="40" s="1"/>
  <c r="V113" i="40"/>
  <c r="AE113" i="40" s="1"/>
  <c r="AG113" i="40" s="1"/>
  <c r="AX112" i="40"/>
  <c r="AO112" i="40"/>
  <c r="AN112" i="40"/>
  <c r="AM112" i="40"/>
  <c r="AF112" i="40"/>
  <c r="AQ112" i="40" s="1"/>
  <c r="W112" i="40"/>
  <c r="V112" i="40"/>
  <c r="AX111" i="40"/>
  <c r="AX114" i="40" s="1"/>
  <c r="AN111" i="40"/>
  <c r="AM111" i="40"/>
  <c r="AM114" i="40" s="1"/>
  <c r="AE111" i="40"/>
  <c r="W111" i="40"/>
  <c r="AF111" i="40" s="1"/>
  <c r="AQ111" i="40" s="1"/>
  <c r="AQ114" i="40" s="1"/>
  <c r="V111" i="40"/>
  <c r="AX110" i="40"/>
  <c r="AW110" i="40"/>
  <c r="AV110" i="40"/>
  <c r="AU110" i="40"/>
  <c r="AO110" i="40"/>
  <c r="AL110" i="40"/>
  <c r="AK110" i="40"/>
  <c r="AJ110" i="40"/>
  <c r="AI110" i="40"/>
  <c r="AH110" i="40"/>
  <c r="AD110" i="40"/>
  <c r="AC110" i="40"/>
  <c r="AB110" i="40"/>
  <c r="AA110" i="40"/>
  <c r="Z110" i="40"/>
  <c r="Y110" i="40"/>
  <c r="X110" i="40"/>
  <c r="V110" i="40"/>
  <c r="AX109" i="40"/>
  <c r="AO109" i="40"/>
  <c r="AN109" i="40"/>
  <c r="AN110" i="40" s="1"/>
  <c r="AM109" i="40"/>
  <c r="AM110" i="40" s="1"/>
  <c r="AG109" i="40"/>
  <c r="AF109" i="40"/>
  <c r="AE109" i="40"/>
  <c r="W109" i="40"/>
  <c r="W110" i="40" s="1"/>
  <c r="V109" i="40"/>
  <c r="AW108" i="40"/>
  <c r="AV108" i="40"/>
  <c r="AU108" i="40"/>
  <c r="AL108" i="40"/>
  <c r="AK108" i="40"/>
  <c r="AJ108" i="40"/>
  <c r="AI108" i="40"/>
  <c r="AH108" i="40"/>
  <c r="AF108" i="40"/>
  <c r="AD108" i="40"/>
  <c r="AC108" i="40"/>
  <c r="AB108" i="40"/>
  <c r="AA108" i="40"/>
  <c r="Z108" i="40"/>
  <c r="Y108" i="40"/>
  <c r="X108" i="40"/>
  <c r="W108" i="40"/>
  <c r="AX107" i="40"/>
  <c r="AO107" i="40"/>
  <c r="AN107" i="40"/>
  <c r="AM107" i="40"/>
  <c r="W107" i="40"/>
  <c r="AF107" i="40" s="1"/>
  <c r="AQ107" i="40" s="1"/>
  <c r="V107" i="40"/>
  <c r="AE107" i="40" s="1"/>
  <c r="AG107" i="40" s="1"/>
  <c r="AX106" i="40"/>
  <c r="AN106" i="40"/>
  <c r="AO106" i="40" s="1"/>
  <c r="AM106" i="40"/>
  <c r="AF106" i="40"/>
  <c r="AQ106" i="40" s="1"/>
  <c r="AE106" i="40"/>
  <c r="W106" i="40"/>
  <c r="V106" i="40"/>
  <c r="AX105" i="40"/>
  <c r="AN105" i="40"/>
  <c r="AN108" i="40" s="1"/>
  <c r="AM105" i="40"/>
  <c r="AE105" i="40"/>
  <c r="W105" i="40"/>
  <c r="AF105" i="40" s="1"/>
  <c r="V105" i="40"/>
  <c r="AX104" i="40"/>
  <c r="AQ104" i="40"/>
  <c r="AN104" i="40"/>
  <c r="AM104" i="40"/>
  <c r="AO104" i="40" s="1"/>
  <c r="W104" i="40"/>
  <c r="AF104" i="40" s="1"/>
  <c r="V104" i="40"/>
  <c r="AE104" i="40" s="1"/>
  <c r="AX103" i="40"/>
  <c r="AT103" i="40"/>
  <c r="AN103" i="40"/>
  <c r="AM103" i="40"/>
  <c r="AM108" i="40" s="1"/>
  <c r="AG103" i="40"/>
  <c r="AF103" i="40"/>
  <c r="AQ103" i="40" s="1"/>
  <c r="W103" i="40"/>
  <c r="V103" i="40"/>
  <c r="AE103" i="40" s="1"/>
  <c r="AP103" i="40" s="1"/>
  <c r="AW102" i="40"/>
  <c r="AV102" i="40"/>
  <c r="AU102" i="40"/>
  <c r="AL102" i="40"/>
  <c r="AK102" i="40"/>
  <c r="AJ102" i="40"/>
  <c r="AI102" i="40"/>
  <c r="AH102" i="40"/>
  <c r="AD102" i="40"/>
  <c r="AC102" i="40"/>
  <c r="AB102" i="40"/>
  <c r="AA102" i="40"/>
  <c r="Z102" i="40"/>
  <c r="Y102" i="40"/>
  <c r="X102" i="40"/>
  <c r="V102" i="40"/>
  <c r="AX101" i="40"/>
  <c r="AN101" i="40"/>
  <c r="AM101" i="40"/>
  <c r="AG101" i="40"/>
  <c r="AS101" i="40" s="1"/>
  <c r="AF101" i="40"/>
  <c r="AQ101" i="40" s="1"/>
  <c r="W101" i="40"/>
  <c r="V101" i="40"/>
  <c r="AE101" i="40" s="1"/>
  <c r="AX100" i="40"/>
  <c r="AN100" i="40"/>
  <c r="AM100" i="40"/>
  <c r="AO100" i="40" s="1"/>
  <c r="AG100" i="40"/>
  <c r="AF100" i="40"/>
  <c r="AQ100" i="40" s="1"/>
  <c r="AE100" i="40"/>
  <c r="W100" i="40"/>
  <c r="V100" i="40"/>
  <c r="AX99" i="40"/>
  <c r="AS99" i="40"/>
  <c r="AN99" i="40"/>
  <c r="AM99" i="40"/>
  <c r="AO99" i="40" s="1"/>
  <c r="AG99" i="40"/>
  <c r="AT99" i="40" s="1"/>
  <c r="AF99" i="40"/>
  <c r="AE99" i="40"/>
  <c r="W99" i="40"/>
  <c r="W102" i="40" s="1"/>
  <c r="V99" i="40"/>
  <c r="AW98" i="40"/>
  <c r="AV98" i="40"/>
  <c r="AU98" i="40"/>
  <c r="AL98" i="40"/>
  <c r="AK98" i="40"/>
  <c r="AJ98" i="40"/>
  <c r="AI98" i="40"/>
  <c r="AH98" i="40"/>
  <c r="AD98" i="40"/>
  <c r="AC98" i="40"/>
  <c r="AB98" i="40"/>
  <c r="AA98" i="40"/>
  <c r="Z98" i="40"/>
  <c r="Y98" i="40"/>
  <c r="X98" i="40"/>
  <c r="AX97" i="40"/>
  <c r="AQ97" i="40"/>
  <c r="AP97" i="40"/>
  <c r="AR97" i="40" s="1"/>
  <c r="AO97" i="40"/>
  <c r="AN97" i="40"/>
  <c r="AM97" i="40"/>
  <c r="W97" i="40"/>
  <c r="AF97" i="40" s="1"/>
  <c r="V97" i="40"/>
  <c r="AE97" i="40" s="1"/>
  <c r="AG97" i="40" s="1"/>
  <c r="AX96" i="40"/>
  <c r="AP96" i="40"/>
  <c r="AR96" i="40" s="1"/>
  <c r="AN96" i="40"/>
  <c r="AN98" i="40" s="1"/>
  <c r="AM96" i="40"/>
  <c r="W96" i="40"/>
  <c r="AF96" i="40" s="1"/>
  <c r="AQ96" i="40" s="1"/>
  <c r="V96" i="40"/>
  <c r="AE96" i="40" s="1"/>
  <c r="AG96" i="40" s="1"/>
  <c r="AX95" i="40"/>
  <c r="AO95" i="40"/>
  <c r="AM95" i="40"/>
  <c r="AP95" i="40" s="1"/>
  <c r="AG95" i="40"/>
  <c r="AF95" i="40"/>
  <c r="AQ95" i="40" s="1"/>
  <c r="AE95" i="40"/>
  <c r="W95" i="40"/>
  <c r="V95" i="40"/>
  <c r="AX94" i="40"/>
  <c r="AN94" i="40"/>
  <c r="AM94" i="40"/>
  <c r="AO94" i="40" s="1"/>
  <c r="AF94" i="40"/>
  <c r="AQ94" i="40" s="1"/>
  <c r="AE94" i="40"/>
  <c r="W94" i="40"/>
  <c r="V94" i="40"/>
  <c r="AX93" i="40"/>
  <c r="AO93" i="40"/>
  <c r="AN93" i="40"/>
  <c r="AF93" i="40"/>
  <c r="AQ93" i="40" s="1"/>
  <c r="AQ98" i="40" s="1"/>
  <c r="AE93" i="40"/>
  <c r="W93" i="40"/>
  <c r="V93" i="40"/>
  <c r="AW92" i="40"/>
  <c r="AV92" i="40"/>
  <c r="AU92" i="40"/>
  <c r="AM92" i="40"/>
  <c r="AL92" i="40"/>
  <c r="AK92" i="40"/>
  <c r="AJ92" i="40"/>
  <c r="AI92" i="40"/>
  <c r="AH92" i="40"/>
  <c r="AD92" i="40"/>
  <c r="AC92" i="40"/>
  <c r="AB92" i="40"/>
  <c r="AA92" i="40"/>
  <c r="Z92" i="40"/>
  <c r="Y92" i="40"/>
  <c r="X92" i="40"/>
  <c r="W92" i="40"/>
  <c r="AX91" i="40"/>
  <c r="AO91" i="40"/>
  <c r="AN91" i="40"/>
  <c r="AM91" i="40"/>
  <c r="W91" i="40"/>
  <c r="AF91" i="40" s="1"/>
  <c r="AQ91" i="40" s="1"/>
  <c r="V91" i="40"/>
  <c r="AE91" i="40" s="1"/>
  <c r="AG91" i="40" s="1"/>
  <c r="AX90" i="40"/>
  <c r="AN90" i="40"/>
  <c r="AM90" i="40"/>
  <c r="AO90" i="40" s="1"/>
  <c r="W90" i="40"/>
  <c r="AF90" i="40" s="1"/>
  <c r="AQ90" i="40" s="1"/>
  <c r="V90" i="40"/>
  <c r="AE90" i="40" s="1"/>
  <c r="AX89" i="40"/>
  <c r="AX92" i="40" s="1"/>
  <c r="AN89" i="40"/>
  <c r="AM89" i="40"/>
  <c r="AO89" i="40" s="1"/>
  <c r="AF89" i="40"/>
  <c r="AQ89" i="40" s="1"/>
  <c r="AQ92" i="40" s="1"/>
  <c r="W89" i="40"/>
  <c r="V89" i="40"/>
  <c r="AE89" i="40" s="1"/>
  <c r="AP89" i="40" s="1"/>
  <c r="AX88" i="40"/>
  <c r="AW88" i="40"/>
  <c r="AV88" i="40"/>
  <c r="AU88" i="40"/>
  <c r="AL88" i="40"/>
  <c r="AK88" i="40"/>
  <c r="AJ88" i="40"/>
  <c r="AI88" i="40"/>
  <c r="AH88" i="40"/>
  <c r="AD88" i="40"/>
  <c r="AC88" i="40"/>
  <c r="AB88" i="40"/>
  <c r="AA88" i="40"/>
  <c r="Z88" i="40"/>
  <c r="Y88" i="40"/>
  <c r="X88" i="40"/>
  <c r="AX87" i="40"/>
  <c r="AN87" i="40"/>
  <c r="AM87" i="40"/>
  <c r="AO87" i="40" s="1"/>
  <c r="AE87" i="40"/>
  <c r="W87" i="40"/>
  <c r="AF87" i="40" s="1"/>
  <c r="AQ87" i="40" s="1"/>
  <c r="V87" i="40"/>
  <c r="AX86" i="40"/>
  <c r="AO86" i="40"/>
  <c r="AN86" i="40"/>
  <c r="AM86" i="40"/>
  <c r="W86" i="40"/>
  <c r="AF86" i="40" s="1"/>
  <c r="AQ86" i="40" s="1"/>
  <c r="V86" i="40"/>
  <c r="AE86" i="40" s="1"/>
  <c r="AX85" i="40"/>
  <c r="AO85" i="40"/>
  <c r="AN85" i="40"/>
  <c r="AM85" i="40"/>
  <c r="W85" i="40"/>
  <c r="AF85" i="40" s="1"/>
  <c r="AQ85" i="40" s="1"/>
  <c r="V85" i="40"/>
  <c r="AE85" i="40" s="1"/>
  <c r="AX84" i="40"/>
  <c r="AN84" i="40"/>
  <c r="AO84" i="40" s="1"/>
  <c r="AM84" i="40"/>
  <c r="W84" i="40"/>
  <c r="AF84" i="40" s="1"/>
  <c r="AQ84" i="40" s="1"/>
  <c r="V84" i="40"/>
  <c r="AE84" i="40" s="1"/>
  <c r="AX83" i="40"/>
  <c r="AN83" i="40"/>
  <c r="AM83" i="40"/>
  <c r="AO83" i="40" s="1"/>
  <c r="W83" i="40"/>
  <c r="AF83" i="40" s="1"/>
  <c r="V83" i="40"/>
  <c r="AE83" i="40" s="1"/>
  <c r="AX82" i="40"/>
  <c r="AN82" i="40"/>
  <c r="AN88" i="40" s="1"/>
  <c r="AM82" i="40"/>
  <c r="AG82" i="40"/>
  <c r="AS82" i="40" s="1"/>
  <c r="AF82" i="40"/>
  <c r="AE82" i="40"/>
  <c r="AP82" i="40" s="1"/>
  <c r="W82" i="40"/>
  <c r="W88" i="40" s="1"/>
  <c r="V82" i="40"/>
  <c r="AW81" i="40"/>
  <c r="AV81" i="40"/>
  <c r="AU81" i="40"/>
  <c r="AN81" i="40"/>
  <c r="AL81" i="40"/>
  <c r="AK81" i="40"/>
  <c r="AJ81" i="40"/>
  <c r="AI81" i="40"/>
  <c r="AH81" i="40"/>
  <c r="AD81" i="40"/>
  <c r="AC81" i="40"/>
  <c r="AB81" i="40"/>
  <c r="AA81" i="40"/>
  <c r="Z81" i="40"/>
  <c r="Y81" i="40"/>
  <c r="X81" i="40"/>
  <c r="AX80" i="40"/>
  <c r="AN80" i="40"/>
  <c r="AM80" i="40"/>
  <c r="AO80" i="40" s="1"/>
  <c r="AE80" i="40"/>
  <c r="W80" i="40"/>
  <c r="AF80" i="40" s="1"/>
  <c r="AQ80" i="40" s="1"/>
  <c r="V80" i="40"/>
  <c r="AX79" i="40"/>
  <c r="AQ79" i="40"/>
  <c r="AO79" i="40"/>
  <c r="AN79" i="40"/>
  <c r="AM79" i="40"/>
  <c r="AE79" i="40"/>
  <c r="W79" i="40"/>
  <c r="AF79" i="40" s="1"/>
  <c r="V79" i="40"/>
  <c r="AX78" i="40"/>
  <c r="AQ78" i="40"/>
  <c r="AP78" i="40"/>
  <c r="AR78" i="40" s="1"/>
  <c r="AO78" i="40"/>
  <c r="AN78" i="40"/>
  <c r="AM78" i="40"/>
  <c r="W78" i="40"/>
  <c r="AF78" i="40" s="1"/>
  <c r="V78" i="40"/>
  <c r="AE78" i="40" s="1"/>
  <c r="AG78" i="40" s="1"/>
  <c r="AX77" i="40"/>
  <c r="AP77" i="40"/>
  <c r="AN77" i="40"/>
  <c r="AO77" i="40" s="1"/>
  <c r="AM77" i="40"/>
  <c r="W77" i="40"/>
  <c r="AF77" i="40" s="1"/>
  <c r="V77" i="40"/>
  <c r="AE77" i="40" s="1"/>
  <c r="AG77" i="40" s="1"/>
  <c r="AX76" i="40"/>
  <c r="AN76" i="40"/>
  <c r="AM76" i="40"/>
  <c r="AO76" i="40" s="1"/>
  <c r="AE76" i="40"/>
  <c r="AP76" i="40" s="1"/>
  <c r="W76" i="40"/>
  <c r="AF76" i="40" s="1"/>
  <c r="V76" i="40"/>
  <c r="AX75" i="40"/>
  <c r="AX81" i="40" s="1"/>
  <c r="AN75" i="40"/>
  <c r="AM75" i="40"/>
  <c r="AE75" i="40"/>
  <c r="W75" i="40"/>
  <c r="V75" i="40"/>
  <c r="V81" i="40" s="1"/>
  <c r="AW74" i="40"/>
  <c r="AV74" i="40"/>
  <c r="AU74" i="40"/>
  <c r="AL74" i="40"/>
  <c r="AK74" i="40"/>
  <c r="AJ74" i="40"/>
  <c r="AI74" i="40"/>
  <c r="AH74" i="40"/>
  <c r="AD74" i="40"/>
  <c r="AC74" i="40"/>
  <c r="AB74" i="40"/>
  <c r="AA74" i="40"/>
  <c r="Z74" i="40"/>
  <c r="Y74" i="40"/>
  <c r="X74" i="40"/>
  <c r="AX73" i="40"/>
  <c r="AN73" i="40"/>
  <c r="AM73" i="40"/>
  <c r="AO73" i="40" s="1"/>
  <c r="AF73" i="40"/>
  <c r="AQ73" i="40" s="1"/>
  <c r="AE73" i="40"/>
  <c r="W73" i="40"/>
  <c r="V73" i="40"/>
  <c r="AX72" i="40"/>
  <c r="AQ72" i="40"/>
  <c r="AN72" i="40"/>
  <c r="AM72" i="40"/>
  <c r="AO72" i="40" s="1"/>
  <c r="W72" i="40"/>
  <c r="AF72" i="40" s="1"/>
  <c r="V72" i="40"/>
  <c r="AE72" i="40" s="1"/>
  <c r="AX71" i="40"/>
  <c r="AQ71" i="40"/>
  <c r="AO71" i="40"/>
  <c r="AN71" i="40"/>
  <c r="AM71" i="40"/>
  <c r="W71" i="40"/>
  <c r="AF71" i="40" s="1"/>
  <c r="V71" i="40"/>
  <c r="AE71" i="40" s="1"/>
  <c r="AG71" i="40" s="1"/>
  <c r="AX70" i="40"/>
  <c r="AN70" i="40"/>
  <c r="AO70" i="40" s="1"/>
  <c r="AM70" i="40"/>
  <c r="W70" i="40"/>
  <c r="AF70" i="40" s="1"/>
  <c r="V70" i="40"/>
  <c r="AE70" i="40" s="1"/>
  <c r="AG70" i="40" s="1"/>
  <c r="AX69" i="40"/>
  <c r="AN69" i="40"/>
  <c r="AM69" i="40"/>
  <c r="AO69" i="40" s="1"/>
  <c r="W69" i="40"/>
  <c r="AF69" i="40" s="1"/>
  <c r="V69" i="40"/>
  <c r="AE69" i="40" s="1"/>
  <c r="AX68" i="40"/>
  <c r="AX74" i="40" s="1"/>
  <c r="AN68" i="40"/>
  <c r="AN74" i="40" s="1"/>
  <c r="AM68" i="40"/>
  <c r="AE68" i="40"/>
  <c r="W68" i="40"/>
  <c r="W74" i="40" s="1"/>
  <c r="V68" i="40"/>
  <c r="V74" i="40" s="1"/>
  <c r="AW67" i="40"/>
  <c r="AV67" i="40"/>
  <c r="AU67" i="40"/>
  <c r="AL67" i="40"/>
  <c r="AK67" i="40"/>
  <c r="AJ67" i="40"/>
  <c r="AI67" i="40"/>
  <c r="AH67" i="40"/>
  <c r="AD67" i="40"/>
  <c r="AC67" i="40"/>
  <c r="AB67" i="40"/>
  <c r="AA67" i="40"/>
  <c r="Z67" i="40"/>
  <c r="Y67" i="40"/>
  <c r="X67" i="40"/>
  <c r="AX66" i="40"/>
  <c r="AO66" i="40"/>
  <c r="AN66" i="40"/>
  <c r="AM66" i="40"/>
  <c r="AF66" i="40"/>
  <c r="AQ66" i="40" s="1"/>
  <c r="AE66" i="40"/>
  <c r="W66" i="40"/>
  <c r="V66" i="40"/>
  <c r="AX65" i="40"/>
  <c r="AP65" i="40"/>
  <c r="AN65" i="40"/>
  <c r="AM65" i="40"/>
  <c r="AO65" i="40" s="1"/>
  <c r="AE65" i="40"/>
  <c r="W65" i="40"/>
  <c r="AF65" i="40" s="1"/>
  <c r="AQ65" i="40" s="1"/>
  <c r="V65" i="40"/>
  <c r="AX64" i="40"/>
  <c r="AP64" i="40"/>
  <c r="AO64" i="40"/>
  <c r="AN64" i="40"/>
  <c r="AM64" i="40"/>
  <c r="W64" i="40"/>
  <c r="AF64" i="40" s="1"/>
  <c r="AQ64" i="40" s="1"/>
  <c r="V64" i="40"/>
  <c r="AE64" i="40" s="1"/>
  <c r="AX63" i="40"/>
  <c r="AP63" i="40"/>
  <c r="AR63" i="40" s="1"/>
  <c r="AO63" i="40"/>
  <c r="AN63" i="40"/>
  <c r="AM63" i="40"/>
  <c r="AF63" i="40"/>
  <c r="AQ63" i="40" s="1"/>
  <c r="W63" i="40"/>
  <c r="V63" i="40"/>
  <c r="AE63" i="40" s="1"/>
  <c r="AG63" i="40" s="1"/>
  <c r="AX62" i="40"/>
  <c r="AO62" i="40"/>
  <c r="AN62" i="40"/>
  <c r="AM62" i="40"/>
  <c r="AF62" i="40"/>
  <c r="AQ62" i="40" s="1"/>
  <c r="AE62" i="40"/>
  <c r="W62" i="40"/>
  <c r="V62" i="40"/>
  <c r="AX61" i="40"/>
  <c r="AX67" i="40" s="1"/>
  <c r="AN61" i="40"/>
  <c r="AN67" i="40" s="1"/>
  <c r="AM61" i="40"/>
  <c r="AE61" i="40"/>
  <c r="AP61" i="40" s="1"/>
  <c r="W61" i="40"/>
  <c r="V61" i="40"/>
  <c r="V67" i="40" s="1"/>
  <c r="AX60" i="40"/>
  <c r="AW60" i="40"/>
  <c r="AV60" i="40"/>
  <c r="AU60" i="40"/>
  <c r="AL60" i="40"/>
  <c r="AK60" i="40"/>
  <c r="AJ60" i="40"/>
  <c r="AI60" i="40"/>
  <c r="AH60" i="40"/>
  <c r="AD60" i="40"/>
  <c r="AC60" i="40"/>
  <c r="AB60" i="40"/>
  <c r="AA60" i="40"/>
  <c r="Z60" i="40"/>
  <c r="Y60" i="40"/>
  <c r="X60" i="40"/>
  <c r="AX59" i="40"/>
  <c r="AQ59" i="40"/>
  <c r="AN59" i="40"/>
  <c r="AO59" i="40" s="1"/>
  <c r="AM59" i="40"/>
  <c r="AF59" i="40"/>
  <c r="AE59" i="40"/>
  <c r="W59" i="40"/>
  <c r="V59" i="40"/>
  <c r="AX58" i="40"/>
  <c r="AN58" i="40"/>
  <c r="AO58" i="40" s="1"/>
  <c r="AM58" i="40"/>
  <c r="AE58" i="40"/>
  <c r="W58" i="40"/>
  <c r="AF58" i="40" s="1"/>
  <c r="AQ58" i="40" s="1"/>
  <c r="V58" i="40"/>
  <c r="AX57" i="40"/>
  <c r="AN57" i="40"/>
  <c r="AM57" i="40"/>
  <c r="AO57" i="40" s="1"/>
  <c r="W57" i="40"/>
  <c r="AF57" i="40" s="1"/>
  <c r="AQ57" i="40" s="1"/>
  <c r="V57" i="40"/>
  <c r="AE57" i="40" s="1"/>
  <c r="AX56" i="40"/>
  <c r="AN56" i="40"/>
  <c r="AM56" i="40"/>
  <c r="AO56" i="40" s="1"/>
  <c r="W56" i="40"/>
  <c r="AF56" i="40" s="1"/>
  <c r="AQ56" i="40" s="1"/>
  <c r="V56" i="40"/>
  <c r="AE56" i="40" s="1"/>
  <c r="AP56" i="40" s="1"/>
  <c r="AX55" i="40"/>
  <c r="AN55" i="40"/>
  <c r="AO55" i="40" s="1"/>
  <c r="AM55" i="40"/>
  <c r="AF55" i="40"/>
  <c r="AQ55" i="40" s="1"/>
  <c r="W55" i="40"/>
  <c r="V55" i="40"/>
  <c r="AE55" i="40" s="1"/>
  <c r="AX54" i="40"/>
  <c r="AN54" i="40"/>
  <c r="AN60" i="40" s="1"/>
  <c r="AM54" i="40"/>
  <c r="AF54" i="40"/>
  <c r="AE54" i="40"/>
  <c r="W54" i="40"/>
  <c r="V54" i="40"/>
  <c r="AW53" i="40"/>
  <c r="AV53" i="40"/>
  <c r="AU53" i="40"/>
  <c r="AN53" i="40"/>
  <c r="AM53" i="40"/>
  <c r="AL53" i="40"/>
  <c r="AK53" i="40"/>
  <c r="AJ53" i="40"/>
  <c r="AI53" i="40"/>
  <c r="AH53" i="40"/>
  <c r="AD53" i="40"/>
  <c r="AC53" i="40"/>
  <c r="AB53" i="40"/>
  <c r="AA53" i="40"/>
  <c r="Z53" i="40"/>
  <c r="Y53" i="40"/>
  <c r="X53" i="40"/>
  <c r="W53" i="40"/>
  <c r="V53" i="40"/>
  <c r="AX52" i="40"/>
  <c r="AX53" i="40" s="1"/>
  <c r="AO52" i="40"/>
  <c r="AO53" i="40" s="1"/>
  <c r="AN52" i="40"/>
  <c r="AM52" i="40"/>
  <c r="AF52" i="40"/>
  <c r="AF53" i="40" s="1"/>
  <c r="W52" i="40"/>
  <c r="V52" i="40"/>
  <c r="AE52" i="40" s="1"/>
  <c r="AW51" i="40"/>
  <c r="AV51" i="40"/>
  <c r="AU51" i="40"/>
  <c r="AL51" i="40"/>
  <c r="AK51" i="40"/>
  <c r="AJ51" i="40"/>
  <c r="AI51" i="40"/>
  <c r="AH51" i="40"/>
  <c r="AD51" i="40"/>
  <c r="AC51" i="40"/>
  <c r="AB51" i="40"/>
  <c r="AA51" i="40"/>
  <c r="Z51" i="40"/>
  <c r="Y51" i="40"/>
  <c r="AX50" i="40"/>
  <c r="AN50" i="40"/>
  <c r="AM50" i="40"/>
  <c r="AO50" i="40" s="1"/>
  <c r="AG50" i="40"/>
  <c r="AS50" i="40" s="1"/>
  <c r="W50" i="40"/>
  <c r="AF50" i="40" s="1"/>
  <c r="AQ50" i="40" s="1"/>
  <c r="V50" i="40"/>
  <c r="AE50" i="40" s="1"/>
  <c r="AP50" i="40" s="1"/>
  <c r="AX49" i="40"/>
  <c r="AN49" i="40"/>
  <c r="AO49" i="40" s="1"/>
  <c r="AM49" i="40"/>
  <c r="AF49" i="40"/>
  <c r="AQ49" i="40" s="1"/>
  <c r="W49" i="40"/>
  <c r="V49" i="40"/>
  <c r="AE49" i="40" s="1"/>
  <c r="AX48" i="40"/>
  <c r="AN48" i="40"/>
  <c r="AM48" i="40"/>
  <c r="AO48" i="40" s="1"/>
  <c r="AF48" i="40"/>
  <c r="AQ48" i="40" s="1"/>
  <c r="AE48" i="40"/>
  <c r="W48" i="40"/>
  <c r="V48" i="40"/>
  <c r="AX47" i="40"/>
  <c r="AN47" i="40"/>
  <c r="AM47" i="40"/>
  <c r="AO47" i="40" s="1"/>
  <c r="AE47" i="40"/>
  <c r="W47" i="40"/>
  <c r="AF47" i="40" s="1"/>
  <c r="AQ47" i="40" s="1"/>
  <c r="V47" i="40"/>
  <c r="AX46" i="40"/>
  <c r="AN46" i="40"/>
  <c r="AM46" i="40"/>
  <c r="AO46" i="40" s="1"/>
  <c r="X46" i="40"/>
  <c r="X51" i="40" s="1"/>
  <c r="W46" i="40"/>
  <c r="AF46" i="40" s="1"/>
  <c r="AQ46" i="40" s="1"/>
  <c r="V46" i="40"/>
  <c r="AE46" i="40" s="1"/>
  <c r="AG46" i="40" s="1"/>
  <c r="AX45" i="40"/>
  <c r="AX51" i="40" s="1"/>
  <c r="AN45" i="40"/>
  <c r="AN51" i="40" s="1"/>
  <c r="AM45" i="40"/>
  <c r="AM51" i="40" s="1"/>
  <c r="W45" i="40"/>
  <c r="V45" i="40"/>
  <c r="AW44" i="40"/>
  <c r="AV44" i="40"/>
  <c r="AU44" i="40"/>
  <c r="AL44" i="40"/>
  <c r="AK44" i="40"/>
  <c r="AJ44" i="40"/>
  <c r="AI44" i="40"/>
  <c r="AH44" i="40"/>
  <c r="AD44" i="40"/>
  <c r="AC44" i="40"/>
  <c r="AB44" i="40"/>
  <c r="AA44" i="40"/>
  <c r="Z44" i="40"/>
  <c r="Y44" i="40"/>
  <c r="X44" i="40"/>
  <c r="AX43" i="40"/>
  <c r="AN43" i="40"/>
  <c r="AM43" i="40"/>
  <c r="AO43" i="40" s="1"/>
  <c r="W43" i="40"/>
  <c r="AF43" i="40" s="1"/>
  <c r="AQ43" i="40" s="1"/>
  <c r="V43" i="40"/>
  <c r="AE43" i="40" s="1"/>
  <c r="AX42" i="40"/>
  <c r="AN42" i="40"/>
  <c r="AM42" i="40"/>
  <c r="AO42" i="40" s="1"/>
  <c r="AG42" i="40"/>
  <c r="AS42" i="40" s="1"/>
  <c r="W42" i="40"/>
  <c r="AF42" i="40" s="1"/>
  <c r="AQ42" i="40" s="1"/>
  <c r="V42" i="40"/>
  <c r="AE42" i="40" s="1"/>
  <c r="AP42" i="40" s="1"/>
  <c r="AX41" i="40"/>
  <c r="AN41" i="40"/>
  <c r="AO41" i="40" s="1"/>
  <c r="AM41" i="40"/>
  <c r="W41" i="40"/>
  <c r="AF41" i="40" s="1"/>
  <c r="V41" i="40"/>
  <c r="AE41" i="40" s="1"/>
  <c r="AX40" i="40"/>
  <c r="AN40" i="40"/>
  <c r="AM40" i="40"/>
  <c r="AO40" i="40" s="1"/>
  <c r="AF40" i="40"/>
  <c r="AQ40" i="40" s="1"/>
  <c r="AE40" i="40"/>
  <c r="X40" i="40"/>
  <c r="W40" i="40"/>
  <c r="V40" i="40"/>
  <c r="AX39" i="40"/>
  <c r="AN39" i="40"/>
  <c r="AM39" i="40"/>
  <c r="AO39" i="40" s="1"/>
  <c r="AF39" i="40"/>
  <c r="AE39" i="40"/>
  <c r="W39" i="40"/>
  <c r="V39" i="40"/>
  <c r="V44" i="40" s="1"/>
  <c r="AW38" i="40"/>
  <c r="AV38" i="40"/>
  <c r="AU38" i="40"/>
  <c r="AL38" i="40"/>
  <c r="AK38" i="40"/>
  <c r="AJ38" i="40"/>
  <c r="AI38" i="40"/>
  <c r="AH38" i="40"/>
  <c r="AD38" i="40"/>
  <c r="AC38" i="40"/>
  <c r="AB38" i="40"/>
  <c r="AA38" i="40"/>
  <c r="Z38" i="40"/>
  <c r="Y38" i="40"/>
  <c r="X38" i="40"/>
  <c r="W38" i="40"/>
  <c r="V38" i="40"/>
  <c r="AX37" i="40"/>
  <c r="AO37" i="40"/>
  <c r="AN37" i="40"/>
  <c r="AM37" i="40"/>
  <c r="AF37" i="40"/>
  <c r="AQ37" i="40" s="1"/>
  <c r="W37" i="40"/>
  <c r="V37" i="40"/>
  <c r="AE37" i="40" s="1"/>
  <c r="AX36" i="40"/>
  <c r="AN36" i="40"/>
  <c r="AO36" i="40" s="1"/>
  <c r="AM36" i="40"/>
  <c r="AE36" i="40"/>
  <c r="AG36" i="40" s="1"/>
  <c r="W36" i="40"/>
  <c r="AF36" i="40" s="1"/>
  <c r="AQ36" i="40" s="1"/>
  <c r="V36" i="40"/>
  <c r="AX35" i="40"/>
  <c r="AN35" i="40"/>
  <c r="AM35" i="40"/>
  <c r="AO35" i="40" s="1"/>
  <c r="W35" i="40"/>
  <c r="AF35" i="40" s="1"/>
  <c r="AQ35" i="40" s="1"/>
  <c r="V35" i="40"/>
  <c r="AE35" i="40" s="1"/>
  <c r="AX34" i="40"/>
  <c r="AN34" i="40"/>
  <c r="AM34" i="40"/>
  <c r="W34" i="40"/>
  <c r="AF34" i="40" s="1"/>
  <c r="AQ34" i="40" s="1"/>
  <c r="V34" i="40"/>
  <c r="AE34" i="40" s="1"/>
  <c r="AP34" i="40" s="1"/>
  <c r="AR34" i="40" s="1"/>
  <c r="AX33" i="40"/>
  <c r="AX38" i="40" s="1"/>
  <c r="AN33" i="40"/>
  <c r="AO33" i="40" s="1"/>
  <c r="AM33" i="40"/>
  <c r="AF33" i="40"/>
  <c r="W33" i="40"/>
  <c r="V33" i="40"/>
  <c r="AE33" i="40" s="1"/>
  <c r="AW32" i="40"/>
  <c r="AV32" i="40"/>
  <c r="AU32" i="40"/>
  <c r="AL32" i="40"/>
  <c r="AK32" i="40"/>
  <c r="AJ32" i="40"/>
  <c r="AI32" i="40"/>
  <c r="AH32" i="40"/>
  <c r="AD32" i="40"/>
  <c r="AC32" i="40"/>
  <c r="AB32" i="40"/>
  <c r="AA32" i="40"/>
  <c r="Z32" i="40"/>
  <c r="Y32" i="40"/>
  <c r="X32" i="40"/>
  <c r="AX31" i="40"/>
  <c r="AP31" i="40"/>
  <c r="AN31" i="40"/>
  <c r="AM31" i="40"/>
  <c r="AO31" i="40" s="1"/>
  <c r="W31" i="40"/>
  <c r="AF31" i="40" s="1"/>
  <c r="AQ31" i="40" s="1"/>
  <c r="V31" i="40"/>
  <c r="AE31" i="40" s="1"/>
  <c r="AX30" i="40"/>
  <c r="AP30" i="40"/>
  <c r="AO30" i="40"/>
  <c r="AN30" i="40"/>
  <c r="AM30" i="40"/>
  <c r="AF30" i="40"/>
  <c r="AQ30" i="40" s="1"/>
  <c r="W30" i="40"/>
  <c r="V30" i="40"/>
  <c r="AE30" i="40" s="1"/>
  <c r="AG30" i="40" s="1"/>
  <c r="AX29" i="40"/>
  <c r="AN29" i="40"/>
  <c r="AO29" i="40" s="1"/>
  <c r="AM29" i="40"/>
  <c r="AE29" i="40"/>
  <c r="AG29" i="40" s="1"/>
  <c r="W29" i="40"/>
  <c r="AF29" i="40" s="1"/>
  <c r="AQ29" i="40" s="1"/>
  <c r="V29" i="40"/>
  <c r="AX28" i="40"/>
  <c r="AN28" i="40"/>
  <c r="AN32" i="40" s="1"/>
  <c r="AM28" i="40"/>
  <c r="W28" i="40"/>
  <c r="AF28" i="40" s="1"/>
  <c r="AQ28" i="40" s="1"/>
  <c r="V28" i="40"/>
  <c r="AE28" i="40" s="1"/>
  <c r="AP28" i="40" s="1"/>
  <c r="AR28" i="40" s="1"/>
  <c r="AX27" i="40"/>
  <c r="AN27" i="40"/>
  <c r="AM27" i="40"/>
  <c r="AO27" i="40" s="1"/>
  <c r="X27" i="40"/>
  <c r="W27" i="40"/>
  <c r="AF27" i="40" s="1"/>
  <c r="AQ27" i="40" s="1"/>
  <c r="V27" i="40"/>
  <c r="AE27" i="40" s="1"/>
  <c r="AX26" i="40"/>
  <c r="AN26" i="40"/>
  <c r="AM26" i="40"/>
  <c r="AM32" i="40" s="1"/>
  <c r="AG26" i="40"/>
  <c r="AT26" i="40" s="1"/>
  <c r="W26" i="40"/>
  <c r="AF26" i="40" s="1"/>
  <c r="AF32" i="40" s="1"/>
  <c r="V26" i="40"/>
  <c r="AE26" i="40" s="1"/>
  <c r="AW25" i="40"/>
  <c r="AV25" i="40"/>
  <c r="AU25" i="40"/>
  <c r="AL25" i="40"/>
  <c r="AK25" i="40"/>
  <c r="AJ25" i="40"/>
  <c r="AI25" i="40"/>
  <c r="AH25" i="40"/>
  <c r="AD25" i="40"/>
  <c r="AC25" i="40"/>
  <c r="AB25" i="40"/>
  <c r="AA25" i="40"/>
  <c r="Z25" i="40"/>
  <c r="Y25" i="40"/>
  <c r="X25" i="40"/>
  <c r="V25" i="40"/>
  <c r="AX24" i="40"/>
  <c r="AX25" i="40" s="1"/>
  <c r="AN24" i="40"/>
  <c r="AN25" i="40" s="1"/>
  <c r="AM24" i="40"/>
  <c r="AM25" i="40" s="1"/>
  <c r="AE24" i="40"/>
  <c r="W24" i="40"/>
  <c r="V24" i="40"/>
  <c r="AX23" i="40"/>
  <c r="AW23" i="40"/>
  <c r="AV23" i="40"/>
  <c r="AU23" i="40"/>
  <c r="AL23" i="40"/>
  <c r="AK23" i="40"/>
  <c r="AJ23" i="40"/>
  <c r="AI23" i="40"/>
  <c r="AH23" i="40"/>
  <c r="AD23" i="40"/>
  <c r="AC23" i="40"/>
  <c r="AB23" i="40"/>
  <c r="AA23" i="40"/>
  <c r="Z23" i="40"/>
  <c r="Y23" i="40"/>
  <c r="X23" i="40"/>
  <c r="AX22" i="40"/>
  <c r="AN22" i="40"/>
  <c r="AM22" i="40"/>
  <c r="AO22" i="40" s="1"/>
  <c r="W22" i="40"/>
  <c r="W23" i="40" s="1"/>
  <c r="V22" i="40"/>
  <c r="AE22" i="40" s="1"/>
  <c r="AX21" i="40"/>
  <c r="AO21" i="40"/>
  <c r="AN21" i="40"/>
  <c r="AM21" i="40"/>
  <c r="W21" i="40"/>
  <c r="AF21" i="40" s="1"/>
  <c r="AQ21" i="40" s="1"/>
  <c r="V21" i="40"/>
  <c r="AE21" i="40" s="1"/>
  <c r="AX20" i="40"/>
  <c r="AO20" i="40"/>
  <c r="AN20" i="40"/>
  <c r="AN23" i="40" s="1"/>
  <c r="AM20" i="40"/>
  <c r="AM23" i="40" s="1"/>
  <c r="W20" i="40"/>
  <c r="AF20" i="40" s="1"/>
  <c r="V20" i="40"/>
  <c r="V23" i="40" s="1"/>
  <c r="AX19" i="40"/>
  <c r="AW19" i="40"/>
  <c r="AV19" i="40"/>
  <c r="AU19" i="40"/>
  <c r="AL19" i="40"/>
  <c r="AK19" i="40"/>
  <c r="AJ19" i="40"/>
  <c r="AI19" i="40"/>
  <c r="AH19" i="40"/>
  <c r="AD19" i="40"/>
  <c r="AC19" i="40"/>
  <c r="AB19" i="40"/>
  <c r="AA19" i="40"/>
  <c r="Z19" i="40"/>
  <c r="Y19" i="40"/>
  <c r="X19" i="40"/>
  <c r="AX18" i="40"/>
  <c r="AN18" i="40"/>
  <c r="AM18" i="40"/>
  <c r="AO18" i="40" s="1"/>
  <c r="AF18" i="40"/>
  <c r="AQ18" i="40" s="1"/>
  <c r="W18" i="40"/>
  <c r="V18" i="40"/>
  <c r="AE18" i="40" s="1"/>
  <c r="AX17" i="40"/>
  <c r="AN17" i="40"/>
  <c r="AM17" i="40"/>
  <c r="AO17" i="40" s="1"/>
  <c r="AF17" i="40"/>
  <c r="AQ17" i="40" s="1"/>
  <c r="AE17" i="40"/>
  <c r="AP17" i="40" s="1"/>
  <c r="AR17" i="40" s="1"/>
  <c r="W17" i="40"/>
  <c r="V17" i="40"/>
  <c r="AX16" i="40"/>
  <c r="AN16" i="40"/>
  <c r="AN19" i="40" s="1"/>
  <c r="AM16" i="40"/>
  <c r="AO16" i="40" s="1"/>
  <c r="AE16" i="40"/>
  <c r="AP16" i="40" s="1"/>
  <c r="W16" i="40"/>
  <c r="W19" i="40" s="1"/>
  <c r="V16" i="40"/>
  <c r="V19" i="40" s="1"/>
  <c r="AW15" i="40"/>
  <c r="AV15" i="40"/>
  <c r="AU15" i="40"/>
  <c r="AL15" i="40"/>
  <c r="AK15" i="40"/>
  <c r="AJ15" i="40"/>
  <c r="AI15" i="40"/>
  <c r="AH15" i="40"/>
  <c r="AD15" i="40"/>
  <c r="AC15" i="40"/>
  <c r="AB15" i="40"/>
  <c r="AA15" i="40"/>
  <c r="Z15" i="40"/>
  <c r="Y15" i="40"/>
  <c r="X15" i="40"/>
  <c r="V15" i="40"/>
  <c r="AX14" i="40"/>
  <c r="AO14" i="40"/>
  <c r="AN14" i="40"/>
  <c r="AM14" i="40"/>
  <c r="W14" i="40"/>
  <c r="AF14" i="40" s="1"/>
  <c r="AQ14" i="40" s="1"/>
  <c r="V14" i="40"/>
  <c r="AE14" i="40" s="1"/>
  <c r="AX13" i="40"/>
  <c r="AN13" i="40"/>
  <c r="AM13" i="40"/>
  <c r="AO13" i="40" s="1"/>
  <c r="AF13" i="40"/>
  <c r="AQ13" i="40" s="1"/>
  <c r="W13" i="40"/>
  <c r="V13" i="40"/>
  <c r="AE13" i="40" s="1"/>
  <c r="AX12" i="40"/>
  <c r="AX15" i="40" s="1"/>
  <c r="AN12" i="40"/>
  <c r="AN15" i="40" s="1"/>
  <c r="AM12" i="40"/>
  <c r="AO12" i="40" s="1"/>
  <c r="AO15" i="40" s="1"/>
  <c r="AE12" i="40"/>
  <c r="AP12" i="40" s="1"/>
  <c r="W12" i="40"/>
  <c r="AF12" i="40" s="1"/>
  <c r="V12" i="40"/>
  <c r="BH123" i="39"/>
  <c r="BG123" i="39"/>
  <c r="BF123" i="39"/>
  <c r="BE123" i="39"/>
  <c r="BD123" i="39"/>
  <c r="BC123" i="39"/>
  <c r="BB123" i="39"/>
  <c r="BA123" i="39"/>
  <c r="AZ123" i="39"/>
  <c r="BJ122" i="39"/>
  <c r="BI122" i="39"/>
  <c r="BK122" i="39" s="1"/>
  <c r="BK121" i="39"/>
  <c r="BJ121" i="39"/>
  <c r="BI121" i="39"/>
  <c r="BJ120" i="39"/>
  <c r="BI120" i="39"/>
  <c r="BK120" i="39" s="1"/>
  <c r="BJ119" i="39"/>
  <c r="BJ123" i="39" s="1"/>
  <c r="BI119" i="39"/>
  <c r="BI123" i="39" s="1"/>
  <c r="BH118" i="39"/>
  <c r="BG118" i="39"/>
  <c r="BF118" i="39"/>
  <c r="BE118" i="39"/>
  <c r="BD118" i="39"/>
  <c r="BC118" i="39"/>
  <c r="BB118" i="39"/>
  <c r="BA118" i="39"/>
  <c r="AZ118" i="39"/>
  <c r="BJ117" i="39"/>
  <c r="BI117" i="39"/>
  <c r="BK117" i="39" s="1"/>
  <c r="BK116" i="39"/>
  <c r="BJ116" i="39"/>
  <c r="BI116" i="39"/>
  <c r="BJ115" i="39"/>
  <c r="BJ118" i="39" s="1"/>
  <c r="BI115" i="39"/>
  <c r="BI118" i="39" s="1"/>
  <c r="BH114" i="39"/>
  <c r="BG114" i="39"/>
  <c r="BF114" i="39"/>
  <c r="BE114" i="39"/>
  <c r="BD114" i="39"/>
  <c r="BC114" i="39"/>
  <c r="BB114" i="39"/>
  <c r="BA114" i="39"/>
  <c r="AZ114" i="39"/>
  <c r="BJ113" i="39"/>
  <c r="BI113" i="39"/>
  <c r="BK113" i="39" s="1"/>
  <c r="BJ112" i="39"/>
  <c r="BI112" i="39"/>
  <c r="BK112" i="39" s="1"/>
  <c r="BK111" i="39"/>
  <c r="BJ111" i="39"/>
  <c r="BI111" i="39"/>
  <c r="BJ110" i="39"/>
  <c r="BI110" i="39"/>
  <c r="BK110" i="39" s="1"/>
  <c r="BJ109" i="39"/>
  <c r="BJ114" i="39" s="1"/>
  <c r="BI109" i="39"/>
  <c r="BK109" i="39" s="1"/>
  <c r="BJ108" i="39"/>
  <c r="BI108" i="39"/>
  <c r="BK108" i="39" s="1"/>
  <c r="BK114" i="39" s="1"/>
  <c r="BH107" i="39"/>
  <c r="BG107" i="39"/>
  <c r="BF107" i="39"/>
  <c r="BE107" i="39"/>
  <c r="BD107" i="39"/>
  <c r="BC107" i="39"/>
  <c r="BB107" i="39"/>
  <c r="BA107" i="39"/>
  <c r="AZ107" i="39"/>
  <c r="BK106" i="39"/>
  <c r="BJ106" i="39"/>
  <c r="BI106" i="39"/>
  <c r="BJ105" i="39"/>
  <c r="BI105" i="39"/>
  <c r="BK105" i="39" s="1"/>
  <c r="BJ104" i="39"/>
  <c r="BI104" i="39"/>
  <c r="BK104" i="39" s="1"/>
  <c r="BJ103" i="39"/>
  <c r="BI103" i="39"/>
  <c r="BK103" i="39" s="1"/>
  <c r="BK102" i="39"/>
  <c r="BJ102" i="39"/>
  <c r="BI102" i="39"/>
  <c r="BK101" i="39"/>
  <c r="BJ101" i="39"/>
  <c r="BJ107" i="39" s="1"/>
  <c r="BI101" i="39"/>
  <c r="BI107" i="39" s="1"/>
  <c r="BH100" i="39"/>
  <c r="BG100" i="39"/>
  <c r="BF100" i="39"/>
  <c r="BE100" i="39"/>
  <c r="BD100" i="39"/>
  <c r="BC100" i="39"/>
  <c r="BB100" i="39"/>
  <c r="BA100" i="39"/>
  <c r="AZ100" i="39"/>
  <c r="BJ99" i="39"/>
  <c r="BI99" i="39"/>
  <c r="BK99" i="39" s="1"/>
  <c r="BJ98" i="39"/>
  <c r="BI98" i="39"/>
  <c r="BK98" i="39" s="1"/>
  <c r="BK97" i="39"/>
  <c r="BJ97" i="39"/>
  <c r="BI97" i="39"/>
  <c r="BK96" i="39"/>
  <c r="BJ96" i="39"/>
  <c r="BI96" i="39"/>
  <c r="BJ95" i="39"/>
  <c r="BI95" i="39"/>
  <c r="BK95" i="39" s="1"/>
  <c r="BJ94" i="39"/>
  <c r="BJ100" i="39" s="1"/>
  <c r="BI94" i="39"/>
  <c r="BH93" i="39"/>
  <c r="BG93" i="39"/>
  <c r="BF93" i="39"/>
  <c r="BE93" i="39"/>
  <c r="BD93" i="39"/>
  <c r="BC93" i="39"/>
  <c r="BB93" i="39"/>
  <c r="BA93" i="39"/>
  <c r="AZ93" i="39"/>
  <c r="BK92" i="39"/>
  <c r="BJ92" i="39"/>
  <c r="BI92" i="39"/>
  <c r="BK91" i="39"/>
  <c r="BJ91" i="39"/>
  <c r="BI91" i="39"/>
  <c r="BJ90" i="39"/>
  <c r="BI90" i="39"/>
  <c r="BK90" i="39" s="1"/>
  <c r="BJ89" i="39"/>
  <c r="BI89" i="39"/>
  <c r="BK89" i="39" s="1"/>
  <c r="BK88" i="39"/>
  <c r="BJ88" i="39"/>
  <c r="BI88" i="39"/>
  <c r="BJ87" i="39"/>
  <c r="BJ93" i="39" s="1"/>
  <c r="BI87" i="39"/>
  <c r="BI93" i="39" s="1"/>
  <c r="BH86" i="39"/>
  <c r="BG86" i="39"/>
  <c r="BF86" i="39"/>
  <c r="BE86" i="39"/>
  <c r="BD86" i="39"/>
  <c r="BC86" i="39"/>
  <c r="BB86" i="39"/>
  <c r="BA86" i="39"/>
  <c r="AZ86" i="39"/>
  <c r="BJ85" i="39"/>
  <c r="BI85" i="39"/>
  <c r="BK85" i="39" s="1"/>
  <c r="BJ84" i="39"/>
  <c r="BI84" i="39"/>
  <c r="BK84" i="39" s="1"/>
  <c r="BJ83" i="39"/>
  <c r="BK83" i="39" s="1"/>
  <c r="BI83" i="39"/>
  <c r="BJ82" i="39"/>
  <c r="BI82" i="39"/>
  <c r="BK82" i="39" s="1"/>
  <c r="BJ81" i="39"/>
  <c r="BJ86" i="39" s="1"/>
  <c r="BI81" i="39"/>
  <c r="BK81" i="39" s="1"/>
  <c r="BK80" i="39"/>
  <c r="BJ80" i="39"/>
  <c r="BI80" i="39"/>
  <c r="BH79" i="39"/>
  <c r="BG79" i="39"/>
  <c r="BF79" i="39"/>
  <c r="BE79" i="39"/>
  <c r="BD79" i="39"/>
  <c r="BC79" i="39"/>
  <c r="BB79" i="39"/>
  <c r="BA79" i="39"/>
  <c r="AZ79" i="39"/>
  <c r="BJ78" i="39"/>
  <c r="BK78" i="39" s="1"/>
  <c r="BI78" i="39"/>
  <c r="BJ77" i="39"/>
  <c r="BI77" i="39"/>
  <c r="BK77" i="39" s="1"/>
  <c r="BJ76" i="39"/>
  <c r="BI76" i="39"/>
  <c r="BK76" i="39" s="1"/>
  <c r="BK75" i="39"/>
  <c r="BJ75" i="39"/>
  <c r="BI75" i="39"/>
  <c r="BK74" i="39"/>
  <c r="BJ74" i="39"/>
  <c r="BI74" i="39"/>
  <c r="BK73" i="39"/>
  <c r="BJ73" i="39"/>
  <c r="BJ79" i="39" s="1"/>
  <c r="BI73" i="39"/>
  <c r="BI79" i="39" s="1"/>
  <c r="BH72" i="39"/>
  <c r="BG72" i="39"/>
  <c r="BF72" i="39"/>
  <c r="BE72" i="39"/>
  <c r="BD72" i="39"/>
  <c r="BC72" i="39"/>
  <c r="BB72" i="39"/>
  <c r="BA72" i="39"/>
  <c r="AZ72" i="39"/>
  <c r="BJ71" i="39"/>
  <c r="BI71" i="39"/>
  <c r="BK71" i="39" s="1"/>
  <c r="BK70" i="39"/>
  <c r="BJ70" i="39"/>
  <c r="BI70" i="39"/>
  <c r="BK69" i="39"/>
  <c r="BJ69" i="39"/>
  <c r="BI69" i="39"/>
  <c r="BK68" i="39"/>
  <c r="BJ68" i="39"/>
  <c r="BI68" i="39"/>
  <c r="BJ67" i="39"/>
  <c r="BI67" i="39"/>
  <c r="BK67" i="39" s="1"/>
  <c r="BJ66" i="39"/>
  <c r="BJ72" i="39" s="1"/>
  <c r="BI66" i="39"/>
  <c r="BI72" i="39" s="1"/>
  <c r="BH65" i="39"/>
  <c r="BG65" i="39"/>
  <c r="BF65" i="39"/>
  <c r="BE65" i="39"/>
  <c r="BD65" i="39"/>
  <c r="BC65" i="39"/>
  <c r="BB65" i="39"/>
  <c r="BA65" i="39"/>
  <c r="AZ65" i="39"/>
  <c r="BK64" i="39"/>
  <c r="BJ64" i="39"/>
  <c r="BI64" i="39"/>
  <c r="BK63" i="39"/>
  <c r="BJ63" i="39"/>
  <c r="BI63" i="39"/>
  <c r="BJ62" i="39"/>
  <c r="BI62" i="39"/>
  <c r="BK62" i="39" s="1"/>
  <c r="BJ61" i="39"/>
  <c r="BI61" i="39"/>
  <c r="BK61" i="39" s="1"/>
  <c r="BJ60" i="39"/>
  <c r="BJ65" i="39" s="1"/>
  <c r="BI60" i="39"/>
  <c r="BJ59" i="39"/>
  <c r="BK59" i="39" s="1"/>
  <c r="BI59" i="39"/>
  <c r="BI65" i="39" s="1"/>
  <c r="BJ58" i="39"/>
  <c r="BH58" i="39"/>
  <c r="BG58" i="39"/>
  <c r="BF58" i="39"/>
  <c r="BE58" i="39"/>
  <c r="BD58" i="39"/>
  <c r="BC58" i="39"/>
  <c r="BB58" i="39"/>
  <c r="BA58" i="39"/>
  <c r="AZ58" i="39"/>
  <c r="BJ57" i="39"/>
  <c r="BI57" i="39"/>
  <c r="BK57" i="39" s="1"/>
  <c r="BK58" i="39" s="1"/>
  <c r="BH56" i="39"/>
  <c r="BG56" i="39"/>
  <c r="BF56" i="39"/>
  <c r="BE56" i="39"/>
  <c r="BD56" i="39"/>
  <c r="BC56" i="39"/>
  <c r="BB56" i="39"/>
  <c r="BA56" i="39"/>
  <c r="AZ56" i="39"/>
  <c r="BK55" i="39"/>
  <c r="BJ55" i="39"/>
  <c r="BI55" i="39"/>
  <c r="BJ54" i="39"/>
  <c r="BI54" i="39"/>
  <c r="BK54" i="39" s="1"/>
  <c r="BK53" i="39"/>
  <c r="BJ53" i="39"/>
  <c r="BI53" i="39"/>
  <c r="BJ52" i="39"/>
  <c r="BI52" i="39"/>
  <c r="BK52" i="39" s="1"/>
  <c r="BJ51" i="39"/>
  <c r="BJ56" i="39" s="1"/>
  <c r="BI51" i="39"/>
  <c r="BI56" i="39" s="1"/>
  <c r="BJ50" i="39"/>
  <c r="BH50" i="39"/>
  <c r="BG50" i="39"/>
  <c r="BF50" i="39"/>
  <c r="BE50" i="39"/>
  <c r="BD50" i="39"/>
  <c r="BC50" i="39"/>
  <c r="BB50" i="39"/>
  <c r="BA50" i="39"/>
  <c r="AZ50" i="39"/>
  <c r="BK49" i="39"/>
  <c r="BJ49" i="39"/>
  <c r="BI49" i="39"/>
  <c r="BK48" i="39"/>
  <c r="BJ48" i="39"/>
  <c r="BI48" i="39"/>
  <c r="BJ47" i="39"/>
  <c r="BI47" i="39"/>
  <c r="BI50" i="39" s="1"/>
  <c r="BI46" i="39"/>
  <c r="BH46" i="39"/>
  <c r="BG46" i="39"/>
  <c r="BF46" i="39"/>
  <c r="BE46" i="39"/>
  <c r="BD46" i="39"/>
  <c r="BC46" i="39"/>
  <c r="BB46" i="39"/>
  <c r="BA46" i="39"/>
  <c r="AZ46" i="39"/>
  <c r="BK45" i="39"/>
  <c r="BK46" i="39" s="1"/>
  <c r="BJ45" i="39"/>
  <c r="BJ46" i="39" s="1"/>
  <c r="BI45" i="39"/>
  <c r="BH44" i="39"/>
  <c r="BG44" i="39"/>
  <c r="BF44" i="39"/>
  <c r="BE44" i="39"/>
  <c r="BD44" i="39"/>
  <c r="BC44" i="39"/>
  <c r="BB44" i="39"/>
  <c r="BA44" i="39"/>
  <c r="AZ44" i="39"/>
  <c r="BJ43" i="39"/>
  <c r="BJ44" i="39" s="1"/>
  <c r="BI43" i="39"/>
  <c r="BI44" i="39" s="1"/>
  <c r="BH42" i="39"/>
  <c r="BG42" i="39"/>
  <c r="BF42" i="39"/>
  <c r="BE42" i="39"/>
  <c r="BD42" i="39"/>
  <c r="BC42" i="39"/>
  <c r="BB42" i="39"/>
  <c r="BA42" i="39"/>
  <c r="AZ42" i="39"/>
  <c r="BK41" i="39"/>
  <c r="BJ41" i="39"/>
  <c r="BI41" i="39"/>
  <c r="BJ40" i="39"/>
  <c r="BI40" i="39"/>
  <c r="BK40" i="39" s="1"/>
  <c r="BJ39" i="39"/>
  <c r="BI39" i="39"/>
  <c r="BK39" i="39" s="1"/>
  <c r="BJ38" i="39"/>
  <c r="BI38" i="39"/>
  <c r="BK38" i="39" s="1"/>
  <c r="BJ37" i="39"/>
  <c r="BJ42" i="39" s="1"/>
  <c r="BI37" i="39"/>
  <c r="BK37" i="39" s="1"/>
  <c r="BH36" i="39"/>
  <c r="BG36" i="39"/>
  <c r="BF36" i="39"/>
  <c r="BE36" i="39"/>
  <c r="BD36" i="39"/>
  <c r="BC36" i="39"/>
  <c r="BB36" i="39"/>
  <c r="BA36" i="39"/>
  <c r="AZ36" i="39"/>
  <c r="BK35" i="39"/>
  <c r="BJ35" i="39"/>
  <c r="BI35" i="39"/>
  <c r="BJ34" i="39"/>
  <c r="BI34" i="39"/>
  <c r="BK34" i="39" s="1"/>
  <c r="BJ33" i="39"/>
  <c r="BI33" i="39"/>
  <c r="BK33" i="39" s="1"/>
  <c r="BJ32" i="39"/>
  <c r="BK32" i="39" s="1"/>
  <c r="BI32" i="39"/>
  <c r="BJ31" i="39"/>
  <c r="BJ36" i="39" s="1"/>
  <c r="BI31" i="39"/>
  <c r="BK31" i="39" s="1"/>
  <c r="BK36" i="39" s="1"/>
  <c r="BH30" i="39"/>
  <c r="BG30" i="39"/>
  <c r="BF30" i="39"/>
  <c r="BE30" i="39"/>
  <c r="BD30" i="39"/>
  <c r="BC30" i="39"/>
  <c r="BB30" i="39"/>
  <c r="BA30" i="39"/>
  <c r="AZ30" i="39"/>
  <c r="BJ29" i="39"/>
  <c r="BI29" i="39"/>
  <c r="BK29" i="39" s="1"/>
  <c r="BJ28" i="39"/>
  <c r="BI28" i="39"/>
  <c r="BK28" i="39" s="1"/>
  <c r="BJ27" i="39"/>
  <c r="BI27" i="39"/>
  <c r="BK27" i="39" s="1"/>
  <c r="BJ26" i="39"/>
  <c r="BI26" i="39"/>
  <c r="BK26" i="39" s="1"/>
  <c r="BK25" i="39"/>
  <c r="BJ25" i="39"/>
  <c r="BJ30" i="39" s="1"/>
  <c r="BI25" i="39"/>
  <c r="BI30" i="39" s="1"/>
  <c r="BH24" i="39"/>
  <c r="BG24" i="39"/>
  <c r="BF24" i="39"/>
  <c r="BE24" i="39"/>
  <c r="BD24" i="39"/>
  <c r="BC24" i="39"/>
  <c r="BB24" i="39"/>
  <c r="BA24" i="39"/>
  <c r="AZ24" i="39"/>
  <c r="BJ23" i="39"/>
  <c r="BI23" i="39"/>
  <c r="BK23" i="39" s="1"/>
  <c r="BJ22" i="39"/>
  <c r="BI22" i="39"/>
  <c r="BK22" i="39" s="1"/>
  <c r="BJ21" i="39"/>
  <c r="BK21" i="39" s="1"/>
  <c r="BI21" i="39"/>
  <c r="BK20" i="39"/>
  <c r="BJ20" i="39"/>
  <c r="BI20" i="39"/>
  <c r="BK19" i="39"/>
  <c r="BK24" i="39" s="1"/>
  <c r="BJ19" i="39"/>
  <c r="BJ24" i="39" s="1"/>
  <c r="BI19" i="39"/>
  <c r="BI24" i="39" s="1"/>
  <c r="BH18" i="39"/>
  <c r="BG18" i="39"/>
  <c r="BF18" i="39"/>
  <c r="BE18" i="39"/>
  <c r="BD18" i="39"/>
  <c r="BC18" i="39"/>
  <c r="BA18" i="39"/>
  <c r="AZ18" i="39"/>
  <c r="BJ17" i="39"/>
  <c r="BI17" i="39"/>
  <c r="BK17" i="39" s="1"/>
  <c r="BJ16" i="39"/>
  <c r="BB16" i="39"/>
  <c r="BB18" i="39" s="1"/>
  <c r="BK15" i="39"/>
  <c r="BJ15" i="39"/>
  <c r="BI15" i="39"/>
  <c r="BJ14" i="39"/>
  <c r="BJ18" i="39" s="1"/>
  <c r="BI14" i="39"/>
  <c r="BJ13" i="39"/>
  <c r="BI13" i="39"/>
  <c r="BH13" i="39"/>
  <c r="BG13" i="39"/>
  <c r="BF13" i="39"/>
  <c r="BE13" i="39"/>
  <c r="BD13" i="39"/>
  <c r="BC13" i="39"/>
  <c r="BB13" i="39"/>
  <c r="BA13" i="39"/>
  <c r="AZ13" i="39"/>
  <c r="BJ12" i="39"/>
  <c r="BI12" i="39"/>
  <c r="BK12" i="39" s="1"/>
  <c r="BK13" i="39" s="1"/>
  <c r="AW123" i="39"/>
  <c r="AV123" i="39"/>
  <c r="AU123" i="39"/>
  <c r="AL123" i="39"/>
  <c r="AK123" i="39"/>
  <c r="AJ123" i="39"/>
  <c r="AI123" i="39"/>
  <c r="AH123" i="39"/>
  <c r="AD123" i="39"/>
  <c r="AC123" i="39"/>
  <c r="AB123" i="39"/>
  <c r="AA123" i="39"/>
  <c r="Z123" i="39"/>
  <c r="Y123" i="39"/>
  <c r="X123" i="39"/>
  <c r="AX122" i="39"/>
  <c r="AN122" i="39"/>
  <c r="AM122" i="39"/>
  <c r="AO122" i="39" s="1"/>
  <c r="AE122" i="39"/>
  <c r="W122" i="39"/>
  <c r="AF122" i="39" s="1"/>
  <c r="AQ122" i="39" s="1"/>
  <c r="V122" i="39"/>
  <c r="AX121" i="39"/>
  <c r="AN121" i="39"/>
  <c r="AM121" i="39"/>
  <c r="AO121" i="39" s="1"/>
  <c r="AE121" i="39"/>
  <c r="AP121" i="39" s="1"/>
  <c r="W121" i="39"/>
  <c r="AF121" i="39" s="1"/>
  <c r="AQ121" i="39" s="1"/>
  <c r="V121" i="39"/>
  <c r="AX120" i="39"/>
  <c r="AN120" i="39"/>
  <c r="AM120" i="39"/>
  <c r="AO120" i="39" s="1"/>
  <c r="W120" i="39"/>
  <c r="AF120" i="39" s="1"/>
  <c r="AQ120" i="39" s="1"/>
  <c r="V120" i="39"/>
  <c r="AE120" i="39" s="1"/>
  <c r="AP120" i="39" s="1"/>
  <c r="AR120" i="39" s="1"/>
  <c r="AX119" i="39"/>
  <c r="AO119" i="39"/>
  <c r="AO123" i="39" s="1"/>
  <c r="AN119" i="39"/>
  <c r="AN123" i="39" s="1"/>
  <c r="AM119" i="39"/>
  <c r="AM123" i="39" s="1"/>
  <c r="AF119" i="39"/>
  <c r="W119" i="39"/>
  <c r="V119" i="39"/>
  <c r="V123" i="39" s="1"/>
  <c r="AW118" i="39"/>
  <c r="AV118" i="39"/>
  <c r="AU118" i="39"/>
  <c r="AM118" i="39"/>
  <c r="AL118" i="39"/>
  <c r="AK118" i="39"/>
  <c r="AJ118" i="39"/>
  <c r="AI118" i="39"/>
  <c r="AH118" i="39"/>
  <c r="AE118" i="39"/>
  <c r="AD118" i="39"/>
  <c r="AC118" i="39"/>
  <c r="AB118" i="39"/>
  <c r="AA118" i="39"/>
  <c r="Z118" i="39"/>
  <c r="Y118" i="39"/>
  <c r="X118" i="39"/>
  <c r="W118" i="39"/>
  <c r="AX117" i="39"/>
  <c r="AP117" i="39"/>
  <c r="AR117" i="39" s="1"/>
  <c r="AN117" i="39"/>
  <c r="AM117" i="39"/>
  <c r="AO117" i="39" s="1"/>
  <c r="W117" i="39"/>
  <c r="AF117" i="39" s="1"/>
  <c r="AQ117" i="39" s="1"/>
  <c r="V117" i="39"/>
  <c r="AE117" i="39" s="1"/>
  <c r="AG117" i="39" s="1"/>
  <c r="AX116" i="39"/>
  <c r="AO116" i="39"/>
  <c r="AN116" i="39"/>
  <c r="AM116" i="39"/>
  <c r="AF116" i="39"/>
  <c r="AQ116" i="39" s="1"/>
  <c r="W116" i="39"/>
  <c r="V116" i="39"/>
  <c r="AE116" i="39" s="1"/>
  <c r="AX115" i="39"/>
  <c r="AX118" i="39" s="1"/>
  <c r="AN115" i="39"/>
  <c r="AM115" i="39"/>
  <c r="AF115" i="39"/>
  <c r="AQ115" i="39" s="1"/>
  <c r="AQ118" i="39" s="1"/>
  <c r="AE115" i="39"/>
  <c r="AG115" i="39" s="1"/>
  <c r="W115" i="39"/>
  <c r="V115" i="39"/>
  <c r="AX114" i="39"/>
  <c r="AW114" i="39"/>
  <c r="AV114" i="39"/>
  <c r="AU114" i="39"/>
  <c r="AL114" i="39"/>
  <c r="AK114" i="39"/>
  <c r="AJ114" i="39"/>
  <c r="AI114" i="39"/>
  <c r="AH114" i="39"/>
  <c r="AD114" i="39"/>
  <c r="AC114" i="39"/>
  <c r="AB114" i="39"/>
  <c r="AA114" i="39"/>
  <c r="Z114" i="39"/>
  <c r="Y114" i="39"/>
  <c r="X114" i="39"/>
  <c r="AX113" i="39"/>
  <c r="AO113" i="39"/>
  <c r="AN113" i="39"/>
  <c r="AM113" i="39"/>
  <c r="AF113" i="39"/>
  <c r="AQ113" i="39" s="1"/>
  <c r="W113" i="39"/>
  <c r="V113" i="39"/>
  <c r="AE113" i="39" s="1"/>
  <c r="AX112" i="39"/>
  <c r="AN112" i="39"/>
  <c r="AO112" i="39" s="1"/>
  <c r="AM112" i="39"/>
  <c r="AF112" i="39"/>
  <c r="AQ112" i="39" s="1"/>
  <c r="AE112" i="39"/>
  <c r="W112" i="39"/>
  <c r="V112" i="39"/>
  <c r="AX111" i="39"/>
  <c r="AQ111" i="39"/>
  <c r="AN111" i="39"/>
  <c r="AM111" i="39"/>
  <c r="AO111" i="39" s="1"/>
  <c r="AE111" i="39"/>
  <c r="AG111" i="39" s="1"/>
  <c r="W111" i="39"/>
  <c r="AF111" i="39" s="1"/>
  <c r="V111" i="39"/>
  <c r="AX110" i="39"/>
  <c r="AN110" i="39"/>
  <c r="AM110" i="39"/>
  <c r="AO110" i="39" s="1"/>
  <c r="W110" i="39"/>
  <c r="AF110" i="39" s="1"/>
  <c r="AQ110" i="39" s="1"/>
  <c r="V110" i="39"/>
  <c r="AX109" i="39"/>
  <c r="AO109" i="39"/>
  <c r="AN109" i="39"/>
  <c r="AM109" i="39"/>
  <c r="AF109" i="39"/>
  <c r="AQ109" i="39" s="1"/>
  <c r="W109" i="39"/>
  <c r="V109" i="39"/>
  <c r="AE109" i="39" s="1"/>
  <c r="AX108" i="39"/>
  <c r="AN108" i="39"/>
  <c r="AM108" i="39"/>
  <c r="AM114" i="39" s="1"/>
  <c r="AF108" i="39"/>
  <c r="AE108" i="39"/>
  <c r="AG108" i="39" s="1"/>
  <c r="W108" i="39"/>
  <c r="W114" i="39" s="1"/>
  <c r="V108" i="39"/>
  <c r="AX107" i="39"/>
  <c r="AW107" i="39"/>
  <c r="AV107" i="39"/>
  <c r="AU107" i="39"/>
  <c r="AL107" i="39"/>
  <c r="AK107" i="39"/>
  <c r="AJ107" i="39"/>
  <c r="AI107" i="39"/>
  <c r="AH107" i="39"/>
  <c r="AD107" i="39"/>
  <c r="AC107" i="39"/>
  <c r="AB107" i="39"/>
  <c r="Z107" i="39"/>
  <c r="Y107" i="39"/>
  <c r="X107" i="39"/>
  <c r="V107" i="39"/>
  <c r="AX106" i="39"/>
  <c r="AO106" i="39"/>
  <c r="AN106" i="39"/>
  <c r="AM106" i="39"/>
  <c r="AF106" i="39"/>
  <c r="AQ106" i="39" s="1"/>
  <c r="W106" i="39"/>
  <c r="V106" i="39"/>
  <c r="AE106" i="39" s="1"/>
  <c r="AX105" i="39"/>
  <c r="AN105" i="39"/>
  <c r="AM105" i="39"/>
  <c r="AO105" i="39" s="1"/>
  <c r="AF105" i="39"/>
  <c r="AQ105" i="39" s="1"/>
  <c r="AE105" i="39"/>
  <c r="W105" i="39"/>
  <c r="V105" i="39"/>
  <c r="AX104" i="39"/>
  <c r="AN104" i="39"/>
  <c r="AM104" i="39"/>
  <c r="AO104" i="39" s="1"/>
  <c r="AA104" i="39"/>
  <c r="W104" i="39"/>
  <c r="V104" i="39"/>
  <c r="AE104" i="39" s="1"/>
  <c r="AX103" i="39"/>
  <c r="AN103" i="39"/>
  <c r="AM103" i="39"/>
  <c r="AO103" i="39" s="1"/>
  <c r="AE103" i="39"/>
  <c r="W103" i="39"/>
  <c r="AF103" i="39" s="1"/>
  <c r="AQ103" i="39" s="1"/>
  <c r="V103" i="39"/>
  <c r="AX102" i="39"/>
  <c r="AP102" i="39"/>
  <c r="AR102" i="39" s="1"/>
  <c r="AM102" i="39"/>
  <c r="AO102" i="39" s="1"/>
  <c r="AF102" i="39"/>
  <c r="AQ102" i="39" s="1"/>
  <c r="W102" i="39"/>
  <c r="V102" i="39"/>
  <c r="AE102" i="39" s="1"/>
  <c r="AG102" i="39" s="1"/>
  <c r="AX101" i="39"/>
  <c r="AN101" i="39"/>
  <c r="AM101" i="39"/>
  <c r="AM107" i="39" s="1"/>
  <c r="AF101" i="39"/>
  <c r="AE101" i="39"/>
  <c r="AG101" i="39" s="1"/>
  <c r="W101" i="39"/>
  <c r="V101" i="39"/>
  <c r="AX100" i="39"/>
  <c r="AW100" i="39"/>
  <c r="AV100" i="39"/>
  <c r="AU100" i="39"/>
  <c r="AL100" i="39"/>
  <c r="AK100" i="39"/>
  <c r="AJ100" i="39"/>
  <c r="AI100" i="39"/>
  <c r="AH100" i="39"/>
  <c r="AD100" i="39"/>
  <c r="AC100" i="39"/>
  <c r="AB100" i="39"/>
  <c r="AA100" i="39"/>
  <c r="Z100" i="39"/>
  <c r="Y100" i="39"/>
  <c r="X100" i="39"/>
  <c r="AX99" i="39"/>
  <c r="AO99" i="39"/>
  <c r="AN99" i="39"/>
  <c r="AM99" i="39"/>
  <c r="AF99" i="39"/>
  <c r="AQ99" i="39" s="1"/>
  <c r="W99" i="39"/>
  <c r="V99" i="39"/>
  <c r="AE99" i="39" s="1"/>
  <c r="AX98" i="39"/>
  <c r="AN98" i="39"/>
  <c r="AM98" i="39"/>
  <c r="AO98" i="39" s="1"/>
  <c r="AE98" i="39"/>
  <c r="W98" i="39"/>
  <c r="AF98" i="39" s="1"/>
  <c r="AQ98" i="39" s="1"/>
  <c r="V98" i="39"/>
  <c r="AX97" i="39"/>
  <c r="AQ97" i="39"/>
  <c r="AN97" i="39"/>
  <c r="AM97" i="39"/>
  <c r="AO97" i="39" s="1"/>
  <c r="W97" i="39"/>
  <c r="AF97" i="39" s="1"/>
  <c r="V97" i="39"/>
  <c r="AE97" i="39" s="1"/>
  <c r="AX96" i="39"/>
  <c r="AN96" i="39"/>
  <c r="AO96" i="39" s="1"/>
  <c r="AM96" i="39"/>
  <c r="W96" i="39"/>
  <c r="AF96" i="39" s="1"/>
  <c r="AQ96" i="39" s="1"/>
  <c r="V96" i="39"/>
  <c r="AX95" i="39"/>
  <c r="AO95" i="39"/>
  <c r="AN95" i="39"/>
  <c r="AM95" i="39"/>
  <c r="AF95" i="39"/>
  <c r="AQ95" i="39" s="1"/>
  <c r="W95" i="39"/>
  <c r="V95" i="39"/>
  <c r="AE95" i="39" s="1"/>
  <c r="AX94" i="39"/>
  <c r="AN94" i="39"/>
  <c r="AN100" i="39" s="1"/>
  <c r="AM94" i="39"/>
  <c r="AM100" i="39" s="1"/>
  <c r="AF94" i="39"/>
  <c r="AE94" i="39"/>
  <c r="AG94" i="39" s="1"/>
  <c r="W94" i="39"/>
  <c r="W100" i="39" s="1"/>
  <c r="V94" i="39"/>
  <c r="AX93" i="39"/>
  <c r="AW93" i="39"/>
  <c r="AV93" i="39"/>
  <c r="AU93" i="39"/>
  <c r="AL93" i="39"/>
  <c r="AK93" i="39"/>
  <c r="AJ93" i="39"/>
  <c r="AI93" i="39"/>
  <c r="AH93" i="39"/>
  <c r="AD93" i="39"/>
  <c r="AC93" i="39"/>
  <c r="AB93" i="39"/>
  <c r="AA93" i="39"/>
  <c r="Z93" i="39"/>
  <c r="Y93" i="39"/>
  <c r="X93" i="39"/>
  <c r="AX92" i="39"/>
  <c r="AO92" i="39"/>
  <c r="AN92" i="39"/>
  <c r="AM92" i="39"/>
  <c r="AF92" i="39"/>
  <c r="AQ92" i="39" s="1"/>
  <c r="W92" i="39"/>
  <c r="V92" i="39"/>
  <c r="AE92" i="39" s="1"/>
  <c r="AX91" i="39"/>
  <c r="AN91" i="39"/>
  <c r="AO91" i="39" s="1"/>
  <c r="AM91" i="39"/>
  <c r="AE91" i="39"/>
  <c r="W91" i="39"/>
  <c r="AF91" i="39" s="1"/>
  <c r="AQ91" i="39" s="1"/>
  <c r="V91" i="39"/>
  <c r="AX90" i="39"/>
  <c r="AN90" i="39"/>
  <c r="AM90" i="39"/>
  <c r="AO90" i="39" s="1"/>
  <c r="W90" i="39"/>
  <c r="AF90" i="39" s="1"/>
  <c r="AQ90" i="39" s="1"/>
  <c r="V90" i="39"/>
  <c r="AE90" i="39" s="1"/>
  <c r="AX89" i="39"/>
  <c r="AN89" i="39"/>
  <c r="AM89" i="39"/>
  <c r="AO89" i="39" s="1"/>
  <c r="W89" i="39"/>
  <c r="AF89" i="39" s="1"/>
  <c r="AQ89" i="39" s="1"/>
  <c r="V89" i="39"/>
  <c r="AX88" i="39"/>
  <c r="AO88" i="39"/>
  <c r="AN88" i="39"/>
  <c r="AM88" i="39"/>
  <c r="AF88" i="39"/>
  <c r="AQ88" i="39" s="1"/>
  <c r="W88" i="39"/>
  <c r="V88" i="39"/>
  <c r="AE88" i="39" s="1"/>
  <c r="AX87" i="39"/>
  <c r="AN87" i="39"/>
  <c r="AN93" i="39" s="1"/>
  <c r="AM87" i="39"/>
  <c r="AM93" i="39" s="1"/>
  <c r="AF87" i="39"/>
  <c r="AF93" i="39" s="1"/>
  <c r="AE87" i="39"/>
  <c r="AG87" i="39" s="1"/>
  <c r="W87" i="39"/>
  <c r="W93" i="39" s="1"/>
  <c r="V87" i="39"/>
  <c r="AX86" i="39"/>
  <c r="AW86" i="39"/>
  <c r="AV86" i="39"/>
  <c r="AU86" i="39"/>
  <c r="AL86" i="39"/>
  <c r="AK86" i="39"/>
  <c r="AJ86" i="39"/>
  <c r="AI86" i="39"/>
  <c r="AH86" i="39"/>
  <c r="AD86" i="39"/>
  <c r="AC86" i="39"/>
  <c r="AB86" i="39"/>
  <c r="AA86" i="39"/>
  <c r="Z86" i="39"/>
  <c r="Y86" i="39"/>
  <c r="X86" i="39"/>
  <c r="AX85" i="39"/>
  <c r="AO85" i="39"/>
  <c r="AN85" i="39"/>
  <c r="AM85" i="39"/>
  <c r="AF85" i="39"/>
  <c r="AQ85" i="39" s="1"/>
  <c r="W85" i="39"/>
  <c r="V85" i="39"/>
  <c r="AE85" i="39" s="1"/>
  <c r="AX84" i="39"/>
  <c r="AN84" i="39"/>
  <c r="AO84" i="39" s="1"/>
  <c r="AM84" i="39"/>
  <c r="AE84" i="39"/>
  <c r="W84" i="39"/>
  <c r="AF84" i="39" s="1"/>
  <c r="AQ84" i="39" s="1"/>
  <c r="V84" i="39"/>
  <c r="AX83" i="39"/>
  <c r="AN83" i="39"/>
  <c r="AM83" i="39"/>
  <c r="AO83" i="39" s="1"/>
  <c r="AE83" i="39"/>
  <c r="AG83" i="39" s="1"/>
  <c r="W83" i="39"/>
  <c r="AF83" i="39" s="1"/>
  <c r="AQ83" i="39" s="1"/>
  <c r="V83" i="39"/>
  <c r="AX82" i="39"/>
  <c r="AN82" i="39"/>
  <c r="AM82" i="39"/>
  <c r="AO82" i="39" s="1"/>
  <c r="W82" i="39"/>
  <c r="AF82" i="39" s="1"/>
  <c r="AQ82" i="39" s="1"/>
  <c r="V82" i="39"/>
  <c r="AX81" i="39"/>
  <c r="AO81" i="39"/>
  <c r="AN81" i="39"/>
  <c r="AM81" i="39"/>
  <c r="AF81" i="39"/>
  <c r="AQ81" i="39" s="1"/>
  <c r="W81" i="39"/>
  <c r="V81" i="39"/>
  <c r="AE81" i="39" s="1"/>
  <c r="AX80" i="39"/>
  <c r="AN80" i="39"/>
  <c r="AM80" i="39"/>
  <c r="AM86" i="39" s="1"/>
  <c r="AF80" i="39"/>
  <c r="AE80" i="39"/>
  <c r="AG80" i="39" s="1"/>
  <c r="W80" i="39"/>
  <c r="W86" i="39" s="1"/>
  <c r="V80" i="39"/>
  <c r="AX79" i="39"/>
  <c r="AW79" i="39"/>
  <c r="AV79" i="39"/>
  <c r="AU79" i="39"/>
  <c r="AL79" i="39"/>
  <c r="AK79" i="39"/>
  <c r="AJ79" i="39"/>
  <c r="AI79" i="39"/>
  <c r="AH79" i="39"/>
  <c r="AD79" i="39"/>
  <c r="AC79" i="39"/>
  <c r="AB79" i="39"/>
  <c r="AA79" i="39"/>
  <c r="Z79" i="39"/>
  <c r="Y79" i="39"/>
  <c r="X79" i="39"/>
  <c r="AX78" i="39"/>
  <c r="AO78" i="39"/>
  <c r="AN78" i="39"/>
  <c r="AM78" i="39"/>
  <c r="AF78" i="39"/>
  <c r="AQ78" i="39" s="1"/>
  <c r="W78" i="39"/>
  <c r="V78" i="39"/>
  <c r="AE78" i="39" s="1"/>
  <c r="AX77" i="39"/>
  <c r="AN77" i="39"/>
  <c r="AM77" i="39"/>
  <c r="AO77" i="39" s="1"/>
  <c r="AF77" i="39"/>
  <c r="AQ77" i="39" s="1"/>
  <c r="AE77" i="39"/>
  <c r="W77" i="39"/>
  <c r="V77" i="39"/>
  <c r="AX76" i="39"/>
  <c r="AN76" i="39"/>
  <c r="AM76" i="39"/>
  <c r="AO76" i="39" s="1"/>
  <c r="AE76" i="39"/>
  <c r="W76" i="39"/>
  <c r="AF76" i="39" s="1"/>
  <c r="AQ76" i="39" s="1"/>
  <c r="V76" i="39"/>
  <c r="AX75" i="39"/>
  <c r="AN75" i="39"/>
  <c r="AM75" i="39"/>
  <c r="AO75" i="39" s="1"/>
  <c r="W75" i="39"/>
  <c r="AF75" i="39" s="1"/>
  <c r="AQ75" i="39" s="1"/>
  <c r="V75" i="39"/>
  <c r="AX74" i="39"/>
  <c r="AO74" i="39"/>
  <c r="AN74" i="39"/>
  <c r="AM74" i="39"/>
  <c r="AF74" i="39"/>
  <c r="AQ74" i="39" s="1"/>
  <c r="W74" i="39"/>
  <c r="V74" i="39"/>
  <c r="AE74" i="39" s="1"/>
  <c r="AX73" i="39"/>
  <c r="AN73" i="39"/>
  <c r="AM73" i="39"/>
  <c r="AM79" i="39" s="1"/>
  <c r="AE73" i="39"/>
  <c r="W73" i="39"/>
  <c r="V73" i="39"/>
  <c r="AX72" i="39"/>
  <c r="AW72" i="39"/>
  <c r="AV72" i="39"/>
  <c r="AU72" i="39"/>
  <c r="AL72" i="39"/>
  <c r="AK72" i="39"/>
  <c r="AJ72" i="39"/>
  <c r="AI72" i="39"/>
  <c r="AH72" i="39"/>
  <c r="AD72" i="39"/>
  <c r="AC72" i="39"/>
  <c r="AB72" i="39"/>
  <c r="AA72" i="39"/>
  <c r="Z72" i="39"/>
  <c r="Y72" i="39"/>
  <c r="X72" i="39"/>
  <c r="AX71" i="39"/>
  <c r="AO71" i="39"/>
  <c r="AN71" i="39"/>
  <c r="AM71" i="39"/>
  <c r="AF71" i="39"/>
  <c r="AQ71" i="39" s="1"/>
  <c r="W71" i="39"/>
  <c r="V71" i="39"/>
  <c r="AE71" i="39" s="1"/>
  <c r="AX70" i="39"/>
  <c r="AN70" i="39"/>
  <c r="AO70" i="39" s="1"/>
  <c r="AM70" i="39"/>
  <c r="AF70" i="39"/>
  <c r="AQ70" i="39" s="1"/>
  <c r="AE70" i="39"/>
  <c r="W70" i="39"/>
  <c r="V70" i="39"/>
  <c r="AX69" i="39"/>
  <c r="AQ69" i="39"/>
  <c r="AN69" i="39"/>
  <c r="AM69" i="39"/>
  <c r="AO69" i="39" s="1"/>
  <c r="AE69" i="39"/>
  <c r="AG69" i="39" s="1"/>
  <c r="W69" i="39"/>
  <c r="AF69" i="39" s="1"/>
  <c r="V69" i="39"/>
  <c r="AX68" i="39"/>
  <c r="AN68" i="39"/>
  <c r="AM68" i="39"/>
  <c r="AO68" i="39" s="1"/>
  <c r="W68" i="39"/>
  <c r="AF68" i="39" s="1"/>
  <c r="AQ68" i="39" s="1"/>
  <c r="V68" i="39"/>
  <c r="AX67" i="39"/>
  <c r="AO67" i="39"/>
  <c r="AN67" i="39"/>
  <c r="AM67" i="39"/>
  <c r="AF67" i="39"/>
  <c r="AQ67" i="39" s="1"/>
  <c r="W67" i="39"/>
  <c r="V67" i="39"/>
  <c r="AE67" i="39" s="1"/>
  <c r="AX66" i="39"/>
  <c r="AN66" i="39"/>
  <c r="AM66" i="39"/>
  <c r="AM72" i="39" s="1"/>
  <c r="AF66" i="39"/>
  <c r="AE66" i="39"/>
  <c r="AG66" i="39" s="1"/>
  <c r="W66" i="39"/>
  <c r="W72" i="39" s="1"/>
  <c r="V66" i="39"/>
  <c r="AW65" i="39"/>
  <c r="AV65" i="39"/>
  <c r="AU65" i="39"/>
  <c r="AL65" i="39"/>
  <c r="AK65" i="39"/>
  <c r="AJ65" i="39"/>
  <c r="AI65" i="39"/>
  <c r="AH65" i="39"/>
  <c r="AD65" i="39"/>
  <c r="AC65" i="39"/>
  <c r="AB65" i="39"/>
  <c r="AA65" i="39"/>
  <c r="Z65" i="39"/>
  <c r="Y65" i="39"/>
  <c r="X65" i="39"/>
  <c r="AX64" i="39"/>
  <c r="AO64" i="39"/>
  <c r="AN64" i="39"/>
  <c r="AM64" i="39"/>
  <c r="AF64" i="39"/>
  <c r="AQ64" i="39" s="1"/>
  <c r="W64" i="39"/>
  <c r="V64" i="39"/>
  <c r="AE64" i="39" s="1"/>
  <c r="AX63" i="39"/>
  <c r="AN63" i="39"/>
  <c r="AO63" i="39" s="1"/>
  <c r="AM63" i="39"/>
  <c r="AF63" i="39"/>
  <c r="AE63" i="39"/>
  <c r="W63" i="39"/>
  <c r="V63" i="39"/>
  <c r="AX62" i="39"/>
  <c r="AX65" i="39" s="1"/>
  <c r="AQ62" i="39"/>
  <c r="AN62" i="39"/>
  <c r="AM62" i="39"/>
  <c r="AO62" i="39" s="1"/>
  <c r="AE62" i="39"/>
  <c r="W62" i="39"/>
  <c r="AF62" i="39" s="1"/>
  <c r="V62" i="39"/>
  <c r="AX61" i="39"/>
  <c r="AQ61" i="39"/>
  <c r="AN61" i="39"/>
  <c r="AM61" i="39"/>
  <c r="AO61" i="39" s="1"/>
  <c r="W61" i="39"/>
  <c r="AF61" i="39" s="1"/>
  <c r="V61" i="39"/>
  <c r="AE61" i="39" s="1"/>
  <c r="AG61" i="39" s="1"/>
  <c r="AX60" i="39"/>
  <c r="AS60" i="39"/>
  <c r="AO60" i="39"/>
  <c r="AN60" i="39"/>
  <c r="AM60" i="39"/>
  <c r="AF60" i="39"/>
  <c r="AQ60" i="39" s="1"/>
  <c r="W60" i="39"/>
  <c r="V60" i="39"/>
  <c r="AE60" i="39" s="1"/>
  <c r="AG60" i="39" s="1"/>
  <c r="AT60" i="39" s="1"/>
  <c r="AX59" i="39"/>
  <c r="AN59" i="39"/>
  <c r="AM59" i="39"/>
  <c r="AE59" i="39"/>
  <c r="W59" i="39"/>
  <c r="V59" i="39"/>
  <c r="AX58" i="39"/>
  <c r="AW58" i="39"/>
  <c r="AV58" i="39"/>
  <c r="AU58" i="39"/>
  <c r="AL58" i="39"/>
  <c r="AK58" i="39"/>
  <c r="AJ58" i="39"/>
  <c r="AI58" i="39"/>
  <c r="AH58" i="39"/>
  <c r="AD58" i="39"/>
  <c r="AC58" i="39"/>
  <c r="AB58" i="39"/>
  <c r="AA58" i="39"/>
  <c r="Z58" i="39"/>
  <c r="Y58" i="39"/>
  <c r="X58" i="39"/>
  <c r="W58" i="39"/>
  <c r="V58" i="39"/>
  <c r="AX57" i="39"/>
  <c r="AN57" i="39"/>
  <c r="AM57" i="39"/>
  <c r="AM58" i="39" s="1"/>
  <c r="AF57" i="39"/>
  <c r="W57" i="39"/>
  <c r="V57" i="39"/>
  <c r="AE57" i="39" s="1"/>
  <c r="AE58" i="39" s="1"/>
  <c r="AW56" i="39"/>
  <c r="AV56" i="39"/>
  <c r="AU56" i="39"/>
  <c r="AM56" i="39"/>
  <c r="AL56" i="39"/>
  <c r="AK56" i="39"/>
  <c r="AJ56" i="39"/>
  <c r="AI56" i="39"/>
  <c r="AH56" i="39"/>
  <c r="AD56" i="39"/>
  <c r="AC56" i="39"/>
  <c r="AB56" i="39"/>
  <c r="AA56" i="39"/>
  <c r="Z56" i="39"/>
  <c r="Y56" i="39"/>
  <c r="X56" i="39"/>
  <c r="W56" i="39"/>
  <c r="AX55" i="39"/>
  <c r="AN55" i="39"/>
  <c r="AM55" i="39"/>
  <c r="AE55" i="39"/>
  <c r="W55" i="39"/>
  <c r="AF55" i="39" s="1"/>
  <c r="V55" i="39"/>
  <c r="AX54" i="39"/>
  <c r="AO54" i="39"/>
  <c r="AN54" i="39"/>
  <c r="AM54" i="39"/>
  <c r="AF54" i="39"/>
  <c r="AE54" i="39"/>
  <c r="AP54" i="39" s="1"/>
  <c r="W54" i="39"/>
  <c r="V54" i="39"/>
  <c r="AX53" i="39"/>
  <c r="AQ53" i="39"/>
  <c r="AO53" i="39"/>
  <c r="AN53" i="39"/>
  <c r="AM53" i="39"/>
  <c r="W53" i="39"/>
  <c r="AF53" i="39" s="1"/>
  <c r="V53" i="39"/>
  <c r="AE53" i="39" s="1"/>
  <c r="AX52" i="39"/>
  <c r="AN52" i="39"/>
  <c r="AM52" i="39"/>
  <c r="AP52" i="39" s="1"/>
  <c r="AF52" i="39"/>
  <c r="AQ52" i="39" s="1"/>
  <c r="AE52" i="39"/>
  <c r="W52" i="39"/>
  <c r="V52" i="39"/>
  <c r="AX51" i="39"/>
  <c r="AX56" i="39" s="1"/>
  <c r="AN51" i="39"/>
  <c r="AM51" i="39"/>
  <c r="AO51" i="39" s="1"/>
  <c r="AF51" i="39"/>
  <c r="AQ51" i="39" s="1"/>
  <c r="AE51" i="39"/>
  <c r="AP51" i="39" s="1"/>
  <c r="W51" i="39"/>
  <c r="V51" i="39"/>
  <c r="AW50" i="39"/>
  <c r="AV50" i="39"/>
  <c r="AU50" i="39"/>
  <c r="AN50" i="39"/>
  <c r="AL50" i="39"/>
  <c r="AK50" i="39"/>
  <c r="AJ50" i="39"/>
  <c r="AI50" i="39"/>
  <c r="AH50" i="39"/>
  <c r="AD50" i="39"/>
  <c r="AC50" i="39"/>
  <c r="AB50" i="39"/>
  <c r="AA50" i="39"/>
  <c r="Z50" i="39"/>
  <c r="Y50" i="39"/>
  <c r="X50" i="39"/>
  <c r="AX49" i="39"/>
  <c r="AO49" i="39"/>
  <c r="AN49" i="39"/>
  <c r="AM49" i="39"/>
  <c r="AE49" i="39"/>
  <c r="W49" i="39"/>
  <c r="AF49" i="39" s="1"/>
  <c r="AQ49" i="39" s="1"/>
  <c r="V49" i="39"/>
  <c r="AX48" i="39"/>
  <c r="AO48" i="39"/>
  <c r="AN48" i="39"/>
  <c r="AM48" i="39"/>
  <c r="W48" i="39"/>
  <c r="AF48" i="39" s="1"/>
  <c r="AQ48" i="39" s="1"/>
  <c r="V48" i="39"/>
  <c r="AE48" i="39" s="1"/>
  <c r="AG48" i="39" s="1"/>
  <c r="AX47" i="39"/>
  <c r="AX50" i="39" s="1"/>
  <c r="AO47" i="39"/>
  <c r="AO50" i="39" s="1"/>
  <c r="AN47" i="39"/>
  <c r="AM47" i="39"/>
  <c r="AM50" i="39" s="1"/>
  <c r="W47" i="39"/>
  <c r="AF47" i="39" s="1"/>
  <c r="AQ47" i="39" s="1"/>
  <c r="V47" i="39"/>
  <c r="AW46" i="39"/>
  <c r="AV46" i="39"/>
  <c r="AU46" i="39"/>
  <c r="AL46" i="39"/>
  <c r="AK46" i="39"/>
  <c r="AJ46" i="39"/>
  <c r="AI46" i="39"/>
  <c r="AH46" i="39"/>
  <c r="AD46" i="39"/>
  <c r="AC46" i="39"/>
  <c r="AB46" i="39"/>
  <c r="AA46" i="39"/>
  <c r="Z46" i="39"/>
  <c r="Y46" i="39"/>
  <c r="X46" i="39"/>
  <c r="AX45" i="39"/>
  <c r="AX46" i="39" s="1"/>
  <c r="AN45" i="39"/>
  <c r="AN46" i="39" s="1"/>
  <c r="AM45" i="39"/>
  <c r="AM46" i="39" s="1"/>
  <c r="AG45" i="39"/>
  <c r="AT45" i="39" s="1"/>
  <c r="AT46" i="39" s="1"/>
  <c r="AF45" i="39"/>
  <c r="AF46" i="39" s="1"/>
  <c r="W45" i="39"/>
  <c r="W46" i="39" s="1"/>
  <c r="V45" i="39"/>
  <c r="AE45" i="39" s="1"/>
  <c r="AX44" i="39"/>
  <c r="AW44" i="39"/>
  <c r="AV44" i="39"/>
  <c r="AU44" i="39"/>
  <c r="AO44" i="39"/>
  <c r="AN44" i="39"/>
  <c r="AM44" i="39"/>
  <c r="AL44" i="39"/>
  <c r="AK44" i="39"/>
  <c r="AJ44" i="39"/>
  <c r="AI44" i="39"/>
  <c r="AH44" i="39"/>
  <c r="AD44" i="39"/>
  <c r="AC44" i="39"/>
  <c r="AB44" i="39"/>
  <c r="AA44" i="39"/>
  <c r="Z44" i="39"/>
  <c r="Y44" i="39"/>
  <c r="X44" i="39"/>
  <c r="AX43" i="39"/>
  <c r="AO43" i="39"/>
  <c r="AN43" i="39"/>
  <c r="AM43" i="39"/>
  <c r="AE43" i="39"/>
  <c r="W43" i="39"/>
  <c r="V43" i="39"/>
  <c r="V44" i="39" s="1"/>
  <c r="AW42" i="39"/>
  <c r="AV42" i="39"/>
  <c r="AU42" i="39"/>
  <c r="AL42" i="39"/>
  <c r="AK42" i="39"/>
  <c r="AJ42" i="39"/>
  <c r="AI42" i="39"/>
  <c r="AH42" i="39"/>
  <c r="AD42" i="39"/>
  <c r="AC42" i="39"/>
  <c r="AB42" i="39"/>
  <c r="AA42" i="39"/>
  <c r="Z42" i="39"/>
  <c r="Y42" i="39"/>
  <c r="X42" i="39"/>
  <c r="V42" i="39"/>
  <c r="AX41" i="39"/>
  <c r="AN41" i="39"/>
  <c r="AO41" i="39" s="1"/>
  <c r="AM41" i="39"/>
  <c r="W41" i="39"/>
  <c r="AF41" i="39" s="1"/>
  <c r="V41" i="39"/>
  <c r="AE41" i="39" s="1"/>
  <c r="AX40" i="39"/>
  <c r="AN40" i="39"/>
  <c r="AM40" i="39"/>
  <c r="AO40" i="39" s="1"/>
  <c r="W40" i="39"/>
  <c r="AF40" i="39" s="1"/>
  <c r="AQ40" i="39" s="1"/>
  <c r="V40" i="39"/>
  <c r="AE40" i="39" s="1"/>
  <c r="AX39" i="39"/>
  <c r="AN39" i="39"/>
  <c r="AM39" i="39"/>
  <c r="AO39" i="39" s="1"/>
  <c r="AG39" i="39"/>
  <c r="AS39" i="39" s="1"/>
  <c r="AF39" i="39"/>
  <c r="AQ39" i="39" s="1"/>
  <c r="AE39" i="39"/>
  <c r="AP39" i="39" s="1"/>
  <c r="W39" i="39"/>
  <c r="V39" i="39"/>
  <c r="AX38" i="39"/>
  <c r="AN38" i="39"/>
  <c r="AM38" i="39"/>
  <c r="AO38" i="39" s="1"/>
  <c r="AF38" i="39"/>
  <c r="AE38" i="39"/>
  <c r="AP38" i="39" s="1"/>
  <c r="W38" i="39"/>
  <c r="V38" i="39"/>
  <c r="AX37" i="39"/>
  <c r="AN37" i="39"/>
  <c r="AN42" i="39" s="1"/>
  <c r="AM37" i="39"/>
  <c r="AO37" i="39" s="1"/>
  <c r="AF37" i="39"/>
  <c r="AF42" i="39" s="1"/>
  <c r="AE37" i="39"/>
  <c r="W37" i="39"/>
  <c r="W42" i="39" s="1"/>
  <c r="V37" i="39"/>
  <c r="AW36" i="39"/>
  <c r="AV36" i="39"/>
  <c r="AU36" i="39"/>
  <c r="AL36" i="39"/>
  <c r="AK36" i="39"/>
  <c r="AJ36" i="39"/>
  <c r="AI36" i="39"/>
  <c r="AH36" i="39"/>
  <c r="AD36" i="39"/>
  <c r="AC36" i="39"/>
  <c r="AB36" i="39"/>
  <c r="AA36" i="39"/>
  <c r="Z36" i="39"/>
  <c r="Y36" i="39"/>
  <c r="X36" i="39"/>
  <c r="W36" i="39"/>
  <c r="V36" i="39"/>
  <c r="AX35" i="39"/>
  <c r="AO35" i="39"/>
  <c r="AN35" i="39"/>
  <c r="AM35" i="39"/>
  <c r="W35" i="39"/>
  <c r="AF35" i="39" s="1"/>
  <c r="AQ35" i="39" s="1"/>
  <c r="V35" i="39"/>
  <c r="AE35" i="39" s="1"/>
  <c r="AX34" i="39"/>
  <c r="AN34" i="39"/>
  <c r="AO34" i="39" s="1"/>
  <c r="AM34" i="39"/>
  <c r="W34" i="39"/>
  <c r="AF34" i="39" s="1"/>
  <c r="AQ34" i="39" s="1"/>
  <c r="V34" i="39"/>
  <c r="AE34" i="39" s="1"/>
  <c r="AX33" i="39"/>
  <c r="AN33" i="39"/>
  <c r="AM33" i="39"/>
  <c r="AO33" i="39" s="1"/>
  <c r="W33" i="39"/>
  <c r="AF33" i="39" s="1"/>
  <c r="AQ33" i="39" s="1"/>
  <c r="V33" i="39"/>
  <c r="AE33" i="39" s="1"/>
  <c r="AX32" i="39"/>
  <c r="AN32" i="39"/>
  <c r="AM32" i="39"/>
  <c r="AM36" i="39" s="1"/>
  <c r="AG32" i="39"/>
  <c r="AS32" i="39" s="1"/>
  <c r="AF32" i="39"/>
  <c r="AQ32" i="39" s="1"/>
  <c r="W32" i="39"/>
  <c r="V32" i="39"/>
  <c r="AE32" i="39" s="1"/>
  <c r="AX31" i="39"/>
  <c r="AX36" i="39" s="1"/>
  <c r="AN31" i="39"/>
  <c r="AM31" i="39"/>
  <c r="AO31" i="39" s="1"/>
  <c r="AF31" i="39"/>
  <c r="AE31" i="39"/>
  <c r="AP31" i="39" s="1"/>
  <c r="W31" i="39"/>
  <c r="V31" i="39"/>
  <c r="AW30" i="39"/>
  <c r="AV30" i="39"/>
  <c r="AU30" i="39"/>
  <c r="AL30" i="39"/>
  <c r="AK30" i="39"/>
  <c r="AJ30" i="39"/>
  <c r="AI30" i="39"/>
  <c r="AH30" i="39"/>
  <c r="AD30" i="39"/>
  <c r="AC30" i="39"/>
  <c r="AB30" i="39"/>
  <c r="AA30" i="39"/>
  <c r="Z30" i="39"/>
  <c r="Y30" i="39"/>
  <c r="X30" i="39"/>
  <c r="W30" i="39"/>
  <c r="AX29" i="39"/>
  <c r="AO29" i="39"/>
  <c r="AN29" i="39"/>
  <c r="AM29" i="39"/>
  <c r="W29" i="39"/>
  <c r="AF29" i="39" s="1"/>
  <c r="AQ29" i="39" s="1"/>
  <c r="V29" i="39"/>
  <c r="AE29" i="39" s="1"/>
  <c r="AG29" i="39" s="1"/>
  <c r="AX28" i="39"/>
  <c r="AO28" i="39"/>
  <c r="AN28" i="39"/>
  <c r="AM28" i="39"/>
  <c r="W28" i="39"/>
  <c r="AF28" i="39" s="1"/>
  <c r="AQ28" i="39" s="1"/>
  <c r="V28" i="39"/>
  <c r="AE28" i="39" s="1"/>
  <c r="AX27" i="39"/>
  <c r="AN27" i="39"/>
  <c r="AO27" i="39" s="1"/>
  <c r="AM27" i="39"/>
  <c r="W27" i="39"/>
  <c r="AF27" i="39" s="1"/>
  <c r="AQ27" i="39" s="1"/>
  <c r="V27" i="39"/>
  <c r="AE27" i="39" s="1"/>
  <c r="AX26" i="39"/>
  <c r="AN26" i="39"/>
  <c r="AM26" i="39"/>
  <c r="AO26" i="39" s="1"/>
  <c r="W26" i="39"/>
  <c r="AF26" i="39" s="1"/>
  <c r="AQ26" i="39" s="1"/>
  <c r="V26" i="39"/>
  <c r="AE26" i="39" s="1"/>
  <c r="AX25" i="39"/>
  <c r="AN25" i="39"/>
  <c r="AM25" i="39"/>
  <c r="AO25" i="39" s="1"/>
  <c r="AE25" i="39"/>
  <c r="AP25" i="39" s="1"/>
  <c r="W25" i="39"/>
  <c r="AF25" i="39" s="1"/>
  <c r="AG25" i="39" s="1"/>
  <c r="V25" i="39"/>
  <c r="AW24" i="39"/>
  <c r="AV24" i="39"/>
  <c r="AU24" i="39"/>
  <c r="AL24" i="39"/>
  <c r="AK24" i="39"/>
  <c r="AJ24" i="39"/>
  <c r="AI24" i="39"/>
  <c r="AH24" i="39"/>
  <c r="AD24" i="39"/>
  <c r="AC24" i="39"/>
  <c r="AB24" i="39"/>
  <c r="AA24" i="39"/>
  <c r="Z24" i="39"/>
  <c r="Y24" i="39"/>
  <c r="X24" i="39"/>
  <c r="AX23" i="39"/>
  <c r="AQ23" i="39"/>
  <c r="AO23" i="39"/>
  <c r="AN23" i="39"/>
  <c r="AM23" i="39"/>
  <c r="AE23" i="39"/>
  <c r="AG23" i="39" s="1"/>
  <c r="W23" i="39"/>
  <c r="AF23" i="39" s="1"/>
  <c r="V23" i="39"/>
  <c r="AX22" i="39"/>
  <c r="AN22" i="39"/>
  <c r="AM22" i="39"/>
  <c r="AO22" i="39" s="1"/>
  <c r="W22" i="39"/>
  <c r="AF22" i="39" s="1"/>
  <c r="AQ22" i="39" s="1"/>
  <c r="V22" i="39"/>
  <c r="AE22" i="39" s="1"/>
  <c r="AG22" i="39" s="1"/>
  <c r="AX21" i="39"/>
  <c r="AO21" i="39"/>
  <c r="AN21" i="39"/>
  <c r="AM21" i="39"/>
  <c r="W21" i="39"/>
  <c r="AF21" i="39" s="1"/>
  <c r="AQ21" i="39" s="1"/>
  <c r="V21" i="39"/>
  <c r="AE21" i="39" s="1"/>
  <c r="AX20" i="39"/>
  <c r="AN20" i="39"/>
  <c r="AO20" i="39" s="1"/>
  <c r="AM20" i="39"/>
  <c r="W20" i="39"/>
  <c r="AF20" i="39" s="1"/>
  <c r="AQ20" i="39" s="1"/>
  <c r="V20" i="39"/>
  <c r="AE20" i="39" s="1"/>
  <c r="AX19" i="39"/>
  <c r="AX24" i="39" s="1"/>
  <c r="AN19" i="39"/>
  <c r="AM19" i="39"/>
  <c r="AF19" i="39"/>
  <c r="AQ19" i="39" s="1"/>
  <c r="AQ24" i="39" s="1"/>
  <c r="W19" i="39"/>
  <c r="W24" i="39" s="1"/>
  <c r="V19" i="39"/>
  <c r="AX18" i="39"/>
  <c r="AW18" i="39"/>
  <c r="AV18" i="39"/>
  <c r="AU18" i="39"/>
  <c r="AL18" i="39"/>
  <c r="AK18" i="39"/>
  <c r="AJ18" i="39"/>
  <c r="AI18" i="39"/>
  <c r="AH18" i="39"/>
  <c r="AD18" i="39"/>
  <c r="AC18" i="39"/>
  <c r="AB18" i="39"/>
  <c r="AA18" i="39"/>
  <c r="Z18" i="39"/>
  <c r="Y18" i="39"/>
  <c r="AX17" i="39"/>
  <c r="AN17" i="39"/>
  <c r="AM17" i="39"/>
  <c r="AO17" i="39" s="1"/>
  <c r="AF17" i="39"/>
  <c r="AQ17" i="39" s="1"/>
  <c r="AE17" i="39"/>
  <c r="W17" i="39"/>
  <c r="V17" i="39"/>
  <c r="AX16" i="39"/>
  <c r="AQ16" i="39"/>
  <c r="AO16" i="39"/>
  <c r="AN16" i="39"/>
  <c r="AM16" i="39"/>
  <c r="AF16" i="39"/>
  <c r="X16" i="39"/>
  <c r="W16" i="39"/>
  <c r="V16" i="39"/>
  <c r="AX15" i="39"/>
  <c r="AO15" i="39"/>
  <c r="AN15" i="39"/>
  <c r="AM15" i="39"/>
  <c r="AE15" i="39"/>
  <c r="W15" i="39"/>
  <c r="AF15" i="39" s="1"/>
  <c r="AQ15" i="39" s="1"/>
  <c r="V15" i="39"/>
  <c r="AX14" i="39"/>
  <c r="AN14" i="39"/>
  <c r="AN18" i="39" s="1"/>
  <c r="AM14" i="39"/>
  <c r="AM18" i="39" s="1"/>
  <c r="W14" i="39"/>
  <c r="W18" i="39" s="1"/>
  <c r="V14" i="39"/>
  <c r="AW13" i="39"/>
  <c r="AV13" i="39"/>
  <c r="AU13" i="39"/>
  <c r="AL13" i="39"/>
  <c r="AK13" i="39"/>
  <c r="AJ13" i="39"/>
  <c r="AI13" i="39"/>
  <c r="AH13" i="39"/>
  <c r="AD13" i="39"/>
  <c r="AC13" i="39"/>
  <c r="AB13" i="39"/>
  <c r="AA13" i="39"/>
  <c r="Z13" i="39"/>
  <c r="Y13" i="39"/>
  <c r="X13" i="39"/>
  <c r="W13" i="39"/>
  <c r="V13" i="39"/>
  <c r="AX12" i="39"/>
  <c r="AX13" i="39" s="1"/>
  <c r="AN12" i="39"/>
  <c r="AN13" i="39" s="1"/>
  <c r="AM12" i="39"/>
  <c r="AF12" i="39"/>
  <c r="AF13" i="39" s="1"/>
  <c r="W12" i="39"/>
  <c r="V12" i="39"/>
  <c r="AE12" i="39" s="1"/>
  <c r="AE45" i="42" l="1"/>
  <c r="AE46" i="42" s="1"/>
  <c r="AG57" i="39"/>
  <c r="AG58" i="39" s="1"/>
  <c r="AE76" i="42"/>
  <c r="BI69" i="42"/>
  <c r="AE69" i="42"/>
  <c r="BI200" i="42"/>
  <c r="BK85" i="42"/>
  <c r="BI81" i="40"/>
  <c r="BK76" i="40"/>
  <c r="BI60" i="40"/>
  <c r="BI38" i="40"/>
  <c r="AE56" i="39"/>
  <c r="AG51" i="39"/>
  <c r="BI100" i="39"/>
  <c r="AQ171" i="42"/>
  <c r="AR171" i="42" s="1"/>
  <c r="AY171" i="42" s="1"/>
  <c r="AG171" i="42"/>
  <c r="W174" i="42"/>
  <c r="AF174" i="42"/>
  <c r="W44" i="40"/>
  <c r="AQ41" i="40"/>
  <c r="AO44" i="40"/>
  <c r="AN44" i="40"/>
  <c r="AF44" i="40"/>
  <c r="AO24" i="40"/>
  <c r="AO25" i="40" s="1"/>
  <c r="AQ12" i="42"/>
  <c r="AQ21" i="42" s="1"/>
  <c r="AF21" i="42"/>
  <c r="AG12" i="42"/>
  <c r="AR17" i="42"/>
  <c r="AO25" i="42"/>
  <c r="AG14" i="42"/>
  <c r="AP14" i="42"/>
  <c r="AR14" i="42" s="1"/>
  <c r="AG15" i="42"/>
  <c r="AP15" i="42"/>
  <c r="AR15" i="42" s="1"/>
  <c r="AO21" i="42"/>
  <c r="AQ16" i="42"/>
  <c r="AR16" i="42" s="1"/>
  <c r="AG16" i="42"/>
  <c r="AG19" i="42"/>
  <c r="AT20" i="42"/>
  <c r="AQ22" i="42"/>
  <c r="AQ25" i="42" s="1"/>
  <c r="AT24" i="42"/>
  <c r="AQ26" i="42"/>
  <c r="AQ29" i="42" s="1"/>
  <c r="AT28" i="42"/>
  <c r="AQ30" i="42"/>
  <c r="AQ33" i="42" s="1"/>
  <c r="AT32" i="42"/>
  <c r="AQ34" i="42"/>
  <c r="AQ37" i="42" s="1"/>
  <c r="AT36" i="42"/>
  <c r="AY36" i="42" s="1"/>
  <c r="BK39" i="42"/>
  <c r="BK44" i="42"/>
  <c r="BK43" i="42"/>
  <c r="AO47" i="42"/>
  <c r="AO52" i="42" s="1"/>
  <c r="AF53" i="42"/>
  <c r="AP79" i="42"/>
  <c r="AG79" i="42"/>
  <c r="AT87" i="42"/>
  <c r="AS87" i="42"/>
  <c r="AM21" i="42"/>
  <c r="AX21" i="42"/>
  <c r="AR20" i="42"/>
  <c r="V25" i="42"/>
  <c r="AE22" i="42"/>
  <c r="AX25" i="42"/>
  <c r="AO23" i="42"/>
  <c r="V29" i="42"/>
  <c r="AE26" i="42"/>
  <c r="AX29" i="42"/>
  <c r="AO27" i="42"/>
  <c r="V33" i="42"/>
  <c r="AE30" i="42"/>
  <c r="AX33" i="42"/>
  <c r="AO31" i="42"/>
  <c r="V37" i="42"/>
  <c r="AE34" i="42"/>
  <c r="AX37" i="42"/>
  <c r="AO35" i="42"/>
  <c r="V40" i="42"/>
  <c r="AE38" i="42"/>
  <c r="AQ41" i="42"/>
  <c r="AQ44" i="42" s="1"/>
  <c r="AF44" i="42"/>
  <c r="AG42" i="42"/>
  <c r="AQ45" i="42"/>
  <c r="AQ46" i="42" s="1"/>
  <c r="AF46" i="42"/>
  <c r="AM46" i="42"/>
  <c r="AG48" i="42"/>
  <c r="AR50" i="42"/>
  <c r="AQ51" i="42"/>
  <c r="AS62" i="42"/>
  <c r="AT62" i="42"/>
  <c r="AP63" i="42"/>
  <c r="AR63" i="42" s="1"/>
  <c r="AG63" i="42"/>
  <c r="BJ64" i="42"/>
  <c r="AX69" i="42"/>
  <c r="AX76" i="42"/>
  <c r="AS74" i="42"/>
  <c r="AT74" i="42"/>
  <c r="AP75" i="42"/>
  <c r="AR75" i="42" s="1"/>
  <c r="AG75" i="42"/>
  <c r="BJ76" i="42"/>
  <c r="AO85" i="42"/>
  <c r="AG13" i="42"/>
  <c r="AG17" i="42"/>
  <c r="W25" i="42"/>
  <c r="BI25" i="42"/>
  <c r="AY24" i="42"/>
  <c r="W29" i="42"/>
  <c r="BI29" i="42"/>
  <c r="AY28" i="42"/>
  <c r="W33" i="42"/>
  <c r="BI33" i="42"/>
  <c r="AY32" i="42"/>
  <c r="W37" i="42"/>
  <c r="BI37" i="42"/>
  <c r="W40" i="42"/>
  <c r="AM44" i="42"/>
  <c r="AO41" i="42"/>
  <c r="AO44" i="42" s="1"/>
  <c r="W44" i="42"/>
  <c r="AM85" i="42"/>
  <c r="BI21" i="42"/>
  <c r="AF40" i="42"/>
  <c r="AE52" i="42"/>
  <c r="AP47" i="42"/>
  <c r="AP49" i="42"/>
  <c r="AR49" i="42" s="1"/>
  <c r="AG49" i="42"/>
  <c r="BI58" i="42"/>
  <c r="AQ65" i="42"/>
  <c r="AQ69" i="42" s="1"/>
  <c r="AR68" i="42"/>
  <c r="AP41" i="42"/>
  <c r="AE44" i="42"/>
  <c r="AG41" i="42"/>
  <c r="V21" i="42"/>
  <c r="BJ21" i="42"/>
  <c r="BK22" i="42"/>
  <c r="BK25" i="42" s="1"/>
  <c r="BK26" i="42"/>
  <c r="BK29" i="42" s="1"/>
  <c r="BK30" i="42"/>
  <c r="BK33" i="42" s="1"/>
  <c r="BK34" i="42"/>
  <c r="BK37" i="42" s="1"/>
  <c r="AO40" i="42"/>
  <c r="BK38" i="42"/>
  <c r="BK40" i="42" s="1"/>
  <c r="AF47" i="42"/>
  <c r="AG47" i="42" s="1"/>
  <c r="W52" i="42"/>
  <c r="BJ52" i="42"/>
  <c r="AG50" i="42"/>
  <c r="AP54" i="42"/>
  <c r="AR54" i="42" s="1"/>
  <c r="AG54" i="42"/>
  <c r="AQ81" i="42"/>
  <c r="AR84" i="42"/>
  <c r="W85" i="42"/>
  <c r="AE85" i="42"/>
  <c r="AO95" i="42"/>
  <c r="AS18" i="42"/>
  <c r="AO59" i="42"/>
  <c r="AO64" i="42" s="1"/>
  <c r="AM64" i="42"/>
  <c r="W21" i="42"/>
  <c r="BK21" i="42"/>
  <c r="AG23" i="42"/>
  <c r="AP23" i="42"/>
  <c r="AR23" i="42" s="1"/>
  <c r="AG27" i="42"/>
  <c r="AP27" i="42"/>
  <c r="AR27" i="42" s="1"/>
  <c r="AG31" i="42"/>
  <c r="AP31" i="42"/>
  <c r="AR31" i="42" s="1"/>
  <c r="AG35" i="42"/>
  <c r="AP35" i="42"/>
  <c r="AR35" i="42" s="1"/>
  <c r="AN40" i="42"/>
  <c r="AG39" i="42"/>
  <c r="AP39" i="42"/>
  <c r="AR39" i="42" s="1"/>
  <c r="AN44" i="42"/>
  <c r="AG43" i="42"/>
  <c r="AP43" i="42"/>
  <c r="AR43" i="42" s="1"/>
  <c r="AM58" i="42"/>
  <c r="AO54" i="42"/>
  <c r="AP55" i="42"/>
  <c r="AR55" i="42" s="1"/>
  <c r="AG55" i="42"/>
  <c r="AS66" i="42"/>
  <c r="AT66" i="42"/>
  <c r="AR70" i="42"/>
  <c r="AG51" i="42"/>
  <c r="AP51" i="42"/>
  <c r="AR51" i="42" s="1"/>
  <c r="AY62" i="42"/>
  <c r="AY74" i="42"/>
  <c r="AE21" i="42"/>
  <c r="AP18" i="42"/>
  <c r="AR18" i="42" s="1"/>
  <c r="AY18" i="42" s="1"/>
  <c r="AR42" i="42"/>
  <c r="AR60" i="42"/>
  <c r="AG61" i="42"/>
  <c r="AP61" i="42"/>
  <c r="AR61" i="42" s="1"/>
  <c r="AO76" i="42"/>
  <c r="AR72" i="42"/>
  <c r="AG73" i="42"/>
  <c r="AP73" i="42"/>
  <c r="AR73" i="42" s="1"/>
  <c r="AP19" i="42"/>
  <c r="AR19" i="42" s="1"/>
  <c r="AR56" i="42"/>
  <c r="AR57" i="42"/>
  <c r="AR66" i="42"/>
  <c r="W69" i="42"/>
  <c r="AQ70" i="42"/>
  <c r="AQ76" i="42" s="1"/>
  <c r="AF76" i="42"/>
  <c r="BI76" i="42"/>
  <c r="BK70" i="42"/>
  <c r="BK76" i="42" s="1"/>
  <c r="AQ79" i="42"/>
  <c r="AQ85" i="42" s="1"/>
  <c r="AF85" i="42"/>
  <c r="AG80" i="42"/>
  <c r="AG110" i="42"/>
  <c r="AQ110" i="42"/>
  <c r="AM116" i="42"/>
  <c r="AF126" i="42"/>
  <c r="AQ123" i="42"/>
  <c r="AQ126" i="42" s="1"/>
  <c r="AN58" i="42"/>
  <c r="AG57" i="42"/>
  <c r="AX64" i="42"/>
  <c r="V64" i="42"/>
  <c r="AG70" i="42"/>
  <c r="V76" i="42"/>
  <c r="AM76" i="42"/>
  <c r="AN85" i="42"/>
  <c r="AG82" i="42"/>
  <c r="BJ89" i="42"/>
  <c r="BK86" i="42"/>
  <c r="BK89" i="42" s="1"/>
  <c r="AM40" i="42"/>
  <c r="AO58" i="42"/>
  <c r="BJ58" i="42"/>
  <c r="AG56" i="42"/>
  <c r="BI64" i="42"/>
  <c r="AG65" i="42"/>
  <c r="AP65" i="42"/>
  <c r="AP67" i="42"/>
  <c r="AR67" i="42" s="1"/>
  <c r="AG67" i="42"/>
  <c r="BI89" i="42"/>
  <c r="BK87" i="42"/>
  <c r="BK112" i="42"/>
  <c r="BK58" i="42"/>
  <c r="AP59" i="42"/>
  <c r="AG59" i="42"/>
  <c r="AF69" i="42"/>
  <c r="BJ69" i="42"/>
  <c r="AG68" i="42"/>
  <c r="AP71" i="42"/>
  <c r="AR71" i="42" s="1"/>
  <c r="AG71" i="42"/>
  <c r="W78" i="42"/>
  <c r="AF77" i="42"/>
  <c r="AG81" i="42"/>
  <c r="AP81" i="42"/>
  <c r="AR81" i="42" s="1"/>
  <c r="AP83" i="42"/>
  <c r="AR83" i="42" s="1"/>
  <c r="AG83" i="42"/>
  <c r="AM89" i="42"/>
  <c r="AO86" i="42"/>
  <c r="AO89" i="42" s="1"/>
  <c r="AQ95" i="42"/>
  <c r="AG92" i="42"/>
  <c r="AP92" i="42"/>
  <c r="AR92" i="42" s="1"/>
  <c r="AO153" i="42"/>
  <c r="AN155" i="42"/>
  <c r="AO26" i="42"/>
  <c r="AO29" i="42" s="1"/>
  <c r="AO30" i="42"/>
  <c r="AO33" i="42" s="1"/>
  <c r="AO34" i="42"/>
  <c r="AO37" i="42" s="1"/>
  <c r="BK45" i="42"/>
  <c r="BK46" i="42" s="1"/>
  <c r="AX52" i="42"/>
  <c r="BK51" i="42"/>
  <c r="BK52" i="42" s="1"/>
  <c r="V58" i="42"/>
  <c r="AE53" i="42"/>
  <c r="AQ59" i="42"/>
  <c r="AQ64" i="42" s="1"/>
  <c r="AF64" i="42"/>
  <c r="AG60" i="42"/>
  <c r="BK65" i="42"/>
  <c r="BK69" i="42" s="1"/>
  <c r="AG72" i="42"/>
  <c r="V85" i="42"/>
  <c r="AX85" i="42"/>
  <c r="AP80" i="42"/>
  <c r="AR80" i="42" s="1"/>
  <c r="AG84" i="42"/>
  <c r="AG88" i="42"/>
  <c r="AP88" i="42"/>
  <c r="AR88" i="42" s="1"/>
  <c r="AQ87" i="42"/>
  <c r="AP94" i="42"/>
  <c r="AR94" i="42" s="1"/>
  <c r="AG94" i="42"/>
  <c r="AO112" i="42"/>
  <c r="AQ143" i="42"/>
  <c r="AQ147" i="42" s="1"/>
  <c r="AG143" i="42"/>
  <c r="AG146" i="42"/>
  <c r="AP146" i="42"/>
  <c r="AR146" i="42" s="1"/>
  <c r="AM112" i="42"/>
  <c r="AG114" i="42"/>
  <c r="AQ114" i="42"/>
  <c r="AQ117" i="42"/>
  <c r="AO122" i="42"/>
  <c r="BK134" i="42"/>
  <c r="BK136" i="42" s="1"/>
  <c r="BI136" i="42"/>
  <c r="V69" i="42"/>
  <c r="AN89" i="42"/>
  <c r="AX95" i="42"/>
  <c r="AM95" i="42"/>
  <c r="AM99" i="42"/>
  <c r="AF106" i="42"/>
  <c r="AG109" i="42"/>
  <c r="AP109" i="42"/>
  <c r="AR109" i="42" s="1"/>
  <c r="AR111" i="42"/>
  <c r="AO113" i="42"/>
  <c r="AO116" i="42" s="1"/>
  <c r="AS118" i="42"/>
  <c r="AF119" i="42"/>
  <c r="AQ119" i="42" s="1"/>
  <c r="AR119" i="42" s="1"/>
  <c r="W132" i="42"/>
  <c r="AF127" i="42"/>
  <c r="AE77" i="42"/>
  <c r="AF99" i="42"/>
  <c r="W105" i="42"/>
  <c r="AF100" i="42"/>
  <c r="BK100" i="42"/>
  <c r="BK105" i="42" s="1"/>
  <c r="AX116" i="42"/>
  <c r="AG120" i="42"/>
  <c r="AP120" i="42"/>
  <c r="AR120" i="42" s="1"/>
  <c r="BK123" i="42"/>
  <c r="BK126" i="42" s="1"/>
  <c r="AE164" i="42"/>
  <c r="AP159" i="42"/>
  <c r="AG159" i="42"/>
  <c r="AF95" i="42"/>
  <c r="AM105" i="42"/>
  <c r="AR103" i="42"/>
  <c r="AR107" i="42"/>
  <c r="AG113" i="42"/>
  <c r="AP113" i="42"/>
  <c r="AR115" i="42"/>
  <c r="AR118" i="42"/>
  <c r="AY118" i="42" s="1"/>
  <c r="AG124" i="42"/>
  <c r="AP124" i="42"/>
  <c r="AR124" i="42" s="1"/>
  <c r="BK130" i="42"/>
  <c r="BK132" i="42" s="1"/>
  <c r="BI132" i="42"/>
  <c r="AT131" i="42"/>
  <c r="AF133" i="42"/>
  <c r="W136" i="42"/>
  <c r="AG173" i="42"/>
  <c r="AP173" i="42"/>
  <c r="AR173" i="42" s="1"/>
  <c r="AE89" i="42"/>
  <c r="AP110" i="42"/>
  <c r="AG121" i="42"/>
  <c r="AP121" i="42"/>
  <c r="AR121" i="42" s="1"/>
  <c r="AS135" i="42"/>
  <c r="AT135" i="42"/>
  <c r="AP184" i="42"/>
  <c r="AR184" i="42" s="1"/>
  <c r="AG184" i="42"/>
  <c r="BK59" i="42"/>
  <c r="BK64" i="42" s="1"/>
  <c r="AF86" i="42"/>
  <c r="AR87" i="42"/>
  <c r="AY87" i="42" s="1"/>
  <c r="AG93" i="42"/>
  <c r="AG97" i="42"/>
  <c r="AO100" i="42"/>
  <c r="AO105" i="42" s="1"/>
  <c r="AG101" i="42"/>
  <c r="AX112" i="42"/>
  <c r="AQ113" i="42"/>
  <c r="AQ116" i="42" s="1"/>
  <c r="AF116" i="42"/>
  <c r="BI116" i="42"/>
  <c r="AG125" i="42"/>
  <c r="AP125" i="42"/>
  <c r="AR125" i="42" s="1"/>
  <c r="AE194" i="42"/>
  <c r="V200" i="42"/>
  <c r="AQ99" i="42"/>
  <c r="AP98" i="42"/>
  <c r="AR98" i="42" s="1"/>
  <c r="AG98" i="42"/>
  <c r="AP102" i="42"/>
  <c r="AR102" i="42" s="1"/>
  <c r="AG102" i="42"/>
  <c r="AG104" i="42"/>
  <c r="AP104" i="42"/>
  <c r="AR104" i="42" s="1"/>
  <c r="AP106" i="42"/>
  <c r="AG108" i="42"/>
  <c r="AP108" i="42"/>
  <c r="AR108" i="42" s="1"/>
  <c r="AX122" i="42"/>
  <c r="AS192" i="42"/>
  <c r="AY192" i="42" s="1"/>
  <c r="AT192" i="42"/>
  <c r="AP114" i="42"/>
  <c r="AR114" i="42" s="1"/>
  <c r="BI122" i="42"/>
  <c r="BK117" i="42"/>
  <c r="BK122" i="42" s="1"/>
  <c r="V112" i="42"/>
  <c r="AG130" i="42"/>
  <c r="AP130" i="42"/>
  <c r="AR130" i="42" s="1"/>
  <c r="AR139" i="42"/>
  <c r="AR154" i="42"/>
  <c r="AE158" i="42"/>
  <c r="AP156" i="42"/>
  <c r="AG157" i="42"/>
  <c r="AP157" i="42"/>
  <c r="AP163" i="42"/>
  <c r="AR163" i="42" s="1"/>
  <c r="AG163" i="42"/>
  <c r="AS171" i="42"/>
  <c r="AT171" i="42"/>
  <c r="BJ187" i="42"/>
  <c r="BK182" i="42"/>
  <c r="BK187" i="42" s="1"/>
  <c r="AP196" i="42"/>
  <c r="AR196" i="42" s="1"/>
  <c r="AG196" i="42"/>
  <c r="AX140" i="42"/>
  <c r="AN140" i="42"/>
  <c r="V147" i="42"/>
  <c r="AE141" i="42"/>
  <c r="AP145" i="42"/>
  <c r="AR145" i="42" s="1"/>
  <c r="AS190" i="42"/>
  <c r="AT190" i="42"/>
  <c r="AR195" i="42"/>
  <c r="AG91" i="42"/>
  <c r="AP93" i="42"/>
  <c r="AR93" i="42" s="1"/>
  <c r="AE96" i="42"/>
  <c r="AP97" i="42"/>
  <c r="AR97" i="42" s="1"/>
  <c r="AE100" i="42"/>
  <c r="AP101" i="42"/>
  <c r="AR101" i="42" s="1"/>
  <c r="AG103" i="42"/>
  <c r="AG107" i="42"/>
  <c r="AG111" i="42"/>
  <c r="AG115" i="42"/>
  <c r="AG123" i="42"/>
  <c r="AO127" i="42"/>
  <c r="AO132" i="42" s="1"/>
  <c r="AM132" i="42"/>
  <c r="AX136" i="42"/>
  <c r="AG139" i="42"/>
  <c r="BK141" i="42"/>
  <c r="BK147" i="42" s="1"/>
  <c r="W147" i="42"/>
  <c r="AS160" i="42"/>
  <c r="AT160" i="42"/>
  <c r="AT162" i="42"/>
  <c r="AS186" i="42"/>
  <c r="AT186" i="42"/>
  <c r="AP189" i="42"/>
  <c r="AR189" i="42" s="1"/>
  <c r="AY189" i="42" s="1"/>
  <c r="AN200" i="42"/>
  <c r="AP198" i="42"/>
  <c r="AR198" i="42" s="1"/>
  <c r="AG198" i="42"/>
  <c r="AR131" i="42"/>
  <c r="AY131" i="42" s="1"/>
  <c r="AP135" i="42"/>
  <c r="AR135" i="42" s="1"/>
  <c r="V140" i="42"/>
  <c r="AE137" i="42"/>
  <c r="AM147" i="42"/>
  <c r="AO141" i="42"/>
  <c r="AO147" i="42" s="1"/>
  <c r="AG142" i="42"/>
  <c r="AP142" i="42"/>
  <c r="AP144" i="42"/>
  <c r="AR144" i="42" s="1"/>
  <c r="AG144" i="42"/>
  <c r="AE155" i="42"/>
  <c r="AP151" i="42"/>
  <c r="AG151" i="42"/>
  <c r="AP152" i="42"/>
  <c r="AG152" i="42"/>
  <c r="AG153" i="42"/>
  <c r="AP153" i="42"/>
  <c r="AT161" i="42"/>
  <c r="AS161" i="42"/>
  <c r="AY161" i="42" s="1"/>
  <c r="BJ164" i="42"/>
  <c r="AG177" i="42"/>
  <c r="AP177" i="42"/>
  <c r="AE117" i="42"/>
  <c r="AP128" i="42"/>
  <c r="AR128" i="42" s="1"/>
  <c r="AG128" i="42"/>
  <c r="V136" i="42"/>
  <c r="AE133" i="42"/>
  <c r="AF137" i="42"/>
  <c r="W140" i="42"/>
  <c r="BK137" i="42"/>
  <c r="BK140" i="42" s="1"/>
  <c r="AN147" i="42"/>
  <c r="AQ152" i="42"/>
  <c r="AF155" i="42"/>
  <c r="AG154" i="42"/>
  <c r="AG169" i="42"/>
  <c r="AE174" i="42"/>
  <c r="AP169" i="42"/>
  <c r="AP170" i="42"/>
  <c r="AG170" i="42"/>
  <c r="AP175" i="42"/>
  <c r="AE181" i="42"/>
  <c r="AG175" i="42"/>
  <c r="AP176" i="42"/>
  <c r="AR176" i="42" s="1"/>
  <c r="AG176" i="42"/>
  <c r="AS178" i="42"/>
  <c r="AT178" i="42"/>
  <c r="BK188" i="42"/>
  <c r="BJ193" i="42"/>
  <c r="AM140" i="42"/>
  <c r="AO137" i="42"/>
  <c r="AO140" i="42" s="1"/>
  <c r="AG138" i="42"/>
  <c r="AP138" i="42"/>
  <c r="AR138" i="42" s="1"/>
  <c r="AQ142" i="42"/>
  <c r="AT145" i="42"/>
  <c r="AS145" i="42"/>
  <c r="AE150" i="42"/>
  <c r="AP148" i="42"/>
  <c r="BK148" i="42"/>
  <c r="BJ150" i="42"/>
  <c r="AY160" i="42"/>
  <c r="AT189" i="42"/>
  <c r="AS189" i="42"/>
  <c r="AE90" i="42"/>
  <c r="AG129" i="42"/>
  <c r="AM136" i="42"/>
  <c r="AO133" i="42"/>
  <c r="AO136" i="42" s="1"/>
  <c r="AG134" i="42"/>
  <c r="AP134" i="42"/>
  <c r="AR134" i="42" s="1"/>
  <c r="AP143" i="42"/>
  <c r="AG149" i="42"/>
  <c r="AP149" i="42"/>
  <c r="AR149" i="42" s="1"/>
  <c r="AG172" i="42"/>
  <c r="AP172" i="42"/>
  <c r="AR172" i="42" s="1"/>
  <c r="AP179" i="42"/>
  <c r="AG179" i="42"/>
  <c r="AP180" i="42"/>
  <c r="AR180" i="42" s="1"/>
  <c r="AG180" i="42"/>
  <c r="AT185" i="42"/>
  <c r="AS185" i="42"/>
  <c r="AY185" i="42" s="1"/>
  <c r="AE193" i="42"/>
  <c r="AP188" i="42"/>
  <c r="BI147" i="42"/>
  <c r="AQ153" i="42"/>
  <c r="AQ157" i="42"/>
  <c r="AO168" i="42"/>
  <c r="BK173" i="42"/>
  <c r="AO178" i="42"/>
  <c r="AO181" i="42" s="1"/>
  <c r="AG195" i="42"/>
  <c r="AQ197" i="42"/>
  <c r="AR197" i="42" s="1"/>
  <c r="AY197" i="42" s="1"/>
  <c r="AG199" i="42"/>
  <c r="AO169" i="42"/>
  <c r="AN174" i="42"/>
  <c r="AQ170" i="42"/>
  <c r="AQ175" i="42"/>
  <c r="AQ179" i="42"/>
  <c r="AO193" i="42"/>
  <c r="V193" i="42"/>
  <c r="BK149" i="42"/>
  <c r="V155" i="42"/>
  <c r="AO154" i="42"/>
  <c r="AO155" i="42" s="1"/>
  <c r="AF164" i="42"/>
  <c r="AQ177" i="42"/>
  <c r="AR186" i="42"/>
  <c r="AR190" i="42"/>
  <c r="AO158" i="42"/>
  <c r="AQ162" i="42"/>
  <c r="AR162" i="42" s="1"/>
  <c r="AY162" i="42" s="1"/>
  <c r="AE165" i="42"/>
  <c r="AQ167" i="42"/>
  <c r="AR167" i="42" s="1"/>
  <c r="AY167" i="42" s="1"/>
  <c r="AN168" i="42"/>
  <c r="AO170" i="42"/>
  <c r="AQ183" i="42"/>
  <c r="AR183" i="42" s="1"/>
  <c r="AY183" i="42" s="1"/>
  <c r="BK185" i="42"/>
  <c r="BK189" i="42"/>
  <c r="AQ191" i="42"/>
  <c r="AR191" i="42" s="1"/>
  <c r="AY191" i="42" s="1"/>
  <c r="AQ178" i="42"/>
  <c r="AR178" i="42" s="1"/>
  <c r="AY178" i="42" s="1"/>
  <c r="AE127" i="42"/>
  <c r="AQ151" i="42"/>
  <c r="AQ155" i="42" s="1"/>
  <c r="BK155" i="42"/>
  <c r="BK153" i="42"/>
  <c r="BK157" i="42"/>
  <c r="BK158" i="42" s="1"/>
  <c r="AO162" i="42"/>
  <c r="AO164" i="42" s="1"/>
  <c r="AN181" i="42"/>
  <c r="V187" i="42"/>
  <c r="AE182" i="42"/>
  <c r="AQ195" i="42"/>
  <c r="AT197" i="42"/>
  <c r="AS197" i="42"/>
  <c r="BK197" i="42"/>
  <c r="BK200" i="42" s="1"/>
  <c r="AQ199" i="42"/>
  <c r="AR199" i="42" s="1"/>
  <c r="BJ200" i="42"/>
  <c r="AF148" i="42"/>
  <c r="AF156" i="42"/>
  <c r="BK165" i="42"/>
  <c r="BK168" i="42" s="1"/>
  <c r="AO166" i="42"/>
  <c r="AQ169" i="42"/>
  <c r="BK169" i="42"/>
  <c r="BK174" i="42" s="1"/>
  <c r="AO182" i="42"/>
  <c r="AO187" i="42" s="1"/>
  <c r="AF188" i="42"/>
  <c r="AM193" i="42"/>
  <c r="AO194" i="42"/>
  <c r="AO200" i="42" s="1"/>
  <c r="AM150" i="42"/>
  <c r="BI155" i="42"/>
  <c r="AM158" i="42"/>
  <c r="BK159" i="42"/>
  <c r="BK164" i="42" s="1"/>
  <c r="AF166" i="42"/>
  <c r="BK175" i="42"/>
  <c r="BK181" i="42" s="1"/>
  <c r="AF182" i="42"/>
  <c r="AF194" i="42"/>
  <c r="AG15" i="41"/>
  <c r="AO17" i="41"/>
  <c r="AQ23" i="41"/>
  <c r="AR23" i="41" s="1"/>
  <c r="AQ39" i="41"/>
  <c r="AO42" i="41"/>
  <c r="AG45" i="41"/>
  <c r="AT45" i="41" s="1"/>
  <c r="AQ46" i="41"/>
  <c r="AQ48" i="41"/>
  <c r="AP54" i="41"/>
  <c r="AP57" i="41"/>
  <c r="AO90" i="41"/>
  <c r="AQ109" i="41"/>
  <c r="AO123" i="41"/>
  <c r="AQ126" i="41"/>
  <c r="AO128" i="41"/>
  <c r="BK23" i="41"/>
  <c r="BK40" i="41"/>
  <c r="BK45" i="41"/>
  <c r="BK49" i="41"/>
  <c r="BJ87" i="41"/>
  <c r="BK98" i="41"/>
  <c r="BK102" i="41"/>
  <c r="BK110" i="41"/>
  <c r="BK118" i="41"/>
  <c r="BK122" i="41"/>
  <c r="BK131" i="41"/>
  <c r="AO103" i="41"/>
  <c r="BI43" i="41"/>
  <c r="BJ97" i="41"/>
  <c r="AP63" i="41"/>
  <c r="AR63" i="41" s="1"/>
  <c r="AQ85" i="41"/>
  <c r="BK20" i="41"/>
  <c r="BK42" i="41"/>
  <c r="BK51" i="41"/>
  <c r="BJ83" i="41"/>
  <c r="BK86" i="41"/>
  <c r="AM83" i="41"/>
  <c r="AQ31" i="41"/>
  <c r="AR31" i="41" s="1"/>
  <c r="AQ53" i="41"/>
  <c r="AQ56" i="41"/>
  <c r="AP59" i="41"/>
  <c r="AP75" i="41"/>
  <c r="AR75" i="41" s="1"/>
  <c r="AQ78" i="41"/>
  <c r="AP104" i="41"/>
  <c r="AQ114" i="41"/>
  <c r="AQ135" i="41"/>
  <c r="BI61" i="41"/>
  <c r="BJ79" i="41"/>
  <c r="BK77" i="41"/>
  <c r="AQ24" i="41"/>
  <c r="AO34" i="41"/>
  <c r="AO53" i="41"/>
  <c r="AO56" i="41"/>
  <c r="V65" i="41"/>
  <c r="AQ69" i="41"/>
  <c r="AQ75" i="41"/>
  <c r="AQ104" i="41"/>
  <c r="AO114" i="41"/>
  <c r="AP128" i="41"/>
  <c r="AO131" i="41"/>
  <c r="AO135" i="41"/>
  <c r="BK52" i="41"/>
  <c r="BK56" i="41"/>
  <c r="BK78" i="41"/>
  <c r="BK104" i="41"/>
  <c r="BK113" i="41"/>
  <c r="BK127" i="41"/>
  <c r="AO19" i="41"/>
  <c r="AQ25" i="41"/>
  <c r="AO30" i="41"/>
  <c r="AO41" i="41"/>
  <c r="AQ47" i="41"/>
  <c r="AO55" i="41"/>
  <c r="AO59" i="41"/>
  <c r="AO61" i="41" s="1"/>
  <c r="AO68" i="41"/>
  <c r="AO71" i="41"/>
  <c r="AQ74" i="41"/>
  <c r="AX105" i="41"/>
  <c r="AO110" i="41"/>
  <c r="AO117" i="41"/>
  <c r="AN130" i="41"/>
  <c r="AQ129" i="41"/>
  <c r="AO132" i="41"/>
  <c r="AO136" i="41"/>
  <c r="BK19" i="41"/>
  <c r="BK28" i="41"/>
  <c r="BK29" i="41" s="1"/>
  <c r="BJ50" i="41"/>
  <c r="BK48" i="41"/>
  <c r="BK64" i="41"/>
  <c r="BK73" i="41"/>
  <c r="BK89" i="41"/>
  <c r="BK93" i="41" s="1"/>
  <c r="BK109" i="41"/>
  <c r="BJ124" i="41"/>
  <c r="BJ130" i="41"/>
  <c r="AO25" i="41"/>
  <c r="AO27" i="41" s="1"/>
  <c r="AO47" i="41"/>
  <c r="AO54" i="41"/>
  <c r="AO67" i="41"/>
  <c r="AO74" i="41"/>
  <c r="AG12" i="41"/>
  <c r="W21" i="41"/>
  <c r="AO37" i="41"/>
  <c r="AO102" i="41"/>
  <c r="AP111" i="41"/>
  <c r="AR111" i="41" s="1"/>
  <c r="AN137" i="41"/>
  <c r="BK135" i="41"/>
  <c r="AO12" i="41"/>
  <c r="AN65" i="41"/>
  <c r="AM72" i="41"/>
  <c r="AO116" i="41"/>
  <c r="AQ122" i="41"/>
  <c r="BK13" i="41"/>
  <c r="BK54" i="41"/>
  <c r="BJ65" i="41"/>
  <c r="BI124" i="41"/>
  <c r="BI137" i="41"/>
  <c r="AF17" i="41"/>
  <c r="AQ17" i="41" s="1"/>
  <c r="AQ21" i="41" s="1"/>
  <c r="AG33" i="41"/>
  <c r="AO49" i="41"/>
  <c r="AG64" i="41"/>
  <c r="AN72" i="41"/>
  <c r="AN79" i="41"/>
  <c r="AO95" i="41"/>
  <c r="AP114" i="41"/>
  <c r="AR114" i="41" s="1"/>
  <c r="AQ134" i="41"/>
  <c r="BJ16" i="41"/>
  <c r="BJ36" i="41"/>
  <c r="BK84" i="41"/>
  <c r="AQ55" i="41"/>
  <c r="AQ68" i="41"/>
  <c r="AR68" i="41" s="1"/>
  <c r="AO69" i="41"/>
  <c r="AQ89" i="41"/>
  <c r="AM105" i="41"/>
  <c r="AQ132" i="41"/>
  <c r="BK39" i="41"/>
  <c r="BI83" i="41"/>
  <c r="AQ19" i="41"/>
  <c r="AP22" i="41"/>
  <c r="AP25" i="41"/>
  <c r="AQ38" i="41"/>
  <c r="AR38" i="41" s="1"/>
  <c r="AQ41" i="41"/>
  <c r="AO45" i="41"/>
  <c r="AO52" i="41"/>
  <c r="AQ59" i="41"/>
  <c r="AQ71" i="41"/>
  <c r="AP84" i="41"/>
  <c r="AQ100" i="41"/>
  <c r="AQ110" i="41"/>
  <c r="AQ136" i="41"/>
  <c r="BI87" i="41"/>
  <c r="AP70" i="41"/>
  <c r="AG70" i="41"/>
  <c r="AT70" i="41" s="1"/>
  <c r="AG56" i="41"/>
  <c r="AT56" i="41" s="1"/>
  <c r="AP56" i="41"/>
  <c r="AR56" i="41" s="1"/>
  <c r="AS64" i="41"/>
  <c r="AT64" i="41"/>
  <c r="AG101" i="41"/>
  <c r="AP101" i="41"/>
  <c r="AP71" i="41"/>
  <c r="AR71" i="41" s="1"/>
  <c r="AG71" i="41"/>
  <c r="AQ117" i="41"/>
  <c r="AG117" i="41"/>
  <c r="AS117" i="41" s="1"/>
  <c r="AM50" i="41"/>
  <c r="AP117" i="41"/>
  <c r="BK27" i="41"/>
  <c r="AQ13" i="41"/>
  <c r="AQ20" i="41"/>
  <c r="AN27" i="41"/>
  <c r="AQ26" i="41"/>
  <c r="AE28" i="41"/>
  <c r="AP28" i="41" s="1"/>
  <c r="AP32" i="41"/>
  <c r="W61" i="41"/>
  <c r="AQ81" i="41"/>
  <c r="AX93" i="41"/>
  <c r="V93" i="41"/>
  <c r="V97" i="41"/>
  <c r="AM130" i="41"/>
  <c r="AQ127" i="41"/>
  <c r="AX137" i="41"/>
  <c r="BI16" i="41"/>
  <c r="BJ137" i="41"/>
  <c r="AN50" i="41"/>
  <c r="AP52" i="41"/>
  <c r="AR52" i="41" s="1"/>
  <c r="V124" i="41"/>
  <c r="BJ72" i="41"/>
  <c r="BI112" i="41"/>
  <c r="AP12" i="41"/>
  <c r="AO13" i="41"/>
  <c r="AN21" i="41"/>
  <c r="AO20" i="41"/>
  <c r="AF28" i="41"/>
  <c r="AF29" i="41" s="1"/>
  <c r="AQ32" i="41"/>
  <c r="W43" i="41"/>
  <c r="AQ45" i="41"/>
  <c r="W50" i="41"/>
  <c r="AQ77" i="41"/>
  <c r="AQ86" i="41"/>
  <c r="AR99" i="41"/>
  <c r="AQ108" i="41"/>
  <c r="AQ118" i="41"/>
  <c r="AO125" i="41"/>
  <c r="BK33" i="41"/>
  <c r="BI50" i="41"/>
  <c r="BK47" i="41"/>
  <c r="BK100" i="41"/>
  <c r="BK105" i="41" s="1"/>
  <c r="BI120" i="41"/>
  <c r="BI130" i="41"/>
  <c r="BK129" i="41"/>
  <c r="BI27" i="41"/>
  <c r="BK30" i="41"/>
  <c r="BK44" i="41"/>
  <c r="AN16" i="41"/>
  <c r="V16" i="41"/>
  <c r="V21" i="41"/>
  <c r="AO28" i="41"/>
  <c r="AO29" i="41" s="1"/>
  <c r="AG38" i="41"/>
  <c r="AS38" i="41" s="1"/>
  <c r="AP49" i="41"/>
  <c r="AR49" i="41" s="1"/>
  <c r="AQ52" i="41"/>
  <c r="AG59" i="41"/>
  <c r="AG61" i="41" s="1"/>
  <c r="AF62" i="41"/>
  <c r="AG62" i="41" s="1"/>
  <c r="AO64" i="41"/>
  <c r="AO66" i="41"/>
  <c r="AG91" i="41"/>
  <c r="AN97" i="41"/>
  <c r="AQ115" i="41"/>
  <c r="AN124" i="41"/>
  <c r="AO134" i="41"/>
  <c r="BI36" i="41"/>
  <c r="BK55" i="41"/>
  <c r="BI93" i="41"/>
  <c r="BJ105" i="41"/>
  <c r="BJ120" i="41"/>
  <c r="BK132" i="41"/>
  <c r="AG42" i="41"/>
  <c r="AT42" i="41" s="1"/>
  <c r="AR104" i="41"/>
  <c r="AX83" i="41"/>
  <c r="AO86" i="41"/>
  <c r="AR103" i="41"/>
  <c r="BI21" i="41"/>
  <c r="BI72" i="41"/>
  <c r="V27" i="41"/>
  <c r="AO44" i="41"/>
  <c r="AP45" i="41"/>
  <c r="AR45" i="41" s="1"/>
  <c r="AG47" i="41"/>
  <c r="AT47" i="41" s="1"/>
  <c r="AM61" i="41"/>
  <c r="AX72" i="41"/>
  <c r="AO80" i="41"/>
  <c r="W87" i="41"/>
  <c r="AO92" i="41"/>
  <c r="AX97" i="41"/>
  <c r="AG103" i="41"/>
  <c r="AS103" i="41" s="1"/>
  <c r="AO111" i="41"/>
  <c r="BK18" i="41"/>
  <c r="BJ43" i="41"/>
  <c r="BJ58" i="41"/>
  <c r="BJ61" i="41"/>
  <c r="BK67" i="41"/>
  <c r="BK70" i="41"/>
  <c r="BI79" i="41"/>
  <c r="BK81" i="41"/>
  <c r="BJ93" i="41"/>
  <c r="BI97" i="41"/>
  <c r="BK119" i="41"/>
  <c r="BK133" i="41"/>
  <c r="AN58" i="41"/>
  <c r="AQ91" i="41"/>
  <c r="AR91" i="41" s="1"/>
  <c r="V130" i="41"/>
  <c r="BJ21" i="41"/>
  <c r="AO18" i="41"/>
  <c r="AO21" i="41" s="1"/>
  <c r="AX58" i="41"/>
  <c r="AG57" i="41"/>
  <c r="AS57" i="41" s="1"/>
  <c r="AO70" i="41"/>
  <c r="AO78" i="41"/>
  <c r="V83" i="41"/>
  <c r="AX112" i="41"/>
  <c r="BJ27" i="41"/>
  <c r="BI29" i="41"/>
  <c r="BK32" i="41"/>
  <c r="BK36" i="41" s="1"/>
  <c r="BK46" i="41"/>
  <c r="BK71" i="41"/>
  <c r="BK74" i="41"/>
  <c r="BK96" i="41"/>
  <c r="BJ112" i="41"/>
  <c r="BK134" i="41"/>
  <c r="BK79" i="41"/>
  <c r="BK62" i="41"/>
  <c r="BK65" i="41" s="1"/>
  <c r="BK125" i="41"/>
  <c r="BI105" i="41"/>
  <c r="BK12" i="41"/>
  <c r="BK16" i="41" s="1"/>
  <c r="BK17" i="41"/>
  <c r="BK37" i="41"/>
  <c r="BI58" i="41"/>
  <c r="BK60" i="41"/>
  <c r="BK61" i="41" s="1"/>
  <c r="BK80" i="41"/>
  <c r="BK85" i="41"/>
  <c r="BK95" i="41"/>
  <c r="BK123" i="41"/>
  <c r="BK124" i="41" s="1"/>
  <c r="BK106" i="41"/>
  <c r="BK66" i="41"/>
  <c r="BK72" i="41" s="1"/>
  <c r="BK114" i="41"/>
  <c r="BK120" i="41" s="1"/>
  <c r="AS12" i="41"/>
  <c r="AT12" i="41"/>
  <c r="AG35" i="41"/>
  <c r="AP35" i="41"/>
  <c r="AR35" i="41" s="1"/>
  <c r="AT15" i="41"/>
  <c r="AS15" i="41"/>
  <c r="AM16" i="41"/>
  <c r="AP17" i="41"/>
  <c r="AG17" i="41"/>
  <c r="AE21" i="41"/>
  <c r="AG23" i="41"/>
  <c r="AX36" i="41"/>
  <c r="AN43" i="41"/>
  <c r="AP42" i="41"/>
  <c r="AR42" i="41" s="1"/>
  <c r="AP44" i="41"/>
  <c r="AG44" i="41"/>
  <c r="AG49" i="41"/>
  <c r="AO85" i="41"/>
  <c r="AM87" i="41"/>
  <c r="W16" i="41"/>
  <c r="AE16" i="41"/>
  <c r="AF21" i="41"/>
  <c r="AQ18" i="41"/>
  <c r="AR18" i="41" s="1"/>
  <c r="AP19" i="41"/>
  <c r="AR19" i="41" s="1"/>
  <c r="AG20" i="41"/>
  <c r="AP24" i="41"/>
  <c r="AG24" i="41"/>
  <c r="AE29" i="41"/>
  <c r="AM43" i="41"/>
  <c r="AQ44" i="41"/>
  <c r="AF50" i="41"/>
  <c r="AP47" i="41"/>
  <c r="AR47" i="41" s="1"/>
  <c r="V61" i="41"/>
  <c r="AG74" i="41"/>
  <c r="AP74" i="41"/>
  <c r="AO77" i="41"/>
  <c r="AO79" i="41" s="1"/>
  <c r="AP77" i="41"/>
  <c r="AR77" i="41" s="1"/>
  <c r="AO84" i="41"/>
  <c r="AP134" i="41"/>
  <c r="AR134" i="41" s="1"/>
  <c r="AG134" i="41"/>
  <c r="AG18" i="41"/>
  <c r="AT39" i="41"/>
  <c r="AG19" i="41"/>
  <c r="AG25" i="41"/>
  <c r="AQ30" i="41"/>
  <c r="AF36" i="41"/>
  <c r="AT33" i="41"/>
  <c r="AS33" i="41"/>
  <c r="AX43" i="41"/>
  <c r="AE43" i="41"/>
  <c r="AO51" i="41"/>
  <c r="AG60" i="41"/>
  <c r="AP60" i="41"/>
  <c r="AR60" i="41" s="1"/>
  <c r="AE61" i="41"/>
  <c r="AP69" i="41"/>
  <c r="AR69" i="41" s="1"/>
  <c r="AG69" i="41"/>
  <c r="V79" i="41"/>
  <c r="AE73" i="41"/>
  <c r="AQ12" i="41"/>
  <c r="AF16" i="41"/>
  <c r="AG46" i="41"/>
  <c r="AP46" i="41"/>
  <c r="AS52" i="41"/>
  <c r="AT52" i="41"/>
  <c r="AG96" i="41"/>
  <c r="AP96" i="41"/>
  <c r="AR96" i="41" s="1"/>
  <c r="AE27" i="41"/>
  <c r="AG22" i="41"/>
  <c r="AX27" i="41"/>
  <c r="AG26" i="41"/>
  <c r="AG31" i="41"/>
  <c r="AQ33" i="41"/>
  <c r="AR33" i="41" s="1"/>
  <c r="AG34" i="41"/>
  <c r="AG40" i="41"/>
  <c r="AP40" i="41"/>
  <c r="AG41" i="41"/>
  <c r="AE50" i="41"/>
  <c r="V72" i="41"/>
  <c r="AE66" i="41"/>
  <c r="AT57" i="41"/>
  <c r="AP13" i="41"/>
  <c r="V43" i="41"/>
  <c r="AX16" i="41"/>
  <c r="AP15" i="41"/>
  <c r="AR15" i="41" s="1"/>
  <c r="AP20" i="41"/>
  <c r="W27" i="41"/>
  <c r="AN36" i="41"/>
  <c r="AG32" i="41"/>
  <c r="AO33" i="41"/>
  <c r="V36" i="41"/>
  <c r="AM36" i="41"/>
  <c r="AP37" i="41"/>
  <c r="AG37" i="41"/>
  <c r="AP39" i="41"/>
  <c r="AQ40" i="41"/>
  <c r="AX50" i="41"/>
  <c r="AG54" i="41"/>
  <c r="AP55" i="41"/>
  <c r="AR55" i="41" s="1"/>
  <c r="AG55" i="41"/>
  <c r="AS59" i="41"/>
  <c r="AT59" i="41"/>
  <c r="AP62" i="41"/>
  <c r="AE65" i="41"/>
  <c r="AQ82" i="41"/>
  <c r="AO82" i="41"/>
  <c r="AT14" i="41"/>
  <c r="AS14" i="41"/>
  <c r="AP30" i="41"/>
  <c r="AG30" i="41"/>
  <c r="AS42" i="41"/>
  <c r="AN87" i="41"/>
  <c r="AQ84" i="41"/>
  <c r="AG13" i="41"/>
  <c r="AX21" i="41"/>
  <c r="AM21" i="41"/>
  <c r="AF27" i="41"/>
  <c r="W36" i="41"/>
  <c r="AE36" i="41"/>
  <c r="AQ37" i="41"/>
  <c r="AF43" i="41"/>
  <c r="AO40" i="41"/>
  <c r="AS45" i="41"/>
  <c r="AP48" i="41"/>
  <c r="AR48" i="41" s="1"/>
  <c r="AG48" i="41"/>
  <c r="AG53" i="41"/>
  <c r="AP53" i="41"/>
  <c r="AQ54" i="41"/>
  <c r="AR54" i="41" s="1"/>
  <c r="AN83" i="41"/>
  <c r="AP89" i="41"/>
  <c r="AR89" i="41" s="1"/>
  <c r="AG89" i="41"/>
  <c r="AP100" i="41"/>
  <c r="AG100" i="41"/>
  <c r="AF107" i="41"/>
  <c r="W112" i="41"/>
  <c r="AO113" i="41"/>
  <c r="AN120" i="41"/>
  <c r="AG127" i="41"/>
  <c r="AP14" i="41"/>
  <c r="AR14" i="41" s="1"/>
  <c r="AP34" i="41"/>
  <c r="AR34" i="41" s="1"/>
  <c r="AP41" i="41"/>
  <c r="AF65" i="41"/>
  <c r="W72" i="41"/>
  <c r="AG67" i="41"/>
  <c r="AQ70" i="41"/>
  <c r="AP92" i="41"/>
  <c r="AR92" i="41" s="1"/>
  <c r="AG92" i="41"/>
  <c r="W97" i="41"/>
  <c r="AF95" i="41"/>
  <c r="AQ95" i="41" s="1"/>
  <c r="AP119" i="41"/>
  <c r="AR119" i="41" s="1"/>
  <c r="AG119" i="41"/>
  <c r="AP129" i="41"/>
  <c r="AR129" i="41" s="1"/>
  <c r="AG129" i="41"/>
  <c r="AP133" i="41"/>
  <c r="AR133" i="41" s="1"/>
  <c r="AG133" i="41"/>
  <c r="AO62" i="41"/>
  <c r="AM65" i="41"/>
  <c r="AP86" i="41"/>
  <c r="AG86" i="41"/>
  <c r="AN93" i="41"/>
  <c r="AQ88" i="41"/>
  <c r="AG115" i="41"/>
  <c r="AP115" i="41"/>
  <c r="AP132" i="41"/>
  <c r="AG132" i="41"/>
  <c r="AM27" i="41"/>
  <c r="AE51" i="41"/>
  <c r="V58" i="41"/>
  <c r="AQ61" i="41"/>
  <c r="AG63" i="41"/>
  <c r="AO88" i="41"/>
  <c r="AG94" i="41"/>
  <c r="AE97" i="41"/>
  <c r="AP98" i="41"/>
  <c r="AG98" i="41"/>
  <c r="AE105" i="41"/>
  <c r="AG99" i="41"/>
  <c r="AG109" i="41"/>
  <c r="AP109" i="41"/>
  <c r="AG110" i="41"/>
  <c r="AP110" i="41"/>
  <c r="W58" i="41"/>
  <c r="AP64" i="41"/>
  <c r="AR64" i="41" s="1"/>
  <c r="AG75" i="41"/>
  <c r="AO94" i="41"/>
  <c r="AM97" i="41"/>
  <c r="AQ98" i="41"/>
  <c r="AF105" i="41"/>
  <c r="AO106" i="41"/>
  <c r="AN112" i="41"/>
  <c r="W137" i="41"/>
  <c r="AF131" i="41"/>
  <c r="AM112" i="41"/>
  <c r="V50" i="41"/>
  <c r="AQ51" i="41"/>
  <c r="AR57" i="41"/>
  <c r="AP61" i="41"/>
  <c r="AR59" i="41"/>
  <c r="AG68" i="41"/>
  <c r="AS70" i="41"/>
  <c r="AP78" i="41"/>
  <c r="AG78" i="41"/>
  <c r="AP80" i="41"/>
  <c r="AP85" i="41"/>
  <c r="AG85" i="41"/>
  <c r="AG108" i="41"/>
  <c r="AP108" i="41"/>
  <c r="AR108" i="41" s="1"/>
  <c r="AQ113" i="41"/>
  <c r="AF120" i="41"/>
  <c r="AG114" i="41"/>
  <c r="AP118" i="41"/>
  <c r="AP121" i="41"/>
  <c r="AE124" i="41"/>
  <c r="AQ128" i="41"/>
  <c r="AR128" i="41" s="1"/>
  <c r="AG128" i="41"/>
  <c r="AP135" i="41"/>
  <c r="AG135" i="41"/>
  <c r="AM58" i="41"/>
  <c r="AF58" i="41"/>
  <c r="AF61" i="41"/>
  <c r="AX65" i="41"/>
  <c r="AP67" i="41"/>
  <c r="AR67" i="41" s="1"/>
  <c r="AP76" i="41"/>
  <c r="AR76" i="41" s="1"/>
  <c r="AG76" i="41"/>
  <c r="AP94" i="41"/>
  <c r="W79" i="41"/>
  <c r="AF80" i="41"/>
  <c r="W83" i="41"/>
  <c r="AG90" i="41"/>
  <c r="AM120" i="41"/>
  <c r="AX124" i="41"/>
  <c r="AO127" i="41"/>
  <c r="AG136" i="41"/>
  <c r="AF66" i="41"/>
  <c r="AF73" i="41"/>
  <c r="AE81" i="41"/>
  <c r="AE83" i="41" s="1"/>
  <c r="V87" i="41"/>
  <c r="AE87" i="41"/>
  <c r="W93" i="41"/>
  <c r="AO98" i="41"/>
  <c r="AG104" i="41"/>
  <c r="V112" i="41"/>
  <c r="AE106" i="41"/>
  <c r="AO107" i="41"/>
  <c r="AR117" i="41"/>
  <c r="AF121" i="41"/>
  <c r="W124" i="41"/>
  <c r="AT123" i="41"/>
  <c r="AS123" i="41"/>
  <c r="AG77" i="41"/>
  <c r="AO81" i="41"/>
  <c r="AG82" i="41"/>
  <c r="AF87" i="41"/>
  <c r="AE93" i="41"/>
  <c r="AQ101" i="41"/>
  <c r="W105" i="41"/>
  <c r="AN105" i="41"/>
  <c r="AO115" i="41"/>
  <c r="AG116" i="41"/>
  <c r="AG122" i="41"/>
  <c r="AQ123" i="41"/>
  <c r="AM79" i="41"/>
  <c r="AX79" i="41"/>
  <c r="AF93" i="41"/>
  <c r="V105" i="41"/>
  <c r="AT101" i="41"/>
  <c r="AS101" i="41"/>
  <c r="AQ106" i="41"/>
  <c r="AG111" i="41"/>
  <c r="AE113" i="41"/>
  <c r="V120" i="41"/>
  <c r="AQ116" i="41"/>
  <c r="AO121" i="41"/>
  <c r="AM124" i="41"/>
  <c r="AO122" i="41"/>
  <c r="W130" i="41"/>
  <c r="AF125" i="41"/>
  <c r="AG125" i="41" s="1"/>
  <c r="AG84" i="41"/>
  <c r="AM93" i="41"/>
  <c r="AP90" i="41"/>
  <c r="AR90" i="41" s="1"/>
  <c r="AO91" i="41"/>
  <c r="AQ94" i="41"/>
  <c r="AO101" i="41"/>
  <c r="AG102" i="41"/>
  <c r="AP107" i="41"/>
  <c r="W120" i="41"/>
  <c r="AX120" i="41"/>
  <c r="AG118" i="41"/>
  <c r="AP125" i="41"/>
  <c r="AE130" i="41"/>
  <c r="AP126" i="41"/>
  <c r="AG126" i="41"/>
  <c r="V137" i="41"/>
  <c r="AE131" i="41"/>
  <c r="AP82" i="41"/>
  <c r="AP88" i="41"/>
  <c r="AP95" i="41"/>
  <c r="AP102" i="41"/>
  <c r="AR102" i="41" s="1"/>
  <c r="AP116" i="41"/>
  <c r="AR116" i="41" s="1"/>
  <c r="AP123" i="41"/>
  <c r="AP122" i="41"/>
  <c r="AR122" i="41" s="1"/>
  <c r="AP127" i="41"/>
  <c r="AP136" i="41"/>
  <c r="AM137" i="41"/>
  <c r="AG88" i="41"/>
  <c r="BK124" i="40"/>
  <c r="BK144" i="40"/>
  <c r="BK32" i="40"/>
  <c r="BK51" i="40"/>
  <c r="BK130" i="40"/>
  <c r="BK81" i="40"/>
  <c r="BK127" i="40"/>
  <c r="BK161" i="40"/>
  <c r="BK151" i="40"/>
  <c r="BK16" i="40"/>
  <c r="BK19" i="40" s="1"/>
  <c r="BK33" i="40"/>
  <c r="BK38" i="40" s="1"/>
  <c r="BK93" i="40"/>
  <c r="BK98" i="40" s="1"/>
  <c r="BK103" i="40"/>
  <c r="BK108" i="40" s="1"/>
  <c r="BJ118" i="40"/>
  <c r="BI51" i="40"/>
  <c r="BJ81" i="40"/>
  <c r="BJ151" i="40"/>
  <c r="BJ161" i="40"/>
  <c r="BK24" i="40"/>
  <c r="BK25" i="40" s="1"/>
  <c r="BI44" i="40"/>
  <c r="BJ51" i="40"/>
  <c r="BK111" i="40"/>
  <c r="BK114" i="40" s="1"/>
  <c r="BI114" i="40"/>
  <c r="BK61" i="40"/>
  <c r="BK67" i="40" s="1"/>
  <c r="BJ74" i="40"/>
  <c r="BK89" i="40"/>
  <c r="BK92" i="40" s="1"/>
  <c r="BK99" i="40"/>
  <c r="BK102" i="40" s="1"/>
  <c r="BK109" i="40"/>
  <c r="BK110" i="40" s="1"/>
  <c r="BJ124" i="40"/>
  <c r="BK131" i="40"/>
  <c r="BK137" i="40" s="1"/>
  <c r="BJ144" i="40"/>
  <c r="BK12" i="40"/>
  <c r="BK15" i="40" s="1"/>
  <c r="BI32" i="40"/>
  <c r="BK129" i="40"/>
  <c r="BK20" i="40"/>
  <c r="BK23" i="40" s="1"/>
  <c r="BK54" i="40"/>
  <c r="BK60" i="40" s="1"/>
  <c r="BK82" i="40"/>
  <c r="BK88" i="40" s="1"/>
  <c r="BK117" i="40"/>
  <c r="BK118" i="40" s="1"/>
  <c r="BJ127" i="40"/>
  <c r="BK152" i="40"/>
  <c r="BK155" i="40" s="1"/>
  <c r="BK162" i="40"/>
  <c r="BK165" i="40" s="1"/>
  <c r="AG21" i="40"/>
  <c r="AP21" i="40"/>
  <c r="AR21" i="40" s="1"/>
  <c r="AG14" i="40"/>
  <c r="AP14" i="40"/>
  <c r="AR14" i="40" s="1"/>
  <c r="AO19" i="40"/>
  <c r="AG13" i="40"/>
  <c r="AP13" i="40"/>
  <c r="AR13" i="40" s="1"/>
  <c r="AQ20" i="40"/>
  <c r="AG18" i="40"/>
  <c r="AP18" i="40"/>
  <c r="AR18" i="40" s="1"/>
  <c r="AR12" i="40"/>
  <c r="AP15" i="40"/>
  <c r="AG12" i="40"/>
  <c r="AQ12" i="40"/>
  <c r="AQ15" i="40" s="1"/>
  <c r="AF15" i="40"/>
  <c r="AO23" i="40"/>
  <c r="AP22" i="40"/>
  <c r="AR22" i="40" s="1"/>
  <c r="AP55" i="40"/>
  <c r="AR55" i="40" s="1"/>
  <c r="AG55" i="40"/>
  <c r="AG86" i="40"/>
  <c r="AP86" i="40"/>
  <c r="AR86" i="40" s="1"/>
  <c r="W15" i="40"/>
  <c r="AE15" i="40"/>
  <c r="AM15" i="40"/>
  <c r="AF16" i="40"/>
  <c r="AG17" i="40"/>
  <c r="AG27" i="40"/>
  <c r="AO28" i="40"/>
  <c r="AP33" i="40"/>
  <c r="AE38" i="40"/>
  <c r="AP35" i="40"/>
  <c r="AR35" i="40" s="1"/>
  <c r="AG35" i="40"/>
  <c r="AP40" i="40"/>
  <c r="AR40" i="40" s="1"/>
  <c r="AG40" i="40"/>
  <c r="AT46" i="40"/>
  <c r="AS46" i="40"/>
  <c r="AP48" i="40"/>
  <c r="AR48" i="40" s="1"/>
  <c r="AG48" i="40"/>
  <c r="AG56" i="40"/>
  <c r="AG16" i="40"/>
  <c r="AF22" i="40"/>
  <c r="AQ22" i="40" s="1"/>
  <c r="AO26" i="40"/>
  <c r="AR31" i="40"/>
  <c r="AG47" i="40"/>
  <c r="AE60" i="40"/>
  <c r="AP54" i="40"/>
  <c r="AG54" i="40"/>
  <c r="AG79" i="40"/>
  <c r="AP79" i="40"/>
  <c r="AR79" i="40" s="1"/>
  <c r="AG85" i="40"/>
  <c r="AP85" i="40"/>
  <c r="AR85" i="40" s="1"/>
  <c r="AE20" i="40"/>
  <c r="AF24" i="40"/>
  <c r="W25" i="40"/>
  <c r="AQ26" i="40"/>
  <c r="AQ32" i="40" s="1"/>
  <c r="AQ33" i="40"/>
  <c r="AQ38" i="40" s="1"/>
  <c r="AF38" i="40"/>
  <c r="AT42" i="40"/>
  <c r="V51" i="40"/>
  <c r="AE45" i="40"/>
  <c r="AT50" i="40"/>
  <c r="AF60" i="40"/>
  <c r="AP128" i="40"/>
  <c r="AE130" i="40"/>
  <c r="AG128" i="40"/>
  <c r="AE19" i="40"/>
  <c r="AM19" i="40"/>
  <c r="AE25" i="40"/>
  <c r="AP24" i="40"/>
  <c r="AR30" i="40"/>
  <c r="AG33" i="40"/>
  <c r="AG34" i="40"/>
  <c r="W51" i="40"/>
  <c r="AR65" i="40"/>
  <c r="AP93" i="40"/>
  <c r="AG93" i="40"/>
  <c r="AE98" i="40"/>
  <c r="AT100" i="40"/>
  <c r="AT102" i="40" s="1"/>
  <c r="AS100" i="40"/>
  <c r="AT29" i="40"/>
  <c r="AS29" i="40"/>
  <c r="AP39" i="40"/>
  <c r="AE44" i="40"/>
  <c r="AG39" i="40"/>
  <c r="AG24" i="40"/>
  <c r="AP26" i="40"/>
  <c r="AX32" i="40"/>
  <c r="W32" i="40"/>
  <c r="AE32" i="40"/>
  <c r="AO34" i="40"/>
  <c r="AM38" i="40"/>
  <c r="AG37" i="40"/>
  <c r="AP37" i="40"/>
  <c r="AR37" i="40" s="1"/>
  <c r="AX44" i="40"/>
  <c r="AP43" i="40"/>
  <c r="AR43" i="40" s="1"/>
  <c r="AG43" i="40"/>
  <c r="AG52" i="40"/>
  <c r="AE53" i="40"/>
  <c r="AP52" i="40"/>
  <c r="AG58" i="40"/>
  <c r="AG84" i="40"/>
  <c r="AP84" i="40"/>
  <c r="AR84" i="40" s="1"/>
  <c r="AP27" i="40"/>
  <c r="AR27" i="40" s="1"/>
  <c r="AT30" i="40"/>
  <c r="AS30" i="40"/>
  <c r="AG31" i="40"/>
  <c r="AO38" i="40"/>
  <c r="AR42" i="40"/>
  <c r="AY42" i="40" s="1"/>
  <c r="AP46" i="40"/>
  <c r="AR46" i="40" s="1"/>
  <c r="AY46" i="40" s="1"/>
  <c r="AR50" i="40"/>
  <c r="AY50" i="40" s="1"/>
  <c r="AP57" i="40"/>
  <c r="AR57" i="40" s="1"/>
  <c r="AG57" i="40"/>
  <c r="V151" i="40"/>
  <c r="AE145" i="40"/>
  <c r="AT36" i="40"/>
  <c r="AS36" i="40"/>
  <c r="AS26" i="40"/>
  <c r="AG28" i="40"/>
  <c r="AG32" i="40" s="1"/>
  <c r="AP41" i="40"/>
  <c r="AR41" i="40" s="1"/>
  <c r="AG41" i="40"/>
  <c r="AP49" i="40"/>
  <c r="AR49" i="40" s="1"/>
  <c r="AG49" i="40"/>
  <c r="AR56" i="40"/>
  <c r="AG72" i="40"/>
  <c r="AP72" i="40"/>
  <c r="AR72" i="40" s="1"/>
  <c r="AG73" i="40"/>
  <c r="AP73" i="40"/>
  <c r="AR73" i="40" s="1"/>
  <c r="AS109" i="40"/>
  <c r="AS110" i="40" s="1"/>
  <c r="AG110" i="40"/>
  <c r="AT109" i="40"/>
  <c r="AT110" i="40" s="1"/>
  <c r="V32" i="40"/>
  <c r="AQ39" i="40"/>
  <c r="AQ44" i="40" s="1"/>
  <c r="AO45" i="40"/>
  <c r="AO51" i="40" s="1"/>
  <c r="AP47" i="40"/>
  <c r="AR47" i="40" s="1"/>
  <c r="W60" i="40"/>
  <c r="AQ54" i="40"/>
  <c r="AQ60" i="40" s="1"/>
  <c r="AG66" i="40"/>
  <c r="AP66" i="40"/>
  <c r="AR66" i="40" s="1"/>
  <c r="AP68" i="40"/>
  <c r="AQ69" i="40"/>
  <c r="AP75" i="40"/>
  <c r="AQ76" i="40"/>
  <c r="AR76" i="40" s="1"/>
  <c r="AQ77" i="40"/>
  <c r="V88" i="40"/>
  <c r="AX98" i="40"/>
  <c r="AR95" i="40"/>
  <c r="AO96" i="40"/>
  <c r="AN102" i="40"/>
  <c r="AQ105" i="40"/>
  <c r="AQ108" i="40" s="1"/>
  <c r="AF110" i="40"/>
  <c r="AQ109" i="40"/>
  <c r="AQ110" i="40" s="1"/>
  <c r="AP116" i="40"/>
  <c r="AR116" i="40" s="1"/>
  <c r="AY116" i="40" s="1"/>
  <c r="AQ165" i="40"/>
  <c r="AR64" i="40"/>
  <c r="AO68" i="40"/>
  <c r="AO74" i="40" s="1"/>
  <c r="AM74" i="40"/>
  <c r="AO75" i="40"/>
  <c r="AO81" i="40" s="1"/>
  <c r="AM81" i="40"/>
  <c r="AR82" i="40"/>
  <c r="AP83" i="40"/>
  <c r="AG83" i="40"/>
  <c r="AR89" i="40"/>
  <c r="AT91" i="40"/>
  <c r="AS91" i="40"/>
  <c r="V92" i="40"/>
  <c r="AS102" i="40"/>
  <c r="AX108" i="40"/>
  <c r="AT107" i="40"/>
  <c r="AS107" i="40"/>
  <c r="AG120" i="40"/>
  <c r="AP120" i="40"/>
  <c r="AR120" i="40" s="1"/>
  <c r="AQ123" i="40"/>
  <c r="AR123" i="40" s="1"/>
  <c r="AG123" i="40"/>
  <c r="AP29" i="40"/>
  <c r="AR29" i="40" s="1"/>
  <c r="AY29" i="40" s="1"/>
  <c r="AP36" i="40"/>
  <c r="AR36" i="40" s="1"/>
  <c r="AY36" i="40" s="1"/>
  <c r="AN38" i="40"/>
  <c r="AQ52" i="40"/>
  <c r="AQ53" i="40" s="1"/>
  <c r="AP58" i="40"/>
  <c r="AR58" i="40" s="1"/>
  <c r="W67" i="40"/>
  <c r="AP70" i="40"/>
  <c r="AR70" i="40" s="1"/>
  <c r="AY70" i="40" s="1"/>
  <c r="AP71" i="40"/>
  <c r="AR71" i="40" s="1"/>
  <c r="AG80" i="40"/>
  <c r="AP80" i="40"/>
  <c r="AR80" i="40" s="1"/>
  <c r="AQ82" i="40"/>
  <c r="AQ83" i="40"/>
  <c r="AP90" i="40"/>
  <c r="AR90" i="40" s="1"/>
  <c r="AG90" i="40"/>
  <c r="AE92" i="40"/>
  <c r="AP94" i="40"/>
  <c r="AR94" i="40" s="1"/>
  <c r="AO101" i="40"/>
  <c r="AR103" i="40"/>
  <c r="AG104" i="40"/>
  <c r="AP104" i="40"/>
  <c r="AR104" i="40" s="1"/>
  <c r="AP115" i="40"/>
  <c r="AE118" i="40"/>
  <c r="AG133" i="40"/>
  <c r="AP133" i="40"/>
  <c r="AR133" i="40" s="1"/>
  <c r="AM44" i="40"/>
  <c r="AF45" i="40"/>
  <c r="AM60" i="40"/>
  <c r="AG59" i="40"/>
  <c r="AP59" i="40"/>
  <c r="AR59" i="40" s="1"/>
  <c r="AT63" i="40"/>
  <c r="AS63" i="40"/>
  <c r="AY63" i="40" s="1"/>
  <c r="AR77" i="40"/>
  <c r="AY77" i="40" s="1"/>
  <c r="AF88" i="40"/>
  <c r="AO98" i="40"/>
  <c r="AT96" i="40"/>
  <c r="AS96" i="40"/>
  <c r="AY96" i="40" s="1"/>
  <c r="AT97" i="40"/>
  <c r="AS97" i="40"/>
  <c r="AY97" i="40" s="1"/>
  <c r="V98" i="40"/>
  <c r="AM98" i="40"/>
  <c r="AP99" i="40"/>
  <c r="AE102" i="40"/>
  <c r="AG106" i="40"/>
  <c r="AP106" i="40"/>
  <c r="AR106" i="40" s="1"/>
  <c r="AE112" i="40"/>
  <c r="V114" i="40"/>
  <c r="AQ115" i="40"/>
  <c r="V124" i="40"/>
  <c r="AE119" i="40"/>
  <c r="AT122" i="40"/>
  <c r="AS122" i="40"/>
  <c r="AY122" i="40" s="1"/>
  <c r="AN144" i="40"/>
  <c r="AO138" i="40"/>
  <c r="AO144" i="40" s="1"/>
  <c r="AG154" i="40"/>
  <c r="AP154" i="40"/>
  <c r="AR154" i="40" s="1"/>
  <c r="AP163" i="40"/>
  <c r="AR163" i="40" s="1"/>
  <c r="AG163" i="40"/>
  <c r="AG164" i="40"/>
  <c r="AP62" i="40"/>
  <c r="AG64" i="40"/>
  <c r="AO82" i="40"/>
  <c r="AO88" i="40" s="1"/>
  <c r="AM88" i="40"/>
  <c r="AG87" i="40"/>
  <c r="AG88" i="40" s="1"/>
  <c r="AP87" i="40"/>
  <c r="AR87" i="40" s="1"/>
  <c r="AP88" i="40"/>
  <c r="AG89" i="40"/>
  <c r="AG94" i="40"/>
  <c r="W98" i="40"/>
  <c r="AF102" i="40"/>
  <c r="AQ99" i="40"/>
  <c r="AQ102" i="40" s="1"/>
  <c r="AT101" i="40"/>
  <c r="AS113" i="40"/>
  <c r="AY113" i="40" s="1"/>
  <c r="AT113" i="40"/>
  <c r="AF114" i="40"/>
  <c r="AG115" i="40"/>
  <c r="W124" i="40"/>
  <c r="AF119" i="40"/>
  <c r="AT140" i="40"/>
  <c r="AS140" i="40"/>
  <c r="AY140" i="40" s="1"/>
  <c r="AR142" i="40"/>
  <c r="AR148" i="40"/>
  <c r="AQ156" i="40"/>
  <c r="AO54" i="40"/>
  <c r="AO60" i="40" s="1"/>
  <c r="AO61" i="40"/>
  <c r="AO67" i="40" s="1"/>
  <c r="AM67" i="40"/>
  <c r="AT70" i="40"/>
  <c r="AS70" i="40"/>
  <c r="AT71" i="40"/>
  <c r="AS71" i="40"/>
  <c r="AO92" i="40"/>
  <c r="AF98" i="40"/>
  <c r="AG102" i="40"/>
  <c r="AS103" i="40"/>
  <c r="AP129" i="40"/>
  <c r="AR129" i="40" s="1"/>
  <c r="AG129" i="40"/>
  <c r="AO156" i="40"/>
  <c r="AO161" i="40" s="1"/>
  <c r="AM161" i="40"/>
  <c r="V60" i="40"/>
  <c r="AG65" i="40"/>
  <c r="AP69" i="40"/>
  <c r="AR69" i="40" s="1"/>
  <c r="AG69" i="40"/>
  <c r="AQ70" i="40"/>
  <c r="W81" i="40"/>
  <c r="AT77" i="40"/>
  <c r="AS77" i="40"/>
  <c r="AT78" i="40"/>
  <c r="AS78" i="40"/>
  <c r="AY78" i="40" s="1"/>
  <c r="AT82" i="40"/>
  <c r="AN92" i="40"/>
  <c r="AP91" i="40"/>
  <c r="AR91" i="40" s="1"/>
  <c r="AY91" i="40" s="1"/>
  <c r="AS95" i="40"/>
  <c r="AT95" i="40"/>
  <c r="AO102" i="40"/>
  <c r="AP100" i="40"/>
  <c r="AR100" i="40" s="1"/>
  <c r="AY100" i="40" s="1"/>
  <c r="AP101" i="40"/>
  <c r="AR101" i="40" s="1"/>
  <c r="AY101" i="40" s="1"/>
  <c r="AO105" i="40"/>
  <c r="AP107" i="40"/>
  <c r="AR107" i="40" s="1"/>
  <c r="AY107" i="40" s="1"/>
  <c r="AE110" i="40"/>
  <c r="AP109" i="40"/>
  <c r="AS142" i="40"/>
  <c r="AT142" i="40"/>
  <c r="AG146" i="40"/>
  <c r="AP146" i="40"/>
  <c r="AR146" i="40" s="1"/>
  <c r="AG147" i="40"/>
  <c r="AP147" i="40"/>
  <c r="AR147" i="40" s="1"/>
  <c r="AP162" i="40"/>
  <c r="AE165" i="40"/>
  <c r="AG162" i="40"/>
  <c r="AF61" i="40"/>
  <c r="AG62" i="40"/>
  <c r="AE67" i="40"/>
  <c r="AF68" i="40"/>
  <c r="AE74" i="40"/>
  <c r="AF75" i="40"/>
  <c r="AG76" i="40"/>
  <c r="AE81" i="40"/>
  <c r="AE88" i="40"/>
  <c r="AE108" i="40"/>
  <c r="AO117" i="40"/>
  <c r="AN137" i="40"/>
  <c r="AO131" i="40"/>
  <c r="AO137" i="40" s="1"/>
  <c r="AP143" i="40"/>
  <c r="AR143" i="40" s="1"/>
  <c r="AG143" i="40"/>
  <c r="AN155" i="40"/>
  <c r="AO152" i="40"/>
  <c r="AO155" i="40" s="1"/>
  <c r="AT158" i="40"/>
  <c r="AS158" i="40"/>
  <c r="AR164" i="40"/>
  <c r="AF151" i="40"/>
  <c r="AP150" i="40"/>
  <c r="AR150" i="40" s="1"/>
  <c r="AG150" i="40"/>
  <c r="AF92" i="40"/>
  <c r="AX102" i="40"/>
  <c r="AG111" i="40"/>
  <c r="AP111" i="40"/>
  <c r="AG125" i="40"/>
  <c r="AE127" i="40"/>
  <c r="AP126" i="40"/>
  <c r="V137" i="40"/>
  <c r="AE131" i="40"/>
  <c r="AG132" i="40"/>
  <c r="AP132" i="40"/>
  <c r="AR132" i="40" s="1"/>
  <c r="AT135" i="40"/>
  <c r="AY135" i="40" s="1"/>
  <c r="V155" i="40"/>
  <c r="AE152" i="40"/>
  <c r="AG153" i="40"/>
  <c r="AP153" i="40"/>
  <c r="AR153" i="40" s="1"/>
  <c r="AM165" i="40"/>
  <c r="AO163" i="40"/>
  <c r="AO165" i="40" s="1"/>
  <c r="AM102" i="40"/>
  <c r="AP117" i="40"/>
  <c r="AP121" i="40"/>
  <c r="AR121" i="40" s="1"/>
  <c r="AG121" i="40"/>
  <c r="AF126" i="40"/>
  <c r="AG126" i="40" s="1"/>
  <c r="W127" i="40"/>
  <c r="AR134" i="40"/>
  <c r="AN151" i="40"/>
  <c r="AO145" i="40"/>
  <c r="AO151" i="40" s="1"/>
  <c r="AG149" i="40"/>
  <c r="AT159" i="40"/>
  <c r="AS159" i="40"/>
  <c r="AP160" i="40"/>
  <c r="AN165" i="40"/>
  <c r="AO103" i="40"/>
  <c r="AO108" i="40" s="1"/>
  <c r="AF117" i="40"/>
  <c r="AQ117" i="40" s="1"/>
  <c r="W118" i="40"/>
  <c r="AO124" i="40"/>
  <c r="AQ125" i="40"/>
  <c r="AF137" i="40"/>
  <c r="AP136" i="40"/>
  <c r="AR136" i="40" s="1"/>
  <c r="AG136" i="40"/>
  <c r="AG139" i="40"/>
  <c r="AP139" i="40"/>
  <c r="AR139" i="40" s="1"/>
  <c r="AQ152" i="40"/>
  <c r="AQ155" i="40" s="1"/>
  <c r="AF160" i="40"/>
  <c r="AQ160" i="40" s="1"/>
  <c r="W161" i="40"/>
  <c r="AG105" i="40"/>
  <c r="AP105" i="40"/>
  <c r="AR105" i="40" s="1"/>
  <c r="V108" i="40"/>
  <c r="AO111" i="40"/>
  <c r="AO114" i="40" s="1"/>
  <c r="V118" i="40"/>
  <c r="AM118" i="40"/>
  <c r="AO116" i="40"/>
  <c r="AO118" i="40" s="1"/>
  <c r="AM137" i="40"/>
  <c r="V144" i="40"/>
  <c r="AE138" i="40"/>
  <c r="AR141" i="40"/>
  <c r="AP156" i="40"/>
  <c r="AE161" i="40"/>
  <c r="AG156" i="40"/>
  <c r="AQ157" i="40"/>
  <c r="AR157" i="40" s="1"/>
  <c r="AY157" i="40" s="1"/>
  <c r="AQ159" i="40"/>
  <c r="AR159" i="40" s="1"/>
  <c r="AY159" i="40" s="1"/>
  <c r="AQ131" i="40"/>
  <c r="AQ137" i="40" s="1"/>
  <c r="AG134" i="40"/>
  <c r="AG141" i="40"/>
  <c r="AQ145" i="40"/>
  <c r="AQ151" i="40" s="1"/>
  <c r="AG148" i="40"/>
  <c r="AP158" i="40"/>
  <c r="AR158" i="40" s="1"/>
  <c r="AY158" i="40" s="1"/>
  <c r="AO128" i="40"/>
  <c r="AO130" i="40" s="1"/>
  <c r="AF138" i="40"/>
  <c r="AF165" i="40"/>
  <c r="AF130" i="40"/>
  <c r="BK107" i="39"/>
  <c r="BK79" i="39"/>
  <c r="BK86" i="39"/>
  <c r="BK42" i="39"/>
  <c r="BK30" i="39"/>
  <c r="BI16" i="39"/>
  <c r="BK16" i="39" s="1"/>
  <c r="BI36" i="39"/>
  <c r="BK43" i="39"/>
  <c r="BK44" i="39" s="1"/>
  <c r="BI58" i="39"/>
  <c r="BK60" i="39"/>
  <c r="BK65" i="39" s="1"/>
  <c r="BI86" i="39"/>
  <c r="BI114" i="39"/>
  <c r="BK119" i="39"/>
  <c r="BK123" i="39" s="1"/>
  <c r="BK14" i="39"/>
  <c r="BI42" i="39"/>
  <c r="BK51" i="39"/>
  <c r="BK56" i="39" s="1"/>
  <c r="BK66" i="39"/>
  <c r="BK72" i="39" s="1"/>
  <c r="BK94" i="39"/>
  <c r="BK100" i="39" s="1"/>
  <c r="BK87" i="39"/>
  <c r="BK93" i="39" s="1"/>
  <c r="BK115" i="39"/>
  <c r="BK118" i="39" s="1"/>
  <c r="BK47" i="39"/>
  <c r="BK50" i="39" s="1"/>
  <c r="AS25" i="39"/>
  <c r="AT25" i="39"/>
  <c r="AT22" i="39"/>
  <c r="AS22" i="39"/>
  <c r="AO42" i="39"/>
  <c r="AP17" i="39"/>
  <c r="AR17" i="39" s="1"/>
  <c r="AG17" i="39"/>
  <c r="V30" i="39"/>
  <c r="AP26" i="39"/>
  <c r="AR26" i="39" s="1"/>
  <c r="AG26" i="39"/>
  <c r="AE30" i="39"/>
  <c r="AT32" i="39"/>
  <c r="AQ38" i="39"/>
  <c r="AR38" i="39" s="1"/>
  <c r="AG38" i="39"/>
  <c r="AQ50" i="39"/>
  <c r="AO55" i="39"/>
  <c r="AP55" i="39"/>
  <c r="AG67" i="39"/>
  <c r="AP67" i="39"/>
  <c r="AR67" i="39" s="1"/>
  <c r="AM13" i="39"/>
  <c r="AO12" i="39"/>
  <c r="AO13" i="39" s="1"/>
  <c r="AO19" i="39"/>
  <c r="AO24" i="39" s="1"/>
  <c r="AM24" i="39"/>
  <c r="AE36" i="39"/>
  <c r="AP32" i="39"/>
  <c r="AR32" i="39" s="1"/>
  <c r="AY32" i="39" s="1"/>
  <c r="AP33" i="39"/>
  <c r="AR33" i="39" s="1"/>
  <c r="AG33" i="39"/>
  <c r="AP48" i="39"/>
  <c r="AR48" i="39" s="1"/>
  <c r="AR52" i="39"/>
  <c r="AN58" i="39"/>
  <c r="AO57" i="39"/>
  <c r="AO58" i="39" s="1"/>
  <c r="AS51" i="39"/>
  <c r="AP78" i="39"/>
  <c r="AR78" i="39" s="1"/>
  <c r="AG78" i="39"/>
  <c r="AG21" i="39"/>
  <c r="AP21" i="39"/>
  <c r="AR21" i="39" s="1"/>
  <c r="AN30" i="39"/>
  <c r="AG28" i="39"/>
  <c r="AP28" i="39"/>
  <c r="AR28" i="39" s="1"/>
  <c r="AG41" i="39"/>
  <c r="AP41" i="39"/>
  <c r="AR41" i="39" s="1"/>
  <c r="AF43" i="39"/>
  <c r="W44" i="39"/>
  <c r="AF50" i="39"/>
  <c r="AO52" i="39"/>
  <c r="AO56" i="39" s="1"/>
  <c r="AN56" i="39"/>
  <c r="AQ25" i="39"/>
  <c r="AQ30" i="39" s="1"/>
  <c r="AF30" i="39"/>
  <c r="AN24" i="39"/>
  <c r="AO30" i="39"/>
  <c r="AX42" i="39"/>
  <c r="AT39" i="39"/>
  <c r="AQ41" i="39"/>
  <c r="AG43" i="39"/>
  <c r="AT51" i="39"/>
  <c r="AG20" i="39"/>
  <c r="AP20" i="39"/>
  <c r="AR20" i="39" s="1"/>
  <c r="AP22" i="39"/>
  <c r="AR22" i="39" s="1"/>
  <c r="AY22" i="39" s="1"/>
  <c r="AG27" i="39"/>
  <c r="AP27" i="39"/>
  <c r="AR27" i="39" s="1"/>
  <c r="AQ31" i="39"/>
  <c r="AQ36" i="39" s="1"/>
  <c r="AG31" i="39"/>
  <c r="AF36" i="39"/>
  <c r="AG35" i="39"/>
  <c r="AP35" i="39"/>
  <c r="AR35" i="39" s="1"/>
  <c r="AT48" i="39"/>
  <c r="AS48" i="39"/>
  <c r="AG53" i="39"/>
  <c r="AP53" i="39"/>
  <c r="AR53" i="39" s="1"/>
  <c r="AG95" i="39"/>
  <c r="AP95" i="39"/>
  <c r="AR95" i="39" s="1"/>
  <c r="AT23" i="39"/>
  <c r="AS23" i="39"/>
  <c r="AF24" i="39"/>
  <c r="AP29" i="39"/>
  <c r="AR29" i="39" s="1"/>
  <c r="AM30" i="39"/>
  <c r="AP40" i="39"/>
  <c r="AR40" i="39" s="1"/>
  <c r="AG40" i="39"/>
  <c r="AE46" i="39"/>
  <c r="AP45" i="39"/>
  <c r="AG49" i="39"/>
  <c r="AF56" i="39"/>
  <c r="AQ55" i="39"/>
  <c r="AG55" i="39"/>
  <c r="AT83" i="39"/>
  <c r="AS83" i="39"/>
  <c r="AT29" i="39"/>
  <c r="AS29" i="39"/>
  <c r="AG46" i="39"/>
  <c r="AS45" i="39"/>
  <c r="AS46" i="39" s="1"/>
  <c r="AE13" i="39"/>
  <c r="AP12" i="39"/>
  <c r="AG12" i="39"/>
  <c r="V18" i="39"/>
  <c r="AE14" i="39"/>
  <c r="AG15" i="39"/>
  <c r="AE16" i="39"/>
  <c r="X18" i="39"/>
  <c r="V24" i="39"/>
  <c r="AX30" i="39"/>
  <c r="AN36" i="39"/>
  <c r="AG34" i="39"/>
  <c r="AP34" i="39"/>
  <c r="AR34" i="39" s="1"/>
  <c r="AP37" i="39"/>
  <c r="AE42" i="39"/>
  <c r="AG37" i="39"/>
  <c r="AR39" i="39"/>
  <c r="AY39" i="39" s="1"/>
  <c r="V50" i="39"/>
  <c r="AR51" i="39"/>
  <c r="AP56" i="39"/>
  <c r="AQ54" i="39"/>
  <c r="AQ56" i="39" s="1"/>
  <c r="AG54" i="39"/>
  <c r="AS61" i="39"/>
  <c r="AT61" i="39"/>
  <c r="V86" i="39"/>
  <c r="AE82" i="39"/>
  <c r="AO14" i="39"/>
  <c r="AO18" i="39" s="1"/>
  <c r="AP15" i="39"/>
  <c r="AR15" i="39" s="1"/>
  <c r="AP23" i="39"/>
  <c r="AR23" i="39" s="1"/>
  <c r="AY23" i="39" s="1"/>
  <c r="AQ37" i="39"/>
  <c r="AP43" i="39"/>
  <c r="AE44" i="39"/>
  <c r="AP49" i="39"/>
  <c r="AR49" i="39" s="1"/>
  <c r="W50" i="39"/>
  <c r="AP60" i="39"/>
  <c r="AR60" i="39" s="1"/>
  <c r="AY60" i="39" s="1"/>
  <c r="AP61" i="39"/>
  <c r="AR61" i="39" s="1"/>
  <c r="V72" i="39"/>
  <c r="AE68" i="39"/>
  <c r="AT69" i="39"/>
  <c r="AS69" i="39"/>
  <c r="AG73" i="39"/>
  <c r="AP84" i="39"/>
  <c r="AR84" i="39" s="1"/>
  <c r="AG84" i="39"/>
  <c r="AT87" i="39"/>
  <c r="AS87" i="39"/>
  <c r="AP92" i="39"/>
  <c r="AR92" i="39" s="1"/>
  <c r="AG92" i="39"/>
  <c r="V100" i="39"/>
  <c r="AE96" i="39"/>
  <c r="AP106" i="39"/>
  <c r="AR106" i="39" s="1"/>
  <c r="AG106" i="39"/>
  <c r="V114" i="39"/>
  <c r="AE110" i="39"/>
  <c r="AT111" i="39"/>
  <c r="AS111" i="39"/>
  <c r="AT115" i="39"/>
  <c r="AS115" i="39"/>
  <c r="AM42" i="39"/>
  <c r="AP57" i="39"/>
  <c r="AE65" i="39"/>
  <c r="AP59" i="39"/>
  <c r="AT66" i="39"/>
  <c r="AS66" i="39"/>
  <c r="AP77" i="39"/>
  <c r="AR77" i="39" s="1"/>
  <c r="AG77" i="39"/>
  <c r="AG90" i="39"/>
  <c r="AP90" i="39"/>
  <c r="AR90" i="39" s="1"/>
  <c r="AP91" i="39"/>
  <c r="AR91" i="39" s="1"/>
  <c r="AG91" i="39"/>
  <c r="AT94" i="39"/>
  <c r="AS94" i="39"/>
  <c r="AP99" i="39"/>
  <c r="AR99" i="39" s="1"/>
  <c r="AG99" i="39"/>
  <c r="AF104" i="39"/>
  <c r="AQ104" i="39" s="1"/>
  <c r="AA107" i="39"/>
  <c r="AT108" i="39"/>
  <c r="AS108" i="39"/>
  <c r="AN118" i="39"/>
  <c r="AO115" i="39"/>
  <c r="AO118" i="39" s="1"/>
  <c r="AP105" i="39"/>
  <c r="AR105" i="39" s="1"/>
  <c r="AG105" i="39"/>
  <c r="AF14" i="39"/>
  <c r="AO32" i="39"/>
  <c r="AO36" i="39" s="1"/>
  <c r="AO45" i="39"/>
  <c r="AO46" i="39" s="1"/>
  <c r="V46" i="39"/>
  <c r="AE47" i="39"/>
  <c r="AM65" i="39"/>
  <c r="AF72" i="39"/>
  <c r="V79" i="39"/>
  <c r="AE75" i="39"/>
  <c r="AG76" i="39"/>
  <c r="AT80" i="39"/>
  <c r="AS80" i="39"/>
  <c r="AF100" i="39"/>
  <c r="AT102" i="39"/>
  <c r="AS102" i="39"/>
  <c r="AY102" i="39" s="1"/>
  <c r="AG103" i="39"/>
  <c r="AF114" i="39"/>
  <c r="AX123" i="39"/>
  <c r="AG122" i="39"/>
  <c r="AP104" i="39"/>
  <c r="AQ12" i="39"/>
  <c r="AQ13" i="39" s="1"/>
  <c r="V56" i="39"/>
  <c r="AN65" i="39"/>
  <c r="AP71" i="39"/>
  <c r="AR71" i="39" s="1"/>
  <c r="AG71" i="39"/>
  <c r="AG74" i="39"/>
  <c r="AP74" i="39"/>
  <c r="AR74" i="39" s="1"/>
  <c r="AF86" i="39"/>
  <c r="AP85" i="39"/>
  <c r="AR85" i="39" s="1"/>
  <c r="AG85" i="39"/>
  <c r="V93" i="39"/>
  <c r="AE89" i="39"/>
  <c r="W107" i="39"/>
  <c r="AP113" i="39"/>
  <c r="AR113" i="39" s="1"/>
  <c r="AG113" i="39"/>
  <c r="AT117" i="39"/>
  <c r="AS117" i="39"/>
  <c r="AY117" i="39" s="1"/>
  <c r="AG109" i="39"/>
  <c r="AP109" i="39"/>
  <c r="AR109" i="39" s="1"/>
  <c r="W65" i="39"/>
  <c r="AF59" i="39"/>
  <c r="AG59" i="39" s="1"/>
  <c r="AN79" i="39"/>
  <c r="AO73" i="39"/>
  <c r="AO79" i="39" s="1"/>
  <c r="AE19" i="39"/>
  <c r="AQ45" i="39"/>
  <c r="AQ46" i="39" s="1"/>
  <c r="AG52" i="39"/>
  <c r="AG56" i="39" s="1"/>
  <c r="AF58" i="39"/>
  <c r="AQ57" i="39"/>
  <c r="AQ58" i="39" s="1"/>
  <c r="AO59" i="39"/>
  <c r="AO65" i="39" s="1"/>
  <c r="AG62" i="39"/>
  <c r="AP62" i="39"/>
  <c r="AR62" i="39" s="1"/>
  <c r="AP63" i="39"/>
  <c r="AR63" i="39" s="1"/>
  <c r="AG63" i="39"/>
  <c r="AP64" i="39"/>
  <c r="AR64" i="39" s="1"/>
  <c r="AG64" i="39"/>
  <c r="V65" i="39"/>
  <c r="AN72" i="39"/>
  <c r="AO66" i="39"/>
  <c r="AO72" i="39" s="1"/>
  <c r="AG88" i="39"/>
  <c r="AP88" i="39"/>
  <c r="AR88" i="39" s="1"/>
  <c r="AG97" i="39"/>
  <c r="AP97" i="39"/>
  <c r="AR97" i="39" s="1"/>
  <c r="AP98" i="39"/>
  <c r="AR98" i="39" s="1"/>
  <c r="AG98" i="39"/>
  <c r="AT101" i="39"/>
  <c r="AS101" i="39"/>
  <c r="AN114" i="39"/>
  <c r="AO108" i="39"/>
  <c r="AO114" i="39" s="1"/>
  <c r="V118" i="39"/>
  <c r="AG116" i="39"/>
  <c r="AP116" i="39"/>
  <c r="AR116" i="39" s="1"/>
  <c r="AR121" i="39"/>
  <c r="AN107" i="39"/>
  <c r="AO101" i="39"/>
  <c r="AO107" i="39" s="1"/>
  <c r="AG81" i="39"/>
  <c r="AP81" i="39"/>
  <c r="AR81" i="39" s="1"/>
  <c r="AQ63" i="39"/>
  <c r="AP70" i="39"/>
  <c r="AR70" i="39" s="1"/>
  <c r="AG70" i="39"/>
  <c r="W79" i="39"/>
  <c r="AN86" i="39"/>
  <c r="AO80" i="39"/>
  <c r="AO86" i="39" s="1"/>
  <c r="AF107" i="39"/>
  <c r="AP112" i="39"/>
  <c r="AR112" i="39" s="1"/>
  <c r="AG112" i="39"/>
  <c r="AQ119" i="39"/>
  <c r="AQ123" i="39" s="1"/>
  <c r="AF123" i="39"/>
  <c r="AG120" i="39"/>
  <c r="AP69" i="39"/>
  <c r="AR69" i="39" s="1"/>
  <c r="AY69" i="39" s="1"/>
  <c r="AP76" i="39"/>
  <c r="AR76" i="39" s="1"/>
  <c r="AP83" i="39"/>
  <c r="AR83" i="39" s="1"/>
  <c r="AY83" i="39" s="1"/>
  <c r="AP103" i="39"/>
  <c r="AR103" i="39" s="1"/>
  <c r="AP111" i="39"/>
  <c r="AR111" i="39" s="1"/>
  <c r="AE119" i="39"/>
  <c r="AG121" i="39"/>
  <c r="AO87" i="39"/>
  <c r="AO93" i="39" s="1"/>
  <c r="AO94" i="39"/>
  <c r="AO100" i="39" s="1"/>
  <c r="AF118" i="39"/>
  <c r="AP66" i="39"/>
  <c r="AP73" i="39"/>
  <c r="AP80" i="39"/>
  <c r="AP87" i="39"/>
  <c r="AP94" i="39"/>
  <c r="AP101" i="39"/>
  <c r="AP108" i="39"/>
  <c r="AP115" i="39"/>
  <c r="AP122" i="39"/>
  <c r="AR122" i="39" s="1"/>
  <c r="W123" i="39"/>
  <c r="AQ66" i="39"/>
  <c r="AQ72" i="39" s="1"/>
  <c r="AQ80" i="39"/>
  <c r="AQ86" i="39" s="1"/>
  <c r="AQ87" i="39"/>
  <c r="AQ93" i="39" s="1"/>
  <c r="AQ94" i="39"/>
  <c r="AQ100" i="39" s="1"/>
  <c r="AQ101" i="39"/>
  <c r="AQ108" i="39"/>
  <c r="AQ114" i="39" s="1"/>
  <c r="AE72" i="39"/>
  <c r="AF73" i="39"/>
  <c r="AE79" i="39"/>
  <c r="AE93" i="39"/>
  <c r="AE107" i="39"/>
  <c r="AE114" i="39"/>
  <c r="AG45" i="42" l="1"/>
  <c r="AP45" i="42"/>
  <c r="AR45" i="42" s="1"/>
  <c r="AS47" i="41"/>
  <c r="AY47" i="41" s="1"/>
  <c r="AT57" i="39"/>
  <c r="AT58" i="39" s="1"/>
  <c r="AS57" i="39"/>
  <c r="AS58" i="39" s="1"/>
  <c r="AY52" i="41"/>
  <c r="AT47" i="42"/>
  <c r="AS47" i="42"/>
  <c r="AG52" i="42"/>
  <c r="AT138" i="42"/>
  <c r="AS138" i="42"/>
  <c r="AS196" i="42"/>
  <c r="AY196" i="42" s="1"/>
  <c r="AT196" i="42"/>
  <c r="AE200" i="42"/>
  <c r="AP194" i="42"/>
  <c r="AG194" i="42"/>
  <c r="AS159" i="42"/>
  <c r="AG164" i="42"/>
  <c r="AT159" i="42"/>
  <c r="AR123" i="42"/>
  <c r="AF112" i="42"/>
  <c r="AQ106" i="42"/>
  <c r="AQ112" i="42" s="1"/>
  <c r="AT146" i="42"/>
  <c r="AS146" i="42"/>
  <c r="AY146" i="42" s="1"/>
  <c r="AT88" i="42"/>
  <c r="AS88" i="42"/>
  <c r="AY88" i="42" s="1"/>
  <c r="AT71" i="42"/>
  <c r="AY71" i="42" s="1"/>
  <c r="AS71" i="42"/>
  <c r="AT56" i="42"/>
  <c r="AY56" i="42" s="1"/>
  <c r="AS56" i="42"/>
  <c r="AT31" i="42"/>
  <c r="AS31" i="42"/>
  <c r="AY31" i="42" s="1"/>
  <c r="AT13" i="42"/>
  <c r="AS13" i="42"/>
  <c r="AY13" i="42" s="1"/>
  <c r="AQ174" i="42"/>
  <c r="AO174" i="42"/>
  <c r="AS180" i="42"/>
  <c r="AY180" i="42" s="1"/>
  <c r="AT180" i="42"/>
  <c r="BK150" i="42"/>
  <c r="AG174" i="42"/>
  <c r="AT169" i="42"/>
  <c r="AS169" i="42"/>
  <c r="AG133" i="42"/>
  <c r="AE136" i="42"/>
  <c r="AP133" i="42"/>
  <c r="AY101" i="42"/>
  <c r="AQ164" i="42"/>
  <c r="AT104" i="42"/>
  <c r="AS104" i="42"/>
  <c r="AY104" i="42" s="1"/>
  <c r="AT97" i="42"/>
  <c r="AS97" i="42"/>
  <c r="AP164" i="42"/>
  <c r="AR159" i="42"/>
  <c r="AP126" i="42"/>
  <c r="AS143" i="42"/>
  <c r="AT143" i="42"/>
  <c r="AT84" i="42"/>
  <c r="AS84" i="42"/>
  <c r="AT73" i="42"/>
  <c r="AS73" i="42"/>
  <c r="AY73" i="42" s="1"/>
  <c r="AP52" i="42"/>
  <c r="AY20" i="42"/>
  <c r="AP85" i="42"/>
  <c r="AR79" i="42"/>
  <c r="AR151" i="42"/>
  <c r="AP155" i="42"/>
  <c r="AR157" i="42"/>
  <c r="AT102" i="42"/>
  <c r="AS102" i="42"/>
  <c r="AT93" i="42"/>
  <c r="AS93" i="42"/>
  <c r="AF136" i="42"/>
  <c r="AQ133" i="42"/>
  <c r="AQ136" i="42" s="1"/>
  <c r="AT68" i="42"/>
  <c r="AS68" i="42"/>
  <c r="AT55" i="42"/>
  <c r="AS55" i="42"/>
  <c r="AY55" i="42" s="1"/>
  <c r="AT27" i="42"/>
  <c r="AS27" i="42"/>
  <c r="AY27" i="42" s="1"/>
  <c r="AT45" i="42"/>
  <c r="AT46" i="42" s="1"/>
  <c r="AS45" i="42"/>
  <c r="AS46" i="42" s="1"/>
  <c r="AG46" i="42"/>
  <c r="AS54" i="42"/>
  <c r="AT54" i="42"/>
  <c r="AP44" i="42"/>
  <c r="AR41" i="42"/>
  <c r="AT63" i="42"/>
  <c r="AY63" i="42" s="1"/>
  <c r="AS63" i="42"/>
  <c r="AY186" i="42"/>
  <c r="AS179" i="42"/>
  <c r="AT179" i="42"/>
  <c r="AY149" i="42"/>
  <c r="AT129" i="42"/>
  <c r="AS129" i="42"/>
  <c r="AY129" i="42" s="1"/>
  <c r="AT128" i="42"/>
  <c r="AY128" i="42" s="1"/>
  <c r="AS128" i="42"/>
  <c r="AR153" i="42"/>
  <c r="AT123" i="42"/>
  <c r="AS123" i="42"/>
  <c r="AG126" i="42"/>
  <c r="AY97" i="42"/>
  <c r="AY145" i="42"/>
  <c r="AT157" i="42"/>
  <c r="AS157" i="42"/>
  <c r="AY102" i="42"/>
  <c r="AT113" i="42"/>
  <c r="AG116" i="42"/>
  <c r="AS113" i="42"/>
  <c r="AG77" i="42"/>
  <c r="AE78" i="42"/>
  <c r="AP77" i="42"/>
  <c r="AF122" i="42"/>
  <c r="AT67" i="42"/>
  <c r="AS67" i="42"/>
  <c r="AY67" i="42" s="1"/>
  <c r="AT110" i="42"/>
  <c r="AS110" i="42"/>
  <c r="AT39" i="42"/>
  <c r="AS39" i="42"/>
  <c r="AP46" i="42"/>
  <c r="AY54" i="42"/>
  <c r="AT75" i="42"/>
  <c r="AS75" i="42"/>
  <c r="AE37" i="42"/>
  <c r="AG34" i="42"/>
  <c r="AP34" i="42"/>
  <c r="AE29" i="42"/>
  <c r="AG26" i="42"/>
  <c r="AP26" i="42"/>
  <c r="AR12" i="42"/>
  <c r="AF140" i="42"/>
  <c r="AQ137" i="42"/>
  <c r="AQ140" i="42" s="1"/>
  <c r="AR148" i="42"/>
  <c r="AP150" i="42"/>
  <c r="AS154" i="42"/>
  <c r="AT154" i="42"/>
  <c r="AT144" i="42"/>
  <c r="AS144" i="42"/>
  <c r="AY144" i="42" s="1"/>
  <c r="AP116" i="42"/>
  <c r="AR113" i="42"/>
  <c r="AQ194" i="42"/>
  <c r="AQ200" i="42" s="1"/>
  <c r="AF200" i="42"/>
  <c r="AQ156" i="42"/>
  <c r="AQ158" i="42" s="1"/>
  <c r="AF158" i="42"/>
  <c r="AE187" i="42"/>
  <c r="AP182" i="42"/>
  <c r="AG182" i="42"/>
  <c r="AP127" i="42"/>
  <c r="AE132" i="42"/>
  <c r="AG127" i="42"/>
  <c r="AS195" i="42"/>
  <c r="AY195" i="42" s="1"/>
  <c r="AT195" i="42"/>
  <c r="AR179" i="42"/>
  <c r="AY179" i="42" s="1"/>
  <c r="AT149" i="42"/>
  <c r="AS149" i="42"/>
  <c r="AP90" i="42"/>
  <c r="AG90" i="42"/>
  <c r="AE95" i="42"/>
  <c r="AP181" i="42"/>
  <c r="AR175" i="42"/>
  <c r="AT153" i="42"/>
  <c r="AS153" i="42"/>
  <c r="AR142" i="42"/>
  <c r="AS198" i="42"/>
  <c r="AT198" i="42"/>
  <c r="AY198" i="42" s="1"/>
  <c r="AG119" i="42"/>
  <c r="AG96" i="42"/>
  <c r="AP96" i="42"/>
  <c r="AE99" i="42"/>
  <c r="AE147" i="42"/>
  <c r="AG141" i="42"/>
  <c r="AP141" i="42"/>
  <c r="AG156" i="42"/>
  <c r="AY108" i="42"/>
  <c r="AT98" i="42"/>
  <c r="AY98" i="42" s="1"/>
  <c r="AS98" i="42"/>
  <c r="AF89" i="42"/>
  <c r="AQ86" i="42"/>
  <c r="AG86" i="42"/>
  <c r="AT121" i="42"/>
  <c r="AS121" i="42"/>
  <c r="AY121" i="42" s="1"/>
  <c r="AY107" i="42"/>
  <c r="AT94" i="42"/>
  <c r="AS94" i="42"/>
  <c r="AT80" i="42"/>
  <c r="AS80" i="42"/>
  <c r="AY80" i="42" s="1"/>
  <c r="AY66" i="42"/>
  <c r="AT23" i="42"/>
  <c r="AS23" i="42"/>
  <c r="AY23" i="42" s="1"/>
  <c r="AT50" i="42"/>
  <c r="AS50" i="42"/>
  <c r="AY50" i="42" s="1"/>
  <c r="AY68" i="42"/>
  <c r="AY75" i="42"/>
  <c r="AT42" i="42"/>
  <c r="AS42" i="42"/>
  <c r="AP21" i="42"/>
  <c r="AY190" i="42"/>
  <c r="AS199" i="42"/>
  <c r="AT199" i="42"/>
  <c r="AY199" i="42" s="1"/>
  <c r="AS175" i="42"/>
  <c r="AG181" i="42"/>
  <c r="AT175" i="42"/>
  <c r="AY135" i="42"/>
  <c r="AG100" i="42"/>
  <c r="AE105" i="42"/>
  <c r="AP100" i="42"/>
  <c r="AT130" i="42"/>
  <c r="AS130" i="42"/>
  <c r="AY130" i="42" s="1"/>
  <c r="AF58" i="42"/>
  <c r="AQ53" i="42"/>
  <c r="AQ58" i="42" s="1"/>
  <c r="AQ182" i="42"/>
  <c r="AQ187" i="42" s="1"/>
  <c r="AF187" i="42"/>
  <c r="AQ148" i="42"/>
  <c r="AQ150" i="42" s="1"/>
  <c r="AF150" i="42"/>
  <c r="AG148" i="42"/>
  <c r="AP193" i="42"/>
  <c r="AR188" i="42"/>
  <c r="AR143" i="42"/>
  <c r="AY143" i="42" s="1"/>
  <c r="BK193" i="42"/>
  <c r="AS170" i="42"/>
  <c r="AT170" i="42"/>
  <c r="AG117" i="42"/>
  <c r="AP117" i="42"/>
  <c r="AE122" i="42"/>
  <c r="AS152" i="42"/>
  <c r="AT152" i="42"/>
  <c r="AT142" i="42"/>
  <c r="AS142" i="42"/>
  <c r="AT115" i="42"/>
  <c r="AS115" i="42"/>
  <c r="AY115" i="42" s="1"/>
  <c r="AY93" i="42"/>
  <c r="AP158" i="42"/>
  <c r="AT108" i="42"/>
  <c r="AS108" i="42"/>
  <c r="AR110" i="42"/>
  <c r="AY103" i="42"/>
  <c r="AT120" i="42"/>
  <c r="AY120" i="42" s="1"/>
  <c r="AS120" i="42"/>
  <c r="AT114" i="42"/>
  <c r="AS114" i="42"/>
  <c r="AY94" i="42"/>
  <c r="AT72" i="42"/>
  <c r="AS72" i="42"/>
  <c r="AY72" i="42" s="1"/>
  <c r="AT92" i="42"/>
  <c r="AS92" i="42"/>
  <c r="AY92" i="42" s="1"/>
  <c r="AT81" i="42"/>
  <c r="AS81" i="42"/>
  <c r="AY81" i="42" s="1"/>
  <c r="AT59" i="42"/>
  <c r="AG64" i="42"/>
  <c r="AS59" i="42"/>
  <c r="AS64" i="42" s="1"/>
  <c r="AP69" i="42"/>
  <c r="AR65" i="42"/>
  <c r="AT57" i="42"/>
  <c r="AS57" i="42"/>
  <c r="AY57" i="42" s="1"/>
  <c r="AT61" i="42"/>
  <c r="AS61" i="42"/>
  <c r="AY61" i="42" s="1"/>
  <c r="AT51" i="42"/>
  <c r="AS51" i="42"/>
  <c r="AY51" i="42" s="1"/>
  <c r="AT103" i="42"/>
  <c r="AS103" i="42"/>
  <c r="AT125" i="42"/>
  <c r="AS125" i="42"/>
  <c r="AY125" i="42" s="1"/>
  <c r="AQ122" i="42"/>
  <c r="AE58" i="42"/>
  <c r="AP53" i="42"/>
  <c r="AG53" i="42"/>
  <c r="AT83" i="42"/>
  <c r="AS83" i="42"/>
  <c r="AY83" i="42" s="1"/>
  <c r="AS70" i="42"/>
  <c r="AG76" i="42"/>
  <c r="AT70" i="42"/>
  <c r="AT76" i="42" s="1"/>
  <c r="AY39" i="42"/>
  <c r="AT16" i="42"/>
  <c r="AS16" i="42"/>
  <c r="AY16" i="42" s="1"/>
  <c r="AQ188" i="42"/>
  <c r="AQ193" i="42" s="1"/>
  <c r="AF193" i="42"/>
  <c r="AG188" i="42"/>
  <c r="AE168" i="42"/>
  <c r="AG165" i="42"/>
  <c r="AP165" i="42"/>
  <c r="AQ181" i="42"/>
  <c r="AS172" i="42"/>
  <c r="AY172" i="42" s="1"/>
  <c r="AT172" i="42"/>
  <c r="AR170" i="42"/>
  <c r="AR177" i="42"/>
  <c r="AY177" i="42" s="1"/>
  <c r="AR152" i="42"/>
  <c r="AY152" i="42" s="1"/>
  <c r="AT111" i="42"/>
  <c r="AS111" i="42"/>
  <c r="AY111" i="42" s="1"/>
  <c r="AT91" i="42"/>
  <c r="AS91" i="42"/>
  <c r="AY91" i="42" s="1"/>
  <c r="AG106" i="42"/>
  <c r="AS184" i="42"/>
  <c r="AT184" i="42"/>
  <c r="AY184" i="42" s="1"/>
  <c r="AQ127" i="42"/>
  <c r="AQ132" i="42" s="1"/>
  <c r="AF132" i="42"/>
  <c r="AF78" i="42"/>
  <c r="AQ77" i="42"/>
  <c r="AQ78" i="42" s="1"/>
  <c r="AP64" i="42"/>
  <c r="AR59" i="42"/>
  <c r="AT65" i="42"/>
  <c r="AT69" i="42" s="1"/>
  <c r="AG69" i="42"/>
  <c r="AS65" i="42"/>
  <c r="AS82" i="42"/>
  <c r="AT82" i="42"/>
  <c r="AP76" i="42"/>
  <c r="AT35" i="42"/>
  <c r="AS35" i="42"/>
  <c r="AY35" i="42" s="1"/>
  <c r="AT15" i="42"/>
  <c r="AS15" i="42"/>
  <c r="AY15" i="42" s="1"/>
  <c r="AG21" i="42"/>
  <c r="AT12" i="42"/>
  <c r="AS12" i="42"/>
  <c r="AQ166" i="42"/>
  <c r="AF168" i="42"/>
  <c r="AG166" i="42"/>
  <c r="AY138" i="42"/>
  <c r="AP174" i="42"/>
  <c r="AR169" i="42"/>
  <c r="AT177" i="42"/>
  <c r="AS177" i="42"/>
  <c r="AG155" i="42"/>
  <c r="AS151" i="42"/>
  <c r="AT151" i="42"/>
  <c r="AT155" i="42" s="1"/>
  <c r="AS139" i="42"/>
  <c r="AY139" i="42" s="1"/>
  <c r="AT139" i="42"/>
  <c r="AT107" i="42"/>
  <c r="AS107" i="42"/>
  <c r="AS163" i="42"/>
  <c r="AT163" i="42"/>
  <c r="AY163" i="42" s="1"/>
  <c r="AY154" i="42"/>
  <c r="AR106" i="42"/>
  <c r="AP112" i="42"/>
  <c r="AT101" i="42"/>
  <c r="AS101" i="42"/>
  <c r="AT124" i="42"/>
  <c r="AS124" i="42"/>
  <c r="AY124" i="42" s="1"/>
  <c r="AT109" i="42"/>
  <c r="AS109" i="42"/>
  <c r="AY109" i="42" s="1"/>
  <c r="AT60" i="42"/>
  <c r="AS60" i="42"/>
  <c r="AY60" i="42" s="1"/>
  <c r="AY42" i="42"/>
  <c r="AR76" i="42"/>
  <c r="AQ47" i="42"/>
  <c r="AQ52" i="42" s="1"/>
  <c r="AF52" i="42"/>
  <c r="AT49" i="42"/>
  <c r="AS49" i="42"/>
  <c r="AY49" i="42" s="1"/>
  <c r="AT17" i="42"/>
  <c r="AS17" i="42"/>
  <c r="AY17" i="42" s="1"/>
  <c r="AE40" i="42"/>
  <c r="AG38" i="42"/>
  <c r="AP38" i="42"/>
  <c r="AE33" i="42"/>
  <c r="AG30" i="42"/>
  <c r="AP30" i="42"/>
  <c r="AE25" i="42"/>
  <c r="AG22" i="42"/>
  <c r="AP22" i="42"/>
  <c r="AP89" i="42"/>
  <c r="AY14" i="42"/>
  <c r="AT134" i="42"/>
  <c r="AS134" i="42"/>
  <c r="AY134" i="42" s="1"/>
  <c r="AS176" i="42"/>
  <c r="AY176" i="42" s="1"/>
  <c r="AT176" i="42"/>
  <c r="AG137" i="42"/>
  <c r="AE140" i="42"/>
  <c r="AP137" i="42"/>
  <c r="AY114" i="42"/>
  <c r="AT173" i="42"/>
  <c r="AS173" i="42"/>
  <c r="AY173" i="42" s="1"/>
  <c r="AF105" i="42"/>
  <c r="AQ100" i="42"/>
  <c r="AQ105" i="42" s="1"/>
  <c r="AT43" i="42"/>
  <c r="AS43" i="42"/>
  <c r="AY43" i="42" s="1"/>
  <c r="AY84" i="42"/>
  <c r="AG44" i="42"/>
  <c r="AT41" i="42"/>
  <c r="AT44" i="42" s="1"/>
  <c r="AS41" i="42"/>
  <c r="AS48" i="42"/>
  <c r="AY48" i="42" s="1"/>
  <c r="AT48" i="42"/>
  <c r="AG85" i="42"/>
  <c r="AT79" i="42"/>
  <c r="AS79" i="42"/>
  <c r="AT19" i="42"/>
  <c r="AS19" i="42"/>
  <c r="AY19" i="42" s="1"/>
  <c r="AT14" i="42"/>
  <c r="AS14" i="42"/>
  <c r="AR46" i="41"/>
  <c r="AR126" i="41"/>
  <c r="AR110" i="41"/>
  <c r="AQ50" i="41"/>
  <c r="AR13" i="41"/>
  <c r="AY13" i="41" s="1"/>
  <c r="AR25" i="41"/>
  <c r="BK43" i="41"/>
  <c r="AQ58" i="41"/>
  <c r="AO130" i="41"/>
  <c r="AP27" i="41"/>
  <c r="AR53" i="41"/>
  <c r="AT103" i="41"/>
  <c r="AR132" i="41"/>
  <c r="AQ62" i="41"/>
  <c r="AQ65" i="41" s="1"/>
  <c r="AQ16" i="41"/>
  <c r="BK112" i="41"/>
  <c r="AR74" i="41"/>
  <c r="AR136" i="41"/>
  <c r="AR101" i="41"/>
  <c r="AR78" i="41"/>
  <c r="AQ27" i="41"/>
  <c r="BK58" i="41"/>
  <c r="AR109" i="41"/>
  <c r="AO36" i="41"/>
  <c r="AY42" i="41"/>
  <c r="AO137" i="41"/>
  <c r="AR41" i="41"/>
  <c r="AR135" i="41"/>
  <c r="AQ93" i="41"/>
  <c r="AR70" i="41"/>
  <c r="AY70" i="41" s="1"/>
  <c r="AR39" i="41"/>
  <c r="AR24" i="41"/>
  <c r="BK87" i="41"/>
  <c r="BK50" i="41"/>
  <c r="AT117" i="41"/>
  <c r="AR20" i="41"/>
  <c r="AY33" i="41"/>
  <c r="AT38" i="41"/>
  <c r="AY38" i="41" s="1"/>
  <c r="BK137" i="41"/>
  <c r="AY57" i="41"/>
  <c r="AR86" i="41"/>
  <c r="AO43" i="41"/>
  <c r="AO72" i="41"/>
  <c r="AR22" i="41"/>
  <c r="AR127" i="41"/>
  <c r="AY101" i="41"/>
  <c r="BK130" i="41"/>
  <c r="AO97" i="41"/>
  <c r="BK83" i="41"/>
  <c r="AR118" i="41"/>
  <c r="AQ120" i="41"/>
  <c r="AR100" i="41"/>
  <c r="AY100" i="41" s="1"/>
  <c r="AO58" i="41"/>
  <c r="AO50" i="41"/>
  <c r="AO16" i="41"/>
  <c r="AQ28" i="41"/>
  <c r="AQ29" i="41" s="1"/>
  <c r="AS91" i="41"/>
  <c r="AT91" i="41"/>
  <c r="AO83" i="41"/>
  <c r="AO93" i="41"/>
  <c r="AS71" i="41"/>
  <c r="AT71" i="41"/>
  <c r="AO65" i="41"/>
  <c r="BK21" i="41"/>
  <c r="AY64" i="41"/>
  <c r="AR115" i="41"/>
  <c r="AS56" i="41"/>
  <c r="AY56" i="41" s="1"/>
  <c r="AO120" i="41"/>
  <c r="AY39" i="41"/>
  <c r="AR82" i="41"/>
  <c r="AY103" i="41"/>
  <c r="AO112" i="41"/>
  <c r="BK97" i="41"/>
  <c r="AR32" i="41"/>
  <c r="AR26" i="41"/>
  <c r="AR27" i="41" s="1"/>
  <c r="AG28" i="41"/>
  <c r="AG130" i="41"/>
  <c r="AT125" i="41"/>
  <c r="AS125" i="41"/>
  <c r="AT126" i="41"/>
  <c r="AS126" i="41"/>
  <c r="AP97" i="41"/>
  <c r="AR94" i="41"/>
  <c r="AT41" i="41"/>
  <c r="AS41" i="41"/>
  <c r="AG21" i="41"/>
  <c r="AT17" i="41"/>
  <c r="AS17" i="41"/>
  <c r="AT76" i="41"/>
  <c r="AS76" i="41"/>
  <c r="AP29" i="41"/>
  <c r="AR28" i="41"/>
  <c r="AR40" i="41"/>
  <c r="AG27" i="41"/>
  <c r="AT22" i="41"/>
  <c r="AS22" i="41"/>
  <c r="AP21" i="41"/>
  <c r="AR17" i="41"/>
  <c r="AT35" i="41"/>
  <c r="AS35" i="41"/>
  <c r="AT88" i="41"/>
  <c r="AG93" i="41"/>
  <c r="AS88" i="41"/>
  <c r="AR95" i="41"/>
  <c r="AY117" i="41"/>
  <c r="AT90" i="41"/>
  <c r="AS90" i="41"/>
  <c r="AY90" i="41" s="1"/>
  <c r="AS78" i="41"/>
  <c r="AT78" i="41"/>
  <c r="AS99" i="41"/>
  <c r="AT99" i="41"/>
  <c r="AS63" i="41"/>
  <c r="AT63" i="41"/>
  <c r="AG43" i="41"/>
  <c r="AT37" i="41"/>
  <c r="AS37" i="41"/>
  <c r="AT40" i="41"/>
  <c r="AS40" i="41"/>
  <c r="AT60" i="41"/>
  <c r="AT61" i="41" s="1"/>
  <c r="AS60" i="41"/>
  <c r="AT134" i="41"/>
  <c r="AS134" i="41"/>
  <c r="AT74" i="41"/>
  <c r="AS74" i="41"/>
  <c r="AE120" i="41"/>
  <c r="AP113" i="41"/>
  <c r="AG113" i="41"/>
  <c r="AT46" i="41"/>
  <c r="AS46" i="41"/>
  <c r="AR44" i="41"/>
  <c r="AP50" i="41"/>
  <c r="AT111" i="41"/>
  <c r="AS111" i="41"/>
  <c r="AR88" i="41"/>
  <c r="AP93" i="41"/>
  <c r="AF97" i="41"/>
  <c r="AT122" i="41"/>
  <c r="AS122" i="41"/>
  <c r="AT133" i="41"/>
  <c r="AS133" i="41"/>
  <c r="AT24" i="41"/>
  <c r="AS24" i="41"/>
  <c r="AP130" i="41"/>
  <c r="AQ97" i="41"/>
  <c r="AT116" i="41"/>
  <c r="AS116" i="41"/>
  <c r="AE112" i="41"/>
  <c r="AG106" i="41"/>
  <c r="AP106" i="41"/>
  <c r="AF79" i="41"/>
  <c r="AQ73" i="41"/>
  <c r="AQ79" i="41" s="1"/>
  <c r="AQ80" i="41"/>
  <c r="AQ83" i="41" s="1"/>
  <c r="AF83" i="41"/>
  <c r="AG80" i="41"/>
  <c r="AQ105" i="41"/>
  <c r="AG105" i="41"/>
  <c r="AT98" i="41"/>
  <c r="AS98" i="41"/>
  <c r="AG95" i="41"/>
  <c r="AG97" i="41" s="1"/>
  <c r="AT13" i="41"/>
  <c r="AS13" i="41"/>
  <c r="AS55" i="41"/>
  <c r="AT55" i="41"/>
  <c r="AY55" i="41" s="1"/>
  <c r="AY15" i="41"/>
  <c r="AT34" i="41"/>
  <c r="AS34" i="41"/>
  <c r="AS96" i="41"/>
  <c r="AY96" i="41" s="1"/>
  <c r="AT96" i="41"/>
  <c r="AY45" i="41"/>
  <c r="AQ36" i="41"/>
  <c r="AG16" i="41"/>
  <c r="AT132" i="41"/>
  <c r="AS132" i="41"/>
  <c r="AT102" i="41"/>
  <c r="AS102" i="41"/>
  <c r="AF124" i="41"/>
  <c r="AQ121" i="41"/>
  <c r="AQ124" i="41" s="1"/>
  <c r="AS114" i="41"/>
  <c r="AT114" i="41"/>
  <c r="AG131" i="41"/>
  <c r="AE137" i="41"/>
  <c r="AP131" i="41"/>
  <c r="AT118" i="41"/>
  <c r="AS118" i="41"/>
  <c r="AO124" i="41"/>
  <c r="AT77" i="41"/>
  <c r="AS77" i="41"/>
  <c r="AY77" i="41" s="1"/>
  <c r="AF72" i="41"/>
  <c r="AQ66" i="41"/>
  <c r="AQ72" i="41" s="1"/>
  <c r="AG121" i="41"/>
  <c r="AT108" i="41"/>
  <c r="AS108" i="41"/>
  <c r="AS68" i="41"/>
  <c r="AT68" i="41"/>
  <c r="AF137" i="41"/>
  <c r="AQ131" i="41"/>
  <c r="AQ137" i="41" s="1"/>
  <c r="AP105" i="41"/>
  <c r="AR98" i="41"/>
  <c r="AS129" i="41"/>
  <c r="AT129" i="41"/>
  <c r="AQ107" i="41"/>
  <c r="AQ112" i="41" s="1"/>
  <c r="AG107" i="41"/>
  <c r="AF112" i="41"/>
  <c r="AP16" i="41"/>
  <c r="AT30" i="41"/>
  <c r="AG36" i="41"/>
  <c r="AS30" i="41"/>
  <c r="AT69" i="41"/>
  <c r="AS69" i="41"/>
  <c r="AS25" i="41"/>
  <c r="AT25" i="41"/>
  <c r="AT20" i="41"/>
  <c r="AS20" i="41"/>
  <c r="AT16" i="41"/>
  <c r="AS135" i="41"/>
  <c r="AT135" i="41"/>
  <c r="AT127" i="41"/>
  <c r="AS127" i="41"/>
  <c r="AT109" i="41"/>
  <c r="AY109" i="41" s="1"/>
  <c r="AS109" i="41"/>
  <c r="AS89" i="41"/>
  <c r="AT89" i="41"/>
  <c r="AT18" i="41"/>
  <c r="AS18" i="41"/>
  <c r="AG81" i="41"/>
  <c r="AP81" i="41"/>
  <c r="AR81" i="41" s="1"/>
  <c r="AT115" i="41"/>
  <c r="AY115" i="41" s="1"/>
  <c r="AS115" i="41"/>
  <c r="AT92" i="41"/>
  <c r="AS92" i="41"/>
  <c r="AS61" i="41"/>
  <c r="AP43" i="41"/>
  <c r="AR37" i="41"/>
  <c r="AE79" i="41"/>
  <c r="AG73" i="41"/>
  <c r="AP73" i="41"/>
  <c r="AT104" i="41"/>
  <c r="AS104" i="41"/>
  <c r="AT136" i="41"/>
  <c r="AS136" i="41"/>
  <c r="AT85" i="41"/>
  <c r="AS85" i="41"/>
  <c r="AG51" i="41"/>
  <c r="AE58" i="41"/>
  <c r="AP51" i="41"/>
  <c r="AT67" i="41"/>
  <c r="AS67" i="41"/>
  <c r="AS100" i="41"/>
  <c r="AT100" i="41"/>
  <c r="AT53" i="41"/>
  <c r="AS53" i="41"/>
  <c r="AQ43" i="41"/>
  <c r="AR12" i="41"/>
  <c r="AP36" i="41"/>
  <c r="AR30" i="41"/>
  <c r="AG65" i="41"/>
  <c r="AT62" i="41"/>
  <c r="AS62" i="41"/>
  <c r="AS65" i="41" s="1"/>
  <c r="AT54" i="41"/>
  <c r="AS54" i="41"/>
  <c r="AT31" i="41"/>
  <c r="AS31" i="41"/>
  <c r="AS19" i="41"/>
  <c r="AT19" i="41"/>
  <c r="AO87" i="41"/>
  <c r="AT49" i="41"/>
  <c r="AS49" i="41"/>
  <c r="AY49" i="41" s="1"/>
  <c r="AS23" i="41"/>
  <c r="AT23" i="41"/>
  <c r="AS16" i="41"/>
  <c r="AG87" i="41"/>
  <c r="AS84" i="41"/>
  <c r="AT84" i="41"/>
  <c r="AT48" i="41"/>
  <c r="AS48" i="41"/>
  <c r="AY48" i="41" s="1"/>
  <c r="AP65" i="41"/>
  <c r="AR62" i="41"/>
  <c r="AF130" i="41"/>
  <c r="AQ125" i="41"/>
  <c r="AQ130" i="41" s="1"/>
  <c r="AT82" i="41"/>
  <c r="AS82" i="41"/>
  <c r="AY82" i="41" s="1"/>
  <c r="AT128" i="41"/>
  <c r="AS128" i="41"/>
  <c r="AG66" i="41"/>
  <c r="AE72" i="41"/>
  <c r="AP66" i="41"/>
  <c r="AR123" i="41"/>
  <c r="AY123" i="41" s="1"/>
  <c r="AO105" i="41"/>
  <c r="AP124" i="41"/>
  <c r="AR85" i="41"/>
  <c r="AY85" i="41" s="1"/>
  <c r="AP87" i="41"/>
  <c r="AR61" i="41"/>
  <c r="AY59" i="41"/>
  <c r="AS75" i="41"/>
  <c r="AT75" i="41"/>
  <c r="AS110" i="41"/>
  <c r="AT110" i="41"/>
  <c r="AT94" i="41"/>
  <c r="AS94" i="41"/>
  <c r="AT86" i="41"/>
  <c r="AS86" i="41"/>
  <c r="AT119" i="41"/>
  <c r="AS119" i="41"/>
  <c r="AY14" i="41"/>
  <c r="AQ87" i="41"/>
  <c r="AR84" i="41"/>
  <c r="AS32" i="41"/>
  <c r="AT32" i="41"/>
  <c r="AS26" i="41"/>
  <c r="AT26" i="41"/>
  <c r="AS44" i="41"/>
  <c r="AG50" i="41"/>
  <c r="AT44" i="41"/>
  <c r="AT126" i="40"/>
  <c r="AS126" i="40"/>
  <c r="AT146" i="40"/>
  <c r="AS146" i="40"/>
  <c r="AY146" i="40" s="1"/>
  <c r="AG117" i="40"/>
  <c r="AR160" i="40"/>
  <c r="AG131" i="40"/>
  <c r="AE137" i="40"/>
  <c r="AP131" i="40"/>
  <c r="AT65" i="40"/>
  <c r="AS65" i="40"/>
  <c r="AF124" i="40"/>
  <c r="AQ119" i="40"/>
  <c r="AQ124" i="40" s="1"/>
  <c r="AT154" i="40"/>
  <c r="AS154" i="40"/>
  <c r="AQ118" i="40"/>
  <c r="AF51" i="40"/>
  <c r="AQ45" i="40"/>
  <c r="AQ51" i="40" s="1"/>
  <c r="AY71" i="40"/>
  <c r="AT123" i="40"/>
  <c r="AS123" i="40"/>
  <c r="AY123" i="40" s="1"/>
  <c r="AY82" i="40"/>
  <c r="AT58" i="40"/>
  <c r="AS58" i="40"/>
  <c r="AT37" i="40"/>
  <c r="AY37" i="40" s="1"/>
  <c r="AS37" i="40"/>
  <c r="AG44" i="40"/>
  <c r="AT39" i="40"/>
  <c r="AS39" i="40"/>
  <c r="AP25" i="40"/>
  <c r="AF25" i="40"/>
  <c r="AQ24" i="40"/>
  <c r="AQ25" i="40" s="1"/>
  <c r="AP60" i="40"/>
  <c r="AR54" i="40"/>
  <c r="AS35" i="40"/>
  <c r="AT35" i="40"/>
  <c r="AG22" i="40"/>
  <c r="AR15" i="40"/>
  <c r="AQ127" i="40"/>
  <c r="AT73" i="40"/>
  <c r="AS73" i="40"/>
  <c r="AY73" i="40" s="1"/>
  <c r="AP53" i="40"/>
  <c r="AR52" i="40"/>
  <c r="AG98" i="40"/>
  <c r="AT93" i="40"/>
  <c r="AS93" i="40"/>
  <c r="AS56" i="40"/>
  <c r="AY56" i="40" s="1"/>
  <c r="AT56" i="40"/>
  <c r="AT148" i="40"/>
  <c r="AS148" i="40"/>
  <c r="AT121" i="40"/>
  <c r="AS121" i="40"/>
  <c r="AY121" i="40" s="1"/>
  <c r="AT153" i="40"/>
  <c r="AS153" i="40"/>
  <c r="AY153" i="40" s="1"/>
  <c r="AT150" i="40"/>
  <c r="AS150" i="40"/>
  <c r="AQ61" i="40"/>
  <c r="AG61" i="40"/>
  <c r="AF67" i="40"/>
  <c r="AF161" i="40"/>
  <c r="AG118" i="40"/>
  <c r="AS115" i="40"/>
  <c r="AT115" i="40"/>
  <c r="AS94" i="40"/>
  <c r="AY94" i="40" s="1"/>
  <c r="AT94" i="40"/>
  <c r="AT64" i="40"/>
  <c r="AS64" i="40"/>
  <c r="AG112" i="40"/>
  <c r="AE114" i="40"/>
  <c r="AP112" i="40"/>
  <c r="AR112" i="40" s="1"/>
  <c r="AP118" i="40"/>
  <c r="AR115" i="40"/>
  <c r="AS90" i="40"/>
  <c r="AY90" i="40" s="1"/>
  <c r="AT90" i="40"/>
  <c r="AP81" i="40"/>
  <c r="AP44" i="40"/>
  <c r="AR39" i="40"/>
  <c r="AP98" i="40"/>
  <c r="AR93" i="40"/>
  <c r="AT47" i="40"/>
  <c r="AS47" i="40"/>
  <c r="AY47" i="40" s="1"/>
  <c r="AT48" i="40"/>
  <c r="AS48" i="40"/>
  <c r="AP19" i="40"/>
  <c r="AR156" i="40"/>
  <c r="AP161" i="40"/>
  <c r="AG152" i="40"/>
  <c r="AE155" i="40"/>
  <c r="AP152" i="40"/>
  <c r="AY150" i="40"/>
  <c r="AT143" i="40"/>
  <c r="AS143" i="40"/>
  <c r="AG165" i="40"/>
  <c r="AS162" i="40"/>
  <c r="AT162" i="40"/>
  <c r="AT165" i="40" s="1"/>
  <c r="AQ161" i="40"/>
  <c r="AG92" i="40"/>
  <c r="AS89" i="40"/>
  <c r="AT89" i="40"/>
  <c r="AT92" i="40" s="1"/>
  <c r="AR62" i="40"/>
  <c r="AP67" i="40"/>
  <c r="AY104" i="40"/>
  <c r="AY58" i="40"/>
  <c r="AT120" i="40"/>
  <c r="AS120" i="40"/>
  <c r="AY120" i="40" s="1"/>
  <c r="AT72" i="40"/>
  <c r="AS72" i="40"/>
  <c r="AY72" i="40" s="1"/>
  <c r="AS57" i="40"/>
  <c r="AT57" i="40"/>
  <c r="AT52" i="40"/>
  <c r="AT53" i="40" s="1"/>
  <c r="AS52" i="40"/>
  <c r="AS53" i="40" s="1"/>
  <c r="AG53" i="40"/>
  <c r="AY65" i="40"/>
  <c r="AY48" i="40"/>
  <c r="AP38" i="40"/>
  <c r="AR33" i="40"/>
  <c r="AS18" i="40"/>
  <c r="AY18" i="40" s="1"/>
  <c r="AT18" i="40"/>
  <c r="AF127" i="40"/>
  <c r="AQ126" i="40"/>
  <c r="AR126" i="40" s="1"/>
  <c r="AY126" i="40" s="1"/>
  <c r="AY35" i="40"/>
  <c r="AY141" i="40"/>
  <c r="AS149" i="40"/>
  <c r="AY149" i="40" s="1"/>
  <c r="AT149" i="40"/>
  <c r="AR117" i="40"/>
  <c r="AY143" i="40"/>
  <c r="AS76" i="40"/>
  <c r="AT76" i="40"/>
  <c r="AR109" i="40"/>
  <c r="AP110" i="40"/>
  <c r="AT129" i="40"/>
  <c r="AS129" i="40"/>
  <c r="AY148" i="40"/>
  <c r="AT164" i="40"/>
  <c r="AS164" i="40"/>
  <c r="AT106" i="40"/>
  <c r="AS106" i="40"/>
  <c r="AY106" i="40" s="1"/>
  <c r="AS104" i="40"/>
  <c r="AT104" i="40"/>
  <c r="AP92" i="40"/>
  <c r="AP74" i="40"/>
  <c r="AY57" i="40"/>
  <c r="AS43" i="40"/>
  <c r="AT43" i="40"/>
  <c r="AG130" i="40"/>
  <c r="AS128" i="40"/>
  <c r="AS130" i="40" s="1"/>
  <c r="AT128" i="40"/>
  <c r="AT130" i="40" s="1"/>
  <c r="AT85" i="40"/>
  <c r="AS85" i="40"/>
  <c r="AY85" i="40" s="1"/>
  <c r="AT86" i="40"/>
  <c r="AS86" i="40"/>
  <c r="AY86" i="40" s="1"/>
  <c r="AF23" i="40"/>
  <c r="AT14" i="40"/>
  <c r="AS14" i="40"/>
  <c r="AY14" i="40" s="1"/>
  <c r="AT156" i="40"/>
  <c r="AS156" i="40"/>
  <c r="AS62" i="40"/>
  <c r="AT62" i="40"/>
  <c r="AS28" i="40"/>
  <c r="AT28" i="40"/>
  <c r="AT31" i="40"/>
  <c r="AS31" i="40"/>
  <c r="AY31" i="40" s="1"/>
  <c r="AT141" i="40"/>
  <c r="AS141" i="40"/>
  <c r="AT134" i="40"/>
  <c r="AS134" i="40"/>
  <c r="AG138" i="40"/>
  <c r="AE144" i="40"/>
  <c r="AP138" i="40"/>
  <c r="AT139" i="40"/>
  <c r="AS139" i="40"/>
  <c r="AY139" i="40" s="1"/>
  <c r="AT125" i="40"/>
  <c r="AT127" i="40" s="1"/>
  <c r="AS125" i="40"/>
  <c r="AS127" i="40" s="1"/>
  <c r="AG127" i="40"/>
  <c r="AQ75" i="40"/>
  <c r="AQ81" i="40" s="1"/>
  <c r="AF81" i="40"/>
  <c r="AG75" i="40"/>
  <c r="AP165" i="40"/>
  <c r="AR162" i="40"/>
  <c r="AY129" i="40"/>
  <c r="AY142" i="40"/>
  <c r="AT163" i="40"/>
  <c r="AS163" i="40"/>
  <c r="AE124" i="40"/>
  <c r="AG119" i="40"/>
  <c r="AP119" i="40"/>
  <c r="AT133" i="40"/>
  <c r="AS133" i="40"/>
  <c r="AY133" i="40" s="1"/>
  <c r="AP108" i="40"/>
  <c r="AQ88" i="40"/>
  <c r="AR92" i="40"/>
  <c r="AY89" i="40"/>
  <c r="AY64" i="40"/>
  <c r="AY95" i="40"/>
  <c r="AT49" i="40"/>
  <c r="AS49" i="40"/>
  <c r="AY43" i="40"/>
  <c r="AS34" i="40"/>
  <c r="AY34" i="40" s="1"/>
  <c r="AT34" i="40"/>
  <c r="AY79" i="40"/>
  <c r="AO32" i="40"/>
  <c r="AS27" i="40"/>
  <c r="AY27" i="40" s="1"/>
  <c r="AT27" i="40"/>
  <c r="AT32" i="40" s="1"/>
  <c r="AT55" i="40"/>
  <c r="AS55" i="40"/>
  <c r="AT12" i="40"/>
  <c r="AS12" i="40"/>
  <c r="AG15" i="40"/>
  <c r="AQ23" i="40"/>
  <c r="AE23" i="40"/>
  <c r="AG20" i="40"/>
  <c r="AP20" i="40"/>
  <c r="AT136" i="40"/>
  <c r="AY136" i="40" s="1"/>
  <c r="AS136" i="40"/>
  <c r="AP114" i="40"/>
  <c r="AR111" i="40"/>
  <c r="AY164" i="40"/>
  <c r="AS69" i="40"/>
  <c r="AT69" i="40"/>
  <c r="AY69" i="40" s="1"/>
  <c r="AY163" i="40"/>
  <c r="AP102" i="40"/>
  <c r="AR99" i="40"/>
  <c r="AT59" i="40"/>
  <c r="AS59" i="40"/>
  <c r="AY59" i="40" s="1"/>
  <c r="AR125" i="40"/>
  <c r="AR108" i="40"/>
  <c r="AY103" i="40"/>
  <c r="AS83" i="40"/>
  <c r="AT83" i="40"/>
  <c r="AT66" i="40"/>
  <c r="AS66" i="40"/>
  <c r="AY66" i="40" s="1"/>
  <c r="AY49" i="40"/>
  <c r="AG145" i="40"/>
  <c r="AE151" i="40"/>
  <c r="AP145" i="40"/>
  <c r="AR26" i="40"/>
  <c r="AP32" i="40"/>
  <c r="AG38" i="40"/>
  <c r="AS33" i="40"/>
  <c r="AT33" i="40"/>
  <c r="AR128" i="40"/>
  <c r="AP130" i="40"/>
  <c r="AT79" i="40"/>
  <c r="AS79" i="40"/>
  <c r="AT40" i="40"/>
  <c r="AS40" i="40"/>
  <c r="AS17" i="40"/>
  <c r="AY17" i="40" s="1"/>
  <c r="AT17" i="40"/>
  <c r="AY55" i="40"/>
  <c r="AT21" i="40"/>
  <c r="AS21" i="40"/>
  <c r="AY21" i="40" s="1"/>
  <c r="AG160" i="40"/>
  <c r="AG161" i="40" s="1"/>
  <c r="AE51" i="40"/>
  <c r="AG45" i="40"/>
  <c r="AP45" i="40"/>
  <c r="AF144" i="40"/>
  <c r="AQ138" i="40"/>
  <c r="AQ144" i="40" s="1"/>
  <c r="AT105" i="40"/>
  <c r="AS105" i="40"/>
  <c r="AS108" i="40" s="1"/>
  <c r="AY134" i="40"/>
  <c r="AT132" i="40"/>
  <c r="AY132" i="40" s="1"/>
  <c r="AS132" i="40"/>
  <c r="AT111" i="40"/>
  <c r="AS111" i="40"/>
  <c r="AG114" i="40"/>
  <c r="AQ68" i="40"/>
  <c r="AQ74" i="40" s="1"/>
  <c r="AF74" i="40"/>
  <c r="AG68" i="40"/>
  <c r="AT147" i="40"/>
  <c r="AY147" i="40" s="1"/>
  <c r="AS147" i="40"/>
  <c r="AT88" i="40"/>
  <c r="AG108" i="40"/>
  <c r="AT87" i="40"/>
  <c r="AS87" i="40"/>
  <c r="AY87" i="40" s="1"/>
  <c r="AY154" i="40"/>
  <c r="AF118" i="40"/>
  <c r="AP127" i="40"/>
  <c r="AT80" i="40"/>
  <c r="AS80" i="40"/>
  <c r="AY80" i="40" s="1"/>
  <c r="AR83" i="40"/>
  <c r="AY83" i="40" s="1"/>
  <c r="AT41" i="40"/>
  <c r="AS41" i="40"/>
  <c r="AY41" i="40" s="1"/>
  <c r="AT84" i="40"/>
  <c r="AS84" i="40"/>
  <c r="AY84" i="40" s="1"/>
  <c r="AS24" i="40"/>
  <c r="AS25" i="40" s="1"/>
  <c r="AG25" i="40"/>
  <c r="AT24" i="40"/>
  <c r="AT25" i="40" s="1"/>
  <c r="AY30" i="40"/>
  <c r="AG60" i="40"/>
  <c r="AT54" i="40"/>
  <c r="AS54" i="40"/>
  <c r="AS60" i="40" s="1"/>
  <c r="AG19" i="40"/>
  <c r="AT16" i="40"/>
  <c r="AT19" i="40" s="1"/>
  <c r="AS16" i="40"/>
  <c r="AY40" i="40"/>
  <c r="AQ16" i="40"/>
  <c r="AF19" i="40"/>
  <c r="AT13" i="40"/>
  <c r="AS13" i="40"/>
  <c r="AY13" i="40" s="1"/>
  <c r="BK18" i="39"/>
  <c r="BI18" i="39"/>
  <c r="AT59" i="39"/>
  <c r="AS59" i="39"/>
  <c r="AG65" i="39"/>
  <c r="AG114" i="39"/>
  <c r="AQ14" i="39"/>
  <c r="AQ18" i="39" s="1"/>
  <c r="AF18" i="39"/>
  <c r="AG82" i="39"/>
  <c r="AP82" i="39"/>
  <c r="AR82" i="39" s="1"/>
  <c r="AT38" i="39"/>
  <c r="AS38" i="39"/>
  <c r="AY38" i="39" s="1"/>
  <c r="AT88" i="39"/>
  <c r="AS88" i="39"/>
  <c r="AT105" i="39"/>
  <c r="AY105" i="39" s="1"/>
  <c r="AS105" i="39"/>
  <c r="AT31" i="39"/>
  <c r="AG36" i="39"/>
  <c r="AS31" i="39"/>
  <c r="AT43" i="39"/>
  <c r="AT44" i="39" s="1"/>
  <c r="AS43" i="39"/>
  <c r="AS44" i="39" s="1"/>
  <c r="AG44" i="39"/>
  <c r="AT41" i="39"/>
  <c r="AS41" i="39"/>
  <c r="AF79" i="39"/>
  <c r="AQ73" i="39"/>
  <c r="AQ79" i="39" s="1"/>
  <c r="AY112" i="39"/>
  <c r="AT97" i="39"/>
  <c r="AS97" i="39"/>
  <c r="AT63" i="39"/>
  <c r="AS63" i="39"/>
  <c r="AT85" i="39"/>
  <c r="AS85" i="39"/>
  <c r="AY85" i="39" s="1"/>
  <c r="AT103" i="39"/>
  <c r="AY103" i="39" s="1"/>
  <c r="AS103" i="39"/>
  <c r="AG75" i="39"/>
  <c r="AP75" i="39"/>
  <c r="AR75" i="39" s="1"/>
  <c r="AT91" i="39"/>
  <c r="AS91" i="39"/>
  <c r="AT84" i="39"/>
  <c r="AS84" i="39"/>
  <c r="AY51" i="39"/>
  <c r="AT34" i="39"/>
  <c r="AS34" i="39"/>
  <c r="AT35" i="39"/>
  <c r="AS35" i="39"/>
  <c r="AY35" i="39" s="1"/>
  <c r="AT20" i="39"/>
  <c r="AS20" i="39"/>
  <c r="AF44" i="39"/>
  <c r="AQ43" i="39"/>
  <c r="AQ44" i="39" s="1"/>
  <c r="AT78" i="39"/>
  <c r="AS78" i="39"/>
  <c r="AY78" i="39" s="1"/>
  <c r="AY48" i="39"/>
  <c r="AT17" i="39"/>
  <c r="AY17" i="39" s="1"/>
  <c r="AS17" i="39"/>
  <c r="AR115" i="39"/>
  <c r="AP118" i="39"/>
  <c r="AP13" i="39"/>
  <c r="AR12" i="39"/>
  <c r="AT55" i="39"/>
  <c r="AS55" i="39"/>
  <c r="AT95" i="39"/>
  <c r="AS95" i="39"/>
  <c r="AY95" i="39" s="1"/>
  <c r="AQ107" i="39"/>
  <c r="AR108" i="39"/>
  <c r="AT62" i="39"/>
  <c r="AS62" i="39"/>
  <c r="AT113" i="39"/>
  <c r="AS113" i="39"/>
  <c r="AY74" i="39"/>
  <c r="AR104" i="39"/>
  <c r="AT99" i="39"/>
  <c r="AS99" i="39"/>
  <c r="AT90" i="39"/>
  <c r="AS90" i="39"/>
  <c r="AT92" i="39"/>
  <c r="AS92" i="39"/>
  <c r="AY53" i="39"/>
  <c r="AY63" i="39"/>
  <c r="AG96" i="39"/>
  <c r="AP96" i="39"/>
  <c r="AR96" i="39" s="1"/>
  <c r="AY41" i="39"/>
  <c r="AT73" i="39"/>
  <c r="AS73" i="39"/>
  <c r="AG79" i="39"/>
  <c r="AE100" i="39"/>
  <c r="AR101" i="39"/>
  <c r="AP107" i="39"/>
  <c r="AS120" i="39"/>
  <c r="AT120" i="39"/>
  <c r="AY121" i="39"/>
  <c r="AF65" i="39"/>
  <c r="AQ59" i="39"/>
  <c r="AQ65" i="39" s="1"/>
  <c r="AY113" i="39"/>
  <c r="AT74" i="39"/>
  <c r="AS74" i="39"/>
  <c r="AG104" i="39"/>
  <c r="AY99" i="39"/>
  <c r="AT77" i="39"/>
  <c r="AS77" i="39"/>
  <c r="AR57" i="39"/>
  <c r="AP58" i="39"/>
  <c r="AG110" i="39"/>
  <c r="AP110" i="39"/>
  <c r="AR110" i="39" s="1"/>
  <c r="AY92" i="39"/>
  <c r="AR43" i="39"/>
  <c r="AP44" i="39"/>
  <c r="AG42" i="39"/>
  <c r="AT37" i="39"/>
  <c r="AS37" i="39"/>
  <c r="AR54" i="39"/>
  <c r="AT53" i="39"/>
  <c r="AS53" i="39"/>
  <c r="AT28" i="39"/>
  <c r="AY28" i="39" s="1"/>
  <c r="AS28" i="39"/>
  <c r="AT67" i="39"/>
  <c r="AS67" i="39"/>
  <c r="AY67" i="39" s="1"/>
  <c r="AR59" i="39"/>
  <c r="AP65" i="39"/>
  <c r="AS33" i="39"/>
  <c r="AT33" i="39"/>
  <c r="AR94" i="39"/>
  <c r="AP100" i="39"/>
  <c r="AS121" i="39"/>
  <c r="AT121" i="39"/>
  <c r="AT70" i="39"/>
  <c r="AS70" i="39"/>
  <c r="AY70" i="39" s="1"/>
  <c r="AT98" i="39"/>
  <c r="AS98" i="39"/>
  <c r="AT71" i="39"/>
  <c r="AS71" i="39"/>
  <c r="AT122" i="39"/>
  <c r="AS122" i="39"/>
  <c r="AY122" i="39" s="1"/>
  <c r="AG47" i="39"/>
  <c r="AP47" i="39"/>
  <c r="AE50" i="39"/>
  <c r="AG100" i="39"/>
  <c r="AY77" i="39"/>
  <c r="AG68" i="39"/>
  <c r="AP68" i="39"/>
  <c r="AR68" i="39" s="1"/>
  <c r="AQ42" i="39"/>
  <c r="AT54" i="39"/>
  <c r="AT56" i="39" s="1"/>
  <c r="AS54" i="39"/>
  <c r="AG16" i="39"/>
  <c r="AP16" i="39"/>
  <c r="AR16" i="39" s="1"/>
  <c r="AY29" i="39"/>
  <c r="AT27" i="39"/>
  <c r="AS27" i="39"/>
  <c r="AY27" i="39" s="1"/>
  <c r="AP30" i="39"/>
  <c r="AR55" i="39"/>
  <c r="AY55" i="39" s="1"/>
  <c r="AS26" i="39"/>
  <c r="AT26" i="39"/>
  <c r="AT30" i="39" s="1"/>
  <c r="AT81" i="39"/>
  <c r="AS81" i="39"/>
  <c r="AP19" i="39"/>
  <c r="AE24" i="39"/>
  <c r="AG19" i="39"/>
  <c r="AY91" i="39"/>
  <c r="AS40" i="39"/>
  <c r="AY40" i="39" s="1"/>
  <c r="AT40" i="39"/>
  <c r="AY49" i="39"/>
  <c r="AE86" i="39"/>
  <c r="AR87" i="39"/>
  <c r="AP119" i="39"/>
  <c r="AE123" i="39"/>
  <c r="AG119" i="39"/>
  <c r="AT116" i="39"/>
  <c r="AT118" i="39" s="1"/>
  <c r="AS116" i="39"/>
  <c r="AS118" i="39" s="1"/>
  <c r="AY98" i="39"/>
  <c r="AT64" i="39"/>
  <c r="AS64" i="39"/>
  <c r="AG89" i="39"/>
  <c r="AG93" i="39" s="1"/>
  <c r="AP89" i="39"/>
  <c r="AR89" i="39" s="1"/>
  <c r="AY71" i="39"/>
  <c r="AT106" i="39"/>
  <c r="AS106" i="39"/>
  <c r="AP42" i="39"/>
  <c r="AR37" i="39"/>
  <c r="AS15" i="39"/>
  <c r="AT15" i="39"/>
  <c r="AY15" i="39" s="1"/>
  <c r="AT49" i="39"/>
  <c r="AS49" i="39"/>
  <c r="AR31" i="39"/>
  <c r="AR25" i="39"/>
  <c r="AY26" i="39"/>
  <c r="AR66" i="39"/>
  <c r="AY84" i="39"/>
  <c r="AS12" i="39"/>
  <c r="AS13" i="39" s="1"/>
  <c r="AG13" i="39"/>
  <c r="AT12" i="39"/>
  <c r="AT13" i="39" s="1"/>
  <c r="AY62" i="39"/>
  <c r="AY90" i="39"/>
  <c r="AY33" i="39"/>
  <c r="AR80" i="39"/>
  <c r="AP86" i="39"/>
  <c r="AY111" i="39"/>
  <c r="AT112" i="39"/>
  <c r="AS112" i="39"/>
  <c r="AY97" i="39"/>
  <c r="AY64" i="39"/>
  <c r="AT52" i="39"/>
  <c r="AS52" i="39"/>
  <c r="AY52" i="39" s="1"/>
  <c r="AT109" i="39"/>
  <c r="AS109" i="39"/>
  <c r="AY109" i="39" s="1"/>
  <c r="AT76" i="39"/>
  <c r="AS76" i="39"/>
  <c r="AY76" i="39" s="1"/>
  <c r="AG118" i="39"/>
  <c r="AY106" i="39"/>
  <c r="AY61" i="39"/>
  <c r="AY34" i="39"/>
  <c r="AE18" i="39"/>
  <c r="AG14" i="39"/>
  <c r="AP14" i="39"/>
  <c r="AR45" i="39"/>
  <c r="AP46" i="39"/>
  <c r="AY20" i="39"/>
  <c r="AP36" i="39"/>
  <c r="AT21" i="39"/>
  <c r="AS21" i="39"/>
  <c r="AY21" i="39" s="1"/>
  <c r="AG30" i="39"/>
  <c r="AS69" i="42" l="1"/>
  <c r="AY76" i="40"/>
  <c r="AS38" i="40"/>
  <c r="AY110" i="42"/>
  <c r="AT117" i="42"/>
  <c r="AG122" i="42"/>
  <c r="AS117" i="42"/>
  <c r="AG158" i="42"/>
  <c r="AS156" i="42"/>
  <c r="AS158" i="42" s="1"/>
  <c r="AT156" i="42"/>
  <c r="AT158" i="42" s="1"/>
  <c r="AS127" i="42"/>
  <c r="AS132" i="42" s="1"/>
  <c r="AG132" i="42"/>
  <c r="AT127" i="42"/>
  <c r="AT132" i="42" s="1"/>
  <c r="AR46" i="42"/>
  <c r="AY45" i="42"/>
  <c r="AY46" i="42" s="1"/>
  <c r="AY79" i="42"/>
  <c r="AR85" i="42"/>
  <c r="AS164" i="42"/>
  <c r="AS166" i="42"/>
  <c r="AT166" i="42"/>
  <c r="AT165" i="42"/>
  <c r="AT168" i="42" s="1"/>
  <c r="AS165" i="42"/>
  <c r="AG168" i="42"/>
  <c r="AS85" i="42"/>
  <c r="AR38" i="42"/>
  <c r="AP40" i="42"/>
  <c r="AQ168" i="42"/>
  <c r="AR166" i="42"/>
  <c r="AR141" i="42"/>
  <c r="AP147" i="42"/>
  <c r="AP37" i="42"/>
  <c r="AR34" i="42"/>
  <c r="AT116" i="42"/>
  <c r="AP140" i="42"/>
  <c r="AR137" i="42"/>
  <c r="AG40" i="42"/>
  <c r="AT38" i="42"/>
  <c r="AT40" i="42" s="1"/>
  <c r="AS38" i="42"/>
  <c r="AS40" i="42" s="1"/>
  <c r="AS21" i="42"/>
  <c r="AY170" i="42"/>
  <c r="AT64" i="42"/>
  <c r="AT86" i="42"/>
  <c r="AT89" i="42" s="1"/>
  <c r="AS86" i="42"/>
  <c r="AS89" i="42" s="1"/>
  <c r="AG89" i="42"/>
  <c r="AG147" i="42"/>
  <c r="AT141" i="42"/>
  <c r="AT147" i="42" s="1"/>
  <c r="AS141" i="42"/>
  <c r="AS147" i="42" s="1"/>
  <c r="AY142" i="42"/>
  <c r="AR90" i="42"/>
  <c r="AP95" i="42"/>
  <c r="AR127" i="42"/>
  <c r="AP132" i="42"/>
  <c r="AR116" i="42"/>
  <c r="AY113" i="42"/>
  <c r="AY116" i="42" s="1"/>
  <c r="AT34" i="42"/>
  <c r="AT37" i="42" s="1"/>
  <c r="AS34" i="42"/>
  <c r="AS37" i="42" s="1"/>
  <c r="AG37" i="42"/>
  <c r="AT126" i="42"/>
  <c r="AP136" i="42"/>
  <c r="AR133" i="42"/>
  <c r="AR194" i="42"/>
  <c r="AP200" i="42"/>
  <c r="AS181" i="42"/>
  <c r="AT85" i="42"/>
  <c r="AP105" i="42"/>
  <c r="AR100" i="42"/>
  <c r="AT90" i="42"/>
  <c r="AT95" i="42" s="1"/>
  <c r="AG95" i="42"/>
  <c r="AS90" i="42"/>
  <c r="AS95" i="42" s="1"/>
  <c r="AP25" i="42"/>
  <c r="AR22" i="42"/>
  <c r="AT21" i="42"/>
  <c r="AG112" i="42"/>
  <c r="AT106" i="42"/>
  <c r="AT112" i="42" s="1"/>
  <c r="AS106" i="42"/>
  <c r="AS112" i="42" s="1"/>
  <c r="AT100" i="42"/>
  <c r="AT105" i="42" s="1"/>
  <c r="AS100" i="42"/>
  <c r="AS105" i="42" s="1"/>
  <c r="AG105" i="42"/>
  <c r="AQ89" i="42"/>
  <c r="AR86" i="42"/>
  <c r="AG187" i="42"/>
  <c r="AS182" i="42"/>
  <c r="AS187" i="42" s="1"/>
  <c r="AT182" i="42"/>
  <c r="AT187" i="42" s="1"/>
  <c r="AR47" i="42"/>
  <c r="AS52" i="42"/>
  <c r="AT30" i="42"/>
  <c r="AT33" i="42" s="1"/>
  <c r="AG33" i="42"/>
  <c r="AS30" i="42"/>
  <c r="AS33" i="42" s="1"/>
  <c r="AR117" i="42"/>
  <c r="AP122" i="42"/>
  <c r="AS155" i="42"/>
  <c r="AR64" i="42"/>
  <c r="AY59" i="42"/>
  <c r="AY64" i="42" s="1"/>
  <c r="AG193" i="42"/>
  <c r="AS188" i="42"/>
  <c r="AS193" i="42" s="1"/>
  <c r="AT188" i="42"/>
  <c r="AT193" i="42" s="1"/>
  <c r="AT137" i="42"/>
  <c r="AT140" i="42" s="1"/>
  <c r="AS137" i="42"/>
  <c r="AS140" i="42" s="1"/>
  <c r="AG140" i="42"/>
  <c r="AT22" i="42"/>
  <c r="AT25" i="42" s="1"/>
  <c r="AS22" i="42"/>
  <c r="AS25" i="42" s="1"/>
  <c r="AG25" i="42"/>
  <c r="AY169" i="42"/>
  <c r="AY174" i="42" s="1"/>
  <c r="AR174" i="42"/>
  <c r="AG58" i="42"/>
  <c r="AT53" i="42"/>
  <c r="AT58" i="42" s="1"/>
  <c r="AS53" i="42"/>
  <c r="AS58" i="42" s="1"/>
  <c r="AR182" i="42"/>
  <c r="AP187" i="42"/>
  <c r="AR77" i="42"/>
  <c r="AP78" i="42"/>
  <c r="AY153" i="42"/>
  <c r="AY157" i="42"/>
  <c r="AT133" i="42"/>
  <c r="AT136" i="42" s="1"/>
  <c r="AS133" i="42"/>
  <c r="AS136" i="42" s="1"/>
  <c r="AG136" i="42"/>
  <c r="AT52" i="42"/>
  <c r="AG150" i="42"/>
  <c r="AS148" i="42"/>
  <c r="AS150" i="42" s="1"/>
  <c r="AT148" i="42"/>
  <c r="AT150" i="42" s="1"/>
  <c r="AS76" i="42"/>
  <c r="AY148" i="42"/>
  <c r="AY150" i="42" s="1"/>
  <c r="AR150" i="42"/>
  <c r="AS126" i="42"/>
  <c r="AS194" i="42"/>
  <c r="AS200" i="42" s="1"/>
  <c r="AG200" i="42"/>
  <c r="AT194" i="42"/>
  <c r="AT200" i="42" s="1"/>
  <c r="AS44" i="42"/>
  <c r="AY70" i="42"/>
  <c r="AY76" i="42" s="1"/>
  <c r="AY82" i="42"/>
  <c r="AR53" i="42"/>
  <c r="AP58" i="42"/>
  <c r="AR156" i="42"/>
  <c r="AT181" i="42"/>
  <c r="AP99" i="42"/>
  <c r="AR96" i="42"/>
  <c r="AR21" i="42"/>
  <c r="AY12" i="42"/>
  <c r="AY21" i="42" s="1"/>
  <c r="AS174" i="42"/>
  <c r="AY123" i="42"/>
  <c r="AY126" i="42" s="1"/>
  <c r="AR126" i="42"/>
  <c r="AP33" i="42"/>
  <c r="AR30" i="42"/>
  <c r="AR112" i="42"/>
  <c r="AP168" i="42"/>
  <c r="AR165" i="42"/>
  <c r="AY65" i="42"/>
  <c r="AY69" i="42" s="1"/>
  <c r="AR69" i="42"/>
  <c r="AY188" i="42"/>
  <c r="AY193" i="42" s="1"/>
  <c r="AR193" i="42"/>
  <c r="AT96" i="42"/>
  <c r="AT99" i="42" s="1"/>
  <c r="AS96" i="42"/>
  <c r="AS99" i="42" s="1"/>
  <c r="AG99" i="42"/>
  <c r="AR181" i="42"/>
  <c r="AY175" i="42"/>
  <c r="AY181" i="42" s="1"/>
  <c r="AP29" i="42"/>
  <c r="AR26" i="42"/>
  <c r="AG78" i="42"/>
  <c r="AT77" i="42"/>
  <c r="AT78" i="42" s="1"/>
  <c r="AS77" i="42"/>
  <c r="AS78" i="42" s="1"/>
  <c r="AR164" i="42"/>
  <c r="AY159" i="42"/>
  <c r="AY164" i="42" s="1"/>
  <c r="AT174" i="42"/>
  <c r="AT164" i="42"/>
  <c r="AT119" i="42"/>
  <c r="AS119" i="42"/>
  <c r="AY119" i="42" s="1"/>
  <c r="AT26" i="42"/>
  <c r="AT29" i="42" s="1"/>
  <c r="AS26" i="42"/>
  <c r="AS29" i="42" s="1"/>
  <c r="AG29" i="42"/>
  <c r="AS116" i="42"/>
  <c r="AY41" i="42"/>
  <c r="AY44" i="42" s="1"/>
  <c r="AR44" i="42"/>
  <c r="AR155" i="42"/>
  <c r="AY151" i="42"/>
  <c r="AY155" i="42" s="1"/>
  <c r="AY128" i="41"/>
  <c r="AY20" i="41"/>
  <c r="AY132" i="41"/>
  <c r="AY111" i="41"/>
  <c r="AY78" i="41"/>
  <c r="AY41" i="41"/>
  <c r="AY127" i="41"/>
  <c r="AY19" i="41"/>
  <c r="AY135" i="41"/>
  <c r="AY63" i="41"/>
  <c r="AY22" i="41"/>
  <c r="AY91" i="41"/>
  <c r="AY24" i="41"/>
  <c r="AY119" i="41"/>
  <c r="AY18" i="41"/>
  <c r="AY116" i="41"/>
  <c r="AY35" i="41"/>
  <c r="AT43" i="41"/>
  <c r="AY31" i="41"/>
  <c r="AY92" i="41"/>
  <c r="AY108" i="41"/>
  <c r="AY134" i="41"/>
  <c r="AR107" i="41"/>
  <c r="AY102" i="41"/>
  <c r="AG29" i="41"/>
  <c r="AT28" i="41"/>
  <c r="AT29" i="41" s="1"/>
  <c r="AS28" i="41"/>
  <c r="AS29" i="41" s="1"/>
  <c r="AY54" i="41"/>
  <c r="AY89" i="41"/>
  <c r="AY69" i="41"/>
  <c r="AY114" i="41"/>
  <c r="AY76" i="41"/>
  <c r="AY23" i="41"/>
  <c r="AY110" i="41"/>
  <c r="AY53" i="41"/>
  <c r="AY129" i="41"/>
  <c r="AY118" i="41"/>
  <c r="AY133" i="41"/>
  <c r="AT50" i="41"/>
  <c r="AT87" i="41"/>
  <c r="AY126" i="41"/>
  <c r="AS105" i="41"/>
  <c r="AT21" i="41"/>
  <c r="AY67" i="41"/>
  <c r="AY71" i="41"/>
  <c r="AY86" i="41"/>
  <c r="AY136" i="41"/>
  <c r="AY34" i="41"/>
  <c r="AY122" i="41"/>
  <c r="AY46" i="41"/>
  <c r="AY74" i="41"/>
  <c r="AS43" i="41"/>
  <c r="AR97" i="41"/>
  <c r="AY94" i="41"/>
  <c r="AY32" i="41"/>
  <c r="AY75" i="41"/>
  <c r="AR16" i="41"/>
  <c r="AY12" i="41"/>
  <c r="AY16" i="41" s="1"/>
  <c r="AS80" i="41"/>
  <c r="AG83" i="41"/>
  <c r="AT80" i="41"/>
  <c r="AY40" i="41"/>
  <c r="AR87" i="41"/>
  <c r="AY84" i="41"/>
  <c r="AY87" i="41" s="1"/>
  <c r="AR51" i="41"/>
  <c r="AP58" i="41"/>
  <c r="AY104" i="41"/>
  <c r="AR43" i="41"/>
  <c r="AY37" i="41"/>
  <c r="AT81" i="41"/>
  <c r="AS81" i="41"/>
  <c r="AY81" i="41" s="1"/>
  <c r="AS36" i="41"/>
  <c r="AY68" i="41"/>
  <c r="AY17" i="41"/>
  <c r="AR21" i="41"/>
  <c r="AR29" i="41"/>
  <c r="AS21" i="41"/>
  <c r="AS107" i="41"/>
  <c r="AT107" i="41"/>
  <c r="AS87" i="41"/>
  <c r="AG58" i="41"/>
  <c r="AT51" i="41"/>
  <c r="AT58" i="41" s="1"/>
  <c r="AS51" i="41"/>
  <c r="AS58" i="41" s="1"/>
  <c r="AT36" i="41"/>
  <c r="AG72" i="41"/>
  <c r="AT66" i="41"/>
  <c r="AT72" i="41" s="1"/>
  <c r="AS66" i="41"/>
  <c r="AS72" i="41" s="1"/>
  <c r="AT65" i="41"/>
  <c r="AY98" i="41"/>
  <c r="AR105" i="41"/>
  <c r="AS121" i="41"/>
  <c r="AS124" i="41" s="1"/>
  <c r="AG124" i="41"/>
  <c r="AT121" i="41"/>
  <c r="AT124" i="41" s="1"/>
  <c r="AP137" i="41"/>
  <c r="AR131" i="41"/>
  <c r="AT105" i="41"/>
  <c r="AS93" i="41"/>
  <c r="AY60" i="41"/>
  <c r="AY61" i="41" s="1"/>
  <c r="AP83" i="41"/>
  <c r="AT130" i="41"/>
  <c r="AR50" i="41"/>
  <c r="AY44" i="41"/>
  <c r="AP72" i="41"/>
  <c r="AR66" i="41"/>
  <c r="AT95" i="41"/>
  <c r="AT97" i="41" s="1"/>
  <c r="AS95" i="41"/>
  <c r="AS97" i="41" s="1"/>
  <c r="AY88" i="41"/>
  <c r="AR93" i="41"/>
  <c r="AY99" i="41"/>
  <c r="AY62" i="41"/>
  <c r="AY65" i="41" s="1"/>
  <c r="AR65" i="41"/>
  <c r="AY25" i="41"/>
  <c r="AR106" i="41"/>
  <c r="AP112" i="41"/>
  <c r="AG120" i="41"/>
  <c r="AT113" i="41"/>
  <c r="AT120" i="41" s="1"/>
  <c r="AS113" i="41"/>
  <c r="AS120" i="41" s="1"/>
  <c r="AS27" i="41"/>
  <c r="AR80" i="41"/>
  <c r="AT73" i="41"/>
  <c r="AT79" i="41" s="1"/>
  <c r="AS73" i="41"/>
  <c r="AS79" i="41" s="1"/>
  <c r="AG79" i="41"/>
  <c r="AS50" i="41"/>
  <c r="AR125" i="41"/>
  <c r="AS130" i="41"/>
  <c r="AY26" i="41"/>
  <c r="AR121" i="41"/>
  <c r="AR36" i="41"/>
  <c r="AY30" i="41"/>
  <c r="AP79" i="41"/>
  <c r="AR73" i="41"/>
  <c r="AG137" i="41"/>
  <c r="AT131" i="41"/>
  <c r="AT137" i="41" s="1"/>
  <c r="AS131" i="41"/>
  <c r="AS137" i="41" s="1"/>
  <c r="AG112" i="41"/>
  <c r="AT106" i="41"/>
  <c r="AT112" i="41" s="1"/>
  <c r="AS106" i="41"/>
  <c r="AR113" i="41"/>
  <c r="AP120" i="41"/>
  <c r="AT93" i="41"/>
  <c r="AT27" i="41"/>
  <c r="AY109" i="40"/>
  <c r="AY110" i="40" s="1"/>
  <c r="AR110" i="40"/>
  <c r="AT152" i="40"/>
  <c r="AT155" i="40" s="1"/>
  <c r="AS152" i="40"/>
  <c r="AS155" i="40" s="1"/>
  <c r="AG155" i="40"/>
  <c r="AT60" i="40"/>
  <c r="AS68" i="40"/>
  <c r="AS74" i="40" s="1"/>
  <c r="AT68" i="40"/>
  <c r="AT74" i="40" s="1"/>
  <c r="AG74" i="40"/>
  <c r="AY105" i="40"/>
  <c r="AS15" i="40"/>
  <c r="AY92" i="40"/>
  <c r="AG124" i="40"/>
  <c r="AT119" i="40"/>
  <c r="AT124" i="40" s="1"/>
  <c r="AS119" i="40"/>
  <c r="AS124" i="40" s="1"/>
  <c r="AS75" i="40"/>
  <c r="AS81" i="40" s="1"/>
  <c r="AT75" i="40"/>
  <c r="AT81" i="40" s="1"/>
  <c r="AG81" i="40"/>
  <c r="AR138" i="40"/>
  <c r="AP144" i="40"/>
  <c r="AS165" i="40"/>
  <c r="AR75" i="40"/>
  <c r="AT112" i="40"/>
  <c r="AY112" i="40" s="1"/>
  <c r="AS112" i="40"/>
  <c r="AS98" i="40"/>
  <c r="AY12" i="40"/>
  <c r="AY15" i="40" s="1"/>
  <c r="AS117" i="40"/>
  <c r="AT117" i="40"/>
  <c r="AT160" i="40"/>
  <c r="AT161" i="40" s="1"/>
  <c r="AS160" i="40"/>
  <c r="AS161" i="40" s="1"/>
  <c r="AR20" i="40"/>
  <c r="AP23" i="40"/>
  <c r="AT15" i="40"/>
  <c r="AR98" i="40"/>
  <c r="AY93" i="40"/>
  <c r="AY98" i="40" s="1"/>
  <c r="AT98" i="40"/>
  <c r="AR24" i="40"/>
  <c r="AQ19" i="40"/>
  <c r="AR16" i="40"/>
  <c r="AR32" i="40"/>
  <c r="AY26" i="40"/>
  <c r="AY99" i="40"/>
  <c r="AY102" i="40" s="1"/>
  <c r="AR102" i="40"/>
  <c r="AT20" i="40"/>
  <c r="AS20" i="40"/>
  <c r="AS23" i="40" s="1"/>
  <c r="AG23" i="40"/>
  <c r="AG144" i="40"/>
  <c r="AT138" i="40"/>
  <c r="AT144" i="40" s="1"/>
  <c r="AS138" i="40"/>
  <c r="AS144" i="40" s="1"/>
  <c r="AY28" i="40"/>
  <c r="AR68" i="40"/>
  <c r="AY62" i="40"/>
  <c r="AR161" i="40"/>
  <c r="AY156" i="40"/>
  <c r="AS61" i="40"/>
  <c r="AS67" i="40" s="1"/>
  <c r="AT61" i="40"/>
  <c r="AT67" i="40" s="1"/>
  <c r="AG67" i="40"/>
  <c r="AT22" i="40"/>
  <c r="AS22" i="40"/>
  <c r="AS88" i="40"/>
  <c r="AR114" i="40"/>
  <c r="AY111" i="40"/>
  <c r="AY117" i="40"/>
  <c r="AY39" i="40"/>
  <c r="AY44" i="40" s="1"/>
  <c r="AR44" i="40"/>
  <c r="AQ67" i="40"/>
  <c r="AR61" i="40"/>
  <c r="AR53" i="40"/>
  <c r="AY52" i="40"/>
  <c r="AY53" i="40" s="1"/>
  <c r="AS44" i="40"/>
  <c r="AS19" i="40"/>
  <c r="AS114" i="40"/>
  <c r="AR145" i="40"/>
  <c r="AP151" i="40"/>
  <c r="AT108" i="40"/>
  <c r="AS92" i="40"/>
  <c r="AY115" i="40"/>
  <c r="AY118" i="40" s="1"/>
  <c r="AR118" i="40"/>
  <c r="AT44" i="40"/>
  <c r="AY88" i="40"/>
  <c r="AR131" i="40"/>
  <c r="AP137" i="40"/>
  <c r="AG51" i="40"/>
  <c r="AT45" i="40"/>
  <c r="AT51" i="40" s="1"/>
  <c r="AS45" i="40"/>
  <c r="AS51" i="40" s="1"/>
  <c r="AT114" i="40"/>
  <c r="AY128" i="40"/>
  <c r="AY130" i="40" s="1"/>
  <c r="AR130" i="40"/>
  <c r="AY108" i="40"/>
  <c r="AR152" i="40"/>
  <c r="AP155" i="40"/>
  <c r="AS32" i="40"/>
  <c r="AT118" i="40"/>
  <c r="AR60" i="40"/>
  <c r="AY54" i="40"/>
  <c r="AY60" i="40" s="1"/>
  <c r="AR88" i="40"/>
  <c r="AR127" i="40"/>
  <c r="AY125" i="40"/>
  <c r="AY127" i="40" s="1"/>
  <c r="AR119" i="40"/>
  <c r="AP124" i="40"/>
  <c r="AR38" i="40"/>
  <c r="AY33" i="40"/>
  <c r="AY38" i="40" s="1"/>
  <c r="AR45" i="40"/>
  <c r="AP51" i="40"/>
  <c r="AT38" i="40"/>
  <c r="AG151" i="40"/>
  <c r="AT145" i="40"/>
  <c r="AT151" i="40" s="1"/>
  <c r="AS145" i="40"/>
  <c r="AS151" i="40" s="1"/>
  <c r="AY162" i="40"/>
  <c r="AY165" i="40" s="1"/>
  <c r="AR165" i="40"/>
  <c r="AS118" i="40"/>
  <c r="AG137" i="40"/>
  <c r="AT131" i="40"/>
  <c r="AT137" i="40" s="1"/>
  <c r="AS131" i="40"/>
  <c r="AS137" i="40" s="1"/>
  <c r="AT68" i="39"/>
  <c r="AT72" i="39" s="1"/>
  <c r="AS68" i="39"/>
  <c r="AS72" i="39" s="1"/>
  <c r="AG72" i="39"/>
  <c r="AR72" i="39"/>
  <c r="AY66" i="39"/>
  <c r="AR93" i="39"/>
  <c r="AY87" i="39"/>
  <c r="AR19" i="39"/>
  <c r="AP24" i="39"/>
  <c r="AT47" i="39"/>
  <c r="AT50" i="39" s="1"/>
  <c r="AG50" i="39"/>
  <c r="AS47" i="39"/>
  <c r="AS50" i="39" s="1"/>
  <c r="AY116" i="39"/>
  <c r="AP114" i="39"/>
  <c r="AY12" i="39"/>
  <c r="AY13" i="39" s="1"/>
  <c r="AR13" i="39"/>
  <c r="AY81" i="39"/>
  <c r="AS30" i="39"/>
  <c r="AR114" i="39"/>
  <c r="AY108" i="39"/>
  <c r="AT104" i="39"/>
  <c r="AT107" i="39" s="1"/>
  <c r="AS104" i="39"/>
  <c r="AS107" i="39" s="1"/>
  <c r="AG107" i="39"/>
  <c r="AR30" i="39"/>
  <c r="AY25" i="39"/>
  <c r="AY30" i="39" s="1"/>
  <c r="AY37" i="39"/>
  <c r="AY42" i="39" s="1"/>
  <c r="AR42" i="39"/>
  <c r="AR65" i="39"/>
  <c r="AY59" i="39"/>
  <c r="AY65" i="39" s="1"/>
  <c r="AY120" i="39"/>
  <c r="AS56" i="39"/>
  <c r="AP79" i="39"/>
  <c r="AY43" i="39"/>
  <c r="AY44" i="39" s="1"/>
  <c r="AR44" i="39"/>
  <c r="AT89" i="39"/>
  <c r="AT93" i="39" s="1"/>
  <c r="AS89" i="39"/>
  <c r="AS93" i="39" s="1"/>
  <c r="AG123" i="39"/>
  <c r="AT119" i="39"/>
  <c r="AT123" i="39" s="1"/>
  <c r="AS119" i="39"/>
  <c r="AS123" i="39" s="1"/>
  <c r="AY54" i="39"/>
  <c r="AY56" i="39" s="1"/>
  <c r="AT110" i="39"/>
  <c r="AT114" i="39" s="1"/>
  <c r="AS110" i="39"/>
  <c r="AS114" i="39" s="1"/>
  <c r="AY96" i="39"/>
  <c r="AY88" i="39"/>
  <c r="AR73" i="39"/>
  <c r="AS36" i="39"/>
  <c r="AT16" i="39"/>
  <c r="AS16" i="39"/>
  <c r="AY16" i="39" s="1"/>
  <c r="AS42" i="39"/>
  <c r="AR107" i="39"/>
  <c r="AY101" i="39"/>
  <c r="AT96" i="39"/>
  <c r="AT100" i="39" s="1"/>
  <c r="AS96" i="39"/>
  <c r="AS100" i="39" s="1"/>
  <c r="AS65" i="39"/>
  <c r="AP18" i="39"/>
  <c r="AR14" i="39"/>
  <c r="AR86" i="39"/>
  <c r="AY80" i="39"/>
  <c r="AR36" i="39"/>
  <c r="AY31" i="39"/>
  <c r="AY36" i="39" s="1"/>
  <c r="AP123" i="39"/>
  <c r="AR119" i="39"/>
  <c r="AS19" i="39"/>
  <c r="AS24" i="39" s="1"/>
  <c r="AT19" i="39"/>
  <c r="AT24" i="39" s="1"/>
  <c r="AG24" i="39"/>
  <c r="AR100" i="39"/>
  <c r="AY94" i="39"/>
  <c r="AY100" i="39" s="1"/>
  <c r="AT42" i="39"/>
  <c r="AR58" i="39"/>
  <c r="AY57" i="39"/>
  <c r="AY58" i="39" s="1"/>
  <c r="AR118" i="39"/>
  <c r="AY115" i="39"/>
  <c r="AY118" i="39" s="1"/>
  <c r="AR56" i="39"/>
  <c r="AY75" i="39"/>
  <c r="AT36" i="39"/>
  <c r="AT65" i="39"/>
  <c r="AR46" i="39"/>
  <c r="AY45" i="39"/>
  <c r="AY46" i="39" s="1"/>
  <c r="AT14" i="39"/>
  <c r="AT18" i="39" s="1"/>
  <c r="AS14" i="39"/>
  <c r="AS18" i="39" s="1"/>
  <c r="AG18" i="39"/>
  <c r="AP72" i="39"/>
  <c r="AP93" i="39"/>
  <c r="AR47" i="39"/>
  <c r="AP50" i="39"/>
  <c r="AT75" i="39"/>
  <c r="AT79" i="39" s="1"/>
  <c r="AS75" i="39"/>
  <c r="AS79" i="39" s="1"/>
  <c r="AT82" i="39"/>
  <c r="AT86" i="39" s="1"/>
  <c r="AS82" i="39"/>
  <c r="AY82" i="39" s="1"/>
  <c r="AG86" i="39"/>
  <c r="AR58" i="42" l="1"/>
  <c r="AY53" i="42"/>
  <c r="AY58" i="42" s="1"/>
  <c r="AY106" i="42"/>
  <c r="AY112" i="42" s="1"/>
  <c r="AR122" i="42"/>
  <c r="AY117" i="42"/>
  <c r="AY122" i="42" s="1"/>
  <c r="AR95" i="42"/>
  <c r="AY90" i="42"/>
  <c r="AY95" i="42" s="1"/>
  <c r="AY38" i="42"/>
  <c r="AY40" i="42" s="1"/>
  <c r="AR40" i="42"/>
  <c r="AY96" i="42"/>
  <c r="AY99" i="42" s="1"/>
  <c r="AR99" i="42"/>
  <c r="AR89" i="42"/>
  <c r="AY86" i="42"/>
  <c r="AY89" i="42" s="1"/>
  <c r="AY34" i="42"/>
  <c r="AY37" i="42" s="1"/>
  <c r="AR37" i="42"/>
  <c r="AY85" i="42"/>
  <c r="AR132" i="42"/>
  <c r="AY127" i="42"/>
  <c r="AY132" i="42" s="1"/>
  <c r="AY30" i="42"/>
  <c r="AY33" i="42" s="1"/>
  <c r="AR33" i="42"/>
  <c r="AY22" i="42"/>
  <c r="AY25" i="42" s="1"/>
  <c r="AR25" i="42"/>
  <c r="AS122" i="42"/>
  <c r="AY137" i="42"/>
  <c r="AY140" i="42" s="1"/>
  <c r="AR140" i="42"/>
  <c r="AY26" i="42"/>
  <c r="AY29" i="42" s="1"/>
  <c r="AR29" i="42"/>
  <c r="AR78" i="42"/>
  <c r="AY77" i="42"/>
  <c r="AY78" i="42" s="1"/>
  <c r="AS168" i="42"/>
  <c r="AR168" i="42"/>
  <c r="AY165" i="42"/>
  <c r="AY156" i="42"/>
  <c r="AY158" i="42" s="1"/>
  <c r="AR158" i="42"/>
  <c r="AR200" i="42"/>
  <c r="AY194" i="42"/>
  <c r="AY200" i="42" s="1"/>
  <c r="AR147" i="42"/>
  <c r="AY141" i="42"/>
  <c r="AY147" i="42" s="1"/>
  <c r="AT122" i="42"/>
  <c r="AY100" i="42"/>
  <c r="AY105" i="42" s="1"/>
  <c r="AR105" i="42"/>
  <c r="AY182" i="42"/>
  <c r="AY187" i="42" s="1"/>
  <c r="AR187" i="42"/>
  <c r="AR52" i="42"/>
  <c r="AY47" i="42"/>
  <c r="AY52" i="42" s="1"/>
  <c r="AY133" i="42"/>
  <c r="AY136" i="42" s="1"/>
  <c r="AR136" i="42"/>
  <c r="AY166" i="42"/>
  <c r="AY27" i="41"/>
  <c r="AY107" i="41"/>
  <c r="AY43" i="41"/>
  <c r="AY21" i="41"/>
  <c r="AY28" i="41"/>
  <c r="AY29" i="41" s="1"/>
  <c r="AS112" i="41"/>
  <c r="AY36" i="41"/>
  <c r="AY93" i="41"/>
  <c r="AY95" i="41"/>
  <c r="AY97" i="41" s="1"/>
  <c r="AY50" i="41"/>
  <c r="AY131" i="41"/>
  <c r="AY137" i="41" s="1"/>
  <c r="AR137" i="41"/>
  <c r="AS83" i="41"/>
  <c r="AR79" i="41"/>
  <c r="AY73" i="41"/>
  <c r="AY79" i="41" s="1"/>
  <c r="AY125" i="41"/>
  <c r="AY130" i="41" s="1"/>
  <c r="AR130" i="41"/>
  <c r="AR58" i="41"/>
  <c r="AY51" i="41"/>
  <c r="AY58" i="41" s="1"/>
  <c r="AR120" i="41"/>
  <c r="AY113" i="41"/>
  <c r="AY120" i="41" s="1"/>
  <c r="AR124" i="41"/>
  <c r="AY121" i="41"/>
  <c r="AY124" i="41" s="1"/>
  <c r="AY106" i="41"/>
  <c r="AY112" i="41" s="1"/>
  <c r="AR112" i="41"/>
  <c r="AY105" i="41"/>
  <c r="AT83" i="41"/>
  <c r="AR83" i="41"/>
  <c r="AY80" i="41"/>
  <c r="AY83" i="41" s="1"/>
  <c r="AY66" i="41"/>
  <c r="AY72" i="41" s="1"/>
  <c r="AR72" i="41"/>
  <c r="AT23" i="40"/>
  <c r="AY160" i="40"/>
  <c r="AY161" i="40" s="1"/>
  <c r="AY119" i="40"/>
  <c r="AY124" i="40" s="1"/>
  <c r="AR124" i="40"/>
  <c r="AR67" i="40"/>
  <c r="AY61" i="40"/>
  <c r="AY67" i="40" s="1"/>
  <c r="AY22" i="40"/>
  <c r="AR74" i="40"/>
  <c r="AY68" i="40"/>
  <c r="AY74" i="40" s="1"/>
  <c r="AR25" i="40"/>
  <c r="AY24" i="40"/>
  <c r="AY25" i="40" s="1"/>
  <c r="AR155" i="40"/>
  <c r="AY152" i="40"/>
  <c r="AY155" i="40" s="1"/>
  <c r="AY138" i="40"/>
  <c r="AY144" i="40" s="1"/>
  <c r="AR144" i="40"/>
  <c r="AR81" i="40"/>
  <c r="AY75" i="40"/>
  <c r="AY81" i="40" s="1"/>
  <c r="AY131" i="40"/>
  <c r="AY137" i="40" s="1"/>
  <c r="AR137" i="40"/>
  <c r="AR151" i="40"/>
  <c r="AY145" i="40"/>
  <c r="AY151" i="40" s="1"/>
  <c r="AY32" i="40"/>
  <c r="AY114" i="40"/>
  <c r="AY45" i="40"/>
  <c r="AY51" i="40" s="1"/>
  <c r="AR51" i="40"/>
  <c r="AY16" i="40"/>
  <c r="AY19" i="40" s="1"/>
  <c r="AR19" i="40"/>
  <c r="AR23" i="40"/>
  <c r="AY20" i="40"/>
  <c r="AY86" i="39"/>
  <c r="AR79" i="39"/>
  <c r="AY73" i="39"/>
  <c r="AY79" i="39" s="1"/>
  <c r="AY107" i="39"/>
  <c r="AY110" i="39"/>
  <c r="AY14" i="39"/>
  <c r="AY18" i="39" s="1"/>
  <c r="AR18" i="39"/>
  <c r="AR24" i="39"/>
  <c r="AY19" i="39"/>
  <c r="AY24" i="39" s="1"/>
  <c r="AY104" i="39"/>
  <c r="AY119" i="39"/>
  <c r="AY123" i="39" s="1"/>
  <c r="AR123" i="39"/>
  <c r="AY89" i="39"/>
  <c r="AY93" i="39" s="1"/>
  <c r="AY114" i="39"/>
  <c r="AS86" i="39"/>
  <c r="AR50" i="39"/>
  <c r="AY47" i="39"/>
  <c r="AY50" i="39" s="1"/>
  <c r="AY68" i="39"/>
  <c r="AY72" i="39" s="1"/>
  <c r="AY168" i="42" l="1"/>
  <c r="AY23" i="40"/>
  <c r="AU252" i="32" l="1"/>
  <c r="AU152" i="32"/>
  <c r="BB92" i="32" l="1"/>
  <c r="AU73" i="32"/>
  <c r="BB54" i="32"/>
  <c r="X54" i="32"/>
  <c r="BB60" i="31"/>
  <c r="X60" i="31"/>
  <c r="BB34" i="31"/>
  <c r="X34" i="31"/>
  <c r="BB19" i="30"/>
  <c r="X19" i="30"/>
  <c r="BB188" i="29"/>
  <c r="X188" i="29"/>
  <c r="BB116" i="29"/>
  <c r="X116" i="29"/>
  <c r="BB86" i="29"/>
  <c r="AU86" i="29"/>
  <c r="X86" i="29"/>
  <c r="X65" i="29"/>
  <c r="BE53" i="32" l="1"/>
  <c r="Y53" i="32"/>
  <c r="BB73" i="44" l="1"/>
  <c r="X73" i="44"/>
  <c r="BB66" i="44"/>
  <c r="X66" i="44"/>
  <c r="BB38" i="44"/>
  <c r="AU38" i="44"/>
  <c r="X38" i="44"/>
  <c r="BB31" i="44"/>
  <c r="X31" i="44"/>
  <c r="BB22" i="44"/>
  <c r="AU22" i="44"/>
  <c r="X22" i="44"/>
  <c r="BB320" i="43" l="1"/>
  <c r="X320" i="43"/>
  <c r="BB310" i="43"/>
  <c r="X310" i="43"/>
  <c r="BB303" i="43"/>
  <c r="X303" i="43"/>
  <c r="BB270" i="43"/>
  <c r="X270" i="43"/>
  <c r="BB235" i="43"/>
  <c r="X235" i="43"/>
  <c r="BB229" i="43"/>
  <c r="X229" i="43"/>
  <c r="BB223" i="43"/>
  <c r="X223" i="43"/>
  <c r="BB217" i="43"/>
  <c r="X217" i="43"/>
  <c r="AU204" i="43"/>
  <c r="BB198" i="43"/>
  <c r="X198" i="43"/>
  <c r="BB191" i="43"/>
  <c r="X191" i="43"/>
  <c r="X185" i="43"/>
  <c r="BB178" i="43"/>
  <c r="X178" i="43"/>
  <c r="BB161" i="43"/>
  <c r="X161" i="43"/>
  <c r="BB143" i="43"/>
  <c r="X143" i="43"/>
  <c r="BB136" i="43"/>
  <c r="X136" i="43"/>
  <c r="AU130" i="43"/>
  <c r="V417" i="43"/>
  <c r="V108" i="32"/>
  <c r="BJ177" i="29" l="1"/>
  <c r="BX177" i="29" s="1"/>
  <c r="BI177" i="29"/>
  <c r="BK177" i="29" s="1"/>
  <c r="BV177" i="29" s="1"/>
  <c r="AX177" i="29"/>
  <c r="BU177" i="29" s="1"/>
  <c r="AN177" i="29"/>
  <c r="BR177" i="29" s="1"/>
  <c r="AM177" i="29"/>
  <c r="BQ177" i="29" s="1"/>
  <c r="W177" i="29"/>
  <c r="AF177" i="29" s="1"/>
  <c r="BO177" i="29" s="1"/>
  <c r="V177" i="29"/>
  <c r="AE177" i="29" s="1"/>
  <c r="AP177" i="29" s="1"/>
  <c r="BW177" i="29" l="1"/>
  <c r="BN177" i="29"/>
  <c r="AO177" i="29"/>
  <c r="BP177" i="29" s="1"/>
  <c r="AG177" i="29"/>
  <c r="BM177" i="29" s="1"/>
  <c r="AQ177" i="29"/>
  <c r="AR177" i="29" s="1"/>
  <c r="AL465" i="43"/>
  <c r="AK465" i="43"/>
  <c r="AJ465" i="43"/>
  <c r="AI465" i="43"/>
  <c r="AH465" i="43"/>
  <c r="AL461" i="43"/>
  <c r="AK461" i="43"/>
  <c r="AJ461" i="43"/>
  <c r="AI461" i="43"/>
  <c r="AH461" i="43"/>
  <c r="AL458" i="43"/>
  <c r="AK458" i="43"/>
  <c r="AJ458" i="43"/>
  <c r="AI458" i="43"/>
  <c r="AH458" i="43"/>
  <c r="AL451" i="43"/>
  <c r="AK451" i="43"/>
  <c r="AJ451" i="43"/>
  <c r="AI451" i="43"/>
  <c r="AH451" i="43"/>
  <c r="AL444" i="43"/>
  <c r="AK444" i="43"/>
  <c r="AJ444" i="43"/>
  <c r="AI444" i="43"/>
  <c r="AH444" i="43"/>
  <c r="AL437" i="43"/>
  <c r="AK437" i="43"/>
  <c r="AJ437" i="43"/>
  <c r="AI437" i="43"/>
  <c r="AH437" i="43"/>
  <c r="AL430" i="43"/>
  <c r="AK430" i="43"/>
  <c r="AJ430" i="43"/>
  <c r="AI430" i="43"/>
  <c r="AH430" i="43"/>
  <c r="AL423" i="43"/>
  <c r="AK423" i="43"/>
  <c r="AJ423" i="43"/>
  <c r="AI423" i="43"/>
  <c r="AH423" i="43"/>
  <c r="AL416" i="43"/>
  <c r="AK416" i="43"/>
  <c r="AJ416" i="43"/>
  <c r="AI416" i="43"/>
  <c r="AH416" i="43"/>
  <c r="AL409" i="43"/>
  <c r="AK409" i="43"/>
  <c r="AJ409" i="43"/>
  <c r="AI409" i="43"/>
  <c r="AH409" i="43"/>
  <c r="AL402" i="43"/>
  <c r="AK402" i="43"/>
  <c r="AJ402" i="43"/>
  <c r="AI402" i="43"/>
  <c r="AH402" i="43"/>
  <c r="AL395" i="43"/>
  <c r="AK395" i="43"/>
  <c r="AJ395" i="43"/>
  <c r="AI395" i="43"/>
  <c r="AH395" i="43"/>
  <c r="AL391" i="43"/>
  <c r="AK391" i="43"/>
  <c r="AJ391" i="43"/>
  <c r="AI391" i="43"/>
  <c r="AH391" i="43"/>
  <c r="AL385" i="43"/>
  <c r="AK385" i="43"/>
  <c r="AJ385" i="43"/>
  <c r="AI385" i="43"/>
  <c r="AH385" i="43"/>
  <c r="AL378" i="43"/>
  <c r="AK378" i="43"/>
  <c r="AJ378" i="43"/>
  <c r="AI378" i="43"/>
  <c r="AH378" i="43"/>
  <c r="AL376" i="43"/>
  <c r="AK376" i="43"/>
  <c r="AJ376" i="43"/>
  <c r="AI376" i="43"/>
  <c r="AH376" i="43"/>
  <c r="AL372" i="43"/>
  <c r="AK372" i="43"/>
  <c r="AJ372" i="43"/>
  <c r="AI372" i="43"/>
  <c r="AH372" i="43"/>
  <c r="AL365" i="43"/>
  <c r="AK365" i="43"/>
  <c r="AJ365" i="43"/>
  <c r="AI365" i="43"/>
  <c r="AH365" i="43"/>
  <c r="AL360" i="43"/>
  <c r="AK360" i="43"/>
  <c r="AJ360" i="43"/>
  <c r="AI360" i="43"/>
  <c r="AH360" i="43"/>
  <c r="AL353" i="43"/>
  <c r="AK353" i="43"/>
  <c r="AJ353" i="43"/>
  <c r="AI353" i="43"/>
  <c r="AH353" i="43"/>
  <c r="AL347" i="43"/>
  <c r="AK347" i="43"/>
  <c r="AJ347" i="43"/>
  <c r="AI347" i="43"/>
  <c r="AH347" i="43"/>
  <c r="AL338" i="43"/>
  <c r="AK338" i="43"/>
  <c r="AJ338" i="43"/>
  <c r="AI338" i="43"/>
  <c r="AH338" i="43"/>
  <c r="AL334" i="43"/>
  <c r="AK334" i="43"/>
  <c r="AJ334" i="43"/>
  <c r="AI334" i="43"/>
  <c r="AH334" i="43"/>
  <c r="AL330" i="43"/>
  <c r="AK330" i="43"/>
  <c r="AJ330" i="43"/>
  <c r="AI330" i="43"/>
  <c r="AH330" i="43"/>
  <c r="AL326" i="43"/>
  <c r="AK326" i="43"/>
  <c r="AJ326" i="43"/>
  <c r="AI326" i="43"/>
  <c r="AH326" i="43"/>
  <c r="AL324" i="43"/>
  <c r="AK324" i="43"/>
  <c r="AJ324" i="43"/>
  <c r="AI324" i="43"/>
  <c r="AH324" i="43"/>
  <c r="AL318" i="43"/>
  <c r="AK318" i="43"/>
  <c r="AJ318" i="43"/>
  <c r="AI318" i="43"/>
  <c r="AH318" i="43"/>
  <c r="AL314" i="43"/>
  <c r="AK314" i="43"/>
  <c r="AJ314" i="43"/>
  <c r="AI314" i="43"/>
  <c r="AH314" i="43"/>
  <c r="AL307" i="43"/>
  <c r="AK307" i="43"/>
  <c r="AJ307" i="43"/>
  <c r="AI307" i="43"/>
  <c r="AH307" i="43"/>
  <c r="AL300" i="43"/>
  <c r="AK300" i="43"/>
  <c r="AJ300" i="43"/>
  <c r="AI300" i="43"/>
  <c r="AH300" i="43"/>
  <c r="AL298" i="43"/>
  <c r="AK298" i="43"/>
  <c r="AJ298" i="43"/>
  <c r="AI298" i="43"/>
  <c r="AH298" i="43"/>
  <c r="AL290" i="43"/>
  <c r="AK290" i="43"/>
  <c r="AJ290" i="43"/>
  <c r="AI290" i="43"/>
  <c r="AH290" i="43"/>
  <c r="AL285" i="43"/>
  <c r="AK285" i="43"/>
  <c r="AJ285" i="43"/>
  <c r="AI285" i="43"/>
  <c r="AH285" i="43"/>
  <c r="AL278" i="43"/>
  <c r="AK278" i="43"/>
  <c r="AJ278" i="43"/>
  <c r="AI278" i="43"/>
  <c r="AH278" i="43"/>
  <c r="AL274" i="43"/>
  <c r="AK274" i="43"/>
  <c r="AJ274" i="43"/>
  <c r="AI274" i="43"/>
  <c r="AH274" i="43"/>
  <c r="AL268" i="43"/>
  <c r="AK268" i="43"/>
  <c r="AJ268" i="43"/>
  <c r="AI268" i="43"/>
  <c r="AH268" i="43"/>
  <c r="AL264" i="43"/>
  <c r="AK264" i="43"/>
  <c r="AJ264" i="43"/>
  <c r="AI264" i="43"/>
  <c r="AH264" i="43"/>
  <c r="AL260" i="43"/>
  <c r="AK260" i="43"/>
  <c r="AJ260" i="43"/>
  <c r="AI260" i="43"/>
  <c r="AH260" i="43"/>
  <c r="AL258" i="43"/>
  <c r="AK258" i="43"/>
  <c r="AJ258" i="43"/>
  <c r="AI258" i="43"/>
  <c r="AH258" i="43"/>
  <c r="AL251" i="43"/>
  <c r="AK251" i="43"/>
  <c r="AJ251" i="43"/>
  <c r="AI251" i="43"/>
  <c r="AH251" i="43"/>
  <c r="AL245" i="43"/>
  <c r="AK245" i="43"/>
  <c r="AJ245" i="43"/>
  <c r="AI245" i="43"/>
  <c r="AH245" i="43"/>
  <c r="AL239" i="43"/>
  <c r="AK239" i="43"/>
  <c r="AJ239" i="43"/>
  <c r="AI239" i="43"/>
  <c r="AH239" i="43"/>
  <c r="AL233" i="43"/>
  <c r="AK233" i="43"/>
  <c r="AJ233" i="43"/>
  <c r="AI233" i="43"/>
  <c r="AH233" i="43"/>
  <c r="AL227" i="43"/>
  <c r="AK227" i="43"/>
  <c r="AJ227" i="43"/>
  <c r="AI227" i="43"/>
  <c r="AH227" i="43"/>
  <c r="AL221" i="43"/>
  <c r="AK221" i="43"/>
  <c r="AJ221" i="43"/>
  <c r="AI221" i="43"/>
  <c r="AH221" i="43"/>
  <c r="AL215" i="43"/>
  <c r="AK215" i="43"/>
  <c r="AJ215" i="43"/>
  <c r="AI215" i="43"/>
  <c r="AH215" i="43"/>
  <c r="AL208" i="43"/>
  <c r="AK208" i="43"/>
  <c r="AJ208" i="43"/>
  <c r="AI208" i="43"/>
  <c r="AH208" i="43"/>
  <c r="AL202" i="43"/>
  <c r="AK202" i="43"/>
  <c r="AJ202" i="43"/>
  <c r="AI202" i="43"/>
  <c r="AH202" i="43"/>
  <c r="AL196" i="43"/>
  <c r="AK196" i="43"/>
  <c r="AJ196" i="43"/>
  <c r="AI196" i="43"/>
  <c r="AH196" i="43"/>
  <c r="AL189" i="43"/>
  <c r="AK189" i="43"/>
  <c r="AJ189" i="43"/>
  <c r="AI189" i="43"/>
  <c r="AH189" i="43"/>
  <c r="AL182" i="43"/>
  <c r="AK182" i="43"/>
  <c r="AJ182" i="43"/>
  <c r="AI182" i="43"/>
  <c r="AH182" i="43"/>
  <c r="AL176" i="43"/>
  <c r="AK176" i="43"/>
  <c r="AJ176" i="43"/>
  <c r="AI176" i="43"/>
  <c r="AH176" i="43"/>
  <c r="AL170" i="43"/>
  <c r="AK170" i="43"/>
  <c r="AJ170" i="43"/>
  <c r="AI170" i="43"/>
  <c r="AH170" i="43"/>
  <c r="AL164" i="43"/>
  <c r="AK164" i="43"/>
  <c r="AJ164" i="43"/>
  <c r="AI164" i="43"/>
  <c r="AH164" i="43"/>
  <c r="AL159" i="43"/>
  <c r="AK159" i="43"/>
  <c r="AJ159" i="43"/>
  <c r="AI159" i="43"/>
  <c r="AH159" i="43"/>
  <c r="AL153" i="43"/>
  <c r="AK153" i="43"/>
  <c r="AJ153" i="43"/>
  <c r="AI153" i="43"/>
  <c r="AH153" i="43"/>
  <c r="AL147" i="43"/>
  <c r="AK147" i="43"/>
  <c r="AJ147" i="43"/>
  <c r="AI147" i="43"/>
  <c r="AH147" i="43"/>
  <c r="AL141" i="43"/>
  <c r="AK141" i="43"/>
  <c r="AJ141" i="43"/>
  <c r="AI141" i="43"/>
  <c r="AH141" i="43"/>
  <c r="AL134" i="43"/>
  <c r="AK134" i="43"/>
  <c r="AJ134" i="43"/>
  <c r="AI134" i="43"/>
  <c r="AH134" i="43"/>
  <c r="AL127" i="43"/>
  <c r="AK127" i="43"/>
  <c r="AJ127" i="43"/>
  <c r="AI127" i="43"/>
  <c r="AH127" i="43"/>
  <c r="AL122" i="43"/>
  <c r="AK122" i="43"/>
  <c r="AJ122" i="43"/>
  <c r="AI122" i="43"/>
  <c r="AH122" i="43"/>
  <c r="AL118" i="43"/>
  <c r="AK118" i="43"/>
  <c r="AJ118" i="43"/>
  <c r="AI118" i="43"/>
  <c r="AH118" i="43"/>
  <c r="AL115" i="43"/>
  <c r="AK115" i="43"/>
  <c r="AJ115" i="43"/>
  <c r="AI115" i="43"/>
  <c r="AH115" i="43"/>
  <c r="AL111" i="43"/>
  <c r="AK111" i="43"/>
  <c r="AJ111" i="43"/>
  <c r="AI111" i="43"/>
  <c r="AH111" i="43"/>
  <c r="AL107" i="43"/>
  <c r="AK107" i="43"/>
  <c r="AJ107" i="43"/>
  <c r="AI107" i="43"/>
  <c r="AH107" i="43"/>
  <c r="AL104" i="43"/>
  <c r="AK104" i="43"/>
  <c r="AJ104" i="43"/>
  <c r="AI104" i="43"/>
  <c r="AH104" i="43"/>
  <c r="AL100" i="43"/>
  <c r="AK100" i="43"/>
  <c r="AJ100" i="43"/>
  <c r="AI100" i="43"/>
  <c r="AH100" i="43"/>
  <c r="AL96" i="43"/>
  <c r="AK96" i="43"/>
  <c r="AJ96" i="43"/>
  <c r="AI96" i="43"/>
  <c r="AH96" i="43"/>
  <c r="AL92" i="43"/>
  <c r="AK92" i="43"/>
  <c r="AJ92" i="43"/>
  <c r="AI92" i="43"/>
  <c r="AH92" i="43"/>
  <c r="AL88" i="43"/>
  <c r="AK88" i="43"/>
  <c r="AJ88" i="43"/>
  <c r="AI88" i="43"/>
  <c r="AH88" i="43"/>
  <c r="AL84" i="43"/>
  <c r="AK84" i="43"/>
  <c r="AJ84" i="43"/>
  <c r="AI84" i="43"/>
  <c r="AH84" i="43"/>
  <c r="AL80" i="43"/>
  <c r="AK80" i="43"/>
  <c r="AJ80" i="43"/>
  <c r="AI80" i="43"/>
  <c r="AH80" i="43"/>
  <c r="AL76" i="43"/>
  <c r="AK76" i="43"/>
  <c r="AJ76" i="43"/>
  <c r="AI76" i="43"/>
  <c r="AH76" i="43"/>
  <c r="AL71" i="43"/>
  <c r="AK71" i="43"/>
  <c r="AJ71" i="43"/>
  <c r="AI71" i="43"/>
  <c r="AH71" i="43"/>
  <c r="AL68" i="43"/>
  <c r="AK68" i="43"/>
  <c r="AJ68" i="43"/>
  <c r="AI68" i="43"/>
  <c r="AH68" i="43"/>
  <c r="AL64" i="43"/>
  <c r="AK64" i="43"/>
  <c r="AJ64" i="43"/>
  <c r="AI64" i="43"/>
  <c r="AH64" i="43"/>
  <c r="AL60" i="43"/>
  <c r="AK60" i="43"/>
  <c r="AJ60" i="43"/>
  <c r="AI60" i="43"/>
  <c r="AH60" i="43"/>
  <c r="AL56" i="43"/>
  <c r="AK56" i="43"/>
  <c r="AJ56" i="43"/>
  <c r="AI56" i="43"/>
  <c r="AH56" i="43"/>
  <c r="AL53" i="43"/>
  <c r="AK53" i="43"/>
  <c r="AJ53" i="43"/>
  <c r="AI53" i="43"/>
  <c r="AH53" i="43"/>
  <c r="AL50" i="43"/>
  <c r="AK50" i="43"/>
  <c r="AJ50" i="43"/>
  <c r="AI50" i="43"/>
  <c r="AH50" i="43"/>
  <c r="AL47" i="43"/>
  <c r="AK47" i="43"/>
  <c r="AJ47" i="43"/>
  <c r="AI47" i="43"/>
  <c r="AH47" i="43"/>
  <c r="AL43" i="43"/>
  <c r="AK43" i="43"/>
  <c r="AJ43" i="43"/>
  <c r="AI43" i="43"/>
  <c r="AH43" i="43"/>
  <c r="AL39" i="43"/>
  <c r="AK39" i="43"/>
  <c r="AJ39" i="43"/>
  <c r="AI39" i="43"/>
  <c r="AH39" i="43"/>
  <c r="AL35" i="43"/>
  <c r="AK35" i="43"/>
  <c r="AJ35" i="43"/>
  <c r="AI35" i="43"/>
  <c r="AH35" i="43"/>
  <c r="AL31" i="43"/>
  <c r="AK31" i="43"/>
  <c r="AJ31" i="43"/>
  <c r="AI31" i="43"/>
  <c r="AH31" i="43"/>
  <c r="AL27" i="43"/>
  <c r="AK27" i="43"/>
  <c r="AJ27" i="43"/>
  <c r="AI27" i="43"/>
  <c r="AH27" i="43"/>
  <c r="AL22" i="43"/>
  <c r="AK22" i="43"/>
  <c r="AJ22" i="43"/>
  <c r="AI22" i="43"/>
  <c r="AH22" i="43"/>
  <c r="AL18" i="43"/>
  <c r="AK18" i="43"/>
  <c r="AJ18" i="43"/>
  <c r="AI18" i="43"/>
  <c r="AH18" i="43"/>
  <c r="AL13" i="43"/>
  <c r="AK13" i="43"/>
  <c r="AJ13" i="43"/>
  <c r="AI13" i="43"/>
  <c r="AH13" i="43"/>
  <c r="BA465" i="43"/>
  <c r="AZ465" i="43"/>
  <c r="BA461" i="43"/>
  <c r="AZ461" i="43"/>
  <c r="BA458" i="43"/>
  <c r="AZ458" i="43"/>
  <c r="BA451" i="43"/>
  <c r="AZ451" i="43"/>
  <c r="BA444" i="43"/>
  <c r="AZ444" i="43"/>
  <c r="BA437" i="43"/>
  <c r="AZ437" i="43"/>
  <c r="BA430" i="43"/>
  <c r="AZ430" i="43"/>
  <c r="BA423" i="43"/>
  <c r="AZ423" i="43"/>
  <c r="BA416" i="43"/>
  <c r="AZ416" i="43"/>
  <c r="BA409" i="43"/>
  <c r="AZ409" i="43"/>
  <c r="BA402" i="43"/>
  <c r="AZ402" i="43"/>
  <c r="BA395" i="43"/>
  <c r="AZ395" i="43"/>
  <c r="BA391" i="43"/>
  <c r="AZ391" i="43"/>
  <c r="BA385" i="43"/>
  <c r="AZ385" i="43"/>
  <c r="BA378" i="43"/>
  <c r="AZ378" i="43"/>
  <c r="BA376" i="43"/>
  <c r="AZ376" i="43"/>
  <c r="BA372" i="43"/>
  <c r="AZ372" i="43"/>
  <c r="BA365" i="43"/>
  <c r="AZ365" i="43"/>
  <c r="BA360" i="43"/>
  <c r="AZ360" i="43"/>
  <c r="BA353" i="43"/>
  <c r="AZ353" i="43"/>
  <c r="BA347" i="43"/>
  <c r="AZ347" i="43"/>
  <c r="BA338" i="43"/>
  <c r="AZ338" i="43"/>
  <c r="BA334" i="43"/>
  <c r="AZ334" i="43"/>
  <c r="BA330" i="43"/>
  <c r="AZ330" i="43"/>
  <c r="BA326" i="43"/>
  <c r="AZ326" i="43"/>
  <c r="BA324" i="43"/>
  <c r="AZ324" i="43"/>
  <c r="BA318" i="43"/>
  <c r="AZ318" i="43"/>
  <c r="BA314" i="43"/>
  <c r="AZ314" i="43"/>
  <c r="BA307" i="43"/>
  <c r="AZ307" i="43"/>
  <c r="BA300" i="43"/>
  <c r="AZ300" i="43"/>
  <c r="BA298" i="43"/>
  <c r="AZ298" i="43"/>
  <c r="BA290" i="43"/>
  <c r="AZ290" i="43"/>
  <c r="BA285" i="43"/>
  <c r="AZ285" i="43"/>
  <c r="BA278" i="43"/>
  <c r="AZ278" i="43"/>
  <c r="BA274" i="43"/>
  <c r="AZ274" i="43"/>
  <c r="BA268" i="43"/>
  <c r="AZ268" i="43"/>
  <c r="BA264" i="43"/>
  <c r="AZ264" i="43"/>
  <c r="BA260" i="43"/>
  <c r="AZ260" i="43"/>
  <c r="BA258" i="43"/>
  <c r="AZ258" i="43"/>
  <c r="BA251" i="43"/>
  <c r="AZ251" i="43"/>
  <c r="BA245" i="43"/>
  <c r="AZ245" i="43"/>
  <c r="BA239" i="43"/>
  <c r="AZ239" i="43"/>
  <c r="BA233" i="43"/>
  <c r="AZ233" i="43"/>
  <c r="BA227" i="43"/>
  <c r="AZ227" i="43"/>
  <c r="BA221" i="43"/>
  <c r="AZ221" i="43"/>
  <c r="BA215" i="43"/>
  <c r="AZ215" i="43"/>
  <c r="BA208" i="43"/>
  <c r="AZ208" i="43"/>
  <c r="BA202" i="43"/>
  <c r="AZ202" i="43"/>
  <c r="BA196" i="43"/>
  <c r="AZ196" i="43"/>
  <c r="BA189" i="43"/>
  <c r="AZ189" i="43"/>
  <c r="BA182" i="43"/>
  <c r="AZ182" i="43"/>
  <c r="BA176" i="43"/>
  <c r="AZ176" i="43"/>
  <c r="BA170" i="43"/>
  <c r="AZ170" i="43"/>
  <c r="BA164" i="43"/>
  <c r="AZ164" i="43"/>
  <c r="BA159" i="43"/>
  <c r="AZ159" i="43"/>
  <c r="BA153" i="43"/>
  <c r="AZ153" i="43"/>
  <c r="BA147" i="43"/>
  <c r="AZ147" i="43"/>
  <c r="BA141" i="43"/>
  <c r="AZ141" i="43"/>
  <c r="BA134" i="43"/>
  <c r="AZ134" i="43"/>
  <c r="BA127" i="43"/>
  <c r="AZ127" i="43"/>
  <c r="BA122" i="43"/>
  <c r="AZ122" i="43"/>
  <c r="BA118" i="43"/>
  <c r="AZ118" i="43"/>
  <c r="BA115" i="43"/>
  <c r="AZ115" i="43"/>
  <c r="BA111" i="43"/>
  <c r="AZ111" i="43"/>
  <c r="BA107" i="43"/>
  <c r="AZ107" i="43"/>
  <c r="BA104" i="43"/>
  <c r="AZ104" i="43"/>
  <c r="BA100" i="43"/>
  <c r="AZ100" i="43"/>
  <c r="BA96" i="43"/>
  <c r="AZ96" i="43"/>
  <c r="BA92" i="43"/>
  <c r="AZ92" i="43"/>
  <c r="BA88" i="43"/>
  <c r="AZ88" i="43"/>
  <c r="BA84" i="43"/>
  <c r="AZ84" i="43"/>
  <c r="BA80" i="43"/>
  <c r="AZ80" i="43"/>
  <c r="BA76" i="43"/>
  <c r="AZ76" i="43"/>
  <c r="BA71" i="43"/>
  <c r="AZ71" i="43"/>
  <c r="BA68" i="43"/>
  <c r="AZ68" i="43"/>
  <c r="BA64" i="43"/>
  <c r="AZ64" i="43"/>
  <c r="BA60" i="43"/>
  <c r="AZ60" i="43"/>
  <c r="BA56" i="43"/>
  <c r="AZ56" i="43"/>
  <c r="BA53" i="43"/>
  <c r="AZ53" i="43"/>
  <c r="BA50" i="43"/>
  <c r="AZ50" i="43"/>
  <c r="BA47" i="43"/>
  <c r="AZ47" i="43"/>
  <c r="BA43" i="43"/>
  <c r="AZ43" i="43"/>
  <c r="BA39" i="43"/>
  <c r="AZ39" i="43"/>
  <c r="BA35" i="43"/>
  <c r="AZ35" i="43"/>
  <c r="BA31" i="43"/>
  <c r="AZ31" i="43"/>
  <c r="BA27" i="43"/>
  <c r="AZ27" i="43"/>
  <c r="BA22" i="43"/>
  <c r="AZ22" i="43"/>
  <c r="BA18" i="43"/>
  <c r="AZ18" i="43"/>
  <c r="BA13" i="43"/>
  <c r="AZ13" i="43"/>
  <c r="AL128" i="44"/>
  <c r="AK128" i="44"/>
  <c r="AJ128" i="44"/>
  <c r="AI128" i="44"/>
  <c r="AH128" i="44"/>
  <c r="AL121" i="44"/>
  <c r="AK121" i="44"/>
  <c r="AJ121" i="44"/>
  <c r="AI121" i="44"/>
  <c r="AH121" i="44"/>
  <c r="AL112" i="44"/>
  <c r="AK112" i="44"/>
  <c r="AJ112" i="44"/>
  <c r="AI112" i="44"/>
  <c r="AH112" i="44"/>
  <c r="AL110" i="44"/>
  <c r="AK110" i="44"/>
  <c r="AJ110" i="44"/>
  <c r="AI110" i="44"/>
  <c r="AH110" i="44"/>
  <c r="AL104" i="44"/>
  <c r="AK104" i="44"/>
  <c r="AJ104" i="44"/>
  <c r="AI104" i="44"/>
  <c r="AH104" i="44"/>
  <c r="AL102" i="44"/>
  <c r="AK102" i="44"/>
  <c r="AJ102" i="44"/>
  <c r="AI102" i="44"/>
  <c r="AH102" i="44"/>
  <c r="AL98" i="44"/>
  <c r="AK98" i="44"/>
  <c r="AJ98" i="44"/>
  <c r="AI98" i="44"/>
  <c r="AH98" i="44"/>
  <c r="AL92" i="44"/>
  <c r="AK92" i="44"/>
  <c r="AJ92" i="44"/>
  <c r="AI92" i="44"/>
  <c r="AH92" i="44"/>
  <c r="AL88" i="44"/>
  <c r="AK88" i="44"/>
  <c r="AJ88" i="44"/>
  <c r="AI88" i="44"/>
  <c r="AH88" i="44"/>
  <c r="AL84" i="44"/>
  <c r="AK84" i="44"/>
  <c r="AJ84" i="44"/>
  <c r="AI84" i="44"/>
  <c r="AH84" i="44"/>
  <c r="AL77" i="44"/>
  <c r="AK77" i="44"/>
  <c r="AJ77" i="44"/>
  <c r="AI77" i="44"/>
  <c r="AH77" i="44"/>
  <c r="AL70" i="44"/>
  <c r="AK70" i="44"/>
  <c r="AJ70" i="44"/>
  <c r="AI70" i="44"/>
  <c r="AH70" i="44"/>
  <c r="AL63" i="44"/>
  <c r="AK63" i="44"/>
  <c r="AJ63" i="44"/>
  <c r="AI63" i="44"/>
  <c r="AH63" i="44"/>
  <c r="AL56" i="44"/>
  <c r="AK56" i="44"/>
  <c r="AJ56" i="44"/>
  <c r="AI56" i="44"/>
  <c r="AH56" i="44"/>
  <c r="AL49" i="44"/>
  <c r="AK49" i="44"/>
  <c r="AJ49" i="44"/>
  <c r="AI49" i="44"/>
  <c r="AH49" i="44"/>
  <c r="AL42" i="44"/>
  <c r="AK42" i="44"/>
  <c r="AJ42" i="44"/>
  <c r="AI42" i="44"/>
  <c r="AH42" i="44"/>
  <c r="AL35" i="44"/>
  <c r="AK35" i="44"/>
  <c r="AJ35" i="44"/>
  <c r="AI35" i="44"/>
  <c r="AH35" i="44"/>
  <c r="AL28" i="44"/>
  <c r="AK28" i="44"/>
  <c r="AJ28" i="44"/>
  <c r="AI28" i="44"/>
  <c r="AH28" i="44"/>
  <c r="AL19" i="44"/>
  <c r="AK19" i="44"/>
  <c r="AJ19" i="44"/>
  <c r="AI19" i="44"/>
  <c r="AH19" i="44"/>
  <c r="AL13" i="44"/>
  <c r="AK13" i="44"/>
  <c r="AJ13" i="44"/>
  <c r="AI13" i="44"/>
  <c r="AH13" i="44"/>
  <c r="BA128" i="44"/>
  <c r="AZ128" i="44"/>
  <c r="BA121" i="44"/>
  <c r="AZ121" i="44"/>
  <c r="BA112" i="44"/>
  <c r="AZ112" i="44"/>
  <c r="BA110" i="44"/>
  <c r="AZ110" i="44"/>
  <c r="BA104" i="44"/>
  <c r="AZ104" i="44"/>
  <c r="BA102" i="44"/>
  <c r="AZ102" i="44"/>
  <c r="BA98" i="44"/>
  <c r="AZ98" i="44"/>
  <c r="BA92" i="44"/>
  <c r="AZ92" i="44"/>
  <c r="BA88" i="44"/>
  <c r="AZ88" i="44"/>
  <c r="BA84" i="44"/>
  <c r="AZ84" i="44"/>
  <c r="BA77" i="44"/>
  <c r="AZ77" i="44"/>
  <c r="BA70" i="44"/>
  <c r="AZ70" i="44"/>
  <c r="BA63" i="44"/>
  <c r="AZ63" i="44"/>
  <c r="BA56" i="44"/>
  <c r="AZ56" i="44"/>
  <c r="BA49" i="44"/>
  <c r="AZ49" i="44"/>
  <c r="BA42" i="44"/>
  <c r="AZ42" i="44"/>
  <c r="BA35" i="44"/>
  <c r="AZ35" i="44"/>
  <c r="BA28" i="44"/>
  <c r="AZ28" i="44"/>
  <c r="BA19" i="44"/>
  <c r="AZ19" i="44"/>
  <c r="BA13" i="44"/>
  <c r="AZ13" i="44"/>
  <c r="V105" i="44"/>
  <c r="CE41" i="43"/>
  <c r="BJ41" i="43"/>
  <c r="BX41" i="43" s="1"/>
  <c r="BI41" i="43"/>
  <c r="BW41" i="43" s="1"/>
  <c r="AX41" i="43"/>
  <c r="BU41" i="43" s="1"/>
  <c r="AN41" i="43"/>
  <c r="BR41" i="43" s="1"/>
  <c r="AM41" i="43"/>
  <c r="BQ41" i="43" s="1"/>
  <c r="W41" i="43"/>
  <c r="AF41" i="43" s="1"/>
  <c r="V41" i="43"/>
  <c r="AE41" i="43" s="1"/>
  <c r="BF124" i="39"/>
  <c r="AW124" i="39"/>
  <c r="AB124" i="39"/>
  <c r="BF166" i="40"/>
  <c r="AW166" i="40"/>
  <c r="AB166" i="40"/>
  <c r="BF138" i="41"/>
  <c r="AW138" i="41"/>
  <c r="AB138" i="41"/>
  <c r="AT177" i="29" l="1"/>
  <c r="BT177" i="29" s="1"/>
  <c r="AS177" i="29"/>
  <c r="BS177" i="29" s="1"/>
  <c r="AP41" i="43"/>
  <c r="AQ41" i="43"/>
  <c r="AO41" i="43"/>
  <c r="BP41" i="43" s="1"/>
  <c r="AG41" i="43"/>
  <c r="BO41" i="43"/>
  <c r="BK41" i="43"/>
  <c r="BV41" i="43" s="1"/>
  <c r="BN41" i="43"/>
  <c r="S202" i="42"/>
  <c r="J202" i="42"/>
  <c r="M202" i="42"/>
  <c r="I202" i="42"/>
  <c r="S167" i="40"/>
  <c r="M167" i="40"/>
  <c r="J167" i="40"/>
  <c r="I167" i="40"/>
  <c r="S125" i="39"/>
  <c r="M125" i="39"/>
  <c r="J125" i="39"/>
  <c r="I125" i="39"/>
  <c r="BH293" i="32"/>
  <c r="BG293" i="32"/>
  <c r="BF293" i="32"/>
  <c r="BE293" i="32"/>
  <c r="BD293" i="32"/>
  <c r="BC293" i="32"/>
  <c r="BB293" i="32"/>
  <c r="BA293" i="32"/>
  <c r="AZ293" i="32"/>
  <c r="AW293" i="32"/>
  <c r="AV293" i="32"/>
  <c r="AU293" i="32"/>
  <c r="AL293" i="32"/>
  <c r="AK293" i="32"/>
  <c r="AJ293" i="32"/>
  <c r="AI293" i="32"/>
  <c r="AH293" i="32"/>
  <c r="AD293" i="32"/>
  <c r="AC293" i="32"/>
  <c r="AB293" i="32"/>
  <c r="AA293" i="32"/>
  <c r="Z293" i="32"/>
  <c r="Y293" i="32"/>
  <c r="X293" i="32"/>
  <c r="BH291" i="32"/>
  <c r="BG291" i="32"/>
  <c r="BF291" i="32"/>
  <c r="BE291" i="32"/>
  <c r="BD291" i="32"/>
  <c r="BC291" i="32"/>
  <c r="BB291" i="32"/>
  <c r="BA291" i="32"/>
  <c r="AZ291" i="32"/>
  <c r="AW291" i="32"/>
  <c r="AV291" i="32"/>
  <c r="AU291" i="32"/>
  <c r="AL291" i="32"/>
  <c r="AK291" i="32"/>
  <c r="AJ291" i="32"/>
  <c r="AI291" i="32"/>
  <c r="AH291" i="32"/>
  <c r="AD291" i="32"/>
  <c r="AC291" i="32"/>
  <c r="AB291" i="32"/>
  <c r="AA291" i="32"/>
  <c r="Z291" i="32"/>
  <c r="Y291" i="32"/>
  <c r="X291" i="32"/>
  <c r="BH284" i="32"/>
  <c r="BG284" i="32"/>
  <c r="BF284" i="32"/>
  <c r="BE284" i="32"/>
  <c r="BD284" i="32"/>
  <c r="BC284" i="32"/>
  <c r="BB284" i="32"/>
  <c r="BA284" i="32"/>
  <c r="AZ284" i="32"/>
  <c r="AW284" i="32"/>
  <c r="AV284" i="32"/>
  <c r="AU284" i="32"/>
  <c r="AL284" i="32"/>
  <c r="AK284" i="32"/>
  <c r="AJ284" i="32"/>
  <c r="AI284" i="32"/>
  <c r="AH284" i="32"/>
  <c r="AD284" i="32"/>
  <c r="AC284" i="32"/>
  <c r="AB284" i="32"/>
  <c r="AA284" i="32"/>
  <c r="Z284" i="32"/>
  <c r="Y284" i="32"/>
  <c r="X284" i="32"/>
  <c r="BH277" i="32"/>
  <c r="BG277" i="32"/>
  <c r="BF277" i="32"/>
  <c r="BE277" i="32"/>
  <c r="BD277" i="32"/>
  <c r="BC277" i="32"/>
  <c r="BB277" i="32"/>
  <c r="BA277" i="32"/>
  <c r="AZ277" i="32"/>
  <c r="AW277" i="32"/>
  <c r="AV277" i="32"/>
  <c r="AU277" i="32"/>
  <c r="AL277" i="32"/>
  <c r="AK277" i="32"/>
  <c r="AJ277" i="32"/>
  <c r="AI277" i="32"/>
  <c r="AH277" i="32"/>
  <c r="AD277" i="32"/>
  <c r="AC277" i="32"/>
  <c r="AB277" i="32"/>
  <c r="AA277" i="32"/>
  <c r="Z277" i="32"/>
  <c r="Y277" i="32"/>
  <c r="X277" i="32"/>
  <c r="BH270" i="32"/>
  <c r="BG270" i="32"/>
  <c r="BF270" i="32"/>
  <c r="BE270" i="32"/>
  <c r="BD270" i="32"/>
  <c r="BC270" i="32"/>
  <c r="BB270" i="32"/>
  <c r="BA270" i="32"/>
  <c r="AZ270" i="32"/>
  <c r="AW270" i="32"/>
  <c r="AV270" i="32"/>
  <c r="AU270" i="32"/>
  <c r="AL270" i="32"/>
  <c r="AK270" i="32"/>
  <c r="AJ270" i="32"/>
  <c r="AI270" i="32"/>
  <c r="AH270" i="32"/>
  <c r="AD270" i="32"/>
  <c r="AC270" i="32"/>
  <c r="AB270" i="32"/>
  <c r="AA270" i="32"/>
  <c r="Z270" i="32"/>
  <c r="Y270" i="32"/>
  <c r="X270" i="32"/>
  <c r="BH263" i="32"/>
  <c r="BG263" i="32"/>
  <c r="BF263" i="32"/>
  <c r="BE263" i="32"/>
  <c r="BD263" i="32"/>
  <c r="BC263" i="32"/>
  <c r="BB263" i="32"/>
  <c r="BA263" i="32"/>
  <c r="AZ263" i="32"/>
  <c r="AW263" i="32"/>
  <c r="AV263" i="32"/>
  <c r="AU263" i="32"/>
  <c r="AL263" i="32"/>
  <c r="AK263" i="32"/>
  <c r="AJ263" i="32"/>
  <c r="AI263" i="32"/>
  <c r="AH263" i="32"/>
  <c r="AD263" i="32"/>
  <c r="AC263" i="32"/>
  <c r="AB263" i="32"/>
  <c r="AA263" i="32"/>
  <c r="Z263" i="32"/>
  <c r="Y263" i="32"/>
  <c r="X263" i="32"/>
  <c r="BH256" i="32"/>
  <c r="BG256" i="32"/>
  <c r="BF256" i="32"/>
  <c r="BE256" i="32"/>
  <c r="BD256" i="32"/>
  <c r="BC256" i="32"/>
  <c r="BB256" i="32"/>
  <c r="BA256" i="32"/>
  <c r="AZ256" i="32"/>
  <c r="AW256" i="32"/>
  <c r="AV256" i="32"/>
  <c r="AU256" i="32"/>
  <c r="AL256" i="32"/>
  <c r="AK256" i="32"/>
  <c r="AJ256" i="32"/>
  <c r="AI256" i="32"/>
  <c r="AH256" i="32"/>
  <c r="AD256" i="32"/>
  <c r="AC256" i="32"/>
  <c r="AB256" i="32"/>
  <c r="AA256" i="32"/>
  <c r="Z256" i="32"/>
  <c r="Y256" i="32"/>
  <c r="X256" i="32"/>
  <c r="BH249" i="32"/>
  <c r="BG249" i="32"/>
  <c r="BF249" i="32"/>
  <c r="BE249" i="32"/>
  <c r="BD249" i="32"/>
  <c r="BC249" i="32"/>
  <c r="BB249" i="32"/>
  <c r="BA249" i="32"/>
  <c r="AZ249" i="32"/>
  <c r="AW249" i="32"/>
  <c r="AV249" i="32"/>
  <c r="AU249" i="32"/>
  <c r="AL249" i="32"/>
  <c r="AK249" i="32"/>
  <c r="AJ249" i="32"/>
  <c r="AI249" i="32"/>
  <c r="AH249" i="32"/>
  <c r="AD249" i="32"/>
  <c r="AC249" i="32"/>
  <c r="AB249" i="32"/>
  <c r="AA249" i="32"/>
  <c r="Z249" i="32"/>
  <c r="Y249" i="32"/>
  <c r="X249" i="32"/>
  <c r="BH245" i="32"/>
  <c r="BG245" i="32"/>
  <c r="BF245" i="32"/>
  <c r="BE245" i="32"/>
  <c r="BD245" i="32"/>
  <c r="BC245" i="32"/>
  <c r="BB245" i="32"/>
  <c r="BA245" i="32"/>
  <c r="AZ245" i="32"/>
  <c r="AW245" i="32"/>
  <c r="AV245" i="32"/>
  <c r="AU245" i="32"/>
  <c r="AL245" i="32"/>
  <c r="AK245" i="32"/>
  <c r="AJ245" i="32"/>
  <c r="AI245" i="32"/>
  <c r="AH245" i="32"/>
  <c r="AD245" i="32"/>
  <c r="AC245" i="32"/>
  <c r="AB245" i="32"/>
  <c r="AA245" i="32"/>
  <c r="Z245" i="32"/>
  <c r="Y245" i="32"/>
  <c r="X245" i="32"/>
  <c r="BH238" i="32"/>
  <c r="BG238" i="32"/>
  <c r="BF238" i="32"/>
  <c r="BE238" i="32"/>
  <c r="BD238" i="32"/>
  <c r="BC238" i="32"/>
  <c r="BB238" i="32"/>
  <c r="BA238" i="32"/>
  <c r="AZ238" i="32"/>
  <c r="AW238" i="32"/>
  <c r="AV238" i="32"/>
  <c r="AU238" i="32"/>
  <c r="AL238" i="32"/>
  <c r="AK238" i="32"/>
  <c r="AJ238" i="32"/>
  <c r="AI238" i="32"/>
  <c r="AH238" i="32"/>
  <c r="AD238" i="32"/>
  <c r="AC238" i="32"/>
  <c r="AB238" i="32"/>
  <c r="AA238" i="32"/>
  <c r="Z238" i="32"/>
  <c r="Y238" i="32"/>
  <c r="X238" i="32"/>
  <c r="BH234" i="32"/>
  <c r="BG234" i="32"/>
  <c r="BF234" i="32"/>
  <c r="BE234" i="32"/>
  <c r="BD234" i="32"/>
  <c r="BC234" i="32"/>
  <c r="BB234" i="32"/>
  <c r="BA234" i="32"/>
  <c r="AZ234" i="32"/>
  <c r="AW234" i="32"/>
  <c r="AV234" i="32"/>
  <c r="AU234" i="32"/>
  <c r="AL234" i="32"/>
  <c r="AK234" i="32"/>
  <c r="AJ234" i="32"/>
  <c r="AI234" i="32"/>
  <c r="AH234" i="32"/>
  <c r="AD234" i="32"/>
  <c r="AC234" i="32"/>
  <c r="AB234" i="32"/>
  <c r="AA234" i="32"/>
  <c r="Z234" i="32"/>
  <c r="Y234" i="32"/>
  <c r="X234" i="32"/>
  <c r="BH227" i="32"/>
  <c r="BG227" i="32"/>
  <c r="BF227" i="32"/>
  <c r="BE227" i="32"/>
  <c r="BD227" i="32"/>
  <c r="BC227" i="32"/>
  <c r="BB227" i="32"/>
  <c r="BA227" i="32"/>
  <c r="AZ227" i="32"/>
  <c r="AW227" i="32"/>
  <c r="AV227" i="32"/>
  <c r="AU227" i="32"/>
  <c r="AL227" i="32"/>
  <c r="AK227" i="32"/>
  <c r="AJ227" i="32"/>
  <c r="AI227" i="32"/>
  <c r="AH227" i="32"/>
  <c r="AD227" i="32"/>
  <c r="AC227" i="32"/>
  <c r="AB227" i="32"/>
  <c r="AA227" i="32"/>
  <c r="Z227" i="32"/>
  <c r="Y227" i="32"/>
  <c r="X227" i="32"/>
  <c r="BH220" i="32"/>
  <c r="BG220" i="32"/>
  <c r="BF220" i="32"/>
  <c r="BE220" i="32"/>
  <c r="BD220" i="32"/>
  <c r="BC220" i="32"/>
  <c r="BB220" i="32"/>
  <c r="BA220" i="32"/>
  <c r="AZ220" i="32"/>
  <c r="AW220" i="32"/>
  <c r="AV220" i="32"/>
  <c r="AU220" i="32"/>
  <c r="AL220" i="32"/>
  <c r="AK220" i="32"/>
  <c r="AJ220" i="32"/>
  <c r="AI220" i="32"/>
  <c r="AH220" i="32"/>
  <c r="AD220" i="32"/>
  <c r="AC220" i="32"/>
  <c r="AB220" i="32"/>
  <c r="AA220" i="32"/>
  <c r="Z220" i="32"/>
  <c r="Y220" i="32"/>
  <c r="X220" i="32"/>
  <c r="BH216" i="32"/>
  <c r="BG216" i="32"/>
  <c r="BF216" i="32"/>
  <c r="BE216" i="32"/>
  <c r="BD216" i="32"/>
  <c r="BC216" i="32"/>
  <c r="BB216" i="32"/>
  <c r="BA216" i="32"/>
  <c r="AZ216" i="32"/>
  <c r="AW216" i="32"/>
  <c r="AV216" i="32"/>
  <c r="AU216" i="32"/>
  <c r="AL216" i="32"/>
  <c r="AK216" i="32"/>
  <c r="AJ216" i="32"/>
  <c r="AI216" i="32"/>
  <c r="AH216" i="32"/>
  <c r="AD216" i="32"/>
  <c r="AC216" i="32"/>
  <c r="AB216" i="32"/>
  <c r="AA216" i="32"/>
  <c r="Z216" i="32"/>
  <c r="Y216" i="32"/>
  <c r="X216" i="32"/>
  <c r="BH214" i="32"/>
  <c r="BG214" i="32"/>
  <c r="BF214" i="32"/>
  <c r="BE214" i="32"/>
  <c r="BD214" i="32"/>
  <c r="BC214" i="32"/>
  <c r="BB214" i="32"/>
  <c r="BA214" i="32"/>
  <c r="AZ214" i="32"/>
  <c r="AW214" i="32"/>
  <c r="AV214" i="32"/>
  <c r="AU214" i="32"/>
  <c r="AL214" i="32"/>
  <c r="AK214" i="32"/>
  <c r="AJ214" i="32"/>
  <c r="AI214" i="32"/>
  <c r="AH214" i="32"/>
  <c r="AD214" i="32"/>
  <c r="AC214" i="32"/>
  <c r="AB214" i="32"/>
  <c r="AA214" i="32"/>
  <c r="Z214" i="32"/>
  <c r="Y214" i="32"/>
  <c r="X214" i="32"/>
  <c r="BH205" i="32"/>
  <c r="BG205" i="32"/>
  <c r="BF205" i="32"/>
  <c r="BE205" i="32"/>
  <c r="BD205" i="32"/>
  <c r="BC205" i="32"/>
  <c r="BB205" i="32"/>
  <c r="BA205" i="32"/>
  <c r="AZ205" i="32"/>
  <c r="AW205" i="32"/>
  <c r="AV205" i="32"/>
  <c r="AU205" i="32"/>
  <c r="AL205" i="32"/>
  <c r="AK205" i="32"/>
  <c r="AJ205" i="32"/>
  <c r="AI205" i="32"/>
  <c r="AH205" i="32"/>
  <c r="AD205" i="32"/>
  <c r="AC205" i="32"/>
  <c r="AB205" i="32"/>
  <c r="AA205" i="32"/>
  <c r="Z205" i="32"/>
  <c r="Y205" i="32"/>
  <c r="X205" i="32"/>
  <c r="BH199" i="32"/>
  <c r="BG199" i="32"/>
  <c r="BF199" i="32"/>
  <c r="BE199" i="32"/>
  <c r="BD199" i="32"/>
  <c r="BC199" i="32"/>
  <c r="BB199" i="32"/>
  <c r="BA199" i="32"/>
  <c r="AZ199" i="32"/>
  <c r="AW199" i="32"/>
  <c r="AV199" i="32"/>
  <c r="AU199" i="32"/>
  <c r="AL199" i="32"/>
  <c r="AK199" i="32"/>
  <c r="AJ199" i="32"/>
  <c r="AI199" i="32"/>
  <c r="AH199" i="32"/>
  <c r="AD199" i="32"/>
  <c r="AC199" i="32"/>
  <c r="AB199" i="32"/>
  <c r="AA199" i="32"/>
  <c r="Z199" i="32"/>
  <c r="Y199" i="32"/>
  <c r="X199" i="32"/>
  <c r="BH195" i="32"/>
  <c r="BG195" i="32"/>
  <c r="BF195" i="32"/>
  <c r="BE195" i="32"/>
  <c r="BD195" i="32"/>
  <c r="BC195" i="32"/>
  <c r="BB195" i="32"/>
  <c r="BA195" i="32"/>
  <c r="AZ195" i="32"/>
  <c r="AW195" i="32"/>
  <c r="AV195" i="32"/>
  <c r="AU195" i="32"/>
  <c r="AL195" i="32"/>
  <c r="AK195" i="32"/>
  <c r="AJ195" i="32"/>
  <c r="AI195" i="32"/>
  <c r="AH195" i="32"/>
  <c r="AD195" i="32"/>
  <c r="AC195" i="32"/>
  <c r="AB195" i="32"/>
  <c r="AA195" i="32"/>
  <c r="Z195" i="32"/>
  <c r="Y195" i="32"/>
  <c r="X195" i="32"/>
  <c r="BH188" i="32"/>
  <c r="BG188" i="32"/>
  <c r="BF188" i="32"/>
  <c r="BE188" i="32"/>
  <c r="BD188" i="32"/>
  <c r="BC188" i="32"/>
  <c r="BB188" i="32"/>
  <c r="BA188" i="32"/>
  <c r="AZ188" i="32"/>
  <c r="AW188" i="32"/>
  <c r="AV188" i="32"/>
  <c r="AU188" i="32"/>
  <c r="AL188" i="32"/>
  <c r="AK188" i="32"/>
  <c r="AJ188" i="32"/>
  <c r="AI188" i="32"/>
  <c r="AH188" i="32"/>
  <c r="AD188" i="32"/>
  <c r="AC188" i="32"/>
  <c r="AB188" i="32"/>
  <c r="AA188" i="32"/>
  <c r="Z188" i="32"/>
  <c r="Y188" i="32"/>
  <c r="X188" i="32"/>
  <c r="BH182" i="32"/>
  <c r="BG182" i="32"/>
  <c r="BF182" i="32"/>
  <c r="BE182" i="32"/>
  <c r="BD182" i="32"/>
  <c r="BC182" i="32"/>
  <c r="BB182" i="32"/>
  <c r="BA182" i="32"/>
  <c r="AZ182" i="32"/>
  <c r="AW182" i="32"/>
  <c r="AV182" i="32"/>
  <c r="AU182" i="32"/>
  <c r="AL182" i="32"/>
  <c r="AK182" i="32"/>
  <c r="AJ182" i="32"/>
  <c r="AI182" i="32"/>
  <c r="AH182" i="32"/>
  <c r="AD182" i="32"/>
  <c r="AC182" i="32"/>
  <c r="AB182" i="32"/>
  <c r="AA182" i="32"/>
  <c r="Z182" i="32"/>
  <c r="Y182" i="32"/>
  <c r="X182" i="32"/>
  <c r="BH178" i="32"/>
  <c r="BG178" i="32"/>
  <c r="BF178" i="32"/>
  <c r="BE178" i="32"/>
  <c r="BD178" i="32"/>
  <c r="BC178" i="32"/>
  <c r="BB178" i="32"/>
  <c r="BA178" i="32"/>
  <c r="AZ178" i="32"/>
  <c r="AW178" i="32"/>
  <c r="AV178" i="32"/>
  <c r="AU178" i="32"/>
  <c r="AL178" i="32"/>
  <c r="AK178" i="32"/>
  <c r="AJ178" i="32"/>
  <c r="AI178" i="32"/>
  <c r="AH178" i="32"/>
  <c r="AD178" i="32"/>
  <c r="AC178" i="32"/>
  <c r="AB178" i="32"/>
  <c r="AA178" i="32"/>
  <c r="Z178" i="32"/>
  <c r="Y178" i="32"/>
  <c r="X178" i="32"/>
  <c r="BH171" i="32"/>
  <c r="BG171" i="32"/>
  <c r="BF171" i="32"/>
  <c r="BE171" i="32"/>
  <c r="BD171" i="32"/>
  <c r="BC171" i="32"/>
  <c r="BB171" i="32"/>
  <c r="BA171" i="32"/>
  <c r="AZ171" i="32"/>
  <c r="AW171" i="32"/>
  <c r="AV171" i="32"/>
  <c r="AU171" i="32"/>
  <c r="AL171" i="32"/>
  <c r="AK171" i="32"/>
  <c r="AJ171" i="32"/>
  <c r="AI171" i="32"/>
  <c r="AH171" i="32"/>
  <c r="AD171" i="32"/>
  <c r="AC171" i="32"/>
  <c r="AB171" i="32"/>
  <c r="AA171" i="32"/>
  <c r="Z171" i="32"/>
  <c r="Y171" i="32"/>
  <c r="X171" i="32"/>
  <c r="BH164" i="32"/>
  <c r="BG164" i="32"/>
  <c r="BF164" i="32"/>
  <c r="BE164" i="32"/>
  <c r="BD164" i="32"/>
  <c r="BC164" i="32"/>
  <c r="BB164" i="32"/>
  <c r="BA164" i="32"/>
  <c r="AZ164" i="32"/>
  <c r="AW164" i="32"/>
  <c r="AV164" i="32"/>
  <c r="AU164" i="32"/>
  <c r="AL164" i="32"/>
  <c r="AK164" i="32"/>
  <c r="AJ164" i="32"/>
  <c r="AI164" i="32"/>
  <c r="AH164" i="32"/>
  <c r="AD164" i="32"/>
  <c r="AC164" i="32"/>
  <c r="AB164" i="32"/>
  <c r="AA164" i="32"/>
  <c r="Z164" i="32"/>
  <c r="Y164" i="32"/>
  <c r="X164" i="32"/>
  <c r="BH157" i="32"/>
  <c r="BG157" i="32"/>
  <c r="BF157" i="32"/>
  <c r="BE157" i="32"/>
  <c r="BD157" i="32"/>
  <c r="BC157" i="32"/>
  <c r="BB157" i="32"/>
  <c r="BA157" i="32"/>
  <c r="AZ157" i="32"/>
  <c r="AW157" i="32"/>
  <c r="AV157" i="32"/>
  <c r="AU157" i="32"/>
  <c r="AL157" i="32"/>
  <c r="AK157" i="32"/>
  <c r="AJ157" i="32"/>
  <c r="AI157" i="32"/>
  <c r="AH157" i="32"/>
  <c r="AD157" i="32"/>
  <c r="AC157" i="32"/>
  <c r="AB157" i="32"/>
  <c r="AA157" i="32"/>
  <c r="Z157" i="32"/>
  <c r="Y157" i="32"/>
  <c r="X157" i="32"/>
  <c r="BH150" i="32"/>
  <c r="BG150" i="32"/>
  <c r="BF150" i="32"/>
  <c r="BE150" i="32"/>
  <c r="BD150" i="32"/>
  <c r="BC150" i="32"/>
  <c r="BB150" i="32"/>
  <c r="BA150" i="32"/>
  <c r="AZ150" i="32"/>
  <c r="AW150" i="32"/>
  <c r="AV150" i="32"/>
  <c r="AU150" i="32"/>
  <c r="AL150" i="32"/>
  <c r="AK150" i="32"/>
  <c r="AJ150" i="32"/>
  <c r="AI150" i="32"/>
  <c r="AH150" i="32"/>
  <c r="AD150" i="32"/>
  <c r="AC150" i="32"/>
  <c r="AB150" i="32"/>
  <c r="AA150" i="32"/>
  <c r="Z150" i="32"/>
  <c r="Y150" i="32"/>
  <c r="X150" i="32"/>
  <c r="BH146" i="32"/>
  <c r="BG146" i="32"/>
  <c r="BF146" i="32"/>
  <c r="BE146" i="32"/>
  <c r="BD146" i="32"/>
  <c r="BC146" i="32"/>
  <c r="BB146" i="32"/>
  <c r="BA146" i="32"/>
  <c r="AZ146" i="32"/>
  <c r="AW146" i="32"/>
  <c r="AV146" i="32"/>
  <c r="AU146" i="32"/>
  <c r="AL146" i="32"/>
  <c r="AK146" i="32"/>
  <c r="AJ146" i="32"/>
  <c r="AI146" i="32"/>
  <c r="AH146" i="32"/>
  <c r="AD146" i="32"/>
  <c r="AC146" i="32"/>
  <c r="AB146" i="32"/>
  <c r="AA146" i="32"/>
  <c r="Z146" i="32"/>
  <c r="Y146" i="32"/>
  <c r="X146" i="32"/>
  <c r="BH144" i="32"/>
  <c r="BG144" i="32"/>
  <c r="BF144" i="32"/>
  <c r="BE144" i="32"/>
  <c r="BD144" i="32"/>
  <c r="BC144" i="32"/>
  <c r="BB144" i="32"/>
  <c r="BA144" i="32"/>
  <c r="AZ144" i="32"/>
  <c r="AW144" i="32"/>
  <c r="AV144" i="32"/>
  <c r="AU144" i="32"/>
  <c r="AL144" i="32"/>
  <c r="AK144" i="32"/>
  <c r="AJ144" i="32"/>
  <c r="AI144" i="32"/>
  <c r="AH144" i="32"/>
  <c r="AD144" i="32"/>
  <c r="AC144" i="32"/>
  <c r="AB144" i="32"/>
  <c r="AA144" i="32"/>
  <c r="Z144" i="32"/>
  <c r="Y144" i="32"/>
  <c r="X144" i="32"/>
  <c r="BH137" i="32"/>
  <c r="BG137" i="32"/>
  <c r="BF137" i="32"/>
  <c r="BE137" i="32"/>
  <c r="BD137" i="32"/>
  <c r="BC137" i="32"/>
  <c r="BB137" i="32"/>
  <c r="BA137" i="32"/>
  <c r="AZ137" i="32"/>
  <c r="AW137" i="32"/>
  <c r="AV137" i="32"/>
  <c r="AU137" i="32"/>
  <c r="AL137" i="32"/>
  <c r="AK137" i="32"/>
  <c r="AJ137" i="32"/>
  <c r="AI137" i="32"/>
  <c r="AH137" i="32"/>
  <c r="AD137" i="32"/>
  <c r="AC137" i="32"/>
  <c r="AB137" i="32"/>
  <c r="AA137" i="32"/>
  <c r="Z137" i="32"/>
  <c r="Y137" i="32"/>
  <c r="X137" i="32"/>
  <c r="BH130" i="32"/>
  <c r="BG130" i="32"/>
  <c r="BF130" i="32"/>
  <c r="BE130" i="32"/>
  <c r="BD130" i="32"/>
  <c r="BC130" i="32"/>
  <c r="BB130" i="32"/>
  <c r="BA130" i="32"/>
  <c r="AZ130" i="32"/>
  <c r="AW130" i="32"/>
  <c r="AV130" i="32"/>
  <c r="AU130" i="32"/>
  <c r="AL130" i="32"/>
  <c r="AK130" i="32"/>
  <c r="AJ130" i="32"/>
  <c r="AI130" i="32"/>
  <c r="AH130" i="32"/>
  <c r="AD130" i="32"/>
  <c r="AC130" i="32"/>
  <c r="AB130" i="32"/>
  <c r="AA130" i="32"/>
  <c r="Z130" i="32"/>
  <c r="Y130" i="32"/>
  <c r="X130" i="32"/>
  <c r="BH124" i="32"/>
  <c r="BG124" i="32"/>
  <c r="BF124" i="32"/>
  <c r="BE124" i="32"/>
  <c r="BD124" i="32"/>
  <c r="BC124" i="32"/>
  <c r="BB124" i="32"/>
  <c r="BA124" i="32"/>
  <c r="AZ124" i="32"/>
  <c r="AW124" i="32"/>
  <c r="AV124" i="32"/>
  <c r="AU124" i="32"/>
  <c r="AL124" i="32"/>
  <c r="AK124" i="32"/>
  <c r="AJ124" i="32"/>
  <c r="AI124" i="32"/>
  <c r="AH124" i="32"/>
  <c r="AD124" i="32"/>
  <c r="AC124" i="32"/>
  <c r="AB124" i="32"/>
  <c r="AA124" i="32"/>
  <c r="Z124" i="32"/>
  <c r="Y124" i="32"/>
  <c r="X124" i="32"/>
  <c r="BH120" i="32"/>
  <c r="BG120" i="32"/>
  <c r="BF120" i="32"/>
  <c r="BE120" i="32"/>
  <c r="BD120" i="32"/>
  <c r="BC120" i="32"/>
  <c r="BB120" i="32"/>
  <c r="BA120" i="32"/>
  <c r="AZ120" i="32"/>
  <c r="AW120" i="32"/>
  <c r="AV120" i="32"/>
  <c r="AU120" i="32"/>
  <c r="AL120" i="32"/>
  <c r="AK120" i="32"/>
  <c r="AJ120" i="32"/>
  <c r="AI120" i="32"/>
  <c r="AH120" i="32"/>
  <c r="AD120" i="32"/>
  <c r="AC120" i="32"/>
  <c r="AB120" i="32"/>
  <c r="AA120" i="32"/>
  <c r="Z120" i="32"/>
  <c r="Y120" i="32"/>
  <c r="X120" i="32"/>
  <c r="BH113" i="32"/>
  <c r="BG113" i="32"/>
  <c r="BF113" i="32"/>
  <c r="BE113" i="32"/>
  <c r="BD113" i="32"/>
  <c r="BC113" i="32"/>
  <c r="BB113" i="32"/>
  <c r="BA113" i="32"/>
  <c r="AZ113" i="32"/>
  <c r="AW113" i="32"/>
  <c r="AV113" i="32"/>
  <c r="AU113" i="32"/>
  <c r="AL113" i="32"/>
  <c r="AK113" i="32"/>
  <c r="AJ113" i="32"/>
  <c r="AI113" i="32"/>
  <c r="AH113" i="32"/>
  <c r="AD113" i="32"/>
  <c r="AC113" i="32"/>
  <c r="AB113" i="32"/>
  <c r="AA113" i="32"/>
  <c r="Z113" i="32"/>
  <c r="Y113" i="32"/>
  <c r="X113" i="32"/>
  <c r="BH109" i="32"/>
  <c r="BG109" i="32"/>
  <c r="BF109" i="32"/>
  <c r="BE109" i="32"/>
  <c r="BD109" i="32"/>
  <c r="BC109" i="32"/>
  <c r="BB109" i="32"/>
  <c r="BA109" i="32"/>
  <c r="AZ109" i="32"/>
  <c r="AW109" i="32"/>
  <c r="AV109" i="32"/>
  <c r="AU109" i="32"/>
  <c r="AL109" i="32"/>
  <c r="AK109" i="32"/>
  <c r="AJ109" i="32"/>
  <c r="AI109" i="32"/>
  <c r="AH109" i="32"/>
  <c r="AD109" i="32"/>
  <c r="AC109" i="32"/>
  <c r="AB109" i="32"/>
  <c r="AA109" i="32"/>
  <c r="Z109" i="32"/>
  <c r="Y109" i="32"/>
  <c r="X109" i="32"/>
  <c r="BH107" i="32"/>
  <c r="BG107" i="32"/>
  <c r="BF107" i="32"/>
  <c r="BE107" i="32"/>
  <c r="BD107" i="32"/>
  <c r="BC107" i="32"/>
  <c r="BB107" i="32"/>
  <c r="BA107" i="32"/>
  <c r="AZ107" i="32"/>
  <c r="AW107" i="32"/>
  <c r="AV107" i="32"/>
  <c r="AU107" i="32"/>
  <c r="AL107" i="32"/>
  <c r="AK107" i="32"/>
  <c r="AJ107" i="32"/>
  <c r="AI107" i="32"/>
  <c r="AH107" i="32"/>
  <c r="AD107" i="32"/>
  <c r="AC107" i="32"/>
  <c r="AB107" i="32"/>
  <c r="AA107" i="32"/>
  <c r="Z107" i="32"/>
  <c r="Y107" i="32"/>
  <c r="X107" i="32"/>
  <c r="BH96" i="32"/>
  <c r="BG96" i="32"/>
  <c r="BF96" i="32"/>
  <c r="BE96" i="32"/>
  <c r="BD96" i="32"/>
  <c r="BC96" i="32"/>
  <c r="BB96" i="32"/>
  <c r="BA96" i="32"/>
  <c r="AZ96" i="32"/>
  <c r="AW96" i="32"/>
  <c r="AV96" i="32"/>
  <c r="AU96" i="32"/>
  <c r="AL96" i="32"/>
  <c r="AK96" i="32"/>
  <c r="AJ96" i="32"/>
  <c r="AI96" i="32"/>
  <c r="AH96" i="32"/>
  <c r="AD96" i="32"/>
  <c r="AC96" i="32"/>
  <c r="AB96" i="32"/>
  <c r="AA96" i="32"/>
  <c r="Z96" i="32"/>
  <c r="Y96" i="32"/>
  <c r="X96" i="32"/>
  <c r="BH90" i="32"/>
  <c r="BG90" i="32"/>
  <c r="BF90" i="32"/>
  <c r="BE90" i="32"/>
  <c r="BD90" i="32"/>
  <c r="BC90" i="32"/>
  <c r="BB90" i="32"/>
  <c r="BA90" i="32"/>
  <c r="AZ90" i="32"/>
  <c r="AW90" i="32"/>
  <c r="AV90" i="32"/>
  <c r="AU90" i="32"/>
  <c r="AL90" i="32"/>
  <c r="AK90" i="32"/>
  <c r="AJ90" i="32"/>
  <c r="AI90" i="32"/>
  <c r="AH90" i="32"/>
  <c r="AD90" i="32"/>
  <c r="AC90" i="32"/>
  <c r="AB90" i="32"/>
  <c r="AA90" i="32"/>
  <c r="Z90" i="32"/>
  <c r="Y90" i="32"/>
  <c r="X90" i="32"/>
  <c r="BH84" i="32"/>
  <c r="BG84" i="32"/>
  <c r="BF84" i="32"/>
  <c r="BE84" i="32"/>
  <c r="BD84" i="32"/>
  <c r="BC84" i="32"/>
  <c r="BB84" i="32"/>
  <c r="BA84" i="32"/>
  <c r="AZ84" i="32"/>
  <c r="AW84" i="32"/>
  <c r="AV84" i="32"/>
  <c r="AU84" i="32"/>
  <c r="AL84" i="32"/>
  <c r="AK84" i="32"/>
  <c r="AJ84" i="32"/>
  <c r="AI84" i="32"/>
  <c r="AH84" i="32"/>
  <c r="AD84" i="32"/>
  <c r="AC84" i="32"/>
  <c r="AB84" i="32"/>
  <c r="AA84" i="32"/>
  <c r="Z84" i="32"/>
  <c r="Y84" i="32"/>
  <c r="X84" i="32"/>
  <c r="BH77" i="32"/>
  <c r="BG77" i="32"/>
  <c r="BF77" i="32"/>
  <c r="BE77" i="32"/>
  <c r="BD77" i="32"/>
  <c r="BC77" i="32"/>
  <c r="BB77" i="32"/>
  <c r="BA77" i="32"/>
  <c r="AZ77" i="32"/>
  <c r="AW77" i="32"/>
  <c r="AV77" i="32"/>
  <c r="AU77" i="32"/>
  <c r="AL77" i="32"/>
  <c r="AK77" i="32"/>
  <c r="AJ77" i="32"/>
  <c r="AI77" i="32"/>
  <c r="AH77" i="32"/>
  <c r="AD77" i="32"/>
  <c r="AC77" i="32"/>
  <c r="AB77" i="32"/>
  <c r="AA77" i="32"/>
  <c r="Z77" i="32"/>
  <c r="Y77" i="32"/>
  <c r="X77" i="32"/>
  <c r="BH71" i="32"/>
  <c r="BG71" i="32"/>
  <c r="BF71" i="32"/>
  <c r="BE71" i="32"/>
  <c r="BD71" i="32"/>
  <c r="BC71" i="32"/>
  <c r="BB71" i="32"/>
  <c r="BA71" i="32"/>
  <c r="AZ71" i="32"/>
  <c r="AW71" i="32"/>
  <c r="AV71" i="32"/>
  <c r="AU71" i="32"/>
  <c r="AL71" i="32"/>
  <c r="AK71" i="32"/>
  <c r="AJ71" i="32"/>
  <c r="AI71" i="32"/>
  <c r="AH71" i="32"/>
  <c r="AD71" i="32"/>
  <c r="AC71" i="32"/>
  <c r="AB71" i="32"/>
  <c r="AA71" i="32"/>
  <c r="Z71" i="32"/>
  <c r="Y71" i="32"/>
  <c r="X71" i="32"/>
  <c r="BH65" i="32"/>
  <c r="BG65" i="32"/>
  <c r="BF65" i="32"/>
  <c r="BE65" i="32"/>
  <c r="BD65" i="32"/>
  <c r="BC65" i="32"/>
  <c r="BB65" i="32"/>
  <c r="BA65" i="32"/>
  <c r="AZ65" i="32"/>
  <c r="AW65" i="32"/>
  <c r="AV65" i="32"/>
  <c r="AU65" i="32"/>
  <c r="AL65" i="32"/>
  <c r="AK65" i="32"/>
  <c r="AJ65" i="32"/>
  <c r="AI65" i="32"/>
  <c r="AH65" i="32"/>
  <c r="AD65" i="32"/>
  <c r="AC65" i="32"/>
  <c r="AB65" i="32"/>
  <c r="AA65" i="32"/>
  <c r="Z65" i="32"/>
  <c r="Y65" i="32"/>
  <c r="X65" i="32"/>
  <c r="BH58" i="32"/>
  <c r="BG58" i="32"/>
  <c r="BF58" i="32"/>
  <c r="BE58" i="32"/>
  <c r="BD58" i="32"/>
  <c r="BC58" i="32"/>
  <c r="BB58" i="32"/>
  <c r="BA58" i="32"/>
  <c r="AZ58" i="32"/>
  <c r="AW58" i="32"/>
  <c r="AV58" i="32"/>
  <c r="AU58" i="32"/>
  <c r="AL58" i="32"/>
  <c r="AK58" i="32"/>
  <c r="AJ58" i="32"/>
  <c r="AI58" i="32"/>
  <c r="AH58" i="32"/>
  <c r="AD58" i="32"/>
  <c r="AC58" i="32"/>
  <c r="AB58" i="32"/>
  <c r="AA58" i="32"/>
  <c r="Z58" i="32"/>
  <c r="Y58" i="32"/>
  <c r="X58" i="32"/>
  <c r="BH52" i="32"/>
  <c r="BG52" i="32"/>
  <c r="BF52" i="32"/>
  <c r="BE52" i="32"/>
  <c r="BD52" i="32"/>
  <c r="BC52" i="32"/>
  <c r="BB52" i="32"/>
  <c r="BA52" i="32"/>
  <c r="AZ52" i="32"/>
  <c r="AW52" i="32"/>
  <c r="AV52" i="32"/>
  <c r="AU52" i="32"/>
  <c r="AL52" i="32"/>
  <c r="AK52" i="32"/>
  <c r="AJ52" i="32"/>
  <c r="AI52" i="32"/>
  <c r="AH52" i="32"/>
  <c r="AD52" i="32"/>
  <c r="AC52" i="32"/>
  <c r="AB52" i="32"/>
  <c r="AA52" i="32"/>
  <c r="Z52" i="32"/>
  <c r="Y52" i="32"/>
  <c r="X52" i="32"/>
  <c r="BH45" i="32"/>
  <c r="BG45" i="32"/>
  <c r="BF45" i="32"/>
  <c r="BE45" i="32"/>
  <c r="BD45" i="32"/>
  <c r="BC45" i="32"/>
  <c r="BB45" i="32"/>
  <c r="BA45" i="32"/>
  <c r="AZ45" i="32"/>
  <c r="AW45" i="32"/>
  <c r="AV45" i="32"/>
  <c r="AU45" i="32"/>
  <c r="AL45" i="32"/>
  <c r="AK45" i="32"/>
  <c r="AJ45" i="32"/>
  <c r="AI45" i="32"/>
  <c r="AH45" i="32"/>
  <c r="AD45" i="32"/>
  <c r="AC45" i="32"/>
  <c r="AB45" i="32"/>
  <c r="AA45" i="32"/>
  <c r="Z45" i="32"/>
  <c r="Y45" i="32"/>
  <c r="X45" i="32"/>
  <c r="BH43" i="32"/>
  <c r="BG43" i="32"/>
  <c r="BF43" i="32"/>
  <c r="BE43" i="32"/>
  <c r="BD43" i="32"/>
  <c r="BC43" i="32"/>
  <c r="BB43" i="32"/>
  <c r="BA43" i="32"/>
  <c r="AZ43" i="32"/>
  <c r="AW43" i="32"/>
  <c r="AV43" i="32"/>
  <c r="AU43" i="32"/>
  <c r="AL43" i="32"/>
  <c r="AK43" i="32"/>
  <c r="AJ43" i="32"/>
  <c r="AI43" i="32"/>
  <c r="AH43" i="32"/>
  <c r="AD43" i="32"/>
  <c r="AC43" i="32"/>
  <c r="AB43" i="32"/>
  <c r="AA43" i="32"/>
  <c r="Z43" i="32"/>
  <c r="Y43" i="32"/>
  <c r="X43" i="32"/>
  <c r="BH39" i="32"/>
  <c r="BG39" i="32"/>
  <c r="BF39" i="32"/>
  <c r="BE39" i="32"/>
  <c r="BD39" i="32"/>
  <c r="BC39" i="32"/>
  <c r="BB39" i="32"/>
  <c r="BA39" i="32"/>
  <c r="AZ39" i="32"/>
  <c r="AW39" i="32"/>
  <c r="AV39" i="32"/>
  <c r="AU39" i="32"/>
  <c r="AL39" i="32"/>
  <c r="AK39" i="32"/>
  <c r="AJ39" i="32"/>
  <c r="AI39" i="32"/>
  <c r="AH39" i="32"/>
  <c r="AD39" i="32"/>
  <c r="AC39" i="32"/>
  <c r="AB39" i="32"/>
  <c r="AA39" i="32"/>
  <c r="Z39" i="32"/>
  <c r="Y39" i="32"/>
  <c r="X39" i="32"/>
  <c r="BH35" i="32"/>
  <c r="BG35" i="32"/>
  <c r="BF35" i="32"/>
  <c r="BE35" i="32"/>
  <c r="BD35" i="32"/>
  <c r="BC35" i="32"/>
  <c r="BB35" i="32"/>
  <c r="BA35" i="32"/>
  <c r="AZ35" i="32"/>
  <c r="AW35" i="32"/>
  <c r="AV35" i="32"/>
  <c r="AU35" i="32"/>
  <c r="AL35" i="32"/>
  <c r="AK35" i="32"/>
  <c r="AJ35" i="32"/>
  <c r="AI35" i="32"/>
  <c r="AH35" i="32"/>
  <c r="AD35" i="32"/>
  <c r="AC35" i="32"/>
  <c r="AB35" i="32"/>
  <c r="AA35" i="32"/>
  <c r="Z35" i="32"/>
  <c r="Y35" i="32"/>
  <c r="X35" i="32"/>
  <c r="BH31" i="32"/>
  <c r="BG31" i="32"/>
  <c r="BF31" i="32"/>
  <c r="BE31" i="32"/>
  <c r="BD31" i="32"/>
  <c r="BC31" i="32"/>
  <c r="BB31" i="32"/>
  <c r="BA31" i="32"/>
  <c r="AZ31" i="32"/>
  <c r="AW31" i="32"/>
  <c r="AV31" i="32"/>
  <c r="AU31" i="32"/>
  <c r="AL31" i="32"/>
  <c r="AK31" i="32"/>
  <c r="AJ31" i="32"/>
  <c r="AI31" i="32"/>
  <c r="AH31" i="32"/>
  <c r="AD31" i="32"/>
  <c r="AC31" i="32"/>
  <c r="AB31" i="32"/>
  <c r="AA31" i="32"/>
  <c r="Z31" i="32"/>
  <c r="Y31" i="32"/>
  <c r="X31" i="32"/>
  <c r="BH27" i="32"/>
  <c r="BG27" i="32"/>
  <c r="BF27" i="32"/>
  <c r="BE27" i="32"/>
  <c r="BD27" i="32"/>
  <c r="BC27" i="32"/>
  <c r="BB27" i="32"/>
  <c r="BA27" i="32"/>
  <c r="AZ27" i="32"/>
  <c r="AW27" i="32"/>
  <c r="AV27" i="32"/>
  <c r="AU27" i="32"/>
  <c r="AL27" i="32"/>
  <c r="AK27" i="32"/>
  <c r="AJ27" i="32"/>
  <c r="AI27" i="32"/>
  <c r="AH27" i="32"/>
  <c r="AD27" i="32"/>
  <c r="AC27" i="32"/>
  <c r="AB27" i="32"/>
  <c r="AA27" i="32"/>
  <c r="Z27" i="32"/>
  <c r="Y27" i="32"/>
  <c r="X27" i="32"/>
  <c r="BH22" i="32"/>
  <c r="BG22" i="32"/>
  <c r="BF22" i="32"/>
  <c r="BE22" i="32"/>
  <c r="BD22" i="32"/>
  <c r="BC22" i="32"/>
  <c r="BB22" i="32"/>
  <c r="BA22" i="32"/>
  <c r="AZ22" i="32"/>
  <c r="AW22" i="32"/>
  <c r="AV22" i="32"/>
  <c r="AU22" i="32"/>
  <c r="AL22" i="32"/>
  <c r="AK22" i="32"/>
  <c r="AJ22" i="32"/>
  <c r="AI22" i="32"/>
  <c r="AH22" i="32"/>
  <c r="AD22" i="32"/>
  <c r="AC22" i="32"/>
  <c r="AB22" i="32"/>
  <c r="AA22" i="32"/>
  <c r="Z22" i="32"/>
  <c r="Y22" i="32"/>
  <c r="X22" i="32"/>
  <c r="BH17" i="32"/>
  <c r="BG17" i="32"/>
  <c r="BF17" i="32"/>
  <c r="BE17" i="32"/>
  <c r="BD17" i="32"/>
  <c r="BC17" i="32"/>
  <c r="BB17" i="32"/>
  <c r="BA17" i="32"/>
  <c r="AZ17" i="32"/>
  <c r="AW17" i="32"/>
  <c r="AV17" i="32"/>
  <c r="AU17" i="32"/>
  <c r="AL17" i="32"/>
  <c r="AK17" i="32"/>
  <c r="AJ17" i="32"/>
  <c r="AI17" i="32"/>
  <c r="AH17" i="32"/>
  <c r="AD17" i="32"/>
  <c r="AC17" i="32"/>
  <c r="AB17" i="32"/>
  <c r="AA17" i="32"/>
  <c r="Z17" i="32"/>
  <c r="Y17" i="32"/>
  <c r="X17" i="32"/>
  <c r="BH13" i="32"/>
  <c r="BG13" i="32"/>
  <c r="BF13" i="32"/>
  <c r="BF294" i="32" s="1"/>
  <c r="BE13" i="32"/>
  <c r="BD13" i="32"/>
  <c r="BC13" i="32"/>
  <c r="BB13" i="32"/>
  <c r="BA13" i="32"/>
  <c r="AZ13" i="32"/>
  <c r="AW13" i="32"/>
  <c r="AW294" i="32" s="1"/>
  <c r="AV13" i="32"/>
  <c r="AU13" i="32"/>
  <c r="AL13" i="32"/>
  <c r="AK13" i="32"/>
  <c r="AJ13" i="32"/>
  <c r="AI13" i="32"/>
  <c r="AH13" i="32"/>
  <c r="AD13" i="32"/>
  <c r="AC13" i="32"/>
  <c r="AB13" i="32"/>
  <c r="AB294" i="32" s="1"/>
  <c r="AA13" i="32"/>
  <c r="Z13" i="32"/>
  <c r="Y13" i="32"/>
  <c r="X13" i="32"/>
  <c r="BH73" i="31"/>
  <c r="BG73" i="31"/>
  <c r="BF73" i="31"/>
  <c r="BE73" i="31"/>
  <c r="BD73" i="31"/>
  <c r="BC73" i="31"/>
  <c r="BB73" i="31"/>
  <c r="BA73" i="31"/>
  <c r="AZ73" i="31"/>
  <c r="AW73" i="31"/>
  <c r="AV73" i="31"/>
  <c r="AU73" i="31"/>
  <c r="AL73" i="31"/>
  <c r="AK73" i="31"/>
  <c r="AJ73" i="31"/>
  <c r="AI73" i="31"/>
  <c r="AH73" i="31"/>
  <c r="AD73" i="31"/>
  <c r="AC73" i="31"/>
  <c r="AB73" i="31"/>
  <c r="AA73" i="31"/>
  <c r="Z73" i="31"/>
  <c r="Y73" i="31"/>
  <c r="X73" i="31"/>
  <c r="BH67" i="31"/>
  <c r="BG67" i="31"/>
  <c r="BF67" i="31"/>
  <c r="BE67" i="31"/>
  <c r="BD67" i="31"/>
  <c r="BC67" i="31"/>
  <c r="BB67" i="31"/>
  <c r="BA67" i="31"/>
  <c r="AZ67" i="31"/>
  <c r="AW67" i="31"/>
  <c r="AV67" i="31"/>
  <c r="AU67" i="31"/>
  <c r="AL67" i="31"/>
  <c r="AK67" i="31"/>
  <c r="AJ67" i="31"/>
  <c r="AI67" i="31"/>
  <c r="AH67" i="31"/>
  <c r="AD67" i="31"/>
  <c r="AC67" i="31"/>
  <c r="AB67" i="31"/>
  <c r="AA67" i="31"/>
  <c r="Z67" i="31"/>
  <c r="Y67" i="31"/>
  <c r="X67" i="31"/>
  <c r="BH64" i="31"/>
  <c r="BG64" i="31"/>
  <c r="BF64" i="31"/>
  <c r="BE64" i="31"/>
  <c r="BD64" i="31"/>
  <c r="BC64" i="31"/>
  <c r="BB64" i="31"/>
  <c r="BA64" i="31"/>
  <c r="AZ64" i="31"/>
  <c r="AW64" i="31"/>
  <c r="AV64" i="31"/>
  <c r="AU64" i="31"/>
  <c r="AL64" i="31"/>
  <c r="AK64" i="31"/>
  <c r="AJ64" i="31"/>
  <c r="AI64" i="31"/>
  <c r="AH64" i="31"/>
  <c r="AD64" i="31"/>
  <c r="AC64" i="31"/>
  <c r="AB64" i="31"/>
  <c r="AA64" i="31"/>
  <c r="Z64" i="31"/>
  <c r="Y64" i="31"/>
  <c r="X64" i="31"/>
  <c r="BH57" i="31"/>
  <c r="BG57" i="31"/>
  <c r="BF57" i="31"/>
  <c r="BE57" i="31"/>
  <c r="BD57" i="31"/>
  <c r="BC57" i="31"/>
  <c r="BB57" i="31"/>
  <c r="BA57" i="31"/>
  <c r="AZ57" i="31"/>
  <c r="AW57" i="31"/>
  <c r="AV57" i="31"/>
  <c r="AU57" i="31"/>
  <c r="AL57" i="31"/>
  <c r="AK57" i="31"/>
  <c r="AJ57" i="31"/>
  <c r="AI57" i="31"/>
  <c r="AH57" i="31"/>
  <c r="AD57" i="31"/>
  <c r="AC57" i="31"/>
  <c r="AB57" i="31"/>
  <c r="AA57" i="31"/>
  <c r="Z57" i="31"/>
  <c r="Y57" i="31"/>
  <c r="X57" i="31"/>
  <c r="BH52" i="31"/>
  <c r="BG52" i="31"/>
  <c r="BF52" i="31"/>
  <c r="BE52" i="31"/>
  <c r="BD52" i="31"/>
  <c r="BC52" i="31"/>
  <c r="BB52" i="31"/>
  <c r="BA52" i="31"/>
  <c r="AZ52" i="31"/>
  <c r="AW52" i="31"/>
  <c r="AV52" i="31"/>
  <c r="AU52" i="31"/>
  <c r="AL52" i="31"/>
  <c r="AK52" i="31"/>
  <c r="AJ52" i="31"/>
  <c r="AI52" i="31"/>
  <c r="AH52" i="31"/>
  <c r="AD52" i="31"/>
  <c r="AC52" i="31"/>
  <c r="AB52" i="31"/>
  <c r="AA52" i="31"/>
  <c r="Z52" i="31"/>
  <c r="Y52" i="31"/>
  <c r="X52" i="31"/>
  <c r="BH48" i="31"/>
  <c r="BG48" i="31"/>
  <c r="BF48" i="31"/>
  <c r="BE48" i="31"/>
  <c r="BD48" i="31"/>
  <c r="BC48" i="31"/>
  <c r="BB48" i="31"/>
  <c r="BA48" i="31"/>
  <c r="AZ48" i="31"/>
  <c r="AW48" i="31"/>
  <c r="AV48" i="31"/>
  <c r="AU48" i="31"/>
  <c r="AL48" i="31"/>
  <c r="AK48" i="31"/>
  <c r="AJ48" i="31"/>
  <c r="AI48" i="31"/>
  <c r="AH48" i="31"/>
  <c r="AD48" i="31"/>
  <c r="AC48" i="31"/>
  <c r="AB48" i="31"/>
  <c r="AA48" i="31"/>
  <c r="Z48" i="31"/>
  <c r="Y48" i="31"/>
  <c r="X48" i="31"/>
  <c r="BH43" i="31"/>
  <c r="BG43" i="31"/>
  <c r="BF43" i="31"/>
  <c r="BE43" i="31"/>
  <c r="BD43" i="31"/>
  <c r="BC43" i="31"/>
  <c r="BB43" i="31"/>
  <c r="BA43" i="31"/>
  <c r="AZ43" i="31"/>
  <c r="AW43" i="31"/>
  <c r="AV43" i="31"/>
  <c r="AU43" i="31"/>
  <c r="AL43" i="31"/>
  <c r="AK43" i="31"/>
  <c r="AJ43" i="31"/>
  <c r="AI43" i="31"/>
  <c r="AH43" i="31"/>
  <c r="AD43" i="31"/>
  <c r="AC43" i="31"/>
  <c r="AB43" i="31"/>
  <c r="AA43" i="31"/>
  <c r="Z43" i="31"/>
  <c r="Y43" i="31"/>
  <c r="X43" i="31"/>
  <c r="BH40" i="31"/>
  <c r="BG40" i="31"/>
  <c r="BF40" i="31"/>
  <c r="BE40" i="31"/>
  <c r="BD40" i="31"/>
  <c r="BC40" i="31"/>
  <c r="BB40" i="31"/>
  <c r="BA40" i="31"/>
  <c r="AZ40" i="31"/>
  <c r="AW40" i="31"/>
  <c r="AV40" i="31"/>
  <c r="AU40" i="31"/>
  <c r="AL40" i="31"/>
  <c r="AK40" i="31"/>
  <c r="AJ40" i="31"/>
  <c r="AI40" i="31"/>
  <c r="AH40" i="31"/>
  <c r="AD40" i="31"/>
  <c r="AC40" i="31"/>
  <c r="AB40" i="31"/>
  <c r="AA40" i="31"/>
  <c r="Z40" i="31"/>
  <c r="Y40" i="31"/>
  <c r="X40" i="31"/>
  <c r="BH38" i="31"/>
  <c r="BG38" i="31"/>
  <c r="BF38" i="31"/>
  <c r="BE38" i="31"/>
  <c r="BD38" i="31"/>
  <c r="BC38" i="31"/>
  <c r="BB38" i="31"/>
  <c r="BA38" i="31"/>
  <c r="AZ38" i="31"/>
  <c r="AW38" i="31"/>
  <c r="AV38" i="31"/>
  <c r="AU38" i="31"/>
  <c r="AL38" i="31"/>
  <c r="AK38" i="31"/>
  <c r="AJ38" i="31"/>
  <c r="AI38" i="31"/>
  <c r="AH38" i="31"/>
  <c r="AD38" i="31"/>
  <c r="AC38" i="31"/>
  <c r="AB38" i="31"/>
  <c r="AA38" i="31"/>
  <c r="Z38" i="31"/>
  <c r="Y38" i="31"/>
  <c r="X38" i="31"/>
  <c r="BH32" i="31"/>
  <c r="BG32" i="31"/>
  <c r="BF32" i="31"/>
  <c r="BE32" i="31"/>
  <c r="BD32" i="31"/>
  <c r="BC32" i="31"/>
  <c r="BB32" i="31"/>
  <c r="BA32" i="31"/>
  <c r="AZ32" i="31"/>
  <c r="AW32" i="31"/>
  <c r="AV32" i="31"/>
  <c r="AU32" i="31"/>
  <c r="AL32" i="31"/>
  <c r="AK32" i="31"/>
  <c r="AJ32" i="31"/>
  <c r="AI32" i="31"/>
  <c r="AH32" i="31"/>
  <c r="AD32" i="31"/>
  <c r="AC32" i="31"/>
  <c r="AB32" i="31"/>
  <c r="AA32" i="31"/>
  <c r="Z32" i="31"/>
  <c r="Y32" i="31"/>
  <c r="X32" i="31"/>
  <c r="BH25" i="31"/>
  <c r="BG25" i="31"/>
  <c r="BF25" i="31"/>
  <c r="BE25" i="31"/>
  <c r="BD25" i="31"/>
  <c r="BC25" i="31"/>
  <c r="BB25" i="31"/>
  <c r="BA25" i="31"/>
  <c r="AZ25" i="31"/>
  <c r="AW25" i="31"/>
  <c r="AV25" i="31"/>
  <c r="AU25" i="31"/>
  <c r="AL25" i="31"/>
  <c r="AK25" i="31"/>
  <c r="AJ25" i="31"/>
  <c r="AI25" i="31"/>
  <c r="AH25" i="31"/>
  <c r="AD25" i="31"/>
  <c r="AC25" i="31"/>
  <c r="AB25" i="31"/>
  <c r="AA25" i="31"/>
  <c r="Z25" i="31"/>
  <c r="Y25" i="31"/>
  <c r="X25" i="31"/>
  <c r="BH23" i="31"/>
  <c r="BG23" i="31"/>
  <c r="BF23" i="31"/>
  <c r="BE23" i="31"/>
  <c r="BD23" i="31"/>
  <c r="BC23" i="31"/>
  <c r="BB23" i="31"/>
  <c r="BA23" i="31"/>
  <c r="AZ23" i="31"/>
  <c r="AW23" i="31"/>
  <c r="AV23" i="31"/>
  <c r="AU23" i="31"/>
  <c r="AL23" i="31"/>
  <c r="AK23" i="31"/>
  <c r="AJ23" i="31"/>
  <c r="AI23" i="31"/>
  <c r="AH23" i="31"/>
  <c r="AD23" i="31"/>
  <c r="AC23" i="31"/>
  <c r="AB23" i="31"/>
  <c r="AA23" i="31"/>
  <c r="Z23" i="31"/>
  <c r="Y23" i="31"/>
  <c r="X23" i="31"/>
  <c r="BH19" i="31"/>
  <c r="BG19" i="31"/>
  <c r="BF19" i="31"/>
  <c r="BE19" i="31"/>
  <c r="BD19" i="31"/>
  <c r="BC19" i="31"/>
  <c r="BB19" i="31"/>
  <c r="BA19" i="31"/>
  <c r="AZ19" i="31"/>
  <c r="AW19" i="31"/>
  <c r="AV19" i="31"/>
  <c r="AU19" i="31"/>
  <c r="AL19" i="31"/>
  <c r="AK19" i="31"/>
  <c r="AJ19" i="31"/>
  <c r="AI19" i="31"/>
  <c r="AH19" i="31"/>
  <c r="AD19" i="31"/>
  <c r="AC19" i="31"/>
  <c r="AB19" i="31"/>
  <c r="AA19" i="31"/>
  <c r="Z19" i="31"/>
  <c r="Y19" i="31"/>
  <c r="X19" i="31"/>
  <c r="BH15" i="31"/>
  <c r="BG15" i="31"/>
  <c r="BF15" i="31"/>
  <c r="BE15" i="31"/>
  <c r="BD15" i="31"/>
  <c r="BC15" i="31"/>
  <c r="BB15" i="31"/>
  <c r="BA15" i="31"/>
  <c r="AZ15" i="31"/>
  <c r="AW15" i="31"/>
  <c r="AW74" i="31" s="1"/>
  <c r="AV15" i="31"/>
  <c r="AU15" i="31"/>
  <c r="AL15" i="31"/>
  <c r="AK15" i="31"/>
  <c r="AJ15" i="31"/>
  <c r="AI15" i="31"/>
  <c r="AH15" i="31"/>
  <c r="AD15" i="31"/>
  <c r="AC15" i="31"/>
  <c r="AB15" i="31"/>
  <c r="AA15" i="31"/>
  <c r="Z15" i="31"/>
  <c r="Y15" i="31"/>
  <c r="X15" i="31"/>
  <c r="BH99" i="30"/>
  <c r="BG99" i="30"/>
  <c r="BF99" i="30"/>
  <c r="BE99" i="30"/>
  <c r="BD99" i="30"/>
  <c r="BC99" i="30"/>
  <c r="BB99" i="30"/>
  <c r="BA99" i="30"/>
  <c r="AZ99" i="30"/>
  <c r="AW99" i="30"/>
  <c r="AV99" i="30"/>
  <c r="AU99" i="30"/>
  <c r="AL99" i="30"/>
  <c r="AK99" i="30"/>
  <c r="AJ99" i="30"/>
  <c r="AI99" i="30"/>
  <c r="AH99" i="30"/>
  <c r="AD99" i="30"/>
  <c r="AC99" i="30"/>
  <c r="AB99" i="30"/>
  <c r="AA99" i="30"/>
  <c r="Z99" i="30"/>
  <c r="Y99" i="30"/>
  <c r="X99" i="30"/>
  <c r="BH92" i="30"/>
  <c r="BG92" i="30"/>
  <c r="BF92" i="30"/>
  <c r="BE92" i="30"/>
  <c r="BD92" i="30"/>
  <c r="BC92" i="30"/>
  <c r="BB92" i="30"/>
  <c r="BA92" i="30"/>
  <c r="AZ92" i="30"/>
  <c r="AW92" i="30"/>
  <c r="AV92" i="30"/>
  <c r="AU92" i="30"/>
  <c r="AL92" i="30"/>
  <c r="AK92" i="30"/>
  <c r="AJ92" i="30"/>
  <c r="AI92" i="30"/>
  <c r="AH92" i="30"/>
  <c r="AD92" i="30"/>
  <c r="AC92" i="30"/>
  <c r="AB92" i="30"/>
  <c r="AA92" i="30"/>
  <c r="Z92" i="30"/>
  <c r="Y92" i="30"/>
  <c r="X92" i="30"/>
  <c r="BH85" i="30"/>
  <c r="BG85" i="30"/>
  <c r="BF85" i="30"/>
  <c r="BE85" i="30"/>
  <c r="BD85" i="30"/>
  <c r="BC85" i="30"/>
  <c r="BB85" i="30"/>
  <c r="BA85" i="30"/>
  <c r="AZ85" i="30"/>
  <c r="AW85" i="30"/>
  <c r="AV85" i="30"/>
  <c r="AU85" i="30"/>
  <c r="AL85" i="30"/>
  <c r="AK85" i="30"/>
  <c r="AJ85" i="30"/>
  <c r="AI85" i="30"/>
  <c r="AH85" i="30"/>
  <c r="AD85" i="30"/>
  <c r="AC85" i="30"/>
  <c r="AB85" i="30"/>
  <c r="AA85" i="30"/>
  <c r="Z85" i="30"/>
  <c r="Y85" i="30"/>
  <c r="X85" i="30"/>
  <c r="BH81" i="30"/>
  <c r="BG81" i="30"/>
  <c r="BF81" i="30"/>
  <c r="BE81" i="30"/>
  <c r="BD81" i="30"/>
  <c r="BC81" i="30"/>
  <c r="BB81" i="30"/>
  <c r="BA81" i="30"/>
  <c r="AZ81" i="30"/>
  <c r="AW81" i="30"/>
  <c r="AV81" i="30"/>
  <c r="AU81" i="30"/>
  <c r="AL81" i="30"/>
  <c r="AK81" i="30"/>
  <c r="AJ81" i="30"/>
  <c r="AI81" i="30"/>
  <c r="AH81" i="30"/>
  <c r="AD81" i="30"/>
  <c r="AC81" i="30"/>
  <c r="AB81" i="30"/>
  <c r="AA81" i="30"/>
  <c r="Z81" i="30"/>
  <c r="Y81" i="30"/>
  <c r="X81" i="30"/>
  <c r="BH75" i="30"/>
  <c r="BG75" i="30"/>
  <c r="BF75" i="30"/>
  <c r="BE75" i="30"/>
  <c r="BD75" i="30"/>
  <c r="BC75" i="30"/>
  <c r="BB75" i="30"/>
  <c r="BA75" i="30"/>
  <c r="AZ75" i="30"/>
  <c r="AW75" i="30"/>
  <c r="AV75" i="30"/>
  <c r="AU75" i="30"/>
  <c r="AL75" i="30"/>
  <c r="AK75" i="30"/>
  <c r="AJ75" i="30"/>
  <c r="AI75" i="30"/>
  <c r="AH75" i="30"/>
  <c r="AD75" i="30"/>
  <c r="AC75" i="30"/>
  <c r="AB75" i="30"/>
  <c r="AA75" i="30"/>
  <c r="Z75" i="30"/>
  <c r="Y75" i="30"/>
  <c r="X75" i="30"/>
  <c r="BH71" i="30"/>
  <c r="BG71" i="30"/>
  <c r="BF71" i="30"/>
  <c r="BE71" i="30"/>
  <c r="BD71" i="30"/>
  <c r="BC71" i="30"/>
  <c r="BB71" i="30"/>
  <c r="BA71" i="30"/>
  <c r="AZ71" i="30"/>
  <c r="AW71" i="30"/>
  <c r="AV71" i="30"/>
  <c r="AU71" i="30"/>
  <c r="AL71" i="30"/>
  <c r="AK71" i="30"/>
  <c r="AJ71" i="30"/>
  <c r="AI71" i="30"/>
  <c r="AH71" i="30"/>
  <c r="AD71" i="30"/>
  <c r="AC71" i="30"/>
  <c r="AB71" i="30"/>
  <c r="AA71" i="30"/>
  <c r="Z71" i="30"/>
  <c r="Y71" i="30"/>
  <c r="X71" i="30"/>
  <c r="BH65" i="30"/>
  <c r="BG65" i="30"/>
  <c r="BF65" i="30"/>
  <c r="BE65" i="30"/>
  <c r="BD65" i="30"/>
  <c r="BC65" i="30"/>
  <c r="BB65" i="30"/>
  <c r="BA65" i="30"/>
  <c r="AZ65" i="30"/>
  <c r="AW65" i="30"/>
  <c r="AV65" i="30"/>
  <c r="AU65" i="30"/>
  <c r="AL65" i="30"/>
  <c r="AK65" i="30"/>
  <c r="AJ65" i="30"/>
  <c r="AI65" i="30"/>
  <c r="AH65" i="30"/>
  <c r="AD65" i="30"/>
  <c r="AC65" i="30"/>
  <c r="AB65" i="30"/>
  <c r="AA65" i="30"/>
  <c r="Z65" i="30"/>
  <c r="Y65" i="30"/>
  <c r="X65" i="30"/>
  <c r="BH61" i="30"/>
  <c r="BG61" i="30"/>
  <c r="BF61" i="30"/>
  <c r="BE61" i="30"/>
  <c r="BD61" i="30"/>
  <c r="BC61" i="30"/>
  <c r="BB61" i="30"/>
  <c r="BA61" i="30"/>
  <c r="AZ61" i="30"/>
  <c r="AW61" i="30"/>
  <c r="AV61" i="30"/>
  <c r="AU61" i="30"/>
  <c r="AL61" i="30"/>
  <c r="AK61" i="30"/>
  <c r="AJ61" i="30"/>
  <c r="AI61" i="30"/>
  <c r="AH61" i="30"/>
  <c r="AD61" i="30"/>
  <c r="AC61" i="30"/>
  <c r="AB61" i="30"/>
  <c r="AA61" i="30"/>
  <c r="Z61" i="30"/>
  <c r="Y61" i="30"/>
  <c r="X61" i="30"/>
  <c r="BH54" i="30"/>
  <c r="BG54" i="30"/>
  <c r="BF54" i="30"/>
  <c r="BE54" i="30"/>
  <c r="BD54" i="30"/>
  <c r="BC54" i="30"/>
  <c r="BB54" i="30"/>
  <c r="BA54" i="30"/>
  <c r="AZ54" i="30"/>
  <c r="AW54" i="30"/>
  <c r="AV54" i="30"/>
  <c r="AU54" i="30"/>
  <c r="AL54" i="30"/>
  <c r="AK54" i="30"/>
  <c r="AJ54" i="30"/>
  <c r="AI54" i="30"/>
  <c r="AH54" i="30"/>
  <c r="AD54" i="30"/>
  <c r="AC54" i="30"/>
  <c r="AB54" i="30"/>
  <c r="AA54" i="30"/>
  <c r="Z54" i="30"/>
  <c r="Y54" i="30"/>
  <c r="X54" i="30"/>
  <c r="BH48" i="30"/>
  <c r="BG48" i="30"/>
  <c r="BF48" i="30"/>
  <c r="BE48" i="30"/>
  <c r="BD48" i="30"/>
  <c r="BC48" i="30"/>
  <c r="BB48" i="30"/>
  <c r="BA48" i="30"/>
  <c r="AZ48" i="30"/>
  <c r="AW48" i="30"/>
  <c r="AV48" i="30"/>
  <c r="AU48" i="30"/>
  <c r="AL48" i="30"/>
  <c r="AK48" i="30"/>
  <c r="AJ48" i="30"/>
  <c r="AI48" i="30"/>
  <c r="AH48" i="30"/>
  <c r="AD48" i="30"/>
  <c r="AC48" i="30"/>
  <c r="AB48" i="30"/>
  <c r="AA48" i="30"/>
  <c r="Z48" i="30"/>
  <c r="Y48" i="30"/>
  <c r="X48" i="30"/>
  <c r="BH44" i="30"/>
  <c r="BG44" i="30"/>
  <c r="BF44" i="30"/>
  <c r="BE44" i="30"/>
  <c r="BD44" i="30"/>
  <c r="BC44" i="30"/>
  <c r="BB44" i="30"/>
  <c r="BA44" i="30"/>
  <c r="AZ44" i="30"/>
  <c r="AW44" i="30"/>
  <c r="AV44" i="30"/>
  <c r="AU44" i="30"/>
  <c r="AL44" i="30"/>
  <c r="AK44" i="30"/>
  <c r="AJ44" i="30"/>
  <c r="AI44" i="30"/>
  <c r="AH44" i="30"/>
  <c r="AD44" i="30"/>
  <c r="AC44" i="30"/>
  <c r="AB44" i="30"/>
  <c r="AA44" i="30"/>
  <c r="Z44" i="30"/>
  <c r="Y44" i="30"/>
  <c r="X44" i="30"/>
  <c r="BH37" i="30"/>
  <c r="BG37" i="30"/>
  <c r="BF37" i="30"/>
  <c r="BE37" i="30"/>
  <c r="BD37" i="30"/>
  <c r="BC37" i="30"/>
  <c r="BB37" i="30"/>
  <c r="BA37" i="30"/>
  <c r="AZ37" i="30"/>
  <c r="AW37" i="30"/>
  <c r="AV37" i="30"/>
  <c r="AU37" i="30"/>
  <c r="AL37" i="30"/>
  <c r="AK37" i="30"/>
  <c r="AJ37" i="30"/>
  <c r="AI37" i="30"/>
  <c r="AH37" i="30"/>
  <c r="AD37" i="30"/>
  <c r="AC37" i="30"/>
  <c r="AB37" i="30"/>
  <c r="AA37" i="30"/>
  <c r="Z37" i="30"/>
  <c r="Y37" i="30"/>
  <c r="X37" i="30"/>
  <c r="BH30" i="30"/>
  <c r="BG30" i="30"/>
  <c r="BF30" i="30"/>
  <c r="BE30" i="30"/>
  <c r="BD30" i="30"/>
  <c r="BC30" i="30"/>
  <c r="BB30" i="30"/>
  <c r="BA30" i="30"/>
  <c r="AZ30" i="30"/>
  <c r="AW30" i="30"/>
  <c r="AV30" i="30"/>
  <c r="AU30" i="30"/>
  <c r="AL30" i="30"/>
  <c r="AK30" i="30"/>
  <c r="AJ30" i="30"/>
  <c r="AI30" i="30"/>
  <c r="AH30" i="30"/>
  <c r="AD30" i="30"/>
  <c r="AC30" i="30"/>
  <c r="AB30" i="30"/>
  <c r="AA30" i="30"/>
  <c r="Z30" i="30"/>
  <c r="Y30" i="30"/>
  <c r="X30" i="30"/>
  <c r="BH28" i="30"/>
  <c r="BG28" i="30"/>
  <c r="BF28" i="30"/>
  <c r="BE28" i="30"/>
  <c r="BD28" i="30"/>
  <c r="BC28" i="30"/>
  <c r="BB28" i="30"/>
  <c r="BA28" i="30"/>
  <c r="AZ28" i="30"/>
  <c r="AW28" i="30"/>
  <c r="AV28" i="30"/>
  <c r="AU28" i="30"/>
  <c r="AL28" i="30"/>
  <c r="AK28" i="30"/>
  <c r="AJ28" i="30"/>
  <c r="AI28" i="30"/>
  <c r="AH28" i="30"/>
  <c r="AD28" i="30"/>
  <c r="AC28" i="30"/>
  <c r="AB28" i="30"/>
  <c r="AA28" i="30"/>
  <c r="Z28" i="30"/>
  <c r="Y28" i="30"/>
  <c r="X28" i="30"/>
  <c r="BH23" i="30"/>
  <c r="BG23" i="30"/>
  <c r="BF23" i="30"/>
  <c r="BE23" i="30"/>
  <c r="BD23" i="30"/>
  <c r="BC23" i="30"/>
  <c r="BB23" i="30"/>
  <c r="BA23" i="30"/>
  <c r="AZ23" i="30"/>
  <c r="AW23" i="30"/>
  <c r="AV23" i="30"/>
  <c r="AU23" i="30"/>
  <c r="AL23" i="30"/>
  <c r="AK23" i="30"/>
  <c r="AJ23" i="30"/>
  <c r="AI23" i="30"/>
  <c r="AH23" i="30"/>
  <c r="AD23" i="30"/>
  <c r="AC23" i="30"/>
  <c r="AB23" i="30"/>
  <c r="AA23" i="30"/>
  <c r="Z23" i="30"/>
  <c r="Y23" i="30"/>
  <c r="X23" i="30"/>
  <c r="BH17" i="30"/>
  <c r="BG17" i="30"/>
  <c r="BF17" i="30"/>
  <c r="BE17" i="30"/>
  <c r="BD17" i="30"/>
  <c r="BC17" i="30"/>
  <c r="BB17" i="30"/>
  <c r="BA17" i="30"/>
  <c r="AZ17" i="30"/>
  <c r="AW17" i="30"/>
  <c r="AV17" i="30"/>
  <c r="AU17" i="30"/>
  <c r="AL17" i="30"/>
  <c r="AK17" i="30"/>
  <c r="AJ17" i="30"/>
  <c r="AI17" i="30"/>
  <c r="AH17" i="30"/>
  <c r="AD17" i="30"/>
  <c r="AC17" i="30"/>
  <c r="AB17" i="30"/>
  <c r="AA17" i="30"/>
  <c r="Z17" i="30"/>
  <c r="Y17" i="30"/>
  <c r="X17" i="30"/>
  <c r="BH15" i="30"/>
  <c r="BG15" i="30"/>
  <c r="BF15" i="30"/>
  <c r="BE15" i="30"/>
  <c r="BD15" i="30"/>
  <c r="BC15" i="30"/>
  <c r="BB15" i="30"/>
  <c r="BA15" i="30"/>
  <c r="AZ15" i="30"/>
  <c r="AW15" i="30"/>
  <c r="AW100" i="30" s="1"/>
  <c r="AV15" i="30"/>
  <c r="AU15" i="30"/>
  <c r="AL15" i="30"/>
  <c r="AK15" i="30"/>
  <c r="AJ15" i="30"/>
  <c r="AI15" i="30"/>
  <c r="AH15" i="30"/>
  <c r="AD15" i="30"/>
  <c r="AC15" i="30"/>
  <c r="AB15" i="30"/>
  <c r="AA15" i="30"/>
  <c r="Z15" i="30"/>
  <c r="Y15" i="30"/>
  <c r="X15" i="30"/>
  <c r="BH195" i="29"/>
  <c r="BG195" i="29"/>
  <c r="BF195" i="29"/>
  <c r="BE195" i="29"/>
  <c r="BD195" i="29"/>
  <c r="BC195" i="29"/>
  <c r="BB195" i="29"/>
  <c r="BA195" i="29"/>
  <c r="AZ195" i="29"/>
  <c r="AW195" i="29"/>
  <c r="AV195" i="29"/>
  <c r="AU195" i="29"/>
  <c r="AL195" i="29"/>
  <c r="AK195" i="29"/>
  <c r="AJ195" i="29"/>
  <c r="AI195" i="29"/>
  <c r="AH195" i="29"/>
  <c r="AD195" i="29"/>
  <c r="AC195" i="29"/>
  <c r="AB195" i="29"/>
  <c r="AA195" i="29"/>
  <c r="Z195" i="29"/>
  <c r="Y195" i="29"/>
  <c r="X195" i="29"/>
  <c r="BH192" i="29"/>
  <c r="BG192" i="29"/>
  <c r="BF192" i="29"/>
  <c r="BE192" i="29"/>
  <c r="BD192" i="29"/>
  <c r="BC192" i="29"/>
  <c r="BB192" i="29"/>
  <c r="BA192" i="29"/>
  <c r="AZ192" i="29"/>
  <c r="AW192" i="29"/>
  <c r="AV192" i="29"/>
  <c r="AU192" i="29"/>
  <c r="AL192" i="29"/>
  <c r="AK192" i="29"/>
  <c r="AJ192" i="29"/>
  <c r="AI192" i="29"/>
  <c r="AH192" i="29"/>
  <c r="AD192" i="29"/>
  <c r="AC192" i="29"/>
  <c r="AB192" i="29"/>
  <c r="AA192" i="29"/>
  <c r="Z192" i="29"/>
  <c r="Y192" i="29"/>
  <c r="X192" i="29"/>
  <c r="BH185" i="29"/>
  <c r="BG185" i="29"/>
  <c r="BF185" i="29"/>
  <c r="BE185" i="29"/>
  <c r="BD185" i="29"/>
  <c r="BC185" i="29"/>
  <c r="BB185" i="29"/>
  <c r="BA185" i="29"/>
  <c r="AZ185" i="29"/>
  <c r="AW185" i="29"/>
  <c r="AV185" i="29"/>
  <c r="AU185" i="29"/>
  <c r="AL185" i="29"/>
  <c r="AK185" i="29"/>
  <c r="AJ185" i="29"/>
  <c r="AI185" i="29"/>
  <c r="AH185" i="29"/>
  <c r="AD185" i="29"/>
  <c r="AC185" i="29"/>
  <c r="AB185" i="29"/>
  <c r="AA185" i="29"/>
  <c r="Z185" i="29"/>
  <c r="Y185" i="29"/>
  <c r="X185" i="29"/>
  <c r="BH179" i="29"/>
  <c r="BG179" i="29"/>
  <c r="BF179" i="29"/>
  <c r="BE179" i="29"/>
  <c r="BD179" i="29"/>
  <c r="BC179" i="29"/>
  <c r="BB179" i="29"/>
  <c r="BA179" i="29"/>
  <c r="AZ179" i="29"/>
  <c r="AW179" i="29"/>
  <c r="AV179" i="29"/>
  <c r="AU179" i="29"/>
  <c r="AL179" i="29"/>
  <c r="AK179" i="29"/>
  <c r="AJ179" i="29"/>
  <c r="AI179" i="29"/>
  <c r="AH179" i="29"/>
  <c r="AD179" i="29"/>
  <c r="AC179" i="29"/>
  <c r="AB179" i="29"/>
  <c r="AA179" i="29"/>
  <c r="Z179" i="29"/>
  <c r="Y179" i="29"/>
  <c r="X179" i="29"/>
  <c r="BH175" i="29"/>
  <c r="BG175" i="29"/>
  <c r="BF175" i="29"/>
  <c r="BE175" i="29"/>
  <c r="BD175" i="29"/>
  <c r="BC175" i="29"/>
  <c r="BB175" i="29"/>
  <c r="BA175" i="29"/>
  <c r="AZ175" i="29"/>
  <c r="AW175" i="29"/>
  <c r="AV175" i="29"/>
  <c r="AU175" i="29"/>
  <c r="AL175" i="29"/>
  <c r="AK175" i="29"/>
  <c r="AJ175" i="29"/>
  <c r="AI175" i="29"/>
  <c r="AH175" i="29"/>
  <c r="AD175" i="29"/>
  <c r="AC175" i="29"/>
  <c r="AB175" i="29"/>
  <c r="AA175" i="29"/>
  <c r="Z175" i="29"/>
  <c r="Y175" i="29"/>
  <c r="X175" i="29"/>
  <c r="BH168" i="29"/>
  <c r="BG168" i="29"/>
  <c r="BF168" i="29"/>
  <c r="BE168" i="29"/>
  <c r="BD168" i="29"/>
  <c r="BC168" i="29"/>
  <c r="BB168" i="29"/>
  <c r="BA168" i="29"/>
  <c r="AZ168" i="29"/>
  <c r="AW168" i="29"/>
  <c r="AV168" i="29"/>
  <c r="AU168" i="29"/>
  <c r="AL168" i="29"/>
  <c r="AK168" i="29"/>
  <c r="AJ168" i="29"/>
  <c r="AI168" i="29"/>
  <c r="AH168" i="29"/>
  <c r="AD168" i="29"/>
  <c r="AC168" i="29"/>
  <c r="AB168" i="29"/>
  <c r="AA168" i="29"/>
  <c r="Z168" i="29"/>
  <c r="Y168" i="29"/>
  <c r="X168" i="29"/>
  <c r="BH164" i="29"/>
  <c r="BG164" i="29"/>
  <c r="BF164" i="29"/>
  <c r="BE164" i="29"/>
  <c r="BD164" i="29"/>
  <c r="BC164" i="29"/>
  <c r="BB164" i="29"/>
  <c r="BA164" i="29"/>
  <c r="AZ164" i="29"/>
  <c r="AW164" i="29"/>
  <c r="AV164" i="29"/>
  <c r="AU164" i="29"/>
  <c r="AL164" i="29"/>
  <c r="AK164" i="29"/>
  <c r="AJ164" i="29"/>
  <c r="AI164" i="29"/>
  <c r="AH164" i="29"/>
  <c r="AD164" i="29"/>
  <c r="AC164" i="29"/>
  <c r="AB164" i="29"/>
  <c r="AA164" i="29"/>
  <c r="Z164" i="29"/>
  <c r="Y164" i="29"/>
  <c r="X164" i="29"/>
  <c r="BH159" i="29"/>
  <c r="BG159" i="29"/>
  <c r="BF159" i="29"/>
  <c r="BE159" i="29"/>
  <c r="BD159" i="29"/>
  <c r="BC159" i="29"/>
  <c r="BB159" i="29"/>
  <c r="BA159" i="29"/>
  <c r="AZ159" i="29"/>
  <c r="AW159" i="29"/>
  <c r="AV159" i="29"/>
  <c r="AU159" i="29"/>
  <c r="AL159" i="29"/>
  <c r="AK159" i="29"/>
  <c r="AJ159" i="29"/>
  <c r="AI159" i="29"/>
  <c r="AH159" i="29"/>
  <c r="AD159" i="29"/>
  <c r="AC159" i="29"/>
  <c r="AB159" i="29"/>
  <c r="AA159" i="29"/>
  <c r="Z159" i="29"/>
  <c r="Y159" i="29"/>
  <c r="X159" i="29"/>
  <c r="BH155" i="29"/>
  <c r="BG155" i="29"/>
  <c r="BF155" i="29"/>
  <c r="BE155" i="29"/>
  <c r="BD155" i="29"/>
  <c r="BC155" i="29"/>
  <c r="BB155" i="29"/>
  <c r="BA155" i="29"/>
  <c r="AZ155" i="29"/>
  <c r="AW155" i="29"/>
  <c r="AV155" i="29"/>
  <c r="AU155" i="29"/>
  <c r="AL155" i="29"/>
  <c r="AK155" i="29"/>
  <c r="AJ155" i="29"/>
  <c r="AI155" i="29"/>
  <c r="AH155" i="29"/>
  <c r="AD155" i="29"/>
  <c r="AC155" i="29"/>
  <c r="AB155" i="29"/>
  <c r="AA155" i="29"/>
  <c r="Z155" i="29"/>
  <c r="Y155" i="29"/>
  <c r="X155" i="29"/>
  <c r="BH148" i="29"/>
  <c r="BG148" i="29"/>
  <c r="BF148" i="29"/>
  <c r="BE148" i="29"/>
  <c r="BD148" i="29"/>
  <c r="BC148" i="29"/>
  <c r="BB148" i="29"/>
  <c r="BA148" i="29"/>
  <c r="AZ148" i="29"/>
  <c r="AW148" i="29"/>
  <c r="AV148" i="29"/>
  <c r="AU148" i="29"/>
  <c r="AL148" i="29"/>
  <c r="AK148" i="29"/>
  <c r="AJ148" i="29"/>
  <c r="AI148" i="29"/>
  <c r="AH148" i="29"/>
  <c r="AD148" i="29"/>
  <c r="AC148" i="29"/>
  <c r="AB148" i="29"/>
  <c r="AA148" i="29"/>
  <c r="Z148" i="29"/>
  <c r="Y148" i="29"/>
  <c r="X148" i="29"/>
  <c r="BH140" i="29"/>
  <c r="BG140" i="29"/>
  <c r="BF140" i="29"/>
  <c r="BE140" i="29"/>
  <c r="BD140" i="29"/>
  <c r="BC140" i="29"/>
  <c r="BB140" i="29"/>
  <c r="BA140" i="29"/>
  <c r="AZ140" i="29"/>
  <c r="AW140" i="29"/>
  <c r="AV140" i="29"/>
  <c r="AU140" i="29"/>
  <c r="AL140" i="29"/>
  <c r="AK140" i="29"/>
  <c r="AJ140" i="29"/>
  <c r="AI140" i="29"/>
  <c r="AH140" i="29"/>
  <c r="AD140" i="29"/>
  <c r="AC140" i="29"/>
  <c r="AB140" i="29"/>
  <c r="AA140" i="29"/>
  <c r="Z140" i="29"/>
  <c r="Y140" i="29"/>
  <c r="X140" i="29"/>
  <c r="BH138" i="29"/>
  <c r="BG138" i="29"/>
  <c r="BF138" i="29"/>
  <c r="BE138" i="29"/>
  <c r="BD138" i="29"/>
  <c r="BC138" i="29"/>
  <c r="BB138" i="29"/>
  <c r="BA138" i="29"/>
  <c r="AZ138" i="29"/>
  <c r="AW138" i="29"/>
  <c r="AV138" i="29"/>
  <c r="AU138" i="29"/>
  <c r="AL138" i="29"/>
  <c r="AK138" i="29"/>
  <c r="AJ138" i="29"/>
  <c r="AI138" i="29"/>
  <c r="AH138" i="29"/>
  <c r="AD138" i="29"/>
  <c r="AC138" i="29"/>
  <c r="AB138" i="29"/>
  <c r="AA138" i="29"/>
  <c r="Z138" i="29"/>
  <c r="Y138" i="29"/>
  <c r="X138" i="29"/>
  <c r="BH132" i="29"/>
  <c r="BG132" i="29"/>
  <c r="BF132" i="29"/>
  <c r="BE132" i="29"/>
  <c r="BD132" i="29"/>
  <c r="BC132" i="29"/>
  <c r="BB132" i="29"/>
  <c r="BA132" i="29"/>
  <c r="AZ132" i="29"/>
  <c r="AW132" i="29"/>
  <c r="AV132" i="29"/>
  <c r="AU132" i="29"/>
  <c r="AL132" i="29"/>
  <c r="AK132" i="29"/>
  <c r="AJ132" i="29"/>
  <c r="AI132" i="29"/>
  <c r="AH132" i="29"/>
  <c r="AD132" i="29"/>
  <c r="AC132" i="29"/>
  <c r="AB132" i="29"/>
  <c r="AA132" i="29"/>
  <c r="Z132" i="29"/>
  <c r="Y132" i="29"/>
  <c r="X132" i="29"/>
  <c r="BH126" i="29"/>
  <c r="BG126" i="29"/>
  <c r="BF126" i="29"/>
  <c r="BE126" i="29"/>
  <c r="BD126" i="29"/>
  <c r="BC126" i="29"/>
  <c r="BB126" i="29"/>
  <c r="BA126" i="29"/>
  <c r="AZ126" i="29"/>
  <c r="AW126" i="29"/>
  <c r="AV126" i="29"/>
  <c r="AU126" i="29"/>
  <c r="AL126" i="29"/>
  <c r="AK126" i="29"/>
  <c r="AJ126" i="29"/>
  <c r="AI126" i="29"/>
  <c r="AH126" i="29"/>
  <c r="AD126" i="29"/>
  <c r="AC126" i="29"/>
  <c r="AB126" i="29"/>
  <c r="AA126" i="29"/>
  <c r="Z126" i="29"/>
  <c r="Y126" i="29"/>
  <c r="X126" i="29"/>
  <c r="BH120" i="29"/>
  <c r="BG120" i="29"/>
  <c r="BF120" i="29"/>
  <c r="BE120" i="29"/>
  <c r="BD120" i="29"/>
  <c r="BC120" i="29"/>
  <c r="BB120" i="29"/>
  <c r="BA120" i="29"/>
  <c r="AZ120" i="29"/>
  <c r="AW120" i="29"/>
  <c r="AV120" i="29"/>
  <c r="AU120" i="29"/>
  <c r="AL120" i="29"/>
  <c r="AK120" i="29"/>
  <c r="AJ120" i="29"/>
  <c r="AI120" i="29"/>
  <c r="AH120" i="29"/>
  <c r="AD120" i="29"/>
  <c r="AC120" i="29"/>
  <c r="AB120" i="29"/>
  <c r="AA120" i="29"/>
  <c r="Z120" i="29"/>
  <c r="Y120" i="29"/>
  <c r="X120" i="29"/>
  <c r="BH114" i="29"/>
  <c r="BG114" i="29"/>
  <c r="BF114" i="29"/>
  <c r="BE114" i="29"/>
  <c r="BD114" i="29"/>
  <c r="BC114" i="29"/>
  <c r="BB114" i="29"/>
  <c r="BA114" i="29"/>
  <c r="AZ114" i="29"/>
  <c r="AW114" i="29"/>
  <c r="AV114" i="29"/>
  <c r="AU114" i="29"/>
  <c r="AL114" i="29"/>
  <c r="AK114" i="29"/>
  <c r="AJ114" i="29"/>
  <c r="AI114" i="29"/>
  <c r="AH114" i="29"/>
  <c r="AD114" i="29"/>
  <c r="AC114" i="29"/>
  <c r="AB114" i="29"/>
  <c r="AA114" i="29"/>
  <c r="Z114" i="29"/>
  <c r="Y114" i="29"/>
  <c r="X114" i="29"/>
  <c r="BH108" i="29"/>
  <c r="BG108" i="29"/>
  <c r="BF108" i="29"/>
  <c r="BE108" i="29"/>
  <c r="BD108" i="29"/>
  <c r="BC108" i="29"/>
  <c r="BB108" i="29"/>
  <c r="BA108" i="29"/>
  <c r="AZ108" i="29"/>
  <c r="AW108" i="29"/>
  <c r="AV108" i="29"/>
  <c r="AU108" i="29"/>
  <c r="AL108" i="29"/>
  <c r="AK108" i="29"/>
  <c r="AJ108" i="29"/>
  <c r="AI108" i="29"/>
  <c r="AH108" i="29"/>
  <c r="AD108" i="29"/>
  <c r="AC108" i="29"/>
  <c r="AB108" i="29"/>
  <c r="AA108" i="29"/>
  <c r="Z108" i="29"/>
  <c r="Y108" i="29"/>
  <c r="X108" i="29"/>
  <c r="BH102" i="29"/>
  <c r="BG102" i="29"/>
  <c r="BF102" i="29"/>
  <c r="BE102" i="29"/>
  <c r="BD102" i="29"/>
  <c r="BC102" i="29"/>
  <c r="BB102" i="29"/>
  <c r="BA102" i="29"/>
  <c r="AZ102" i="29"/>
  <c r="AW102" i="29"/>
  <c r="AV102" i="29"/>
  <c r="AU102" i="29"/>
  <c r="AL102" i="29"/>
  <c r="AK102" i="29"/>
  <c r="AJ102" i="29"/>
  <c r="AI102" i="29"/>
  <c r="AH102" i="29"/>
  <c r="AD102" i="29"/>
  <c r="AC102" i="29"/>
  <c r="AB102" i="29"/>
  <c r="AA102" i="29"/>
  <c r="Z102" i="29"/>
  <c r="Y102" i="29"/>
  <c r="X102" i="29"/>
  <c r="BH96" i="29"/>
  <c r="BG96" i="29"/>
  <c r="BF96" i="29"/>
  <c r="BE96" i="29"/>
  <c r="BD96" i="29"/>
  <c r="BC96" i="29"/>
  <c r="BB96" i="29"/>
  <c r="BA96" i="29"/>
  <c r="AZ96" i="29"/>
  <c r="AW96" i="29"/>
  <c r="AV96" i="29"/>
  <c r="AU96" i="29"/>
  <c r="AL96" i="29"/>
  <c r="AK96" i="29"/>
  <c r="AJ96" i="29"/>
  <c r="AI96" i="29"/>
  <c r="AH96" i="29"/>
  <c r="AD96" i="29"/>
  <c r="AC96" i="29"/>
  <c r="AB96" i="29"/>
  <c r="AA96" i="29"/>
  <c r="Z96" i="29"/>
  <c r="Y96" i="29"/>
  <c r="X96" i="29"/>
  <c r="BH90" i="29"/>
  <c r="BG90" i="29"/>
  <c r="BF90" i="29"/>
  <c r="BE90" i="29"/>
  <c r="BD90" i="29"/>
  <c r="BC90" i="29"/>
  <c r="BB90" i="29"/>
  <c r="BA90" i="29"/>
  <c r="AZ90" i="29"/>
  <c r="AW90" i="29"/>
  <c r="AV90" i="29"/>
  <c r="AU90" i="29"/>
  <c r="AL90" i="29"/>
  <c r="AK90" i="29"/>
  <c r="AJ90" i="29"/>
  <c r="AI90" i="29"/>
  <c r="AH90" i="29"/>
  <c r="AD90" i="29"/>
  <c r="AC90" i="29"/>
  <c r="AB90" i="29"/>
  <c r="AA90" i="29"/>
  <c r="Z90" i="29"/>
  <c r="Y90" i="29"/>
  <c r="X90" i="29"/>
  <c r="BH84" i="29"/>
  <c r="BG84" i="29"/>
  <c r="BF84" i="29"/>
  <c r="BE84" i="29"/>
  <c r="BD84" i="29"/>
  <c r="BC84" i="29"/>
  <c r="BB84" i="29"/>
  <c r="BA84" i="29"/>
  <c r="AZ84" i="29"/>
  <c r="AW84" i="29"/>
  <c r="AV84" i="29"/>
  <c r="AU84" i="29"/>
  <c r="AL84" i="29"/>
  <c r="AK84" i="29"/>
  <c r="AJ84" i="29"/>
  <c r="AI84" i="29"/>
  <c r="AH84" i="29"/>
  <c r="AD84" i="29"/>
  <c r="AC84" i="29"/>
  <c r="AB84" i="29"/>
  <c r="AA84" i="29"/>
  <c r="Z84" i="29"/>
  <c r="Y84" i="29"/>
  <c r="X84" i="29"/>
  <c r="BH79" i="29"/>
  <c r="BG79" i="29"/>
  <c r="BF79" i="29"/>
  <c r="BE79" i="29"/>
  <c r="BD79" i="29"/>
  <c r="BC79" i="29"/>
  <c r="BB79" i="29"/>
  <c r="BA79" i="29"/>
  <c r="AZ79" i="29"/>
  <c r="AW79" i="29"/>
  <c r="AV79" i="29"/>
  <c r="AU79" i="29"/>
  <c r="AL79" i="29"/>
  <c r="AK79" i="29"/>
  <c r="AJ79" i="29"/>
  <c r="AI79" i="29"/>
  <c r="AH79" i="29"/>
  <c r="AD79" i="29"/>
  <c r="AC79" i="29"/>
  <c r="AB79" i="29"/>
  <c r="AA79" i="29"/>
  <c r="Z79" i="29"/>
  <c r="Y79" i="29"/>
  <c r="X79" i="29"/>
  <c r="BH75" i="29"/>
  <c r="BG75" i="29"/>
  <c r="BF75" i="29"/>
  <c r="BE75" i="29"/>
  <c r="BD75" i="29"/>
  <c r="BC75" i="29"/>
  <c r="BB75" i="29"/>
  <c r="BA75" i="29"/>
  <c r="AZ75" i="29"/>
  <c r="AW75" i="29"/>
  <c r="AV75" i="29"/>
  <c r="AU75" i="29"/>
  <c r="AL75" i="29"/>
  <c r="AK75" i="29"/>
  <c r="AJ75" i="29"/>
  <c r="AI75" i="29"/>
  <c r="AH75" i="29"/>
  <c r="AD75" i="29"/>
  <c r="AC75" i="29"/>
  <c r="AB75" i="29"/>
  <c r="AA75" i="29"/>
  <c r="Z75" i="29"/>
  <c r="Y75" i="29"/>
  <c r="X75" i="29"/>
  <c r="BH71" i="29"/>
  <c r="BG71" i="29"/>
  <c r="BF71" i="29"/>
  <c r="BE71" i="29"/>
  <c r="BD71" i="29"/>
  <c r="BC71" i="29"/>
  <c r="BB71" i="29"/>
  <c r="BA71" i="29"/>
  <c r="AZ71" i="29"/>
  <c r="AW71" i="29"/>
  <c r="AV71" i="29"/>
  <c r="AU71" i="29"/>
  <c r="AL71" i="29"/>
  <c r="AK71" i="29"/>
  <c r="AJ71" i="29"/>
  <c r="AI71" i="29"/>
  <c r="AH71" i="29"/>
  <c r="AD71" i="29"/>
  <c r="AC71" i="29"/>
  <c r="AB71" i="29"/>
  <c r="AA71" i="29"/>
  <c r="Z71" i="29"/>
  <c r="Y71" i="29"/>
  <c r="X71" i="29"/>
  <c r="BH67" i="29"/>
  <c r="BG67" i="29"/>
  <c r="BF67" i="29"/>
  <c r="BE67" i="29"/>
  <c r="BD67" i="29"/>
  <c r="BC67" i="29"/>
  <c r="BB67" i="29"/>
  <c r="BA67" i="29"/>
  <c r="AZ67" i="29"/>
  <c r="AW67" i="29"/>
  <c r="AV67" i="29"/>
  <c r="AU67" i="29"/>
  <c r="AL67" i="29"/>
  <c r="AK67" i="29"/>
  <c r="AJ67" i="29"/>
  <c r="AI67" i="29"/>
  <c r="AH67" i="29"/>
  <c r="AD67" i="29"/>
  <c r="AC67" i="29"/>
  <c r="AB67" i="29"/>
  <c r="AA67" i="29"/>
  <c r="Z67" i="29"/>
  <c r="Y67" i="29"/>
  <c r="X67" i="29"/>
  <c r="BH63" i="29"/>
  <c r="BG63" i="29"/>
  <c r="BF63" i="29"/>
  <c r="BE63" i="29"/>
  <c r="BD63" i="29"/>
  <c r="BC63" i="29"/>
  <c r="BB63" i="29"/>
  <c r="BA63" i="29"/>
  <c r="AZ63" i="29"/>
  <c r="AW63" i="29"/>
  <c r="AV63" i="29"/>
  <c r="AU63" i="29"/>
  <c r="AL63" i="29"/>
  <c r="AK63" i="29"/>
  <c r="AJ63" i="29"/>
  <c r="AI63" i="29"/>
  <c r="AH63" i="29"/>
  <c r="AD63" i="29"/>
  <c r="AC63" i="29"/>
  <c r="AB63" i="29"/>
  <c r="AA63" i="29"/>
  <c r="Z63" i="29"/>
  <c r="Y63" i="29"/>
  <c r="X63" i="29"/>
  <c r="BH59" i="29"/>
  <c r="BG59" i="29"/>
  <c r="BF59" i="29"/>
  <c r="BE59" i="29"/>
  <c r="BD59" i="29"/>
  <c r="BC59" i="29"/>
  <c r="BB59" i="29"/>
  <c r="BA59" i="29"/>
  <c r="AZ59" i="29"/>
  <c r="AW59" i="29"/>
  <c r="AV59" i="29"/>
  <c r="AU59" i="29"/>
  <c r="AL59" i="29"/>
  <c r="AK59" i="29"/>
  <c r="AJ59" i="29"/>
  <c r="AI59" i="29"/>
  <c r="AH59" i="29"/>
  <c r="AD59" i="29"/>
  <c r="AC59" i="29"/>
  <c r="AB59" i="29"/>
  <c r="AA59" i="29"/>
  <c r="Z59" i="29"/>
  <c r="Y59" i="29"/>
  <c r="X59" i="29"/>
  <c r="BH56" i="29"/>
  <c r="BG56" i="29"/>
  <c r="BF56" i="29"/>
  <c r="BE56" i="29"/>
  <c r="BD56" i="29"/>
  <c r="BC56" i="29"/>
  <c r="BB56" i="29"/>
  <c r="BA56" i="29"/>
  <c r="AZ56" i="29"/>
  <c r="AW56" i="29"/>
  <c r="AV56" i="29"/>
  <c r="AU56" i="29"/>
  <c r="AL56" i="29"/>
  <c r="AK56" i="29"/>
  <c r="AJ56" i="29"/>
  <c r="AI56" i="29"/>
  <c r="AH56" i="29"/>
  <c r="AD56" i="29"/>
  <c r="AC56" i="29"/>
  <c r="AB56" i="29"/>
  <c r="AA56" i="29"/>
  <c r="Z56" i="29"/>
  <c r="Y56" i="29"/>
  <c r="X56" i="29"/>
  <c r="BH52" i="29"/>
  <c r="BG52" i="29"/>
  <c r="BF52" i="29"/>
  <c r="BE52" i="29"/>
  <c r="BD52" i="29"/>
  <c r="BC52" i="29"/>
  <c r="BB52" i="29"/>
  <c r="BA52" i="29"/>
  <c r="AZ52" i="29"/>
  <c r="AW52" i="29"/>
  <c r="AV52" i="29"/>
  <c r="AU52" i="29"/>
  <c r="AL52" i="29"/>
  <c r="AK52" i="29"/>
  <c r="AJ52" i="29"/>
  <c r="AI52" i="29"/>
  <c r="AH52" i="29"/>
  <c r="AD52" i="29"/>
  <c r="AC52" i="29"/>
  <c r="AB52" i="29"/>
  <c r="AA52" i="29"/>
  <c r="Z52" i="29"/>
  <c r="Y52" i="29"/>
  <c r="X52" i="29"/>
  <c r="BH48" i="29"/>
  <c r="BG48" i="29"/>
  <c r="BF48" i="29"/>
  <c r="BE48" i="29"/>
  <c r="BD48" i="29"/>
  <c r="BC48" i="29"/>
  <c r="BB48" i="29"/>
  <c r="BA48" i="29"/>
  <c r="AZ48" i="29"/>
  <c r="AW48" i="29"/>
  <c r="AV48" i="29"/>
  <c r="AU48" i="29"/>
  <c r="AL48" i="29"/>
  <c r="AK48" i="29"/>
  <c r="AJ48" i="29"/>
  <c r="AI48" i="29"/>
  <c r="AH48" i="29"/>
  <c r="AD48" i="29"/>
  <c r="AC48" i="29"/>
  <c r="AB48" i="29"/>
  <c r="AA48" i="29"/>
  <c r="Z48" i="29"/>
  <c r="Y48" i="29"/>
  <c r="X48" i="29"/>
  <c r="BH44" i="29"/>
  <c r="BG44" i="29"/>
  <c r="BF44" i="29"/>
  <c r="BE44" i="29"/>
  <c r="BD44" i="29"/>
  <c r="BC44" i="29"/>
  <c r="BB44" i="29"/>
  <c r="BA44" i="29"/>
  <c r="AZ44" i="29"/>
  <c r="AW44" i="29"/>
  <c r="AV44" i="29"/>
  <c r="AU44" i="29"/>
  <c r="AL44" i="29"/>
  <c r="AK44" i="29"/>
  <c r="AJ44" i="29"/>
  <c r="AI44" i="29"/>
  <c r="AH44" i="29"/>
  <c r="AD44" i="29"/>
  <c r="AC44" i="29"/>
  <c r="AB44" i="29"/>
  <c r="AA44" i="29"/>
  <c r="Z44" i="29"/>
  <c r="Y44" i="29"/>
  <c r="X44" i="29"/>
  <c r="BH40" i="29"/>
  <c r="BG40" i="29"/>
  <c r="BF40" i="29"/>
  <c r="BE40" i="29"/>
  <c r="BD40" i="29"/>
  <c r="BC40" i="29"/>
  <c r="BB40" i="29"/>
  <c r="BA40" i="29"/>
  <c r="AZ40" i="29"/>
  <c r="AW40" i="29"/>
  <c r="AV40" i="29"/>
  <c r="AU40" i="29"/>
  <c r="AL40" i="29"/>
  <c r="AK40" i="29"/>
  <c r="AJ40" i="29"/>
  <c r="AI40" i="29"/>
  <c r="AH40" i="29"/>
  <c r="AD40" i="29"/>
  <c r="AC40" i="29"/>
  <c r="AB40" i="29"/>
  <c r="AA40" i="29"/>
  <c r="Z40" i="29"/>
  <c r="Y40" i="29"/>
  <c r="X40" i="29"/>
  <c r="BH36" i="29"/>
  <c r="BG36" i="29"/>
  <c r="BF36" i="29"/>
  <c r="BE36" i="29"/>
  <c r="BD36" i="29"/>
  <c r="BC36" i="29"/>
  <c r="BB36" i="29"/>
  <c r="BA36" i="29"/>
  <c r="AZ36" i="29"/>
  <c r="AW36" i="29"/>
  <c r="AV36" i="29"/>
  <c r="AU36" i="29"/>
  <c r="AL36" i="29"/>
  <c r="AK36" i="29"/>
  <c r="AJ36" i="29"/>
  <c r="AI36" i="29"/>
  <c r="AH36" i="29"/>
  <c r="AD36" i="29"/>
  <c r="AC36" i="29"/>
  <c r="AB36" i="29"/>
  <c r="AA36" i="29"/>
  <c r="Z36" i="29"/>
  <c r="Y36" i="29"/>
  <c r="X36" i="29"/>
  <c r="BH32" i="29"/>
  <c r="BG32" i="29"/>
  <c r="BF32" i="29"/>
  <c r="BE32" i="29"/>
  <c r="BD32" i="29"/>
  <c r="BC32" i="29"/>
  <c r="BB32" i="29"/>
  <c r="BA32" i="29"/>
  <c r="AZ32" i="29"/>
  <c r="AW32" i="29"/>
  <c r="AV32" i="29"/>
  <c r="AU32" i="29"/>
  <c r="AL32" i="29"/>
  <c r="AK32" i="29"/>
  <c r="AJ32" i="29"/>
  <c r="AI32" i="29"/>
  <c r="AH32" i="29"/>
  <c r="AD32" i="29"/>
  <c r="AC32" i="29"/>
  <c r="AB32" i="29"/>
  <c r="AA32" i="29"/>
  <c r="Z32" i="29"/>
  <c r="Y32" i="29"/>
  <c r="X32" i="29"/>
  <c r="BH29" i="29"/>
  <c r="BG29" i="29"/>
  <c r="BF29" i="29"/>
  <c r="BE29" i="29"/>
  <c r="BD29" i="29"/>
  <c r="BC29" i="29"/>
  <c r="BB29" i="29"/>
  <c r="BA29" i="29"/>
  <c r="AZ29" i="29"/>
  <c r="AW29" i="29"/>
  <c r="AV29" i="29"/>
  <c r="AU29" i="29"/>
  <c r="AL29" i="29"/>
  <c r="AK29" i="29"/>
  <c r="AJ29" i="29"/>
  <c r="AI29" i="29"/>
  <c r="AH29" i="29"/>
  <c r="AD29" i="29"/>
  <c r="AC29" i="29"/>
  <c r="AB29" i="29"/>
  <c r="AA29" i="29"/>
  <c r="Z29" i="29"/>
  <c r="Y29" i="29"/>
  <c r="X29" i="29"/>
  <c r="BH25" i="29"/>
  <c r="BG25" i="29"/>
  <c r="BF25" i="29"/>
  <c r="BE25" i="29"/>
  <c r="BD25" i="29"/>
  <c r="BC25" i="29"/>
  <c r="BB25" i="29"/>
  <c r="BA25" i="29"/>
  <c r="AZ25" i="29"/>
  <c r="AW25" i="29"/>
  <c r="AV25" i="29"/>
  <c r="AU25" i="29"/>
  <c r="AL25" i="29"/>
  <c r="AK25" i="29"/>
  <c r="AJ25" i="29"/>
  <c r="AI25" i="29"/>
  <c r="AH25" i="29"/>
  <c r="AD25" i="29"/>
  <c r="AC25" i="29"/>
  <c r="AB25" i="29"/>
  <c r="AA25" i="29"/>
  <c r="Z25" i="29"/>
  <c r="Y25" i="29"/>
  <c r="X25" i="29"/>
  <c r="BH21" i="29"/>
  <c r="BG21" i="29"/>
  <c r="BF21" i="29"/>
  <c r="BE21" i="29"/>
  <c r="BD21" i="29"/>
  <c r="BC21" i="29"/>
  <c r="BB21" i="29"/>
  <c r="BA21" i="29"/>
  <c r="AZ21" i="29"/>
  <c r="AW21" i="29"/>
  <c r="AV21" i="29"/>
  <c r="AU21" i="29"/>
  <c r="AL21" i="29"/>
  <c r="AK21" i="29"/>
  <c r="AJ21" i="29"/>
  <c r="AI21" i="29"/>
  <c r="AH21" i="29"/>
  <c r="AD21" i="29"/>
  <c r="AC21" i="29"/>
  <c r="AB21" i="29"/>
  <c r="AA21" i="29"/>
  <c r="Z21" i="29"/>
  <c r="Y21" i="29"/>
  <c r="X21" i="29"/>
  <c r="BH17" i="29"/>
  <c r="BG17" i="29"/>
  <c r="BF17" i="29"/>
  <c r="BE17" i="29"/>
  <c r="BD17" i="29"/>
  <c r="BC17" i="29"/>
  <c r="BB17" i="29"/>
  <c r="BA17" i="29"/>
  <c r="AZ17" i="29"/>
  <c r="AW17" i="29"/>
  <c r="AV17" i="29"/>
  <c r="AU17" i="29"/>
  <c r="AL17" i="29"/>
  <c r="AK17" i="29"/>
  <c r="AJ17" i="29"/>
  <c r="AI17" i="29"/>
  <c r="AH17" i="29"/>
  <c r="AD17" i="29"/>
  <c r="AC17" i="29"/>
  <c r="AB17" i="29"/>
  <c r="AA17" i="29"/>
  <c r="Z17" i="29"/>
  <c r="Y17" i="29"/>
  <c r="X17" i="29"/>
  <c r="BH13" i="29"/>
  <c r="BG13" i="29"/>
  <c r="BF13" i="29"/>
  <c r="BF196" i="29" s="1"/>
  <c r="BE13" i="29"/>
  <c r="BD13" i="29"/>
  <c r="BC13" i="29"/>
  <c r="BB13" i="29"/>
  <c r="BA13" i="29"/>
  <c r="AZ13" i="29"/>
  <c r="AW13" i="29"/>
  <c r="AW196" i="29" s="1"/>
  <c r="AV13" i="29"/>
  <c r="AU13" i="29"/>
  <c r="AL13" i="29"/>
  <c r="AK13" i="29"/>
  <c r="AJ13" i="29"/>
  <c r="AI13" i="29"/>
  <c r="AH13" i="29"/>
  <c r="AD13" i="29"/>
  <c r="AC13" i="29"/>
  <c r="AB13" i="29"/>
  <c r="AB196" i="29" s="1"/>
  <c r="AA13" i="29"/>
  <c r="Z13" i="29"/>
  <c r="Y13" i="29"/>
  <c r="X13" i="29"/>
  <c r="BH128" i="44"/>
  <c r="BG128" i="44"/>
  <c r="BF128" i="44"/>
  <c r="BE128" i="44"/>
  <c r="BD128" i="44"/>
  <c r="BC128" i="44"/>
  <c r="BB128" i="44"/>
  <c r="AW128" i="44"/>
  <c r="AV128" i="44"/>
  <c r="AU128" i="44"/>
  <c r="AD128" i="44"/>
  <c r="AC128" i="44"/>
  <c r="AB128" i="44"/>
  <c r="AA128" i="44"/>
  <c r="Z128" i="44"/>
  <c r="Y128" i="44"/>
  <c r="X128" i="44"/>
  <c r="BH121" i="44"/>
  <c r="BG121" i="44"/>
  <c r="BF121" i="44"/>
  <c r="BE121" i="44"/>
  <c r="BD121" i="44"/>
  <c r="BC121" i="44"/>
  <c r="BB121" i="44"/>
  <c r="AW121" i="44"/>
  <c r="AV121" i="44"/>
  <c r="AU121" i="44"/>
  <c r="AD121" i="44"/>
  <c r="AC121" i="44"/>
  <c r="AB121" i="44"/>
  <c r="AA121" i="44"/>
  <c r="Z121" i="44"/>
  <c r="Y121" i="44"/>
  <c r="X121" i="44"/>
  <c r="BH112" i="44"/>
  <c r="BG112" i="44"/>
  <c r="BF112" i="44"/>
  <c r="BE112" i="44"/>
  <c r="BD112" i="44"/>
  <c r="BC112" i="44"/>
  <c r="BB112" i="44"/>
  <c r="AW112" i="44"/>
  <c r="AV112" i="44"/>
  <c r="AU112" i="44"/>
  <c r="AD112" i="44"/>
  <c r="AC112" i="44"/>
  <c r="AB112" i="44"/>
  <c r="AA112" i="44"/>
  <c r="Z112" i="44"/>
  <c r="Y112" i="44"/>
  <c r="X112" i="44"/>
  <c r="BH110" i="44"/>
  <c r="BG110" i="44"/>
  <c r="BF110" i="44"/>
  <c r="BE110" i="44"/>
  <c r="BD110" i="44"/>
  <c r="BC110" i="44"/>
  <c r="BB110" i="44"/>
  <c r="AW110" i="44"/>
  <c r="AV110" i="44"/>
  <c r="AU110" i="44"/>
  <c r="AD110" i="44"/>
  <c r="AC110" i="44"/>
  <c r="AB110" i="44"/>
  <c r="AA110" i="44"/>
  <c r="Z110" i="44"/>
  <c r="Y110" i="44"/>
  <c r="X110" i="44"/>
  <c r="BH104" i="44"/>
  <c r="BG104" i="44"/>
  <c r="BF104" i="44"/>
  <c r="BE104" i="44"/>
  <c r="BD104" i="44"/>
  <c r="BC104" i="44"/>
  <c r="BB104" i="44"/>
  <c r="AW104" i="44"/>
  <c r="AV104" i="44"/>
  <c r="AU104" i="44"/>
  <c r="AD104" i="44"/>
  <c r="AC104" i="44"/>
  <c r="AB104" i="44"/>
  <c r="AA104" i="44"/>
  <c r="Z104" i="44"/>
  <c r="Y104" i="44"/>
  <c r="X104" i="44"/>
  <c r="BH102" i="44"/>
  <c r="BG102" i="44"/>
  <c r="BF102" i="44"/>
  <c r="BE102" i="44"/>
  <c r="BD102" i="44"/>
  <c r="BC102" i="44"/>
  <c r="BB102" i="44"/>
  <c r="AW102" i="44"/>
  <c r="AV102" i="44"/>
  <c r="AU102" i="44"/>
  <c r="AD102" i="44"/>
  <c r="AC102" i="44"/>
  <c r="AB102" i="44"/>
  <c r="AA102" i="44"/>
  <c r="Z102" i="44"/>
  <c r="Y102" i="44"/>
  <c r="X102" i="44"/>
  <c r="BH98" i="44"/>
  <c r="BG98" i="44"/>
  <c r="BF98" i="44"/>
  <c r="BE98" i="44"/>
  <c r="BD98" i="44"/>
  <c r="BC98" i="44"/>
  <c r="BB98" i="44"/>
  <c r="AW98" i="44"/>
  <c r="AV98" i="44"/>
  <c r="AU98" i="44"/>
  <c r="AD98" i="44"/>
  <c r="AC98" i="44"/>
  <c r="AB98" i="44"/>
  <c r="AA98" i="44"/>
  <c r="Z98" i="44"/>
  <c r="Y98" i="44"/>
  <c r="X98" i="44"/>
  <c r="BH92" i="44"/>
  <c r="BG92" i="44"/>
  <c r="BF92" i="44"/>
  <c r="BE92" i="44"/>
  <c r="BD92" i="44"/>
  <c r="BC92" i="44"/>
  <c r="BB92" i="44"/>
  <c r="AW92" i="44"/>
  <c r="AV92" i="44"/>
  <c r="AU92" i="44"/>
  <c r="AD92" i="44"/>
  <c r="AC92" i="44"/>
  <c r="AB92" i="44"/>
  <c r="AA92" i="44"/>
  <c r="Z92" i="44"/>
  <c r="Y92" i="44"/>
  <c r="X92" i="44"/>
  <c r="BH88" i="44"/>
  <c r="BG88" i="44"/>
  <c r="BF88" i="44"/>
  <c r="BE88" i="44"/>
  <c r="BD88" i="44"/>
  <c r="BC88" i="44"/>
  <c r="BB88" i="44"/>
  <c r="AW88" i="44"/>
  <c r="AV88" i="44"/>
  <c r="AU88" i="44"/>
  <c r="AD88" i="44"/>
  <c r="AC88" i="44"/>
  <c r="AB88" i="44"/>
  <c r="AA88" i="44"/>
  <c r="Z88" i="44"/>
  <c r="Y88" i="44"/>
  <c r="X88" i="44"/>
  <c r="BH84" i="44"/>
  <c r="BG84" i="44"/>
  <c r="BF84" i="44"/>
  <c r="BE84" i="44"/>
  <c r="BD84" i="44"/>
  <c r="BC84" i="44"/>
  <c r="BB84" i="44"/>
  <c r="AW84" i="44"/>
  <c r="AV84" i="44"/>
  <c r="AU84" i="44"/>
  <c r="AD84" i="44"/>
  <c r="AC84" i="44"/>
  <c r="AB84" i="44"/>
  <c r="AA84" i="44"/>
  <c r="Z84" i="44"/>
  <c r="Y84" i="44"/>
  <c r="X84" i="44"/>
  <c r="BH77" i="44"/>
  <c r="BG77" i="44"/>
  <c r="BF77" i="44"/>
  <c r="BE77" i="44"/>
  <c r="BD77" i="44"/>
  <c r="BC77" i="44"/>
  <c r="BB77" i="44"/>
  <c r="AW77" i="44"/>
  <c r="AV77" i="44"/>
  <c r="AU77" i="44"/>
  <c r="AD77" i="44"/>
  <c r="AC77" i="44"/>
  <c r="AB77" i="44"/>
  <c r="AA77" i="44"/>
  <c r="Z77" i="44"/>
  <c r="Y77" i="44"/>
  <c r="X77" i="44"/>
  <c r="BH70" i="44"/>
  <c r="BG70" i="44"/>
  <c r="BF70" i="44"/>
  <c r="BE70" i="44"/>
  <c r="BD70" i="44"/>
  <c r="BC70" i="44"/>
  <c r="BB70" i="44"/>
  <c r="AW70" i="44"/>
  <c r="AV70" i="44"/>
  <c r="AU70" i="44"/>
  <c r="AD70" i="44"/>
  <c r="AC70" i="44"/>
  <c r="AB70" i="44"/>
  <c r="AA70" i="44"/>
  <c r="Z70" i="44"/>
  <c r="Y70" i="44"/>
  <c r="X70" i="44"/>
  <c r="BH63" i="44"/>
  <c r="BG63" i="44"/>
  <c r="BF63" i="44"/>
  <c r="BE63" i="44"/>
  <c r="BD63" i="44"/>
  <c r="BC63" i="44"/>
  <c r="BB63" i="44"/>
  <c r="AW63" i="44"/>
  <c r="AV63" i="44"/>
  <c r="AU63" i="44"/>
  <c r="AD63" i="44"/>
  <c r="AC63" i="44"/>
  <c r="AB63" i="44"/>
  <c r="AA63" i="44"/>
  <c r="Z63" i="44"/>
  <c r="Y63" i="44"/>
  <c r="X63" i="44"/>
  <c r="BH56" i="44"/>
  <c r="BG56" i="44"/>
  <c r="BF56" i="44"/>
  <c r="BE56" i="44"/>
  <c r="BD56" i="44"/>
  <c r="BC56" i="44"/>
  <c r="BB56" i="44"/>
  <c r="AW56" i="44"/>
  <c r="AV56" i="44"/>
  <c r="AU56" i="44"/>
  <c r="AD56" i="44"/>
  <c r="AC56" i="44"/>
  <c r="AB56" i="44"/>
  <c r="AA56" i="44"/>
  <c r="Z56" i="44"/>
  <c r="Y56" i="44"/>
  <c r="X56" i="44"/>
  <c r="BH49" i="44"/>
  <c r="BG49" i="44"/>
  <c r="BF49" i="44"/>
  <c r="BE49" i="44"/>
  <c r="BD49" i="44"/>
  <c r="BC49" i="44"/>
  <c r="BB49" i="44"/>
  <c r="AW49" i="44"/>
  <c r="AV49" i="44"/>
  <c r="AU49" i="44"/>
  <c r="AD49" i="44"/>
  <c r="AC49" i="44"/>
  <c r="AB49" i="44"/>
  <c r="AA49" i="44"/>
  <c r="Z49" i="44"/>
  <c r="Y49" i="44"/>
  <c r="X49" i="44"/>
  <c r="BH42" i="44"/>
  <c r="BG42" i="44"/>
  <c r="BF42" i="44"/>
  <c r="BE42" i="44"/>
  <c r="BD42" i="44"/>
  <c r="BC42" i="44"/>
  <c r="BB42" i="44"/>
  <c r="AW42" i="44"/>
  <c r="AV42" i="44"/>
  <c r="AU42" i="44"/>
  <c r="AD42" i="44"/>
  <c r="AC42" i="44"/>
  <c r="AB42" i="44"/>
  <c r="AA42" i="44"/>
  <c r="Z42" i="44"/>
  <c r="Y42" i="44"/>
  <c r="X42" i="44"/>
  <c r="BH35" i="44"/>
  <c r="BG35" i="44"/>
  <c r="BF35" i="44"/>
  <c r="BE35" i="44"/>
  <c r="BD35" i="44"/>
  <c r="BC35" i="44"/>
  <c r="BB35" i="44"/>
  <c r="AW35" i="44"/>
  <c r="AV35" i="44"/>
  <c r="AU35" i="44"/>
  <c r="AD35" i="44"/>
  <c r="AC35" i="44"/>
  <c r="AB35" i="44"/>
  <c r="AA35" i="44"/>
  <c r="Z35" i="44"/>
  <c r="Y35" i="44"/>
  <c r="X35" i="44"/>
  <c r="BH28" i="44"/>
  <c r="BG28" i="44"/>
  <c r="BF28" i="44"/>
  <c r="BE28" i="44"/>
  <c r="BD28" i="44"/>
  <c r="BC28" i="44"/>
  <c r="BB28" i="44"/>
  <c r="AW28" i="44"/>
  <c r="AV28" i="44"/>
  <c r="AU28" i="44"/>
  <c r="AD28" i="44"/>
  <c r="AC28" i="44"/>
  <c r="AB28" i="44"/>
  <c r="AA28" i="44"/>
  <c r="Z28" i="44"/>
  <c r="Y28" i="44"/>
  <c r="X28" i="44"/>
  <c r="BH19" i="44"/>
  <c r="BG19" i="44"/>
  <c r="BF19" i="44"/>
  <c r="BE19" i="44"/>
  <c r="BD19" i="44"/>
  <c r="BC19" i="44"/>
  <c r="BB19" i="44"/>
  <c r="AW19" i="44"/>
  <c r="AV19" i="44"/>
  <c r="AU19" i="44"/>
  <c r="AD19" i="44"/>
  <c r="AC19" i="44"/>
  <c r="AB19" i="44"/>
  <c r="AA19" i="44"/>
  <c r="Z19" i="44"/>
  <c r="Y19" i="44"/>
  <c r="X19" i="44"/>
  <c r="BH13" i="44"/>
  <c r="BG13" i="44"/>
  <c r="BF13" i="44"/>
  <c r="BE13" i="44"/>
  <c r="BD13" i="44"/>
  <c r="BC13" i="44"/>
  <c r="BB13" i="44"/>
  <c r="AW13" i="44"/>
  <c r="AV13" i="44"/>
  <c r="AU13" i="44"/>
  <c r="AD13" i="44"/>
  <c r="AC13" i="44"/>
  <c r="AB13" i="44"/>
  <c r="AA13" i="44"/>
  <c r="Z13" i="44"/>
  <c r="Y13" i="44"/>
  <c r="X13" i="44"/>
  <c r="BH465" i="43"/>
  <c r="BG465" i="43"/>
  <c r="BF465" i="43"/>
  <c r="BE465" i="43"/>
  <c r="BD465" i="43"/>
  <c r="BC465" i="43"/>
  <c r="BB465" i="43"/>
  <c r="AW465" i="43"/>
  <c r="AV465" i="43"/>
  <c r="AU465" i="43"/>
  <c r="AD465" i="43"/>
  <c r="AC465" i="43"/>
  <c r="AB465" i="43"/>
  <c r="AA465" i="43"/>
  <c r="Z465" i="43"/>
  <c r="Y465" i="43"/>
  <c r="X465" i="43"/>
  <c r="BH461" i="43"/>
  <c r="BG461" i="43"/>
  <c r="BF461" i="43"/>
  <c r="BE461" i="43"/>
  <c r="BD461" i="43"/>
  <c r="BC461" i="43"/>
  <c r="BB461" i="43"/>
  <c r="AW461" i="43"/>
  <c r="AV461" i="43"/>
  <c r="AU461" i="43"/>
  <c r="AD461" i="43"/>
  <c r="AC461" i="43"/>
  <c r="AB461" i="43"/>
  <c r="AA461" i="43"/>
  <c r="Z461" i="43"/>
  <c r="Y461" i="43"/>
  <c r="X461" i="43"/>
  <c r="BH458" i="43"/>
  <c r="BG458" i="43"/>
  <c r="BF458" i="43"/>
  <c r="BE458" i="43"/>
  <c r="BD458" i="43"/>
  <c r="BC458" i="43"/>
  <c r="BB458" i="43"/>
  <c r="AW458" i="43"/>
  <c r="AV458" i="43"/>
  <c r="AU458" i="43"/>
  <c r="AD458" i="43"/>
  <c r="AC458" i="43"/>
  <c r="AB458" i="43"/>
  <c r="AA458" i="43"/>
  <c r="Z458" i="43"/>
  <c r="Y458" i="43"/>
  <c r="X458" i="43"/>
  <c r="BH451" i="43"/>
  <c r="BG451" i="43"/>
  <c r="BF451" i="43"/>
  <c r="BE451" i="43"/>
  <c r="BD451" i="43"/>
  <c r="BC451" i="43"/>
  <c r="BB451" i="43"/>
  <c r="AW451" i="43"/>
  <c r="AV451" i="43"/>
  <c r="AU451" i="43"/>
  <c r="AD451" i="43"/>
  <c r="AC451" i="43"/>
  <c r="AB451" i="43"/>
  <c r="AA451" i="43"/>
  <c r="Z451" i="43"/>
  <c r="Y451" i="43"/>
  <c r="X451" i="43"/>
  <c r="BH444" i="43"/>
  <c r="BG444" i="43"/>
  <c r="BF444" i="43"/>
  <c r="BE444" i="43"/>
  <c r="BD444" i="43"/>
  <c r="BC444" i="43"/>
  <c r="BB444" i="43"/>
  <c r="AW444" i="43"/>
  <c r="AV444" i="43"/>
  <c r="AU444" i="43"/>
  <c r="AD444" i="43"/>
  <c r="AC444" i="43"/>
  <c r="AB444" i="43"/>
  <c r="AA444" i="43"/>
  <c r="Z444" i="43"/>
  <c r="Y444" i="43"/>
  <c r="X444" i="43"/>
  <c r="BH437" i="43"/>
  <c r="BG437" i="43"/>
  <c r="BF437" i="43"/>
  <c r="BE437" i="43"/>
  <c r="BD437" i="43"/>
  <c r="BC437" i="43"/>
  <c r="BB437" i="43"/>
  <c r="AW437" i="43"/>
  <c r="AV437" i="43"/>
  <c r="AU437" i="43"/>
  <c r="AD437" i="43"/>
  <c r="AC437" i="43"/>
  <c r="AB437" i="43"/>
  <c r="AA437" i="43"/>
  <c r="Z437" i="43"/>
  <c r="Y437" i="43"/>
  <c r="X437" i="43"/>
  <c r="BH430" i="43"/>
  <c r="BG430" i="43"/>
  <c r="BF430" i="43"/>
  <c r="BE430" i="43"/>
  <c r="BD430" i="43"/>
  <c r="BC430" i="43"/>
  <c r="BB430" i="43"/>
  <c r="AW430" i="43"/>
  <c r="AV430" i="43"/>
  <c r="AU430" i="43"/>
  <c r="AD430" i="43"/>
  <c r="AC430" i="43"/>
  <c r="AB430" i="43"/>
  <c r="AA430" i="43"/>
  <c r="Z430" i="43"/>
  <c r="Y430" i="43"/>
  <c r="X430" i="43"/>
  <c r="BH423" i="43"/>
  <c r="BG423" i="43"/>
  <c r="BF423" i="43"/>
  <c r="BE423" i="43"/>
  <c r="BD423" i="43"/>
  <c r="BC423" i="43"/>
  <c r="BB423" i="43"/>
  <c r="AW423" i="43"/>
  <c r="AV423" i="43"/>
  <c r="AU423" i="43"/>
  <c r="AD423" i="43"/>
  <c r="AC423" i="43"/>
  <c r="AB423" i="43"/>
  <c r="AA423" i="43"/>
  <c r="Z423" i="43"/>
  <c r="Y423" i="43"/>
  <c r="X423" i="43"/>
  <c r="BH416" i="43"/>
  <c r="BG416" i="43"/>
  <c r="BF416" i="43"/>
  <c r="BE416" i="43"/>
  <c r="BD416" i="43"/>
  <c r="BC416" i="43"/>
  <c r="BB416" i="43"/>
  <c r="AW416" i="43"/>
  <c r="AV416" i="43"/>
  <c r="AU416" i="43"/>
  <c r="AD416" i="43"/>
  <c r="AC416" i="43"/>
  <c r="AB416" i="43"/>
  <c r="AA416" i="43"/>
  <c r="Z416" i="43"/>
  <c r="Y416" i="43"/>
  <c r="X416" i="43"/>
  <c r="BH409" i="43"/>
  <c r="BG409" i="43"/>
  <c r="BF409" i="43"/>
  <c r="BE409" i="43"/>
  <c r="BD409" i="43"/>
  <c r="BC409" i="43"/>
  <c r="BB409" i="43"/>
  <c r="AW409" i="43"/>
  <c r="AV409" i="43"/>
  <c r="AU409" i="43"/>
  <c r="AD409" i="43"/>
  <c r="AC409" i="43"/>
  <c r="AB409" i="43"/>
  <c r="AA409" i="43"/>
  <c r="Z409" i="43"/>
  <c r="Y409" i="43"/>
  <c r="X409" i="43"/>
  <c r="BH402" i="43"/>
  <c r="BG402" i="43"/>
  <c r="BF402" i="43"/>
  <c r="BE402" i="43"/>
  <c r="BD402" i="43"/>
  <c r="BC402" i="43"/>
  <c r="BB402" i="43"/>
  <c r="AW402" i="43"/>
  <c r="AV402" i="43"/>
  <c r="AU402" i="43"/>
  <c r="AD402" i="43"/>
  <c r="AC402" i="43"/>
  <c r="AB402" i="43"/>
  <c r="AA402" i="43"/>
  <c r="Z402" i="43"/>
  <c r="Y402" i="43"/>
  <c r="X402" i="43"/>
  <c r="BH395" i="43"/>
  <c r="BG395" i="43"/>
  <c r="BF395" i="43"/>
  <c r="BE395" i="43"/>
  <c r="BD395" i="43"/>
  <c r="BC395" i="43"/>
  <c r="BB395" i="43"/>
  <c r="AW395" i="43"/>
  <c r="AV395" i="43"/>
  <c r="AU395" i="43"/>
  <c r="AD395" i="43"/>
  <c r="AC395" i="43"/>
  <c r="AB395" i="43"/>
  <c r="AA395" i="43"/>
  <c r="Z395" i="43"/>
  <c r="Y395" i="43"/>
  <c r="X395" i="43"/>
  <c r="BH391" i="43"/>
  <c r="BG391" i="43"/>
  <c r="BF391" i="43"/>
  <c r="BE391" i="43"/>
  <c r="BD391" i="43"/>
  <c r="BC391" i="43"/>
  <c r="BB391" i="43"/>
  <c r="AW391" i="43"/>
  <c r="AV391" i="43"/>
  <c r="AU391" i="43"/>
  <c r="AD391" i="43"/>
  <c r="AC391" i="43"/>
  <c r="AB391" i="43"/>
  <c r="AA391" i="43"/>
  <c r="Z391" i="43"/>
  <c r="Y391" i="43"/>
  <c r="X391" i="43"/>
  <c r="BH385" i="43"/>
  <c r="BG385" i="43"/>
  <c r="BF385" i="43"/>
  <c r="BE385" i="43"/>
  <c r="BD385" i="43"/>
  <c r="BC385" i="43"/>
  <c r="BB385" i="43"/>
  <c r="AW385" i="43"/>
  <c r="AV385" i="43"/>
  <c r="AU385" i="43"/>
  <c r="AD385" i="43"/>
  <c r="AC385" i="43"/>
  <c r="AB385" i="43"/>
  <c r="AA385" i="43"/>
  <c r="Z385" i="43"/>
  <c r="Y385" i="43"/>
  <c r="X385" i="43"/>
  <c r="BH378" i="43"/>
  <c r="BG378" i="43"/>
  <c r="BF378" i="43"/>
  <c r="BE378" i="43"/>
  <c r="BD378" i="43"/>
  <c r="BC378" i="43"/>
  <c r="BB378" i="43"/>
  <c r="AW378" i="43"/>
  <c r="AV378" i="43"/>
  <c r="AU378" i="43"/>
  <c r="AD378" i="43"/>
  <c r="AC378" i="43"/>
  <c r="AB378" i="43"/>
  <c r="AA378" i="43"/>
  <c r="Z378" i="43"/>
  <c r="Y378" i="43"/>
  <c r="X378" i="43"/>
  <c r="BH376" i="43"/>
  <c r="BG376" i="43"/>
  <c r="BF376" i="43"/>
  <c r="BE376" i="43"/>
  <c r="BD376" i="43"/>
  <c r="BC376" i="43"/>
  <c r="BB376" i="43"/>
  <c r="AW376" i="43"/>
  <c r="AV376" i="43"/>
  <c r="AU376" i="43"/>
  <c r="AD376" i="43"/>
  <c r="AC376" i="43"/>
  <c r="AB376" i="43"/>
  <c r="AA376" i="43"/>
  <c r="Z376" i="43"/>
  <c r="Y376" i="43"/>
  <c r="X376" i="43"/>
  <c r="BH372" i="43"/>
  <c r="BG372" i="43"/>
  <c r="BF372" i="43"/>
  <c r="BE372" i="43"/>
  <c r="BD372" i="43"/>
  <c r="BC372" i="43"/>
  <c r="BB372" i="43"/>
  <c r="AW372" i="43"/>
  <c r="AV372" i="43"/>
  <c r="AU372" i="43"/>
  <c r="AD372" i="43"/>
  <c r="AC372" i="43"/>
  <c r="AB372" i="43"/>
  <c r="AA372" i="43"/>
  <c r="Z372" i="43"/>
  <c r="Y372" i="43"/>
  <c r="X372" i="43"/>
  <c r="BH365" i="43"/>
  <c r="BG365" i="43"/>
  <c r="BF365" i="43"/>
  <c r="BE365" i="43"/>
  <c r="BD365" i="43"/>
  <c r="BC365" i="43"/>
  <c r="BB365" i="43"/>
  <c r="AW365" i="43"/>
  <c r="AV365" i="43"/>
  <c r="AU365" i="43"/>
  <c r="AD365" i="43"/>
  <c r="AC365" i="43"/>
  <c r="AB365" i="43"/>
  <c r="AA365" i="43"/>
  <c r="Z365" i="43"/>
  <c r="Y365" i="43"/>
  <c r="X365" i="43"/>
  <c r="BH360" i="43"/>
  <c r="BG360" i="43"/>
  <c r="BF360" i="43"/>
  <c r="BE360" i="43"/>
  <c r="BD360" i="43"/>
  <c r="BC360" i="43"/>
  <c r="BB360" i="43"/>
  <c r="AW360" i="43"/>
  <c r="AV360" i="43"/>
  <c r="AU360" i="43"/>
  <c r="AD360" i="43"/>
  <c r="AC360" i="43"/>
  <c r="AB360" i="43"/>
  <c r="AA360" i="43"/>
  <c r="Z360" i="43"/>
  <c r="Y360" i="43"/>
  <c r="X360" i="43"/>
  <c r="BH353" i="43"/>
  <c r="BG353" i="43"/>
  <c r="BF353" i="43"/>
  <c r="BE353" i="43"/>
  <c r="BD353" i="43"/>
  <c r="BC353" i="43"/>
  <c r="BB353" i="43"/>
  <c r="AW353" i="43"/>
  <c r="AV353" i="43"/>
  <c r="AU353" i="43"/>
  <c r="AD353" i="43"/>
  <c r="AC353" i="43"/>
  <c r="AB353" i="43"/>
  <c r="AA353" i="43"/>
  <c r="Z353" i="43"/>
  <c r="Y353" i="43"/>
  <c r="X353" i="43"/>
  <c r="BH347" i="43"/>
  <c r="BG347" i="43"/>
  <c r="BF347" i="43"/>
  <c r="BE347" i="43"/>
  <c r="BD347" i="43"/>
  <c r="BC347" i="43"/>
  <c r="BB347" i="43"/>
  <c r="AW347" i="43"/>
  <c r="AV347" i="43"/>
  <c r="AU347" i="43"/>
  <c r="AD347" i="43"/>
  <c r="AC347" i="43"/>
  <c r="AB347" i="43"/>
  <c r="AA347" i="43"/>
  <c r="Z347" i="43"/>
  <c r="Y347" i="43"/>
  <c r="X347" i="43"/>
  <c r="BH338" i="43"/>
  <c r="BG338" i="43"/>
  <c r="BF338" i="43"/>
  <c r="BE338" i="43"/>
  <c r="BD338" i="43"/>
  <c r="BC338" i="43"/>
  <c r="BB338" i="43"/>
  <c r="AW338" i="43"/>
  <c r="AV338" i="43"/>
  <c r="AU338" i="43"/>
  <c r="AD338" i="43"/>
  <c r="AC338" i="43"/>
  <c r="AB338" i="43"/>
  <c r="AA338" i="43"/>
  <c r="Z338" i="43"/>
  <c r="Y338" i="43"/>
  <c r="X338" i="43"/>
  <c r="BH334" i="43"/>
  <c r="BG334" i="43"/>
  <c r="BF334" i="43"/>
  <c r="BE334" i="43"/>
  <c r="BD334" i="43"/>
  <c r="BC334" i="43"/>
  <c r="BB334" i="43"/>
  <c r="AW334" i="43"/>
  <c r="AV334" i="43"/>
  <c r="AU334" i="43"/>
  <c r="AD334" i="43"/>
  <c r="AC334" i="43"/>
  <c r="AB334" i="43"/>
  <c r="AA334" i="43"/>
  <c r="Z334" i="43"/>
  <c r="Y334" i="43"/>
  <c r="X334" i="43"/>
  <c r="BH330" i="43"/>
  <c r="BG330" i="43"/>
  <c r="BF330" i="43"/>
  <c r="BE330" i="43"/>
  <c r="BD330" i="43"/>
  <c r="BC330" i="43"/>
  <c r="BB330" i="43"/>
  <c r="AW330" i="43"/>
  <c r="AV330" i="43"/>
  <c r="AU330" i="43"/>
  <c r="AD330" i="43"/>
  <c r="AC330" i="43"/>
  <c r="AB330" i="43"/>
  <c r="AA330" i="43"/>
  <c r="Z330" i="43"/>
  <c r="Y330" i="43"/>
  <c r="X330" i="43"/>
  <c r="BH326" i="43"/>
  <c r="BG326" i="43"/>
  <c r="BF326" i="43"/>
  <c r="BE326" i="43"/>
  <c r="BD326" i="43"/>
  <c r="BC326" i="43"/>
  <c r="BB326" i="43"/>
  <c r="AW326" i="43"/>
  <c r="AV326" i="43"/>
  <c r="AU326" i="43"/>
  <c r="AD326" i="43"/>
  <c r="AC326" i="43"/>
  <c r="AB326" i="43"/>
  <c r="AA326" i="43"/>
  <c r="Z326" i="43"/>
  <c r="Y326" i="43"/>
  <c r="X326" i="43"/>
  <c r="BH324" i="43"/>
  <c r="BG324" i="43"/>
  <c r="BF324" i="43"/>
  <c r="BE324" i="43"/>
  <c r="BD324" i="43"/>
  <c r="BC324" i="43"/>
  <c r="BB324" i="43"/>
  <c r="AW324" i="43"/>
  <c r="AV324" i="43"/>
  <c r="AU324" i="43"/>
  <c r="AD324" i="43"/>
  <c r="AC324" i="43"/>
  <c r="AB324" i="43"/>
  <c r="AA324" i="43"/>
  <c r="Z324" i="43"/>
  <c r="Y324" i="43"/>
  <c r="X324" i="43"/>
  <c r="BH318" i="43"/>
  <c r="BG318" i="43"/>
  <c r="BF318" i="43"/>
  <c r="BE318" i="43"/>
  <c r="BD318" i="43"/>
  <c r="BC318" i="43"/>
  <c r="BB318" i="43"/>
  <c r="AW318" i="43"/>
  <c r="AV318" i="43"/>
  <c r="AU318" i="43"/>
  <c r="AD318" i="43"/>
  <c r="AC318" i="43"/>
  <c r="AB318" i="43"/>
  <c r="AA318" i="43"/>
  <c r="Z318" i="43"/>
  <c r="Y318" i="43"/>
  <c r="X318" i="43"/>
  <c r="BH314" i="43"/>
  <c r="BG314" i="43"/>
  <c r="BF314" i="43"/>
  <c r="BE314" i="43"/>
  <c r="BD314" i="43"/>
  <c r="BC314" i="43"/>
  <c r="BB314" i="43"/>
  <c r="AW314" i="43"/>
  <c r="AV314" i="43"/>
  <c r="AU314" i="43"/>
  <c r="AD314" i="43"/>
  <c r="AC314" i="43"/>
  <c r="AB314" i="43"/>
  <c r="AA314" i="43"/>
  <c r="Z314" i="43"/>
  <c r="Y314" i="43"/>
  <c r="X314" i="43"/>
  <c r="BH307" i="43"/>
  <c r="BG307" i="43"/>
  <c r="BF307" i="43"/>
  <c r="BE307" i="43"/>
  <c r="BD307" i="43"/>
  <c r="BC307" i="43"/>
  <c r="BB307" i="43"/>
  <c r="AW307" i="43"/>
  <c r="AV307" i="43"/>
  <c r="AU307" i="43"/>
  <c r="AD307" i="43"/>
  <c r="AC307" i="43"/>
  <c r="AB307" i="43"/>
  <c r="AA307" i="43"/>
  <c r="Z307" i="43"/>
  <c r="Y307" i="43"/>
  <c r="X307" i="43"/>
  <c r="BH300" i="43"/>
  <c r="BG300" i="43"/>
  <c r="BF300" i="43"/>
  <c r="BE300" i="43"/>
  <c r="BD300" i="43"/>
  <c r="BC300" i="43"/>
  <c r="BB300" i="43"/>
  <c r="AW300" i="43"/>
  <c r="AV300" i="43"/>
  <c r="AU300" i="43"/>
  <c r="AD300" i="43"/>
  <c r="AC300" i="43"/>
  <c r="AB300" i="43"/>
  <c r="AA300" i="43"/>
  <c r="Z300" i="43"/>
  <c r="Y300" i="43"/>
  <c r="X300" i="43"/>
  <c r="BH298" i="43"/>
  <c r="BG298" i="43"/>
  <c r="BF298" i="43"/>
  <c r="BE298" i="43"/>
  <c r="BD298" i="43"/>
  <c r="BC298" i="43"/>
  <c r="BB298" i="43"/>
  <c r="AW298" i="43"/>
  <c r="AV298" i="43"/>
  <c r="AU298" i="43"/>
  <c r="AD298" i="43"/>
  <c r="AC298" i="43"/>
  <c r="AB298" i="43"/>
  <c r="AA298" i="43"/>
  <c r="Z298" i="43"/>
  <c r="Y298" i="43"/>
  <c r="X298" i="43"/>
  <c r="BH290" i="43"/>
  <c r="BG290" i="43"/>
  <c r="BF290" i="43"/>
  <c r="BE290" i="43"/>
  <c r="BD290" i="43"/>
  <c r="BC290" i="43"/>
  <c r="BB290" i="43"/>
  <c r="AW290" i="43"/>
  <c r="AV290" i="43"/>
  <c r="AU290" i="43"/>
  <c r="AD290" i="43"/>
  <c r="AC290" i="43"/>
  <c r="AB290" i="43"/>
  <c r="AA290" i="43"/>
  <c r="Z290" i="43"/>
  <c r="Y290" i="43"/>
  <c r="X290" i="43"/>
  <c r="BH285" i="43"/>
  <c r="BG285" i="43"/>
  <c r="BF285" i="43"/>
  <c r="BE285" i="43"/>
  <c r="BD285" i="43"/>
  <c r="BC285" i="43"/>
  <c r="BB285" i="43"/>
  <c r="AW285" i="43"/>
  <c r="AV285" i="43"/>
  <c r="AU285" i="43"/>
  <c r="AD285" i="43"/>
  <c r="AC285" i="43"/>
  <c r="AB285" i="43"/>
  <c r="AA285" i="43"/>
  <c r="Z285" i="43"/>
  <c r="Y285" i="43"/>
  <c r="X285" i="43"/>
  <c r="BH278" i="43"/>
  <c r="BG278" i="43"/>
  <c r="BF278" i="43"/>
  <c r="BE278" i="43"/>
  <c r="BD278" i="43"/>
  <c r="BC278" i="43"/>
  <c r="BB278" i="43"/>
  <c r="AW278" i="43"/>
  <c r="AV278" i="43"/>
  <c r="AU278" i="43"/>
  <c r="AD278" i="43"/>
  <c r="AC278" i="43"/>
  <c r="AB278" i="43"/>
  <c r="AA278" i="43"/>
  <c r="Z278" i="43"/>
  <c r="Y278" i="43"/>
  <c r="X278" i="43"/>
  <c r="BH274" i="43"/>
  <c r="BG274" i="43"/>
  <c r="BF274" i="43"/>
  <c r="BE274" i="43"/>
  <c r="BD274" i="43"/>
  <c r="BC274" i="43"/>
  <c r="BB274" i="43"/>
  <c r="AW274" i="43"/>
  <c r="AV274" i="43"/>
  <c r="AU274" i="43"/>
  <c r="AD274" i="43"/>
  <c r="AC274" i="43"/>
  <c r="AB274" i="43"/>
  <c r="AA274" i="43"/>
  <c r="Z274" i="43"/>
  <c r="Y274" i="43"/>
  <c r="X274" i="43"/>
  <c r="BH268" i="43"/>
  <c r="BG268" i="43"/>
  <c r="BF268" i="43"/>
  <c r="BE268" i="43"/>
  <c r="BD268" i="43"/>
  <c r="BC268" i="43"/>
  <c r="BB268" i="43"/>
  <c r="AW268" i="43"/>
  <c r="AV268" i="43"/>
  <c r="AU268" i="43"/>
  <c r="AD268" i="43"/>
  <c r="AC268" i="43"/>
  <c r="AB268" i="43"/>
  <c r="AA268" i="43"/>
  <c r="Z268" i="43"/>
  <c r="Y268" i="43"/>
  <c r="X268" i="43"/>
  <c r="BH264" i="43"/>
  <c r="BG264" i="43"/>
  <c r="BF264" i="43"/>
  <c r="BE264" i="43"/>
  <c r="BD264" i="43"/>
  <c r="BC264" i="43"/>
  <c r="BB264" i="43"/>
  <c r="AW264" i="43"/>
  <c r="AV264" i="43"/>
  <c r="AU264" i="43"/>
  <c r="AD264" i="43"/>
  <c r="AC264" i="43"/>
  <c r="AB264" i="43"/>
  <c r="AA264" i="43"/>
  <c r="Z264" i="43"/>
  <c r="Y264" i="43"/>
  <c r="X264" i="43"/>
  <c r="BH260" i="43"/>
  <c r="BG260" i="43"/>
  <c r="BF260" i="43"/>
  <c r="BE260" i="43"/>
  <c r="BD260" i="43"/>
  <c r="BC260" i="43"/>
  <c r="BB260" i="43"/>
  <c r="AW260" i="43"/>
  <c r="AV260" i="43"/>
  <c r="AU260" i="43"/>
  <c r="AD260" i="43"/>
  <c r="AC260" i="43"/>
  <c r="AB260" i="43"/>
  <c r="AA260" i="43"/>
  <c r="Z260" i="43"/>
  <c r="Y260" i="43"/>
  <c r="X260" i="43"/>
  <c r="BH258" i="43"/>
  <c r="BG258" i="43"/>
  <c r="BF258" i="43"/>
  <c r="BE258" i="43"/>
  <c r="BD258" i="43"/>
  <c r="BC258" i="43"/>
  <c r="BB258" i="43"/>
  <c r="AW258" i="43"/>
  <c r="AV258" i="43"/>
  <c r="AU258" i="43"/>
  <c r="AD258" i="43"/>
  <c r="AC258" i="43"/>
  <c r="AB258" i="43"/>
  <c r="AA258" i="43"/>
  <c r="Z258" i="43"/>
  <c r="Y258" i="43"/>
  <c r="X258" i="43"/>
  <c r="BH251" i="43"/>
  <c r="BG251" i="43"/>
  <c r="BF251" i="43"/>
  <c r="BE251" i="43"/>
  <c r="BD251" i="43"/>
  <c r="BC251" i="43"/>
  <c r="BB251" i="43"/>
  <c r="AW251" i="43"/>
  <c r="AV251" i="43"/>
  <c r="AU251" i="43"/>
  <c r="AD251" i="43"/>
  <c r="AC251" i="43"/>
  <c r="AB251" i="43"/>
  <c r="AA251" i="43"/>
  <c r="Z251" i="43"/>
  <c r="Y251" i="43"/>
  <c r="X251" i="43"/>
  <c r="BH245" i="43"/>
  <c r="BG245" i="43"/>
  <c r="BF245" i="43"/>
  <c r="BE245" i="43"/>
  <c r="BD245" i="43"/>
  <c r="BC245" i="43"/>
  <c r="BB245" i="43"/>
  <c r="AW245" i="43"/>
  <c r="AV245" i="43"/>
  <c r="AU245" i="43"/>
  <c r="AD245" i="43"/>
  <c r="AC245" i="43"/>
  <c r="AB245" i="43"/>
  <c r="AA245" i="43"/>
  <c r="Z245" i="43"/>
  <c r="Y245" i="43"/>
  <c r="X245" i="43"/>
  <c r="BH239" i="43"/>
  <c r="BG239" i="43"/>
  <c r="BF239" i="43"/>
  <c r="BE239" i="43"/>
  <c r="BD239" i="43"/>
  <c r="BC239" i="43"/>
  <c r="BB239" i="43"/>
  <c r="AW239" i="43"/>
  <c r="AV239" i="43"/>
  <c r="AU239" i="43"/>
  <c r="AD239" i="43"/>
  <c r="AC239" i="43"/>
  <c r="AB239" i="43"/>
  <c r="AA239" i="43"/>
  <c r="Z239" i="43"/>
  <c r="Y239" i="43"/>
  <c r="X239" i="43"/>
  <c r="BH233" i="43"/>
  <c r="BG233" i="43"/>
  <c r="BF233" i="43"/>
  <c r="BE233" i="43"/>
  <c r="BD233" i="43"/>
  <c r="BC233" i="43"/>
  <c r="BB233" i="43"/>
  <c r="AW233" i="43"/>
  <c r="AV233" i="43"/>
  <c r="AU233" i="43"/>
  <c r="AD233" i="43"/>
  <c r="AC233" i="43"/>
  <c r="AB233" i="43"/>
  <c r="AA233" i="43"/>
  <c r="Z233" i="43"/>
  <c r="Y233" i="43"/>
  <c r="X233" i="43"/>
  <c r="BH227" i="43"/>
  <c r="BG227" i="43"/>
  <c r="BF227" i="43"/>
  <c r="BE227" i="43"/>
  <c r="BD227" i="43"/>
  <c r="BC227" i="43"/>
  <c r="BB227" i="43"/>
  <c r="AW227" i="43"/>
  <c r="AV227" i="43"/>
  <c r="AU227" i="43"/>
  <c r="AD227" i="43"/>
  <c r="AC227" i="43"/>
  <c r="AB227" i="43"/>
  <c r="AA227" i="43"/>
  <c r="Z227" i="43"/>
  <c r="Y227" i="43"/>
  <c r="X227" i="43"/>
  <c r="BH221" i="43"/>
  <c r="BG221" i="43"/>
  <c r="BF221" i="43"/>
  <c r="BE221" i="43"/>
  <c r="BD221" i="43"/>
  <c r="BC221" i="43"/>
  <c r="BB221" i="43"/>
  <c r="AW221" i="43"/>
  <c r="AV221" i="43"/>
  <c r="AU221" i="43"/>
  <c r="AD221" i="43"/>
  <c r="AC221" i="43"/>
  <c r="AB221" i="43"/>
  <c r="AA221" i="43"/>
  <c r="Z221" i="43"/>
  <c r="Y221" i="43"/>
  <c r="X221" i="43"/>
  <c r="BH215" i="43"/>
  <c r="BG215" i="43"/>
  <c r="BF215" i="43"/>
  <c r="BE215" i="43"/>
  <c r="BD215" i="43"/>
  <c r="BC215" i="43"/>
  <c r="BB215" i="43"/>
  <c r="AW215" i="43"/>
  <c r="AV215" i="43"/>
  <c r="AU215" i="43"/>
  <c r="AD215" i="43"/>
  <c r="AC215" i="43"/>
  <c r="AB215" i="43"/>
  <c r="AA215" i="43"/>
  <c r="Z215" i="43"/>
  <c r="Y215" i="43"/>
  <c r="X215" i="43"/>
  <c r="BH208" i="43"/>
  <c r="BG208" i="43"/>
  <c r="BF208" i="43"/>
  <c r="BE208" i="43"/>
  <c r="BD208" i="43"/>
  <c r="BC208" i="43"/>
  <c r="BB208" i="43"/>
  <c r="AW208" i="43"/>
  <c r="AV208" i="43"/>
  <c r="AU208" i="43"/>
  <c r="AD208" i="43"/>
  <c r="AC208" i="43"/>
  <c r="AB208" i="43"/>
  <c r="AA208" i="43"/>
  <c r="Z208" i="43"/>
  <c r="Y208" i="43"/>
  <c r="X208" i="43"/>
  <c r="BH202" i="43"/>
  <c r="BG202" i="43"/>
  <c r="BF202" i="43"/>
  <c r="BE202" i="43"/>
  <c r="BD202" i="43"/>
  <c r="BC202" i="43"/>
  <c r="BB202" i="43"/>
  <c r="AW202" i="43"/>
  <c r="AV202" i="43"/>
  <c r="AU202" i="43"/>
  <c r="AD202" i="43"/>
  <c r="AC202" i="43"/>
  <c r="AB202" i="43"/>
  <c r="AA202" i="43"/>
  <c r="Z202" i="43"/>
  <c r="Y202" i="43"/>
  <c r="X202" i="43"/>
  <c r="BH196" i="43"/>
  <c r="BG196" i="43"/>
  <c r="BF196" i="43"/>
  <c r="BE196" i="43"/>
  <c r="BD196" i="43"/>
  <c r="BC196" i="43"/>
  <c r="BB196" i="43"/>
  <c r="AW196" i="43"/>
  <c r="AV196" i="43"/>
  <c r="AU196" i="43"/>
  <c r="AD196" i="43"/>
  <c r="AC196" i="43"/>
  <c r="AB196" i="43"/>
  <c r="AA196" i="43"/>
  <c r="Z196" i="43"/>
  <c r="Y196" i="43"/>
  <c r="X196" i="43"/>
  <c r="BH189" i="43"/>
  <c r="BG189" i="43"/>
  <c r="BF189" i="43"/>
  <c r="BE189" i="43"/>
  <c r="BD189" i="43"/>
  <c r="BC189" i="43"/>
  <c r="BB189" i="43"/>
  <c r="AW189" i="43"/>
  <c r="AV189" i="43"/>
  <c r="AU189" i="43"/>
  <c r="AD189" i="43"/>
  <c r="AC189" i="43"/>
  <c r="AB189" i="43"/>
  <c r="AA189" i="43"/>
  <c r="Z189" i="43"/>
  <c r="Y189" i="43"/>
  <c r="X189" i="43"/>
  <c r="BH182" i="43"/>
  <c r="BG182" i="43"/>
  <c r="BF182" i="43"/>
  <c r="BE182" i="43"/>
  <c r="BD182" i="43"/>
  <c r="BC182" i="43"/>
  <c r="BB182" i="43"/>
  <c r="AW182" i="43"/>
  <c r="AV182" i="43"/>
  <c r="AU182" i="43"/>
  <c r="AD182" i="43"/>
  <c r="AC182" i="43"/>
  <c r="AB182" i="43"/>
  <c r="AA182" i="43"/>
  <c r="Z182" i="43"/>
  <c r="Y182" i="43"/>
  <c r="X182" i="43"/>
  <c r="BH176" i="43"/>
  <c r="BG176" i="43"/>
  <c r="BF176" i="43"/>
  <c r="BE176" i="43"/>
  <c r="BD176" i="43"/>
  <c r="BC176" i="43"/>
  <c r="BB176" i="43"/>
  <c r="AW176" i="43"/>
  <c r="AV176" i="43"/>
  <c r="AU176" i="43"/>
  <c r="AD176" i="43"/>
  <c r="AC176" i="43"/>
  <c r="AB176" i="43"/>
  <c r="AA176" i="43"/>
  <c r="Z176" i="43"/>
  <c r="Y176" i="43"/>
  <c r="X176" i="43"/>
  <c r="BH170" i="43"/>
  <c r="BG170" i="43"/>
  <c r="BF170" i="43"/>
  <c r="BE170" i="43"/>
  <c r="BD170" i="43"/>
  <c r="BC170" i="43"/>
  <c r="BB170" i="43"/>
  <c r="AW170" i="43"/>
  <c r="AV170" i="43"/>
  <c r="AU170" i="43"/>
  <c r="AD170" i="43"/>
  <c r="AC170" i="43"/>
  <c r="AB170" i="43"/>
  <c r="AA170" i="43"/>
  <c r="Z170" i="43"/>
  <c r="Y170" i="43"/>
  <c r="X170" i="43"/>
  <c r="BH164" i="43"/>
  <c r="BG164" i="43"/>
  <c r="BF164" i="43"/>
  <c r="BE164" i="43"/>
  <c r="BD164" i="43"/>
  <c r="BC164" i="43"/>
  <c r="BB164" i="43"/>
  <c r="AW164" i="43"/>
  <c r="AV164" i="43"/>
  <c r="AU164" i="43"/>
  <c r="AD164" i="43"/>
  <c r="AC164" i="43"/>
  <c r="AB164" i="43"/>
  <c r="AA164" i="43"/>
  <c r="Z164" i="43"/>
  <c r="Y164" i="43"/>
  <c r="X164" i="43"/>
  <c r="BH159" i="43"/>
  <c r="BG159" i="43"/>
  <c r="BF159" i="43"/>
  <c r="BE159" i="43"/>
  <c r="BD159" i="43"/>
  <c r="BC159" i="43"/>
  <c r="BB159" i="43"/>
  <c r="AW159" i="43"/>
  <c r="AV159" i="43"/>
  <c r="AU159" i="43"/>
  <c r="AD159" i="43"/>
  <c r="AC159" i="43"/>
  <c r="AB159" i="43"/>
  <c r="AA159" i="43"/>
  <c r="Z159" i="43"/>
  <c r="Y159" i="43"/>
  <c r="X159" i="43"/>
  <c r="BH153" i="43"/>
  <c r="BG153" i="43"/>
  <c r="BF153" i="43"/>
  <c r="BE153" i="43"/>
  <c r="BD153" i="43"/>
  <c r="BC153" i="43"/>
  <c r="BB153" i="43"/>
  <c r="AW153" i="43"/>
  <c r="AV153" i="43"/>
  <c r="AU153" i="43"/>
  <c r="AD153" i="43"/>
  <c r="AC153" i="43"/>
  <c r="AB153" i="43"/>
  <c r="AA153" i="43"/>
  <c r="Z153" i="43"/>
  <c r="Y153" i="43"/>
  <c r="X153" i="43"/>
  <c r="BH147" i="43"/>
  <c r="BG147" i="43"/>
  <c r="BF147" i="43"/>
  <c r="BE147" i="43"/>
  <c r="BD147" i="43"/>
  <c r="BC147" i="43"/>
  <c r="BB147" i="43"/>
  <c r="AW147" i="43"/>
  <c r="AV147" i="43"/>
  <c r="AU147" i="43"/>
  <c r="AD147" i="43"/>
  <c r="AC147" i="43"/>
  <c r="AB147" i="43"/>
  <c r="AA147" i="43"/>
  <c r="Z147" i="43"/>
  <c r="Y147" i="43"/>
  <c r="X147" i="43"/>
  <c r="BH141" i="43"/>
  <c r="BG141" i="43"/>
  <c r="BF141" i="43"/>
  <c r="BE141" i="43"/>
  <c r="BD141" i="43"/>
  <c r="BC141" i="43"/>
  <c r="BB141" i="43"/>
  <c r="AW141" i="43"/>
  <c r="AV141" i="43"/>
  <c r="AU141" i="43"/>
  <c r="AD141" i="43"/>
  <c r="AC141" i="43"/>
  <c r="AB141" i="43"/>
  <c r="AA141" i="43"/>
  <c r="Z141" i="43"/>
  <c r="Y141" i="43"/>
  <c r="X141" i="43"/>
  <c r="BH134" i="43"/>
  <c r="BG134" i="43"/>
  <c r="BF134" i="43"/>
  <c r="BE134" i="43"/>
  <c r="BD134" i="43"/>
  <c r="BC134" i="43"/>
  <c r="BB134" i="43"/>
  <c r="AW134" i="43"/>
  <c r="AV134" i="43"/>
  <c r="AU134" i="43"/>
  <c r="AD134" i="43"/>
  <c r="AC134" i="43"/>
  <c r="AB134" i="43"/>
  <c r="AA134" i="43"/>
  <c r="Z134" i="43"/>
  <c r="Y134" i="43"/>
  <c r="X134" i="43"/>
  <c r="BH127" i="43"/>
  <c r="BG127" i="43"/>
  <c r="BF127" i="43"/>
  <c r="BE127" i="43"/>
  <c r="BD127" i="43"/>
  <c r="BC127" i="43"/>
  <c r="BB127" i="43"/>
  <c r="AW127" i="43"/>
  <c r="AV127" i="43"/>
  <c r="AU127" i="43"/>
  <c r="AD127" i="43"/>
  <c r="AC127" i="43"/>
  <c r="AB127" i="43"/>
  <c r="AA127" i="43"/>
  <c r="Z127" i="43"/>
  <c r="Y127" i="43"/>
  <c r="X127" i="43"/>
  <c r="BH122" i="43"/>
  <c r="BG122" i="43"/>
  <c r="BF122" i="43"/>
  <c r="BE122" i="43"/>
  <c r="BD122" i="43"/>
  <c r="BC122" i="43"/>
  <c r="BB122" i="43"/>
  <c r="AW122" i="43"/>
  <c r="AV122" i="43"/>
  <c r="AU122" i="43"/>
  <c r="AD122" i="43"/>
  <c r="AC122" i="43"/>
  <c r="AB122" i="43"/>
  <c r="AA122" i="43"/>
  <c r="Z122" i="43"/>
  <c r="Y122" i="43"/>
  <c r="X122" i="43"/>
  <c r="BH118" i="43"/>
  <c r="BG118" i="43"/>
  <c r="BF118" i="43"/>
  <c r="BE118" i="43"/>
  <c r="BD118" i="43"/>
  <c r="BC118" i="43"/>
  <c r="BB118" i="43"/>
  <c r="AW118" i="43"/>
  <c r="AV118" i="43"/>
  <c r="AU118" i="43"/>
  <c r="AD118" i="43"/>
  <c r="AC118" i="43"/>
  <c r="AB118" i="43"/>
  <c r="AA118" i="43"/>
  <c r="Z118" i="43"/>
  <c r="Y118" i="43"/>
  <c r="X118" i="43"/>
  <c r="BH115" i="43"/>
  <c r="BG115" i="43"/>
  <c r="BF115" i="43"/>
  <c r="BE115" i="43"/>
  <c r="BD115" i="43"/>
  <c r="BC115" i="43"/>
  <c r="BB115" i="43"/>
  <c r="AW115" i="43"/>
  <c r="AV115" i="43"/>
  <c r="AU115" i="43"/>
  <c r="AD115" i="43"/>
  <c r="AC115" i="43"/>
  <c r="AB115" i="43"/>
  <c r="AA115" i="43"/>
  <c r="Z115" i="43"/>
  <c r="Y115" i="43"/>
  <c r="X115" i="43"/>
  <c r="BH111" i="43"/>
  <c r="BG111" i="43"/>
  <c r="BF111" i="43"/>
  <c r="BE111" i="43"/>
  <c r="BD111" i="43"/>
  <c r="BC111" i="43"/>
  <c r="BB111" i="43"/>
  <c r="AW111" i="43"/>
  <c r="AV111" i="43"/>
  <c r="AU111" i="43"/>
  <c r="AD111" i="43"/>
  <c r="AC111" i="43"/>
  <c r="AB111" i="43"/>
  <c r="AA111" i="43"/>
  <c r="Z111" i="43"/>
  <c r="Y111" i="43"/>
  <c r="X111" i="43"/>
  <c r="BH107" i="43"/>
  <c r="BG107" i="43"/>
  <c r="BF107" i="43"/>
  <c r="BE107" i="43"/>
  <c r="BD107" i="43"/>
  <c r="BC107" i="43"/>
  <c r="BB107" i="43"/>
  <c r="AW107" i="43"/>
  <c r="AV107" i="43"/>
  <c r="AU107" i="43"/>
  <c r="AD107" i="43"/>
  <c r="AC107" i="43"/>
  <c r="AB107" i="43"/>
  <c r="AA107" i="43"/>
  <c r="Z107" i="43"/>
  <c r="Y107" i="43"/>
  <c r="X107" i="43"/>
  <c r="BH104" i="43"/>
  <c r="BG104" i="43"/>
  <c r="BF104" i="43"/>
  <c r="BE104" i="43"/>
  <c r="BD104" i="43"/>
  <c r="BC104" i="43"/>
  <c r="BB104" i="43"/>
  <c r="AW104" i="43"/>
  <c r="AV104" i="43"/>
  <c r="AU104" i="43"/>
  <c r="AD104" i="43"/>
  <c r="AC104" i="43"/>
  <c r="AB104" i="43"/>
  <c r="AA104" i="43"/>
  <c r="Z104" i="43"/>
  <c r="Y104" i="43"/>
  <c r="X104" i="43"/>
  <c r="BH100" i="43"/>
  <c r="BG100" i="43"/>
  <c r="BF100" i="43"/>
  <c r="BE100" i="43"/>
  <c r="BD100" i="43"/>
  <c r="BC100" i="43"/>
  <c r="BB100" i="43"/>
  <c r="AW100" i="43"/>
  <c r="AV100" i="43"/>
  <c r="AU100" i="43"/>
  <c r="AD100" i="43"/>
  <c r="AC100" i="43"/>
  <c r="AB100" i="43"/>
  <c r="AA100" i="43"/>
  <c r="Z100" i="43"/>
  <c r="Y100" i="43"/>
  <c r="X100" i="43"/>
  <c r="BH96" i="43"/>
  <c r="BG96" i="43"/>
  <c r="BF96" i="43"/>
  <c r="BE96" i="43"/>
  <c r="BD96" i="43"/>
  <c r="BC96" i="43"/>
  <c r="BB96" i="43"/>
  <c r="AW96" i="43"/>
  <c r="AV96" i="43"/>
  <c r="AU96" i="43"/>
  <c r="AD96" i="43"/>
  <c r="AC96" i="43"/>
  <c r="AB96" i="43"/>
  <c r="AA96" i="43"/>
  <c r="Z96" i="43"/>
  <c r="Y96" i="43"/>
  <c r="X96" i="43"/>
  <c r="BH92" i="43"/>
  <c r="BG92" i="43"/>
  <c r="BF92" i="43"/>
  <c r="BE92" i="43"/>
  <c r="BD92" i="43"/>
  <c r="BC92" i="43"/>
  <c r="BB92" i="43"/>
  <c r="AW92" i="43"/>
  <c r="AV92" i="43"/>
  <c r="AU92" i="43"/>
  <c r="AD92" i="43"/>
  <c r="AC92" i="43"/>
  <c r="AB92" i="43"/>
  <c r="AA92" i="43"/>
  <c r="Z92" i="43"/>
  <c r="Y92" i="43"/>
  <c r="X92" i="43"/>
  <c r="BH88" i="43"/>
  <c r="BG88" i="43"/>
  <c r="BF88" i="43"/>
  <c r="BE88" i="43"/>
  <c r="BD88" i="43"/>
  <c r="BC88" i="43"/>
  <c r="BB88" i="43"/>
  <c r="AW88" i="43"/>
  <c r="AV88" i="43"/>
  <c r="AU88" i="43"/>
  <c r="AD88" i="43"/>
  <c r="AC88" i="43"/>
  <c r="AB88" i="43"/>
  <c r="AA88" i="43"/>
  <c r="Z88" i="43"/>
  <c r="Y88" i="43"/>
  <c r="X88" i="43"/>
  <c r="BH84" i="43"/>
  <c r="BG84" i="43"/>
  <c r="BF84" i="43"/>
  <c r="BE84" i="43"/>
  <c r="BD84" i="43"/>
  <c r="BC84" i="43"/>
  <c r="BB84" i="43"/>
  <c r="AW84" i="43"/>
  <c r="AV84" i="43"/>
  <c r="AU84" i="43"/>
  <c r="AD84" i="43"/>
  <c r="AC84" i="43"/>
  <c r="AB84" i="43"/>
  <c r="AA84" i="43"/>
  <c r="Z84" i="43"/>
  <c r="Y84" i="43"/>
  <c r="X84" i="43"/>
  <c r="BH80" i="43"/>
  <c r="BG80" i="43"/>
  <c r="BF80" i="43"/>
  <c r="BE80" i="43"/>
  <c r="BD80" i="43"/>
  <c r="BC80" i="43"/>
  <c r="BB80" i="43"/>
  <c r="AW80" i="43"/>
  <c r="AV80" i="43"/>
  <c r="AU80" i="43"/>
  <c r="AD80" i="43"/>
  <c r="AC80" i="43"/>
  <c r="AB80" i="43"/>
  <c r="AA80" i="43"/>
  <c r="Z80" i="43"/>
  <c r="Y80" i="43"/>
  <c r="X80" i="43"/>
  <c r="BH76" i="43"/>
  <c r="BG76" i="43"/>
  <c r="BF76" i="43"/>
  <c r="BE76" i="43"/>
  <c r="BD76" i="43"/>
  <c r="BC76" i="43"/>
  <c r="BB76" i="43"/>
  <c r="AW76" i="43"/>
  <c r="AV76" i="43"/>
  <c r="AU76" i="43"/>
  <c r="AD76" i="43"/>
  <c r="AC76" i="43"/>
  <c r="AB76" i="43"/>
  <c r="AA76" i="43"/>
  <c r="Z76" i="43"/>
  <c r="Y76" i="43"/>
  <c r="X76" i="43"/>
  <c r="BH71" i="43"/>
  <c r="BG71" i="43"/>
  <c r="BF71" i="43"/>
  <c r="BE71" i="43"/>
  <c r="BD71" i="43"/>
  <c r="BC71" i="43"/>
  <c r="BB71" i="43"/>
  <c r="AW71" i="43"/>
  <c r="AV71" i="43"/>
  <c r="AU71" i="43"/>
  <c r="AD71" i="43"/>
  <c r="AC71" i="43"/>
  <c r="AB71" i="43"/>
  <c r="AA71" i="43"/>
  <c r="Z71" i="43"/>
  <c r="Y71" i="43"/>
  <c r="X71" i="43"/>
  <c r="BH68" i="43"/>
  <c r="BG68" i="43"/>
  <c r="BF68" i="43"/>
  <c r="BE68" i="43"/>
  <c r="BD68" i="43"/>
  <c r="BC68" i="43"/>
  <c r="BB68" i="43"/>
  <c r="AW68" i="43"/>
  <c r="AV68" i="43"/>
  <c r="AU68" i="43"/>
  <c r="AD68" i="43"/>
  <c r="AC68" i="43"/>
  <c r="AB68" i="43"/>
  <c r="AA68" i="43"/>
  <c r="Z68" i="43"/>
  <c r="Y68" i="43"/>
  <c r="X68" i="43"/>
  <c r="BH64" i="43"/>
  <c r="BG64" i="43"/>
  <c r="BF64" i="43"/>
  <c r="BE64" i="43"/>
  <c r="BD64" i="43"/>
  <c r="BC64" i="43"/>
  <c r="BB64" i="43"/>
  <c r="AW64" i="43"/>
  <c r="AV64" i="43"/>
  <c r="AU64" i="43"/>
  <c r="AD64" i="43"/>
  <c r="AC64" i="43"/>
  <c r="AB64" i="43"/>
  <c r="AA64" i="43"/>
  <c r="Z64" i="43"/>
  <c r="Y64" i="43"/>
  <c r="X64" i="43"/>
  <c r="BH60" i="43"/>
  <c r="BG60" i="43"/>
  <c r="BF60" i="43"/>
  <c r="BE60" i="43"/>
  <c r="BD60" i="43"/>
  <c r="BC60" i="43"/>
  <c r="BB60" i="43"/>
  <c r="AW60" i="43"/>
  <c r="AV60" i="43"/>
  <c r="AU60" i="43"/>
  <c r="AD60" i="43"/>
  <c r="AC60" i="43"/>
  <c r="AB60" i="43"/>
  <c r="AA60" i="43"/>
  <c r="Z60" i="43"/>
  <c r="Y60" i="43"/>
  <c r="X60" i="43"/>
  <c r="BH56" i="43"/>
  <c r="BG56" i="43"/>
  <c r="BF56" i="43"/>
  <c r="BE56" i="43"/>
  <c r="BD56" i="43"/>
  <c r="BC56" i="43"/>
  <c r="BB56" i="43"/>
  <c r="AW56" i="43"/>
  <c r="AV56" i="43"/>
  <c r="AU56" i="43"/>
  <c r="AD56" i="43"/>
  <c r="AC56" i="43"/>
  <c r="AB56" i="43"/>
  <c r="AA56" i="43"/>
  <c r="Z56" i="43"/>
  <c r="Y56" i="43"/>
  <c r="X56" i="43"/>
  <c r="BH53" i="43"/>
  <c r="BG53" i="43"/>
  <c r="BF53" i="43"/>
  <c r="BE53" i="43"/>
  <c r="BD53" i="43"/>
  <c r="BC53" i="43"/>
  <c r="BB53" i="43"/>
  <c r="AW53" i="43"/>
  <c r="AV53" i="43"/>
  <c r="AU53" i="43"/>
  <c r="AD53" i="43"/>
  <c r="AC53" i="43"/>
  <c r="AB53" i="43"/>
  <c r="AA53" i="43"/>
  <c r="Z53" i="43"/>
  <c r="Y53" i="43"/>
  <c r="X53" i="43"/>
  <c r="BH50" i="43"/>
  <c r="BG50" i="43"/>
  <c r="BF50" i="43"/>
  <c r="BE50" i="43"/>
  <c r="BD50" i="43"/>
  <c r="BC50" i="43"/>
  <c r="BB50" i="43"/>
  <c r="AW50" i="43"/>
  <c r="AV50" i="43"/>
  <c r="AU50" i="43"/>
  <c r="AD50" i="43"/>
  <c r="AC50" i="43"/>
  <c r="AB50" i="43"/>
  <c r="AA50" i="43"/>
  <c r="Z50" i="43"/>
  <c r="Y50" i="43"/>
  <c r="X50" i="43"/>
  <c r="BH47" i="43"/>
  <c r="BG47" i="43"/>
  <c r="BF47" i="43"/>
  <c r="BE47" i="43"/>
  <c r="BD47" i="43"/>
  <c r="BC47" i="43"/>
  <c r="BB47" i="43"/>
  <c r="AW47" i="43"/>
  <c r="AV47" i="43"/>
  <c r="AU47" i="43"/>
  <c r="AD47" i="43"/>
  <c r="AC47" i="43"/>
  <c r="AB47" i="43"/>
  <c r="AA47" i="43"/>
  <c r="Z47" i="43"/>
  <c r="Y47" i="43"/>
  <c r="X47" i="43"/>
  <c r="BH43" i="43"/>
  <c r="BG43" i="43"/>
  <c r="BF43" i="43"/>
  <c r="BE43" i="43"/>
  <c r="BD43" i="43"/>
  <c r="BC43" i="43"/>
  <c r="BB43" i="43"/>
  <c r="AW43" i="43"/>
  <c r="AV43" i="43"/>
  <c r="AU43" i="43"/>
  <c r="AD43" i="43"/>
  <c r="AC43" i="43"/>
  <c r="AB43" i="43"/>
  <c r="AA43" i="43"/>
  <c r="Z43" i="43"/>
  <c r="Y43" i="43"/>
  <c r="X43" i="43"/>
  <c r="BH39" i="43"/>
  <c r="BG39" i="43"/>
  <c r="BF39" i="43"/>
  <c r="BE39" i="43"/>
  <c r="BD39" i="43"/>
  <c r="BC39" i="43"/>
  <c r="BB39" i="43"/>
  <c r="AW39" i="43"/>
  <c r="AV39" i="43"/>
  <c r="AU39" i="43"/>
  <c r="AD39" i="43"/>
  <c r="AC39" i="43"/>
  <c r="AB39" i="43"/>
  <c r="AA39" i="43"/>
  <c r="Z39" i="43"/>
  <c r="Y39" i="43"/>
  <c r="X39" i="43"/>
  <c r="BH35" i="43"/>
  <c r="BG35" i="43"/>
  <c r="BF35" i="43"/>
  <c r="BE35" i="43"/>
  <c r="BD35" i="43"/>
  <c r="BC35" i="43"/>
  <c r="BB35" i="43"/>
  <c r="AW35" i="43"/>
  <c r="AV35" i="43"/>
  <c r="AU35" i="43"/>
  <c r="AD35" i="43"/>
  <c r="AC35" i="43"/>
  <c r="AB35" i="43"/>
  <c r="AA35" i="43"/>
  <c r="Z35" i="43"/>
  <c r="Y35" i="43"/>
  <c r="X35" i="43"/>
  <c r="BH31" i="43"/>
  <c r="BG31" i="43"/>
  <c r="BF31" i="43"/>
  <c r="BE31" i="43"/>
  <c r="BD31" i="43"/>
  <c r="BC31" i="43"/>
  <c r="BB31" i="43"/>
  <c r="AW31" i="43"/>
  <c r="AV31" i="43"/>
  <c r="AU31" i="43"/>
  <c r="AD31" i="43"/>
  <c r="AC31" i="43"/>
  <c r="AB31" i="43"/>
  <c r="AA31" i="43"/>
  <c r="Z31" i="43"/>
  <c r="Y31" i="43"/>
  <c r="X31" i="43"/>
  <c r="BH27" i="43"/>
  <c r="BG27" i="43"/>
  <c r="BF27" i="43"/>
  <c r="BE27" i="43"/>
  <c r="BD27" i="43"/>
  <c r="BC27" i="43"/>
  <c r="BB27" i="43"/>
  <c r="AW27" i="43"/>
  <c r="AV27" i="43"/>
  <c r="AU27" i="43"/>
  <c r="AD27" i="43"/>
  <c r="AC27" i="43"/>
  <c r="AB27" i="43"/>
  <c r="AA27" i="43"/>
  <c r="Z27" i="43"/>
  <c r="Y27" i="43"/>
  <c r="X27" i="43"/>
  <c r="BH22" i="43"/>
  <c r="BG22" i="43"/>
  <c r="BF22" i="43"/>
  <c r="BE22" i="43"/>
  <c r="BD22" i="43"/>
  <c r="BC22" i="43"/>
  <c r="BB22" i="43"/>
  <c r="AW22" i="43"/>
  <c r="AV22" i="43"/>
  <c r="AU22" i="43"/>
  <c r="AD22" i="43"/>
  <c r="AC22" i="43"/>
  <c r="AB22" i="43"/>
  <c r="AA22" i="43"/>
  <c r="Z22" i="43"/>
  <c r="Y22" i="43"/>
  <c r="X22" i="43"/>
  <c r="BH18" i="43"/>
  <c r="BG18" i="43"/>
  <c r="BF18" i="43"/>
  <c r="BE18" i="43"/>
  <c r="BD18" i="43"/>
  <c r="BC18" i="43"/>
  <c r="BB18" i="43"/>
  <c r="AW18" i="43"/>
  <c r="AV18" i="43"/>
  <c r="AU18" i="43"/>
  <c r="AD18" i="43"/>
  <c r="AC18" i="43"/>
  <c r="AB18" i="43"/>
  <c r="AA18" i="43"/>
  <c r="Z18" i="43"/>
  <c r="Y18" i="43"/>
  <c r="X18" i="43"/>
  <c r="BH13" i="43"/>
  <c r="BG13" i="43"/>
  <c r="BF13" i="43"/>
  <c r="BE13" i="43"/>
  <c r="BD13" i="43"/>
  <c r="BC13" i="43"/>
  <c r="BB13" i="43"/>
  <c r="AW13" i="43"/>
  <c r="AV13" i="43"/>
  <c r="AU13" i="43"/>
  <c r="AD13" i="43"/>
  <c r="AC13" i="43"/>
  <c r="AB13" i="43"/>
  <c r="AA13" i="43"/>
  <c r="Z13" i="43"/>
  <c r="Y13" i="43"/>
  <c r="X13" i="43"/>
  <c r="BJ127" i="44"/>
  <c r="BI127" i="44"/>
  <c r="AX127" i="44"/>
  <c r="AN127" i="44"/>
  <c r="AM127" i="44"/>
  <c r="W127" i="44"/>
  <c r="AF127" i="44" s="1"/>
  <c r="V127" i="44"/>
  <c r="AE127" i="44" s="1"/>
  <c r="BJ126" i="44"/>
  <c r="BI126" i="44"/>
  <c r="AX126" i="44"/>
  <c r="AN126" i="44"/>
  <c r="AM126" i="44"/>
  <c r="W126" i="44"/>
  <c r="AF126" i="44" s="1"/>
  <c r="V126" i="44"/>
  <c r="AE126" i="44" s="1"/>
  <c r="BJ125" i="44"/>
  <c r="BI125" i="44"/>
  <c r="AX125" i="44"/>
  <c r="AN125" i="44"/>
  <c r="AM125" i="44"/>
  <c r="W125" i="44"/>
  <c r="AF125" i="44" s="1"/>
  <c r="V125" i="44"/>
  <c r="AE125" i="44" s="1"/>
  <c r="BJ124" i="44"/>
  <c r="BI124" i="44"/>
  <c r="AX124" i="44"/>
  <c r="AN124" i="44"/>
  <c r="AM124" i="44"/>
  <c r="W124" i="44"/>
  <c r="AF124" i="44" s="1"/>
  <c r="V124" i="44"/>
  <c r="AE124" i="44" s="1"/>
  <c r="BJ123" i="44"/>
  <c r="BI123" i="44"/>
  <c r="AX123" i="44"/>
  <c r="AN123" i="44"/>
  <c r="AM123" i="44"/>
  <c r="W123" i="44"/>
  <c r="AF123" i="44" s="1"/>
  <c r="V123" i="44"/>
  <c r="AE123" i="44" s="1"/>
  <c r="BJ122" i="44"/>
  <c r="BI122" i="44"/>
  <c r="AX122" i="44"/>
  <c r="AN122" i="44"/>
  <c r="AM122" i="44"/>
  <c r="W122" i="44"/>
  <c r="AF122" i="44" s="1"/>
  <c r="V122" i="44"/>
  <c r="BJ120" i="44"/>
  <c r="BI120" i="44"/>
  <c r="AX120" i="44"/>
  <c r="AN120" i="44"/>
  <c r="AM120" i="44"/>
  <c r="W120" i="44"/>
  <c r="AF120" i="44" s="1"/>
  <c r="V120" i="44"/>
  <c r="AE120" i="44" s="1"/>
  <c r="BJ119" i="44"/>
  <c r="BI119" i="44"/>
  <c r="AX119" i="44"/>
  <c r="AN119" i="44"/>
  <c r="AM119" i="44"/>
  <c r="W119" i="44"/>
  <c r="AF119" i="44" s="1"/>
  <c r="V119" i="44"/>
  <c r="AE119" i="44" s="1"/>
  <c r="BJ118" i="44"/>
  <c r="BI118" i="44"/>
  <c r="AX118" i="44"/>
  <c r="AN118" i="44"/>
  <c r="AM118" i="44"/>
  <c r="W118" i="44"/>
  <c r="AF118" i="44" s="1"/>
  <c r="V118" i="44"/>
  <c r="AE118" i="44" s="1"/>
  <c r="BJ117" i="44"/>
  <c r="BI117" i="44"/>
  <c r="AX117" i="44"/>
  <c r="AN117" i="44"/>
  <c r="AM117" i="44"/>
  <c r="W117" i="44"/>
  <c r="AF117" i="44" s="1"/>
  <c r="V117" i="44"/>
  <c r="AE117" i="44" s="1"/>
  <c r="BJ116" i="44"/>
  <c r="BI116" i="44"/>
  <c r="AX116" i="44"/>
  <c r="AN116" i="44"/>
  <c r="AM116" i="44"/>
  <c r="W116" i="44"/>
  <c r="AF116" i="44" s="1"/>
  <c r="V116" i="44"/>
  <c r="AE116" i="44" s="1"/>
  <c r="BJ115" i="44"/>
  <c r="BI115" i="44"/>
  <c r="AX115" i="44"/>
  <c r="AN115" i="44"/>
  <c r="AM115" i="44"/>
  <c r="W115" i="44"/>
  <c r="AF115" i="44" s="1"/>
  <c r="V115" i="44"/>
  <c r="AE115" i="44" s="1"/>
  <c r="BJ114" i="44"/>
  <c r="BI114" i="44"/>
  <c r="AX114" i="44"/>
  <c r="AN114" i="44"/>
  <c r="AM114" i="44"/>
  <c r="W114" i="44"/>
  <c r="AF114" i="44" s="1"/>
  <c r="V114" i="44"/>
  <c r="AE114" i="44" s="1"/>
  <c r="BJ113" i="44"/>
  <c r="BI113" i="44"/>
  <c r="AX113" i="44"/>
  <c r="AN113" i="44"/>
  <c r="AM113" i="44"/>
  <c r="W113" i="44"/>
  <c r="AF113" i="44" s="1"/>
  <c r="V113" i="44"/>
  <c r="BJ111" i="44"/>
  <c r="BJ112" i="44" s="1"/>
  <c r="BI111" i="44"/>
  <c r="BI112" i="44" s="1"/>
  <c r="AX111" i="44"/>
  <c r="AX112" i="44" s="1"/>
  <c r="AN111" i="44"/>
  <c r="AN112" i="44" s="1"/>
  <c r="AM111" i="44"/>
  <c r="W111" i="44"/>
  <c r="W112" i="44" s="1"/>
  <c r="V111" i="44"/>
  <c r="BJ109" i="44"/>
  <c r="BI109" i="44"/>
  <c r="AX109" i="44"/>
  <c r="AN109" i="44"/>
  <c r="AM109" i="44"/>
  <c r="W109" i="44"/>
  <c r="AF109" i="44" s="1"/>
  <c r="V109" i="44"/>
  <c r="AE109" i="44" s="1"/>
  <c r="BJ108" i="44"/>
  <c r="BI108" i="44"/>
  <c r="AX108" i="44"/>
  <c r="AN108" i="44"/>
  <c r="AM108" i="44"/>
  <c r="W108" i="44"/>
  <c r="AF108" i="44" s="1"/>
  <c r="V108" i="44"/>
  <c r="AE108" i="44" s="1"/>
  <c r="BJ107" i="44"/>
  <c r="BI107" i="44"/>
  <c r="AX107" i="44"/>
  <c r="AN107" i="44"/>
  <c r="AM107" i="44"/>
  <c r="W107" i="44"/>
  <c r="AF107" i="44" s="1"/>
  <c r="V107" i="44"/>
  <c r="AE107" i="44" s="1"/>
  <c r="BJ106" i="44"/>
  <c r="BI106" i="44"/>
  <c r="AX106" i="44"/>
  <c r="AN106" i="44"/>
  <c r="AM106" i="44"/>
  <c r="W106" i="44"/>
  <c r="AF106" i="44" s="1"/>
  <c r="V106" i="44"/>
  <c r="AE106" i="44" s="1"/>
  <c r="BJ105" i="44"/>
  <c r="BI105" i="44"/>
  <c r="AX105" i="44"/>
  <c r="AN105" i="44"/>
  <c r="AM105" i="44"/>
  <c r="W105" i="44"/>
  <c r="AF105" i="44" s="1"/>
  <c r="BJ103" i="44"/>
  <c r="BJ104" i="44" s="1"/>
  <c r="BI103" i="44"/>
  <c r="BI104" i="44" s="1"/>
  <c r="AX103" i="44"/>
  <c r="AX104" i="44" s="1"/>
  <c r="AN103" i="44"/>
  <c r="AN104" i="44" s="1"/>
  <c r="AM103" i="44"/>
  <c r="W103" i="44"/>
  <c r="W104" i="44" s="1"/>
  <c r="V103" i="44"/>
  <c r="BJ101" i="44"/>
  <c r="BI101" i="44"/>
  <c r="AX101" i="44"/>
  <c r="AN101" i="44"/>
  <c r="AM101" i="44"/>
  <c r="W101" i="44"/>
  <c r="AF101" i="44" s="1"/>
  <c r="V101" i="44"/>
  <c r="AE101" i="44" s="1"/>
  <c r="BJ100" i="44"/>
  <c r="BI100" i="44"/>
  <c r="AX100" i="44"/>
  <c r="AN100" i="44"/>
  <c r="AM100" i="44"/>
  <c r="W100" i="44"/>
  <c r="AF100" i="44" s="1"/>
  <c r="V100" i="44"/>
  <c r="AE100" i="44" s="1"/>
  <c r="BJ99" i="44"/>
  <c r="BI99" i="44"/>
  <c r="AX99" i="44"/>
  <c r="AN99" i="44"/>
  <c r="AM99" i="44"/>
  <c r="W99" i="44"/>
  <c r="AF99" i="44" s="1"/>
  <c r="V99" i="44"/>
  <c r="BJ97" i="44"/>
  <c r="BI97" i="44"/>
  <c r="AX97" i="44"/>
  <c r="AN97" i="44"/>
  <c r="AM97" i="44"/>
  <c r="W97" i="44"/>
  <c r="AF97" i="44" s="1"/>
  <c r="V97" i="44"/>
  <c r="AE97" i="44" s="1"/>
  <c r="BJ96" i="44"/>
  <c r="BI96" i="44"/>
  <c r="AX96" i="44"/>
  <c r="AN96" i="44"/>
  <c r="AM96" i="44"/>
  <c r="W96" i="44"/>
  <c r="AF96" i="44" s="1"/>
  <c r="V96" i="44"/>
  <c r="AE96" i="44" s="1"/>
  <c r="BJ95" i="44"/>
  <c r="BI95" i="44"/>
  <c r="AX95" i="44"/>
  <c r="AN95" i="44"/>
  <c r="AM95" i="44"/>
  <c r="W95" i="44"/>
  <c r="AF95" i="44" s="1"/>
  <c r="V95" i="44"/>
  <c r="AE95" i="44" s="1"/>
  <c r="BJ94" i="44"/>
  <c r="BI94" i="44"/>
  <c r="AX94" i="44"/>
  <c r="AN94" i="44"/>
  <c r="AM94" i="44"/>
  <c r="W94" i="44"/>
  <c r="AF94" i="44" s="1"/>
  <c r="V94" i="44"/>
  <c r="AE94" i="44" s="1"/>
  <c r="BJ93" i="44"/>
  <c r="BI93" i="44"/>
  <c r="AX93" i="44"/>
  <c r="AN93" i="44"/>
  <c r="AM93" i="44"/>
  <c r="W93" i="44"/>
  <c r="AF93" i="44" s="1"/>
  <c r="V93" i="44"/>
  <c r="BJ91" i="44"/>
  <c r="BI91" i="44"/>
  <c r="BK91" i="44" s="1"/>
  <c r="AX91" i="44"/>
  <c r="AN91" i="44"/>
  <c r="AM91" i="44"/>
  <c r="W91" i="44"/>
  <c r="AF91" i="44" s="1"/>
  <c r="V91" i="44"/>
  <c r="AE91" i="44" s="1"/>
  <c r="BJ90" i="44"/>
  <c r="BI90" i="44"/>
  <c r="AX90" i="44"/>
  <c r="AN90" i="44"/>
  <c r="AM90" i="44"/>
  <c r="W90" i="44"/>
  <c r="AF90" i="44" s="1"/>
  <c r="V90" i="44"/>
  <c r="AE90" i="44" s="1"/>
  <c r="AG90" i="44" s="1"/>
  <c r="BJ89" i="44"/>
  <c r="BI89" i="44"/>
  <c r="AX89" i="44"/>
  <c r="AN89" i="44"/>
  <c r="AM89" i="44"/>
  <c r="W89" i="44"/>
  <c r="AF89" i="44" s="1"/>
  <c r="V89" i="44"/>
  <c r="BJ87" i="44"/>
  <c r="BI87" i="44"/>
  <c r="AX87" i="44"/>
  <c r="AN87" i="44"/>
  <c r="AM87" i="44"/>
  <c r="AO87" i="44" s="1"/>
  <c r="W87" i="44"/>
  <c r="AF87" i="44" s="1"/>
  <c r="AQ87" i="44" s="1"/>
  <c r="V87" i="44"/>
  <c r="AE87" i="44" s="1"/>
  <c r="BJ86" i="44"/>
  <c r="BI86" i="44"/>
  <c r="AX86" i="44"/>
  <c r="AN86" i="44"/>
  <c r="AM86" i="44"/>
  <c r="W86" i="44"/>
  <c r="AF86" i="44" s="1"/>
  <c r="V86" i="44"/>
  <c r="AE86" i="44" s="1"/>
  <c r="BJ85" i="44"/>
  <c r="BI85" i="44"/>
  <c r="AX85" i="44"/>
  <c r="AN85" i="44"/>
  <c r="AM85" i="44"/>
  <c r="W85" i="44"/>
  <c r="AF85" i="44" s="1"/>
  <c r="V85" i="44"/>
  <c r="BJ83" i="44"/>
  <c r="BI83" i="44"/>
  <c r="BK83" i="44" s="1"/>
  <c r="AX83" i="44"/>
  <c r="AN83" i="44"/>
  <c r="AM83" i="44"/>
  <c r="W83" i="44"/>
  <c r="AF83" i="44" s="1"/>
  <c r="V83" i="44"/>
  <c r="AE83" i="44" s="1"/>
  <c r="BJ82" i="44"/>
  <c r="BI82" i="44"/>
  <c r="AX82" i="44"/>
  <c r="AN82" i="44"/>
  <c r="AM82" i="44"/>
  <c r="W82" i="44"/>
  <c r="AF82" i="44" s="1"/>
  <c r="V82" i="44"/>
  <c r="AE82" i="44" s="1"/>
  <c r="BJ81" i="44"/>
  <c r="BI81" i="44"/>
  <c r="AX81" i="44"/>
  <c r="AN81" i="44"/>
  <c r="AM81" i="44"/>
  <c r="W81" i="44"/>
  <c r="AF81" i="44" s="1"/>
  <c r="AQ81" i="44" s="1"/>
  <c r="V81" i="44"/>
  <c r="AE81" i="44" s="1"/>
  <c r="BJ80" i="44"/>
  <c r="BI80" i="44"/>
  <c r="AX80" i="44"/>
  <c r="AN80" i="44"/>
  <c r="AM80" i="44"/>
  <c r="W80" i="44"/>
  <c r="AF80" i="44" s="1"/>
  <c r="V80" i="44"/>
  <c r="AE80" i="44" s="1"/>
  <c r="BJ79" i="44"/>
  <c r="BI79" i="44"/>
  <c r="AX79" i="44"/>
  <c r="AN79" i="44"/>
  <c r="AM79" i="44"/>
  <c r="W79" i="44"/>
  <c r="AF79" i="44" s="1"/>
  <c r="V79" i="44"/>
  <c r="AE79" i="44" s="1"/>
  <c r="BJ78" i="44"/>
  <c r="BI78" i="44"/>
  <c r="AX78" i="44"/>
  <c r="AN78" i="44"/>
  <c r="AM78" i="44"/>
  <c r="W78" i="44"/>
  <c r="AF78" i="44" s="1"/>
  <c r="V78" i="44"/>
  <c r="AE78" i="44" s="1"/>
  <c r="BJ76" i="44"/>
  <c r="BI76" i="44"/>
  <c r="AX76" i="44"/>
  <c r="AN76" i="44"/>
  <c r="AM76" i="44"/>
  <c r="W76" i="44"/>
  <c r="AF76" i="44" s="1"/>
  <c r="V76" i="44"/>
  <c r="AE76" i="44" s="1"/>
  <c r="BJ75" i="44"/>
  <c r="BI75" i="44"/>
  <c r="AX75" i="44"/>
  <c r="AN75" i="44"/>
  <c r="AM75" i="44"/>
  <c r="W75" i="44"/>
  <c r="AF75" i="44" s="1"/>
  <c r="V75" i="44"/>
  <c r="AE75" i="44" s="1"/>
  <c r="BJ74" i="44"/>
  <c r="BI74" i="44"/>
  <c r="AX74" i="44"/>
  <c r="AN74" i="44"/>
  <c r="AM74" i="44"/>
  <c r="W74" i="44"/>
  <c r="AF74" i="44" s="1"/>
  <c r="V74" i="44"/>
  <c r="AE74" i="44" s="1"/>
  <c r="BJ73" i="44"/>
  <c r="BI73" i="44"/>
  <c r="AX73" i="44"/>
  <c r="AN73" i="44"/>
  <c r="AM73" i="44"/>
  <c r="W73" i="44"/>
  <c r="AF73" i="44" s="1"/>
  <c r="V73" i="44"/>
  <c r="AE73" i="44" s="1"/>
  <c r="BJ72" i="44"/>
  <c r="BI72" i="44"/>
  <c r="AX72" i="44"/>
  <c r="AN72" i="44"/>
  <c r="AM72" i="44"/>
  <c r="W72" i="44"/>
  <c r="AF72" i="44" s="1"/>
  <c r="V72" i="44"/>
  <c r="AE72" i="44" s="1"/>
  <c r="BJ71" i="44"/>
  <c r="BI71" i="44"/>
  <c r="AX71" i="44"/>
  <c r="AN71" i="44"/>
  <c r="AM71" i="44"/>
  <c r="W71" i="44"/>
  <c r="AF71" i="44" s="1"/>
  <c r="V71" i="44"/>
  <c r="BJ69" i="44"/>
  <c r="BI69" i="44"/>
  <c r="AX69" i="44"/>
  <c r="AN69" i="44"/>
  <c r="AM69" i="44"/>
  <c r="W69" i="44"/>
  <c r="AF69" i="44" s="1"/>
  <c r="V69" i="44"/>
  <c r="AE69" i="44" s="1"/>
  <c r="BJ68" i="44"/>
  <c r="BI68" i="44"/>
  <c r="AX68" i="44"/>
  <c r="AN68" i="44"/>
  <c r="AM68" i="44"/>
  <c r="W68" i="44"/>
  <c r="AF68" i="44" s="1"/>
  <c r="V68" i="44"/>
  <c r="AE68" i="44" s="1"/>
  <c r="BJ67" i="44"/>
  <c r="BI67" i="44"/>
  <c r="AX67" i="44"/>
  <c r="AN67" i="44"/>
  <c r="AM67" i="44"/>
  <c r="W67" i="44"/>
  <c r="AF67" i="44" s="1"/>
  <c r="V67" i="44"/>
  <c r="AE67" i="44" s="1"/>
  <c r="BJ66" i="44"/>
  <c r="BI66" i="44"/>
  <c r="AX66" i="44"/>
  <c r="AN66" i="44"/>
  <c r="AM66" i="44"/>
  <c r="W66" i="44"/>
  <c r="AF66" i="44" s="1"/>
  <c r="V66" i="44"/>
  <c r="AE66" i="44" s="1"/>
  <c r="BJ65" i="44"/>
  <c r="BI65" i="44"/>
  <c r="AX65" i="44"/>
  <c r="AN65" i="44"/>
  <c r="AM65" i="44"/>
  <c r="W65" i="44"/>
  <c r="AF65" i="44" s="1"/>
  <c r="V65" i="44"/>
  <c r="AE65" i="44" s="1"/>
  <c r="BJ64" i="44"/>
  <c r="BI64" i="44"/>
  <c r="AX64" i="44"/>
  <c r="AN64" i="44"/>
  <c r="AM64" i="44"/>
  <c r="W64" i="44"/>
  <c r="V64" i="44"/>
  <c r="BJ62" i="44"/>
  <c r="BI62" i="44"/>
  <c r="AX62" i="44"/>
  <c r="AN62" i="44"/>
  <c r="AM62" i="44"/>
  <c r="W62" i="44"/>
  <c r="AF62" i="44" s="1"/>
  <c r="V62" i="44"/>
  <c r="AE62" i="44" s="1"/>
  <c r="BJ61" i="44"/>
  <c r="BI61" i="44"/>
  <c r="AX61" i="44"/>
  <c r="AN61" i="44"/>
  <c r="AM61" i="44"/>
  <c r="W61" i="44"/>
  <c r="AF61" i="44" s="1"/>
  <c r="V61" i="44"/>
  <c r="AE61" i="44" s="1"/>
  <c r="BJ60" i="44"/>
  <c r="BI60" i="44"/>
  <c r="AX60" i="44"/>
  <c r="AN60" i="44"/>
  <c r="AM60" i="44"/>
  <c r="W60" i="44"/>
  <c r="AF60" i="44" s="1"/>
  <c r="V60" i="44"/>
  <c r="AE60" i="44" s="1"/>
  <c r="BJ59" i="44"/>
  <c r="BI59" i="44"/>
  <c r="AX59" i="44"/>
  <c r="AN59" i="44"/>
  <c r="AM59" i="44"/>
  <c r="W59" i="44"/>
  <c r="AF59" i="44" s="1"/>
  <c r="V59" i="44"/>
  <c r="AE59" i="44" s="1"/>
  <c r="BJ58" i="44"/>
  <c r="BI58" i="44"/>
  <c r="AX58" i="44"/>
  <c r="AN58" i="44"/>
  <c r="AM58" i="44"/>
  <c r="W58" i="44"/>
  <c r="AF58" i="44" s="1"/>
  <c r="V58" i="44"/>
  <c r="AE58" i="44" s="1"/>
  <c r="BJ57" i="44"/>
  <c r="BI57" i="44"/>
  <c r="AX57" i="44"/>
  <c r="AN57" i="44"/>
  <c r="AM57" i="44"/>
  <c r="W57" i="44"/>
  <c r="AF57" i="44" s="1"/>
  <c r="V57" i="44"/>
  <c r="BJ55" i="44"/>
  <c r="BI55" i="44"/>
  <c r="AX55" i="44"/>
  <c r="AN55" i="44"/>
  <c r="AM55" i="44"/>
  <c r="W55" i="44"/>
  <c r="AF55" i="44" s="1"/>
  <c r="V55" i="44"/>
  <c r="AE55" i="44" s="1"/>
  <c r="BJ54" i="44"/>
  <c r="BI54" i="44"/>
  <c r="AX54" i="44"/>
  <c r="AN54" i="44"/>
  <c r="AM54" i="44"/>
  <c r="W54" i="44"/>
  <c r="AF54" i="44" s="1"/>
  <c r="V54" i="44"/>
  <c r="AE54" i="44" s="1"/>
  <c r="BJ53" i="44"/>
  <c r="BI53" i="44"/>
  <c r="AX53" i="44"/>
  <c r="AN53" i="44"/>
  <c r="AM53" i="44"/>
  <c r="W53" i="44"/>
  <c r="AF53" i="44" s="1"/>
  <c r="V53" i="44"/>
  <c r="AE53" i="44" s="1"/>
  <c r="BJ52" i="44"/>
  <c r="BI52" i="44"/>
  <c r="AX52" i="44"/>
  <c r="AN52" i="44"/>
  <c r="AM52" i="44"/>
  <c r="W52" i="44"/>
  <c r="AF52" i="44" s="1"/>
  <c r="V52" i="44"/>
  <c r="AE52" i="44" s="1"/>
  <c r="BJ51" i="44"/>
  <c r="BI51" i="44"/>
  <c r="AX51" i="44"/>
  <c r="AN51" i="44"/>
  <c r="AM51" i="44"/>
  <c r="W51" i="44"/>
  <c r="AF51" i="44" s="1"/>
  <c r="V51" i="44"/>
  <c r="AE51" i="44" s="1"/>
  <c r="BJ50" i="44"/>
  <c r="BI50" i="44"/>
  <c r="AX50" i="44"/>
  <c r="AN50" i="44"/>
  <c r="AM50" i="44"/>
  <c r="W50" i="44"/>
  <c r="AF50" i="44" s="1"/>
  <c r="V50" i="44"/>
  <c r="AE50" i="44" s="1"/>
  <c r="BJ48" i="44"/>
  <c r="BI48" i="44"/>
  <c r="AX48" i="44"/>
  <c r="AN48" i="44"/>
  <c r="AM48" i="44"/>
  <c r="W48" i="44"/>
  <c r="AF48" i="44" s="1"/>
  <c r="V48" i="44"/>
  <c r="AE48" i="44" s="1"/>
  <c r="BJ47" i="44"/>
  <c r="BI47" i="44"/>
  <c r="AX47" i="44"/>
  <c r="AN47" i="44"/>
  <c r="AM47" i="44"/>
  <c r="W47" i="44"/>
  <c r="AF47" i="44" s="1"/>
  <c r="V47" i="44"/>
  <c r="AE47" i="44" s="1"/>
  <c r="BJ46" i="44"/>
  <c r="BI46" i="44"/>
  <c r="AX46" i="44"/>
  <c r="AN46" i="44"/>
  <c r="AM46" i="44"/>
  <c r="W46" i="44"/>
  <c r="AF46" i="44" s="1"/>
  <c r="V46" i="44"/>
  <c r="AE46" i="44" s="1"/>
  <c r="BJ45" i="44"/>
  <c r="BI45" i="44"/>
  <c r="AX45" i="44"/>
  <c r="AN45" i="44"/>
  <c r="AM45" i="44"/>
  <c r="W45" i="44"/>
  <c r="AF45" i="44" s="1"/>
  <c r="V45" i="44"/>
  <c r="AE45" i="44" s="1"/>
  <c r="BJ44" i="44"/>
  <c r="BI44" i="44"/>
  <c r="AX44" i="44"/>
  <c r="AN44" i="44"/>
  <c r="AM44" i="44"/>
  <c r="W44" i="44"/>
  <c r="AF44" i="44" s="1"/>
  <c r="V44" i="44"/>
  <c r="AE44" i="44" s="1"/>
  <c r="BJ43" i="44"/>
  <c r="BI43" i="44"/>
  <c r="AX43" i="44"/>
  <c r="AN43" i="44"/>
  <c r="AM43" i="44"/>
  <c r="W43" i="44"/>
  <c r="AF43" i="44" s="1"/>
  <c r="V43" i="44"/>
  <c r="BJ41" i="44"/>
  <c r="BI41" i="44"/>
  <c r="AX41" i="44"/>
  <c r="AN41" i="44"/>
  <c r="AM41" i="44"/>
  <c r="W41" i="44"/>
  <c r="AF41" i="44" s="1"/>
  <c r="V41" i="44"/>
  <c r="AE41" i="44" s="1"/>
  <c r="BJ40" i="44"/>
  <c r="BI40" i="44"/>
  <c r="AX40" i="44"/>
  <c r="AN40" i="44"/>
  <c r="AM40" i="44"/>
  <c r="W40" i="44"/>
  <c r="AF40" i="44" s="1"/>
  <c r="V40" i="44"/>
  <c r="AE40" i="44" s="1"/>
  <c r="BJ39" i="44"/>
  <c r="BI39" i="44"/>
  <c r="AX39" i="44"/>
  <c r="AN39" i="44"/>
  <c r="AM39" i="44"/>
  <c r="W39" i="44"/>
  <c r="AF39" i="44" s="1"/>
  <c r="AG39" i="44" s="1"/>
  <c r="V39" i="44"/>
  <c r="AE39" i="44" s="1"/>
  <c r="BJ38" i="44"/>
  <c r="BI38" i="44"/>
  <c r="AX38" i="44"/>
  <c r="AN38" i="44"/>
  <c r="AM38" i="44"/>
  <c r="W38" i="44"/>
  <c r="AF38" i="44" s="1"/>
  <c r="V38" i="44"/>
  <c r="AE38" i="44" s="1"/>
  <c r="BJ37" i="44"/>
  <c r="BI37" i="44"/>
  <c r="AX37" i="44"/>
  <c r="AN37" i="44"/>
  <c r="AM37" i="44"/>
  <c r="W37" i="44"/>
  <c r="AF37" i="44" s="1"/>
  <c r="V37" i="44"/>
  <c r="AE37" i="44" s="1"/>
  <c r="BJ36" i="44"/>
  <c r="BI36" i="44"/>
  <c r="AX36" i="44"/>
  <c r="AN36" i="44"/>
  <c r="AM36" i="44"/>
  <c r="W36" i="44"/>
  <c r="AF36" i="44" s="1"/>
  <c r="V36" i="44"/>
  <c r="BJ34" i="44"/>
  <c r="BI34" i="44"/>
  <c r="AX34" i="44"/>
  <c r="AN34" i="44"/>
  <c r="AM34" i="44"/>
  <c r="W34" i="44"/>
  <c r="AF34" i="44" s="1"/>
  <c r="V34" i="44"/>
  <c r="AE34" i="44" s="1"/>
  <c r="BJ33" i="44"/>
  <c r="BI33" i="44"/>
  <c r="AX33" i="44"/>
  <c r="AN33" i="44"/>
  <c r="AM33" i="44"/>
  <c r="W33" i="44"/>
  <c r="AF33" i="44" s="1"/>
  <c r="V33" i="44"/>
  <c r="AE33" i="44" s="1"/>
  <c r="BJ32" i="44"/>
  <c r="BI32" i="44"/>
  <c r="AX32" i="44"/>
  <c r="AN32" i="44"/>
  <c r="AM32" i="44"/>
  <c r="W32" i="44"/>
  <c r="AF32" i="44" s="1"/>
  <c r="V32" i="44"/>
  <c r="AE32" i="44" s="1"/>
  <c r="BJ31" i="44"/>
  <c r="BI31" i="44"/>
  <c r="AX31" i="44"/>
  <c r="AN31" i="44"/>
  <c r="AM31" i="44"/>
  <c r="W31" i="44"/>
  <c r="AF31" i="44" s="1"/>
  <c r="V31" i="44"/>
  <c r="AE31" i="44" s="1"/>
  <c r="BJ30" i="44"/>
  <c r="BI30" i="44"/>
  <c r="AX30" i="44"/>
  <c r="AN30" i="44"/>
  <c r="AM30" i="44"/>
  <c r="W30" i="44"/>
  <c r="AF30" i="44" s="1"/>
  <c r="V30" i="44"/>
  <c r="AE30" i="44" s="1"/>
  <c r="BJ29" i="44"/>
  <c r="BI29" i="44"/>
  <c r="AX29" i="44"/>
  <c r="AN29" i="44"/>
  <c r="AM29" i="44"/>
  <c r="W29" i="44"/>
  <c r="AF29" i="44" s="1"/>
  <c r="V29" i="44"/>
  <c r="AE29" i="44" s="1"/>
  <c r="BJ27" i="44"/>
  <c r="BI27" i="44"/>
  <c r="AX27" i="44"/>
  <c r="AN27" i="44"/>
  <c r="AM27" i="44"/>
  <c r="W27" i="44"/>
  <c r="AF27" i="44" s="1"/>
  <c r="V27" i="44"/>
  <c r="AE27" i="44" s="1"/>
  <c r="BJ26" i="44"/>
  <c r="BI26" i="44"/>
  <c r="AX26" i="44"/>
  <c r="AN26" i="44"/>
  <c r="AM26" i="44"/>
  <c r="W26" i="44"/>
  <c r="AF26" i="44" s="1"/>
  <c r="V26" i="44"/>
  <c r="AE26" i="44" s="1"/>
  <c r="BJ25" i="44"/>
  <c r="BI25" i="44"/>
  <c r="AX25" i="44"/>
  <c r="AN25" i="44"/>
  <c r="AM25" i="44"/>
  <c r="W25" i="44"/>
  <c r="AF25" i="44" s="1"/>
  <c r="V25" i="44"/>
  <c r="AE25" i="44" s="1"/>
  <c r="BJ24" i="44"/>
  <c r="BI24" i="44"/>
  <c r="AX24" i="44"/>
  <c r="AN24" i="44"/>
  <c r="AM24" i="44"/>
  <c r="W24" i="44"/>
  <c r="AF24" i="44" s="1"/>
  <c r="V24" i="44"/>
  <c r="AE24" i="44" s="1"/>
  <c r="BJ23" i="44"/>
  <c r="BI23" i="44"/>
  <c r="AX23" i="44"/>
  <c r="AN23" i="44"/>
  <c r="AM23" i="44"/>
  <c r="W23" i="44"/>
  <c r="AF23" i="44" s="1"/>
  <c r="V23" i="44"/>
  <c r="AE23" i="44" s="1"/>
  <c r="BJ22" i="44"/>
  <c r="BI22" i="44"/>
  <c r="AX22" i="44"/>
  <c r="AN22" i="44"/>
  <c r="AM22" i="44"/>
  <c r="W22" i="44"/>
  <c r="AF22" i="44" s="1"/>
  <c r="V22" i="44"/>
  <c r="AE22" i="44" s="1"/>
  <c r="BJ21" i="44"/>
  <c r="BI21" i="44"/>
  <c r="AX21" i="44"/>
  <c r="AN21" i="44"/>
  <c r="AM21" i="44"/>
  <c r="W21" i="44"/>
  <c r="AF21" i="44" s="1"/>
  <c r="V21" i="44"/>
  <c r="AE21" i="44" s="1"/>
  <c r="BJ20" i="44"/>
  <c r="BI20" i="44"/>
  <c r="AX20" i="44"/>
  <c r="AN20" i="44"/>
  <c r="AM20" i="44"/>
  <c r="W20" i="44"/>
  <c r="AF20" i="44" s="1"/>
  <c r="V20" i="44"/>
  <c r="AE20" i="44" s="1"/>
  <c r="BJ18" i="44"/>
  <c r="BI18" i="44"/>
  <c r="AX18" i="44"/>
  <c r="AN18" i="44"/>
  <c r="AM18" i="44"/>
  <c r="W18" i="44"/>
  <c r="AF18" i="44" s="1"/>
  <c r="V18" i="44"/>
  <c r="AE18" i="44" s="1"/>
  <c r="BJ17" i="44"/>
  <c r="BI17" i="44"/>
  <c r="AX17" i="44"/>
  <c r="AN17" i="44"/>
  <c r="AM17" i="44"/>
  <c r="W17" i="44"/>
  <c r="AF17" i="44" s="1"/>
  <c r="V17" i="44"/>
  <c r="AE17" i="44" s="1"/>
  <c r="BJ16" i="44"/>
  <c r="BI16" i="44"/>
  <c r="AX16" i="44"/>
  <c r="AN16" i="44"/>
  <c r="AM16" i="44"/>
  <c r="W16" i="44"/>
  <c r="AF16" i="44" s="1"/>
  <c r="V16" i="44"/>
  <c r="AE16" i="44" s="1"/>
  <c r="BJ15" i="44"/>
  <c r="BI15" i="44"/>
  <c r="AX15" i="44"/>
  <c r="AN15" i="44"/>
  <c r="AM15" i="44"/>
  <c r="W15" i="44"/>
  <c r="AF15" i="44" s="1"/>
  <c r="V15" i="44"/>
  <c r="AE15" i="44" s="1"/>
  <c r="BJ14" i="44"/>
  <c r="BI14" i="44"/>
  <c r="AX14" i="44"/>
  <c r="AN14" i="44"/>
  <c r="AM14" i="44"/>
  <c r="W14" i="44"/>
  <c r="AF14" i="44" s="1"/>
  <c r="V14" i="44"/>
  <c r="AE14" i="44" s="1"/>
  <c r="BJ194" i="29"/>
  <c r="BI194" i="29"/>
  <c r="AX194" i="29"/>
  <c r="AN194" i="29"/>
  <c r="AM194" i="29"/>
  <c r="W194" i="29"/>
  <c r="AF194" i="29" s="1"/>
  <c r="V194" i="29"/>
  <c r="AE194" i="29" s="1"/>
  <c r="BJ193" i="29"/>
  <c r="BI193" i="29"/>
  <c r="AX193" i="29"/>
  <c r="AN193" i="29"/>
  <c r="AM193" i="29"/>
  <c r="W193" i="29"/>
  <c r="V193" i="29"/>
  <c r="BJ191" i="29"/>
  <c r="BI191" i="29"/>
  <c r="AX191" i="29"/>
  <c r="AN191" i="29"/>
  <c r="AM191" i="29"/>
  <c r="W191" i="29"/>
  <c r="AF191" i="29" s="1"/>
  <c r="V191" i="29"/>
  <c r="AE191" i="29" s="1"/>
  <c r="BJ190" i="29"/>
  <c r="BI190" i="29"/>
  <c r="AX190" i="29"/>
  <c r="AN190" i="29"/>
  <c r="AM190" i="29"/>
  <c r="W190" i="29"/>
  <c r="AF190" i="29" s="1"/>
  <c r="V190" i="29"/>
  <c r="AE190" i="29" s="1"/>
  <c r="BJ189" i="29"/>
  <c r="BI189" i="29"/>
  <c r="AX189" i="29"/>
  <c r="AN189" i="29"/>
  <c r="AM189" i="29"/>
  <c r="W189" i="29"/>
  <c r="AF189" i="29" s="1"/>
  <c r="V189" i="29"/>
  <c r="AE189" i="29" s="1"/>
  <c r="BJ188" i="29"/>
  <c r="BI188" i="29"/>
  <c r="AX188" i="29"/>
  <c r="AN188" i="29"/>
  <c r="AM188" i="29"/>
  <c r="W188" i="29"/>
  <c r="AF188" i="29" s="1"/>
  <c r="V188" i="29"/>
  <c r="AE188" i="29" s="1"/>
  <c r="BJ187" i="29"/>
  <c r="BI187" i="29"/>
  <c r="AX187" i="29"/>
  <c r="AN187" i="29"/>
  <c r="AM187" i="29"/>
  <c r="W187" i="29"/>
  <c r="AF187" i="29" s="1"/>
  <c r="V187" i="29"/>
  <c r="AE187" i="29" s="1"/>
  <c r="BJ186" i="29"/>
  <c r="BI186" i="29"/>
  <c r="AX186" i="29"/>
  <c r="AN186" i="29"/>
  <c r="AM186" i="29"/>
  <c r="W186" i="29"/>
  <c r="V186" i="29"/>
  <c r="BJ184" i="29"/>
  <c r="BI184" i="29"/>
  <c r="AX184" i="29"/>
  <c r="AN184" i="29"/>
  <c r="AM184" i="29"/>
  <c r="W184" i="29"/>
  <c r="AF184" i="29" s="1"/>
  <c r="V184" i="29"/>
  <c r="AE184" i="29" s="1"/>
  <c r="BJ183" i="29"/>
  <c r="BI183" i="29"/>
  <c r="AX183" i="29"/>
  <c r="AN183" i="29"/>
  <c r="AM183" i="29"/>
  <c r="W183" i="29"/>
  <c r="AF183" i="29" s="1"/>
  <c r="V183" i="29"/>
  <c r="AE183" i="29" s="1"/>
  <c r="BJ182" i="29"/>
  <c r="BI182" i="29"/>
  <c r="AX182" i="29"/>
  <c r="AN182" i="29"/>
  <c r="AM182" i="29"/>
  <c r="W182" i="29"/>
  <c r="AF182" i="29" s="1"/>
  <c r="V182" i="29"/>
  <c r="AE182" i="29" s="1"/>
  <c r="BJ181" i="29"/>
  <c r="BI181" i="29"/>
  <c r="AX181" i="29"/>
  <c r="AN181" i="29"/>
  <c r="AM181" i="29"/>
  <c r="W181" i="29"/>
  <c r="AF181" i="29" s="1"/>
  <c r="V181" i="29"/>
  <c r="AE181" i="29" s="1"/>
  <c r="BJ180" i="29"/>
  <c r="BI180" i="29"/>
  <c r="AX180" i="29"/>
  <c r="AN180" i="29"/>
  <c r="AM180" i="29"/>
  <c r="W180" i="29"/>
  <c r="V180" i="29"/>
  <c r="BJ178" i="29"/>
  <c r="BI178" i="29"/>
  <c r="AX178" i="29"/>
  <c r="AN178" i="29"/>
  <c r="AM178" i="29"/>
  <c r="W178" i="29"/>
  <c r="AF178" i="29" s="1"/>
  <c r="V178" i="29"/>
  <c r="AE178" i="29" s="1"/>
  <c r="BJ176" i="29"/>
  <c r="BI176" i="29"/>
  <c r="AX176" i="29"/>
  <c r="AN176" i="29"/>
  <c r="AM176" i="29"/>
  <c r="V176" i="29"/>
  <c r="BJ174" i="29"/>
  <c r="BI174" i="29"/>
  <c r="AX174" i="29"/>
  <c r="AN174" i="29"/>
  <c r="AM174" i="29"/>
  <c r="W174" i="29"/>
  <c r="AF174" i="29" s="1"/>
  <c r="V174" i="29"/>
  <c r="AE174" i="29" s="1"/>
  <c r="BJ173" i="29"/>
  <c r="BI173" i="29"/>
  <c r="AX173" i="29"/>
  <c r="AN173" i="29"/>
  <c r="AM173" i="29"/>
  <c r="W173" i="29"/>
  <c r="AF173" i="29" s="1"/>
  <c r="V173" i="29"/>
  <c r="AE173" i="29" s="1"/>
  <c r="BJ172" i="29"/>
  <c r="BI172" i="29"/>
  <c r="AX172" i="29"/>
  <c r="AN172" i="29"/>
  <c r="AM172" i="29"/>
  <c r="W172" i="29"/>
  <c r="AF172" i="29" s="1"/>
  <c r="V172" i="29"/>
  <c r="AE172" i="29" s="1"/>
  <c r="BJ171" i="29"/>
  <c r="BI171" i="29"/>
  <c r="AX171" i="29"/>
  <c r="AN171" i="29"/>
  <c r="AM171" i="29"/>
  <c r="W171" i="29"/>
  <c r="AF171" i="29" s="1"/>
  <c r="V171" i="29"/>
  <c r="AE171" i="29" s="1"/>
  <c r="BJ170" i="29"/>
  <c r="BI170" i="29"/>
  <c r="AX170" i="29"/>
  <c r="AN170" i="29"/>
  <c r="AM170" i="29"/>
  <c r="W170" i="29"/>
  <c r="AF170" i="29" s="1"/>
  <c r="V170" i="29"/>
  <c r="AE170" i="29" s="1"/>
  <c r="BJ169" i="29"/>
  <c r="BI169" i="29"/>
  <c r="AX169" i="29"/>
  <c r="AN169" i="29"/>
  <c r="AM169" i="29"/>
  <c r="W169" i="29"/>
  <c r="V169" i="29"/>
  <c r="BJ167" i="29"/>
  <c r="BI167" i="29"/>
  <c r="AX167" i="29"/>
  <c r="AN167" i="29"/>
  <c r="AM167" i="29"/>
  <c r="W167" i="29"/>
  <c r="AF167" i="29" s="1"/>
  <c r="V167" i="29"/>
  <c r="AE167" i="29" s="1"/>
  <c r="BJ166" i="29"/>
  <c r="BI166" i="29"/>
  <c r="AX166" i="29"/>
  <c r="AN166" i="29"/>
  <c r="AM166" i="29"/>
  <c r="W166" i="29"/>
  <c r="AF166" i="29" s="1"/>
  <c r="V166" i="29"/>
  <c r="AE166" i="29" s="1"/>
  <c r="BJ165" i="29"/>
  <c r="BI165" i="29"/>
  <c r="AX165" i="29"/>
  <c r="AN165" i="29"/>
  <c r="AM165" i="29"/>
  <c r="W165" i="29"/>
  <c r="V165" i="29"/>
  <c r="AE165" i="29" s="1"/>
  <c r="BJ163" i="29"/>
  <c r="BI163" i="29"/>
  <c r="AX163" i="29"/>
  <c r="AN163" i="29"/>
  <c r="AM163" i="29"/>
  <c r="W163" i="29"/>
  <c r="AF163" i="29" s="1"/>
  <c r="V163" i="29"/>
  <c r="AE163" i="29" s="1"/>
  <c r="BJ162" i="29"/>
  <c r="BI162" i="29"/>
  <c r="AX162" i="29"/>
  <c r="AN162" i="29"/>
  <c r="AM162" i="29"/>
  <c r="W162" i="29"/>
  <c r="AF162" i="29" s="1"/>
  <c r="V162" i="29"/>
  <c r="AE162" i="29" s="1"/>
  <c r="BJ161" i="29"/>
  <c r="BI161" i="29"/>
  <c r="AX161" i="29"/>
  <c r="AN161" i="29"/>
  <c r="AM161" i="29"/>
  <c r="W161" i="29"/>
  <c r="AF161" i="29" s="1"/>
  <c r="V161" i="29"/>
  <c r="AE161" i="29" s="1"/>
  <c r="BJ160" i="29"/>
  <c r="BI160" i="29"/>
  <c r="AX160" i="29"/>
  <c r="AN160" i="29"/>
  <c r="AM160" i="29"/>
  <c r="W160" i="29"/>
  <c r="V160" i="29"/>
  <c r="BJ158" i="29"/>
  <c r="BI158" i="29"/>
  <c r="AX158" i="29"/>
  <c r="AN158" i="29"/>
  <c r="AM158" i="29"/>
  <c r="W158" i="29"/>
  <c r="AF158" i="29" s="1"/>
  <c r="V158" i="29"/>
  <c r="AE158" i="29" s="1"/>
  <c r="BJ157" i="29"/>
  <c r="BI157" i="29"/>
  <c r="AX157" i="29"/>
  <c r="AN157" i="29"/>
  <c r="AM157" i="29"/>
  <c r="W157" i="29"/>
  <c r="AF157" i="29" s="1"/>
  <c r="V157" i="29"/>
  <c r="AE157" i="29" s="1"/>
  <c r="BJ156" i="29"/>
  <c r="BI156" i="29"/>
  <c r="AX156" i="29"/>
  <c r="AN156" i="29"/>
  <c r="AM156" i="29"/>
  <c r="W156" i="29"/>
  <c r="V156" i="29"/>
  <c r="BJ154" i="29"/>
  <c r="BI154" i="29"/>
  <c r="AX154" i="29"/>
  <c r="AN154" i="29"/>
  <c r="AM154" i="29"/>
  <c r="W154" i="29"/>
  <c r="AF154" i="29" s="1"/>
  <c r="V154" i="29"/>
  <c r="AE154" i="29" s="1"/>
  <c r="BJ153" i="29"/>
  <c r="BI153" i="29"/>
  <c r="AX153" i="29"/>
  <c r="AN153" i="29"/>
  <c r="AM153" i="29"/>
  <c r="W153" i="29"/>
  <c r="AF153" i="29" s="1"/>
  <c r="V153" i="29"/>
  <c r="AE153" i="29" s="1"/>
  <c r="BJ152" i="29"/>
  <c r="BI152" i="29"/>
  <c r="AX152" i="29"/>
  <c r="AN152" i="29"/>
  <c r="AM152" i="29"/>
  <c r="W152" i="29"/>
  <c r="AF152" i="29" s="1"/>
  <c r="V152" i="29"/>
  <c r="AE152" i="29" s="1"/>
  <c r="BJ151" i="29"/>
  <c r="BI151" i="29"/>
  <c r="AX151" i="29"/>
  <c r="AN151" i="29"/>
  <c r="AM151" i="29"/>
  <c r="W151" i="29"/>
  <c r="AF151" i="29" s="1"/>
  <c r="V151" i="29"/>
  <c r="AE151" i="29" s="1"/>
  <c r="BJ150" i="29"/>
  <c r="BI150" i="29"/>
  <c r="AX150" i="29"/>
  <c r="AN150" i="29"/>
  <c r="AM150" i="29"/>
  <c r="W150" i="29"/>
  <c r="AF150" i="29" s="1"/>
  <c r="V150" i="29"/>
  <c r="AE150" i="29" s="1"/>
  <c r="BJ149" i="29"/>
  <c r="BI149" i="29"/>
  <c r="AX149" i="29"/>
  <c r="AN149" i="29"/>
  <c r="AM149" i="29"/>
  <c r="W149" i="29"/>
  <c r="V149" i="29"/>
  <c r="BJ147" i="29"/>
  <c r="BI147" i="29"/>
  <c r="AX147" i="29"/>
  <c r="AN147" i="29"/>
  <c r="AM147" i="29"/>
  <c r="W147" i="29"/>
  <c r="AF147" i="29" s="1"/>
  <c r="V147" i="29"/>
  <c r="AE147" i="29" s="1"/>
  <c r="BJ146" i="29"/>
  <c r="BI146" i="29"/>
  <c r="AX146" i="29"/>
  <c r="AN146" i="29"/>
  <c r="AM146" i="29"/>
  <c r="W146" i="29"/>
  <c r="AF146" i="29" s="1"/>
  <c r="V146" i="29"/>
  <c r="AE146" i="29" s="1"/>
  <c r="BJ145" i="29"/>
  <c r="BI145" i="29"/>
  <c r="AX145" i="29"/>
  <c r="AN145" i="29"/>
  <c r="AM145" i="29"/>
  <c r="W145" i="29"/>
  <c r="AF145" i="29" s="1"/>
  <c r="V145" i="29"/>
  <c r="AE145" i="29" s="1"/>
  <c r="BJ144" i="29"/>
  <c r="BI144" i="29"/>
  <c r="AX144" i="29"/>
  <c r="AN144" i="29"/>
  <c r="AM144" i="29"/>
  <c r="W144" i="29"/>
  <c r="AF144" i="29" s="1"/>
  <c r="V144" i="29"/>
  <c r="AE144" i="29" s="1"/>
  <c r="BJ143" i="29"/>
  <c r="BI143" i="29"/>
  <c r="AX143" i="29"/>
  <c r="AN143" i="29"/>
  <c r="AM143" i="29"/>
  <c r="W143" i="29"/>
  <c r="AF143" i="29" s="1"/>
  <c r="V143" i="29"/>
  <c r="AE143" i="29" s="1"/>
  <c r="BJ142" i="29"/>
  <c r="BI142" i="29"/>
  <c r="AX142" i="29"/>
  <c r="AN142" i="29"/>
  <c r="AM142" i="29"/>
  <c r="W142" i="29"/>
  <c r="AF142" i="29" s="1"/>
  <c r="V142" i="29"/>
  <c r="AE142" i="29" s="1"/>
  <c r="BJ141" i="29"/>
  <c r="BI141" i="29"/>
  <c r="AX141" i="29"/>
  <c r="AN141" i="29"/>
  <c r="AM141" i="29"/>
  <c r="W141" i="29"/>
  <c r="V141" i="29"/>
  <c r="BJ139" i="29"/>
  <c r="BJ140" i="29" s="1"/>
  <c r="BI139" i="29"/>
  <c r="AX139" i="29"/>
  <c r="AX140" i="29" s="1"/>
  <c r="AN139" i="29"/>
  <c r="AN140" i="29" s="1"/>
  <c r="AM139" i="29"/>
  <c r="AM140" i="29" s="1"/>
  <c r="W139" i="29"/>
  <c r="V139" i="29"/>
  <c r="BJ137" i="29"/>
  <c r="BI137" i="29"/>
  <c r="AX137" i="29"/>
  <c r="AN137" i="29"/>
  <c r="AM137" i="29"/>
  <c r="W137" i="29"/>
  <c r="AF137" i="29" s="1"/>
  <c r="V137" i="29"/>
  <c r="AE137" i="29" s="1"/>
  <c r="BJ136" i="29"/>
  <c r="BI136" i="29"/>
  <c r="AX136" i="29"/>
  <c r="AN136" i="29"/>
  <c r="AM136" i="29"/>
  <c r="W136" i="29"/>
  <c r="AF136" i="29" s="1"/>
  <c r="V136" i="29"/>
  <c r="AE136" i="29" s="1"/>
  <c r="BJ135" i="29"/>
  <c r="BI135" i="29"/>
  <c r="AX135" i="29"/>
  <c r="AN135" i="29"/>
  <c r="AM135" i="29"/>
  <c r="W135" i="29"/>
  <c r="AF135" i="29" s="1"/>
  <c r="V135" i="29"/>
  <c r="AE135" i="29" s="1"/>
  <c r="BJ134" i="29"/>
  <c r="BI134" i="29"/>
  <c r="AX134" i="29"/>
  <c r="AN134" i="29"/>
  <c r="AM134" i="29"/>
  <c r="W134" i="29"/>
  <c r="AF134" i="29" s="1"/>
  <c r="V134" i="29"/>
  <c r="AE134" i="29" s="1"/>
  <c r="BJ133" i="29"/>
  <c r="BI133" i="29"/>
  <c r="AX133" i="29"/>
  <c r="AN133" i="29"/>
  <c r="AM133" i="29"/>
  <c r="W133" i="29"/>
  <c r="V133" i="29"/>
  <c r="BJ131" i="29"/>
  <c r="BI131" i="29"/>
  <c r="AX131" i="29"/>
  <c r="AN131" i="29"/>
  <c r="AM131" i="29"/>
  <c r="W131" i="29"/>
  <c r="AF131" i="29" s="1"/>
  <c r="V131" i="29"/>
  <c r="AE131" i="29" s="1"/>
  <c r="BJ130" i="29"/>
  <c r="BI130" i="29"/>
  <c r="AX130" i="29"/>
  <c r="AN130" i="29"/>
  <c r="AM130" i="29"/>
  <c r="W130" i="29"/>
  <c r="AF130" i="29" s="1"/>
  <c r="V130" i="29"/>
  <c r="AE130" i="29" s="1"/>
  <c r="BJ129" i="29"/>
  <c r="BI129" i="29"/>
  <c r="AX129" i="29"/>
  <c r="AN129" i="29"/>
  <c r="AM129" i="29"/>
  <c r="W129" i="29"/>
  <c r="AF129" i="29" s="1"/>
  <c r="V129" i="29"/>
  <c r="AE129" i="29" s="1"/>
  <c r="BJ128" i="29"/>
  <c r="BI128" i="29"/>
  <c r="AX128" i="29"/>
  <c r="AN128" i="29"/>
  <c r="AM128" i="29"/>
  <c r="W128" i="29"/>
  <c r="AF128" i="29" s="1"/>
  <c r="V128" i="29"/>
  <c r="AE128" i="29" s="1"/>
  <c r="BJ127" i="29"/>
  <c r="BI127" i="29"/>
  <c r="AX127" i="29"/>
  <c r="AN127" i="29"/>
  <c r="AM127" i="29"/>
  <c r="W127" i="29"/>
  <c r="V127" i="29"/>
  <c r="BJ125" i="29"/>
  <c r="BI125" i="29"/>
  <c r="AX125" i="29"/>
  <c r="AN125" i="29"/>
  <c r="AM125" i="29"/>
  <c r="W125" i="29"/>
  <c r="AF125" i="29" s="1"/>
  <c r="V125" i="29"/>
  <c r="AE125" i="29" s="1"/>
  <c r="BJ124" i="29"/>
  <c r="BI124" i="29"/>
  <c r="AX124" i="29"/>
  <c r="AN124" i="29"/>
  <c r="AM124" i="29"/>
  <c r="W124" i="29"/>
  <c r="AF124" i="29" s="1"/>
  <c r="V124" i="29"/>
  <c r="AE124" i="29" s="1"/>
  <c r="BJ123" i="29"/>
  <c r="BI123" i="29"/>
  <c r="AX123" i="29"/>
  <c r="AN123" i="29"/>
  <c r="AM123" i="29"/>
  <c r="W123" i="29"/>
  <c r="AF123" i="29" s="1"/>
  <c r="V123" i="29"/>
  <c r="AE123" i="29" s="1"/>
  <c r="BJ122" i="29"/>
  <c r="BI122" i="29"/>
  <c r="AX122" i="29"/>
  <c r="AN122" i="29"/>
  <c r="AM122" i="29"/>
  <c r="W122" i="29"/>
  <c r="AF122" i="29" s="1"/>
  <c r="V122" i="29"/>
  <c r="AE122" i="29" s="1"/>
  <c r="BJ121" i="29"/>
  <c r="BI121" i="29"/>
  <c r="AX121" i="29"/>
  <c r="AN121" i="29"/>
  <c r="AM121" i="29"/>
  <c r="W121" i="29"/>
  <c r="V121" i="29"/>
  <c r="BJ119" i="29"/>
  <c r="BI119" i="29"/>
  <c r="AX119" i="29"/>
  <c r="AN119" i="29"/>
  <c r="AM119" i="29"/>
  <c r="W119" i="29"/>
  <c r="AF119" i="29" s="1"/>
  <c r="V119" i="29"/>
  <c r="AE119" i="29" s="1"/>
  <c r="BJ118" i="29"/>
  <c r="BI118" i="29"/>
  <c r="AX118" i="29"/>
  <c r="AN118" i="29"/>
  <c r="AM118" i="29"/>
  <c r="W118" i="29"/>
  <c r="AF118" i="29" s="1"/>
  <c r="V118" i="29"/>
  <c r="AE118" i="29" s="1"/>
  <c r="BJ117" i="29"/>
  <c r="BI117" i="29"/>
  <c r="AX117" i="29"/>
  <c r="AN117" i="29"/>
  <c r="AM117" i="29"/>
  <c r="W117" i="29"/>
  <c r="AF117" i="29" s="1"/>
  <c r="V117" i="29"/>
  <c r="AE117" i="29" s="1"/>
  <c r="BJ116" i="29"/>
  <c r="BI116" i="29"/>
  <c r="AX116" i="29"/>
  <c r="AN116" i="29"/>
  <c r="AM116" i="29"/>
  <c r="W116" i="29"/>
  <c r="AF116" i="29" s="1"/>
  <c r="V116" i="29"/>
  <c r="AE116" i="29" s="1"/>
  <c r="BJ115" i="29"/>
  <c r="BI115" i="29"/>
  <c r="AX115" i="29"/>
  <c r="AN115" i="29"/>
  <c r="AM115" i="29"/>
  <c r="W115" i="29"/>
  <c r="V115" i="29"/>
  <c r="BJ113" i="29"/>
  <c r="BI113" i="29"/>
  <c r="AX113" i="29"/>
  <c r="AN113" i="29"/>
  <c r="AM113" i="29"/>
  <c r="W113" i="29"/>
  <c r="AF113" i="29" s="1"/>
  <c r="V113" i="29"/>
  <c r="AE113" i="29" s="1"/>
  <c r="BJ112" i="29"/>
  <c r="BI112" i="29"/>
  <c r="AX112" i="29"/>
  <c r="AN112" i="29"/>
  <c r="AM112" i="29"/>
  <c r="W112" i="29"/>
  <c r="AF112" i="29" s="1"/>
  <c r="V112" i="29"/>
  <c r="AE112" i="29" s="1"/>
  <c r="BJ111" i="29"/>
  <c r="BI111" i="29"/>
  <c r="AX111" i="29"/>
  <c r="AN111" i="29"/>
  <c r="AM111" i="29"/>
  <c r="W111" i="29"/>
  <c r="AF111" i="29" s="1"/>
  <c r="V111" i="29"/>
  <c r="AE111" i="29" s="1"/>
  <c r="BJ110" i="29"/>
  <c r="BI110" i="29"/>
  <c r="AX110" i="29"/>
  <c r="AN110" i="29"/>
  <c r="AM110" i="29"/>
  <c r="W110" i="29"/>
  <c r="AF110" i="29" s="1"/>
  <c r="V110" i="29"/>
  <c r="AE110" i="29" s="1"/>
  <c r="BJ109" i="29"/>
  <c r="BI109" i="29"/>
  <c r="AX109" i="29"/>
  <c r="AN109" i="29"/>
  <c r="AM109" i="29"/>
  <c r="W109" i="29"/>
  <c r="V109" i="29"/>
  <c r="BJ107" i="29"/>
  <c r="BI107" i="29"/>
  <c r="AX107" i="29"/>
  <c r="AN107" i="29"/>
  <c r="AM107" i="29"/>
  <c r="W107" i="29"/>
  <c r="AF107" i="29" s="1"/>
  <c r="V107" i="29"/>
  <c r="AE107" i="29" s="1"/>
  <c r="BJ106" i="29"/>
  <c r="BI106" i="29"/>
  <c r="AX106" i="29"/>
  <c r="AN106" i="29"/>
  <c r="AM106" i="29"/>
  <c r="W106" i="29"/>
  <c r="AF106" i="29" s="1"/>
  <c r="V106" i="29"/>
  <c r="AE106" i="29" s="1"/>
  <c r="BJ105" i="29"/>
  <c r="BI105" i="29"/>
  <c r="AX105" i="29"/>
  <c r="AN105" i="29"/>
  <c r="AM105" i="29"/>
  <c r="W105" i="29"/>
  <c r="AF105" i="29" s="1"/>
  <c r="V105" i="29"/>
  <c r="AE105" i="29" s="1"/>
  <c r="BJ104" i="29"/>
  <c r="BI104" i="29"/>
  <c r="AX104" i="29"/>
  <c r="AN104" i="29"/>
  <c r="AM104" i="29"/>
  <c r="W104" i="29"/>
  <c r="AF104" i="29" s="1"/>
  <c r="V104" i="29"/>
  <c r="AE104" i="29" s="1"/>
  <c r="BJ103" i="29"/>
  <c r="BI103" i="29"/>
  <c r="AX103" i="29"/>
  <c r="AN103" i="29"/>
  <c r="AM103" i="29"/>
  <c r="W103" i="29"/>
  <c r="AF103" i="29" s="1"/>
  <c r="V103" i="29"/>
  <c r="BJ101" i="29"/>
  <c r="BI101" i="29"/>
  <c r="AX101" i="29"/>
  <c r="AN101" i="29"/>
  <c r="AM101" i="29"/>
  <c r="W101" i="29"/>
  <c r="AF101" i="29" s="1"/>
  <c r="V101" i="29"/>
  <c r="AE101" i="29" s="1"/>
  <c r="BJ100" i="29"/>
  <c r="BI100" i="29"/>
  <c r="AX100" i="29"/>
  <c r="AN100" i="29"/>
  <c r="AM100" i="29"/>
  <c r="W100" i="29"/>
  <c r="AF100" i="29" s="1"/>
  <c r="V100" i="29"/>
  <c r="AE100" i="29" s="1"/>
  <c r="BJ99" i="29"/>
  <c r="BI99" i="29"/>
  <c r="AX99" i="29"/>
  <c r="AN99" i="29"/>
  <c r="AM99" i="29"/>
  <c r="W99" i="29"/>
  <c r="AF99" i="29" s="1"/>
  <c r="V99" i="29"/>
  <c r="AE99" i="29" s="1"/>
  <c r="BJ98" i="29"/>
  <c r="BI98" i="29"/>
  <c r="AX98" i="29"/>
  <c r="AN98" i="29"/>
  <c r="AM98" i="29"/>
  <c r="W98" i="29"/>
  <c r="AF98" i="29" s="1"/>
  <c r="V98" i="29"/>
  <c r="AE98" i="29" s="1"/>
  <c r="BJ97" i="29"/>
  <c r="BI97" i="29"/>
  <c r="AX97" i="29"/>
  <c r="AN97" i="29"/>
  <c r="AM97" i="29"/>
  <c r="W97" i="29"/>
  <c r="AF97" i="29" s="1"/>
  <c r="V97" i="29"/>
  <c r="BJ95" i="29"/>
  <c r="BI95" i="29"/>
  <c r="AX95" i="29"/>
  <c r="AN95" i="29"/>
  <c r="AM95" i="29"/>
  <c r="W95" i="29"/>
  <c r="AF95" i="29" s="1"/>
  <c r="V95" i="29"/>
  <c r="AE95" i="29" s="1"/>
  <c r="BJ94" i="29"/>
  <c r="BI94" i="29"/>
  <c r="AX94" i="29"/>
  <c r="AN94" i="29"/>
  <c r="AM94" i="29"/>
  <c r="W94" i="29"/>
  <c r="AF94" i="29" s="1"/>
  <c r="V94" i="29"/>
  <c r="AE94" i="29" s="1"/>
  <c r="BJ93" i="29"/>
  <c r="BI93" i="29"/>
  <c r="AX93" i="29"/>
  <c r="AN93" i="29"/>
  <c r="AM93" i="29"/>
  <c r="W93" i="29"/>
  <c r="AF93" i="29" s="1"/>
  <c r="V93" i="29"/>
  <c r="AE93" i="29" s="1"/>
  <c r="BJ92" i="29"/>
  <c r="BI92" i="29"/>
  <c r="AX92" i="29"/>
  <c r="AN92" i="29"/>
  <c r="AM92" i="29"/>
  <c r="W92" i="29"/>
  <c r="AF92" i="29" s="1"/>
  <c r="V92" i="29"/>
  <c r="AE92" i="29" s="1"/>
  <c r="BJ91" i="29"/>
  <c r="BI91" i="29"/>
  <c r="AX91" i="29"/>
  <c r="AN91" i="29"/>
  <c r="AM91" i="29"/>
  <c r="W91" i="29"/>
  <c r="V91" i="29"/>
  <c r="BJ89" i="29"/>
  <c r="BI89" i="29"/>
  <c r="AX89" i="29"/>
  <c r="AN89" i="29"/>
  <c r="AM89" i="29"/>
  <c r="W89" i="29"/>
  <c r="AF89" i="29" s="1"/>
  <c r="V89" i="29"/>
  <c r="AE89" i="29" s="1"/>
  <c r="BJ88" i="29"/>
  <c r="BI88" i="29"/>
  <c r="AX88" i="29"/>
  <c r="AN88" i="29"/>
  <c r="AM88" i="29"/>
  <c r="W88" i="29"/>
  <c r="AF88" i="29" s="1"/>
  <c r="V88" i="29"/>
  <c r="AE88" i="29" s="1"/>
  <c r="BJ87" i="29"/>
  <c r="BI87" i="29"/>
  <c r="AX87" i="29"/>
  <c r="AN87" i="29"/>
  <c r="AM87" i="29"/>
  <c r="W87" i="29"/>
  <c r="AF87" i="29" s="1"/>
  <c r="V87" i="29"/>
  <c r="AE87" i="29" s="1"/>
  <c r="BJ86" i="29"/>
  <c r="BI86" i="29"/>
  <c r="AX86" i="29"/>
  <c r="AN86" i="29"/>
  <c r="AM86" i="29"/>
  <c r="W86" i="29"/>
  <c r="AF86" i="29" s="1"/>
  <c r="V86" i="29"/>
  <c r="AE86" i="29" s="1"/>
  <c r="BJ85" i="29"/>
  <c r="BI85" i="29"/>
  <c r="AX85" i="29"/>
  <c r="AN85" i="29"/>
  <c r="AM85" i="29"/>
  <c r="W85" i="29"/>
  <c r="AF85" i="29" s="1"/>
  <c r="V85" i="29"/>
  <c r="BJ83" i="29"/>
  <c r="BI83" i="29"/>
  <c r="AX83" i="29"/>
  <c r="AN83" i="29"/>
  <c r="AM83" i="29"/>
  <c r="W83" i="29"/>
  <c r="AF83" i="29" s="1"/>
  <c r="V83" i="29"/>
  <c r="AE83" i="29" s="1"/>
  <c r="BJ82" i="29"/>
  <c r="BI82" i="29"/>
  <c r="AX82" i="29"/>
  <c r="AN82" i="29"/>
  <c r="AM82" i="29"/>
  <c r="W82" i="29"/>
  <c r="AF82" i="29" s="1"/>
  <c r="V82" i="29"/>
  <c r="AE82" i="29" s="1"/>
  <c r="BJ81" i="29"/>
  <c r="BI81" i="29"/>
  <c r="AX81" i="29"/>
  <c r="AN81" i="29"/>
  <c r="AM81" i="29"/>
  <c r="W81" i="29"/>
  <c r="AF81" i="29" s="1"/>
  <c r="V81" i="29"/>
  <c r="AE81" i="29" s="1"/>
  <c r="BJ80" i="29"/>
  <c r="BI80" i="29"/>
  <c r="AX80" i="29"/>
  <c r="AN80" i="29"/>
  <c r="AM80" i="29"/>
  <c r="W80" i="29"/>
  <c r="V80" i="29"/>
  <c r="BJ78" i="29"/>
  <c r="BI78" i="29"/>
  <c r="AX78" i="29"/>
  <c r="AN78" i="29"/>
  <c r="AM78" i="29"/>
  <c r="W78" i="29"/>
  <c r="AF78" i="29" s="1"/>
  <c r="V78" i="29"/>
  <c r="AE78" i="29" s="1"/>
  <c r="BJ77" i="29"/>
  <c r="BI77" i="29"/>
  <c r="AX77" i="29"/>
  <c r="AN77" i="29"/>
  <c r="AM77" i="29"/>
  <c r="W77" i="29"/>
  <c r="AF77" i="29" s="1"/>
  <c r="V77" i="29"/>
  <c r="AE77" i="29" s="1"/>
  <c r="BJ76" i="29"/>
  <c r="BI76" i="29"/>
  <c r="AX76" i="29"/>
  <c r="AN76" i="29"/>
  <c r="AM76" i="29"/>
  <c r="W76" i="29"/>
  <c r="AF76" i="29" s="1"/>
  <c r="V76" i="29"/>
  <c r="BJ74" i="29"/>
  <c r="BI74" i="29"/>
  <c r="AX74" i="29"/>
  <c r="AN74" i="29"/>
  <c r="AM74" i="29"/>
  <c r="W74" i="29"/>
  <c r="AF74" i="29" s="1"/>
  <c r="V74" i="29"/>
  <c r="AE74" i="29" s="1"/>
  <c r="BJ73" i="29"/>
  <c r="BI73" i="29"/>
  <c r="AX73" i="29"/>
  <c r="AN73" i="29"/>
  <c r="AM73" i="29"/>
  <c r="W73" i="29"/>
  <c r="AF73" i="29" s="1"/>
  <c r="V73" i="29"/>
  <c r="AE73" i="29" s="1"/>
  <c r="BJ72" i="29"/>
  <c r="BI72" i="29"/>
  <c r="AX72" i="29"/>
  <c r="AN72" i="29"/>
  <c r="AM72" i="29"/>
  <c r="W72" i="29"/>
  <c r="V72" i="29"/>
  <c r="BJ70" i="29"/>
  <c r="BI70" i="29"/>
  <c r="AX70" i="29"/>
  <c r="AN70" i="29"/>
  <c r="AM70" i="29"/>
  <c r="W70" i="29"/>
  <c r="AF70" i="29" s="1"/>
  <c r="V70" i="29"/>
  <c r="AE70" i="29" s="1"/>
  <c r="BJ69" i="29"/>
  <c r="BI69" i="29"/>
  <c r="AX69" i="29"/>
  <c r="AN69" i="29"/>
  <c r="AM69" i="29"/>
  <c r="W69" i="29"/>
  <c r="AF69" i="29" s="1"/>
  <c r="V69" i="29"/>
  <c r="AE69" i="29" s="1"/>
  <c r="BJ68" i="29"/>
  <c r="BI68" i="29"/>
  <c r="AX68" i="29"/>
  <c r="AN68" i="29"/>
  <c r="AM68" i="29"/>
  <c r="W68" i="29"/>
  <c r="V68" i="29"/>
  <c r="BJ66" i="29"/>
  <c r="BI66" i="29"/>
  <c r="AX66" i="29"/>
  <c r="AN66" i="29"/>
  <c r="AM66" i="29"/>
  <c r="W66" i="29"/>
  <c r="AF66" i="29" s="1"/>
  <c r="V66" i="29"/>
  <c r="AE66" i="29" s="1"/>
  <c r="BJ65" i="29"/>
  <c r="BI65" i="29"/>
  <c r="AX65" i="29"/>
  <c r="AN65" i="29"/>
  <c r="AM65" i="29"/>
  <c r="W65" i="29"/>
  <c r="AF65" i="29" s="1"/>
  <c r="V65" i="29"/>
  <c r="AE65" i="29" s="1"/>
  <c r="BJ64" i="29"/>
  <c r="BI64" i="29"/>
  <c r="AX64" i="29"/>
  <c r="AN64" i="29"/>
  <c r="AM64" i="29"/>
  <c r="W64" i="29"/>
  <c r="V64" i="29"/>
  <c r="AE64" i="29" s="1"/>
  <c r="BJ62" i="29"/>
  <c r="BI62" i="29"/>
  <c r="AX62" i="29"/>
  <c r="AN62" i="29"/>
  <c r="AM62" i="29"/>
  <c r="W62" i="29"/>
  <c r="AF62" i="29" s="1"/>
  <c r="V62" i="29"/>
  <c r="AE62" i="29" s="1"/>
  <c r="BJ61" i="29"/>
  <c r="BI61" i="29"/>
  <c r="AX61" i="29"/>
  <c r="AN61" i="29"/>
  <c r="AM61" i="29"/>
  <c r="W61" i="29"/>
  <c r="AF61" i="29" s="1"/>
  <c r="V61" i="29"/>
  <c r="AE61" i="29" s="1"/>
  <c r="BJ60" i="29"/>
  <c r="BI60" i="29"/>
  <c r="AX60" i="29"/>
  <c r="AN60" i="29"/>
  <c r="AM60" i="29"/>
  <c r="W60" i="29"/>
  <c r="V60" i="29"/>
  <c r="AE60" i="29" s="1"/>
  <c r="BJ58" i="29"/>
  <c r="BI58" i="29"/>
  <c r="AX58" i="29"/>
  <c r="AN58" i="29"/>
  <c r="AM58" i="29"/>
  <c r="W58" i="29"/>
  <c r="AF58" i="29" s="1"/>
  <c r="V58" i="29"/>
  <c r="AE58" i="29" s="1"/>
  <c r="BJ57" i="29"/>
  <c r="BI57" i="29"/>
  <c r="AX57" i="29"/>
  <c r="AN57" i="29"/>
  <c r="AM57" i="29"/>
  <c r="W57" i="29"/>
  <c r="V57" i="29"/>
  <c r="BJ55" i="29"/>
  <c r="BI55" i="29"/>
  <c r="AX55" i="29"/>
  <c r="AN55" i="29"/>
  <c r="AM55" i="29"/>
  <c r="W55" i="29"/>
  <c r="AF55" i="29" s="1"/>
  <c r="V55" i="29"/>
  <c r="AE55" i="29" s="1"/>
  <c r="BJ54" i="29"/>
  <c r="BI54" i="29"/>
  <c r="AX54" i="29"/>
  <c r="AN54" i="29"/>
  <c r="AM54" i="29"/>
  <c r="W54" i="29"/>
  <c r="AF54" i="29" s="1"/>
  <c r="V54" i="29"/>
  <c r="AE54" i="29" s="1"/>
  <c r="BJ53" i="29"/>
  <c r="BI53" i="29"/>
  <c r="AX53" i="29"/>
  <c r="AN53" i="29"/>
  <c r="AM53" i="29"/>
  <c r="W53" i="29"/>
  <c r="V53" i="29"/>
  <c r="BJ51" i="29"/>
  <c r="BI51" i="29"/>
  <c r="AX51" i="29"/>
  <c r="AN51" i="29"/>
  <c r="AM51" i="29"/>
  <c r="W51" i="29"/>
  <c r="AF51" i="29" s="1"/>
  <c r="V51" i="29"/>
  <c r="AE51" i="29" s="1"/>
  <c r="BJ50" i="29"/>
  <c r="BI50" i="29"/>
  <c r="AX50" i="29"/>
  <c r="AN50" i="29"/>
  <c r="AM50" i="29"/>
  <c r="W50" i="29"/>
  <c r="AF50" i="29" s="1"/>
  <c r="V50" i="29"/>
  <c r="AE50" i="29" s="1"/>
  <c r="BJ49" i="29"/>
  <c r="BI49" i="29"/>
  <c r="AX49" i="29"/>
  <c r="AN49" i="29"/>
  <c r="AM49" i="29"/>
  <c r="W49" i="29"/>
  <c r="V49" i="29"/>
  <c r="BJ47" i="29"/>
  <c r="BI47" i="29"/>
  <c r="AX47" i="29"/>
  <c r="AN47" i="29"/>
  <c r="AM47" i="29"/>
  <c r="W47" i="29"/>
  <c r="AF47" i="29" s="1"/>
  <c r="V47" i="29"/>
  <c r="AE47" i="29" s="1"/>
  <c r="BJ46" i="29"/>
  <c r="BI46" i="29"/>
  <c r="AX46" i="29"/>
  <c r="AN46" i="29"/>
  <c r="AM46" i="29"/>
  <c r="W46" i="29"/>
  <c r="AF46" i="29" s="1"/>
  <c r="V46" i="29"/>
  <c r="AE46" i="29" s="1"/>
  <c r="BJ45" i="29"/>
  <c r="BI45" i="29"/>
  <c r="AX45" i="29"/>
  <c r="AN45" i="29"/>
  <c r="AM45" i="29"/>
  <c r="W45" i="29"/>
  <c r="V45" i="29"/>
  <c r="BJ43" i="29"/>
  <c r="BI43" i="29"/>
  <c r="AX43" i="29"/>
  <c r="AN43" i="29"/>
  <c r="AM43" i="29"/>
  <c r="W43" i="29"/>
  <c r="AF43" i="29" s="1"/>
  <c r="V43" i="29"/>
  <c r="AE43" i="29" s="1"/>
  <c r="BJ42" i="29"/>
  <c r="BI42" i="29"/>
  <c r="AX42" i="29"/>
  <c r="AN42" i="29"/>
  <c r="AM42" i="29"/>
  <c r="W42" i="29"/>
  <c r="AF42" i="29" s="1"/>
  <c r="V42" i="29"/>
  <c r="AE42" i="29" s="1"/>
  <c r="BJ41" i="29"/>
  <c r="BI41" i="29"/>
  <c r="AX41" i="29"/>
  <c r="AN41" i="29"/>
  <c r="AM41" i="29"/>
  <c r="W41" i="29"/>
  <c r="V41" i="29"/>
  <c r="BJ39" i="29"/>
  <c r="BI39" i="29"/>
  <c r="AX39" i="29"/>
  <c r="AN39" i="29"/>
  <c r="AM39" i="29"/>
  <c r="W39" i="29"/>
  <c r="AF39" i="29" s="1"/>
  <c r="V39" i="29"/>
  <c r="AE39" i="29" s="1"/>
  <c r="BJ38" i="29"/>
  <c r="BI38" i="29"/>
  <c r="AX38" i="29"/>
  <c r="AN38" i="29"/>
  <c r="AM38" i="29"/>
  <c r="W38" i="29"/>
  <c r="AF38" i="29" s="1"/>
  <c r="V38" i="29"/>
  <c r="AE38" i="29" s="1"/>
  <c r="BJ37" i="29"/>
  <c r="BI37" i="29"/>
  <c r="AX37" i="29"/>
  <c r="AN37" i="29"/>
  <c r="AM37" i="29"/>
  <c r="W37" i="29"/>
  <c r="V37" i="29"/>
  <c r="BJ35" i="29"/>
  <c r="BI35" i="29"/>
  <c r="AX35" i="29"/>
  <c r="AN35" i="29"/>
  <c r="AM35" i="29"/>
  <c r="W35" i="29"/>
  <c r="AF35" i="29" s="1"/>
  <c r="V35" i="29"/>
  <c r="AE35" i="29" s="1"/>
  <c r="BJ34" i="29"/>
  <c r="BI34" i="29"/>
  <c r="AX34" i="29"/>
  <c r="AN34" i="29"/>
  <c r="AM34" i="29"/>
  <c r="W34" i="29"/>
  <c r="AF34" i="29" s="1"/>
  <c r="V34" i="29"/>
  <c r="AE34" i="29" s="1"/>
  <c r="BJ33" i="29"/>
  <c r="BI33" i="29"/>
  <c r="AX33" i="29"/>
  <c r="AN33" i="29"/>
  <c r="AM33" i="29"/>
  <c r="W33" i="29"/>
  <c r="V33" i="29"/>
  <c r="BJ31" i="29"/>
  <c r="BI31" i="29"/>
  <c r="AX31" i="29"/>
  <c r="AN31" i="29"/>
  <c r="AM31" i="29"/>
  <c r="W31" i="29"/>
  <c r="AF31" i="29" s="1"/>
  <c r="V31" i="29"/>
  <c r="AE31" i="29" s="1"/>
  <c r="BJ30" i="29"/>
  <c r="BI30" i="29"/>
  <c r="AX30" i="29"/>
  <c r="AN30" i="29"/>
  <c r="AM30" i="29"/>
  <c r="W30" i="29"/>
  <c r="V30" i="29"/>
  <c r="AE30" i="29" s="1"/>
  <c r="BJ28" i="29"/>
  <c r="BI28" i="29"/>
  <c r="AX28" i="29"/>
  <c r="AN28" i="29"/>
  <c r="AM28" i="29"/>
  <c r="W28" i="29"/>
  <c r="AF28" i="29" s="1"/>
  <c r="V28" i="29"/>
  <c r="AE28" i="29" s="1"/>
  <c r="BJ27" i="29"/>
  <c r="BI27" i="29"/>
  <c r="AX27" i="29"/>
  <c r="AN27" i="29"/>
  <c r="AM27" i="29"/>
  <c r="W27" i="29"/>
  <c r="AF27" i="29" s="1"/>
  <c r="V27" i="29"/>
  <c r="AE27" i="29" s="1"/>
  <c r="BJ26" i="29"/>
  <c r="BI26" i="29"/>
  <c r="AX26" i="29"/>
  <c r="AN26" i="29"/>
  <c r="AM26" i="29"/>
  <c r="W26" i="29"/>
  <c r="AF26" i="29" s="1"/>
  <c r="V26" i="29"/>
  <c r="BJ24" i="29"/>
  <c r="BI24" i="29"/>
  <c r="AX24" i="29"/>
  <c r="AN24" i="29"/>
  <c r="AM24" i="29"/>
  <c r="W24" i="29"/>
  <c r="AF24" i="29" s="1"/>
  <c r="V24" i="29"/>
  <c r="AE24" i="29" s="1"/>
  <c r="BJ23" i="29"/>
  <c r="BI23" i="29"/>
  <c r="AX23" i="29"/>
  <c r="AN23" i="29"/>
  <c r="AM23" i="29"/>
  <c r="W23" i="29"/>
  <c r="AF23" i="29" s="1"/>
  <c r="V23" i="29"/>
  <c r="AE23" i="29" s="1"/>
  <c r="BJ22" i="29"/>
  <c r="BI22" i="29"/>
  <c r="AX22" i="29"/>
  <c r="AN22" i="29"/>
  <c r="AM22" i="29"/>
  <c r="W22" i="29"/>
  <c r="V22" i="29"/>
  <c r="BJ20" i="29"/>
  <c r="BI20" i="29"/>
  <c r="AX20" i="29"/>
  <c r="AN20" i="29"/>
  <c r="AM20" i="29"/>
  <c r="W20" i="29"/>
  <c r="AF20" i="29" s="1"/>
  <c r="V20" i="29"/>
  <c r="AE20" i="29" s="1"/>
  <c r="BJ19" i="29"/>
  <c r="BI19" i="29"/>
  <c r="AX19" i="29"/>
  <c r="AN19" i="29"/>
  <c r="AM19" i="29"/>
  <c r="W19" i="29"/>
  <c r="AF19" i="29" s="1"/>
  <c r="V19" i="29"/>
  <c r="AE19" i="29" s="1"/>
  <c r="BJ18" i="29"/>
  <c r="BI18" i="29"/>
  <c r="AX18" i="29"/>
  <c r="AN18" i="29"/>
  <c r="AM18" i="29"/>
  <c r="W18" i="29"/>
  <c r="V18" i="29"/>
  <c r="AE18" i="29" s="1"/>
  <c r="BJ16" i="29"/>
  <c r="BI16" i="29"/>
  <c r="AX16" i="29"/>
  <c r="AN16" i="29"/>
  <c r="AM16" i="29"/>
  <c r="W16" i="29"/>
  <c r="AF16" i="29" s="1"/>
  <c r="V16" i="29"/>
  <c r="AE16" i="29" s="1"/>
  <c r="BJ15" i="29"/>
  <c r="BI15" i="29"/>
  <c r="BK15" i="29" s="1"/>
  <c r="AX15" i="29"/>
  <c r="AN15" i="29"/>
  <c r="AM15" i="29"/>
  <c r="W15" i="29"/>
  <c r="AF15" i="29" s="1"/>
  <c r="V15" i="29"/>
  <c r="AE15" i="29" s="1"/>
  <c r="BJ14" i="29"/>
  <c r="BI14" i="29"/>
  <c r="AX14" i="29"/>
  <c r="AN14" i="29"/>
  <c r="AM14" i="29"/>
  <c r="W14" i="29"/>
  <c r="V14" i="29"/>
  <c r="BJ98" i="30"/>
  <c r="BI98" i="30"/>
  <c r="AX98" i="30"/>
  <c r="AN98" i="30"/>
  <c r="AM98" i="30"/>
  <c r="W98" i="30"/>
  <c r="AF98" i="30" s="1"/>
  <c r="V98" i="30"/>
  <c r="AE98" i="30" s="1"/>
  <c r="BJ97" i="30"/>
  <c r="BI97" i="30"/>
  <c r="AX97" i="30"/>
  <c r="AN97" i="30"/>
  <c r="AM97" i="30"/>
  <c r="W97" i="30"/>
  <c r="AF97" i="30" s="1"/>
  <c r="V97" i="30"/>
  <c r="AE97" i="30" s="1"/>
  <c r="BJ96" i="30"/>
  <c r="BI96" i="30"/>
  <c r="AX96" i="30"/>
  <c r="AN96" i="30"/>
  <c r="AM96" i="30"/>
  <c r="W96" i="30"/>
  <c r="AF96" i="30" s="1"/>
  <c r="V96" i="30"/>
  <c r="AE96" i="30" s="1"/>
  <c r="BJ95" i="30"/>
  <c r="BI95" i="30"/>
  <c r="AX95" i="30"/>
  <c r="AN95" i="30"/>
  <c r="AM95" i="30"/>
  <c r="W95" i="30"/>
  <c r="AF95" i="30" s="1"/>
  <c r="V95" i="30"/>
  <c r="AE95" i="30" s="1"/>
  <c r="BJ94" i="30"/>
  <c r="BI94" i="30"/>
  <c r="AX94" i="30"/>
  <c r="AN94" i="30"/>
  <c r="AM94" i="30"/>
  <c r="W94" i="30"/>
  <c r="AF94" i="30" s="1"/>
  <c r="V94" i="30"/>
  <c r="AE94" i="30" s="1"/>
  <c r="BJ93" i="30"/>
  <c r="BI93" i="30"/>
  <c r="AX93" i="30"/>
  <c r="AN93" i="30"/>
  <c r="AM93" i="30"/>
  <c r="W93" i="30"/>
  <c r="V93" i="30"/>
  <c r="BJ91" i="30"/>
  <c r="BI91" i="30"/>
  <c r="AX91" i="30"/>
  <c r="AN91" i="30"/>
  <c r="AM91" i="30"/>
  <c r="W91" i="30"/>
  <c r="AF91" i="30" s="1"/>
  <c r="V91" i="30"/>
  <c r="AE91" i="30" s="1"/>
  <c r="BJ90" i="30"/>
  <c r="BI90" i="30"/>
  <c r="AX90" i="30"/>
  <c r="AN90" i="30"/>
  <c r="AM90" i="30"/>
  <c r="W90" i="30"/>
  <c r="AF90" i="30" s="1"/>
  <c r="AQ90" i="30" s="1"/>
  <c r="V90" i="30"/>
  <c r="AE90" i="30" s="1"/>
  <c r="BJ89" i="30"/>
  <c r="BI89" i="30"/>
  <c r="AX89" i="30"/>
  <c r="AN89" i="30"/>
  <c r="AM89" i="30"/>
  <c r="W89" i="30"/>
  <c r="AF89" i="30" s="1"/>
  <c r="V89" i="30"/>
  <c r="AE89" i="30" s="1"/>
  <c r="BJ88" i="30"/>
  <c r="BI88" i="30"/>
  <c r="AX88" i="30"/>
  <c r="AN88" i="30"/>
  <c r="AM88" i="30"/>
  <c r="W88" i="30"/>
  <c r="AF88" i="30" s="1"/>
  <c r="V88" i="30"/>
  <c r="AE88" i="30" s="1"/>
  <c r="BJ87" i="30"/>
  <c r="BI87" i="30"/>
  <c r="AX87" i="30"/>
  <c r="AN87" i="30"/>
  <c r="AM87" i="30"/>
  <c r="W87" i="30"/>
  <c r="AF87" i="30" s="1"/>
  <c r="V87" i="30"/>
  <c r="AE87" i="30" s="1"/>
  <c r="BJ86" i="30"/>
  <c r="BI86" i="30"/>
  <c r="AX86" i="30"/>
  <c r="AN86" i="30"/>
  <c r="AM86" i="30"/>
  <c r="W86" i="30"/>
  <c r="V86" i="30"/>
  <c r="BJ84" i="30"/>
  <c r="BI84" i="30"/>
  <c r="AX84" i="30"/>
  <c r="AN84" i="30"/>
  <c r="AM84" i="30"/>
  <c r="W84" i="30"/>
  <c r="AF84" i="30" s="1"/>
  <c r="V84" i="30"/>
  <c r="AE84" i="30" s="1"/>
  <c r="BJ83" i="30"/>
  <c r="BI83" i="30"/>
  <c r="AX83" i="30"/>
  <c r="AN83" i="30"/>
  <c r="AM83" i="30"/>
  <c r="W83" i="30"/>
  <c r="AF83" i="30" s="1"/>
  <c r="V83" i="30"/>
  <c r="AE83" i="30" s="1"/>
  <c r="BJ82" i="30"/>
  <c r="BI82" i="30"/>
  <c r="AX82" i="30"/>
  <c r="AN82" i="30"/>
  <c r="AM82" i="30"/>
  <c r="W82" i="30"/>
  <c r="V82" i="30"/>
  <c r="BJ80" i="30"/>
  <c r="BI80" i="30"/>
  <c r="AX80" i="30"/>
  <c r="AN80" i="30"/>
  <c r="AM80" i="30"/>
  <c r="W80" i="30"/>
  <c r="AF80" i="30" s="1"/>
  <c r="V80" i="30"/>
  <c r="AE80" i="30" s="1"/>
  <c r="BJ79" i="30"/>
  <c r="BI79" i="30"/>
  <c r="AX79" i="30"/>
  <c r="AN79" i="30"/>
  <c r="AM79" i="30"/>
  <c r="W79" i="30"/>
  <c r="AF79" i="30" s="1"/>
  <c r="V79" i="30"/>
  <c r="AE79" i="30" s="1"/>
  <c r="BJ78" i="30"/>
  <c r="BI78" i="30"/>
  <c r="AX78" i="30"/>
  <c r="AN78" i="30"/>
  <c r="AM78" i="30"/>
  <c r="W78" i="30"/>
  <c r="AF78" i="30" s="1"/>
  <c r="V78" i="30"/>
  <c r="AE78" i="30" s="1"/>
  <c r="BJ77" i="30"/>
  <c r="BI77" i="30"/>
  <c r="AX77" i="30"/>
  <c r="AN77" i="30"/>
  <c r="AM77" i="30"/>
  <c r="W77" i="30"/>
  <c r="AF77" i="30" s="1"/>
  <c r="V77" i="30"/>
  <c r="AE77" i="30" s="1"/>
  <c r="BJ76" i="30"/>
  <c r="BI76" i="30"/>
  <c r="AX76" i="30"/>
  <c r="AN76" i="30"/>
  <c r="AM76" i="30"/>
  <c r="W76" i="30"/>
  <c r="V76" i="30"/>
  <c r="BJ74" i="30"/>
  <c r="BI74" i="30"/>
  <c r="AX74" i="30"/>
  <c r="AN74" i="30"/>
  <c r="AM74" i="30"/>
  <c r="W74" i="30"/>
  <c r="AF74" i="30" s="1"/>
  <c r="V74" i="30"/>
  <c r="AE74" i="30" s="1"/>
  <c r="BJ73" i="30"/>
  <c r="BI73" i="30"/>
  <c r="BK73" i="30" s="1"/>
  <c r="AX73" i="30"/>
  <c r="AN73" i="30"/>
  <c r="AM73" i="30"/>
  <c r="W73" i="30"/>
  <c r="AF73" i="30" s="1"/>
  <c r="V73" i="30"/>
  <c r="AE73" i="30" s="1"/>
  <c r="BJ72" i="30"/>
  <c r="BI72" i="30"/>
  <c r="AX72" i="30"/>
  <c r="AN72" i="30"/>
  <c r="AM72" i="30"/>
  <c r="W72" i="30"/>
  <c r="V72" i="30"/>
  <c r="BJ70" i="30"/>
  <c r="BI70" i="30"/>
  <c r="AX70" i="30"/>
  <c r="AN70" i="30"/>
  <c r="AM70" i="30"/>
  <c r="W70" i="30"/>
  <c r="AF70" i="30" s="1"/>
  <c r="V70" i="30"/>
  <c r="AE70" i="30" s="1"/>
  <c r="BJ69" i="30"/>
  <c r="BI69" i="30"/>
  <c r="AX69" i="30"/>
  <c r="AN69" i="30"/>
  <c r="AM69" i="30"/>
  <c r="W69" i="30"/>
  <c r="AF69" i="30" s="1"/>
  <c r="AQ69" i="30" s="1"/>
  <c r="V69" i="30"/>
  <c r="AE69" i="30" s="1"/>
  <c r="BJ68" i="30"/>
  <c r="BI68" i="30"/>
  <c r="AX68" i="30"/>
  <c r="AN68" i="30"/>
  <c r="AM68" i="30"/>
  <c r="W68" i="30"/>
  <c r="AF68" i="30" s="1"/>
  <c r="V68" i="30"/>
  <c r="AE68" i="30" s="1"/>
  <c r="BJ67" i="30"/>
  <c r="BI67" i="30"/>
  <c r="AX67" i="30"/>
  <c r="AN67" i="30"/>
  <c r="AM67" i="30"/>
  <c r="W67" i="30"/>
  <c r="AF67" i="30" s="1"/>
  <c r="V67" i="30"/>
  <c r="AE67" i="30" s="1"/>
  <c r="BJ66" i="30"/>
  <c r="BI66" i="30"/>
  <c r="AX66" i="30"/>
  <c r="AN66" i="30"/>
  <c r="AM66" i="30"/>
  <c r="W66" i="30"/>
  <c r="AF66" i="30" s="1"/>
  <c r="V66" i="30"/>
  <c r="BJ64" i="30"/>
  <c r="BI64" i="30"/>
  <c r="AX64" i="30"/>
  <c r="AN64" i="30"/>
  <c r="AM64" i="30"/>
  <c r="W64" i="30"/>
  <c r="AF64" i="30" s="1"/>
  <c r="V64" i="30"/>
  <c r="AE64" i="30" s="1"/>
  <c r="BJ63" i="30"/>
  <c r="BI63" i="30"/>
  <c r="AX63" i="30"/>
  <c r="AN63" i="30"/>
  <c r="AM63" i="30"/>
  <c r="W63" i="30"/>
  <c r="AF63" i="30" s="1"/>
  <c r="V63" i="30"/>
  <c r="AE63" i="30" s="1"/>
  <c r="BJ62" i="30"/>
  <c r="BI62" i="30"/>
  <c r="AX62" i="30"/>
  <c r="AN62" i="30"/>
  <c r="AM62" i="30"/>
  <c r="W62" i="30"/>
  <c r="V62" i="30"/>
  <c r="BJ60" i="30"/>
  <c r="BI60" i="30"/>
  <c r="AX60" i="30"/>
  <c r="AN60" i="30"/>
  <c r="AM60" i="30"/>
  <c r="W60" i="30"/>
  <c r="AF60" i="30" s="1"/>
  <c r="V60" i="30"/>
  <c r="AE60" i="30" s="1"/>
  <c r="BJ59" i="30"/>
  <c r="BI59" i="30"/>
  <c r="AX59" i="30"/>
  <c r="AN59" i="30"/>
  <c r="AM59" i="30"/>
  <c r="W59" i="30"/>
  <c r="AF59" i="30" s="1"/>
  <c r="V59" i="30"/>
  <c r="AE59" i="30" s="1"/>
  <c r="BJ58" i="30"/>
  <c r="BI58" i="30"/>
  <c r="AX58" i="30"/>
  <c r="AN58" i="30"/>
  <c r="AM58" i="30"/>
  <c r="W58" i="30"/>
  <c r="AF58" i="30" s="1"/>
  <c r="V58" i="30"/>
  <c r="AE58" i="30" s="1"/>
  <c r="BJ57" i="30"/>
  <c r="BI57" i="30"/>
  <c r="AX57" i="30"/>
  <c r="AN57" i="30"/>
  <c r="AM57" i="30"/>
  <c r="W57" i="30"/>
  <c r="AF57" i="30" s="1"/>
  <c r="V57" i="30"/>
  <c r="AE57" i="30" s="1"/>
  <c r="BJ56" i="30"/>
  <c r="BI56" i="30"/>
  <c r="AX56" i="30"/>
  <c r="AN56" i="30"/>
  <c r="AM56" i="30"/>
  <c r="W56" i="30"/>
  <c r="AF56" i="30" s="1"/>
  <c r="V56" i="30"/>
  <c r="AE56" i="30" s="1"/>
  <c r="BJ55" i="30"/>
  <c r="BI55" i="30"/>
  <c r="AX55" i="30"/>
  <c r="AN55" i="30"/>
  <c r="AM55" i="30"/>
  <c r="W55" i="30"/>
  <c r="V55" i="30"/>
  <c r="BJ53" i="30"/>
  <c r="BI53" i="30"/>
  <c r="AX53" i="30"/>
  <c r="AN53" i="30"/>
  <c r="AM53" i="30"/>
  <c r="W53" i="30"/>
  <c r="AF53" i="30" s="1"/>
  <c r="V53" i="30"/>
  <c r="AE53" i="30" s="1"/>
  <c r="BJ52" i="30"/>
  <c r="BI52" i="30"/>
  <c r="AX52" i="30"/>
  <c r="AN52" i="30"/>
  <c r="AM52" i="30"/>
  <c r="W52" i="30"/>
  <c r="AF52" i="30" s="1"/>
  <c r="V52" i="30"/>
  <c r="AE52" i="30" s="1"/>
  <c r="BJ51" i="30"/>
  <c r="BI51" i="30"/>
  <c r="AX51" i="30"/>
  <c r="AN51" i="30"/>
  <c r="AM51" i="30"/>
  <c r="W51" i="30"/>
  <c r="AF51" i="30" s="1"/>
  <c r="V51" i="30"/>
  <c r="AE51" i="30" s="1"/>
  <c r="BJ50" i="30"/>
  <c r="BI50" i="30"/>
  <c r="AX50" i="30"/>
  <c r="AN50" i="30"/>
  <c r="AM50" i="30"/>
  <c r="W50" i="30"/>
  <c r="AF50" i="30" s="1"/>
  <c r="V50" i="30"/>
  <c r="AE50" i="30" s="1"/>
  <c r="BJ49" i="30"/>
  <c r="BI49" i="30"/>
  <c r="AX49" i="30"/>
  <c r="AN49" i="30"/>
  <c r="AM49" i="30"/>
  <c r="W49" i="30"/>
  <c r="V49" i="30"/>
  <c r="BJ47" i="30"/>
  <c r="BI47" i="30"/>
  <c r="AX47" i="30"/>
  <c r="AN47" i="30"/>
  <c r="AM47" i="30"/>
  <c r="W47" i="30"/>
  <c r="AF47" i="30" s="1"/>
  <c r="V47" i="30"/>
  <c r="AE47" i="30" s="1"/>
  <c r="BJ46" i="30"/>
  <c r="BI46" i="30"/>
  <c r="AX46" i="30"/>
  <c r="AN46" i="30"/>
  <c r="AM46" i="30"/>
  <c r="W46" i="30"/>
  <c r="AF46" i="30" s="1"/>
  <c r="V46" i="30"/>
  <c r="AE46" i="30" s="1"/>
  <c r="BJ45" i="30"/>
  <c r="BI45" i="30"/>
  <c r="AX45" i="30"/>
  <c r="AN45" i="30"/>
  <c r="AM45" i="30"/>
  <c r="W45" i="30"/>
  <c r="V45" i="30"/>
  <c r="BJ43" i="30"/>
  <c r="BI43" i="30"/>
  <c r="AX43" i="30"/>
  <c r="AN43" i="30"/>
  <c r="AM43" i="30"/>
  <c r="W43" i="30"/>
  <c r="AF43" i="30" s="1"/>
  <c r="AQ43" i="30" s="1"/>
  <c r="V43" i="30"/>
  <c r="AE43" i="30" s="1"/>
  <c r="BJ42" i="30"/>
  <c r="BI42" i="30"/>
  <c r="AX42" i="30"/>
  <c r="AN42" i="30"/>
  <c r="AM42" i="30"/>
  <c r="W42" i="30"/>
  <c r="AF42" i="30" s="1"/>
  <c r="V42" i="30"/>
  <c r="AE42" i="30" s="1"/>
  <c r="BJ41" i="30"/>
  <c r="BI41" i="30"/>
  <c r="AX41" i="30"/>
  <c r="AN41" i="30"/>
  <c r="AM41" i="30"/>
  <c r="W41" i="30"/>
  <c r="AF41" i="30" s="1"/>
  <c r="V41" i="30"/>
  <c r="AE41" i="30" s="1"/>
  <c r="BJ40" i="30"/>
  <c r="BI40" i="30"/>
  <c r="AX40" i="30"/>
  <c r="AN40" i="30"/>
  <c r="AM40" i="30"/>
  <c r="W40" i="30"/>
  <c r="AF40" i="30" s="1"/>
  <c r="V40" i="30"/>
  <c r="AE40" i="30" s="1"/>
  <c r="BJ39" i="30"/>
  <c r="BI39" i="30"/>
  <c r="AX39" i="30"/>
  <c r="AN39" i="30"/>
  <c r="AM39" i="30"/>
  <c r="W39" i="30"/>
  <c r="AF39" i="30" s="1"/>
  <c r="V39" i="30"/>
  <c r="AE39" i="30" s="1"/>
  <c r="BJ38" i="30"/>
  <c r="BI38" i="30"/>
  <c r="AX38" i="30"/>
  <c r="AN38" i="30"/>
  <c r="AM38" i="30"/>
  <c r="W38" i="30"/>
  <c r="V38" i="30"/>
  <c r="BJ36" i="30"/>
  <c r="BI36" i="30"/>
  <c r="AX36" i="30"/>
  <c r="AN36" i="30"/>
  <c r="AM36" i="30"/>
  <c r="W36" i="30"/>
  <c r="AF36" i="30" s="1"/>
  <c r="V36" i="30"/>
  <c r="AE36" i="30" s="1"/>
  <c r="BJ35" i="30"/>
  <c r="BI35" i="30"/>
  <c r="AX35" i="30"/>
  <c r="AN35" i="30"/>
  <c r="AM35" i="30"/>
  <c r="W35" i="30"/>
  <c r="AF35" i="30" s="1"/>
  <c r="V35" i="30"/>
  <c r="AE35" i="30" s="1"/>
  <c r="BJ34" i="30"/>
  <c r="BI34" i="30"/>
  <c r="AX34" i="30"/>
  <c r="AN34" i="30"/>
  <c r="AM34" i="30"/>
  <c r="W34" i="30"/>
  <c r="AF34" i="30" s="1"/>
  <c r="V34" i="30"/>
  <c r="AE34" i="30" s="1"/>
  <c r="BJ33" i="30"/>
  <c r="BI33" i="30"/>
  <c r="AX33" i="30"/>
  <c r="AN33" i="30"/>
  <c r="AM33" i="30"/>
  <c r="W33" i="30"/>
  <c r="AF33" i="30" s="1"/>
  <c r="V33" i="30"/>
  <c r="AE33" i="30" s="1"/>
  <c r="BJ32" i="30"/>
  <c r="BI32" i="30"/>
  <c r="AX32" i="30"/>
  <c r="AN32" i="30"/>
  <c r="AM32" i="30"/>
  <c r="W32" i="30"/>
  <c r="AF32" i="30" s="1"/>
  <c r="V32" i="30"/>
  <c r="AE32" i="30" s="1"/>
  <c r="BJ31" i="30"/>
  <c r="BI31" i="30"/>
  <c r="AX31" i="30"/>
  <c r="AN31" i="30"/>
  <c r="AM31" i="30"/>
  <c r="W31" i="30"/>
  <c r="AF31" i="30" s="1"/>
  <c r="AQ31" i="30" s="1"/>
  <c r="V31" i="30"/>
  <c r="BJ29" i="30"/>
  <c r="BJ30" i="30" s="1"/>
  <c r="BI29" i="30"/>
  <c r="BI30" i="30" s="1"/>
  <c r="AX29" i="30"/>
  <c r="AX30" i="30" s="1"/>
  <c r="AN29" i="30"/>
  <c r="AN30" i="30" s="1"/>
  <c r="AM29" i="30"/>
  <c r="AM30" i="30" s="1"/>
  <c r="W29" i="30"/>
  <c r="V29" i="30"/>
  <c r="BJ27" i="30"/>
  <c r="BI27" i="30"/>
  <c r="AX27" i="30"/>
  <c r="AN27" i="30"/>
  <c r="AM27" i="30"/>
  <c r="W27" i="30"/>
  <c r="AF27" i="30" s="1"/>
  <c r="V27" i="30"/>
  <c r="AE27" i="30" s="1"/>
  <c r="BJ26" i="30"/>
  <c r="BI26" i="30"/>
  <c r="AX26" i="30"/>
  <c r="AN26" i="30"/>
  <c r="AM26" i="30"/>
  <c r="W26" i="30"/>
  <c r="AF26" i="30" s="1"/>
  <c r="V26" i="30"/>
  <c r="AE26" i="30" s="1"/>
  <c r="BJ25" i="30"/>
  <c r="BI25" i="30"/>
  <c r="AX25" i="30"/>
  <c r="AN25" i="30"/>
  <c r="AM25" i="30"/>
  <c r="W25" i="30"/>
  <c r="AF25" i="30" s="1"/>
  <c r="V25" i="30"/>
  <c r="AE25" i="30" s="1"/>
  <c r="BJ24" i="30"/>
  <c r="BI24" i="30"/>
  <c r="AX24" i="30"/>
  <c r="AN24" i="30"/>
  <c r="AM24" i="30"/>
  <c r="W24" i="30"/>
  <c r="V24" i="30"/>
  <c r="BJ22" i="30"/>
  <c r="BI22" i="30"/>
  <c r="AX22" i="30"/>
  <c r="AN22" i="30"/>
  <c r="AM22" i="30"/>
  <c r="W22" i="30"/>
  <c r="AF22" i="30" s="1"/>
  <c r="AQ22" i="30" s="1"/>
  <c r="V22" i="30"/>
  <c r="AE22" i="30" s="1"/>
  <c r="BJ21" i="30"/>
  <c r="BI21" i="30"/>
  <c r="AX21" i="30"/>
  <c r="AN21" i="30"/>
  <c r="AM21" i="30"/>
  <c r="W21" i="30"/>
  <c r="AF21" i="30" s="1"/>
  <c r="V21" i="30"/>
  <c r="AE21" i="30" s="1"/>
  <c r="BJ20" i="30"/>
  <c r="BI20" i="30"/>
  <c r="AX20" i="30"/>
  <c r="AN20" i="30"/>
  <c r="AM20" i="30"/>
  <c r="W20" i="30"/>
  <c r="AF20" i="30" s="1"/>
  <c r="V20" i="30"/>
  <c r="AE20" i="30" s="1"/>
  <c r="BJ19" i="30"/>
  <c r="BI19" i="30"/>
  <c r="AX19" i="30"/>
  <c r="AN19" i="30"/>
  <c r="AM19" i="30"/>
  <c r="W19" i="30"/>
  <c r="AF19" i="30" s="1"/>
  <c r="AQ19" i="30" s="1"/>
  <c r="V19" i="30"/>
  <c r="AE19" i="30" s="1"/>
  <c r="BJ18" i="30"/>
  <c r="BI18" i="30"/>
  <c r="AX18" i="30"/>
  <c r="AN18" i="30"/>
  <c r="AM18" i="30"/>
  <c r="W18" i="30"/>
  <c r="V18" i="30"/>
  <c r="BJ16" i="30"/>
  <c r="BJ17" i="30" s="1"/>
  <c r="BI16" i="30"/>
  <c r="BI17" i="30" s="1"/>
  <c r="AX16" i="30"/>
  <c r="AX17" i="30" s="1"/>
  <c r="AN16" i="30"/>
  <c r="AN17" i="30" s="1"/>
  <c r="AM16" i="30"/>
  <c r="AM17" i="30" s="1"/>
  <c r="W16" i="30"/>
  <c r="V16" i="30"/>
  <c r="BJ14" i="30"/>
  <c r="BI14" i="30"/>
  <c r="AX14" i="30"/>
  <c r="AN14" i="30"/>
  <c r="AM14" i="30"/>
  <c r="W14" i="30"/>
  <c r="AF14" i="30" s="1"/>
  <c r="V14" i="30"/>
  <c r="AE14" i="30" s="1"/>
  <c r="BJ13" i="30"/>
  <c r="BI13" i="30"/>
  <c r="AX13" i="30"/>
  <c r="AN13" i="30"/>
  <c r="AM13" i="30"/>
  <c r="W13" i="30"/>
  <c r="AF13" i="30" s="1"/>
  <c r="V13" i="30"/>
  <c r="AE13" i="30" s="1"/>
  <c r="BJ72" i="31"/>
  <c r="BI72" i="31"/>
  <c r="AX72" i="31"/>
  <c r="AN72" i="31"/>
  <c r="AM72" i="31"/>
  <c r="AO72" i="31" s="1"/>
  <c r="W72" i="31"/>
  <c r="AF72" i="31" s="1"/>
  <c r="AQ72" i="31" s="1"/>
  <c r="V72" i="31"/>
  <c r="AE72" i="31" s="1"/>
  <c r="BJ71" i="31"/>
  <c r="BI71" i="31"/>
  <c r="AX71" i="31"/>
  <c r="AN71" i="31"/>
  <c r="AM71" i="31"/>
  <c r="W71" i="31"/>
  <c r="AF71" i="31" s="1"/>
  <c r="V71" i="31"/>
  <c r="AE71" i="31" s="1"/>
  <c r="BJ70" i="31"/>
  <c r="BK70" i="31" s="1"/>
  <c r="BI70" i="31"/>
  <c r="AX70" i="31"/>
  <c r="AN70" i="31"/>
  <c r="AM70" i="31"/>
  <c r="W70" i="31"/>
  <c r="AF70" i="31" s="1"/>
  <c r="V70" i="31"/>
  <c r="AE70" i="31" s="1"/>
  <c r="BJ69" i="31"/>
  <c r="BI69" i="31"/>
  <c r="AX69" i="31"/>
  <c r="AN69" i="31"/>
  <c r="AM69" i="31"/>
  <c r="W69" i="31"/>
  <c r="AF69" i="31" s="1"/>
  <c r="V69" i="31"/>
  <c r="AE69" i="31" s="1"/>
  <c r="BJ68" i="31"/>
  <c r="BI68" i="31"/>
  <c r="AX68" i="31"/>
  <c r="AN68" i="31"/>
  <c r="AM68" i="31"/>
  <c r="W68" i="31"/>
  <c r="AF68" i="31" s="1"/>
  <c r="V68" i="31"/>
  <c r="AE68" i="31" s="1"/>
  <c r="BJ66" i="31"/>
  <c r="BI66" i="31"/>
  <c r="AX66" i="31"/>
  <c r="AN66" i="31"/>
  <c r="AM66" i="31"/>
  <c r="W66" i="31"/>
  <c r="AF66" i="31" s="1"/>
  <c r="V66" i="31"/>
  <c r="AE66" i="31" s="1"/>
  <c r="BJ65" i="31"/>
  <c r="BJ67" i="31" s="1"/>
  <c r="BI65" i="31"/>
  <c r="AX65" i="31"/>
  <c r="AN65" i="31"/>
  <c r="AM65" i="31"/>
  <c r="AM67" i="31" s="1"/>
  <c r="W65" i="31"/>
  <c r="AF65" i="31" s="1"/>
  <c r="V65" i="31"/>
  <c r="AE65" i="31" s="1"/>
  <c r="BJ63" i="31"/>
  <c r="BI63" i="31"/>
  <c r="AX63" i="31"/>
  <c r="AN63" i="31"/>
  <c r="AM63" i="31"/>
  <c r="W63" i="31"/>
  <c r="AF63" i="31" s="1"/>
  <c r="V63" i="31"/>
  <c r="AE63" i="31" s="1"/>
  <c r="BJ62" i="31"/>
  <c r="BI62" i="31"/>
  <c r="AX62" i="31"/>
  <c r="AN62" i="31"/>
  <c r="AM62" i="31"/>
  <c r="AO62" i="31" s="1"/>
  <c r="W62" i="31"/>
  <c r="AF62" i="31" s="1"/>
  <c r="AQ62" i="31" s="1"/>
  <c r="V62" i="31"/>
  <c r="AE62" i="31" s="1"/>
  <c r="BJ61" i="31"/>
  <c r="BI61" i="31"/>
  <c r="AX61" i="31"/>
  <c r="AN61" i="31"/>
  <c r="AM61" i="31"/>
  <c r="W61" i="31"/>
  <c r="AF61" i="31" s="1"/>
  <c r="V61" i="31"/>
  <c r="AE61" i="31" s="1"/>
  <c r="BJ60" i="31"/>
  <c r="BI60" i="31"/>
  <c r="AX60" i="31"/>
  <c r="AN60" i="31"/>
  <c r="AM60" i="31"/>
  <c r="W60" i="31"/>
  <c r="AF60" i="31" s="1"/>
  <c r="V60" i="31"/>
  <c r="AE60" i="31" s="1"/>
  <c r="BJ59" i="31"/>
  <c r="BI59" i="31"/>
  <c r="AX59" i="31"/>
  <c r="AN59" i="31"/>
  <c r="AM59" i="31"/>
  <c r="W59" i="31"/>
  <c r="AF59" i="31" s="1"/>
  <c r="V59" i="31"/>
  <c r="AE59" i="31" s="1"/>
  <c r="BJ58" i="31"/>
  <c r="BI58" i="31"/>
  <c r="AX58" i="31"/>
  <c r="AN58" i="31"/>
  <c r="AM58" i="31"/>
  <c r="W58" i="31"/>
  <c r="AF58" i="31" s="1"/>
  <c r="V58" i="31"/>
  <c r="AE58" i="31" s="1"/>
  <c r="BJ56" i="31"/>
  <c r="BI56" i="31"/>
  <c r="AX56" i="31"/>
  <c r="AN56" i="31"/>
  <c r="AM56" i="31"/>
  <c r="W56" i="31"/>
  <c r="AF56" i="31" s="1"/>
  <c r="V56" i="31"/>
  <c r="AE56" i="31" s="1"/>
  <c r="BJ55" i="31"/>
  <c r="BI55" i="31"/>
  <c r="AX55" i="31"/>
  <c r="AN55" i="31"/>
  <c r="AM55" i="31"/>
  <c r="W55" i="31"/>
  <c r="AF55" i="31" s="1"/>
  <c r="V55" i="31"/>
  <c r="AE55" i="31" s="1"/>
  <c r="BJ54" i="31"/>
  <c r="BI54" i="31"/>
  <c r="AX54" i="31"/>
  <c r="AN54" i="31"/>
  <c r="AM54" i="31"/>
  <c r="AO54" i="31" s="1"/>
  <c r="W54" i="31"/>
  <c r="AF54" i="31" s="1"/>
  <c r="V54" i="31"/>
  <c r="AE54" i="31" s="1"/>
  <c r="BJ53" i="31"/>
  <c r="BI53" i="31"/>
  <c r="AX53" i="31"/>
  <c r="AN53" i="31"/>
  <c r="AM53" i="31"/>
  <c r="W53" i="31"/>
  <c r="AF53" i="31" s="1"/>
  <c r="V53" i="31"/>
  <c r="AE53" i="31" s="1"/>
  <c r="BJ51" i="31"/>
  <c r="BI51" i="31"/>
  <c r="AX51" i="31"/>
  <c r="AN51" i="31"/>
  <c r="AM51" i="31"/>
  <c r="W51" i="31"/>
  <c r="V51" i="31"/>
  <c r="AE51" i="31" s="1"/>
  <c r="BJ50" i="31"/>
  <c r="BI50" i="31"/>
  <c r="AX50" i="31"/>
  <c r="AN50" i="31"/>
  <c r="AM50" i="31"/>
  <c r="W50" i="31"/>
  <c r="V50" i="31"/>
  <c r="AE50" i="31" s="1"/>
  <c r="BJ49" i="31"/>
  <c r="BI49" i="31"/>
  <c r="BI52" i="31" s="1"/>
  <c r="AX49" i="31"/>
  <c r="AN49" i="31"/>
  <c r="AM49" i="31"/>
  <c r="W49" i="31"/>
  <c r="AF49" i="31" s="1"/>
  <c r="AF52" i="31" s="1"/>
  <c r="V49" i="31"/>
  <c r="AE49" i="31" s="1"/>
  <c r="BJ47" i="31"/>
  <c r="BI47" i="31"/>
  <c r="AX47" i="31"/>
  <c r="AN47" i="31"/>
  <c r="AM47" i="31"/>
  <c r="W47" i="31"/>
  <c r="AF47" i="31" s="1"/>
  <c r="AQ47" i="31" s="1"/>
  <c r="V47" i="31"/>
  <c r="AE47" i="31" s="1"/>
  <c r="BJ46" i="31"/>
  <c r="BI46" i="31"/>
  <c r="AX46" i="31"/>
  <c r="AN46" i="31"/>
  <c r="AM46" i="31"/>
  <c r="W46" i="31"/>
  <c r="AF46" i="31" s="1"/>
  <c r="V46" i="31"/>
  <c r="AE46" i="31" s="1"/>
  <c r="BJ45" i="31"/>
  <c r="BI45" i="31"/>
  <c r="AX45" i="31"/>
  <c r="AN45" i="31"/>
  <c r="AM45" i="31"/>
  <c r="W45" i="31"/>
  <c r="AF45" i="31" s="1"/>
  <c r="V45" i="31"/>
  <c r="AE45" i="31" s="1"/>
  <c r="BJ44" i="31"/>
  <c r="BI44" i="31"/>
  <c r="AX44" i="31"/>
  <c r="AN44" i="31"/>
  <c r="AM44" i="31"/>
  <c r="W44" i="31"/>
  <c r="AF44" i="31" s="1"/>
  <c r="V44" i="31"/>
  <c r="AE44" i="31" s="1"/>
  <c r="BJ42" i="31"/>
  <c r="BI42" i="31"/>
  <c r="AX42" i="31"/>
  <c r="AN42" i="31"/>
  <c r="AM42" i="31"/>
  <c r="W42" i="31"/>
  <c r="AF42" i="31" s="1"/>
  <c r="AQ42" i="31" s="1"/>
  <c r="V42" i="31"/>
  <c r="AE42" i="31" s="1"/>
  <c r="BJ41" i="31"/>
  <c r="BI41" i="31"/>
  <c r="AX41" i="31"/>
  <c r="AN41" i="31"/>
  <c r="AM41" i="31"/>
  <c r="AM43" i="31" s="1"/>
  <c r="W41" i="31"/>
  <c r="AF41" i="31" s="1"/>
  <c r="V41" i="31"/>
  <c r="AE41" i="31" s="1"/>
  <c r="BJ39" i="31"/>
  <c r="BJ40" i="31" s="1"/>
  <c r="BI39" i="31"/>
  <c r="AX39" i="31"/>
  <c r="AX40" i="31" s="1"/>
  <c r="AN39" i="31"/>
  <c r="AN40" i="31" s="1"/>
  <c r="AM39" i="31"/>
  <c r="AM40" i="31" s="1"/>
  <c r="W39" i="31"/>
  <c r="AF39" i="31" s="1"/>
  <c r="AF40" i="31" s="1"/>
  <c r="V39" i="31"/>
  <c r="AE39" i="31" s="1"/>
  <c r="AE40" i="31" s="1"/>
  <c r="BJ37" i="31"/>
  <c r="BI37" i="31"/>
  <c r="AX37" i="31"/>
  <c r="AN37" i="31"/>
  <c r="AM37" i="31"/>
  <c r="W37" i="31"/>
  <c r="AF37" i="31" s="1"/>
  <c r="V37" i="31"/>
  <c r="AE37" i="31" s="1"/>
  <c r="BJ36" i="31"/>
  <c r="BI36" i="31"/>
  <c r="AX36" i="31"/>
  <c r="AN36" i="31"/>
  <c r="AM36" i="31"/>
  <c r="W36" i="31"/>
  <c r="AF36" i="31" s="1"/>
  <c r="V36" i="31"/>
  <c r="AE36" i="31" s="1"/>
  <c r="BJ35" i="31"/>
  <c r="BI35" i="31"/>
  <c r="AX35" i="31"/>
  <c r="AN35" i="31"/>
  <c r="AM35" i="31"/>
  <c r="W35" i="31"/>
  <c r="AF35" i="31" s="1"/>
  <c r="V35" i="31"/>
  <c r="AE35" i="31" s="1"/>
  <c r="BJ34" i="31"/>
  <c r="BI34" i="31"/>
  <c r="AX34" i="31"/>
  <c r="AN34" i="31"/>
  <c r="AM34" i="31"/>
  <c r="W34" i="31"/>
  <c r="AF34" i="31" s="1"/>
  <c r="V34" i="31"/>
  <c r="AE34" i="31" s="1"/>
  <c r="BJ33" i="31"/>
  <c r="BI33" i="31"/>
  <c r="AX33" i="31"/>
  <c r="AN33" i="31"/>
  <c r="AM33" i="31"/>
  <c r="AO33" i="31" s="1"/>
  <c r="W33" i="31"/>
  <c r="AF33" i="31" s="1"/>
  <c r="AQ33" i="31" s="1"/>
  <c r="V33" i="31"/>
  <c r="AE33" i="31" s="1"/>
  <c r="BJ31" i="31"/>
  <c r="BI31" i="31"/>
  <c r="AX31" i="31"/>
  <c r="AN31" i="31"/>
  <c r="AM31" i="31"/>
  <c r="W31" i="31"/>
  <c r="AF31" i="31" s="1"/>
  <c r="AQ31" i="31" s="1"/>
  <c r="V31" i="31"/>
  <c r="AE31" i="31" s="1"/>
  <c r="BJ30" i="31"/>
  <c r="BI30" i="31"/>
  <c r="AX30" i="31"/>
  <c r="AN30" i="31"/>
  <c r="AM30" i="31"/>
  <c r="W30" i="31"/>
  <c r="AF30" i="31" s="1"/>
  <c r="AQ30" i="31" s="1"/>
  <c r="V30" i="31"/>
  <c r="AE30" i="31" s="1"/>
  <c r="BJ29" i="31"/>
  <c r="BI29" i="31"/>
  <c r="AX29" i="31"/>
  <c r="AN29" i="31"/>
  <c r="AM29" i="31"/>
  <c r="W29" i="31"/>
  <c r="AF29" i="31" s="1"/>
  <c r="V29" i="31"/>
  <c r="AE29" i="31" s="1"/>
  <c r="BJ28" i="31"/>
  <c r="BI28" i="31"/>
  <c r="AX28" i="31"/>
  <c r="AN28" i="31"/>
  <c r="AM28" i="31"/>
  <c r="W28" i="31"/>
  <c r="AF28" i="31" s="1"/>
  <c r="V28" i="31"/>
  <c r="AE28" i="31" s="1"/>
  <c r="BJ27" i="31"/>
  <c r="BI27" i="31"/>
  <c r="AX27" i="31"/>
  <c r="AN27" i="31"/>
  <c r="AM27" i="31"/>
  <c r="W27" i="31"/>
  <c r="AF27" i="31" s="1"/>
  <c r="V27" i="31"/>
  <c r="AE27" i="31" s="1"/>
  <c r="BJ26" i="31"/>
  <c r="BI26" i="31"/>
  <c r="BK26" i="31" s="1"/>
  <c r="AX26" i="31"/>
  <c r="AN26" i="31"/>
  <c r="AM26" i="31"/>
  <c r="W26" i="31"/>
  <c r="V26" i="31"/>
  <c r="AE26" i="31" s="1"/>
  <c r="BJ24" i="31"/>
  <c r="BJ25" i="31" s="1"/>
  <c r="BI24" i="31"/>
  <c r="AX24" i="31"/>
  <c r="AX25" i="31" s="1"/>
  <c r="AN24" i="31"/>
  <c r="AM24" i="31"/>
  <c r="AM25" i="31" s="1"/>
  <c r="W24" i="31"/>
  <c r="W25" i="31" s="1"/>
  <c r="V24" i="31"/>
  <c r="AE24" i="31" s="1"/>
  <c r="AE25" i="31" s="1"/>
  <c r="BJ22" i="31"/>
  <c r="BI22" i="31"/>
  <c r="AX22" i="31"/>
  <c r="AN22" i="31"/>
  <c r="AM22" i="31"/>
  <c r="W22" i="31"/>
  <c r="AF22" i="31" s="1"/>
  <c r="V22" i="31"/>
  <c r="AE22" i="31" s="1"/>
  <c r="BJ21" i="31"/>
  <c r="BI21" i="31"/>
  <c r="AX21" i="31"/>
  <c r="AN21" i="31"/>
  <c r="AM21" i="31"/>
  <c r="W21" i="31"/>
  <c r="AF21" i="31" s="1"/>
  <c r="V21" i="31"/>
  <c r="AE21" i="31" s="1"/>
  <c r="BJ20" i="31"/>
  <c r="BI20" i="31"/>
  <c r="BK20" i="31" s="1"/>
  <c r="AX20" i="31"/>
  <c r="AN20" i="31"/>
  <c r="AM20" i="31"/>
  <c r="W20" i="31"/>
  <c r="AF20" i="31" s="1"/>
  <c r="V20" i="31"/>
  <c r="AE20" i="31" s="1"/>
  <c r="BJ18" i="31"/>
  <c r="BI18" i="31"/>
  <c r="AX18" i="31"/>
  <c r="AN18" i="31"/>
  <c r="AM18" i="31"/>
  <c r="W18" i="31"/>
  <c r="AF18" i="31" s="1"/>
  <c r="V18" i="31"/>
  <c r="AE18" i="31" s="1"/>
  <c r="BJ17" i="31"/>
  <c r="BI17" i="31"/>
  <c r="BK17" i="31" s="1"/>
  <c r="AX17" i="31"/>
  <c r="AN17" i="31"/>
  <c r="AM17" i="31"/>
  <c r="W17" i="31"/>
  <c r="AF17" i="31" s="1"/>
  <c r="V17" i="31"/>
  <c r="AE17" i="31" s="1"/>
  <c r="BJ16" i="31"/>
  <c r="BI16" i="31"/>
  <c r="BK16" i="31" s="1"/>
  <c r="AX16" i="31"/>
  <c r="AX19" i="31" s="1"/>
  <c r="AN16" i="31"/>
  <c r="AM16" i="31"/>
  <c r="W16" i="31"/>
  <c r="V16" i="31"/>
  <c r="AE16" i="31" s="1"/>
  <c r="BJ14" i="31"/>
  <c r="BI14" i="31"/>
  <c r="AX14" i="31"/>
  <c r="AN14" i="31"/>
  <c r="AO14" i="31" s="1"/>
  <c r="AM14" i="31"/>
  <c r="W14" i="31"/>
  <c r="AF14" i="31" s="1"/>
  <c r="V14" i="31"/>
  <c r="AE14" i="31" s="1"/>
  <c r="BJ13" i="31"/>
  <c r="BI13" i="31"/>
  <c r="BK13" i="31" s="1"/>
  <c r="AX13" i="31"/>
  <c r="AN13" i="31"/>
  <c r="AM13" i="31"/>
  <c r="W13" i="31"/>
  <c r="AF13" i="31" s="1"/>
  <c r="V13" i="31"/>
  <c r="AE13" i="31" s="1"/>
  <c r="BJ292" i="32"/>
  <c r="BJ293" i="32" s="1"/>
  <c r="BI292" i="32"/>
  <c r="BI293" i="32" s="1"/>
  <c r="AX292" i="32"/>
  <c r="AX293" i="32" s="1"/>
  <c r="AN292" i="32"/>
  <c r="AN293" i="32" s="1"/>
  <c r="AM292" i="32"/>
  <c r="W292" i="32"/>
  <c r="V292" i="32"/>
  <c r="BJ290" i="32"/>
  <c r="BI290" i="32"/>
  <c r="AX290" i="32"/>
  <c r="AN290" i="32"/>
  <c r="AM290" i="32"/>
  <c r="W290" i="32"/>
  <c r="AF290" i="32" s="1"/>
  <c r="V290" i="32"/>
  <c r="AE290" i="32" s="1"/>
  <c r="BJ289" i="32"/>
  <c r="BI289" i="32"/>
  <c r="AX289" i="32"/>
  <c r="AN289" i="32"/>
  <c r="AM289" i="32"/>
  <c r="W289" i="32"/>
  <c r="AF289" i="32" s="1"/>
  <c r="V289" i="32"/>
  <c r="AE289" i="32" s="1"/>
  <c r="BJ288" i="32"/>
  <c r="BI288" i="32"/>
  <c r="AX288" i="32"/>
  <c r="AN288" i="32"/>
  <c r="AM288" i="32"/>
  <c r="W288" i="32"/>
  <c r="AF288" i="32" s="1"/>
  <c r="V288" i="32"/>
  <c r="AE288" i="32" s="1"/>
  <c r="BJ287" i="32"/>
  <c r="BI287" i="32"/>
  <c r="AX287" i="32"/>
  <c r="AN287" i="32"/>
  <c r="AM287" i="32"/>
  <c r="W287" i="32"/>
  <c r="AF287" i="32" s="1"/>
  <c r="V287" i="32"/>
  <c r="AE287" i="32" s="1"/>
  <c r="BJ286" i="32"/>
  <c r="BI286" i="32"/>
  <c r="AX286" i="32"/>
  <c r="AN286" i="32"/>
  <c r="AM286" i="32"/>
  <c r="W286" i="32"/>
  <c r="AF286" i="32" s="1"/>
  <c r="V286" i="32"/>
  <c r="AE286" i="32" s="1"/>
  <c r="BJ285" i="32"/>
  <c r="BI285" i="32"/>
  <c r="AX285" i="32"/>
  <c r="AN285" i="32"/>
  <c r="AM285" i="32"/>
  <c r="W285" i="32"/>
  <c r="V285" i="32"/>
  <c r="BJ283" i="32"/>
  <c r="BI283" i="32"/>
  <c r="AX283" i="32"/>
  <c r="AN283" i="32"/>
  <c r="AM283" i="32"/>
  <c r="W283" i="32"/>
  <c r="AF283" i="32" s="1"/>
  <c r="V283" i="32"/>
  <c r="AE283" i="32" s="1"/>
  <c r="BJ282" i="32"/>
  <c r="BI282" i="32"/>
  <c r="AX282" i="32"/>
  <c r="AN282" i="32"/>
  <c r="AM282" i="32"/>
  <c r="W282" i="32"/>
  <c r="AF282" i="32" s="1"/>
  <c r="V282" i="32"/>
  <c r="AE282" i="32" s="1"/>
  <c r="BJ281" i="32"/>
  <c r="BI281" i="32"/>
  <c r="AX281" i="32"/>
  <c r="AN281" i="32"/>
  <c r="AM281" i="32"/>
  <c r="W281" i="32"/>
  <c r="AF281" i="32" s="1"/>
  <c r="V281" i="32"/>
  <c r="AE281" i="32" s="1"/>
  <c r="BJ280" i="32"/>
  <c r="BI280" i="32"/>
  <c r="AX280" i="32"/>
  <c r="AN280" i="32"/>
  <c r="AM280" i="32"/>
  <c r="W280" i="32"/>
  <c r="AF280" i="32" s="1"/>
  <c r="V280" i="32"/>
  <c r="AE280" i="32" s="1"/>
  <c r="BJ279" i="32"/>
  <c r="BI279" i="32"/>
  <c r="AX279" i="32"/>
  <c r="AN279" i="32"/>
  <c r="AM279" i="32"/>
  <c r="W279" i="32"/>
  <c r="AF279" i="32" s="1"/>
  <c r="V279" i="32"/>
  <c r="AE279" i="32" s="1"/>
  <c r="BJ278" i="32"/>
  <c r="BI278" i="32"/>
  <c r="AX278" i="32"/>
  <c r="AN278" i="32"/>
  <c r="AM278" i="32"/>
  <c r="W278" i="32"/>
  <c r="V278" i="32"/>
  <c r="BJ276" i="32"/>
  <c r="BI276" i="32"/>
  <c r="AX276" i="32"/>
  <c r="AN276" i="32"/>
  <c r="AM276" i="32"/>
  <c r="W276" i="32"/>
  <c r="AF276" i="32" s="1"/>
  <c r="V276" i="32"/>
  <c r="AE276" i="32" s="1"/>
  <c r="BJ275" i="32"/>
  <c r="BI275" i="32"/>
  <c r="AX275" i="32"/>
  <c r="AN275" i="32"/>
  <c r="AM275" i="32"/>
  <c r="W275" i="32"/>
  <c r="AF275" i="32" s="1"/>
  <c r="V275" i="32"/>
  <c r="AE275" i="32" s="1"/>
  <c r="BJ274" i="32"/>
  <c r="BI274" i="32"/>
  <c r="AX274" i="32"/>
  <c r="AN274" i="32"/>
  <c r="AM274" i="32"/>
  <c r="W274" i="32"/>
  <c r="AF274" i="32" s="1"/>
  <c r="V274" i="32"/>
  <c r="AE274" i="32" s="1"/>
  <c r="BJ273" i="32"/>
  <c r="BI273" i="32"/>
  <c r="AX273" i="32"/>
  <c r="AN273" i="32"/>
  <c r="AM273" i="32"/>
  <c r="W273" i="32"/>
  <c r="AF273" i="32" s="1"/>
  <c r="V273" i="32"/>
  <c r="AE273" i="32" s="1"/>
  <c r="BJ272" i="32"/>
  <c r="BI272" i="32"/>
  <c r="AX272" i="32"/>
  <c r="AN272" i="32"/>
  <c r="AM272" i="32"/>
  <c r="W272" i="32"/>
  <c r="AF272" i="32" s="1"/>
  <c r="V272" i="32"/>
  <c r="AE272" i="32" s="1"/>
  <c r="BJ271" i="32"/>
  <c r="BI271" i="32"/>
  <c r="AX271" i="32"/>
  <c r="AN271" i="32"/>
  <c r="AM271" i="32"/>
  <c r="W271" i="32"/>
  <c r="V271" i="32"/>
  <c r="BJ269" i="32"/>
  <c r="BI269" i="32"/>
  <c r="AX269" i="32"/>
  <c r="AN269" i="32"/>
  <c r="AM269" i="32"/>
  <c r="W269" i="32"/>
  <c r="AF269" i="32" s="1"/>
  <c r="V269" i="32"/>
  <c r="AE269" i="32" s="1"/>
  <c r="BJ268" i="32"/>
  <c r="BI268" i="32"/>
  <c r="AX268" i="32"/>
  <c r="AN268" i="32"/>
  <c r="AM268" i="32"/>
  <c r="W268" i="32"/>
  <c r="AF268" i="32" s="1"/>
  <c r="V268" i="32"/>
  <c r="AE268" i="32" s="1"/>
  <c r="BJ267" i="32"/>
  <c r="BI267" i="32"/>
  <c r="AX267" i="32"/>
  <c r="AN267" i="32"/>
  <c r="AM267" i="32"/>
  <c r="W267" i="32"/>
  <c r="AF267" i="32" s="1"/>
  <c r="V267" i="32"/>
  <c r="AE267" i="32" s="1"/>
  <c r="BJ266" i="32"/>
  <c r="BI266" i="32"/>
  <c r="AX266" i="32"/>
  <c r="AN266" i="32"/>
  <c r="AM266" i="32"/>
  <c r="W266" i="32"/>
  <c r="AF266" i="32" s="1"/>
  <c r="V266" i="32"/>
  <c r="AE266" i="32" s="1"/>
  <c r="BJ265" i="32"/>
  <c r="BI265" i="32"/>
  <c r="AX265" i="32"/>
  <c r="AN265" i="32"/>
  <c r="AM265" i="32"/>
  <c r="W265" i="32"/>
  <c r="AF265" i="32" s="1"/>
  <c r="V265" i="32"/>
  <c r="AE265" i="32" s="1"/>
  <c r="BJ264" i="32"/>
  <c r="BI264" i="32"/>
  <c r="AX264" i="32"/>
  <c r="AN264" i="32"/>
  <c r="AM264" i="32"/>
  <c r="W264" i="32"/>
  <c r="V264" i="32"/>
  <c r="BJ262" i="32"/>
  <c r="BI262" i="32"/>
  <c r="AX262" i="32"/>
  <c r="AN262" i="32"/>
  <c r="AM262" i="32"/>
  <c r="W262" i="32"/>
  <c r="AF262" i="32" s="1"/>
  <c r="V262" i="32"/>
  <c r="AE262" i="32" s="1"/>
  <c r="BJ261" i="32"/>
  <c r="BI261" i="32"/>
  <c r="AX261" i="32"/>
  <c r="AN261" i="32"/>
  <c r="AO261" i="32" s="1"/>
  <c r="AM261" i="32"/>
  <c r="W261" i="32"/>
  <c r="AF261" i="32" s="1"/>
  <c r="V261" i="32"/>
  <c r="AE261" i="32" s="1"/>
  <c r="BJ260" i="32"/>
  <c r="BI260" i="32"/>
  <c r="AX260" i="32"/>
  <c r="AN260" i="32"/>
  <c r="AM260" i="32"/>
  <c r="W260" i="32"/>
  <c r="AF260" i="32" s="1"/>
  <c r="V260" i="32"/>
  <c r="AE260" i="32" s="1"/>
  <c r="BJ259" i="32"/>
  <c r="BI259" i="32"/>
  <c r="AX259" i="32"/>
  <c r="AN259" i="32"/>
  <c r="AM259" i="32"/>
  <c r="W259" i="32"/>
  <c r="AF259" i="32" s="1"/>
  <c r="V259" i="32"/>
  <c r="AE259" i="32" s="1"/>
  <c r="BJ258" i="32"/>
  <c r="BI258" i="32"/>
  <c r="AX258" i="32"/>
  <c r="AN258" i="32"/>
  <c r="AM258" i="32"/>
  <c r="W258" i="32"/>
  <c r="AF258" i="32" s="1"/>
  <c r="V258" i="32"/>
  <c r="AE258" i="32" s="1"/>
  <c r="BJ257" i="32"/>
  <c r="BI257" i="32"/>
  <c r="AX257" i="32"/>
  <c r="AN257" i="32"/>
  <c r="AM257" i="32"/>
  <c r="W257" i="32"/>
  <c r="V257" i="32"/>
  <c r="BJ255" i="32"/>
  <c r="BI255" i="32"/>
  <c r="AX255" i="32"/>
  <c r="AN255" i="32"/>
  <c r="AM255" i="32"/>
  <c r="W255" i="32"/>
  <c r="AF255" i="32" s="1"/>
  <c r="V255" i="32"/>
  <c r="AE255" i="32" s="1"/>
  <c r="BJ254" i="32"/>
  <c r="BI254" i="32"/>
  <c r="AX254" i="32"/>
  <c r="AN254" i="32"/>
  <c r="AM254" i="32"/>
  <c r="W254" i="32"/>
  <c r="AF254" i="32" s="1"/>
  <c r="V254" i="32"/>
  <c r="AE254" i="32" s="1"/>
  <c r="BJ253" i="32"/>
  <c r="BI253" i="32"/>
  <c r="AX253" i="32"/>
  <c r="AN253" i="32"/>
  <c r="AM253" i="32"/>
  <c r="W253" i="32"/>
  <c r="AF253" i="32" s="1"/>
  <c r="V253" i="32"/>
  <c r="AE253" i="32" s="1"/>
  <c r="BJ252" i="32"/>
  <c r="BI252" i="32"/>
  <c r="AX252" i="32"/>
  <c r="AN252" i="32"/>
  <c r="AM252" i="32"/>
  <c r="W252" i="32"/>
  <c r="AF252" i="32" s="1"/>
  <c r="V252" i="32"/>
  <c r="AE252" i="32" s="1"/>
  <c r="BJ251" i="32"/>
  <c r="BI251" i="32"/>
  <c r="AX251" i="32"/>
  <c r="AN251" i="32"/>
  <c r="AM251" i="32"/>
  <c r="W251" i="32"/>
  <c r="AF251" i="32" s="1"/>
  <c r="V251" i="32"/>
  <c r="AE251" i="32" s="1"/>
  <c r="BJ250" i="32"/>
  <c r="BI250" i="32"/>
  <c r="AX250" i="32"/>
  <c r="AN250" i="32"/>
  <c r="AM250" i="32"/>
  <c r="W250" i="32"/>
  <c r="V250" i="32"/>
  <c r="BJ248" i="32"/>
  <c r="BI248" i="32"/>
  <c r="AX248" i="32"/>
  <c r="AN248" i="32"/>
  <c r="AM248" i="32"/>
  <c r="W248" i="32"/>
  <c r="AF248" i="32" s="1"/>
  <c r="V248" i="32"/>
  <c r="AE248" i="32" s="1"/>
  <c r="BJ247" i="32"/>
  <c r="BI247" i="32"/>
  <c r="AX247" i="32"/>
  <c r="AN247" i="32"/>
  <c r="AM247" i="32"/>
  <c r="W247" i="32"/>
  <c r="AF247" i="32" s="1"/>
  <c r="V247" i="32"/>
  <c r="AE247" i="32" s="1"/>
  <c r="BJ246" i="32"/>
  <c r="BI246" i="32"/>
  <c r="AX246" i="32"/>
  <c r="AN246" i="32"/>
  <c r="AM246" i="32"/>
  <c r="W246" i="32"/>
  <c r="W249" i="32" s="1"/>
  <c r="V246" i="32"/>
  <c r="BJ244" i="32"/>
  <c r="BI244" i="32"/>
  <c r="AX244" i="32"/>
  <c r="AN244" i="32"/>
  <c r="AM244" i="32"/>
  <c r="W244" i="32"/>
  <c r="AF244" i="32" s="1"/>
  <c r="V244" i="32"/>
  <c r="AE244" i="32" s="1"/>
  <c r="BJ243" i="32"/>
  <c r="BI243" i="32"/>
  <c r="AX243" i="32"/>
  <c r="AN243" i="32"/>
  <c r="AM243" i="32"/>
  <c r="W243" i="32"/>
  <c r="AF243" i="32" s="1"/>
  <c r="V243" i="32"/>
  <c r="AE243" i="32" s="1"/>
  <c r="BJ242" i="32"/>
  <c r="BI242" i="32"/>
  <c r="AX242" i="32"/>
  <c r="AN242" i="32"/>
  <c r="AM242" i="32"/>
  <c r="W242" i="32"/>
  <c r="AF242" i="32" s="1"/>
  <c r="V242" i="32"/>
  <c r="AE242" i="32" s="1"/>
  <c r="BJ241" i="32"/>
  <c r="BI241" i="32"/>
  <c r="AX241" i="32"/>
  <c r="AN241" i="32"/>
  <c r="AM241" i="32"/>
  <c r="W241" i="32"/>
  <c r="AF241" i="32" s="1"/>
  <c r="V241" i="32"/>
  <c r="AE241" i="32" s="1"/>
  <c r="BJ240" i="32"/>
  <c r="BI240" i="32"/>
  <c r="AX240" i="32"/>
  <c r="AN240" i="32"/>
  <c r="AM240" i="32"/>
  <c r="W240" i="32"/>
  <c r="AF240" i="32" s="1"/>
  <c r="V240" i="32"/>
  <c r="AE240" i="32" s="1"/>
  <c r="BJ239" i="32"/>
  <c r="BI239" i="32"/>
  <c r="AX239" i="32"/>
  <c r="AN239" i="32"/>
  <c r="AM239" i="32"/>
  <c r="W239" i="32"/>
  <c r="V239" i="32"/>
  <c r="BJ237" i="32"/>
  <c r="BI237" i="32"/>
  <c r="AX237" i="32"/>
  <c r="AN237" i="32"/>
  <c r="AM237" i="32"/>
  <c r="W237" i="32"/>
  <c r="AF237" i="32" s="1"/>
  <c r="V237" i="32"/>
  <c r="AE237" i="32" s="1"/>
  <c r="BJ236" i="32"/>
  <c r="BI236" i="32"/>
  <c r="AX236" i="32"/>
  <c r="AN236" i="32"/>
  <c r="AM236" i="32"/>
  <c r="W236" i="32"/>
  <c r="AF236" i="32" s="1"/>
  <c r="V236" i="32"/>
  <c r="AE236" i="32" s="1"/>
  <c r="BJ235" i="32"/>
  <c r="BI235" i="32"/>
  <c r="AX235" i="32"/>
  <c r="AN235" i="32"/>
  <c r="AM235" i="32"/>
  <c r="W235" i="32"/>
  <c r="V235" i="32"/>
  <c r="BJ233" i="32"/>
  <c r="BI233" i="32"/>
  <c r="AX233" i="32"/>
  <c r="AN233" i="32"/>
  <c r="AM233" i="32"/>
  <c r="W233" i="32"/>
  <c r="AF233" i="32" s="1"/>
  <c r="AQ233" i="32" s="1"/>
  <c r="V233" i="32"/>
  <c r="AE233" i="32" s="1"/>
  <c r="BJ232" i="32"/>
  <c r="BI232" i="32"/>
  <c r="AX232" i="32"/>
  <c r="AN232" i="32"/>
  <c r="AM232" i="32"/>
  <c r="W232" i="32"/>
  <c r="AF232" i="32" s="1"/>
  <c r="V232" i="32"/>
  <c r="AE232" i="32" s="1"/>
  <c r="BJ231" i="32"/>
  <c r="BI231" i="32"/>
  <c r="AX231" i="32"/>
  <c r="AN231" i="32"/>
  <c r="AM231" i="32"/>
  <c r="W231" i="32"/>
  <c r="AF231" i="32" s="1"/>
  <c r="V231" i="32"/>
  <c r="AE231" i="32" s="1"/>
  <c r="BJ230" i="32"/>
  <c r="BI230" i="32"/>
  <c r="AX230" i="32"/>
  <c r="AN230" i="32"/>
  <c r="AM230" i="32"/>
  <c r="W230" i="32"/>
  <c r="AF230" i="32" s="1"/>
  <c r="V230" i="32"/>
  <c r="AE230" i="32" s="1"/>
  <c r="BJ229" i="32"/>
  <c r="BI229" i="32"/>
  <c r="AX229" i="32"/>
  <c r="AN229" i="32"/>
  <c r="AM229" i="32"/>
  <c r="W229" i="32"/>
  <c r="AF229" i="32" s="1"/>
  <c r="V229" i="32"/>
  <c r="AE229" i="32" s="1"/>
  <c r="BJ228" i="32"/>
  <c r="BI228" i="32"/>
  <c r="AX228" i="32"/>
  <c r="AN228" i="32"/>
  <c r="AM228" i="32"/>
  <c r="W228" i="32"/>
  <c r="V228" i="32"/>
  <c r="BJ226" i="32"/>
  <c r="BI226" i="32"/>
  <c r="AX226" i="32"/>
  <c r="AN226" i="32"/>
  <c r="AM226" i="32"/>
  <c r="W226" i="32"/>
  <c r="AF226" i="32" s="1"/>
  <c r="V226" i="32"/>
  <c r="AE226" i="32" s="1"/>
  <c r="BJ225" i="32"/>
  <c r="BI225" i="32"/>
  <c r="AX225" i="32"/>
  <c r="AN225" i="32"/>
  <c r="AM225" i="32"/>
  <c r="W225" i="32"/>
  <c r="AF225" i="32" s="1"/>
  <c r="V225" i="32"/>
  <c r="AE225" i="32" s="1"/>
  <c r="BJ224" i="32"/>
  <c r="BI224" i="32"/>
  <c r="AX224" i="32"/>
  <c r="AN224" i="32"/>
  <c r="AM224" i="32"/>
  <c r="W224" i="32"/>
  <c r="AF224" i="32" s="1"/>
  <c r="V224" i="32"/>
  <c r="AE224" i="32" s="1"/>
  <c r="BJ223" i="32"/>
  <c r="BI223" i="32"/>
  <c r="AX223" i="32"/>
  <c r="AN223" i="32"/>
  <c r="AM223" i="32"/>
  <c r="W223" i="32"/>
  <c r="AF223" i="32" s="1"/>
  <c r="V223" i="32"/>
  <c r="AE223" i="32" s="1"/>
  <c r="BJ222" i="32"/>
  <c r="BI222" i="32"/>
  <c r="AX222" i="32"/>
  <c r="AN222" i="32"/>
  <c r="AM222" i="32"/>
  <c r="W222" i="32"/>
  <c r="AF222" i="32" s="1"/>
  <c r="V222" i="32"/>
  <c r="AE222" i="32" s="1"/>
  <c r="BJ221" i="32"/>
  <c r="BI221" i="32"/>
  <c r="AX221" i="32"/>
  <c r="AN221" i="32"/>
  <c r="AM221" i="32"/>
  <c r="W221" i="32"/>
  <c r="V221" i="32"/>
  <c r="BJ219" i="32"/>
  <c r="BI219" i="32"/>
  <c r="AX219" i="32"/>
  <c r="AN219" i="32"/>
  <c r="AM219" i="32"/>
  <c r="W219" i="32"/>
  <c r="AF219" i="32" s="1"/>
  <c r="V219" i="32"/>
  <c r="AE219" i="32" s="1"/>
  <c r="BJ218" i="32"/>
  <c r="BI218" i="32"/>
  <c r="AX218" i="32"/>
  <c r="AN218" i="32"/>
  <c r="AM218" i="32"/>
  <c r="W218" i="32"/>
  <c r="AF218" i="32" s="1"/>
  <c r="V218" i="32"/>
  <c r="AE218" i="32" s="1"/>
  <c r="BJ217" i="32"/>
  <c r="BI217" i="32"/>
  <c r="AX217" i="32"/>
  <c r="AN217" i="32"/>
  <c r="AM217" i="32"/>
  <c r="W217" i="32"/>
  <c r="V217" i="32"/>
  <c r="BJ215" i="32"/>
  <c r="BJ216" i="32" s="1"/>
  <c r="BI215" i="32"/>
  <c r="BI216" i="32" s="1"/>
  <c r="AX215" i="32"/>
  <c r="AX216" i="32" s="1"/>
  <c r="AN215" i="32"/>
  <c r="AN216" i="32" s="1"/>
  <c r="AM215" i="32"/>
  <c r="AM216" i="32" s="1"/>
  <c r="W215" i="32"/>
  <c r="V215" i="32"/>
  <c r="BJ213" i="32"/>
  <c r="BI213" i="32"/>
  <c r="AX213" i="32"/>
  <c r="AN213" i="32"/>
  <c r="AM213" i="32"/>
  <c r="W213" i="32"/>
  <c r="AF213" i="32" s="1"/>
  <c r="AQ213" i="32" s="1"/>
  <c r="V213" i="32"/>
  <c r="AE213" i="32" s="1"/>
  <c r="BJ212" i="32"/>
  <c r="BI212" i="32"/>
  <c r="AX212" i="32"/>
  <c r="AN212" i="32"/>
  <c r="AM212" i="32"/>
  <c r="W212" i="32"/>
  <c r="AF212" i="32" s="1"/>
  <c r="V212" i="32"/>
  <c r="AE212" i="32" s="1"/>
  <c r="BJ211" i="32"/>
  <c r="BI211" i="32"/>
  <c r="AX211" i="32"/>
  <c r="AN211" i="32"/>
  <c r="AM211" i="32"/>
  <c r="W211" i="32"/>
  <c r="AF211" i="32" s="1"/>
  <c r="V211" i="32"/>
  <c r="AE211" i="32" s="1"/>
  <c r="BJ210" i="32"/>
  <c r="BI210" i="32"/>
  <c r="AX210" i="32"/>
  <c r="AN210" i="32"/>
  <c r="AM210" i="32"/>
  <c r="W210" i="32"/>
  <c r="AF210" i="32" s="1"/>
  <c r="AQ210" i="32" s="1"/>
  <c r="V210" i="32"/>
  <c r="AE210" i="32" s="1"/>
  <c r="BJ209" i="32"/>
  <c r="BI209" i="32"/>
  <c r="AX209" i="32"/>
  <c r="AN209" i="32"/>
  <c r="AM209" i="32"/>
  <c r="W209" i="32"/>
  <c r="AF209" i="32" s="1"/>
  <c r="V209" i="32"/>
  <c r="AE209" i="32" s="1"/>
  <c r="BJ208" i="32"/>
  <c r="BI208" i="32"/>
  <c r="BK208" i="32" s="1"/>
  <c r="AX208" i="32"/>
  <c r="AN208" i="32"/>
  <c r="AM208" i="32"/>
  <c r="W208" i="32"/>
  <c r="AF208" i="32" s="1"/>
  <c r="V208" i="32"/>
  <c r="AE208" i="32" s="1"/>
  <c r="BJ207" i="32"/>
  <c r="BI207" i="32"/>
  <c r="AX207" i="32"/>
  <c r="AN207" i="32"/>
  <c r="AM207" i="32"/>
  <c r="W207" i="32"/>
  <c r="AF207" i="32" s="1"/>
  <c r="V207" i="32"/>
  <c r="AE207" i="32" s="1"/>
  <c r="BJ206" i="32"/>
  <c r="BI206" i="32"/>
  <c r="AX206" i="32"/>
  <c r="AN206" i="32"/>
  <c r="AM206" i="32"/>
  <c r="W206" i="32"/>
  <c r="V206" i="32"/>
  <c r="BJ204" i="32"/>
  <c r="BI204" i="32"/>
  <c r="AX204" i="32"/>
  <c r="AN204" i="32"/>
  <c r="AM204" i="32"/>
  <c r="AO204" i="32" s="1"/>
  <c r="W204" i="32"/>
  <c r="AF204" i="32" s="1"/>
  <c r="AQ204" i="32" s="1"/>
  <c r="V204" i="32"/>
  <c r="AE204" i="32" s="1"/>
  <c r="BJ203" i="32"/>
  <c r="BK203" i="32" s="1"/>
  <c r="BI203" i="32"/>
  <c r="AX203" i="32"/>
  <c r="AN203" i="32"/>
  <c r="AM203" i="32"/>
  <c r="W203" i="32"/>
  <c r="AF203" i="32" s="1"/>
  <c r="AQ203" i="32" s="1"/>
  <c r="V203" i="32"/>
  <c r="AE203" i="32" s="1"/>
  <c r="BJ202" i="32"/>
  <c r="BI202" i="32"/>
  <c r="AX202" i="32"/>
  <c r="AN202" i="32"/>
  <c r="AO202" i="32" s="1"/>
  <c r="AM202" i="32"/>
  <c r="W202" i="32"/>
  <c r="AF202" i="32" s="1"/>
  <c r="V202" i="32"/>
  <c r="AE202" i="32" s="1"/>
  <c r="BJ201" i="32"/>
  <c r="BI201" i="32"/>
  <c r="AX201" i="32"/>
  <c r="AN201" i="32"/>
  <c r="AM201" i="32"/>
  <c r="AO201" i="32" s="1"/>
  <c r="W201" i="32"/>
  <c r="AF201" i="32" s="1"/>
  <c r="V201" i="32"/>
  <c r="AE201" i="32" s="1"/>
  <c r="BJ200" i="32"/>
  <c r="BI200" i="32"/>
  <c r="AX200" i="32"/>
  <c r="AN200" i="32"/>
  <c r="AM200" i="32"/>
  <c r="W200" i="32"/>
  <c r="V200" i="32"/>
  <c r="BJ198" i="32"/>
  <c r="BI198" i="32"/>
  <c r="AX198" i="32"/>
  <c r="AN198" i="32"/>
  <c r="AM198" i="32"/>
  <c r="W198" i="32"/>
  <c r="AF198" i="32" s="1"/>
  <c r="V198" i="32"/>
  <c r="AE198" i="32" s="1"/>
  <c r="BJ197" i="32"/>
  <c r="BI197" i="32"/>
  <c r="BK197" i="32" s="1"/>
  <c r="AX197" i="32"/>
  <c r="AN197" i="32"/>
  <c r="AM197" i="32"/>
  <c r="W197" i="32"/>
  <c r="AF197" i="32" s="1"/>
  <c r="V197" i="32"/>
  <c r="AE197" i="32" s="1"/>
  <c r="BJ196" i="32"/>
  <c r="BI196" i="32"/>
  <c r="AX196" i="32"/>
  <c r="AN196" i="32"/>
  <c r="AM196" i="32"/>
  <c r="W196" i="32"/>
  <c r="V196" i="32"/>
  <c r="BJ194" i="32"/>
  <c r="BI194" i="32"/>
  <c r="AX194" i="32"/>
  <c r="AN194" i="32"/>
  <c r="AM194" i="32"/>
  <c r="W194" i="32"/>
  <c r="AF194" i="32" s="1"/>
  <c r="V194" i="32"/>
  <c r="AE194" i="32" s="1"/>
  <c r="BJ193" i="32"/>
  <c r="BI193" i="32"/>
  <c r="AX193" i="32"/>
  <c r="AN193" i="32"/>
  <c r="AM193" i="32"/>
  <c r="W193" i="32"/>
  <c r="AF193" i="32" s="1"/>
  <c r="V193" i="32"/>
  <c r="AE193" i="32" s="1"/>
  <c r="BJ192" i="32"/>
  <c r="BI192" i="32"/>
  <c r="AX192" i="32"/>
  <c r="AN192" i="32"/>
  <c r="AM192" i="32"/>
  <c r="W192" i="32"/>
  <c r="AF192" i="32" s="1"/>
  <c r="V192" i="32"/>
  <c r="AE192" i="32" s="1"/>
  <c r="BJ191" i="32"/>
  <c r="BI191" i="32"/>
  <c r="AX191" i="32"/>
  <c r="AN191" i="32"/>
  <c r="AM191" i="32"/>
  <c r="W191" i="32"/>
  <c r="AF191" i="32" s="1"/>
  <c r="V191" i="32"/>
  <c r="AE191" i="32" s="1"/>
  <c r="BJ190" i="32"/>
  <c r="BI190" i="32"/>
  <c r="AX190" i="32"/>
  <c r="AN190" i="32"/>
  <c r="AM190" i="32"/>
  <c r="W190" i="32"/>
  <c r="AF190" i="32" s="1"/>
  <c r="V190" i="32"/>
  <c r="AE190" i="32" s="1"/>
  <c r="BJ189" i="32"/>
  <c r="BI189" i="32"/>
  <c r="BK189" i="32" s="1"/>
  <c r="AX189" i="32"/>
  <c r="AN189" i="32"/>
  <c r="AM189" i="32"/>
  <c r="W189" i="32"/>
  <c r="V189" i="32"/>
  <c r="BJ187" i="32"/>
  <c r="BI187" i="32"/>
  <c r="AX187" i="32"/>
  <c r="AN187" i="32"/>
  <c r="AM187" i="32"/>
  <c r="W187" i="32"/>
  <c r="AF187" i="32" s="1"/>
  <c r="V187" i="32"/>
  <c r="AE187" i="32" s="1"/>
  <c r="BJ186" i="32"/>
  <c r="BI186" i="32"/>
  <c r="AX186" i="32"/>
  <c r="AN186" i="32"/>
  <c r="AM186" i="32"/>
  <c r="W186" i="32"/>
  <c r="AF186" i="32" s="1"/>
  <c r="V186" i="32"/>
  <c r="AE186" i="32" s="1"/>
  <c r="BJ185" i="32"/>
  <c r="BI185" i="32"/>
  <c r="AX185" i="32"/>
  <c r="AN185" i="32"/>
  <c r="AM185" i="32"/>
  <c r="W185" i="32"/>
  <c r="AF185" i="32" s="1"/>
  <c r="AQ185" i="32" s="1"/>
  <c r="V185" i="32"/>
  <c r="AE185" i="32" s="1"/>
  <c r="BJ184" i="32"/>
  <c r="BI184" i="32"/>
  <c r="AX184" i="32"/>
  <c r="AN184" i="32"/>
  <c r="AM184" i="32"/>
  <c r="W184" i="32"/>
  <c r="AF184" i="32" s="1"/>
  <c r="V184" i="32"/>
  <c r="AE184" i="32" s="1"/>
  <c r="BJ183" i="32"/>
  <c r="BI183" i="32"/>
  <c r="AX183" i="32"/>
  <c r="AN183" i="32"/>
  <c r="AM183" i="32"/>
  <c r="W183" i="32"/>
  <c r="V183" i="32"/>
  <c r="BJ181" i="32"/>
  <c r="BI181" i="32"/>
  <c r="AX181" i="32"/>
  <c r="AN181" i="32"/>
  <c r="AM181" i="32"/>
  <c r="W181" i="32"/>
  <c r="AF181" i="32" s="1"/>
  <c r="V181" i="32"/>
  <c r="AE181" i="32" s="1"/>
  <c r="BJ180" i="32"/>
  <c r="BI180" i="32"/>
  <c r="AX180" i="32"/>
  <c r="AN180" i="32"/>
  <c r="AM180" i="32"/>
  <c r="W180" i="32"/>
  <c r="AF180" i="32" s="1"/>
  <c r="V180" i="32"/>
  <c r="AE180" i="32" s="1"/>
  <c r="BJ179" i="32"/>
  <c r="BI179" i="32"/>
  <c r="AX179" i="32"/>
  <c r="AN179" i="32"/>
  <c r="AM179" i="32"/>
  <c r="AM182" i="32" s="1"/>
  <c r="W179" i="32"/>
  <c r="V179" i="32"/>
  <c r="BJ177" i="32"/>
  <c r="BI177" i="32"/>
  <c r="AX177" i="32"/>
  <c r="AN177" i="32"/>
  <c r="AM177" i="32"/>
  <c r="W177" i="32"/>
  <c r="AF177" i="32" s="1"/>
  <c r="V177" i="32"/>
  <c r="AE177" i="32" s="1"/>
  <c r="BJ176" i="32"/>
  <c r="BI176" i="32"/>
  <c r="AX176" i="32"/>
  <c r="AN176" i="32"/>
  <c r="AM176" i="32"/>
  <c r="W176" i="32"/>
  <c r="AF176" i="32" s="1"/>
  <c r="V176" i="32"/>
  <c r="AE176" i="32" s="1"/>
  <c r="BJ175" i="32"/>
  <c r="BI175" i="32"/>
  <c r="AX175" i="32"/>
  <c r="AN175" i="32"/>
  <c r="AM175" i="32"/>
  <c r="W175" i="32"/>
  <c r="AF175" i="32" s="1"/>
  <c r="V175" i="32"/>
  <c r="AE175" i="32" s="1"/>
  <c r="BJ174" i="32"/>
  <c r="BI174" i="32"/>
  <c r="AX174" i="32"/>
  <c r="AN174" i="32"/>
  <c r="AM174" i="32"/>
  <c r="AO174" i="32" s="1"/>
  <c r="W174" i="32"/>
  <c r="AF174" i="32" s="1"/>
  <c r="V174" i="32"/>
  <c r="AE174" i="32" s="1"/>
  <c r="BJ173" i="32"/>
  <c r="BI173" i="32"/>
  <c r="AX173" i="32"/>
  <c r="AN173" i="32"/>
  <c r="AM173" i="32"/>
  <c r="W173" i="32"/>
  <c r="AF173" i="32" s="1"/>
  <c r="V173" i="32"/>
  <c r="AE173" i="32" s="1"/>
  <c r="AP173" i="32" s="1"/>
  <c r="BJ172" i="32"/>
  <c r="BI172" i="32"/>
  <c r="AX172" i="32"/>
  <c r="AN172" i="32"/>
  <c r="AM172" i="32"/>
  <c r="W172" i="32"/>
  <c r="V172" i="32"/>
  <c r="BJ170" i="32"/>
  <c r="BI170" i="32"/>
  <c r="AX170" i="32"/>
  <c r="AN170" i="32"/>
  <c r="AM170" i="32"/>
  <c r="W170" i="32"/>
  <c r="AF170" i="32" s="1"/>
  <c r="V170" i="32"/>
  <c r="AE170" i="32" s="1"/>
  <c r="BJ169" i="32"/>
  <c r="BI169" i="32"/>
  <c r="BK169" i="32" s="1"/>
  <c r="AX169" i="32"/>
  <c r="AN169" i="32"/>
  <c r="AM169" i="32"/>
  <c r="W169" i="32"/>
  <c r="AF169" i="32" s="1"/>
  <c r="V169" i="32"/>
  <c r="AE169" i="32" s="1"/>
  <c r="BJ168" i="32"/>
  <c r="BI168" i="32"/>
  <c r="AX168" i="32"/>
  <c r="AN168" i="32"/>
  <c r="AM168" i="32"/>
  <c r="W168" i="32"/>
  <c r="AF168" i="32" s="1"/>
  <c r="V168" i="32"/>
  <c r="AE168" i="32" s="1"/>
  <c r="BJ167" i="32"/>
  <c r="BI167" i="32"/>
  <c r="BK167" i="32" s="1"/>
  <c r="AX167" i="32"/>
  <c r="AN167" i="32"/>
  <c r="AM167" i="32"/>
  <c r="W167" i="32"/>
  <c r="AF167" i="32" s="1"/>
  <c r="V167" i="32"/>
  <c r="AE167" i="32" s="1"/>
  <c r="BJ166" i="32"/>
  <c r="BI166" i="32"/>
  <c r="AX166" i="32"/>
  <c r="AN166" i="32"/>
  <c r="AM166" i="32"/>
  <c r="W166" i="32"/>
  <c r="AF166" i="32" s="1"/>
  <c r="AQ166" i="32" s="1"/>
  <c r="V166" i="32"/>
  <c r="AE166" i="32" s="1"/>
  <c r="BJ165" i="32"/>
  <c r="BI165" i="32"/>
  <c r="AX165" i="32"/>
  <c r="AN165" i="32"/>
  <c r="AM165" i="32"/>
  <c r="W165" i="32"/>
  <c r="V165" i="32"/>
  <c r="BJ163" i="32"/>
  <c r="BI163" i="32"/>
  <c r="AX163" i="32"/>
  <c r="AN163" i="32"/>
  <c r="AM163" i="32"/>
  <c r="W163" i="32"/>
  <c r="AF163" i="32" s="1"/>
  <c r="V163" i="32"/>
  <c r="AE163" i="32" s="1"/>
  <c r="BJ162" i="32"/>
  <c r="BI162" i="32"/>
  <c r="AX162" i="32"/>
  <c r="AN162" i="32"/>
  <c r="AM162" i="32"/>
  <c r="W162" i="32"/>
  <c r="AF162" i="32" s="1"/>
  <c r="V162" i="32"/>
  <c r="AE162" i="32" s="1"/>
  <c r="BJ161" i="32"/>
  <c r="BI161" i="32"/>
  <c r="AX161" i="32"/>
  <c r="AN161" i="32"/>
  <c r="AM161" i="32"/>
  <c r="W161" i="32"/>
  <c r="AF161" i="32" s="1"/>
  <c r="V161" i="32"/>
  <c r="AE161" i="32" s="1"/>
  <c r="BJ160" i="32"/>
  <c r="BI160" i="32"/>
  <c r="AX160" i="32"/>
  <c r="AN160" i="32"/>
  <c r="AM160" i="32"/>
  <c r="W160" i="32"/>
  <c r="AF160" i="32" s="1"/>
  <c r="V160" i="32"/>
  <c r="AE160" i="32" s="1"/>
  <c r="BJ159" i="32"/>
  <c r="BI159" i="32"/>
  <c r="AX159" i="32"/>
  <c r="AN159" i="32"/>
  <c r="AM159" i="32"/>
  <c r="W159" i="32"/>
  <c r="AF159" i="32" s="1"/>
  <c r="V159" i="32"/>
  <c r="AE159" i="32" s="1"/>
  <c r="BJ158" i="32"/>
  <c r="BI158" i="32"/>
  <c r="AX158" i="32"/>
  <c r="AN158" i="32"/>
  <c r="AM158" i="32"/>
  <c r="W158" i="32"/>
  <c r="V158" i="32"/>
  <c r="BJ156" i="32"/>
  <c r="BI156" i="32"/>
  <c r="AX156" i="32"/>
  <c r="AN156" i="32"/>
  <c r="AM156" i="32"/>
  <c r="W156" i="32"/>
  <c r="AF156" i="32" s="1"/>
  <c r="AQ156" i="32" s="1"/>
  <c r="V156" i="32"/>
  <c r="AE156" i="32" s="1"/>
  <c r="BJ155" i="32"/>
  <c r="BI155" i="32"/>
  <c r="AX155" i="32"/>
  <c r="AN155" i="32"/>
  <c r="AM155" i="32"/>
  <c r="W155" i="32"/>
  <c r="AF155" i="32" s="1"/>
  <c r="AQ155" i="32" s="1"/>
  <c r="V155" i="32"/>
  <c r="AE155" i="32" s="1"/>
  <c r="BJ154" i="32"/>
  <c r="BI154" i="32"/>
  <c r="AX154" i="32"/>
  <c r="AN154" i="32"/>
  <c r="AM154" i="32"/>
  <c r="AO154" i="32" s="1"/>
  <c r="W154" i="32"/>
  <c r="AF154" i="32" s="1"/>
  <c r="AQ154" i="32" s="1"/>
  <c r="V154" i="32"/>
  <c r="AE154" i="32" s="1"/>
  <c r="BJ153" i="32"/>
  <c r="BI153" i="32"/>
  <c r="AX153" i="32"/>
  <c r="AN153" i="32"/>
  <c r="AM153" i="32"/>
  <c r="W153" i="32"/>
  <c r="AF153" i="32" s="1"/>
  <c r="V153" i="32"/>
  <c r="AE153" i="32" s="1"/>
  <c r="BJ152" i="32"/>
  <c r="BI152" i="32"/>
  <c r="AX152" i="32"/>
  <c r="AN152" i="32"/>
  <c r="AM152" i="32"/>
  <c r="W152" i="32"/>
  <c r="AF152" i="32" s="1"/>
  <c r="V152" i="32"/>
  <c r="AE152" i="32" s="1"/>
  <c r="BJ151" i="32"/>
  <c r="BI151" i="32"/>
  <c r="AX151" i="32"/>
  <c r="AN151" i="32"/>
  <c r="AM151" i="32"/>
  <c r="W151" i="32"/>
  <c r="V151" i="32"/>
  <c r="BJ149" i="32"/>
  <c r="BI149" i="32"/>
  <c r="BK149" i="32" s="1"/>
  <c r="AX149" i="32"/>
  <c r="AN149" i="32"/>
  <c r="AM149" i="32"/>
  <c r="W149" i="32"/>
  <c r="AF149" i="32" s="1"/>
  <c r="V149" i="32"/>
  <c r="AE149" i="32" s="1"/>
  <c r="BJ148" i="32"/>
  <c r="BI148" i="32"/>
  <c r="BK148" i="32" s="1"/>
  <c r="AX148" i="32"/>
  <c r="AN148" i="32"/>
  <c r="AM148" i="32"/>
  <c r="W148" i="32"/>
  <c r="AF148" i="32" s="1"/>
  <c r="V148" i="32"/>
  <c r="AE148" i="32" s="1"/>
  <c r="BJ147" i="32"/>
  <c r="BI147" i="32"/>
  <c r="AX147" i="32"/>
  <c r="AN147" i="32"/>
  <c r="AM147" i="32"/>
  <c r="W147" i="32"/>
  <c r="V147" i="32"/>
  <c r="BJ145" i="32"/>
  <c r="BJ146" i="32" s="1"/>
  <c r="BI145" i="32"/>
  <c r="BI146" i="32" s="1"/>
  <c r="AX145" i="32"/>
  <c r="AX146" i="32" s="1"/>
  <c r="AN145" i="32"/>
  <c r="AN146" i="32" s="1"/>
  <c r="AM145" i="32"/>
  <c r="W145" i="32"/>
  <c r="V145" i="32"/>
  <c r="BJ143" i="32"/>
  <c r="BI143" i="32"/>
  <c r="AX143" i="32"/>
  <c r="AN143" i="32"/>
  <c r="AM143" i="32"/>
  <c r="W143" i="32"/>
  <c r="AF143" i="32" s="1"/>
  <c r="V143" i="32"/>
  <c r="AE143" i="32" s="1"/>
  <c r="BJ142" i="32"/>
  <c r="BI142" i="32"/>
  <c r="AX142" i="32"/>
  <c r="AN142" i="32"/>
  <c r="AM142" i="32"/>
  <c r="W142" i="32"/>
  <c r="AF142" i="32" s="1"/>
  <c r="V142" i="32"/>
  <c r="AE142" i="32" s="1"/>
  <c r="BJ141" i="32"/>
  <c r="BI141" i="32"/>
  <c r="AX141" i="32"/>
  <c r="AN141" i="32"/>
  <c r="AM141" i="32"/>
  <c r="W141" i="32"/>
  <c r="AF141" i="32" s="1"/>
  <c r="V141" i="32"/>
  <c r="AE141" i="32" s="1"/>
  <c r="BJ140" i="32"/>
  <c r="BI140" i="32"/>
  <c r="AX140" i="32"/>
  <c r="AN140" i="32"/>
  <c r="AM140" i="32"/>
  <c r="W140" i="32"/>
  <c r="AF140" i="32" s="1"/>
  <c r="V140" i="32"/>
  <c r="AE140" i="32" s="1"/>
  <c r="BJ139" i="32"/>
  <c r="BI139" i="32"/>
  <c r="AX139" i="32"/>
  <c r="AN139" i="32"/>
  <c r="AM139" i="32"/>
  <c r="W139" i="32"/>
  <c r="AF139" i="32" s="1"/>
  <c r="V139" i="32"/>
  <c r="AE139" i="32" s="1"/>
  <c r="BJ138" i="32"/>
  <c r="BI138" i="32"/>
  <c r="AX138" i="32"/>
  <c r="AN138" i="32"/>
  <c r="AM138" i="32"/>
  <c r="W138" i="32"/>
  <c r="V138" i="32"/>
  <c r="BJ136" i="32"/>
  <c r="BI136" i="32"/>
  <c r="AX136" i="32"/>
  <c r="AN136" i="32"/>
  <c r="AM136" i="32"/>
  <c r="W136" i="32"/>
  <c r="AF136" i="32" s="1"/>
  <c r="V136" i="32"/>
  <c r="AE136" i="32" s="1"/>
  <c r="BJ135" i="32"/>
  <c r="BI135" i="32"/>
  <c r="AX135" i="32"/>
  <c r="AN135" i="32"/>
  <c r="AM135" i="32"/>
  <c r="W135" i="32"/>
  <c r="AF135" i="32" s="1"/>
  <c r="V135" i="32"/>
  <c r="AE135" i="32" s="1"/>
  <c r="BJ134" i="32"/>
  <c r="BI134" i="32"/>
  <c r="AX134" i="32"/>
  <c r="AN134" i="32"/>
  <c r="AM134" i="32"/>
  <c r="AO134" i="32" s="1"/>
  <c r="W134" i="32"/>
  <c r="AF134" i="32" s="1"/>
  <c r="V134" i="32"/>
  <c r="AE134" i="32" s="1"/>
  <c r="BJ133" i="32"/>
  <c r="BI133" i="32"/>
  <c r="AX133" i="32"/>
  <c r="AN133" i="32"/>
  <c r="AM133" i="32"/>
  <c r="W133" i="32"/>
  <c r="AF133" i="32" s="1"/>
  <c r="V133" i="32"/>
  <c r="AE133" i="32" s="1"/>
  <c r="BJ132" i="32"/>
  <c r="BI132" i="32"/>
  <c r="AX132" i="32"/>
  <c r="AN132" i="32"/>
  <c r="AM132" i="32"/>
  <c r="W132" i="32"/>
  <c r="AF132" i="32" s="1"/>
  <c r="V132" i="32"/>
  <c r="AE132" i="32" s="1"/>
  <c r="BJ131" i="32"/>
  <c r="BI131" i="32"/>
  <c r="BK131" i="32" s="1"/>
  <c r="AX131" i="32"/>
  <c r="AN131" i="32"/>
  <c r="AM131" i="32"/>
  <c r="W131" i="32"/>
  <c r="V131" i="32"/>
  <c r="BJ129" i="32"/>
  <c r="BI129" i="32"/>
  <c r="AX129" i="32"/>
  <c r="AN129" i="32"/>
  <c r="AM129" i="32"/>
  <c r="W129" i="32"/>
  <c r="AF129" i="32" s="1"/>
  <c r="V129" i="32"/>
  <c r="AE129" i="32" s="1"/>
  <c r="BJ128" i="32"/>
  <c r="BI128" i="32"/>
  <c r="AX128" i="32"/>
  <c r="AN128" i="32"/>
  <c r="AM128" i="32"/>
  <c r="W128" i="32"/>
  <c r="AF128" i="32" s="1"/>
  <c r="V128" i="32"/>
  <c r="AE128" i="32" s="1"/>
  <c r="BJ127" i="32"/>
  <c r="BI127" i="32"/>
  <c r="AX127" i="32"/>
  <c r="AN127" i="32"/>
  <c r="AM127" i="32"/>
  <c r="W127" i="32"/>
  <c r="AF127" i="32" s="1"/>
  <c r="V127" i="32"/>
  <c r="AE127" i="32" s="1"/>
  <c r="BJ126" i="32"/>
  <c r="BI126" i="32"/>
  <c r="AX126" i="32"/>
  <c r="AN126" i="32"/>
  <c r="AM126" i="32"/>
  <c r="W126" i="32"/>
  <c r="AF126" i="32" s="1"/>
  <c r="V126" i="32"/>
  <c r="AE126" i="32" s="1"/>
  <c r="BJ125" i="32"/>
  <c r="BI125" i="32"/>
  <c r="AX125" i="32"/>
  <c r="AN125" i="32"/>
  <c r="AM125" i="32"/>
  <c r="AO125" i="32" s="1"/>
  <c r="W125" i="32"/>
  <c r="V125" i="32"/>
  <c r="BJ123" i="32"/>
  <c r="BI123" i="32"/>
  <c r="AX123" i="32"/>
  <c r="AN123" i="32"/>
  <c r="AM123" i="32"/>
  <c r="W123" i="32"/>
  <c r="AF123" i="32" s="1"/>
  <c r="V123" i="32"/>
  <c r="AE123" i="32" s="1"/>
  <c r="BJ122" i="32"/>
  <c r="BI122" i="32"/>
  <c r="AX122" i="32"/>
  <c r="AN122" i="32"/>
  <c r="AM122" i="32"/>
  <c r="W122" i="32"/>
  <c r="AF122" i="32" s="1"/>
  <c r="V122" i="32"/>
  <c r="AE122" i="32" s="1"/>
  <c r="BJ121" i="32"/>
  <c r="BI121" i="32"/>
  <c r="AX121" i="32"/>
  <c r="AN121" i="32"/>
  <c r="AM121" i="32"/>
  <c r="W121" i="32"/>
  <c r="V121" i="32"/>
  <c r="BJ119" i="32"/>
  <c r="BI119" i="32"/>
  <c r="AX119" i="32"/>
  <c r="AN119" i="32"/>
  <c r="AM119" i="32"/>
  <c r="AO119" i="32" s="1"/>
  <c r="W119" i="32"/>
  <c r="AF119" i="32" s="1"/>
  <c r="V119" i="32"/>
  <c r="AE119" i="32" s="1"/>
  <c r="BJ118" i="32"/>
  <c r="BI118" i="32"/>
  <c r="AX118" i="32"/>
  <c r="AN118" i="32"/>
  <c r="AM118" i="32"/>
  <c r="W118" i="32"/>
  <c r="AF118" i="32" s="1"/>
  <c r="V118" i="32"/>
  <c r="AE118" i="32" s="1"/>
  <c r="BJ117" i="32"/>
  <c r="BI117" i="32"/>
  <c r="AX117" i="32"/>
  <c r="AN117" i="32"/>
  <c r="AM117" i="32"/>
  <c r="W117" i="32"/>
  <c r="AF117" i="32" s="1"/>
  <c r="V117" i="32"/>
  <c r="AE117" i="32" s="1"/>
  <c r="BJ116" i="32"/>
  <c r="BI116" i="32"/>
  <c r="AX116" i="32"/>
  <c r="AN116" i="32"/>
  <c r="AM116" i="32"/>
  <c r="W116" i="32"/>
  <c r="AF116" i="32" s="1"/>
  <c r="V116" i="32"/>
  <c r="AE116" i="32" s="1"/>
  <c r="BJ115" i="32"/>
  <c r="BI115" i="32"/>
  <c r="AX115" i="32"/>
  <c r="AN115" i="32"/>
  <c r="AM115" i="32"/>
  <c r="W115" i="32"/>
  <c r="AF115" i="32" s="1"/>
  <c r="V115" i="32"/>
  <c r="AE115" i="32" s="1"/>
  <c r="BJ114" i="32"/>
  <c r="BI114" i="32"/>
  <c r="AX114" i="32"/>
  <c r="AN114" i="32"/>
  <c r="AM114" i="32"/>
  <c r="W114" i="32"/>
  <c r="V114" i="32"/>
  <c r="BJ112" i="32"/>
  <c r="BI112" i="32"/>
  <c r="AX112" i="32"/>
  <c r="AN112" i="32"/>
  <c r="AM112" i="32"/>
  <c r="W112" i="32"/>
  <c r="AF112" i="32" s="1"/>
  <c r="V112" i="32"/>
  <c r="AE112" i="32" s="1"/>
  <c r="BJ111" i="32"/>
  <c r="BI111" i="32"/>
  <c r="AX111" i="32"/>
  <c r="AN111" i="32"/>
  <c r="AM111" i="32"/>
  <c r="W111" i="32"/>
  <c r="AF111" i="32" s="1"/>
  <c r="V111" i="32"/>
  <c r="AE111" i="32" s="1"/>
  <c r="BJ110" i="32"/>
  <c r="BI110" i="32"/>
  <c r="AX110" i="32"/>
  <c r="AN110" i="32"/>
  <c r="AM110" i="32"/>
  <c r="W110" i="32"/>
  <c r="V110" i="32"/>
  <c r="BJ108" i="32"/>
  <c r="BJ109" i="32" s="1"/>
  <c r="BI108" i="32"/>
  <c r="AX108" i="32"/>
  <c r="AX109" i="32" s="1"/>
  <c r="AN108" i="32"/>
  <c r="AN109" i="32" s="1"/>
  <c r="AM108" i="32"/>
  <c r="AM109" i="32" s="1"/>
  <c r="W108" i="32"/>
  <c r="BJ106" i="32"/>
  <c r="BI106" i="32"/>
  <c r="AX106" i="32"/>
  <c r="AN106" i="32"/>
  <c r="AM106" i="32"/>
  <c r="W106" i="32"/>
  <c r="AF106" i="32" s="1"/>
  <c r="V106" i="32"/>
  <c r="AE106" i="32" s="1"/>
  <c r="BJ105" i="32"/>
  <c r="BI105" i="32"/>
  <c r="AX105" i="32"/>
  <c r="AN105" i="32"/>
  <c r="AM105" i="32"/>
  <c r="W105" i="32"/>
  <c r="AF105" i="32" s="1"/>
  <c r="V105" i="32"/>
  <c r="AE105" i="32" s="1"/>
  <c r="BJ104" i="32"/>
  <c r="BI104" i="32"/>
  <c r="BK104" i="32" s="1"/>
  <c r="AX104" i="32"/>
  <c r="AN104" i="32"/>
  <c r="AM104" i="32"/>
  <c r="W104" i="32"/>
  <c r="AF104" i="32" s="1"/>
  <c r="V104" i="32"/>
  <c r="AE104" i="32" s="1"/>
  <c r="BJ103" i="32"/>
  <c r="BK103" i="32" s="1"/>
  <c r="BI103" i="32"/>
  <c r="AX103" i="32"/>
  <c r="AN103" i="32"/>
  <c r="AM103" i="32"/>
  <c r="W103" i="32"/>
  <c r="AF103" i="32" s="1"/>
  <c r="V103" i="32"/>
  <c r="AE103" i="32" s="1"/>
  <c r="BJ102" i="32"/>
  <c r="BI102" i="32"/>
  <c r="AX102" i="32"/>
  <c r="AN102" i="32"/>
  <c r="AM102" i="32"/>
  <c r="W102" i="32"/>
  <c r="AF102" i="32" s="1"/>
  <c r="V102" i="32"/>
  <c r="AE102" i="32" s="1"/>
  <c r="BJ101" i="32"/>
  <c r="BI101" i="32"/>
  <c r="AX101" i="32"/>
  <c r="AN101" i="32"/>
  <c r="AM101" i="32"/>
  <c r="W101" i="32"/>
  <c r="AF101" i="32" s="1"/>
  <c r="V101" i="32"/>
  <c r="AE101" i="32" s="1"/>
  <c r="BJ100" i="32"/>
  <c r="BI100" i="32"/>
  <c r="AX100" i="32"/>
  <c r="AN100" i="32"/>
  <c r="AM100" i="32"/>
  <c r="W100" i="32"/>
  <c r="AF100" i="32" s="1"/>
  <c r="V100" i="32"/>
  <c r="AE100" i="32" s="1"/>
  <c r="BJ99" i="32"/>
  <c r="BI99" i="32"/>
  <c r="AX99" i="32"/>
  <c r="AN99" i="32"/>
  <c r="AM99" i="32"/>
  <c r="W99" i="32"/>
  <c r="AF99" i="32" s="1"/>
  <c r="V99" i="32"/>
  <c r="AE99" i="32" s="1"/>
  <c r="BJ98" i="32"/>
  <c r="BI98" i="32"/>
  <c r="AX98" i="32"/>
  <c r="AN98" i="32"/>
  <c r="AM98" i="32"/>
  <c r="W98" i="32"/>
  <c r="AF98" i="32" s="1"/>
  <c r="V98" i="32"/>
  <c r="AE98" i="32" s="1"/>
  <c r="BJ97" i="32"/>
  <c r="BI97" i="32"/>
  <c r="AX97" i="32"/>
  <c r="AN97" i="32"/>
  <c r="AM97" i="32"/>
  <c r="W97" i="32"/>
  <c r="V97" i="32"/>
  <c r="BJ95" i="32"/>
  <c r="BI95" i="32"/>
  <c r="AX95" i="32"/>
  <c r="AN95" i="32"/>
  <c r="AM95" i="32"/>
  <c r="W95" i="32"/>
  <c r="AF95" i="32" s="1"/>
  <c r="V95" i="32"/>
  <c r="AE95" i="32" s="1"/>
  <c r="BJ94" i="32"/>
  <c r="BI94" i="32"/>
  <c r="AX94" i="32"/>
  <c r="AN94" i="32"/>
  <c r="AM94" i="32"/>
  <c r="W94" i="32"/>
  <c r="AF94" i="32" s="1"/>
  <c r="V94" i="32"/>
  <c r="AE94" i="32" s="1"/>
  <c r="BJ93" i="32"/>
  <c r="BI93" i="32"/>
  <c r="AX93" i="32"/>
  <c r="AN93" i="32"/>
  <c r="AM93" i="32"/>
  <c r="W93" i="32"/>
  <c r="AF93" i="32" s="1"/>
  <c r="V93" i="32"/>
  <c r="AE93" i="32" s="1"/>
  <c r="BJ92" i="32"/>
  <c r="BI92" i="32"/>
  <c r="AX92" i="32"/>
  <c r="AN92" i="32"/>
  <c r="AM92" i="32"/>
  <c r="W92" i="32"/>
  <c r="AF92" i="32" s="1"/>
  <c r="V92" i="32"/>
  <c r="AE92" i="32" s="1"/>
  <c r="BJ91" i="32"/>
  <c r="BI91" i="32"/>
  <c r="AX91" i="32"/>
  <c r="AN91" i="32"/>
  <c r="AM91" i="32"/>
  <c r="W91" i="32"/>
  <c r="V91" i="32"/>
  <c r="BJ89" i="32"/>
  <c r="BI89" i="32"/>
  <c r="AX89" i="32"/>
  <c r="AN89" i="32"/>
  <c r="AM89" i="32"/>
  <c r="W89" i="32"/>
  <c r="AF89" i="32" s="1"/>
  <c r="V89" i="32"/>
  <c r="AE89" i="32" s="1"/>
  <c r="BJ88" i="32"/>
  <c r="BI88" i="32"/>
  <c r="AX88" i="32"/>
  <c r="AN88" i="32"/>
  <c r="AM88" i="32"/>
  <c r="W88" i="32"/>
  <c r="AF88" i="32" s="1"/>
  <c r="V88" i="32"/>
  <c r="AE88" i="32" s="1"/>
  <c r="BJ87" i="32"/>
  <c r="BI87" i="32"/>
  <c r="AX87" i="32"/>
  <c r="AN87" i="32"/>
  <c r="AM87" i="32"/>
  <c r="W87" i="32"/>
  <c r="AF87" i="32" s="1"/>
  <c r="V87" i="32"/>
  <c r="AE87" i="32" s="1"/>
  <c r="BJ86" i="32"/>
  <c r="BI86" i="32"/>
  <c r="AX86" i="32"/>
  <c r="AN86" i="32"/>
  <c r="AM86" i="32"/>
  <c r="W86" i="32"/>
  <c r="AF86" i="32" s="1"/>
  <c r="V86" i="32"/>
  <c r="AE86" i="32" s="1"/>
  <c r="BJ85" i="32"/>
  <c r="BI85" i="32"/>
  <c r="AX85" i="32"/>
  <c r="AN85" i="32"/>
  <c r="AM85" i="32"/>
  <c r="W85" i="32"/>
  <c r="V85" i="32"/>
  <c r="AE85" i="32" s="1"/>
  <c r="BJ83" i="32"/>
  <c r="BI83" i="32"/>
  <c r="AX83" i="32"/>
  <c r="AN83" i="32"/>
  <c r="AM83" i="32"/>
  <c r="W83" i="32"/>
  <c r="AF83" i="32" s="1"/>
  <c r="V83" i="32"/>
  <c r="AE83" i="32" s="1"/>
  <c r="BJ82" i="32"/>
  <c r="BI82" i="32"/>
  <c r="AX82" i="32"/>
  <c r="AN82" i="32"/>
  <c r="AM82" i="32"/>
  <c r="W82" i="32"/>
  <c r="AF82" i="32" s="1"/>
  <c r="AQ82" i="32" s="1"/>
  <c r="V82" i="32"/>
  <c r="AE82" i="32" s="1"/>
  <c r="BJ81" i="32"/>
  <c r="BI81" i="32"/>
  <c r="AX81" i="32"/>
  <c r="AN81" i="32"/>
  <c r="AM81" i="32"/>
  <c r="W81" i="32"/>
  <c r="AF81" i="32" s="1"/>
  <c r="V81" i="32"/>
  <c r="AE81" i="32" s="1"/>
  <c r="BJ80" i="32"/>
  <c r="BI80" i="32"/>
  <c r="AX80" i="32"/>
  <c r="AN80" i="32"/>
  <c r="AM80" i="32"/>
  <c r="W80" i="32"/>
  <c r="AF80" i="32" s="1"/>
  <c r="V80" i="32"/>
  <c r="AE80" i="32" s="1"/>
  <c r="BJ79" i="32"/>
  <c r="BI79" i="32"/>
  <c r="AX79" i="32"/>
  <c r="AN79" i="32"/>
  <c r="AM79" i="32"/>
  <c r="W79" i="32"/>
  <c r="AF79" i="32" s="1"/>
  <c r="V79" i="32"/>
  <c r="AE79" i="32" s="1"/>
  <c r="BJ78" i="32"/>
  <c r="BI78" i="32"/>
  <c r="AX78" i="32"/>
  <c r="AN78" i="32"/>
  <c r="AM78" i="32"/>
  <c r="W78" i="32"/>
  <c r="V78" i="32"/>
  <c r="BJ76" i="32"/>
  <c r="BI76" i="32"/>
  <c r="BK76" i="32" s="1"/>
  <c r="AX76" i="32"/>
  <c r="AN76" i="32"/>
  <c r="AM76" i="32"/>
  <c r="W76" i="32"/>
  <c r="AF76" i="32" s="1"/>
  <c r="V76" i="32"/>
  <c r="AE76" i="32" s="1"/>
  <c r="AG76" i="32" s="1"/>
  <c r="AS76" i="32" s="1"/>
  <c r="BJ75" i="32"/>
  <c r="BI75" i="32"/>
  <c r="AX75" i="32"/>
  <c r="AN75" i="32"/>
  <c r="AM75" i="32"/>
  <c r="W75" i="32"/>
  <c r="AF75" i="32" s="1"/>
  <c r="V75" i="32"/>
  <c r="AE75" i="32" s="1"/>
  <c r="BJ74" i="32"/>
  <c r="BI74" i="32"/>
  <c r="AX74" i="32"/>
  <c r="AN74" i="32"/>
  <c r="AM74" i="32"/>
  <c r="W74" i="32"/>
  <c r="AF74" i="32" s="1"/>
  <c r="V74" i="32"/>
  <c r="AE74" i="32" s="1"/>
  <c r="BJ73" i="32"/>
  <c r="BI73" i="32"/>
  <c r="BK73" i="32" s="1"/>
  <c r="AX73" i="32"/>
  <c r="AN73" i="32"/>
  <c r="AM73" i="32"/>
  <c r="W73" i="32"/>
  <c r="AF73" i="32" s="1"/>
  <c r="AQ73" i="32" s="1"/>
  <c r="V73" i="32"/>
  <c r="AE73" i="32" s="1"/>
  <c r="BJ72" i="32"/>
  <c r="BI72" i="32"/>
  <c r="AX72" i="32"/>
  <c r="AN72" i="32"/>
  <c r="AM72" i="32"/>
  <c r="W72" i="32"/>
  <c r="V72" i="32"/>
  <c r="BJ70" i="32"/>
  <c r="BI70" i="32"/>
  <c r="AX70" i="32"/>
  <c r="AN70" i="32"/>
  <c r="AM70" i="32"/>
  <c r="W70" i="32"/>
  <c r="AF70" i="32" s="1"/>
  <c r="V70" i="32"/>
  <c r="AE70" i="32" s="1"/>
  <c r="BJ69" i="32"/>
  <c r="BI69" i="32"/>
  <c r="AX69" i="32"/>
  <c r="AN69" i="32"/>
  <c r="AM69" i="32"/>
  <c r="W69" i="32"/>
  <c r="AF69" i="32" s="1"/>
  <c r="V69" i="32"/>
  <c r="AE69" i="32" s="1"/>
  <c r="BJ68" i="32"/>
  <c r="BI68" i="32"/>
  <c r="AX68" i="32"/>
  <c r="AN68" i="32"/>
  <c r="AM68" i="32"/>
  <c r="W68" i="32"/>
  <c r="AF68" i="32" s="1"/>
  <c r="V68" i="32"/>
  <c r="AE68" i="32" s="1"/>
  <c r="BJ67" i="32"/>
  <c r="BI67" i="32"/>
  <c r="AX67" i="32"/>
  <c r="AN67" i="32"/>
  <c r="AM67" i="32"/>
  <c r="W67" i="32"/>
  <c r="AF67" i="32" s="1"/>
  <c r="AQ67" i="32" s="1"/>
  <c r="V67" i="32"/>
  <c r="AE67" i="32" s="1"/>
  <c r="BJ66" i="32"/>
  <c r="BI66" i="32"/>
  <c r="AX66" i="32"/>
  <c r="AN66" i="32"/>
  <c r="AM66" i="32"/>
  <c r="W66" i="32"/>
  <c r="V66" i="32"/>
  <c r="BJ64" i="32"/>
  <c r="BI64" i="32"/>
  <c r="AX64" i="32"/>
  <c r="AN64" i="32"/>
  <c r="AM64" i="32"/>
  <c r="W64" i="32"/>
  <c r="AF64" i="32" s="1"/>
  <c r="V64" i="32"/>
  <c r="AE64" i="32" s="1"/>
  <c r="BJ63" i="32"/>
  <c r="BI63" i="32"/>
  <c r="AX63" i="32"/>
  <c r="AN63" i="32"/>
  <c r="AM63" i="32"/>
  <c r="W63" i="32"/>
  <c r="AF63" i="32" s="1"/>
  <c r="V63" i="32"/>
  <c r="AE63" i="32" s="1"/>
  <c r="BJ62" i="32"/>
  <c r="BI62" i="32"/>
  <c r="AX62" i="32"/>
  <c r="AN62" i="32"/>
  <c r="AM62" i="32"/>
  <c r="W62" i="32"/>
  <c r="AF62" i="32" s="1"/>
  <c r="V62" i="32"/>
  <c r="AE62" i="32" s="1"/>
  <c r="BJ61" i="32"/>
  <c r="BI61" i="32"/>
  <c r="AX61" i="32"/>
  <c r="AN61" i="32"/>
  <c r="AM61" i="32"/>
  <c r="W61" i="32"/>
  <c r="AF61" i="32" s="1"/>
  <c r="V61" i="32"/>
  <c r="AE61" i="32" s="1"/>
  <c r="BJ60" i="32"/>
  <c r="BI60" i="32"/>
  <c r="AX60" i="32"/>
  <c r="AN60" i="32"/>
  <c r="AM60" i="32"/>
  <c r="W60" i="32"/>
  <c r="AF60" i="32" s="1"/>
  <c r="V60" i="32"/>
  <c r="AE60" i="32" s="1"/>
  <c r="BJ59" i="32"/>
  <c r="BI59" i="32"/>
  <c r="AX59" i="32"/>
  <c r="AN59" i="32"/>
  <c r="AM59" i="32"/>
  <c r="W59" i="32"/>
  <c r="V59" i="32"/>
  <c r="BJ57" i="32"/>
  <c r="BI57" i="32"/>
  <c r="AX57" i="32"/>
  <c r="AN57" i="32"/>
  <c r="AO57" i="32" s="1"/>
  <c r="AM57" i="32"/>
  <c r="W57" i="32"/>
  <c r="AF57" i="32" s="1"/>
  <c r="V57" i="32"/>
  <c r="AE57" i="32" s="1"/>
  <c r="BJ56" i="32"/>
  <c r="BI56" i="32"/>
  <c r="AX56" i="32"/>
  <c r="AN56" i="32"/>
  <c r="AM56" i="32"/>
  <c r="W56" i="32"/>
  <c r="AF56" i="32" s="1"/>
  <c r="V56" i="32"/>
  <c r="AE56" i="32" s="1"/>
  <c r="BJ55" i="32"/>
  <c r="BI55" i="32"/>
  <c r="AX55" i="32"/>
  <c r="AN55" i="32"/>
  <c r="AM55" i="32"/>
  <c r="W55" i="32"/>
  <c r="AF55" i="32" s="1"/>
  <c r="V55" i="32"/>
  <c r="AE55" i="32" s="1"/>
  <c r="BJ54" i="32"/>
  <c r="BI54" i="32"/>
  <c r="AX54" i="32"/>
  <c r="AN54" i="32"/>
  <c r="AM54" i="32"/>
  <c r="W54" i="32"/>
  <c r="AF54" i="32" s="1"/>
  <c r="AQ54" i="32" s="1"/>
  <c r="V54" i="32"/>
  <c r="AE54" i="32" s="1"/>
  <c r="BJ53" i="32"/>
  <c r="BI53" i="32"/>
  <c r="AX53" i="32"/>
  <c r="AN53" i="32"/>
  <c r="AM53" i="32"/>
  <c r="W53" i="32"/>
  <c r="V53" i="32"/>
  <c r="BJ51" i="32"/>
  <c r="BI51" i="32"/>
  <c r="AX51" i="32"/>
  <c r="AN51" i="32"/>
  <c r="AM51" i="32"/>
  <c r="W51" i="32"/>
  <c r="AF51" i="32" s="1"/>
  <c r="V51" i="32"/>
  <c r="AE51" i="32" s="1"/>
  <c r="BJ50" i="32"/>
  <c r="BI50" i="32"/>
  <c r="AX50" i="32"/>
  <c r="AN50" i="32"/>
  <c r="AM50" i="32"/>
  <c r="AO50" i="32" s="1"/>
  <c r="W50" i="32"/>
  <c r="AF50" i="32" s="1"/>
  <c r="V50" i="32"/>
  <c r="AE50" i="32" s="1"/>
  <c r="BJ49" i="32"/>
  <c r="BI49" i="32"/>
  <c r="AX49" i="32"/>
  <c r="AN49" i="32"/>
  <c r="AM49" i="32"/>
  <c r="W49" i="32"/>
  <c r="AF49" i="32" s="1"/>
  <c r="V49" i="32"/>
  <c r="AE49" i="32" s="1"/>
  <c r="BJ48" i="32"/>
  <c r="BI48" i="32"/>
  <c r="AX48" i="32"/>
  <c r="AN48" i="32"/>
  <c r="AM48" i="32"/>
  <c r="W48" i="32"/>
  <c r="AF48" i="32" s="1"/>
  <c r="V48" i="32"/>
  <c r="AE48" i="32" s="1"/>
  <c r="BJ47" i="32"/>
  <c r="BI47" i="32"/>
  <c r="AX47" i="32"/>
  <c r="AN47" i="32"/>
  <c r="AM47" i="32"/>
  <c r="W47" i="32"/>
  <c r="AF47" i="32" s="1"/>
  <c r="V47" i="32"/>
  <c r="AE47" i="32" s="1"/>
  <c r="BJ46" i="32"/>
  <c r="BI46" i="32"/>
  <c r="AX46" i="32"/>
  <c r="AN46" i="32"/>
  <c r="AM46" i="32"/>
  <c r="W46" i="32"/>
  <c r="V46" i="32"/>
  <c r="AE46" i="32" s="1"/>
  <c r="BJ44" i="32"/>
  <c r="BJ45" i="32" s="1"/>
  <c r="BI44" i="32"/>
  <c r="AX44" i="32"/>
  <c r="AX45" i="32" s="1"/>
  <c r="AN44" i="32"/>
  <c r="AN45" i="32" s="1"/>
  <c r="AM44" i="32"/>
  <c r="W44" i="32"/>
  <c r="V44" i="32"/>
  <c r="BJ42" i="32"/>
  <c r="BI42" i="32"/>
  <c r="AX42" i="32"/>
  <c r="AN42" i="32"/>
  <c r="AM42" i="32"/>
  <c r="W42" i="32"/>
  <c r="AF42" i="32" s="1"/>
  <c r="V42" i="32"/>
  <c r="AE42" i="32" s="1"/>
  <c r="BJ41" i="32"/>
  <c r="BI41" i="32"/>
  <c r="AX41" i="32"/>
  <c r="AN41" i="32"/>
  <c r="AM41" i="32"/>
  <c r="W41" i="32"/>
  <c r="AF41" i="32" s="1"/>
  <c r="V41" i="32"/>
  <c r="AE41" i="32" s="1"/>
  <c r="BJ40" i="32"/>
  <c r="BI40" i="32"/>
  <c r="AX40" i="32"/>
  <c r="AN40" i="32"/>
  <c r="AM40" i="32"/>
  <c r="W40" i="32"/>
  <c r="V40" i="32"/>
  <c r="BJ38" i="32"/>
  <c r="BI38" i="32"/>
  <c r="AX38" i="32"/>
  <c r="AN38" i="32"/>
  <c r="AM38" i="32"/>
  <c r="AO38" i="32" s="1"/>
  <c r="W38" i="32"/>
  <c r="AF38" i="32" s="1"/>
  <c r="V38" i="32"/>
  <c r="AE38" i="32" s="1"/>
  <c r="BJ37" i="32"/>
  <c r="BI37" i="32"/>
  <c r="BK37" i="32" s="1"/>
  <c r="AX37" i="32"/>
  <c r="AN37" i="32"/>
  <c r="AM37" i="32"/>
  <c r="W37" i="32"/>
  <c r="AF37" i="32" s="1"/>
  <c r="V37" i="32"/>
  <c r="AE37" i="32" s="1"/>
  <c r="BJ36" i="32"/>
  <c r="BI36" i="32"/>
  <c r="AX36" i="32"/>
  <c r="AN36" i="32"/>
  <c r="AM36" i="32"/>
  <c r="W36" i="32"/>
  <c r="V36" i="32"/>
  <c r="BJ34" i="32"/>
  <c r="BI34" i="32"/>
  <c r="AX34" i="32"/>
  <c r="AN34" i="32"/>
  <c r="AM34" i="32"/>
  <c r="W34" i="32"/>
  <c r="AF34" i="32" s="1"/>
  <c r="V34" i="32"/>
  <c r="AE34" i="32" s="1"/>
  <c r="BJ33" i="32"/>
  <c r="BI33" i="32"/>
  <c r="AX33" i="32"/>
  <c r="AN33" i="32"/>
  <c r="AM33" i="32"/>
  <c r="AO33" i="32" s="1"/>
  <c r="W33" i="32"/>
  <c r="AF33" i="32" s="1"/>
  <c r="V33" i="32"/>
  <c r="AE33" i="32" s="1"/>
  <c r="BJ32" i="32"/>
  <c r="BI32" i="32"/>
  <c r="AX32" i="32"/>
  <c r="AN32" i="32"/>
  <c r="AM32" i="32"/>
  <c r="W32" i="32"/>
  <c r="V32" i="32"/>
  <c r="BJ30" i="32"/>
  <c r="BI30" i="32"/>
  <c r="AX30" i="32"/>
  <c r="AN30" i="32"/>
  <c r="AM30" i="32"/>
  <c r="W30" i="32"/>
  <c r="AF30" i="32" s="1"/>
  <c r="V30" i="32"/>
  <c r="AE30" i="32" s="1"/>
  <c r="BJ29" i="32"/>
  <c r="BI29" i="32"/>
  <c r="AX29" i="32"/>
  <c r="AN29" i="32"/>
  <c r="AM29" i="32"/>
  <c r="W29" i="32"/>
  <c r="AF29" i="32" s="1"/>
  <c r="V29" i="32"/>
  <c r="AE29" i="32" s="1"/>
  <c r="BJ28" i="32"/>
  <c r="BI28" i="32"/>
  <c r="AX28" i="32"/>
  <c r="AN28" i="32"/>
  <c r="AM28" i="32"/>
  <c r="W28" i="32"/>
  <c r="V28" i="32"/>
  <c r="BJ26" i="32"/>
  <c r="BI26" i="32"/>
  <c r="AX26" i="32"/>
  <c r="AN26" i="32"/>
  <c r="AM26" i="32"/>
  <c r="W26" i="32"/>
  <c r="AF26" i="32" s="1"/>
  <c r="V26" i="32"/>
  <c r="AE26" i="32" s="1"/>
  <c r="AG26" i="32" s="1"/>
  <c r="BJ25" i="32"/>
  <c r="BI25" i="32"/>
  <c r="AX25" i="32"/>
  <c r="AN25" i="32"/>
  <c r="AM25" i="32"/>
  <c r="W25" i="32"/>
  <c r="AF25" i="32" s="1"/>
  <c r="V25" i="32"/>
  <c r="AE25" i="32" s="1"/>
  <c r="BJ24" i="32"/>
  <c r="BI24" i="32"/>
  <c r="AX24" i="32"/>
  <c r="AN24" i="32"/>
  <c r="AM24" i="32"/>
  <c r="W24" i="32"/>
  <c r="AF24" i="32" s="1"/>
  <c r="V24" i="32"/>
  <c r="AE24" i="32" s="1"/>
  <c r="BJ23" i="32"/>
  <c r="BI23" i="32"/>
  <c r="AX23" i="32"/>
  <c r="AN23" i="32"/>
  <c r="AM23" i="32"/>
  <c r="W23" i="32"/>
  <c r="V23" i="32"/>
  <c r="BJ21" i="32"/>
  <c r="BI21" i="32"/>
  <c r="AX21" i="32"/>
  <c r="AN21" i="32"/>
  <c r="AM21" i="32"/>
  <c r="W21" i="32"/>
  <c r="AF21" i="32" s="1"/>
  <c r="V21" i="32"/>
  <c r="AE21" i="32" s="1"/>
  <c r="BJ20" i="32"/>
  <c r="BI20" i="32"/>
  <c r="AX20" i="32"/>
  <c r="AN20" i="32"/>
  <c r="AM20" i="32"/>
  <c r="W20" i="32"/>
  <c r="AF20" i="32" s="1"/>
  <c r="V20" i="32"/>
  <c r="AE20" i="32" s="1"/>
  <c r="BJ19" i="32"/>
  <c r="BI19" i="32"/>
  <c r="AX19" i="32"/>
  <c r="AN19" i="32"/>
  <c r="AM19" i="32"/>
  <c r="W19" i="32"/>
  <c r="AF19" i="32" s="1"/>
  <c r="V19" i="32"/>
  <c r="AE19" i="32" s="1"/>
  <c r="BJ18" i="32"/>
  <c r="BI18" i="32"/>
  <c r="AX18" i="32"/>
  <c r="AN18" i="32"/>
  <c r="AM18" i="32"/>
  <c r="W18" i="32"/>
  <c r="V18" i="32"/>
  <c r="AE18" i="32" s="1"/>
  <c r="BJ16" i="32"/>
  <c r="BI16" i="32"/>
  <c r="AX16" i="32"/>
  <c r="AN16" i="32"/>
  <c r="AM16" i="32"/>
  <c r="W16" i="32"/>
  <c r="AF16" i="32" s="1"/>
  <c r="V16" i="32"/>
  <c r="AE16" i="32" s="1"/>
  <c r="BJ15" i="32"/>
  <c r="BI15" i="32"/>
  <c r="AX15" i="32"/>
  <c r="AN15" i="32"/>
  <c r="AM15" i="32"/>
  <c r="W15" i="32"/>
  <c r="AF15" i="32" s="1"/>
  <c r="V15" i="32"/>
  <c r="AE15" i="32" s="1"/>
  <c r="BJ14" i="32"/>
  <c r="BI14" i="32"/>
  <c r="AX14" i="32"/>
  <c r="AN14" i="32"/>
  <c r="AM14" i="32"/>
  <c r="W14" i="32"/>
  <c r="V14" i="32"/>
  <c r="BJ12" i="32"/>
  <c r="BJ13" i="32" s="1"/>
  <c r="BI12" i="32"/>
  <c r="BI13" i="32" s="1"/>
  <c r="AX12" i="32"/>
  <c r="AX13" i="32" s="1"/>
  <c r="AN12" i="32"/>
  <c r="AN13" i="32" s="1"/>
  <c r="AM12" i="32"/>
  <c r="AM13" i="32" s="1"/>
  <c r="W12" i="32"/>
  <c r="V12" i="32"/>
  <c r="BJ12" i="31"/>
  <c r="BI12" i="31"/>
  <c r="AX12" i="31"/>
  <c r="AN12" i="31"/>
  <c r="AM12" i="31"/>
  <c r="W12" i="31"/>
  <c r="AF12" i="31" s="1"/>
  <c r="V12" i="31"/>
  <c r="AE12" i="31" s="1"/>
  <c r="BJ12" i="30"/>
  <c r="BI12" i="30"/>
  <c r="AX12" i="30"/>
  <c r="AX15" i="30" s="1"/>
  <c r="AN12" i="30"/>
  <c r="AM12" i="30"/>
  <c r="W12" i="30"/>
  <c r="V12" i="30"/>
  <c r="BJ12" i="29"/>
  <c r="BJ13" i="29" s="1"/>
  <c r="BI12" i="29"/>
  <c r="BI13" i="29" s="1"/>
  <c r="AX12" i="29"/>
  <c r="AX13" i="29" s="1"/>
  <c r="AN12" i="29"/>
  <c r="AN13" i="29" s="1"/>
  <c r="AM12" i="29"/>
  <c r="AO12" i="29" s="1"/>
  <c r="AO13" i="29" s="1"/>
  <c r="W12" i="29"/>
  <c r="V12" i="29"/>
  <c r="BJ12" i="44"/>
  <c r="BJ13" i="44" s="1"/>
  <c r="BI12" i="44"/>
  <c r="AX12" i="44"/>
  <c r="AX13" i="44" s="1"/>
  <c r="AN12" i="44"/>
  <c r="AN13" i="44" s="1"/>
  <c r="AM12" i="44"/>
  <c r="AM13" i="44" s="1"/>
  <c r="W12" i="44"/>
  <c r="AF12" i="44" s="1"/>
  <c r="V12" i="44"/>
  <c r="AE12" i="44" s="1"/>
  <c r="AE13" i="44" s="1"/>
  <c r="V14" i="43"/>
  <c r="AE14" i="43" s="1"/>
  <c r="W14" i="43"/>
  <c r="AF14" i="43" s="1"/>
  <c r="AM14" i="43"/>
  <c r="AN14" i="43"/>
  <c r="AX14" i="43"/>
  <c r="BI14" i="43"/>
  <c r="BJ14" i="43"/>
  <c r="V15" i="43"/>
  <c r="AE15" i="43" s="1"/>
  <c r="W15" i="43"/>
  <c r="AF15" i="43" s="1"/>
  <c r="AM15" i="43"/>
  <c r="AN15" i="43"/>
  <c r="AX15" i="43"/>
  <c r="BI15" i="43"/>
  <c r="BJ15" i="43"/>
  <c r="V16" i="43"/>
  <c r="AE16" i="43" s="1"/>
  <c r="W16" i="43"/>
  <c r="AF16" i="43" s="1"/>
  <c r="AM16" i="43"/>
  <c r="AN16" i="43"/>
  <c r="AX16" i="43"/>
  <c r="BI16" i="43"/>
  <c r="BJ16" i="43"/>
  <c r="V17" i="43"/>
  <c r="AE17" i="43" s="1"/>
  <c r="W17" i="43"/>
  <c r="AF17" i="43" s="1"/>
  <c r="AM17" i="43"/>
  <c r="AN17" i="43"/>
  <c r="AX17" i="43"/>
  <c r="BI17" i="43"/>
  <c r="BJ17" i="43"/>
  <c r="V19" i="43"/>
  <c r="W19" i="43"/>
  <c r="AF19" i="43" s="1"/>
  <c r="AM19" i="43"/>
  <c r="AN19" i="43"/>
  <c r="AX19" i="43"/>
  <c r="BI19" i="43"/>
  <c r="BJ19" i="43"/>
  <c r="V20" i="43"/>
  <c r="AE20" i="43" s="1"/>
  <c r="W20" i="43"/>
  <c r="AF20" i="43" s="1"/>
  <c r="AM20" i="43"/>
  <c r="AN20" i="43"/>
  <c r="AX20" i="43"/>
  <c r="BI20" i="43"/>
  <c r="BJ20" i="43"/>
  <c r="V21" i="43"/>
  <c r="AE21" i="43" s="1"/>
  <c r="W21" i="43"/>
  <c r="AF21" i="43" s="1"/>
  <c r="AM21" i="43"/>
  <c r="AN21" i="43"/>
  <c r="AX21" i="43"/>
  <c r="BI21" i="43"/>
  <c r="BJ21" i="43"/>
  <c r="V23" i="43"/>
  <c r="AE23" i="43" s="1"/>
  <c r="W23" i="43"/>
  <c r="AF23" i="43" s="1"/>
  <c r="AM23" i="43"/>
  <c r="AN23" i="43"/>
  <c r="AX23" i="43"/>
  <c r="BI23" i="43"/>
  <c r="BJ23" i="43"/>
  <c r="V24" i="43"/>
  <c r="AE24" i="43" s="1"/>
  <c r="W24" i="43"/>
  <c r="AF24" i="43" s="1"/>
  <c r="AM24" i="43"/>
  <c r="AN24" i="43"/>
  <c r="AX24" i="43"/>
  <c r="BI24" i="43"/>
  <c r="BJ24" i="43"/>
  <c r="V25" i="43"/>
  <c r="AE25" i="43" s="1"/>
  <c r="W25" i="43"/>
  <c r="AF25" i="43" s="1"/>
  <c r="AM25" i="43"/>
  <c r="AN25" i="43"/>
  <c r="AX25" i="43"/>
  <c r="BI25" i="43"/>
  <c r="BJ25" i="43"/>
  <c r="V26" i="43"/>
  <c r="AE26" i="43" s="1"/>
  <c r="W26" i="43"/>
  <c r="AF26" i="43" s="1"/>
  <c r="AM26" i="43"/>
  <c r="AN26" i="43"/>
  <c r="AX26" i="43"/>
  <c r="BI26" i="43"/>
  <c r="BJ26" i="43"/>
  <c r="V28" i="43"/>
  <c r="W28" i="43"/>
  <c r="AF28" i="43" s="1"/>
  <c r="AM28" i="43"/>
  <c r="AN28" i="43"/>
  <c r="AX28" i="43"/>
  <c r="BI28" i="43"/>
  <c r="BJ28" i="43"/>
  <c r="V29" i="43"/>
  <c r="AE29" i="43" s="1"/>
  <c r="W29" i="43"/>
  <c r="AF29" i="43" s="1"/>
  <c r="AM29" i="43"/>
  <c r="AN29" i="43"/>
  <c r="AX29" i="43"/>
  <c r="BI29" i="43"/>
  <c r="BJ29" i="43"/>
  <c r="V30" i="43"/>
  <c r="AE30" i="43" s="1"/>
  <c r="W30" i="43"/>
  <c r="AF30" i="43" s="1"/>
  <c r="AM30" i="43"/>
  <c r="AN30" i="43"/>
  <c r="AX30" i="43"/>
  <c r="BI30" i="43"/>
  <c r="BJ30" i="43"/>
  <c r="V32" i="43"/>
  <c r="AE32" i="43" s="1"/>
  <c r="W32" i="43"/>
  <c r="AF32" i="43" s="1"/>
  <c r="AM32" i="43"/>
  <c r="AN32" i="43"/>
  <c r="AX32" i="43"/>
  <c r="BI32" i="43"/>
  <c r="BJ32" i="43"/>
  <c r="V33" i="43"/>
  <c r="AE33" i="43" s="1"/>
  <c r="W33" i="43"/>
  <c r="AF33" i="43" s="1"/>
  <c r="AM33" i="43"/>
  <c r="AN33" i="43"/>
  <c r="AX33" i="43"/>
  <c r="BI33" i="43"/>
  <c r="BJ33" i="43"/>
  <c r="V34" i="43"/>
  <c r="AE34" i="43" s="1"/>
  <c r="W34" i="43"/>
  <c r="AF34" i="43" s="1"/>
  <c r="AM34" i="43"/>
  <c r="AN34" i="43"/>
  <c r="AX34" i="43"/>
  <c r="BI34" i="43"/>
  <c r="BJ34" i="43"/>
  <c r="V36" i="43"/>
  <c r="AE36" i="43" s="1"/>
  <c r="W36" i="43"/>
  <c r="AF36" i="43" s="1"/>
  <c r="AM36" i="43"/>
  <c r="AN36" i="43"/>
  <c r="AX36" i="43"/>
  <c r="BI36" i="43"/>
  <c r="BJ36" i="43"/>
  <c r="V37" i="43"/>
  <c r="AE37" i="43" s="1"/>
  <c r="W37" i="43"/>
  <c r="AF37" i="43" s="1"/>
  <c r="AM37" i="43"/>
  <c r="AN37" i="43"/>
  <c r="AX37" i="43"/>
  <c r="BI37" i="43"/>
  <c r="BJ37" i="43"/>
  <c r="V38" i="43"/>
  <c r="AE38" i="43" s="1"/>
  <c r="W38" i="43"/>
  <c r="AF38" i="43" s="1"/>
  <c r="AM38" i="43"/>
  <c r="AN38" i="43"/>
  <c r="AX38" i="43"/>
  <c r="BI38" i="43"/>
  <c r="BJ38" i="43"/>
  <c r="V40" i="43"/>
  <c r="W40" i="43"/>
  <c r="AF40" i="43" s="1"/>
  <c r="AM40" i="43"/>
  <c r="AN40" i="43"/>
  <c r="AX40" i="43"/>
  <c r="BI40" i="43"/>
  <c r="BJ40" i="43"/>
  <c r="V42" i="43"/>
  <c r="AE42" i="43" s="1"/>
  <c r="W42" i="43"/>
  <c r="AF42" i="43" s="1"/>
  <c r="AM42" i="43"/>
  <c r="AN42" i="43"/>
  <c r="AX42" i="43"/>
  <c r="BI42" i="43"/>
  <c r="BJ42" i="43"/>
  <c r="V44" i="43"/>
  <c r="W44" i="43"/>
  <c r="AF44" i="43" s="1"/>
  <c r="AM44" i="43"/>
  <c r="AN44" i="43"/>
  <c r="AX44" i="43"/>
  <c r="BI44" i="43"/>
  <c r="BJ44" i="43"/>
  <c r="V45" i="43"/>
  <c r="AE45" i="43" s="1"/>
  <c r="W45" i="43"/>
  <c r="AF45" i="43" s="1"/>
  <c r="AM45" i="43"/>
  <c r="AN45" i="43"/>
  <c r="AX45" i="43"/>
  <c r="BI45" i="43"/>
  <c r="BJ45" i="43"/>
  <c r="V46" i="43"/>
  <c r="AE46" i="43" s="1"/>
  <c r="W46" i="43"/>
  <c r="AF46" i="43" s="1"/>
  <c r="AM46" i="43"/>
  <c r="AN46" i="43"/>
  <c r="AX46" i="43"/>
  <c r="BI46" i="43"/>
  <c r="BJ46" i="43"/>
  <c r="V48" i="43"/>
  <c r="AE48" i="43" s="1"/>
  <c r="W48" i="43"/>
  <c r="AF48" i="43" s="1"/>
  <c r="AM48" i="43"/>
  <c r="AN48" i="43"/>
  <c r="AX48" i="43"/>
  <c r="BI48" i="43"/>
  <c r="BJ48" i="43"/>
  <c r="V49" i="43"/>
  <c r="AE49" i="43" s="1"/>
  <c r="W49" i="43"/>
  <c r="AF49" i="43" s="1"/>
  <c r="AM49" i="43"/>
  <c r="AN49" i="43"/>
  <c r="AX49" i="43"/>
  <c r="BI49" i="43"/>
  <c r="BJ49" i="43"/>
  <c r="V51" i="43"/>
  <c r="AE51" i="43" s="1"/>
  <c r="W51" i="43"/>
  <c r="AF51" i="43" s="1"/>
  <c r="AM51" i="43"/>
  <c r="AN51" i="43"/>
  <c r="AX51" i="43"/>
  <c r="BI51" i="43"/>
  <c r="BJ51" i="43"/>
  <c r="V52" i="43"/>
  <c r="AE52" i="43" s="1"/>
  <c r="W52" i="43"/>
  <c r="AF52" i="43" s="1"/>
  <c r="AM52" i="43"/>
  <c r="AN52" i="43"/>
  <c r="AX52" i="43"/>
  <c r="BI52" i="43"/>
  <c r="BJ52" i="43"/>
  <c r="V54" i="43"/>
  <c r="AE54" i="43" s="1"/>
  <c r="W54" i="43"/>
  <c r="AF54" i="43" s="1"/>
  <c r="AM54" i="43"/>
  <c r="AN54" i="43"/>
  <c r="AX54" i="43"/>
  <c r="BI54" i="43"/>
  <c r="BJ54" i="43"/>
  <c r="V55" i="43"/>
  <c r="AE55" i="43" s="1"/>
  <c r="W55" i="43"/>
  <c r="AF55" i="43" s="1"/>
  <c r="AM55" i="43"/>
  <c r="AN55" i="43"/>
  <c r="AX55" i="43"/>
  <c r="BI55" i="43"/>
  <c r="BJ55" i="43"/>
  <c r="V57" i="43"/>
  <c r="W57" i="43"/>
  <c r="AF57" i="43" s="1"/>
  <c r="AM57" i="43"/>
  <c r="AN57" i="43"/>
  <c r="AX57" i="43"/>
  <c r="BI57" i="43"/>
  <c r="BJ57" i="43"/>
  <c r="V58" i="43"/>
  <c r="AE58" i="43" s="1"/>
  <c r="W58" i="43"/>
  <c r="AF58" i="43" s="1"/>
  <c r="AM58" i="43"/>
  <c r="AN58" i="43"/>
  <c r="AX58" i="43"/>
  <c r="BI58" i="43"/>
  <c r="BJ58" i="43"/>
  <c r="V59" i="43"/>
  <c r="AE59" i="43" s="1"/>
  <c r="W59" i="43"/>
  <c r="AF59" i="43" s="1"/>
  <c r="AM59" i="43"/>
  <c r="AN59" i="43"/>
  <c r="AX59" i="43"/>
  <c r="BI59" i="43"/>
  <c r="BJ59" i="43"/>
  <c r="V61" i="43"/>
  <c r="W61" i="43"/>
  <c r="AF61" i="43" s="1"/>
  <c r="AM61" i="43"/>
  <c r="AN61" i="43"/>
  <c r="AX61" i="43"/>
  <c r="BI61" i="43"/>
  <c r="BJ61" i="43"/>
  <c r="V62" i="43"/>
  <c r="AE62" i="43" s="1"/>
  <c r="W62" i="43"/>
  <c r="AF62" i="43" s="1"/>
  <c r="AM62" i="43"/>
  <c r="AN62" i="43"/>
  <c r="AX62" i="43"/>
  <c r="BI62" i="43"/>
  <c r="BJ62" i="43"/>
  <c r="V63" i="43"/>
  <c r="AE63" i="43" s="1"/>
  <c r="W63" i="43"/>
  <c r="AF63" i="43" s="1"/>
  <c r="AM63" i="43"/>
  <c r="AN63" i="43"/>
  <c r="AX63" i="43"/>
  <c r="BI63" i="43"/>
  <c r="BJ63" i="43"/>
  <c r="V65" i="43"/>
  <c r="W65" i="43"/>
  <c r="AF65" i="43" s="1"/>
  <c r="AM65" i="43"/>
  <c r="AN65" i="43"/>
  <c r="AX65" i="43"/>
  <c r="BI65" i="43"/>
  <c r="BJ65" i="43"/>
  <c r="V66" i="43"/>
  <c r="AE66" i="43" s="1"/>
  <c r="W66" i="43"/>
  <c r="AF66" i="43" s="1"/>
  <c r="AM66" i="43"/>
  <c r="AN66" i="43"/>
  <c r="AX66" i="43"/>
  <c r="BI66" i="43"/>
  <c r="BJ66" i="43"/>
  <c r="V67" i="43"/>
  <c r="AE67" i="43" s="1"/>
  <c r="W67" i="43"/>
  <c r="AF67" i="43" s="1"/>
  <c r="AM67" i="43"/>
  <c r="AN67" i="43"/>
  <c r="AX67" i="43"/>
  <c r="BI67" i="43"/>
  <c r="BJ67" i="43"/>
  <c r="V69" i="43"/>
  <c r="W69" i="43"/>
  <c r="AM69" i="43"/>
  <c r="AN69" i="43"/>
  <c r="AX69" i="43"/>
  <c r="BI69" i="43"/>
  <c r="BJ69" i="43"/>
  <c r="V70" i="43"/>
  <c r="AE70" i="43" s="1"/>
  <c r="W70" i="43"/>
  <c r="AF70" i="43" s="1"/>
  <c r="AM70" i="43"/>
  <c r="AN70" i="43"/>
  <c r="AX70" i="43"/>
  <c r="BI70" i="43"/>
  <c r="BJ70" i="43"/>
  <c r="V72" i="43"/>
  <c r="W72" i="43"/>
  <c r="AF72" i="43" s="1"/>
  <c r="AM72" i="43"/>
  <c r="AN72" i="43"/>
  <c r="AX72" i="43"/>
  <c r="BI72" i="43"/>
  <c r="BJ72" i="43"/>
  <c r="V73" i="43"/>
  <c r="AE73" i="43" s="1"/>
  <c r="W73" i="43"/>
  <c r="AF73" i="43" s="1"/>
  <c r="AM73" i="43"/>
  <c r="AN73" i="43"/>
  <c r="AX73" i="43"/>
  <c r="BI73" i="43"/>
  <c r="BJ73" i="43"/>
  <c r="V74" i="43"/>
  <c r="AE74" i="43" s="1"/>
  <c r="W74" i="43"/>
  <c r="AF74" i="43" s="1"/>
  <c r="AM74" i="43"/>
  <c r="AN74" i="43"/>
  <c r="AX74" i="43"/>
  <c r="BI74" i="43"/>
  <c r="BJ74" i="43"/>
  <c r="V75" i="43"/>
  <c r="AE75" i="43" s="1"/>
  <c r="W75" i="43"/>
  <c r="AF75" i="43" s="1"/>
  <c r="AM75" i="43"/>
  <c r="AN75" i="43"/>
  <c r="AX75" i="43"/>
  <c r="BI75" i="43"/>
  <c r="BJ75" i="43"/>
  <c r="V77" i="43"/>
  <c r="W77" i="43"/>
  <c r="AF77" i="43" s="1"/>
  <c r="AM77" i="43"/>
  <c r="AN77" i="43"/>
  <c r="AX77" i="43"/>
  <c r="BI77" i="43"/>
  <c r="BJ77" i="43"/>
  <c r="V78" i="43"/>
  <c r="AE78" i="43" s="1"/>
  <c r="W78" i="43"/>
  <c r="AF78" i="43" s="1"/>
  <c r="AM78" i="43"/>
  <c r="AN78" i="43"/>
  <c r="AX78" i="43"/>
  <c r="BI78" i="43"/>
  <c r="BJ78" i="43"/>
  <c r="V79" i="43"/>
  <c r="AE79" i="43" s="1"/>
  <c r="W79" i="43"/>
  <c r="AF79" i="43" s="1"/>
  <c r="AM79" i="43"/>
  <c r="AN79" i="43"/>
  <c r="AX79" i="43"/>
  <c r="BI79" i="43"/>
  <c r="BJ79" i="43"/>
  <c r="V81" i="43"/>
  <c r="AE81" i="43" s="1"/>
  <c r="W81" i="43"/>
  <c r="AM81" i="43"/>
  <c r="AN81" i="43"/>
  <c r="AX81" i="43"/>
  <c r="BI81" i="43"/>
  <c r="BJ81" i="43"/>
  <c r="V82" i="43"/>
  <c r="AE82" i="43" s="1"/>
  <c r="W82" i="43"/>
  <c r="AF82" i="43" s="1"/>
  <c r="AM82" i="43"/>
  <c r="AN82" i="43"/>
  <c r="AX82" i="43"/>
  <c r="BI82" i="43"/>
  <c r="BJ82" i="43"/>
  <c r="V83" i="43"/>
  <c r="AE83" i="43" s="1"/>
  <c r="W83" i="43"/>
  <c r="AF83" i="43" s="1"/>
  <c r="AM83" i="43"/>
  <c r="AN83" i="43"/>
  <c r="AX83" i="43"/>
  <c r="BI83" i="43"/>
  <c r="BJ83" i="43"/>
  <c r="V85" i="43"/>
  <c r="W85" i="43"/>
  <c r="AM85" i="43"/>
  <c r="AN85" i="43"/>
  <c r="AX85" i="43"/>
  <c r="BI85" i="43"/>
  <c r="BJ85" i="43"/>
  <c r="V86" i="43"/>
  <c r="AE86" i="43" s="1"/>
  <c r="W86" i="43"/>
  <c r="AF86" i="43" s="1"/>
  <c r="AM86" i="43"/>
  <c r="AN86" i="43"/>
  <c r="AX86" i="43"/>
  <c r="BI86" i="43"/>
  <c r="BJ86" i="43"/>
  <c r="V87" i="43"/>
  <c r="AE87" i="43" s="1"/>
  <c r="W87" i="43"/>
  <c r="AF87" i="43" s="1"/>
  <c r="AM87" i="43"/>
  <c r="AN87" i="43"/>
  <c r="AX87" i="43"/>
  <c r="BI87" i="43"/>
  <c r="BJ87" i="43"/>
  <c r="V89" i="43"/>
  <c r="W89" i="43"/>
  <c r="AF89" i="43" s="1"/>
  <c r="AM89" i="43"/>
  <c r="AN89" i="43"/>
  <c r="AX89" i="43"/>
  <c r="BI89" i="43"/>
  <c r="BJ89" i="43"/>
  <c r="V90" i="43"/>
  <c r="AE90" i="43" s="1"/>
  <c r="W90" i="43"/>
  <c r="AF90" i="43" s="1"/>
  <c r="AM90" i="43"/>
  <c r="AN90" i="43"/>
  <c r="AX90" i="43"/>
  <c r="BI90" i="43"/>
  <c r="BJ90" i="43"/>
  <c r="V91" i="43"/>
  <c r="AE91" i="43" s="1"/>
  <c r="W91" i="43"/>
  <c r="AF91" i="43" s="1"/>
  <c r="AM91" i="43"/>
  <c r="AN91" i="43"/>
  <c r="AX91" i="43"/>
  <c r="BI91" i="43"/>
  <c r="BJ91" i="43"/>
  <c r="V93" i="43"/>
  <c r="W93" i="43"/>
  <c r="AF93" i="43" s="1"/>
  <c r="AM93" i="43"/>
  <c r="AN93" i="43"/>
  <c r="AX93" i="43"/>
  <c r="BI93" i="43"/>
  <c r="BJ93" i="43"/>
  <c r="V94" i="43"/>
  <c r="AE94" i="43" s="1"/>
  <c r="W94" i="43"/>
  <c r="AF94" i="43" s="1"/>
  <c r="AM94" i="43"/>
  <c r="AN94" i="43"/>
  <c r="AX94" i="43"/>
  <c r="BI94" i="43"/>
  <c r="BJ94" i="43"/>
  <c r="V95" i="43"/>
  <c r="AE95" i="43" s="1"/>
  <c r="W95" i="43"/>
  <c r="AF95" i="43" s="1"/>
  <c r="AM95" i="43"/>
  <c r="AN95" i="43"/>
  <c r="AX95" i="43"/>
  <c r="BI95" i="43"/>
  <c r="BJ95" i="43"/>
  <c r="V97" i="43"/>
  <c r="AE97" i="43" s="1"/>
  <c r="W97" i="43"/>
  <c r="AF97" i="43" s="1"/>
  <c r="AM97" i="43"/>
  <c r="AN97" i="43"/>
  <c r="AX97" i="43"/>
  <c r="BI97" i="43"/>
  <c r="BJ97" i="43"/>
  <c r="V98" i="43"/>
  <c r="AE98" i="43" s="1"/>
  <c r="W98" i="43"/>
  <c r="AF98" i="43" s="1"/>
  <c r="AM98" i="43"/>
  <c r="AN98" i="43"/>
  <c r="AX98" i="43"/>
  <c r="BI98" i="43"/>
  <c r="BJ98" i="43"/>
  <c r="V99" i="43"/>
  <c r="AE99" i="43" s="1"/>
  <c r="W99" i="43"/>
  <c r="AF99" i="43" s="1"/>
  <c r="AM99" i="43"/>
  <c r="AN99" i="43"/>
  <c r="AX99" i="43"/>
  <c r="BI99" i="43"/>
  <c r="BJ99" i="43"/>
  <c r="V101" i="43"/>
  <c r="AE101" i="43" s="1"/>
  <c r="W101" i="43"/>
  <c r="AM101" i="43"/>
  <c r="AN101" i="43"/>
  <c r="AX101" i="43"/>
  <c r="BI101" i="43"/>
  <c r="BJ101" i="43"/>
  <c r="V102" i="43"/>
  <c r="AE102" i="43" s="1"/>
  <c r="W102" i="43"/>
  <c r="AF102" i="43" s="1"/>
  <c r="AM102" i="43"/>
  <c r="AN102" i="43"/>
  <c r="AX102" i="43"/>
  <c r="BI102" i="43"/>
  <c r="BJ102" i="43"/>
  <c r="V103" i="43"/>
  <c r="AE103" i="43" s="1"/>
  <c r="W103" i="43"/>
  <c r="AF103" i="43" s="1"/>
  <c r="AM103" i="43"/>
  <c r="AN103" i="43"/>
  <c r="AX103" i="43"/>
  <c r="BI103" i="43"/>
  <c r="BJ103" i="43"/>
  <c r="V105" i="43"/>
  <c r="W105" i="43"/>
  <c r="AM105" i="43"/>
  <c r="AN105" i="43"/>
  <c r="AX105" i="43"/>
  <c r="BI105" i="43"/>
  <c r="BJ105" i="43"/>
  <c r="V106" i="43"/>
  <c r="AE106" i="43" s="1"/>
  <c r="W106" i="43"/>
  <c r="AF106" i="43" s="1"/>
  <c r="AM106" i="43"/>
  <c r="AN106" i="43"/>
  <c r="AX106" i="43"/>
  <c r="BI106" i="43"/>
  <c r="BJ106" i="43"/>
  <c r="V108" i="43"/>
  <c r="AE108" i="43" s="1"/>
  <c r="W108" i="43"/>
  <c r="AM108" i="43"/>
  <c r="AN108" i="43"/>
  <c r="AX108" i="43"/>
  <c r="BI108" i="43"/>
  <c r="BJ108" i="43"/>
  <c r="V109" i="43"/>
  <c r="AE109" i="43" s="1"/>
  <c r="W109" i="43"/>
  <c r="AF109" i="43" s="1"/>
  <c r="AM109" i="43"/>
  <c r="AN109" i="43"/>
  <c r="AX109" i="43"/>
  <c r="BI109" i="43"/>
  <c r="BJ109" i="43"/>
  <c r="V110" i="43"/>
  <c r="AE110" i="43" s="1"/>
  <c r="W110" i="43"/>
  <c r="AF110" i="43" s="1"/>
  <c r="AM110" i="43"/>
  <c r="AN110" i="43"/>
  <c r="AX110" i="43"/>
  <c r="BI110" i="43"/>
  <c r="BJ110" i="43"/>
  <c r="V112" i="43"/>
  <c r="W112" i="43"/>
  <c r="AM112" i="43"/>
  <c r="AN112" i="43"/>
  <c r="AX112" i="43"/>
  <c r="BI112" i="43"/>
  <c r="BJ112" i="43"/>
  <c r="V113" i="43"/>
  <c r="AE113" i="43" s="1"/>
  <c r="W113" i="43"/>
  <c r="AF113" i="43" s="1"/>
  <c r="AM113" i="43"/>
  <c r="AN113" i="43"/>
  <c r="AX113" i="43"/>
  <c r="BI113" i="43"/>
  <c r="BJ113" i="43"/>
  <c r="V114" i="43"/>
  <c r="AE114" i="43" s="1"/>
  <c r="W114" i="43"/>
  <c r="AF114" i="43" s="1"/>
  <c r="AM114" i="43"/>
  <c r="AN114" i="43"/>
  <c r="AX114" i="43"/>
  <c r="BI114" i="43"/>
  <c r="BJ114" i="43"/>
  <c r="V116" i="43"/>
  <c r="W116" i="43"/>
  <c r="AM116" i="43"/>
  <c r="AN116" i="43"/>
  <c r="AX116" i="43"/>
  <c r="BI116" i="43"/>
  <c r="BJ116" i="43"/>
  <c r="V117" i="43"/>
  <c r="AE117" i="43" s="1"/>
  <c r="W117" i="43"/>
  <c r="AF117" i="43" s="1"/>
  <c r="AM117" i="43"/>
  <c r="AN117" i="43"/>
  <c r="AX117" i="43"/>
  <c r="BI117" i="43"/>
  <c r="BJ117" i="43"/>
  <c r="V119" i="43"/>
  <c r="W119" i="43"/>
  <c r="AM119" i="43"/>
  <c r="AN119" i="43"/>
  <c r="AX119" i="43"/>
  <c r="BI119" i="43"/>
  <c r="BJ119" i="43"/>
  <c r="V120" i="43"/>
  <c r="AE120" i="43" s="1"/>
  <c r="W120" i="43"/>
  <c r="AF120" i="43" s="1"/>
  <c r="AM120" i="43"/>
  <c r="AN120" i="43"/>
  <c r="AX120" i="43"/>
  <c r="BI120" i="43"/>
  <c r="BJ120" i="43"/>
  <c r="V121" i="43"/>
  <c r="AE121" i="43" s="1"/>
  <c r="W121" i="43"/>
  <c r="AF121" i="43" s="1"/>
  <c r="AM121" i="43"/>
  <c r="AN121" i="43"/>
  <c r="AX121" i="43"/>
  <c r="BI121" i="43"/>
  <c r="BJ121" i="43"/>
  <c r="V123" i="43"/>
  <c r="AE123" i="43" s="1"/>
  <c r="W123" i="43"/>
  <c r="AF123" i="43" s="1"/>
  <c r="AM123" i="43"/>
  <c r="AN123" i="43"/>
  <c r="AX123" i="43"/>
  <c r="BI123" i="43"/>
  <c r="BJ123" i="43"/>
  <c r="V124" i="43"/>
  <c r="AE124" i="43" s="1"/>
  <c r="W124" i="43"/>
  <c r="AF124" i="43" s="1"/>
  <c r="AM124" i="43"/>
  <c r="AN124" i="43"/>
  <c r="AX124" i="43"/>
  <c r="BI124" i="43"/>
  <c r="BJ124" i="43"/>
  <c r="V125" i="43"/>
  <c r="AE125" i="43" s="1"/>
  <c r="W125" i="43"/>
  <c r="AF125" i="43" s="1"/>
  <c r="AM125" i="43"/>
  <c r="AN125" i="43"/>
  <c r="AX125" i="43"/>
  <c r="BI125" i="43"/>
  <c r="BJ125" i="43"/>
  <c r="V126" i="43"/>
  <c r="AE126" i="43" s="1"/>
  <c r="W126" i="43"/>
  <c r="AF126" i="43" s="1"/>
  <c r="AM126" i="43"/>
  <c r="AN126" i="43"/>
  <c r="AX126" i="43"/>
  <c r="BI126" i="43"/>
  <c r="BJ126" i="43"/>
  <c r="V128" i="43"/>
  <c r="W128" i="43"/>
  <c r="AM128" i="43"/>
  <c r="AN128" i="43"/>
  <c r="AX128" i="43"/>
  <c r="BI128" i="43"/>
  <c r="BJ128" i="43"/>
  <c r="V129" i="43"/>
  <c r="AE129" i="43" s="1"/>
  <c r="W129" i="43"/>
  <c r="AF129" i="43" s="1"/>
  <c r="AM129" i="43"/>
  <c r="AN129" i="43"/>
  <c r="AX129" i="43"/>
  <c r="BI129" i="43"/>
  <c r="BJ129" i="43"/>
  <c r="V130" i="43"/>
  <c r="AE130" i="43" s="1"/>
  <c r="W130" i="43"/>
  <c r="AF130" i="43" s="1"/>
  <c r="AM130" i="43"/>
  <c r="AN130" i="43"/>
  <c r="AX130" i="43"/>
  <c r="BI130" i="43"/>
  <c r="BJ130" i="43"/>
  <c r="V131" i="43"/>
  <c r="AE131" i="43" s="1"/>
  <c r="W131" i="43"/>
  <c r="AF131" i="43" s="1"/>
  <c r="AM131" i="43"/>
  <c r="AN131" i="43"/>
  <c r="AX131" i="43"/>
  <c r="BI131" i="43"/>
  <c r="BJ131" i="43"/>
  <c r="V132" i="43"/>
  <c r="AE132" i="43" s="1"/>
  <c r="W132" i="43"/>
  <c r="AF132" i="43" s="1"/>
  <c r="AM132" i="43"/>
  <c r="AN132" i="43"/>
  <c r="AX132" i="43"/>
  <c r="BI132" i="43"/>
  <c r="BJ132" i="43"/>
  <c r="V133" i="43"/>
  <c r="AE133" i="43" s="1"/>
  <c r="W133" i="43"/>
  <c r="AF133" i="43" s="1"/>
  <c r="AM133" i="43"/>
  <c r="AN133" i="43"/>
  <c r="AX133" i="43"/>
  <c r="BI133" i="43"/>
  <c r="BJ133" i="43"/>
  <c r="V135" i="43"/>
  <c r="W135" i="43"/>
  <c r="AM135" i="43"/>
  <c r="AN135" i="43"/>
  <c r="AX135" i="43"/>
  <c r="BI135" i="43"/>
  <c r="BJ135" i="43"/>
  <c r="V136" i="43"/>
  <c r="AE136" i="43" s="1"/>
  <c r="W136" i="43"/>
  <c r="AF136" i="43" s="1"/>
  <c r="AM136" i="43"/>
  <c r="AN136" i="43"/>
  <c r="AX136" i="43"/>
  <c r="BI136" i="43"/>
  <c r="BJ136" i="43"/>
  <c r="V137" i="43"/>
  <c r="AE137" i="43" s="1"/>
  <c r="W137" i="43"/>
  <c r="AF137" i="43" s="1"/>
  <c r="AM137" i="43"/>
  <c r="AN137" i="43"/>
  <c r="AX137" i="43"/>
  <c r="BI137" i="43"/>
  <c r="BJ137" i="43"/>
  <c r="V138" i="43"/>
  <c r="AE138" i="43" s="1"/>
  <c r="W138" i="43"/>
  <c r="AF138" i="43" s="1"/>
  <c r="AM138" i="43"/>
  <c r="AN138" i="43"/>
  <c r="AX138" i="43"/>
  <c r="BI138" i="43"/>
  <c r="BJ138" i="43"/>
  <c r="V139" i="43"/>
  <c r="AE139" i="43" s="1"/>
  <c r="W139" i="43"/>
  <c r="AF139" i="43" s="1"/>
  <c r="AM139" i="43"/>
  <c r="AN139" i="43"/>
  <c r="AX139" i="43"/>
  <c r="BI139" i="43"/>
  <c r="BJ139" i="43"/>
  <c r="V140" i="43"/>
  <c r="AE140" i="43" s="1"/>
  <c r="W140" i="43"/>
  <c r="AF140" i="43" s="1"/>
  <c r="AM140" i="43"/>
  <c r="AN140" i="43"/>
  <c r="AX140" i="43"/>
  <c r="BI140" i="43"/>
  <c r="BJ140" i="43"/>
  <c r="V142" i="43"/>
  <c r="AE142" i="43" s="1"/>
  <c r="W142" i="43"/>
  <c r="AF142" i="43" s="1"/>
  <c r="AM142" i="43"/>
  <c r="AN142" i="43"/>
  <c r="AX142" i="43"/>
  <c r="BI142" i="43"/>
  <c r="BJ142" i="43"/>
  <c r="V143" i="43"/>
  <c r="AE143" i="43" s="1"/>
  <c r="W143" i="43"/>
  <c r="AF143" i="43" s="1"/>
  <c r="AM143" i="43"/>
  <c r="AN143" i="43"/>
  <c r="AX143" i="43"/>
  <c r="BI143" i="43"/>
  <c r="BJ143" i="43"/>
  <c r="V144" i="43"/>
  <c r="AE144" i="43" s="1"/>
  <c r="W144" i="43"/>
  <c r="AF144" i="43" s="1"/>
  <c r="AM144" i="43"/>
  <c r="AN144" i="43"/>
  <c r="AX144" i="43"/>
  <c r="BI144" i="43"/>
  <c r="BJ144" i="43"/>
  <c r="V145" i="43"/>
  <c r="AE145" i="43" s="1"/>
  <c r="W145" i="43"/>
  <c r="AF145" i="43" s="1"/>
  <c r="AM145" i="43"/>
  <c r="AN145" i="43"/>
  <c r="AX145" i="43"/>
  <c r="BI145" i="43"/>
  <c r="BJ145" i="43"/>
  <c r="V146" i="43"/>
  <c r="AE146" i="43" s="1"/>
  <c r="W146" i="43"/>
  <c r="AF146" i="43" s="1"/>
  <c r="AM146" i="43"/>
  <c r="AN146" i="43"/>
  <c r="AX146" i="43"/>
  <c r="BI146" i="43"/>
  <c r="BJ146" i="43"/>
  <c r="V148" i="43"/>
  <c r="W148" i="43"/>
  <c r="AM148" i="43"/>
  <c r="AN148" i="43"/>
  <c r="AX148" i="43"/>
  <c r="BI148" i="43"/>
  <c r="BJ148" i="43"/>
  <c r="V149" i="43"/>
  <c r="AE149" i="43" s="1"/>
  <c r="W149" i="43"/>
  <c r="AF149" i="43" s="1"/>
  <c r="AM149" i="43"/>
  <c r="AN149" i="43"/>
  <c r="AX149" i="43"/>
  <c r="BI149" i="43"/>
  <c r="BJ149" i="43"/>
  <c r="V150" i="43"/>
  <c r="AE150" i="43" s="1"/>
  <c r="W150" i="43"/>
  <c r="AF150" i="43" s="1"/>
  <c r="AM150" i="43"/>
  <c r="AN150" i="43"/>
  <c r="AX150" i="43"/>
  <c r="BI150" i="43"/>
  <c r="BJ150" i="43"/>
  <c r="V151" i="43"/>
  <c r="AE151" i="43" s="1"/>
  <c r="W151" i="43"/>
  <c r="AF151" i="43" s="1"/>
  <c r="AM151" i="43"/>
  <c r="AN151" i="43"/>
  <c r="AX151" i="43"/>
  <c r="BI151" i="43"/>
  <c r="BJ151" i="43"/>
  <c r="V152" i="43"/>
  <c r="AE152" i="43" s="1"/>
  <c r="W152" i="43"/>
  <c r="AF152" i="43" s="1"/>
  <c r="AM152" i="43"/>
  <c r="AN152" i="43"/>
  <c r="AX152" i="43"/>
  <c r="BI152" i="43"/>
  <c r="BJ152" i="43"/>
  <c r="V154" i="43"/>
  <c r="W154" i="43"/>
  <c r="AF154" i="43" s="1"/>
  <c r="AM154" i="43"/>
  <c r="AN154" i="43"/>
  <c r="AX154" i="43"/>
  <c r="BI154" i="43"/>
  <c r="BJ154" i="43"/>
  <c r="V155" i="43"/>
  <c r="AE155" i="43" s="1"/>
  <c r="W155" i="43"/>
  <c r="AF155" i="43" s="1"/>
  <c r="AM155" i="43"/>
  <c r="AN155" i="43"/>
  <c r="AX155" i="43"/>
  <c r="BI155" i="43"/>
  <c r="BJ155" i="43"/>
  <c r="V156" i="43"/>
  <c r="AE156" i="43" s="1"/>
  <c r="W156" i="43"/>
  <c r="AF156" i="43" s="1"/>
  <c r="AM156" i="43"/>
  <c r="AN156" i="43"/>
  <c r="AX156" i="43"/>
  <c r="BI156" i="43"/>
  <c r="BJ156" i="43"/>
  <c r="V157" i="43"/>
  <c r="AE157" i="43" s="1"/>
  <c r="W157" i="43"/>
  <c r="AF157" i="43" s="1"/>
  <c r="AM157" i="43"/>
  <c r="AN157" i="43"/>
  <c r="AX157" i="43"/>
  <c r="BI157" i="43"/>
  <c r="BJ157" i="43"/>
  <c r="V158" i="43"/>
  <c r="AE158" i="43" s="1"/>
  <c r="W158" i="43"/>
  <c r="AF158" i="43" s="1"/>
  <c r="AM158" i="43"/>
  <c r="AN158" i="43"/>
  <c r="AX158" i="43"/>
  <c r="BI158" i="43"/>
  <c r="BJ158" i="43"/>
  <c r="V160" i="43"/>
  <c r="W160" i="43"/>
  <c r="AM160" i="43"/>
  <c r="AN160" i="43"/>
  <c r="AX160" i="43"/>
  <c r="BI160" i="43"/>
  <c r="BJ160" i="43"/>
  <c r="V161" i="43"/>
  <c r="AE161" i="43" s="1"/>
  <c r="W161" i="43"/>
  <c r="AF161" i="43" s="1"/>
  <c r="AM161" i="43"/>
  <c r="AN161" i="43"/>
  <c r="AX161" i="43"/>
  <c r="BI161" i="43"/>
  <c r="BJ161" i="43"/>
  <c r="V162" i="43"/>
  <c r="AE162" i="43" s="1"/>
  <c r="W162" i="43"/>
  <c r="AF162" i="43" s="1"/>
  <c r="AM162" i="43"/>
  <c r="AN162" i="43"/>
  <c r="AX162" i="43"/>
  <c r="BI162" i="43"/>
  <c r="BJ162" i="43"/>
  <c r="V163" i="43"/>
  <c r="AE163" i="43" s="1"/>
  <c r="W163" i="43"/>
  <c r="AF163" i="43" s="1"/>
  <c r="AM163" i="43"/>
  <c r="AN163" i="43"/>
  <c r="AX163" i="43"/>
  <c r="BI163" i="43"/>
  <c r="BJ163" i="43"/>
  <c r="V165" i="43"/>
  <c r="W165" i="43"/>
  <c r="AF165" i="43" s="1"/>
  <c r="AM165" i="43"/>
  <c r="AN165" i="43"/>
  <c r="AX165" i="43"/>
  <c r="BI165" i="43"/>
  <c r="BJ165" i="43"/>
  <c r="V166" i="43"/>
  <c r="AE166" i="43" s="1"/>
  <c r="W166" i="43"/>
  <c r="AF166" i="43" s="1"/>
  <c r="AM166" i="43"/>
  <c r="AN166" i="43"/>
  <c r="AX166" i="43"/>
  <c r="BI166" i="43"/>
  <c r="BJ166" i="43"/>
  <c r="V167" i="43"/>
  <c r="AE167" i="43" s="1"/>
  <c r="W167" i="43"/>
  <c r="AF167" i="43" s="1"/>
  <c r="AM167" i="43"/>
  <c r="AN167" i="43"/>
  <c r="AX167" i="43"/>
  <c r="BI167" i="43"/>
  <c r="BJ167" i="43"/>
  <c r="V168" i="43"/>
  <c r="AE168" i="43" s="1"/>
  <c r="W168" i="43"/>
  <c r="AF168" i="43" s="1"/>
  <c r="AM168" i="43"/>
  <c r="AN168" i="43"/>
  <c r="AX168" i="43"/>
  <c r="BI168" i="43"/>
  <c r="BJ168" i="43"/>
  <c r="V169" i="43"/>
  <c r="AE169" i="43" s="1"/>
  <c r="W169" i="43"/>
  <c r="AF169" i="43" s="1"/>
  <c r="AM169" i="43"/>
  <c r="AN169" i="43"/>
  <c r="AX169" i="43"/>
  <c r="BI169" i="43"/>
  <c r="BJ169" i="43"/>
  <c r="V171" i="43"/>
  <c r="W171" i="43"/>
  <c r="AF171" i="43" s="1"/>
  <c r="AM171" i="43"/>
  <c r="AN171" i="43"/>
  <c r="AX171" i="43"/>
  <c r="BI171" i="43"/>
  <c r="BJ171" i="43"/>
  <c r="V172" i="43"/>
  <c r="AE172" i="43" s="1"/>
  <c r="W172" i="43"/>
  <c r="AF172" i="43" s="1"/>
  <c r="AM172" i="43"/>
  <c r="AN172" i="43"/>
  <c r="AX172" i="43"/>
  <c r="BI172" i="43"/>
  <c r="BJ172" i="43"/>
  <c r="V173" i="43"/>
  <c r="AE173" i="43" s="1"/>
  <c r="W173" i="43"/>
  <c r="AF173" i="43" s="1"/>
  <c r="AM173" i="43"/>
  <c r="AN173" i="43"/>
  <c r="AX173" i="43"/>
  <c r="BI173" i="43"/>
  <c r="BJ173" i="43"/>
  <c r="V174" i="43"/>
  <c r="AE174" i="43" s="1"/>
  <c r="W174" i="43"/>
  <c r="AF174" i="43" s="1"/>
  <c r="AM174" i="43"/>
  <c r="AN174" i="43"/>
  <c r="AX174" i="43"/>
  <c r="BI174" i="43"/>
  <c r="BJ174" i="43"/>
  <c r="V175" i="43"/>
  <c r="AE175" i="43" s="1"/>
  <c r="W175" i="43"/>
  <c r="AF175" i="43" s="1"/>
  <c r="AM175" i="43"/>
  <c r="AN175" i="43"/>
  <c r="AX175" i="43"/>
  <c r="BI175" i="43"/>
  <c r="BJ175" i="43"/>
  <c r="V177" i="43"/>
  <c r="W177" i="43"/>
  <c r="AF177" i="43" s="1"/>
  <c r="AM177" i="43"/>
  <c r="AN177" i="43"/>
  <c r="AX177" i="43"/>
  <c r="BI177" i="43"/>
  <c r="BJ177" i="43"/>
  <c r="V178" i="43"/>
  <c r="AE178" i="43" s="1"/>
  <c r="W178" i="43"/>
  <c r="AF178" i="43" s="1"/>
  <c r="AM178" i="43"/>
  <c r="AN178" i="43"/>
  <c r="AX178" i="43"/>
  <c r="BI178" i="43"/>
  <c r="BJ178" i="43"/>
  <c r="V179" i="43"/>
  <c r="AE179" i="43" s="1"/>
  <c r="W179" i="43"/>
  <c r="AF179" i="43" s="1"/>
  <c r="AM179" i="43"/>
  <c r="AN179" i="43"/>
  <c r="AX179" i="43"/>
  <c r="BI179" i="43"/>
  <c r="BJ179" i="43"/>
  <c r="V180" i="43"/>
  <c r="AE180" i="43" s="1"/>
  <c r="W180" i="43"/>
  <c r="AF180" i="43" s="1"/>
  <c r="AM180" i="43"/>
  <c r="AN180" i="43"/>
  <c r="AX180" i="43"/>
  <c r="BI180" i="43"/>
  <c r="BJ180" i="43"/>
  <c r="V181" i="43"/>
  <c r="AE181" i="43" s="1"/>
  <c r="W181" i="43"/>
  <c r="AF181" i="43" s="1"/>
  <c r="AM181" i="43"/>
  <c r="AN181" i="43"/>
  <c r="AX181" i="43"/>
  <c r="BI181" i="43"/>
  <c r="BJ181" i="43"/>
  <c r="V183" i="43"/>
  <c r="AE183" i="43" s="1"/>
  <c r="W183" i="43"/>
  <c r="AF183" i="43" s="1"/>
  <c r="AM183" i="43"/>
  <c r="AN183" i="43"/>
  <c r="AX183" i="43"/>
  <c r="BI183" i="43"/>
  <c r="BJ183" i="43"/>
  <c r="V184" i="43"/>
  <c r="AE184" i="43" s="1"/>
  <c r="W184" i="43"/>
  <c r="AF184" i="43" s="1"/>
  <c r="AM184" i="43"/>
  <c r="AN184" i="43"/>
  <c r="AX184" i="43"/>
  <c r="BI184" i="43"/>
  <c r="BJ184" i="43"/>
  <c r="V185" i="43"/>
  <c r="AE185" i="43" s="1"/>
  <c r="W185" i="43"/>
  <c r="AF185" i="43" s="1"/>
  <c r="AM185" i="43"/>
  <c r="AN185" i="43"/>
  <c r="AX185" i="43"/>
  <c r="BI185" i="43"/>
  <c r="BJ185" i="43"/>
  <c r="V186" i="43"/>
  <c r="AE186" i="43" s="1"/>
  <c r="W186" i="43"/>
  <c r="AF186" i="43" s="1"/>
  <c r="AM186" i="43"/>
  <c r="AN186" i="43"/>
  <c r="AX186" i="43"/>
  <c r="BI186" i="43"/>
  <c r="BJ186" i="43"/>
  <c r="V187" i="43"/>
  <c r="AE187" i="43" s="1"/>
  <c r="W187" i="43"/>
  <c r="AF187" i="43" s="1"/>
  <c r="AM187" i="43"/>
  <c r="AN187" i="43"/>
  <c r="AX187" i="43"/>
  <c r="BI187" i="43"/>
  <c r="BJ187" i="43"/>
  <c r="V188" i="43"/>
  <c r="AE188" i="43" s="1"/>
  <c r="W188" i="43"/>
  <c r="AF188" i="43" s="1"/>
  <c r="AM188" i="43"/>
  <c r="AN188" i="43"/>
  <c r="AX188" i="43"/>
  <c r="BI188" i="43"/>
  <c r="BJ188" i="43"/>
  <c r="V190" i="43"/>
  <c r="W190" i="43"/>
  <c r="AM190" i="43"/>
  <c r="AN190" i="43"/>
  <c r="AX190" i="43"/>
  <c r="BI190" i="43"/>
  <c r="BJ190" i="43"/>
  <c r="V191" i="43"/>
  <c r="AE191" i="43" s="1"/>
  <c r="W191" i="43"/>
  <c r="AF191" i="43" s="1"/>
  <c r="AM191" i="43"/>
  <c r="AN191" i="43"/>
  <c r="AX191" i="43"/>
  <c r="BI191" i="43"/>
  <c r="BJ191" i="43"/>
  <c r="V192" i="43"/>
  <c r="AE192" i="43" s="1"/>
  <c r="W192" i="43"/>
  <c r="AF192" i="43" s="1"/>
  <c r="AM192" i="43"/>
  <c r="AN192" i="43"/>
  <c r="AX192" i="43"/>
  <c r="BI192" i="43"/>
  <c r="BJ192" i="43"/>
  <c r="V193" i="43"/>
  <c r="AE193" i="43" s="1"/>
  <c r="W193" i="43"/>
  <c r="AF193" i="43" s="1"/>
  <c r="AM193" i="43"/>
  <c r="AN193" i="43"/>
  <c r="AX193" i="43"/>
  <c r="BI193" i="43"/>
  <c r="BJ193" i="43"/>
  <c r="V194" i="43"/>
  <c r="AE194" i="43" s="1"/>
  <c r="W194" i="43"/>
  <c r="AF194" i="43" s="1"/>
  <c r="AM194" i="43"/>
  <c r="AN194" i="43"/>
  <c r="AX194" i="43"/>
  <c r="BI194" i="43"/>
  <c r="BJ194" i="43"/>
  <c r="V195" i="43"/>
  <c r="AE195" i="43" s="1"/>
  <c r="W195" i="43"/>
  <c r="AF195" i="43" s="1"/>
  <c r="AM195" i="43"/>
  <c r="AN195" i="43"/>
  <c r="AX195" i="43"/>
  <c r="BI195" i="43"/>
  <c r="BJ195" i="43"/>
  <c r="V197" i="43"/>
  <c r="W197" i="43"/>
  <c r="AM197" i="43"/>
  <c r="AN197" i="43"/>
  <c r="AX197" i="43"/>
  <c r="BI197" i="43"/>
  <c r="BJ197" i="43"/>
  <c r="V198" i="43"/>
  <c r="AE198" i="43" s="1"/>
  <c r="W198" i="43"/>
  <c r="AF198" i="43" s="1"/>
  <c r="AM198" i="43"/>
  <c r="AN198" i="43"/>
  <c r="AX198" i="43"/>
  <c r="BI198" i="43"/>
  <c r="BJ198" i="43"/>
  <c r="V199" i="43"/>
  <c r="AE199" i="43" s="1"/>
  <c r="W199" i="43"/>
  <c r="AF199" i="43" s="1"/>
  <c r="AM199" i="43"/>
  <c r="AN199" i="43"/>
  <c r="AX199" i="43"/>
  <c r="BI199" i="43"/>
  <c r="BJ199" i="43"/>
  <c r="V200" i="43"/>
  <c r="AE200" i="43" s="1"/>
  <c r="W200" i="43"/>
  <c r="AF200" i="43" s="1"/>
  <c r="AM200" i="43"/>
  <c r="AN200" i="43"/>
  <c r="AX200" i="43"/>
  <c r="BI200" i="43"/>
  <c r="BJ200" i="43"/>
  <c r="V201" i="43"/>
  <c r="AE201" i="43" s="1"/>
  <c r="W201" i="43"/>
  <c r="AF201" i="43" s="1"/>
  <c r="AM201" i="43"/>
  <c r="AN201" i="43"/>
  <c r="AX201" i="43"/>
  <c r="BI201" i="43"/>
  <c r="BJ201" i="43"/>
  <c r="V203" i="43"/>
  <c r="W203" i="43"/>
  <c r="AF203" i="43" s="1"/>
  <c r="AM203" i="43"/>
  <c r="AN203" i="43"/>
  <c r="AX203" i="43"/>
  <c r="BI203" i="43"/>
  <c r="BJ203" i="43"/>
  <c r="V204" i="43"/>
  <c r="AE204" i="43" s="1"/>
  <c r="W204" i="43"/>
  <c r="AF204" i="43" s="1"/>
  <c r="AM204" i="43"/>
  <c r="AN204" i="43"/>
  <c r="AX204" i="43"/>
  <c r="BI204" i="43"/>
  <c r="BJ204" i="43"/>
  <c r="V205" i="43"/>
  <c r="AE205" i="43" s="1"/>
  <c r="W205" i="43"/>
  <c r="AF205" i="43" s="1"/>
  <c r="AM205" i="43"/>
  <c r="AN205" i="43"/>
  <c r="AX205" i="43"/>
  <c r="BI205" i="43"/>
  <c r="BJ205" i="43"/>
  <c r="V206" i="43"/>
  <c r="AE206" i="43" s="1"/>
  <c r="W206" i="43"/>
  <c r="AF206" i="43" s="1"/>
  <c r="AM206" i="43"/>
  <c r="AN206" i="43"/>
  <c r="AX206" i="43"/>
  <c r="BI206" i="43"/>
  <c r="BJ206" i="43"/>
  <c r="V207" i="43"/>
  <c r="AE207" i="43" s="1"/>
  <c r="W207" i="43"/>
  <c r="AF207" i="43" s="1"/>
  <c r="AM207" i="43"/>
  <c r="AN207" i="43"/>
  <c r="AX207" i="43"/>
  <c r="BI207" i="43"/>
  <c r="BJ207" i="43"/>
  <c r="V209" i="43"/>
  <c r="W209" i="43"/>
  <c r="AM209" i="43"/>
  <c r="AN209" i="43"/>
  <c r="AX209" i="43"/>
  <c r="BI209" i="43"/>
  <c r="BJ209" i="43"/>
  <c r="V210" i="43"/>
  <c r="AE210" i="43" s="1"/>
  <c r="W210" i="43"/>
  <c r="AF210" i="43" s="1"/>
  <c r="AM210" i="43"/>
  <c r="AN210" i="43"/>
  <c r="AX210" i="43"/>
  <c r="BI210" i="43"/>
  <c r="BJ210" i="43"/>
  <c r="V211" i="43"/>
  <c r="AE211" i="43" s="1"/>
  <c r="W211" i="43"/>
  <c r="AF211" i="43" s="1"/>
  <c r="AM211" i="43"/>
  <c r="AN211" i="43"/>
  <c r="AX211" i="43"/>
  <c r="BI211" i="43"/>
  <c r="BJ211" i="43"/>
  <c r="V212" i="43"/>
  <c r="AE212" i="43" s="1"/>
  <c r="W212" i="43"/>
  <c r="AF212" i="43" s="1"/>
  <c r="AM212" i="43"/>
  <c r="AN212" i="43"/>
  <c r="AX212" i="43"/>
  <c r="BI212" i="43"/>
  <c r="BJ212" i="43"/>
  <c r="V213" i="43"/>
  <c r="AE213" i="43" s="1"/>
  <c r="W213" i="43"/>
  <c r="AF213" i="43" s="1"/>
  <c r="AM213" i="43"/>
  <c r="AN213" i="43"/>
  <c r="AX213" i="43"/>
  <c r="BI213" i="43"/>
  <c r="BJ213" i="43"/>
  <c r="V214" i="43"/>
  <c r="AE214" i="43" s="1"/>
  <c r="W214" i="43"/>
  <c r="AF214" i="43" s="1"/>
  <c r="AM214" i="43"/>
  <c r="AN214" i="43"/>
  <c r="AX214" i="43"/>
  <c r="BI214" i="43"/>
  <c r="BJ214" i="43"/>
  <c r="V216" i="43"/>
  <c r="W216" i="43"/>
  <c r="AM216" i="43"/>
  <c r="AN216" i="43"/>
  <c r="AX216" i="43"/>
  <c r="BI216" i="43"/>
  <c r="BJ216" i="43"/>
  <c r="V217" i="43"/>
  <c r="AE217" i="43" s="1"/>
  <c r="W217" i="43"/>
  <c r="AF217" i="43" s="1"/>
  <c r="AM217" i="43"/>
  <c r="AN217" i="43"/>
  <c r="AX217" i="43"/>
  <c r="BI217" i="43"/>
  <c r="BJ217" i="43"/>
  <c r="V218" i="43"/>
  <c r="AE218" i="43" s="1"/>
  <c r="W218" i="43"/>
  <c r="AF218" i="43" s="1"/>
  <c r="AM218" i="43"/>
  <c r="AN218" i="43"/>
  <c r="AX218" i="43"/>
  <c r="BI218" i="43"/>
  <c r="BJ218" i="43"/>
  <c r="V219" i="43"/>
  <c r="AE219" i="43" s="1"/>
  <c r="W219" i="43"/>
  <c r="AF219" i="43" s="1"/>
  <c r="AM219" i="43"/>
  <c r="AN219" i="43"/>
  <c r="AX219" i="43"/>
  <c r="BI219" i="43"/>
  <c r="BJ219" i="43"/>
  <c r="V220" i="43"/>
  <c r="AE220" i="43" s="1"/>
  <c r="W220" i="43"/>
  <c r="AF220" i="43" s="1"/>
  <c r="AM220" i="43"/>
  <c r="AN220" i="43"/>
  <c r="AX220" i="43"/>
  <c r="BI220" i="43"/>
  <c r="BJ220" i="43"/>
  <c r="V222" i="43"/>
  <c r="W222" i="43"/>
  <c r="AF222" i="43" s="1"/>
  <c r="AM222" i="43"/>
  <c r="AN222" i="43"/>
  <c r="AX222" i="43"/>
  <c r="BI222" i="43"/>
  <c r="BJ222" i="43"/>
  <c r="V223" i="43"/>
  <c r="AE223" i="43" s="1"/>
  <c r="W223" i="43"/>
  <c r="AF223" i="43" s="1"/>
  <c r="AM223" i="43"/>
  <c r="AN223" i="43"/>
  <c r="AX223" i="43"/>
  <c r="BI223" i="43"/>
  <c r="BJ223" i="43"/>
  <c r="V224" i="43"/>
  <c r="AE224" i="43" s="1"/>
  <c r="W224" i="43"/>
  <c r="AF224" i="43" s="1"/>
  <c r="AM224" i="43"/>
  <c r="AN224" i="43"/>
  <c r="AX224" i="43"/>
  <c r="BI224" i="43"/>
  <c r="BJ224" i="43"/>
  <c r="V225" i="43"/>
  <c r="AE225" i="43" s="1"/>
  <c r="W225" i="43"/>
  <c r="AF225" i="43" s="1"/>
  <c r="AM225" i="43"/>
  <c r="AN225" i="43"/>
  <c r="AX225" i="43"/>
  <c r="BI225" i="43"/>
  <c r="BJ225" i="43"/>
  <c r="V226" i="43"/>
  <c r="AE226" i="43" s="1"/>
  <c r="W226" i="43"/>
  <c r="AF226" i="43" s="1"/>
  <c r="AM226" i="43"/>
  <c r="AN226" i="43"/>
  <c r="AX226" i="43"/>
  <c r="BI226" i="43"/>
  <c r="BJ226" i="43"/>
  <c r="V228" i="43"/>
  <c r="W228" i="43"/>
  <c r="AM228" i="43"/>
  <c r="AN228" i="43"/>
  <c r="AX228" i="43"/>
  <c r="BI228" i="43"/>
  <c r="BJ228" i="43"/>
  <c r="V229" i="43"/>
  <c r="AE229" i="43" s="1"/>
  <c r="W229" i="43"/>
  <c r="AF229" i="43" s="1"/>
  <c r="AM229" i="43"/>
  <c r="AN229" i="43"/>
  <c r="AX229" i="43"/>
  <c r="BI229" i="43"/>
  <c r="BJ229" i="43"/>
  <c r="V230" i="43"/>
  <c r="AE230" i="43" s="1"/>
  <c r="W230" i="43"/>
  <c r="AF230" i="43" s="1"/>
  <c r="AM230" i="43"/>
  <c r="AN230" i="43"/>
  <c r="AX230" i="43"/>
  <c r="BI230" i="43"/>
  <c r="BJ230" i="43"/>
  <c r="V231" i="43"/>
  <c r="AE231" i="43" s="1"/>
  <c r="W231" i="43"/>
  <c r="AF231" i="43" s="1"/>
  <c r="AM231" i="43"/>
  <c r="AN231" i="43"/>
  <c r="AX231" i="43"/>
  <c r="BI231" i="43"/>
  <c r="BJ231" i="43"/>
  <c r="V232" i="43"/>
  <c r="AE232" i="43" s="1"/>
  <c r="W232" i="43"/>
  <c r="AF232" i="43" s="1"/>
  <c r="AM232" i="43"/>
  <c r="AN232" i="43"/>
  <c r="AX232" i="43"/>
  <c r="BI232" i="43"/>
  <c r="BJ232" i="43"/>
  <c r="V234" i="43"/>
  <c r="W234" i="43"/>
  <c r="AF234" i="43" s="1"/>
  <c r="AM234" i="43"/>
  <c r="AN234" i="43"/>
  <c r="AX234" i="43"/>
  <c r="BI234" i="43"/>
  <c r="BJ234" i="43"/>
  <c r="V235" i="43"/>
  <c r="AE235" i="43" s="1"/>
  <c r="W235" i="43"/>
  <c r="AF235" i="43" s="1"/>
  <c r="AM235" i="43"/>
  <c r="AN235" i="43"/>
  <c r="AX235" i="43"/>
  <c r="BI235" i="43"/>
  <c r="BJ235" i="43"/>
  <c r="V236" i="43"/>
  <c r="AE236" i="43" s="1"/>
  <c r="W236" i="43"/>
  <c r="AF236" i="43" s="1"/>
  <c r="AM236" i="43"/>
  <c r="AN236" i="43"/>
  <c r="AX236" i="43"/>
  <c r="BI236" i="43"/>
  <c r="BJ236" i="43"/>
  <c r="V237" i="43"/>
  <c r="AE237" i="43" s="1"/>
  <c r="W237" i="43"/>
  <c r="AF237" i="43" s="1"/>
  <c r="AM237" i="43"/>
  <c r="AN237" i="43"/>
  <c r="AX237" i="43"/>
  <c r="BI237" i="43"/>
  <c r="BJ237" i="43"/>
  <c r="V238" i="43"/>
  <c r="AE238" i="43" s="1"/>
  <c r="W238" i="43"/>
  <c r="AF238" i="43" s="1"/>
  <c r="AM238" i="43"/>
  <c r="AN238" i="43"/>
  <c r="AX238" i="43"/>
  <c r="BI238" i="43"/>
  <c r="BJ238" i="43"/>
  <c r="V240" i="43"/>
  <c r="W240" i="43"/>
  <c r="AM240" i="43"/>
  <c r="AN240" i="43"/>
  <c r="AX240" i="43"/>
  <c r="BI240" i="43"/>
  <c r="BJ240" i="43"/>
  <c r="V241" i="43"/>
  <c r="AE241" i="43" s="1"/>
  <c r="W241" i="43"/>
  <c r="AF241" i="43" s="1"/>
  <c r="AM241" i="43"/>
  <c r="AN241" i="43"/>
  <c r="AX241" i="43"/>
  <c r="BI241" i="43"/>
  <c r="BJ241" i="43"/>
  <c r="V242" i="43"/>
  <c r="AE242" i="43" s="1"/>
  <c r="W242" i="43"/>
  <c r="AF242" i="43" s="1"/>
  <c r="AM242" i="43"/>
  <c r="AN242" i="43"/>
  <c r="AX242" i="43"/>
  <c r="BI242" i="43"/>
  <c r="BJ242" i="43"/>
  <c r="V243" i="43"/>
  <c r="AE243" i="43" s="1"/>
  <c r="W243" i="43"/>
  <c r="AF243" i="43" s="1"/>
  <c r="AM243" i="43"/>
  <c r="AN243" i="43"/>
  <c r="AX243" i="43"/>
  <c r="BI243" i="43"/>
  <c r="BJ243" i="43"/>
  <c r="V244" i="43"/>
  <c r="AE244" i="43" s="1"/>
  <c r="W244" i="43"/>
  <c r="AF244" i="43" s="1"/>
  <c r="AM244" i="43"/>
  <c r="AN244" i="43"/>
  <c r="AX244" i="43"/>
  <c r="BI244" i="43"/>
  <c r="BJ244" i="43"/>
  <c r="V246" i="43"/>
  <c r="W246" i="43"/>
  <c r="AF246" i="43" s="1"/>
  <c r="AM246" i="43"/>
  <c r="AN246" i="43"/>
  <c r="AX246" i="43"/>
  <c r="BI246" i="43"/>
  <c r="BJ246" i="43"/>
  <c r="V247" i="43"/>
  <c r="AE247" i="43" s="1"/>
  <c r="W247" i="43"/>
  <c r="AF247" i="43" s="1"/>
  <c r="AM247" i="43"/>
  <c r="AN247" i="43"/>
  <c r="AX247" i="43"/>
  <c r="BI247" i="43"/>
  <c r="BJ247" i="43"/>
  <c r="V248" i="43"/>
  <c r="AE248" i="43" s="1"/>
  <c r="W248" i="43"/>
  <c r="AF248" i="43" s="1"/>
  <c r="AM248" i="43"/>
  <c r="AN248" i="43"/>
  <c r="AX248" i="43"/>
  <c r="BI248" i="43"/>
  <c r="BJ248" i="43"/>
  <c r="V249" i="43"/>
  <c r="AE249" i="43" s="1"/>
  <c r="W249" i="43"/>
  <c r="AF249" i="43" s="1"/>
  <c r="AM249" i="43"/>
  <c r="AN249" i="43"/>
  <c r="AX249" i="43"/>
  <c r="BI249" i="43"/>
  <c r="BJ249" i="43"/>
  <c r="V250" i="43"/>
  <c r="AE250" i="43" s="1"/>
  <c r="W250" i="43"/>
  <c r="AF250" i="43" s="1"/>
  <c r="AM250" i="43"/>
  <c r="AN250" i="43"/>
  <c r="AX250" i="43"/>
  <c r="BI250" i="43"/>
  <c r="BJ250" i="43"/>
  <c r="V252" i="43"/>
  <c r="W252" i="43"/>
  <c r="AM252" i="43"/>
  <c r="AN252" i="43"/>
  <c r="AX252" i="43"/>
  <c r="BI252" i="43"/>
  <c r="BJ252" i="43"/>
  <c r="V253" i="43"/>
  <c r="AE253" i="43" s="1"/>
  <c r="W253" i="43"/>
  <c r="AF253" i="43" s="1"/>
  <c r="AM253" i="43"/>
  <c r="AN253" i="43"/>
  <c r="AX253" i="43"/>
  <c r="BI253" i="43"/>
  <c r="BJ253" i="43"/>
  <c r="V254" i="43"/>
  <c r="AE254" i="43" s="1"/>
  <c r="W254" i="43"/>
  <c r="AF254" i="43" s="1"/>
  <c r="AM254" i="43"/>
  <c r="AN254" i="43"/>
  <c r="AX254" i="43"/>
  <c r="BI254" i="43"/>
  <c r="BJ254" i="43"/>
  <c r="V255" i="43"/>
  <c r="AE255" i="43" s="1"/>
  <c r="W255" i="43"/>
  <c r="AF255" i="43" s="1"/>
  <c r="AM255" i="43"/>
  <c r="AN255" i="43"/>
  <c r="AX255" i="43"/>
  <c r="BI255" i="43"/>
  <c r="BJ255" i="43"/>
  <c r="V256" i="43"/>
  <c r="AE256" i="43" s="1"/>
  <c r="W256" i="43"/>
  <c r="AF256" i="43" s="1"/>
  <c r="AM256" i="43"/>
  <c r="AN256" i="43"/>
  <c r="AX256" i="43"/>
  <c r="BI256" i="43"/>
  <c r="BJ256" i="43"/>
  <c r="V257" i="43"/>
  <c r="AE257" i="43" s="1"/>
  <c r="W257" i="43"/>
  <c r="AF257" i="43" s="1"/>
  <c r="AM257" i="43"/>
  <c r="AN257" i="43"/>
  <c r="AX257" i="43"/>
  <c r="BI257" i="43"/>
  <c r="BJ257" i="43"/>
  <c r="V259" i="43"/>
  <c r="W259" i="43"/>
  <c r="W260" i="43" s="1"/>
  <c r="AM259" i="43"/>
  <c r="AN259" i="43"/>
  <c r="AN260" i="43" s="1"/>
  <c r="AX259" i="43"/>
  <c r="AX260" i="43" s="1"/>
  <c r="BI259" i="43"/>
  <c r="BI260" i="43" s="1"/>
  <c r="BJ259" i="43"/>
  <c r="BJ260" i="43" s="1"/>
  <c r="V261" i="43"/>
  <c r="W261" i="43"/>
  <c r="AM261" i="43"/>
  <c r="AN261" i="43"/>
  <c r="AX261" i="43"/>
  <c r="BI261" i="43"/>
  <c r="BJ261" i="43"/>
  <c r="V262" i="43"/>
  <c r="AE262" i="43" s="1"/>
  <c r="W262" i="43"/>
  <c r="AF262" i="43" s="1"/>
  <c r="AM262" i="43"/>
  <c r="AN262" i="43"/>
  <c r="AX262" i="43"/>
  <c r="BI262" i="43"/>
  <c r="BJ262" i="43"/>
  <c r="V263" i="43"/>
  <c r="AE263" i="43" s="1"/>
  <c r="W263" i="43"/>
  <c r="AF263" i="43" s="1"/>
  <c r="AM263" i="43"/>
  <c r="AN263" i="43"/>
  <c r="AX263" i="43"/>
  <c r="BI263" i="43"/>
  <c r="BJ263" i="43"/>
  <c r="V265" i="43"/>
  <c r="W265" i="43"/>
  <c r="AF265" i="43" s="1"/>
  <c r="AM265" i="43"/>
  <c r="AN265" i="43"/>
  <c r="AX265" i="43"/>
  <c r="BI265" i="43"/>
  <c r="BJ265" i="43"/>
  <c r="V266" i="43"/>
  <c r="AE266" i="43" s="1"/>
  <c r="W266" i="43"/>
  <c r="AF266" i="43" s="1"/>
  <c r="AM266" i="43"/>
  <c r="AN266" i="43"/>
  <c r="AX266" i="43"/>
  <c r="BI266" i="43"/>
  <c r="BJ266" i="43"/>
  <c r="V267" i="43"/>
  <c r="AE267" i="43" s="1"/>
  <c r="W267" i="43"/>
  <c r="AF267" i="43" s="1"/>
  <c r="AM267" i="43"/>
  <c r="AN267" i="43"/>
  <c r="AX267" i="43"/>
  <c r="BI267" i="43"/>
  <c r="BJ267" i="43"/>
  <c r="V269" i="43"/>
  <c r="W269" i="43"/>
  <c r="AM269" i="43"/>
  <c r="AN269" i="43"/>
  <c r="AX269" i="43"/>
  <c r="BI269" i="43"/>
  <c r="BJ269" i="43"/>
  <c r="V270" i="43"/>
  <c r="AE270" i="43" s="1"/>
  <c r="W270" i="43"/>
  <c r="AF270" i="43" s="1"/>
  <c r="AM270" i="43"/>
  <c r="AN270" i="43"/>
  <c r="AX270" i="43"/>
  <c r="BI270" i="43"/>
  <c r="BJ270" i="43"/>
  <c r="V271" i="43"/>
  <c r="AE271" i="43" s="1"/>
  <c r="W271" i="43"/>
  <c r="AF271" i="43" s="1"/>
  <c r="AM271" i="43"/>
  <c r="AN271" i="43"/>
  <c r="AX271" i="43"/>
  <c r="BI271" i="43"/>
  <c r="BJ271" i="43"/>
  <c r="V272" i="43"/>
  <c r="AE272" i="43" s="1"/>
  <c r="W272" i="43"/>
  <c r="AF272" i="43" s="1"/>
  <c r="AM272" i="43"/>
  <c r="AN272" i="43"/>
  <c r="AX272" i="43"/>
  <c r="BI272" i="43"/>
  <c r="BJ272" i="43"/>
  <c r="V273" i="43"/>
  <c r="AE273" i="43" s="1"/>
  <c r="W273" i="43"/>
  <c r="AF273" i="43" s="1"/>
  <c r="AM273" i="43"/>
  <c r="AN273" i="43"/>
  <c r="AX273" i="43"/>
  <c r="BI273" i="43"/>
  <c r="BJ273" i="43"/>
  <c r="V275" i="43"/>
  <c r="W275" i="43"/>
  <c r="AF275" i="43" s="1"/>
  <c r="AM275" i="43"/>
  <c r="AN275" i="43"/>
  <c r="AX275" i="43"/>
  <c r="BI275" i="43"/>
  <c r="BJ275" i="43"/>
  <c r="V276" i="43"/>
  <c r="AE276" i="43" s="1"/>
  <c r="W276" i="43"/>
  <c r="AF276" i="43" s="1"/>
  <c r="AM276" i="43"/>
  <c r="AN276" i="43"/>
  <c r="AX276" i="43"/>
  <c r="BI276" i="43"/>
  <c r="BJ276" i="43"/>
  <c r="V277" i="43"/>
  <c r="AE277" i="43" s="1"/>
  <c r="W277" i="43"/>
  <c r="AF277" i="43" s="1"/>
  <c r="AM277" i="43"/>
  <c r="AN277" i="43"/>
  <c r="AX277" i="43"/>
  <c r="BI277" i="43"/>
  <c r="BJ277" i="43"/>
  <c r="V279" i="43"/>
  <c r="W279" i="43"/>
  <c r="AF279" i="43" s="1"/>
  <c r="AM279" i="43"/>
  <c r="AN279" i="43"/>
  <c r="AX279" i="43"/>
  <c r="BI279" i="43"/>
  <c r="BJ279" i="43"/>
  <c r="V280" i="43"/>
  <c r="AE280" i="43" s="1"/>
  <c r="W280" i="43"/>
  <c r="AF280" i="43" s="1"/>
  <c r="AM280" i="43"/>
  <c r="AN280" i="43"/>
  <c r="AX280" i="43"/>
  <c r="BI280" i="43"/>
  <c r="BJ280" i="43"/>
  <c r="V281" i="43"/>
  <c r="AE281" i="43" s="1"/>
  <c r="W281" i="43"/>
  <c r="AF281" i="43" s="1"/>
  <c r="AM281" i="43"/>
  <c r="AN281" i="43"/>
  <c r="AX281" i="43"/>
  <c r="BI281" i="43"/>
  <c r="BJ281" i="43"/>
  <c r="V282" i="43"/>
  <c r="AE282" i="43" s="1"/>
  <c r="W282" i="43"/>
  <c r="AF282" i="43" s="1"/>
  <c r="AM282" i="43"/>
  <c r="AN282" i="43"/>
  <c r="AX282" i="43"/>
  <c r="BI282" i="43"/>
  <c r="BJ282" i="43"/>
  <c r="V283" i="43"/>
  <c r="AE283" i="43" s="1"/>
  <c r="W283" i="43"/>
  <c r="AF283" i="43" s="1"/>
  <c r="AM283" i="43"/>
  <c r="AN283" i="43"/>
  <c r="AX283" i="43"/>
  <c r="BI283" i="43"/>
  <c r="BJ283" i="43"/>
  <c r="V284" i="43"/>
  <c r="AE284" i="43" s="1"/>
  <c r="W284" i="43"/>
  <c r="AF284" i="43" s="1"/>
  <c r="AM284" i="43"/>
  <c r="AN284" i="43"/>
  <c r="AX284" i="43"/>
  <c r="BI284" i="43"/>
  <c r="BJ284" i="43"/>
  <c r="V286" i="43"/>
  <c r="W286" i="43"/>
  <c r="AF286" i="43" s="1"/>
  <c r="AM286" i="43"/>
  <c r="AN286" i="43"/>
  <c r="AX286" i="43"/>
  <c r="BI286" i="43"/>
  <c r="BJ286" i="43"/>
  <c r="V287" i="43"/>
  <c r="AE287" i="43" s="1"/>
  <c r="W287" i="43"/>
  <c r="AF287" i="43" s="1"/>
  <c r="AM287" i="43"/>
  <c r="AN287" i="43"/>
  <c r="AX287" i="43"/>
  <c r="BI287" i="43"/>
  <c r="BJ287" i="43"/>
  <c r="V288" i="43"/>
  <c r="AE288" i="43" s="1"/>
  <c r="W288" i="43"/>
  <c r="AF288" i="43" s="1"/>
  <c r="AM288" i="43"/>
  <c r="AN288" i="43"/>
  <c r="AX288" i="43"/>
  <c r="BI288" i="43"/>
  <c r="BJ288" i="43"/>
  <c r="V289" i="43"/>
  <c r="AE289" i="43" s="1"/>
  <c r="W289" i="43"/>
  <c r="AF289" i="43" s="1"/>
  <c r="AM289" i="43"/>
  <c r="AN289" i="43"/>
  <c r="AX289" i="43"/>
  <c r="BI289" i="43"/>
  <c r="BJ289" i="43"/>
  <c r="V291" i="43"/>
  <c r="W291" i="43"/>
  <c r="AM291" i="43"/>
  <c r="AN291" i="43"/>
  <c r="AX291" i="43"/>
  <c r="BI291" i="43"/>
  <c r="BJ291" i="43"/>
  <c r="V292" i="43"/>
  <c r="AE292" i="43" s="1"/>
  <c r="W292" i="43"/>
  <c r="AF292" i="43" s="1"/>
  <c r="AM292" i="43"/>
  <c r="AN292" i="43"/>
  <c r="AX292" i="43"/>
  <c r="BI292" i="43"/>
  <c r="BJ292" i="43"/>
  <c r="V293" i="43"/>
  <c r="AE293" i="43" s="1"/>
  <c r="W293" i="43"/>
  <c r="AF293" i="43" s="1"/>
  <c r="AM293" i="43"/>
  <c r="AN293" i="43"/>
  <c r="AX293" i="43"/>
  <c r="BI293" i="43"/>
  <c r="BJ293" i="43"/>
  <c r="V294" i="43"/>
  <c r="AE294" i="43" s="1"/>
  <c r="W294" i="43"/>
  <c r="AF294" i="43" s="1"/>
  <c r="AM294" i="43"/>
  <c r="AN294" i="43"/>
  <c r="AX294" i="43"/>
  <c r="BI294" i="43"/>
  <c r="BJ294" i="43"/>
  <c r="V295" i="43"/>
  <c r="AE295" i="43" s="1"/>
  <c r="W295" i="43"/>
  <c r="AF295" i="43" s="1"/>
  <c r="AM295" i="43"/>
  <c r="AN295" i="43"/>
  <c r="AX295" i="43"/>
  <c r="BI295" i="43"/>
  <c r="BJ295" i="43"/>
  <c r="V296" i="43"/>
  <c r="AE296" i="43" s="1"/>
  <c r="W296" i="43"/>
  <c r="AF296" i="43" s="1"/>
  <c r="AM296" i="43"/>
  <c r="AN296" i="43"/>
  <c r="AX296" i="43"/>
  <c r="BI296" i="43"/>
  <c r="BJ296" i="43"/>
  <c r="V297" i="43"/>
  <c r="AE297" i="43" s="1"/>
  <c r="W297" i="43"/>
  <c r="AF297" i="43" s="1"/>
  <c r="AM297" i="43"/>
  <c r="AN297" i="43"/>
  <c r="AX297" i="43"/>
  <c r="BI297" i="43"/>
  <c r="BJ297" i="43"/>
  <c r="V299" i="43"/>
  <c r="W299" i="43"/>
  <c r="W300" i="43" s="1"/>
  <c r="AM299" i="43"/>
  <c r="AN299" i="43"/>
  <c r="AN300" i="43" s="1"/>
  <c r="AX299" i="43"/>
  <c r="AX300" i="43" s="1"/>
  <c r="BI299" i="43"/>
  <c r="BI300" i="43" s="1"/>
  <c r="BJ299" i="43"/>
  <c r="BJ300" i="43" s="1"/>
  <c r="V301" i="43"/>
  <c r="W301" i="43"/>
  <c r="AF301" i="43" s="1"/>
  <c r="AM301" i="43"/>
  <c r="AN301" i="43"/>
  <c r="AX301" i="43"/>
  <c r="BI301" i="43"/>
  <c r="BJ301" i="43"/>
  <c r="V302" i="43"/>
  <c r="AE302" i="43" s="1"/>
  <c r="W302" i="43"/>
  <c r="AF302" i="43" s="1"/>
  <c r="AM302" i="43"/>
  <c r="AN302" i="43"/>
  <c r="AX302" i="43"/>
  <c r="BI302" i="43"/>
  <c r="BJ302" i="43"/>
  <c r="V303" i="43"/>
  <c r="AE303" i="43" s="1"/>
  <c r="W303" i="43"/>
  <c r="AF303" i="43" s="1"/>
  <c r="AM303" i="43"/>
  <c r="AN303" i="43"/>
  <c r="AX303" i="43"/>
  <c r="BI303" i="43"/>
  <c r="BJ303" i="43"/>
  <c r="V304" i="43"/>
  <c r="AE304" i="43" s="1"/>
  <c r="W304" i="43"/>
  <c r="AF304" i="43" s="1"/>
  <c r="AM304" i="43"/>
  <c r="AN304" i="43"/>
  <c r="AX304" i="43"/>
  <c r="BI304" i="43"/>
  <c r="BJ304" i="43"/>
  <c r="V305" i="43"/>
  <c r="AE305" i="43" s="1"/>
  <c r="W305" i="43"/>
  <c r="AF305" i="43" s="1"/>
  <c r="AM305" i="43"/>
  <c r="AN305" i="43"/>
  <c r="AX305" i="43"/>
  <c r="BI305" i="43"/>
  <c r="BJ305" i="43"/>
  <c r="V306" i="43"/>
  <c r="AE306" i="43" s="1"/>
  <c r="W306" i="43"/>
  <c r="AF306" i="43" s="1"/>
  <c r="AM306" i="43"/>
  <c r="AN306" i="43"/>
  <c r="AX306" i="43"/>
  <c r="BI306" i="43"/>
  <c r="BJ306" i="43"/>
  <c r="V308" i="43"/>
  <c r="W308" i="43"/>
  <c r="AM308" i="43"/>
  <c r="AN308" i="43"/>
  <c r="AX308" i="43"/>
  <c r="BI308" i="43"/>
  <c r="BJ308" i="43"/>
  <c r="V309" i="43"/>
  <c r="AE309" i="43" s="1"/>
  <c r="W309" i="43"/>
  <c r="AF309" i="43" s="1"/>
  <c r="AM309" i="43"/>
  <c r="AN309" i="43"/>
  <c r="AX309" i="43"/>
  <c r="BI309" i="43"/>
  <c r="BJ309" i="43"/>
  <c r="V310" i="43"/>
  <c r="AE310" i="43" s="1"/>
  <c r="W310" i="43"/>
  <c r="AF310" i="43" s="1"/>
  <c r="AM310" i="43"/>
  <c r="AN310" i="43"/>
  <c r="AX310" i="43"/>
  <c r="BI310" i="43"/>
  <c r="BJ310" i="43"/>
  <c r="V311" i="43"/>
  <c r="AE311" i="43" s="1"/>
  <c r="W311" i="43"/>
  <c r="AF311" i="43" s="1"/>
  <c r="AM311" i="43"/>
  <c r="AN311" i="43"/>
  <c r="AX311" i="43"/>
  <c r="BI311" i="43"/>
  <c r="BJ311" i="43"/>
  <c r="V312" i="43"/>
  <c r="AE312" i="43" s="1"/>
  <c r="W312" i="43"/>
  <c r="AF312" i="43" s="1"/>
  <c r="AM312" i="43"/>
  <c r="AN312" i="43"/>
  <c r="AX312" i="43"/>
  <c r="BI312" i="43"/>
  <c r="BJ312" i="43"/>
  <c r="V313" i="43"/>
  <c r="AE313" i="43" s="1"/>
  <c r="W313" i="43"/>
  <c r="AF313" i="43" s="1"/>
  <c r="AM313" i="43"/>
  <c r="AN313" i="43"/>
  <c r="AX313" i="43"/>
  <c r="BI313" i="43"/>
  <c r="BJ313" i="43"/>
  <c r="V315" i="43"/>
  <c r="W315" i="43"/>
  <c r="AM315" i="43"/>
  <c r="AN315" i="43"/>
  <c r="AX315" i="43"/>
  <c r="BI315" i="43"/>
  <c r="BJ315" i="43"/>
  <c r="V316" i="43"/>
  <c r="AE316" i="43" s="1"/>
  <c r="W316" i="43"/>
  <c r="AF316" i="43" s="1"/>
  <c r="AM316" i="43"/>
  <c r="AN316" i="43"/>
  <c r="AX316" i="43"/>
  <c r="BI316" i="43"/>
  <c r="BJ316" i="43"/>
  <c r="V317" i="43"/>
  <c r="AE317" i="43" s="1"/>
  <c r="W317" i="43"/>
  <c r="AF317" i="43" s="1"/>
  <c r="AM317" i="43"/>
  <c r="AN317" i="43"/>
  <c r="AX317" i="43"/>
  <c r="BI317" i="43"/>
  <c r="BJ317" i="43"/>
  <c r="V319" i="43"/>
  <c r="W319" i="43"/>
  <c r="AF319" i="43" s="1"/>
  <c r="AM319" i="43"/>
  <c r="AN319" i="43"/>
  <c r="AX319" i="43"/>
  <c r="BI319" i="43"/>
  <c r="BJ319" i="43"/>
  <c r="V320" i="43"/>
  <c r="AE320" i="43" s="1"/>
  <c r="W320" i="43"/>
  <c r="AF320" i="43" s="1"/>
  <c r="AM320" i="43"/>
  <c r="AN320" i="43"/>
  <c r="AX320" i="43"/>
  <c r="BI320" i="43"/>
  <c r="BJ320" i="43"/>
  <c r="V321" i="43"/>
  <c r="AE321" i="43" s="1"/>
  <c r="W321" i="43"/>
  <c r="AF321" i="43" s="1"/>
  <c r="AM321" i="43"/>
  <c r="AN321" i="43"/>
  <c r="AX321" i="43"/>
  <c r="BI321" i="43"/>
  <c r="BJ321" i="43"/>
  <c r="V322" i="43"/>
  <c r="AE322" i="43" s="1"/>
  <c r="W322" i="43"/>
  <c r="AF322" i="43" s="1"/>
  <c r="AM322" i="43"/>
  <c r="AN322" i="43"/>
  <c r="AX322" i="43"/>
  <c r="BI322" i="43"/>
  <c r="BJ322" i="43"/>
  <c r="V323" i="43"/>
  <c r="AE323" i="43" s="1"/>
  <c r="W323" i="43"/>
  <c r="AF323" i="43" s="1"/>
  <c r="AM323" i="43"/>
  <c r="AN323" i="43"/>
  <c r="AX323" i="43"/>
  <c r="BI323" i="43"/>
  <c r="BJ323" i="43"/>
  <c r="V325" i="43"/>
  <c r="W325" i="43"/>
  <c r="AM325" i="43"/>
  <c r="AM326" i="43" s="1"/>
  <c r="AN325" i="43"/>
  <c r="AN326" i="43" s="1"/>
  <c r="AX325" i="43"/>
  <c r="AX326" i="43" s="1"/>
  <c r="BI325" i="43"/>
  <c r="BI326" i="43" s="1"/>
  <c r="BJ325" i="43"/>
  <c r="BJ326" i="43" s="1"/>
  <c r="V327" i="43"/>
  <c r="W327" i="43"/>
  <c r="AM327" i="43"/>
  <c r="AN327" i="43"/>
  <c r="AX327" i="43"/>
  <c r="BI327" i="43"/>
  <c r="BJ327" i="43"/>
  <c r="V328" i="43"/>
  <c r="AE328" i="43" s="1"/>
  <c r="W328" i="43"/>
  <c r="AF328" i="43" s="1"/>
  <c r="AM328" i="43"/>
  <c r="AN328" i="43"/>
  <c r="AX328" i="43"/>
  <c r="BI328" i="43"/>
  <c r="BJ328" i="43"/>
  <c r="V329" i="43"/>
  <c r="AE329" i="43" s="1"/>
  <c r="W329" i="43"/>
  <c r="AF329" i="43" s="1"/>
  <c r="AM329" i="43"/>
  <c r="AN329" i="43"/>
  <c r="AX329" i="43"/>
  <c r="BI329" i="43"/>
  <c r="BJ329" i="43"/>
  <c r="V331" i="43"/>
  <c r="W331" i="43"/>
  <c r="AF331" i="43" s="1"/>
  <c r="AM331" i="43"/>
  <c r="AN331" i="43"/>
  <c r="AX331" i="43"/>
  <c r="BI331" i="43"/>
  <c r="BJ331" i="43"/>
  <c r="V332" i="43"/>
  <c r="AE332" i="43" s="1"/>
  <c r="W332" i="43"/>
  <c r="AF332" i="43" s="1"/>
  <c r="AM332" i="43"/>
  <c r="AN332" i="43"/>
  <c r="AX332" i="43"/>
  <c r="BI332" i="43"/>
  <c r="BJ332" i="43"/>
  <c r="V333" i="43"/>
  <c r="AE333" i="43" s="1"/>
  <c r="W333" i="43"/>
  <c r="AF333" i="43" s="1"/>
  <c r="AM333" i="43"/>
  <c r="AN333" i="43"/>
  <c r="AX333" i="43"/>
  <c r="BI333" i="43"/>
  <c r="BJ333" i="43"/>
  <c r="V335" i="43"/>
  <c r="W335" i="43"/>
  <c r="AM335" i="43"/>
  <c r="AN335" i="43"/>
  <c r="AX335" i="43"/>
  <c r="BI335" i="43"/>
  <c r="BJ335" i="43"/>
  <c r="V336" i="43"/>
  <c r="AE336" i="43" s="1"/>
  <c r="W336" i="43"/>
  <c r="AF336" i="43" s="1"/>
  <c r="AM336" i="43"/>
  <c r="AN336" i="43"/>
  <c r="AX336" i="43"/>
  <c r="BI336" i="43"/>
  <c r="BJ336" i="43"/>
  <c r="V337" i="43"/>
  <c r="AE337" i="43" s="1"/>
  <c r="W337" i="43"/>
  <c r="AF337" i="43" s="1"/>
  <c r="AM337" i="43"/>
  <c r="AN337" i="43"/>
  <c r="AX337" i="43"/>
  <c r="BI337" i="43"/>
  <c r="BJ337" i="43"/>
  <c r="V339" i="43"/>
  <c r="W339" i="43"/>
  <c r="AM339" i="43"/>
  <c r="AN339" i="43"/>
  <c r="AX339" i="43"/>
  <c r="BI339" i="43"/>
  <c r="BJ339" i="43"/>
  <c r="V340" i="43"/>
  <c r="AE340" i="43" s="1"/>
  <c r="W340" i="43"/>
  <c r="AF340" i="43" s="1"/>
  <c r="AM340" i="43"/>
  <c r="AN340" i="43"/>
  <c r="AX340" i="43"/>
  <c r="BI340" i="43"/>
  <c r="BJ340" i="43"/>
  <c r="V341" i="43"/>
  <c r="AE341" i="43" s="1"/>
  <c r="W341" i="43"/>
  <c r="AF341" i="43" s="1"/>
  <c r="AM341" i="43"/>
  <c r="AN341" i="43"/>
  <c r="AX341" i="43"/>
  <c r="BI341" i="43"/>
  <c r="BJ341" i="43"/>
  <c r="V342" i="43"/>
  <c r="AE342" i="43" s="1"/>
  <c r="W342" i="43"/>
  <c r="AF342" i="43" s="1"/>
  <c r="AM342" i="43"/>
  <c r="AN342" i="43"/>
  <c r="AX342" i="43"/>
  <c r="BI342" i="43"/>
  <c r="BJ342" i="43"/>
  <c r="V343" i="43"/>
  <c r="AE343" i="43" s="1"/>
  <c r="W343" i="43"/>
  <c r="AF343" i="43" s="1"/>
  <c r="AM343" i="43"/>
  <c r="AN343" i="43"/>
  <c r="AX343" i="43"/>
  <c r="BI343" i="43"/>
  <c r="BJ343" i="43"/>
  <c r="V344" i="43"/>
  <c r="AE344" i="43" s="1"/>
  <c r="W344" i="43"/>
  <c r="AF344" i="43" s="1"/>
  <c r="AM344" i="43"/>
  <c r="AN344" i="43"/>
  <c r="AX344" i="43"/>
  <c r="BI344" i="43"/>
  <c r="BJ344" i="43"/>
  <c r="V345" i="43"/>
  <c r="AE345" i="43" s="1"/>
  <c r="W345" i="43"/>
  <c r="AF345" i="43" s="1"/>
  <c r="AM345" i="43"/>
  <c r="AN345" i="43"/>
  <c r="AX345" i="43"/>
  <c r="BI345" i="43"/>
  <c r="BJ345" i="43"/>
  <c r="V346" i="43"/>
  <c r="AE346" i="43" s="1"/>
  <c r="W346" i="43"/>
  <c r="AF346" i="43" s="1"/>
  <c r="AM346" i="43"/>
  <c r="AN346" i="43"/>
  <c r="AX346" i="43"/>
  <c r="BI346" i="43"/>
  <c r="BJ346" i="43"/>
  <c r="V348" i="43"/>
  <c r="W348" i="43"/>
  <c r="AF348" i="43" s="1"/>
  <c r="AM348" i="43"/>
  <c r="AN348" i="43"/>
  <c r="AX348" i="43"/>
  <c r="BI348" i="43"/>
  <c r="BJ348" i="43"/>
  <c r="V349" i="43"/>
  <c r="AE349" i="43" s="1"/>
  <c r="W349" i="43"/>
  <c r="AF349" i="43" s="1"/>
  <c r="AM349" i="43"/>
  <c r="AN349" i="43"/>
  <c r="AX349" i="43"/>
  <c r="BI349" i="43"/>
  <c r="BJ349" i="43"/>
  <c r="V350" i="43"/>
  <c r="AE350" i="43" s="1"/>
  <c r="W350" i="43"/>
  <c r="AF350" i="43" s="1"/>
  <c r="AM350" i="43"/>
  <c r="AN350" i="43"/>
  <c r="AX350" i="43"/>
  <c r="BI350" i="43"/>
  <c r="BJ350" i="43"/>
  <c r="V351" i="43"/>
  <c r="AE351" i="43" s="1"/>
  <c r="W351" i="43"/>
  <c r="AF351" i="43" s="1"/>
  <c r="AM351" i="43"/>
  <c r="AN351" i="43"/>
  <c r="AX351" i="43"/>
  <c r="BI351" i="43"/>
  <c r="BJ351" i="43"/>
  <c r="V352" i="43"/>
  <c r="AE352" i="43" s="1"/>
  <c r="W352" i="43"/>
  <c r="AF352" i="43" s="1"/>
  <c r="AM352" i="43"/>
  <c r="AN352" i="43"/>
  <c r="AX352" i="43"/>
  <c r="BI352" i="43"/>
  <c r="BJ352" i="43"/>
  <c r="V354" i="43"/>
  <c r="W354" i="43"/>
  <c r="AF354" i="43" s="1"/>
  <c r="AM354" i="43"/>
  <c r="AN354" i="43"/>
  <c r="AX354" i="43"/>
  <c r="BI354" i="43"/>
  <c r="BJ354" i="43"/>
  <c r="V355" i="43"/>
  <c r="AE355" i="43" s="1"/>
  <c r="W355" i="43"/>
  <c r="AF355" i="43" s="1"/>
  <c r="AM355" i="43"/>
  <c r="AN355" i="43"/>
  <c r="AX355" i="43"/>
  <c r="BI355" i="43"/>
  <c r="BJ355" i="43"/>
  <c r="V356" i="43"/>
  <c r="AE356" i="43" s="1"/>
  <c r="W356" i="43"/>
  <c r="AF356" i="43" s="1"/>
  <c r="AM356" i="43"/>
  <c r="AN356" i="43"/>
  <c r="AX356" i="43"/>
  <c r="BI356" i="43"/>
  <c r="BJ356" i="43"/>
  <c r="V357" i="43"/>
  <c r="AE357" i="43" s="1"/>
  <c r="W357" i="43"/>
  <c r="AF357" i="43" s="1"/>
  <c r="AM357" i="43"/>
  <c r="AN357" i="43"/>
  <c r="AX357" i="43"/>
  <c r="BI357" i="43"/>
  <c r="BJ357" i="43"/>
  <c r="V358" i="43"/>
  <c r="AE358" i="43" s="1"/>
  <c r="W358" i="43"/>
  <c r="AF358" i="43" s="1"/>
  <c r="AM358" i="43"/>
  <c r="AN358" i="43"/>
  <c r="AX358" i="43"/>
  <c r="BI358" i="43"/>
  <c r="BJ358" i="43"/>
  <c r="V359" i="43"/>
  <c r="AE359" i="43" s="1"/>
  <c r="W359" i="43"/>
  <c r="AF359" i="43" s="1"/>
  <c r="AM359" i="43"/>
  <c r="AN359" i="43"/>
  <c r="AX359" i="43"/>
  <c r="BI359" i="43"/>
  <c r="BJ359" i="43"/>
  <c r="V361" i="43"/>
  <c r="W361" i="43"/>
  <c r="AM361" i="43"/>
  <c r="AN361" i="43"/>
  <c r="AX361" i="43"/>
  <c r="BI361" i="43"/>
  <c r="BJ361" i="43"/>
  <c r="V362" i="43"/>
  <c r="AE362" i="43" s="1"/>
  <c r="W362" i="43"/>
  <c r="AF362" i="43" s="1"/>
  <c r="AM362" i="43"/>
  <c r="AN362" i="43"/>
  <c r="AX362" i="43"/>
  <c r="BI362" i="43"/>
  <c r="BJ362" i="43"/>
  <c r="V363" i="43"/>
  <c r="AE363" i="43" s="1"/>
  <c r="W363" i="43"/>
  <c r="AF363" i="43" s="1"/>
  <c r="AM363" i="43"/>
  <c r="AN363" i="43"/>
  <c r="AX363" i="43"/>
  <c r="BI363" i="43"/>
  <c r="BJ363" i="43"/>
  <c r="V364" i="43"/>
  <c r="AE364" i="43" s="1"/>
  <c r="W364" i="43"/>
  <c r="AF364" i="43" s="1"/>
  <c r="AM364" i="43"/>
  <c r="AN364" i="43"/>
  <c r="AX364" i="43"/>
  <c r="BI364" i="43"/>
  <c r="BJ364" i="43"/>
  <c r="V366" i="43"/>
  <c r="AE366" i="43" s="1"/>
  <c r="W366" i="43"/>
  <c r="AF366" i="43" s="1"/>
  <c r="AM366" i="43"/>
  <c r="AN366" i="43"/>
  <c r="AX366" i="43"/>
  <c r="BI366" i="43"/>
  <c r="BJ366" i="43"/>
  <c r="V367" i="43"/>
  <c r="AE367" i="43" s="1"/>
  <c r="W367" i="43"/>
  <c r="AF367" i="43" s="1"/>
  <c r="AM367" i="43"/>
  <c r="AN367" i="43"/>
  <c r="AX367" i="43"/>
  <c r="BI367" i="43"/>
  <c r="BJ367" i="43"/>
  <c r="V368" i="43"/>
  <c r="AE368" i="43" s="1"/>
  <c r="W368" i="43"/>
  <c r="AF368" i="43" s="1"/>
  <c r="AM368" i="43"/>
  <c r="AN368" i="43"/>
  <c r="AX368" i="43"/>
  <c r="BI368" i="43"/>
  <c r="BJ368" i="43"/>
  <c r="V369" i="43"/>
  <c r="AE369" i="43" s="1"/>
  <c r="W369" i="43"/>
  <c r="AF369" i="43" s="1"/>
  <c r="AM369" i="43"/>
  <c r="AN369" i="43"/>
  <c r="AX369" i="43"/>
  <c r="BI369" i="43"/>
  <c r="BJ369" i="43"/>
  <c r="V370" i="43"/>
  <c r="AE370" i="43" s="1"/>
  <c r="W370" i="43"/>
  <c r="AF370" i="43" s="1"/>
  <c r="AM370" i="43"/>
  <c r="AN370" i="43"/>
  <c r="AX370" i="43"/>
  <c r="BI370" i="43"/>
  <c r="BJ370" i="43"/>
  <c r="V371" i="43"/>
  <c r="AE371" i="43" s="1"/>
  <c r="W371" i="43"/>
  <c r="AF371" i="43" s="1"/>
  <c r="AM371" i="43"/>
  <c r="AN371" i="43"/>
  <c r="AX371" i="43"/>
  <c r="BI371" i="43"/>
  <c r="BJ371" i="43"/>
  <c r="V373" i="43"/>
  <c r="W373" i="43"/>
  <c r="AF373" i="43" s="1"/>
  <c r="AM373" i="43"/>
  <c r="AN373" i="43"/>
  <c r="AX373" i="43"/>
  <c r="BI373" i="43"/>
  <c r="BJ373" i="43"/>
  <c r="V374" i="43"/>
  <c r="AE374" i="43" s="1"/>
  <c r="W374" i="43"/>
  <c r="AF374" i="43" s="1"/>
  <c r="AM374" i="43"/>
  <c r="AN374" i="43"/>
  <c r="AX374" i="43"/>
  <c r="BI374" i="43"/>
  <c r="BJ374" i="43"/>
  <c r="V375" i="43"/>
  <c r="AE375" i="43" s="1"/>
  <c r="W375" i="43"/>
  <c r="AF375" i="43" s="1"/>
  <c r="AM375" i="43"/>
  <c r="AN375" i="43"/>
  <c r="AX375" i="43"/>
  <c r="BI375" i="43"/>
  <c r="BJ375" i="43"/>
  <c r="V377" i="43"/>
  <c r="W377" i="43"/>
  <c r="AM377" i="43"/>
  <c r="AM378" i="43" s="1"/>
  <c r="AN377" i="43"/>
  <c r="AN378" i="43" s="1"/>
  <c r="AX377" i="43"/>
  <c r="AX378" i="43" s="1"/>
  <c r="BI377" i="43"/>
  <c r="BJ377" i="43"/>
  <c r="BJ378" i="43" s="1"/>
  <c r="V379" i="43"/>
  <c r="W379" i="43"/>
  <c r="AM379" i="43"/>
  <c r="AN379" i="43"/>
  <c r="AX379" i="43"/>
  <c r="BI379" i="43"/>
  <c r="BJ379" i="43"/>
  <c r="V380" i="43"/>
  <c r="AE380" i="43" s="1"/>
  <c r="W380" i="43"/>
  <c r="AF380" i="43" s="1"/>
  <c r="AM380" i="43"/>
  <c r="AN380" i="43"/>
  <c r="AX380" i="43"/>
  <c r="BI380" i="43"/>
  <c r="BJ380" i="43"/>
  <c r="V381" i="43"/>
  <c r="AE381" i="43" s="1"/>
  <c r="W381" i="43"/>
  <c r="AF381" i="43" s="1"/>
  <c r="AM381" i="43"/>
  <c r="AN381" i="43"/>
  <c r="AX381" i="43"/>
  <c r="BI381" i="43"/>
  <c r="BJ381" i="43"/>
  <c r="V382" i="43"/>
  <c r="AE382" i="43" s="1"/>
  <c r="W382" i="43"/>
  <c r="AF382" i="43" s="1"/>
  <c r="AM382" i="43"/>
  <c r="AN382" i="43"/>
  <c r="AX382" i="43"/>
  <c r="BI382" i="43"/>
  <c r="BJ382" i="43"/>
  <c r="V383" i="43"/>
  <c r="AE383" i="43" s="1"/>
  <c r="W383" i="43"/>
  <c r="AF383" i="43" s="1"/>
  <c r="AM383" i="43"/>
  <c r="AN383" i="43"/>
  <c r="AX383" i="43"/>
  <c r="BI383" i="43"/>
  <c r="BJ383" i="43"/>
  <c r="V384" i="43"/>
  <c r="AE384" i="43" s="1"/>
  <c r="W384" i="43"/>
  <c r="AF384" i="43" s="1"/>
  <c r="AM384" i="43"/>
  <c r="AN384" i="43"/>
  <c r="AX384" i="43"/>
  <c r="BI384" i="43"/>
  <c r="BJ384" i="43"/>
  <c r="V386" i="43"/>
  <c r="W386" i="43"/>
  <c r="AF386" i="43" s="1"/>
  <c r="AM386" i="43"/>
  <c r="AN386" i="43"/>
  <c r="AX386" i="43"/>
  <c r="BI386" i="43"/>
  <c r="BJ386" i="43"/>
  <c r="V387" i="43"/>
  <c r="AE387" i="43" s="1"/>
  <c r="W387" i="43"/>
  <c r="AF387" i="43" s="1"/>
  <c r="AM387" i="43"/>
  <c r="AN387" i="43"/>
  <c r="AX387" i="43"/>
  <c r="BI387" i="43"/>
  <c r="BJ387" i="43"/>
  <c r="V388" i="43"/>
  <c r="AE388" i="43" s="1"/>
  <c r="W388" i="43"/>
  <c r="AF388" i="43" s="1"/>
  <c r="AM388" i="43"/>
  <c r="AN388" i="43"/>
  <c r="AX388" i="43"/>
  <c r="BI388" i="43"/>
  <c r="BJ388" i="43"/>
  <c r="V389" i="43"/>
  <c r="AE389" i="43" s="1"/>
  <c r="W389" i="43"/>
  <c r="AF389" i="43" s="1"/>
  <c r="AM389" i="43"/>
  <c r="AN389" i="43"/>
  <c r="AX389" i="43"/>
  <c r="BI389" i="43"/>
  <c r="BJ389" i="43"/>
  <c r="V390" i="43"/>
  <c r="AE390" i="43" s="1"/>
  <c r="W390" i="43"/>
  <c r="AF390" i="43" s="1"/>
  <c r="AM390" i="43"/>
  <c r="AN390" i="43"/>
  <c r="AX390" i="43"/>
  <c r="BI390" i="43"/>
  <c r="BJ390" i="43"/>
  <c r="V392" i="43"/>
  <c r="W392" i="43"/>
  <c r="AM392" i="43"/>
  <c r="AN392" i="43"/>
  <c r="AX392" i="43"/>
  <c r="BI392" i="43"/>
  <c r="BJ392" i="43"/>
  <c r="V393" i="43"/>
  <c r="AE393" i="43" s="1"/>
  <c r="W393" i="43"/>
  <c r="AF393" i="43" s="1"/>
  <c r="AM393" i="43"/>
  <c r="AN393" i="43"/>
  <c r="AX393" i="43"/>
  <c r="BI393" i="43"/>
  <c r="BJ393" i="43"/>
  <c r="V394" i="43"/>
  <c r="AE394" i="43" s="1"/>
  <c r="W394" i="43"/>
  <c r="AF394" i="43" s="1"/>
  <c r="AM394" i="43"/>
  <c r="AN394" i="43"/>
  <c r="AX394" i="43"/>
  <c r="BI394" i="43"/>
  <c r="BJ394" i="43"/>
  <c r="V396" i="43"/>
  <c r="W396" i="43"/>
  <c r="AF396" i="43" s="1"/>
  <c r="AM396" i="43"/>
  <c r="AN396" i="43"/>
  <c r="AX396" i="43"/>
  <c r="BI396" i="43"/>
  <c r="BJ396" i="43"/>
  <c r="V397" i="43"/>
  <c r="AE397" i="43" s="1"/>
  <c r="W397" i="43"/>
  <c r="AF397" i="43" s="1"/>
  <c r="AM397" i="43"/>
  <c r="AN397" i="43"/>
  <c r="AX397" i="43"/>
  <c r="BI397" i="43"/>
  <c r="BJ397" i="43"/>
  <c r="V398" i="43"/>
  <c r="AE398" i="43" s="1"/>
  <c r="W398" i="43"/>
  <c r="AF398" i="43" s="1"/>
  <c r="AM398" i="43"/>
  <c r="AN398" i="43"/>
  <c r="AX398" i="43"/>
  <c r="BI398" i="43"/>
  <c r="BJ398" i="43"/>
  <c r="V399" i="43"/>
  <c r="AE399" i="43" s="1"/>
  <c r="W399" i="43"/>
  <c r="AF399" i="43" s="1"/>
  <c r="AM399" i="43"/>
  <c r="AN399" i="43"/>
  <c r="AX399" i="43"/>
  <c r="BI399" i="43"/>
  <c r="BJ399" i="43"/>
  <c r="V400" i="43"/>
  <c r="AE400" i="43" s="1"/>
  <c r="W400" i="43"/>
  <c r="AF400" i="43" s="1"/>
  <c r="AM400" i="43"/>
  <c r="AN400" i="43"/>
  <c r="AX400" i="43"/>
  <c r="BI400" i="43"/>
  <c r="BJ400" i="43"/>
  <c r="V401" i="43"/>
  <c r="AE401" i="43" s="1"/>
  <c r="W401" i="43"/>
  <c r="AF401" i="43" s="1"/>
  <c r="AM401" i="43"/>
  <c r="AN401" i="43"/>
  <c r="AX401" i="43"/>
  <c r="BI401" i="43"/>
  <c r="BJ401" i="43"/>
  <c r="V403" i="43"/>
  <c r="W403" i="43"/>
  <c r="AM403" i="43"/>
  <c r="AN403" i="43"/>
  <c r="AX403" i="43"/>
  <c r="BI403" i="43"/>
  <c r="BJ403" i="43"/>
  <c r="V404" i="43"/>
  <c r="AE404" i="43" s="1"/>
  <c r="W404" i="43"/>
  <c r="AF404" i="43" s="1"/>
  <c r="AM404" i="43"/>
  <c r="AN404" i="43"/>
  <c r="AX404" i="43"/>
  <c r="BI404" i="43"/>
  <c r="BJ404" i="43"/>
  <c r="V405" i="43"/>
  <c r="AE405" i="43" s="1"/>
  <c r="W405" i="43"/>
  <c r="AF405" i="43" s="1"/>
  <c r="AM405" i="43"/>
  <c r="AN405" i="43"/>
  <c r="AX405" i="43"/>
  <c r="BI405" i="43"/>
  <c r="BJ405" i="43"/>
  <c r="V406" i="43"/>
  <c r="AE406" i="43" s="1"/>
  <c r="W406" i="43"/>
  <c r="AF406" i="43" s="1"/>
  <c r="AM406" i="43"/>
  <c r="AN406" i="43"/>
  <c r="AX406" i="43"/>
  <c r="BI406" i="43"/>
  <c r="BJ406" i="43"/>
  <c r="V407" i="43"/>
  <c r="AE407" i="43" s="1"/>
  <c r="W407" i="43"/>
  <c r="AF407" i="43" s="1"/>
  <c r="AM407" i="43"/>
  <c r="AN407" i="43"/>
  <c r="AX407" i="43"/>
  <c r="BI407" i="43"/>
  <c r="BJ407" i="43"/>
  <c r="V408" i="43"/>
  <c r="AE408" i="43" s="1"/>
  <c r="W408" i="43"/>
  <c r="AF408" i="43" s="1"/>
  <c r="AM408" i="43"/>
  <c r="AN408" i="43"/>
  <c r="AX408" i="43"/>
  <c r="BI408" i="43"/>
  <c r="BJ408" i="43"/>
  <c r="V410" i="43"/>
  <c r="W410" i="43"/>
  <c r="AM410" i="43"/>
  <c r="AN410" i="43"/>
  <c r="AX410" i="43"/>
  <c r="BI410" i="43"/>
  <c r="BJ410" i="43"/>
  <c r="V411" i="43"/>
  <c r="AE411" i="43" s="1"/>
  <c r="W411" i="43"/>
  <c r="AF411" i="43" s="1"/>
  <c r="AM411" i="43"/>
  <c r="AN411" i="43"/>
  <c r="AX411" i="43"/>
  <c r="BI411" i="43"/>
  <c r="BJ411" i="43"/>
  <c r="V412" i="43"/>
  <c r="AE412" i="43" s="1"/>
  <c r="W412" i="43"/>
  <c r="AF412" i="43" s="1"/>
  <c r="AM412" i="43"/>
  <c r="AN412" i="43"/>
  <c r="AX412" i="43"/>
  <c r="BI412" i="43"/>
  <c r="BJ412" i="43"/>
  <c r="V413" i="43"/>
  <c r="AE413" i="43" s="1"/>
  <c r="W413" i="43"/>
  <c r="AF413" i="43" s="1"/>
  <c r="AM413" i="43"/>
  <c r="AN413" i="43"/>
  <c r="AX413" i="43"/>
  <c r="BI413" i="43"/>
  <c r="BJ413" i="43"/>
  <c r="V414" i="43"/>
  <c r="AE414" i="43" s="1"/>
  <c r="W414" i="43"/>
  <c r="AF414" i="43" s="1"/>
  <c r="AM414" i="43"/>
  <c r="AN414" i="43"/>
  <c r="AX414" i="43"/>
  <c r="BI414" i="43"/>
  <c r="BJ414" i="43"/>
  <c r="V415" i="43"/>
  <c r="AE415" i="43" s="1"/>
  <c r="W415" i="43"/>
  <c r="AF415" i="43" s="1"/>
  <c r="AM415" i="43"/>
  <c r="AN415" i="43"/>
  <c r="AX415" i="43"/>
  <c r="BI415" i="43"/>
  <c r="BJ415" i="43"/>
  <c r="AE417" i="43"/>
  <c r="W417" i="43"/>
  <c r="AM417" i="43"/>
  <c r="AN417" i="43"/>
  <c r="AX417" i="43"/>
  <c r="BI417" i="43"/>
  <c r="BJ417" i="43"/>
  <c r="V418" i="43"/>
  <c r="AE418" i="43" s="1"/>
  <c r="W418" i="43"/>
  <c r="AF418" i="43" s="1"/>
  <c r="AM418" i="43"/>
  <c r="AN418" i="43"/>
  <c r="AX418" i="43"/>
  <c r="BI418" i="43"/>
  <c r="BJ418" i="43"/>
  <c r="V419" i="43"/>
  <c r="AE419" i="43" s="1"/>
  <c r="W419" i="43"/>
  <c r="AF419" i="43" s="1"/>
  <c r="AM419" i="43"/>
  <c r="AN419" i="43"/>
  <c r="AX419" i="43"/>
  <c r="BI419" i="43"/>
  <c r="BJ419" i="43"/>
  <c r="V420" i="43"/>
  <c r="AE420" i="43" s="1"/>
  <c r="W420" i="43"/>
  <c r="AF420" i="43" s="1"/>
  <c r="AM420" i="43"/>
  <c r="AN420" i="43"/>
  <c r="AX420" i="43"/>
  <c r="BI420" i="43"/>
  <c r="BJ420" i="43"/>
  <c r="V421" i="43"/>
  <c r="AE421" i="43" s="1"/>
  <c r="W421" i="43"/>
  <c r="AF421" i="43" s="1"/>
  <c r="AM421" i="43"/>
  <c r="AN421" i="43"/>
  <c r="AX421" i="43"/>
  <c r="BI421" i="43"/>
  <c r="BJ421" i="43"/>
  <c r="V422" i="43"/>
  <c r="AE422" i="43" s="1"/>
  <c r="W422" i="43"/>
  <c r="AF422" i="43" s="1"/>
  <c r="AM422" i="43"/>
  <c r="AN422" i="43"/>
  <c r="AX422" i="43"/>
  <c r="BI422" i="43"/>
  <c r="BJ422" i="43"/>
  <c r="V424" i="43"/>
  <c r="W424" i="43"/>
  <c r="AM424" i="43"/>
  <c r="AN424" i="43"/>
  <c r="AX424" i="43"/>
  <c r="BI424" i="43"/>
  <c r="BJ424" i="43"/>
  <c r="V425" i="43"/>
  <c r="AE425" i="43" s="1"/>
  <c r="W425" i="43"/>
  <c r="AF425" i="43" s="1"/>
  <c r="AM425" i="43"/>
  <c r="AN425" i="43"/>
  <c r="AX425" i="43"/>
  <c r="BI425" i="43"/>
  <c r="BJ425" i="43"/>
  <c r="V426" i="43"/>
  <c r="AE426" i="43" s="1"/>
  <c r="W426" i="43"/>
  <c r="AF426" i="43" s="1"/>
  <c r="AM426" i="43"/>
  <c r="AN426" i="43"/>
  <c r="AX426" i="43"/>
  <c r="BI426" i="43"/>
  <c r="BJ426" i="43"/>
  <c r="V427" i="43"/>
  <c r="AE427" i="43" s="1"/>
  <c r="W427" i="43"/>
  <c r="AF427" i="43" s="1"/>
  <c r="AM427" i="43"/>
  <c r="AN427" i="43"/>
  <c r="AX427" i="43"/>
  <c r="BI427" i="43"/>
  <c r="BJ427" i="43"/>
  <c r="V428" i="43"/>
  <c r="AE428" i="43" s="1"/>
  <c r="W428" i="43"/>
  <c r="AF428" i="43" s="1"/>
  <c r="AM428" i="43"/>
  <c r="AN428" i="43"/>
  <c r="AX428" i="43"/>
  <c r="BI428" i="43"/>
  <c r="BJ428" i="43"/>
  <c r="V429" i="43"/>
  <c r="AE429" i="43" s="1"/>
  <c r="W429" i="43"/>
  <c r="AF429" i="43" s="1"/>
  <c r="AM429" i="43"/>
  <c r="AN429" i="43"/>
  <c r="AX429" i="43"/>
  <c r="BI429" i="43"/>
  <c r="BJ429" i="43"/>
  <c r="V431" i="43"/>
  <c r="W431" i="43"/>
  <c r="AM431" i="43"/>
  <c r="AN431" i="43"/>
  <c r="AX431" i="43"/>
  <c r="BI431" i="43"/>
  <c r="BJ431" i="43"/>
  <c r="V432" i="43"/>
  <c r="AE432" i="43" s="1"/>
  <c r="W432" i="43"/>
  <c r="AF432" i="43" s="1"/>
  <c r="AM432" i="43"/>
  <c r="AN432" i="43"/>
  <c r="AX432" i="43"/>
  <c r="BI432" i="43"/>
  <c r="BJ432" i="43"/>
  <c r="V433" i="43"/>
  <c r="AE433" i="43" s="1"/>
  <c r="W433" i="43"/>
  <c r="AF433" i="43" s="1"/>
  <c r="AM433" i="43"/>
  <c r="AN433" i="43"/>
  <c r="AX433" i="43"/>
  <c r="BI433" i="43"/>
  <c r="BJ433" i="43"/>
  <c r="V434" i="43"/>
  <c r="AE434" i="43" s="1"/>
  <c r="W434" i="43"/>
  <c r="AF434" i="43" s="1"/>
  <c r="AM434" i="43"/>
  <c r="AN434" i="43"/>
  <c r="AX434" i="43"/>
  <c r="BI434" i="43"/>
  <c r="BJ434" i="43"/>
  <c r="V435" i="43"/>
  <c r="AE435" i="43" s="1"/>
  <c r="W435" i="43"/>
  <c r="AF435" i="43" s="1"/>
  <c r="AM435" i="43"/>
  <c r="AN435" i="43"/>
  <c r="AX435" i="43"/>
  <c r="BI435" i="43"/>
  <c r="BJ435" i="43"/>
  <c r="V436" i="43"/>
  <c r="AE436" i="43" s="1"/>
  <c r="W436" i="43"/>
  <c r="AF436" i="43" s="1"/>
  <c r="AM436" i="43"/>
  <c r="AN436" i="43"/>
  <c r="AX436" i="43"/>
  <c r="BI436" i="43"/>
  <c r="BJ436" i="43"/>
  <c r="V438" i="43"/>
  <c r="W438" i="43"/>
  <c r="AM438" i="43"/>
  <c r="AN438" i="43"/>
  <c r="AX438" i="43"/>
  <c r="BI438" i="43"/>
  <c r="BJ438" i="43"/>
  <c r="V439" i="43"/>
  <c r="AE439" i="43" s="1"/>
  <c r="W439" i="43"/>
  <c r="AF439" i="43" s="1"/>
  <c r="AM439" i="43"/>
  <c r="AN439" i="43"/>
  <c r="AX439" i="43"/>
  <c r="BI439" i="43"/>
  <c r="BJ439" i="43"/>
  <c r="V440" i="43"/>
  <c r="AE440" i="43" s="1"/>
  <c r="W440" i="43"/>
  <c r="AF440" i="43" s="1"/>
  <c r="AM440" i="43"/>
  <c r="AN440" i="43"/>
  <c r="AX440" i="43"/>
  <c r="BI440" i="43"/>
  <c r="BJ440" i="43"/>
  <c r="V441" i="43"/>
  <c r="AE441" i="43" s="1"/>
  <c r="W441" i="43"/>
  <c r="AF441" i="43" s="1"/>
  <c r="AM441" i="43"/>
  <c r="AN441" i="43"/>
  <c r="AX441" i="43"/>
  <c r="BI441" i="43"/>
  <c r="BJ441" i="43"/>
  <c r="V442" i="43"/>
  <c r="AE442" i="43" s="1"/>
  <c r="W442" i="43"/>
  <c r="AF442" i="43" s="1"/>
  <c r="AM442" i="43"/>
  <c r="AN442" i="43"/>
  <c r="AX442" i="43"/>
  <c r="BI442" i="43"/>
  <c r="BJ442" i="43"/>
  <c r="V443" i="43"/>
  <c r="AE443" i="43" s="1"/>
  <c r="W443" i="43"/>
  <c r="AF443" i="43" s="1"/>
  <c r="AM443" i="43"/>
  <c r="AN443" i="43"/>
  <c r="AX443" i="43"/>
  <c r="BI443" i="43"/>
  <c r="BJ443" i="43"/>
  <c r="V445" i="43"/>
  <c r="W445" i="43"/>
  <c r="AF445" i="43" s="1"/>
  <c r="AM445" i="43"/>
  <c r="AN445" i="43"/>
  <c r="AX445" i="43"/>
  <c r="BI445" i="43"/>
  <c r="BJ445" i="43"/>
  <c r="V446" i="43"/>
  <c r="AE446" i="43" s="1"/>
  <c r="W446" i="43"/>
  <c r="AF446" i="43" s="1"/>
  <c r="AM446" i="43"/>
  <c r="AN446" i="43"/>
  <c r="AX446" i="43"/>
  <c r="BI446" i="43"/>
  <c r="BJ446" i="43"/>
  <c r="V447" i="43"/>
  <c r="AE447" i="43" s="1"/>
  <c r="W447" i="43"/>
  <c r="AF447" i="43" s="1"/>
  <c r="AM447" i="43"/>
  <c r="AN447" i="43"/>
  <c r="AX447" i="43"/>
  <c r="BI447" i="43"/>
  <c r="BJ447" i="43"/>
  <c r="V448" i="43"/>
  <c r="AE448" i="43" s="1"/>
  <c r="W448" i="43"/>
  <c r="AF448" i="43" s="1"/>
  <c r="AM448" i="43"/>
  <c r="AN448" i="43"/>
  <c r="AX448" i="43"/>
  <c r="BI448" i="43"/>
  <c r="BJ448" i="43"/>
  <c r="V449" i="43"/>
  <c r="AE449" i="43" s="1"/>
  <c r="W449" i="43"/>
  <c r="AF449" i="43" s="1"/>
  <c r="AM449" i="43"/>
  <c r="AN449" i="43"/>
  <c r="AX449" i="43"/>
  <c r="BI449" i="43"/>
  <c r="BJ449" i="43"/>
  <c r="V450" i="43"/>
  <c r="AE450" i="43" s="1"/>
  <c r="W450" i="43"/>
  <c r="AF450" i="43" s="1"/>
  <c r="AM450" i="43"/>
  <c r="AN450" i="43"/>
  <c r="AX450" i="43"/>
  <c r="BI450" i="43"/>
  <c r="BJ450" i="43"/>
  <c r="V452" i="43"/>
  <c r="AE452" i="43" s="1"/>
  <c r="W452" i="43"/>
  <c r="AM452" i="43"/>
  <c r="AN452" i="43"/>
  <c r="AX452" i="43"/>
  <c r="BI452" i="43"/>
  <c r="BJ452" i="43"/>
  <c r="V453" i="43"/>
  <c r="AE453" i="43" s="1"/>
  <c r="W453" i="43"/>
  <c r="AF453" i="43" s="1"/>
  <c r="AM453" i="43"/>
  <c r="AN453" i="43"/>
  <c r="AX453" i="43"/>
  <c r="BI453" i="43"/>
  <c r="BJ453" i="43"/>
  <c r="V454" i="43"/>
  <c r="AE454" i="43" s="1"/>
  <c r="W454" i="43"/>
  <c r="AF454" i="43" s="1"/>
  <c r="AM454" i="43"/>
  <c r="AN454" i="43"/>
  <c r="AX454" i="43"/>
  <c r="BI454" i="43"/>
  <c r="BJ454" i="43"/>
  <c r="V455" i="43"/>
  <c r="AE455" i="43" s="1"/>
  <c r="W455" i="43"/>
  <c r="AF455" i="43" s="1"/>
  <c r="AM455" i="43"/>
  <c r="AN455" i="43"/>
  <c r="AX455" i="43"/>
  <c r="BI455" i="43"/>
  <c r="BJ455" i="43"/>
  <c r="V456" i="43"/>
  <c r="AE456" i="43" s="1"/>
  <c r="W456" i="43"/>
  <c r="AF456" i="43" s="1"/>
  <c r="AM456" i="43"/>
  <c r="AN456" i="43"/>
  <c r="AX456" i="43"/>
  <c r="BI456" i="43"/>
  <c r="BJ456" i="43"/>
  <c r="V457" i="43"/>
  <c r="AE457" i="43" s="1"/>
  <c r="W457" i="43"/>
  <c r="AF457" i="43" s="1"/>
  <c r="AM457" i="43"/>
  <c r="AN457" i="43"/>
  <c r="AX457" i="43"/>
  <c r="BI457" i="43"/>
  <c r="BJ457" i="43"/>
  <c r="V459" i="43"/>
  <c r="W459" i="43"/>
  <c r="AM459" i="43"/>
  <c r="AN459" i="43"/>
  <c r="AX459" i="43"/>
  <c r="BI459" i="43"/>
  <c r="BJ459" i="43"/>
  <c r="V460" i="43"/>
  <c r="AE460" i="43" s="1"/>
  <c r="W460" i="43"/>
  <c r="AF460" i="43" s="1"/>
  <c r="AM460" i="43"/>
  <c r="AN460" i="43"/>
  <c r="AX460" i="43"/>
  <c r="BI460" i="43"/>
  <c r="BJ460" i="43"/>
  <c r="V462" i="43"/>
  <c r="AE462" i="43" s="1"/>
  <c r="W462" i="43"/>
  <c r="AM462" i="43"/>
  <c r="AN462" i="43"/>
  <c r="AX462" i="43"/>
  <c r="BI462" i="43"/>
  <c r="BJ462" i="43"/>
  <c r="V463" i="43"/>
  <c r="AE463" i="43" s="1"/>
  <c r="W463" i="43"/>
  <c r="AF463" i="43" s="1"/>
  <c r="AM463" i="43"/>
  <c r="AN463" i="43"/>
  <c r="AX463" i="43"/>
  <c r="BI463" i="43"/>
  <c r="BJ463" i="43"/>
  <c r="V464" i="43"/>
  <c r="AE464" i="43" s="1"/>
  <c r="W464" i="43"/>
  <c r="AF464" i="43" s="1"/>
  <c r="AM464" i="43"/>
  <c r="AN464" i="43"/>
  <c r="AX464" i="43"/>
  <c r="BI464" i="43"/>
  <c r="BJ464" i="43"/>
  <c r="AW201" i="42" l="1"/>
  <c r="AB201" i="42"/>
  <c r="BF201" i="42"/>
  <c r="BJ31" i="32"/>
  <c r="AQ127" i="32"/>
  <c r="AQ253" i="32"/>
  <c r="AP261" i="32"/>
  <c r="AP222" i="32"/>
  <c r="BK247" i="32"/>
  <c r="BK275" i="32"/>
  <c r="BV275" i="32" s="1"/>
  <c r="AO280" i="32"/>
  <c r="AQ56" i="32"/>
  <c r="AQ112" i="32"/>
  <c r="AO56" i="32"/>
  <c r="AG119" i="32"/>
  <c r="AT119" i="32" s="1"/>
  <c r="AO16" i="31"/>
  <c r="BK36" i="31"/>
  <c r="AQ41" i="31"/>
  <c r="AE15" i="31"/>
  <c r="AO30" i="31"/>
  <c r="BK34" i="31"/>
  <c r="AO50" i="31"/>
  <c r="AO18" i="31"/>
  <c r="BP18" i="31" s="1"/>
  <c r="AX43" i="31"/>
  <c r="BJ48" i="31"/>
  <c r="BK53" i="31"/>
  <c r="BK72" i="31"/>
  <c r="BK98" i="30"/>
  <c r="AO90" i="30"/>
  <c r="AO190" i="29"/>
  <c r="AP161" i="29"/>
  <c r="AO143" i="29"/>
  <c r="BK146" i="29"/>
  <c r="AO162" i="29"/>
  <c r="AX102" i="44"/>
  <c r="AR41" i="43"/>
  <c r="AG128" i="32"/>
  <c r="AT128" i="32" s="1"/>
  <c r="AO131" i="32"/>
  <c r="BK192" i="32"/>
  <c r="BK241" i="32"/>
  <c r="AO149" i="32"/>
  <c r="AO197" i="32"/>
  <c r="BP197" i="32" s="1"/>
  <c r="AQ140" i="32"/>
  <c r="BK288" i="32"/>
  <c r="BK231" i="32"/>
  <c r="AG141" i="32"/>
  <c r="BK61" i="32"/>
  <c r="BK16" i="32"/>
  <c r="AO54" i="32"/>
  <c r="AG225" i="32"/>
  <c r="AT225" i="32" s="1"/>
  <c r="AE22" i="32"/>
  <c r="AN58" i="32"/>
  <c r="AX113" i="32"/>
  <c r="AX124" i="32"/>
  <c r="BK122" i="32"/>
  <c r="AO128" i="32"/>
  <c r="BK152" i="32"/>
  <c r="AO167" i="32"/>
  <c r="BP167" i="32" s="1"/>
  <c r="AG174" i="32"/>
  <c r="AS174" i="32" s="1"/>
  <c r="AQ175" i="32"/>
  <c r="AM199" i="32"/>
  <c r="AN220" i="32"/>
  <c r="BK229" i="32"/>
  <c r="AO244" i="32"/>
  <c r="BP244" i="32" s="1"/>
  <c r="BK258" i="32"/>
  <c r="BK276" i="32"/>
  <c r="AO282" i="32"/>
  <c r="BK177" i="32"/>
  <c r="AQ55" i="32"/>
  <c r="AQ152" i="32"/>
  <c r="AQ286" i="32"/>
  <c r="AO29" i="31"/>
  <c r="AM19" i="31"/>
  <c r="BK39" i="31"/>
  <c r="BK40" i="31" s="1"/>
  <c r="AO13" i="31"/>
  <c r="AE23" i="31"/>
  <c r="AE43" i="31"/>
  <c r="AM48" i="31"/>
  <c r="BK24" i="31"/>
  <c r="BK25" i="31" s="1"/>
  <c r="AM15" i="31"/>
  <c r="BK22" i="31"/>
  <c r="AQ28" i="31"/>
  <c r="AQ36" i="31"/>
  <c r="BK30" i="31"/>
  <c r="AO36" i="31"/>
  <c r="AQ50" i="30"/>
  <c r="BK53" i="30"/>
  <c r="AQ57" i="30"/>
  <c r="BK60" i="30"/>
  <c r="BK51" i="30"/>
  <c r="BV51" i="30" s="1"/>
  <c r="BK97" i="30"/>
  <c r="BI48" i="30"/>
  <c r="AP35" i="30"/>
  <c r="AQ46" i="30"/>
  <c r="AQ87" i="30"/>
  <c r="AQ95" i="30"/>
  <c r="AN21" i="29"/>
  <c r="BK80" i="29"/>
  <c r="AQ151" i="29"/>
  <c r="BK108" i="44"/>
  <c r="AO46" i="44"/>
  <c r="BK107" i="44"/>
  <c r="BK117" i="44"/>
  <c r="BK126" i="44"/>
  <c r="AO32" i="44"/>
  <c r="AG29" i="32"/>
  <c r="AT29" i="32" s="1"/>
  <c r="AM43" i="32"/>
  <c r="AO93" i="32"/>
  <c r="AO286" i="32"/>
  <c r="AQ42" i="32"/>
  <c r="AX27" i="32"/>
  <c r="AQ70" i="32"/>
  <c r="AG88" i="32"/>
  <c r="AS88" i="32" s="1"/>
  <c r="BK94" i="32"/>
  <c r="BV94" i="32" s="1"/>
  <c r="AN113" i="32"/>
  <c r="AQ167" i="32"/>
  <c r="AP175" i="32"/>
  <c r="AQ176" i="32"/>
  <c r="AO208" i="32"/>
  <c r="AO226" i="32"/>
  <c r="BP226" i="32" s="1"/>
  <c r="BK268" i="32"/>
  <c r="AQ282" i="32"/>
  <c r="BK287" i="32"/>
  <c r="BV287" i="32" s="1"/>
  <c r="AN199" i="32"/>
  <c r="AN31" i="32"/>
  <c r="AE90" i="32"/>
  <c r="BK119" i="32"/>
  <c r="BK129" i="32"/>
  <c r="BV129" i="32" s="1"/>
  <c r="AG192" i="32"/>
  <c r="BJ249" i="32"/>
  <c r="BK28" i="32"/>
  <c r="BV28" i="32" s="1"/>
  <c r="BK49" i="32"/>
  <c r="AM71" i="32"/>
  <c r="BK127" i="32"/>
  <c r="BV127" i="32" s="1"/>
  <c r="BK281" i="32"/>
  <c r="AX188" i="32"/>
  <c r="W195" i="32"/>
  <c r="BK261" i="32"/>
  <c r="AQ30" i="32"/>
  <c r="AO64" i="32"/>
  <c r="AQ81" i="32"/>
  <c r="AX178" i="32"/>
  <c r="AQ265" i="32"/>
  <c r="AO275" i="32"/>
  <c r="BP275" i="32" s="1"/>
  <c r="AQ12" i="31"/>
  <c r="BK14" i="31"/>
  <c r="BJ19" i="31"/>
  <c r="AO45" i="31"/>
  <c r="BK59" i="31"/>
  <c r="AE19" i="31"/>
  <c r="AO20" i="31"/>
  <c r="AO42" i="31"/>
  <c r="AX67" i="31"/>
  <c r="W19" i="31"/>
  <c r="AX23" i="31"/>
  <c r="BK21" i="31"/>
  <c r="BK23" i="31" s="1"/>
  <c r="AE52" i="31"/>
  <c r="AO17" i="31"/>
  <c r="BI48" i="31"/>
  <c r="AX57" i="31"/>
  <c r="AE73" i="31"/>
  <c r="BJ15" i="31"/>
  <c r="BK18" i="31"/>
  <c r="BK19" i="31" s="1"/>
  <c r="W32" i="31"/>
  <c r="BJ38" i="31"/>
  <c r="AF24" i="31"/>
  <c r="AQ24" i="31" s="1"/>
  <c r="AQ25" i="31" s="1"/>
  <c r="AF26" i="31"/>
  <c r="AG26" i="31" s="1"/>
  <c r="BK51" i="31"/>
  <c r="AQ21" i="31"/>
  <c r="AQ55" i="31"/>
  <c r="AX64" i="31"/>
  <c r="AX73" i="31"/>
  <c r="BK12" i="31"/>
  <c r="BK15" i="31" s="1"/>
  <c r="AQ27" i="31"/>
  <c r="BK45" i="31"/>
  <c r="BV45" i="31" s="1"/>
  <c r="AQ50" i="31"/>
  <c r="AN57" i="31"/>
  <c r="BK65" i="31"/>
  <c r="BF74" i="31"/>
  <c r="AF16" i="31"/>
  <c r="AQ16" i="31" s="1"/>
  <c r="AM32" i="31"/>
  <c r="BK54" i="31"/>
  <c r="BV54" i="31" s="1"/>
  <c r="AM23" i="31"/>
  <c r="AO22" i="31"/>
  <c r="AO24" i="31"/>
  <c r="AO25" i="31" s="1"/>
  <c r="AO26" i="31"/>
  <c r="AE38" i="31"/>
  <c r="AQ34" i="31"/>
  <c r="BJ43" i="31"/>
  <c r="AE48" i="31"/>
  <c r="AQ45" i="31"/>
  <c r="BJ57" i="31"/>
  <c r="AQ56" i="31"/>
  <c r="AM64" i="31"/>
  <c r="AE67" i="31"/>
  <c r="AM73" i="31"/>
  <c r="AO27" i="31"/>
  <c r="BP27" i="31" s="1"/>
  <c r="BI43" i="31"/>
  <c r="AM52" i="31"/>
  <c r="AF64" i="31"/>
  <c r="AF73" i="31"/>
  <c r="AO21" i="31"/>
  <c r="AX32" i="31"/>
  <c r="BK27" i="31"/>
  <c r="AX52" i="31"/>
  <c r="AO56" i="31"/>
  <c r="AN64" i="31"/>
  <c r="AN73" i="31"/>
  <c r="AO12" i="31"/>
  <c r="BJ32" i="31"/>
  <c r="AQ43" i="31"/>
  <c r="AN48" i="31"/>
  <c r="BJ52" i="31"/>
  <c r="AF57" i="31"/>
  <c r="AN67" i="31"/>
  <c r="BI73" i="31"/>
  <c r="AE57" i="31"/>
  <c r="AX15" i="31"/>
  <c r="AE32" i="31"/>
  <c r="AX38" i="31"/>
  <c r="AX48" i="31"/>
  <c r="AM57" i="31"/>
  <c r="BJ73" i="31"/>
  <c r="AB74" i="31"/>
  <c r="W40" i="31"/>
  <c r="BJ65" i="30"/>
  <c r="BJ75" i="30"/>
  <c r="BI85" i="30"/>
  <c r="AQ47" i="30"/>
  <c r="AQ58" i="30"/>
  <c r="AQ68" i="30"/>
  <c r="BI65" i="30"/>
  <c r="AO68" i="30"/>
  <c r="AX85" i="30"/>
  <c r="AX54" i="30"/>
  <c r="AG34" i="30"/>
  <c r="AS34" i="30" s="1"/>
  <c r="AM48" i="30"/>
  <c r="BI54" i="30"/>
  <c r="BK80" i="30"/>
  <c r="AN48" i="30"/>
  <c r="AN71" i="30"/>
  <c r="AX61" i="30"/>
  <c r="BK76" i="30"/>
  <c r="BK77" i="30"/>
  <c r="BK87" i="30"/>
  <c r="AG23" i="29"/>
  <c r="BI32" i="29"/>
  <c r="AO47" i="29"/>
  <c r="BP47" i="29" s="1"/>
  <c r="AX29" i="29"/>
  <c r="AX40" i="29"/>
  <c r="BK39" i="29"/>
  <c r="BK91" i="29"/>
  <c r="AQ39" i="29"/>
  <c r="AO39" i="29"/>
  <c r="BK124" i="29"/>
  <c r="AQ272" i="32"/>
  <c r="AN157" i="32"/>
  <c r="AO81" i="32"/>
  <c r="AQ61" i="32"/>
  <c r="AG61" i="32"/>
  <c r="AS61" i="32" s="1"/>
  <c r="AF67" i="31"/>
  <c r="W67" i="31"/>
  <c r="W52" i="31"/>
  <c r="AQ44" i="31"/>
  <c r="AN38" i="31"/>
  <c r="BJ23" i="31"/>
  <c r="W23" i="31"/>
  <c r="AF23" i="31"/>
  <c r="BK56" i="30"/>
  <c r="AO34" i="30"/>
  <c r="AX31" i="32"/>
  <c r="AG25" i="32"/>
  <c r="BK33" i="32"/>
  <c r="AQ38" i="32"/>
  <c r="AG49" i="32"/>
  <c r="AS49" i="32" s="1"/>
  <c r="AQ51" i="32"/>
  <c r="BK133" i="32"/>
  <c r="BV133" i="32" s="1"/>
  <c r="AG156" i="32"/>
  <c r="AS156" i="32" s="1"/>
  <c r="BK162" i="32"/>
  <c r="BV162" i="32" s="1"/>
  <c r="AG166" i="32"/>
  <c r="AO177" i="32"/>
  <c r="BK181" i="32"/>
  <c r="BV181" i="32" s="1"/>
  <c r="AO211" i="32"/>
  <c r="BK226" i="32"/>
  <c r="BV226" i="32" s="1"/>
  <c r="AO232" i="32"/>
  <c r="AQ69" i="32"/>
  <c r="AN144" i="32"/>
  <c r="AG218" i="32"/>
  <c r="BJ238" i="32"/>
  <c r="AG248" i="32"/>
  <c r="AT248" i="32" s="1"/>
  <c r="AO251" i="32"/>
  <c r="AG258" i="32"/>
  <c r="AT258" i="32" s="1"/>
  <c r="BJ270" i="32"/>
  <c r="AM124" i="32"/>
  <c r="W220" i="32"/>
  <c r="AN284" i="32"/>
  <c r="BI22" i="32"/>
  <c r="AX43" i="32"/>
  <c r="AN39" i="32"/>
  <c r="BK123" i="32"/>
  <c r="AX256" i="32"/>
  <c r="BK269" i="32"/>
  <c r="BV269" i="32" s="1"/>
  <c r="AN27" i="32"/>
  <c r="BK25" i="32"/>
  <c r="BK136" i="32"/>
  <c r="BK259" i="32"/>
  <c r="AO106" i="32"/>
  <c r="AX84" i="32"/>
  <c r="BJ96" i="32"/>
  <c r="AQ187" i="32"/>
  <c r="AQ211" i="32"/>
  <c r="AQ232" i="32"/>
  <c r="BK266" i="32"/>
  <c r="BK140" i="32"/>
  <c r="BV140" i="32" s="1"/>
  <c r="AE52" i="32"/>
  <c r="BJ58" i="32"/>
  <c r="AO86" i="32"/>
  <c r="AF189" i="32"/>
  <c r="AF195" i="32" s="1"/>
  <c r="W238" i="32"/>
  <c r="AO276" i="32"/>
  <c r="BK26" i="32"/>
  <c r="AQ33" i="32"/>
  <c r="BK67" i="32"/>
  <c r="BV67" i="32" s="1"/>
  <c r="BK100" i="32"/>
  <c r="BV100" i="32" s="1"/>
  <c r="AQ105" i="32"/>
  <c r="BK154" i="32"/>
  <c r="AP167" i="32"/>
  <c r="AR167" i="32" s="1"/>
  <c r="AO169" i="32"/>
  <c r="BK174" i="32"/>
  <c r="AO180" i="32"/>
  <c r="BP180" i="32" s="1"/>
  <c r="BK184" i="32"/>
  <c r="AP191" i="32"/>
  <c r="AQ193" i="32"/>
  <c r="BK201" i="32"/>
  <c r="AO207" i="32"/>
  <c r="BP207" i="32" s="1"/>
  <c r="AP225" i="32"/>
  <c r="AO229" i="32"/>
  <c r="BK242" i="32"/>
  <c r="AQ247" i="32"/>
  <c r="AO248" i="32"/>
  <c r="BP248" i="32" s="1"/>
  <c r="BK253" i="32"/>
  <c r="BK272" i="32"/>
  <c r="BV272" i="32" s="1"/>
  <c r="AO288" i="32"/>
  <c r="AN182" i="32"/>
  <c r="BJ39" i="32"/>
  <c r="AG38" i="32"/>
  <c r="AS38" i="32" s="1"/>
  <c r="AO60" i="32"/>
  <c r="BP60" i="32" s="1"/>
  <c r="AQ80" i="32"/>
  <c r="AQ92" i="32"/>
  <c r="AO116" i="32"/>
  <c r="BP116" i="32" s="1"/>
  <c r="BJ124" i="32"/>
  <c r="BJ178" i="32"/>
  <c r="AX182" i="32"/>
  <c r="AM195" i="32"/>
  <c r="AO191" i="32"/>
  <c r="AN249" i="32"/>
  <c r="BK248" i="32"/>
  <c r="BK260" i="32"/>
  <c r="BV260" i="32" s="1"/>
  <c r="AO62" i="32"/>
  <c r="AN150" i="32"/>
  <c r="AX35" i="32"/>
  <c r="AX52" i="32"/>
  <c r="AO80" i="32"/>
  <c r="BP80" i="32" s="1"/>
  <c r="AO92" i="32"/>
  <c r="BP92" i="32" s="1"/>
  <c r="AO103" i="32"/>
  <c r="BK106" i="32"/>
  <c r="BV106" i="32" s="1"/>
  <c r="AG111" i="32"/>
  <c r="AT111" i="32" s="1"/>
  <c r="AO115" i="32"/>
  <c r="BK117" i="32"/>
  <c r="BK118" i="32"/>
  <c r="AO142" i="32"/>
  <c r="AO155" i="32"/>
  <c r="BK159" i="32"/>
  <c r="BK168" i="32"/>
  <c r="BV168" i="32" s="1"/>
  <c r="AO175" i="32"/>
  <c r="BK194" i="32"/>
  <c r="BJ220" i="32"/>
  <c r="BJ245" i="32"/>
  <c r="AP251" i="32"/>
  <c r="AO255" i="32"/>
  <c r="AX263" i="32"/>
  <c r="AG262" i="32"/>
  <c r="AT262" i="32" s="1"/>
  <c r="BT262" i="32" s="1"/>
  <c r="BJ284" i="32"/>
  <c r="AQ37" i="32"/>
  <c r="AQ122" i="32"/>
  <c r="AQ153" i="32"/>
  <c r="BI164" i="32"/>
  <c r="AP161" i="32"/>
  <c r="AQ162" i="32"/>
  <c r="AP181" i="32"/>
  <c r="AP197" i="32"/>
  <c r="AQ209" i="32"/>
  <c r="AO210" i="32"/>
  <c r="AG219" i="32"/>
  <c r="AS219" i="32" s="1"/>
  <c r="AQ241" i="32"/>
  <c r="AG252" i="32"/>
  <c r="AQ280" i="32"/>
  <c r="AQ281" i="32"/>
  <c r="AQ290" i="32"/>
  <c r="AO74" i="32"/>
  <c r="AM164" i="32"/>
  <c r="AQ21" i="32"/>
  <c r="AO25" i="32"/>
  <c r="AG34" i="32"/>
  <c r="AO37" i="32"/>
  <c r="AQ49" i="32"/>
  <c r="AQ76" i="32"/>
  <c r="AO79" i="32"/>
  <c r="AQ88" i="32"/>
  <c r="AO89" i="32"/>
  <c r="BP89" i="32" s="1"/>
  <c r="BK93" i="32"/>
  <c r="AO112" i="32"/>
  <c r="AX120" i="32"/>
  <c r="BK115" i="32"/>
  <c r="AO122" i="32"/>
  <c r="BP122" i="32" s="1"/>
  <c r="BK132" i="32"/>
  <c r="AQ136" i="32"/>
  <c r="BK143" i="32"/>
  <c r="BV143" i="32" s="1"/>
  <c r="AP149" i="32"/>
  <c r="AO153" i="32"/>
  <c r="BP153" i="32" s="1"/>
  <c r="AQ161" i="32"/>
  <c r="AX171" i="32"/>
  <c r="AG170" i="32"/>
  <c r="AT170" i="32" s="1"/>
  <c r="BK176" i="32"/>
  <c r="BK187" i="32"/>
  <c r="AQ240" i="32"/>
  <c r="BK244" i="32"/>
  <c r="BV244" i="32" s="1"/>
  <c r="AO252" i="32"/>
  <c r="BK255" i="32"/>
  <c r="AP259" i="32"/>
  <c r="AG260" i="32"/>
  <c r="AT260" i="32" s="1"/>
  <c r="AO290" i="32"/>
  <c r="AO47" i="32"/>
  <c r="AM90" i="32"/>
  <c r="BJ188" i="32"/>
  <c r="AG190" i="32"/>
  <c r="AX199" i="32"/>
  <c r="AN234" i="32"/>
  <c r="BJ277" i="32"/>
  <c r="AX284" i="32"/>
  <c r="BK292" i="32"/>
  <c r="BK293" i="32" s="1"/>
  <c r="AQ16" i="32"/>
  <c r="AG19" i="32"/>
  <c r="AS19" i="32" s="1"/>
  <c r="BK29" i="32"/>
  <c r="AQ63" i="32"/>
  <c r="BK92" i="32"/>
  <c r="BK102" i="32"/>
  <c r="AQ106" i="32"/>
  <c r="AQ118" i="32"/>
  <c r="BK128" i="32"/>
  <c r="AG134" i="32"/>
  <c r="AT134" i="32" s="1"/>
  <c r="BK141" i="32"/>
  <c r="BK155" i="32"/>
  <c r="AQ160" i="32"/>
  <c r="AO161" i="32"/>
  <c r="BP161" i="32" s="1"/>
  <c r="AG168" i="32"/>
  <c r="AQ169" i="32"/>
  <c r="AQ170" i="32"/>
  <c r="BK175" i="32"/>
  <c r="BK185" i="32"/>
  <c r="BV185" i="32" s="1"/>
  <c r="BK186" i="32"/>
  <c r="AP193" i="32"/>
  <c r="AQ197" i="32"/>
  <c r="BK202" i="32"/>
  <c r="BK222" i="32"/>
  <c r="BK223" i="32"/>
  <c r="AQ229" i="32"/>
  <c r="AO240" i="32"/>
  <c r="BK243" i="32"/>
  <c r="AP247" i="32"/>
  <c r="AO260" i="32"/>
  <c r="BI64" i="31"/>
  <c r="AE64" i="31"/>
  <c r="BI38" i="31"/>
  <c r="BJ15" i="30"/>
  <c r="BK14" i="30"/>
  <c r="AX48" i="30"/>
  <c r="AN61" i="30"/>
  <c r="AX81" i="30"/>
  <c r="BJ28" i="30"/>
  <c r="BJ48" i="30"/>
  <c r="AN75" i="30"/>
  <c r="BJ81" i="30"/>
  <c r="AX65" i="30"/>
  <c r="AX75" i="30"/>
  <c r="AN85" i="30"/>
  <c r="AQ25" i="30"/>
  <c r="AX37" i="30"/>
  <c r="BI75" i="30"/>
  <c r="AX23" i="30"/>
  <c r="AQ56" i="30"/>
  <c r="AF71" i="30"/>
  <c r="BJ99" i="30"/>
  <c r="BK39" i="30"/>
  <c r="AO56" i="30"/>
  <c r="BJ85" i="30"/>
  <c r="BI15" i="30"/>
  <c r="AQ21" i="30"/>
  <c r="AP41" i="30"/>
  <c r="BI23" i="30"/>
  <c r="BK20" i="30"/>
  <c r="BK33" i="30"/>
  <c r="AO40" i="30"/>
  <c r="BK57" i="30"/>
  <c r="BV57" i="30" s="1"/>
  <c r="BI61" i="30"/>
  <c r="BI92" i="30"/>
  <c r="BF100" i="30"/>
  <c r="AY16" i="47" s="1"/>
  <c r="BJ23" i="30"/>
  <c r="BK31" i="30"/>
  <c r="AO36" i="30"/>
  <c r="AM54" i="30"/>
  <c r="AM65" i="30"/>
  <c r="AX71" i="30"/>
  <c r="AQ84" i="30"/>
  <c r="BJ37" i="30"/>
  <c r="AX44" i="30"/>
  <c r="AO47" i="30"/>
  <c r="BJ61" i="30"/>
  <c r="AN65" i="30"/>
  <c r="BK66" i="30"/>
  <c r="AO84" i="30"/>
  <c r="BP84" i="30" s="1"/>
  <c r="AX28" i="30"/>
  <c r="BI28" i="30"/>
  <c r="BI44" i="30"/>
  <c r="BJ54" i="30"/>
  <c r="BJ71" i="30"/>
  <c r="AX92" i="30"/>
  <c r="BJ44" i="30"/>
  <c r="AP39" i="30"/>
  <c r="AQ41" i="30"/>
  <c r="AQ67" i="30"/>
  <c r="BJ92" i="30"/>
  <c r="AX99" i="30"/>
  <c r="AN15" i="30"/>
  <c r="AQ27" i="30"/>
  <c r="BK34" i="30"/>
  <c r="BV34" i="30" s="1"/>
  <c r="AQ52" i="30"/>
  <c r="BK59" i="30"/>
  <c r="AQ64" i="30"/>
  <c r="AO67" i="30"/>
  <c r="BP67" i="30" s="1"/>
  <c r="BK70" i="30"/>
  <c r="AO79" i="30"/>
  <c r="BK93" i="30"/>
  <c r="AQ97" i="30"/>
  <c r="AB100" i="30"/>
  <c r="U16" i="47" s="1"/>
  <c r="BK101" i="29"/>
  <c r="BK89" i="29"/>
  <c r="AQ122" i="29"/>
  <c r="AQ131" i="29"/>
  <c r="BK134" i="29"/>
  <c r="AO180" i="29"/>
  <c r="AQ31" i="29"/>
  <c r="AQ42" i="29"/>
  <c r="BK119" i="29"/>
  <c r="BK157" i="29"/>
  <c r="BK167" i="29"/>
  <c r="AO173" i="29"/>
  <c r="W21" i="29"/>
  <c r="BK42" i="29"/>
  <c r="AO89" i="29"/>
  <c r="BP89" i="29" s="1"/>
  <c r="BK93" i="29"/>
  <c r="AQ107" i="29"/>
  <c r="AN155" i="29"/>
  <c r="BK151" i="29"/>
  <c r="AO188" i="29"/>
  <c r="AY177" i="29"/>
  <c r="BL177" i="29" s="1"/>
  <c r="AQ116" i="29"/>
  <c r="AQ154" i="29"/>
  <c r="BJ195" i="29"/>
  <c r="AQ51" i="29"/>
  <c r="AM67" i="29"/>
  <c r="BK78" i="29"/>
  <c r="BV78" i="29" s="1"/>
  <c r="AO154" i="29"/>
  <c r="BK181" i="29"/>
  <c r="BK27" i="29"/>
  <c r="BJ52" i="29"/>
  <c r="AX132" i="29"/>
  <c r="AN17" i="29"/>
  <c r="BK23" i="29"/>
  <c r="BI56" i="29"/>
  <c r="BK116" i="29"/>
  <c r="BK145" i="29"/>
  <c r="AO151" i="29"/>
  <c r="BJ159" i="29"/>
  <c r="AP158" i="29"/>
  <c r="AO161" i="29"/>
  <c r="AO171" i="29"/>
  <c r="BJ179" i="29"/>
  <c r="BK187" i="29"/>
  <c r="AN52" i="29"/>
  <c r="AP66" i="29"/>
  <c r="AX75" i="29"/>
  <c r="AQ99" i="29"/>
  <c r="AP118" i="29"/>
  <c r="AQ119" i="29"/>
  <c r="AQ129" i="29"/>
  <c r="BJ168" i="29"/>
  <c r="BK50" i="29"/>
  <c r="BK82" i="29"/>
  <c r="AO110" i="29"/>
  <c r="AO129" i="29"/>
  <c r="BK143" i="29"/>
  <c r="AP19" i="29"/>
  <c r="AO43" i="29"/>
  <c r="BK58" i="29"/>
  <c r="BK85" i="29"/>
  <c r="BK107" i="29"/>
  <c r="BV107" i="29" s="1"/>
  <c r="AG143" i="29"/>
  <c r="AT143" i="29" s="1"/>
  <c r="BK171" i="29"/>
  <c r="AO178" i="29"/>
  <c r="AM32" i="29"/>
  <c r="BK46" i="29"/>
  <c r="BJ59" i="29"/>
  <c r="BK70" i="29"/>
  <c r="AM168" i="29"/>
  <c r="AN179" i="29"/>
  <c r="AX56" i="29"/>
  <c r="BI159" i="29"/>
  <c r="AQ58" i="29"/>
  <c r="AP69" i="29"/>
  <c r="AQ70" i="29"/>
  <c r="AQ43" i="29"/>
  <c r="AN59" i="29"/>
  <c r="BK95" i="29"/>
  <c r="AP112" i="29"/>
  <c r="AG166" i="29"/>
  <c r="AE63" i="29"/>
  <c r="AM17" i="29"/>
  <c r="AO16" i="29"/>
  <c r="AO19" i="29"/>
  <c r="AX25" i="29"/>
  <c r="AN36" i="29"/>
  <c r="AO42" i="29"/>
  <c r="AX48" i="29"/>
  <c r="AG51" i="29"/>
  <c r="AT51" i="29" s="1"/>
  <c r="AQ74" i="29"/>
  <c r="AX84" i="29"/>
  <c r="BK81" i="29"/>
  <c r="AQ87" i="29"/>
  <c r="AX96" i="29"/>
  <c r="BK92" i="29"/>
  <c r="BV92" i="29" s="1"/>
  <c r="AO107" i="29"/>
  <c r="AO122" i="29"/>
  <c r="AO131" i="29"/>
  <c r="AO157" i="29"/>
  <c r="BJ185" i="29"/>
  <c r="AO184" i="29"/>
  <c r="BK189" i="29"/>
  <c r="AX36" i="29"/>
  <c r="AX114" i="29"/>
  <c r="AX138" i="29"/>
  <c r="AN32" i="29"/>
  <c r="BI36" i="29"/>
  <c r="AN44" i="29"/>
  <c r="W52" i="29"/>
  <c r="AX59" i="29"/>
  <c r="AO105" i="29"/>
  <c r="BP105" i="29" s="1"/>
  <c r="BI114" i="29"/>
  <c r="AN159" i="29"/>
  <c r="AM195" i="29"/>
  <c r="AO194" i="29"/>
  <c r="BK38" i="29"/>
  <c r="BV38" i="29" s="1"/>
  <c r="AN48" i="29"/>
  <c r="W79" i="29"/>
  <c r="BK16" i="29"/>
  <c r="BV16" i="29" s="1"/>
  <c r="BK20" i="29"/>
  <c r="AM29" i="29"/>
  <c r="AO38" i="29"/>
  <c r="AO51" i="29"/>
  <c r="BK57" i="29"/>
  <c r="BJ63" i="29"/>
  <c r="AP65" i="29"/>
  <c r="AQ66" i="29"/>
  <c r="AX79" i="29"/>
  <c r="AQ82" i="29"/>
  <c r="AQ93" i="29"/>
  <c r="AO95" i="29"/>
  <c r="AQ113" i="29"/>
  <c r="AX148" i="29"/>
  <c r="AQ166" i="29"/>
  <c r="AO170" i="29"/>
  <c r="BJ192" i="29"/>
  <c r="AN195" i="29"/>
  <c r="V25" i="29"/>
  <c r="AQ23" i="29"/>
  <c r="AM40" i="29"/>
  <c r="BI44" i="29"/>
  <c r="AG66" i="29"/>
  <c r="AT66" i="29" s="1"/>
  <c r="BI79" i="29"/>
  <c r="AQ81" i="29"/>
  <c r="AO82" i="29"/>
  <c r="BK87" i="29"/>
  <c r="BK106" i="29"/>
  <c r="AQ125" i="29"/>
  <c r="AG134" i="29"/>
  <c r="AT134" i="29" s="1"/>
  <c r="AQ189" i="29"/>
  <c r="AP16" i="29"/>
  <c r="AE67" i="29"/>
  <c r="AX90" i="29"/>
  <c r="V114" i="29"/>
  <c r="AQ110" i="29"/>
  <c r="AP123" i="29"/>
  <c r="AQ134" i="29"/>
  <c r="AO135" i="29"/>
  <c r="BK153" i="29"/>
  <c r="BK154" i="29"/>
  <c r="AO166" i="29"/>
  <c r="AO167" i="29"/>
  <c r="BP167" i="29" s="1"/>
  <c r="BK295" i="43"/>
  <c r="AQ443" i="43"/>
  <c r="AQ297" i="43"/>
  <c r="AN53" i="43"/>
  <c r="AO46" i="43"/>
  <c r="AO87" i="43"/>
  <c r="AP55" i="43"/>
  <c r="AP46" i="43"/>
  <c r="BK65" i="44"/>
  <c r="BK52" i="44"/>
  <c r="BK59" i="44"/>
  <c r="BK73" i="44"/>
  <c r="AG33" i="44"/>
  <c r="AT33" i="44" s="1"/>
  <c r="BK25" i="44"/>
  <c r="BK119" i="44"/>
  <c r="BK47" i="44"/>
  <c r="BK120" i="44"/>
  <c r="AO51" i="44"/>
  <c r="AO24" i="44"/>
  <c r="AO66" i="44"/>
  <c r="AP30" i="44"/>
  <c r="AP100" i="44"/>
  <c r="AQ12" i="44"/>
  <c r="AQ13" i="44" s="1"/>
  <c r="AO22" i="44"/>
  <c r="AP45" i="44"/>
  <c r="AP52" i="44"/>
  <c r="AQ65" i="44"/>
  <c r="AO16" i="44"/>
  <c r="AO44" i="44"/>
  <c r="AQ52" i="44"/>
  <c r="AP53" i="44"/>
  <c r="AO65" i="44"/>
  <c r="AO123" i="44"/>
  <c r="AO59" i="44"/>
  <c r="AO117" i="44"/>
  <c r="AO54" i="44"/>
  <c r="AQ62" i="44"/>
  <c r="AO74" i="44"/>
  <c r="AQ106" i="44"/>
  <c r="AP107" i="44"/>
  <c r="AO62" i="44"/>
  <c r="AO114" i="43"/>
  <c r="BK102" i="43"/>
  <c r="W88" i="43"/>
  <c r="AX84" i="43"/>
  <c r="AG435" i="43"/>
  <c r="AS435" i="43" s="1"/>
  <c r="AQ433" i="43"/>
  <c r="AQ419" i="43"/>
  <c r="BK222" i="43"/>
  <c r="AQ185" i="43"/>
  <c r="AO169" i="43"/>
  <c r="AQ114" i="43"/>
  <c r="AO426" i="43"/>
  <c r="AG328" i="43"/>
  <c r="AT328" i="43" s="1"/>
  <c r="AO138" i="43"/>
  <c r="BK89" i="43"/>
  <c r="AQ87" i="43"/>
  <c r="AO184" i="43"/>
  <c r="BK346" i="43"/>
  <c r="AQ241" i="43"/>
  <c r="AQ191" i="43"/>
  <c r="AO315" i="43"/>
  <c r="AO241" i="43"/>
  <c r="AP397" i="43"/>
  <c r="BK389" i="43"/>
  <c r="AP371" i="43"/>
  <c r="AQ370" i="43"/>
  <c r="AO309" i="43"/>
  <c r="BM41" i="43"/>
  <c r="AT41" i="43"/>
  <c r="BT41" i="43" s="1"/>
  <c r="AS41" i="43"/>
  <c r="BS41" i="43" s="1"/>
  <c r="AO150" i="43"/>
  <c r="BK139" i="43"/>
  <c r="BK132" i="43"/>
  <c r="AO313" i="43"/>
  <c r="AO262" i="43"/>
  <c r="AP450" i="43"/>
  <c r="AQ442" i="43"/>
  <c r="AO328" i="43"/>
  <c r="AQ321" i="43"/>
  <c r="AQ313" i="43"/>
  <c r="AQ262" i="43"/>
  <c r="AP255" i="43"/>
  <c r="AQ247" i="43"/>
  <c r="BK220" i="43"/>
  <c r="AP217" i="43"/>
  <c r="BK137" i="43"/>
  <c r="AO133" i="43"/>
  <c r="BK34" i="43"/>
  <c r="AO152" i="43"/>
  <c r="AG433" i="43"/>
  <c r="AS433" i="43" s="1"/>
  <c r="BK393" i="43"/>
  <c r="BK95" i="43"/>
  <c r="AQ78" i="43"/>
  <c r="BK73" i="43"/>
  <c r="AO54" i="43"/>
  <c r="AQ14" i="43"/>
  <c r="BK352" i="43"/>
  <c r="AG340" i="43"/>
  <c r="AS340" i="43" s="1"/>
  <c r="BK291" i="43"/>
  <c r="AP225" i="43"/>
  <c r="AG175" i="43"/>
  <c r="AT175" i="43" s="1"/>
  <c r="AO172" i="43"/>
  <c r="AQ150" i="43"/>
  <c r="BK36" i="43"/>
  <c r="AG316" i="43"/>
  <c r="AQ139" i="43"/>
  <c r="BK448" i="43"/>
  <c r="BK351" i="43"/>
  <c r="BK310" i="43"/>
  <c r="BK303" i="43"/>
  <c r="AG302" i="43"/>
  <c r="BK287" i="43"/>
  <c r="AG266" i="43"/>
  <c r="AS266" i="43" s="1"/>
  <c r="BK216" i="43"/>
  <c r="AQ193" i="43"/>
  <c r="AO178" i="43"/>
  <c r="AQ152" i="43"/>
  <c r="AP440" i="43"/>
  <c r="AQ425" i="43"/>
  <c r="AQ418" i="43"/>
  <c r="AQ411" i="43"/>
  <c r="AQ390" i="43"/>
  <c r="AQ384" i="43"/>
  <c r="AQ362" i="43"/>
  <c r="BK357" i="43"/>
  <c r="BK345" i="43"/>
  <c r="AO319" i="43"/>
  <c r="AO311" i="43"/>
  <c r="AQ439" i="43"/>
  <c r="AO449" i="43"/>
  <c r="BK404" i="43"/>
  <c r="BK397" i="43"/>
  <c r="BK349" i="43"/>
  <c r="BK336" i="43"/>
  <c r="AO317" i="43"/>
  <c r="BK271" i="43"/>
  <c r="BK149" i="43"/>
  <c r="BK143" i="43"/>
  <c r="AO21" i="44"/>
  <c r="AO48" i="44"/>
  <c r="AM70" i="44"/>
  <c r="AF111" i="44"/>
  <c r="AO30" i="44"/>
  <c r="AN110" i="44"/>
  <c r="AE19" i="44"/>
  <c r="BJ19" i="44"/>
  <c r="AQ20" i="44"/>
  <c r="AP21" i="44"/>
  <c r="BI49" i="44"/>
  <c r="AP48" i="44"/>
  <c r="AP61" i="44"/>
  <c r="AQ67" i="44"/>
  <c r="AQ74" i="44"/>
  <c r="AP86" i="44"/>
  <c r="AX92" i="44"/>
  <c r="AQ100" i="44"/>
  <c r="AQ107" i="44"/>
  <c r="BK12" i="44"/>
  <c r="BK13" i="44" s="1"/>
  <c r="AQ14" i="44"/>
  <c r="AP15" i="44"/>
  <c r="AO20" i="44"/>
  <c r="BK37" i="44"/>
  <c r="AO40" i="44"/>
  <c r="AO47" i="44"/>
  <c r="BI92" i="44"/>
  <c r="AQ94" i="44"/>
  <c r="AO107" i="44"/>
  <c r="AQ108" i="44"/>
  <c r="AP109" i="44"/>
  <c r="V13" i="44"/>
  <c r="AO14" i="44"/>
  <c r="AG15" i="44"/>
  <c r="AS15" i="44" s="1"/>
  <c r="AF35" i="44"/>
  <c r="BK31" i="44"/>
  <c r="AO33" i="44"/>
  <c r="AO34" i="44"/>
  <c r="AO41" i="44"/>
  <c r="AF49" i="44"/>
  <c r="AP55" i="44"/>
  <c r="BI63" i="44"/>
  <c r="AQ61" i="44"/>
  <c r="AP62" i="44"/>
  <c r="AN77" i="44"/>
  <c r="AO72" i="44"/>
  <c r="AQ73" i="44"/>
  <c r="BJ84" i="44"/>
  <c r="AO94" i="44"/>
  <c r="BK96" i="44"/>
  <c r="AO18" i="44"/>
  <c r="AX28" i="44"/>
  <c r="AX77" i="44"/>
  <c r="V88" i="44"/>
  <c r="BJ88" i="44"/>
  <c r="BJ110" i="44"/>
  <c r="AX19" i="44"/>
  <c r="AO15" i="44"/>
  <c r="BI28" i="44"/>
  <c r="AQ38" i="44"/>
  <c r="AP39" i="44"/>
  <c r="W70" i="44"/>
  <c r="AM84" i="44"/>
  <c r="AP80" i="44"/>
  <c r="AQ90" i="44"/>
  <c r="AW129" i="44"/>
  <c r="AB129" i="44"/>
  <c r="AG21" i="44"/>
  <c r="AS21" i="44" s="1"/>
  <c r="BJ42" i="44"/>
  <c r="AG41" i="44"/>
  <c r="BJ49" i="44"/>
  <c r="AX63" i="44"/>
  <c r="V84" i="44"/>
  <c r="AM98" i="44"/>
  <c r="AN128" i="44"/>
  <c r="BI19" i="44"/>
  <c r="AE28" i="44"/>
  <c r="BJ28" i="44"/>
  <c r="AQ32" i="44"/>
  <c r="AP33" i="44"/>
  <c r="AO38" i="44"/>
  <c r="AG47" i="44"/>
  <c r="AS47" i="44" s="1"/>
  <c r="AF64" i="44"/>
  <c r="AP65" i="44"/>
  <c r="BK80" i="44"/>
  <c r="AM88" i="44"/>
  <c r="AQ86" i="44"/>
  <c r="AN92" i="44"/>
  <c r="V98" i="44"/>
  <c r="BK94" i="44"/>
  <c r="AF128" i="44"/>
  <c r="BK123" i="44"/>
  <c r="BF129" i="44"/>
  <c r="AO455" i="43"/>
  <c r="BK452" i="43"/>
  <c r="BK363" i="43"/>
  <c r="AO352" i="43"/>
  <c r="BK282" i="43"/>
  <c r="AO244" i="43"/>
  <c r="BK234" i="43"/>
  <c r="BK198" i="43"/>
  <c r="BK130" i="43"/>
  <c r="AO126" i="43"/>
  <c r="BK114" i="43"/>
  <c r="BK98" i="43"/>
  <c r="AF100" i="43"/>
  <c r="BK15" i="43"/>
  <c r="AQ244" i="43"/>
  <c r="AO200" i="43"/>
  <c r="AQ194" i="43"/>
  <c r="AO188" i="43"/>
  <c r="AO181" i="43"/>
  <c r="BK152" i="43"/>
  <c r="AO145" i="43"/>
  <c r="AO139" i="43"/>
  <c r="AQ126" i="43"/>
  <c r="AG120" i="43"/>
  <c r="AS120" i="43" s="1"/>
  <c r="AE100" i="43"/>
  <c r="V31" i="43"/>
  <c r="AO25" i="43"/>
  <c r="AF22" i="43"/>
  <c r="BI18" i="43"/>
  <c r="BK411" i="43"/>
  <c r="AQ367" i="43"/>
  <c r="AQ421" i="43"/>
  <c r="AQ394" i="43"/>
  <c r="AO316" i="43"/>
  <c r="BK312" i="43"/>
  <c r="AQ256" i="43"/>
  <c r="AQ249" i="43"/>
  <c r="AQ243" i="43"/>
  <c r="AO242" i="43"/>
  <c r="AQ236" i="43"/>
  <c r="AQ214" i="43"/>
  <c r="BK210" i="43"/>
  <c r="AQ200" i="43"/>
  <c r="AQ188" i="43"/>
  <c r="AQ181" i="43"/>
  <c r="AQ145" i="43"/>
  <c r="AO144" i="43"/>
  <c r="BK128" i="43"/>
  <c r="AQ125" i="43"/>
  <c r="AO124" i="43"/>
  <c r="BK67" i="43"/>
  <c r="BK28" i="43"/>
  <c r="AP26" i="43"/>
  <c r="AQ25" i="43"/>
  <c r="AO223" i="43"/>
  <c r="AP456" i="43"/>
  <c r="AP238" i="43"/>
  <c r="AQ427" i="43"/>
  <c r="AP356" i="43"/>
  <c r="BK333" i="43"/>
  <c r="AQ309" i="43"/>
  <c r="AQ283" i="43"/>
  <c r="AQ277" i="43"/>
  <c r="BK257" i="43"/>
  <c r="AQ242" i="43"/>
  <c r="AQ206" i="43"/>
  <c r="AQ199" i="43"/>
  <c r="AP156" i="43"/>
  <c r="BK133" i="43"/>
  <c r="BK126" i="43"/>
  <c r="BJ104" i="43"/>
  <c r="AQ79" i="43"/>
  <c r="AX31" i="43"/>
  <c r="AQ408" i="43"/>
  <c r="AX395" i="43"/>
  <c r="AQ374" i="43"/>
  <c r="AQ237" i="43"/>
  <c r="BK462" i="43"/>
  <c r="BK460" i="43"/>
  <c r="BK454" i="43"/>
  <c r="BK284" i="43"/>
  <c r="AP149" i="43"/>
  <c r="BK144" i="43"/>
  <c r="AO136" i="43"/>
  <c r="AQ70" i="43"/>
  <c r="BI68" i="43"/>
  <c r="AO52" i="43"/>
  <c r="AP38" i="43"/>
  <c r="BK420" i="43"/>
  <c r="BK407" i="43"/>
  <c r="AO157" i="43"/>
  <c r="AO59" i="43"/>
  <c r="AF39" i="43"/>
  <c r="BK455" i="43"/>
  <c r="AP449" i="43"/>
  <c r="AQ429" i="43"/>
  <c r="AP425" i="43"/>
  <c r="BK419" i="43"/>
  <c r="BK400" i="43"/>
  <c r="AO364" i="43"/>
  <c r="BI365" i="43"/>
  <c r="AQ358" i="43"/>
  <c r="AO323" i="43"/>
  <c r="BK320" i="43"/>
  <c r="AQ292" i="43"/>
  <c r="BK270" i="43"/>
  <c r="AQ267" i="43"/>
  <c r="AQ253" i="43"/>
  <c r="AO238" i="43"/>
  <c r="AQ232" i="43"/>
  <c r="BK214" i="43"/>
  <c r="AQ192" i="43"/>
  <c r="AO156" i="43"/>
  <c r="AO140" i="43"/>
  <c r="BK124" i="43"/>
  <c r="AQ121" i="43"/>
  <c r="BI118" i="43"/>
  <c r="AQ113" i="43"/>
  <c r="BI111" i="43"/>
  <c r="AQ74" i="43"/>
  <c r="AO73" i="43"/>
  <c r="AO66" i="43"/>
  <c r="AN68" i="43"/>
  <c r="BK62" i="43"/>
  <c r="BJ64" i="43"/>
  <c r="AQ59" i="43"/>
  <c r="BJ56" i="43"/>
  <c r="AE56" i="43"/>
  <c r="AM53" i="43"/>
  <c r="AX50" i="43"/>
  <c r="AQ44" i="43"/>
  <c r="AN43" i="43"/>
  <c r="AQ34" i="43"/>
  <c r="AO33" i="43"/>
  <c r="AN35" i="43"/>
  <c r="AN31" i="43"/>
  <c r="AQ24" i="43"/>
  <c r="AM27" i="43"/>
  <c r="BK464" i="43"/>
  <c r="AO460" i="43"/>
  <c r="AO448" i="43"/>
  <c r="AG248" i="43"/>
  <c r="AS248" i="43" s="1"/>
  <c r="BJ111" i="43"/>
  <c r="BJ88" i="43"/>
  <c r="AO44" i="43"/>
  <c r="BJ22" i="43"/>
  <c r="AP453" i="43"/>
  <c r="AQ428" i="43"/>
  <c r="AQ422" i="43"/>
  <c r="AQ415" i="43"/>
  <c r="AQ404" i="43"/>
  <c r="AP398" i="43"/>
  <c r="AQ380" i="43"/>
  <c r="AE372" i="43"/>
  <c r="AQ364" i="43"/>
  <c r="AQ295" i="43"/>
  <c r="BK275" i="43"/>
  <c r="AQ238" i="43"/>
  <c r="AP226" i="43"/>
  <c r="AQ211" i="43"/>
  <c r="BK206" i="43"/>
  <c r="AP187" i="43"/>
  <c r="AQ133" i="43"/>
  <c r="AQ120" i="43"/>
  <c r="BK99" i="43"/>
  <c r="AQ94" i="43"/>
  <c r="AM96" i="43"/>
  <c r="AQ66" i="43"/>
  <c r="BI64" i="43"/>
  <c r="AO57" i="43"/>
  <c r="BI56" i="43"/>
  <c r="AP52" i="43"/>
  <c r="BJ47" i="43"/>
  <c r="AM43" i="43"/>
  <c r="BK355" i="43"/>
  <c r="AO340" i="43"/>
  <c r="BI318" i="43"/>
  <c r="AO74" i="43"/>
  <c r="AX43" i="43"/>
  <c r="AX35" i="43"/>
  <c r="BK453" i="43"/>
  <c r="AQ432" i="43"/>
  <c r="BK417" i="43"/>
  <c r="BK296" i="43"/>
  <c r="AQ235" i="43"/>
  <c r="BK192" i="43"/>
  <c r="BK187" i="43"/>
  <c r="AQ156" i="43"/>
  <c r="AQ102" i="43"/>
  <c r="AN88" i="43"/>
  <c r="BJ84" i="43"/>
  <c r="AN80" i="43"/>
  <c r="AX71" i="43"/>
  <c r="BK42" i="43"/>
  <c r="AE28" i="43"/>
  <c r="AP28" i="43" s="1"/>
  <c r="BK155" i="43"/>
  <c r="AG30" i="43"/>
  <c r="AT30" i="43" s="1"/>
  <c r="AN27" i="43"/>
  <c r="BK266" i="43"/>
  <c r="BK250" i="43"/>
  <c r="BK225" i="43"/>
  <c r="AM80" i="43"/>
  <c r="BJ76" i="43"/>
  <c r="AN71" i="43"/>
  <c r="BJ43" i="43"/>
  <c r="BJ18" i="43"/>
  <c r="AF92" i="43"/>
  <c r="AG173" i="43"/>
  <c r="BK463" i="43"/>
  <c r="BK456" i="43"/>
  <c r="AO450" i="43"/>
  <c r="AQ446" i="43"/>
  <c r="BK428" i="43"/>
  <c r="AP422" i="43"/>
  <c r="AQ412" i="43"/>
  <c r="AQ397" i="43"/>
  <c r="BK394" i="43"/>
  <c r="AQ393" i="43"/>
  <c r="AN395" i="43"/>
  <c r="AQ388" i="43"/>
  <c r="AP383" i="43"/>
  <c r="AQ382" i="43"/>
  <c r="BK359" i="43"/>
  <c r="AO351" i="43"/>
  <c r="AO336" i="43"/>
  <c r="AN338" i="43"/>
  <c r="BJ334" i="43"/>
  <c r="AQ323" i="43"/>
  <c r="AO304" i="43"/>
  <c r="AF299" i="43"/>
  <c r="AQ299" i="43" s="1"/>
  <c r="AQ300" i="43" s="1"/>
  <c r="AO297" i="43"/>
  <c r="BK283" i="43"/>
  <c r="BK273" i="43"/>
  <c r="BK267" i="43"/>
  <c r="BK263" i="43"/>
  <c r="AP262" i="43"/>
  <c r="W258" i="43"/>
  <c r="AO250" i="43"/>
  <c r="AQ220" i="43"/>
  <c r="AQ210" i="43"/>
  <c r="AG204" i="43"/>
  <c r="AS204" i="43" s="1"/>
  <c r="AP199" i="43"/>
  <c r="BK186" i="43"/>
  <c r="AP158" i="43"/>
  <c r="AO155" i="43"/>
  <c r="BK138" i="43"/>
  <c r="AQ130" i="43"/>
  <c r="BI122" i="43"/>
  <c r="BI104" i="43"/>
  <c r="V104" i="43"/>
  <c r="W100" i="43"/>
  <c r="BJ96" i="43"/>
  <c r="AP83" i="43"/>
  <c r="AO75" i="43"/>
  <c r="AM71" i="43"/>
  <c r="BK66" i="43"/>
  <c r="AF68" i="43"/>
  <c r="AO63" i="43"/>
  <c r="AX64" i="43"/>
  <c r="AQ57" i="43"/>
  <c r="AX56" i="43"/>
  <c r="AO48" i="43"/>
  <c r="AP34" i="43"/>
  <c r="AM35" i="43"/>
  <c r="AO28" i="43"/>
  <c r="BK24" i="43"/>
  <c r="AN18" i="43"/>
  <c r="W35" i="43"/>
  <c r="W56" i="43"/>
  <c r="AM461" i="43"/>
  <c r="AO429" i="43"/>
  <c r="BK413" i="43"/>
  <c r="AQ400" i="43"/>
  <c r="AQ387" i="43"/>
  <c r="BK383" i="43"/>
  <c r="AQ368" i="43"/>
  <c r="AX360" i="43"/>
  <c r="AN330" i="43"/>
  <c r="AQ322" i="43"/>
  <c r="AX324" i="43"/>
  <c r="BK306" i="43"/>
  <c r="AQ271" i="43"/>
  <c r="AF259" i="43"/>
  <c r="AF260" i="43" s="1"/>
  <c r="AF251" i="43"/>
  <c r="AP193" i="43"/>
  <c r="AO192" i="43"/>
  <c r="W196" i="43"/>
  <c r="AP168" i="43"/>
  <c r="AX164" i="43"/>
  <c r="V153" i="43"/>
  <c r="AP130" i="43"/>
  <c r="AF127" i="43"/>
  <c r="BJ107" i="43"/>
  <c r="AX104" i="43"/>
  <c r="AX100" i="43"/>
  <c r="AX88" i="43"/>
  <c r="BJ80" i="43"/>
  <c r="AQ75" i="43"/>
  <c r="AX76" i="43"/>
  <c r="BJ68" i="43"/>
  <c r="AQ63" i="43"/>
  <c r="BJ60" i="43"/>
  <c r="W60" i="43"/>
  <c r="AN56" i="43"/>
  <c r="BI53" i="43"/>
  <c r="AP49" i="43"/>
  <c r="AF50" i="43"/>
  <c r="AX47" i="43"/>
  <c r="V43" i="43"/>
  <c r="AX39" i="43"/>
  <c r="AP33" i="43"/>
  <c r="BJ27" i="43"/>
  <c r="AX22" i="43"/>
  <c r="BK17" i="43"/>
  <c r="AE18" i="43"/>
  <c r="AM18" i="43"/>
  <c r="AW466" i="43"/>
  <c r="BK446" i="43"/>
  <c r="BK401" i="43"/>
  <c r="BK369" i="43"/>
  <c r="AG357" i="43"/>
  <c r="AS357" i="43" s="1"/>
  <c r="BK343" i="43"/>
  <c r="BK337" i="43"/>
  <c r="AO325" i="43"/>
  <c r="AO326" i="43" s="1"/>
  <c r="AN278" i="43"/>
  <c r="BJ215" i="43"/>
  <c r="BJ196" i="43"/>
  <c r="AF189" i="43"/>
  <c r="AP140" i="43"/>
  <c r="AQ109" i="43"/>
  <c r="AX96" i="43"/>
  <c r="AP86" i="43"/>
  <c r="W84" i="43"/>
  <c r="AN76" i="43"/>
  <c r="BJ71" i="43"/>
  <c r="AX53" i="43"/>
  <c r="BJ50" i="43"/>
  <c r="AF47" i="43"/>
  <c r="BI43" i="43"/>
  <c r="AN39" i="43"/>
  <c r="BK32" i="43"/>
  <c r="AF35" i="43"/>
  <c r="BJ31" i="43"/>
  <c r="BK23" i="43"/>
  <c r="W80" i="43"/>
  <c r="BF466" i="43"/>
  <c r="AN465" i="43"/>
  <c r="BK450" i="43"/>
  <c r="BK406" i="43"/>
  <c r="AQ399" i="43"/>
  <c r="BK387" i="43"/>
  <c r="BK381" i="43"/>
  <c r="W365" i="43"/>
  <c r="AG296" i="43"/>
  <c r="AS296" i="43" s="1"/>
  <c r="BK277" i="43"/>
  <c r="AQ276" i="43"/>
  <c r="AX264" i="43"/>
  <c r="AO256" i="43"/>
  <c r="BK224" i="43"/>
  <c r="AM227" i="43"/>
  <c r="AG214" i="43"/>
  <c r="AT214" i="43" s="1"/>
  <c r="AO179" i="43"/>
  <c r="BK178" i="43"/>
  <c r="AG178" i="43"/>
  <c r="AS178" i="43" s="1"/>
  <c r="AO175" i="43"/>
  <c r="AO158" i="43"/>
  <c r="V159" i="43"/>
  <c r="BK146" i="43"/>
  <c r="AO137" i="43"/>
  <c r="AX118" i="43"/>
  <c r="AX107" i="43"/>
  <c r="BK91" i="43"/>
  <c r="AO78" i="43"/>
  <c r="AX80" i="43"/>
  <c r="BK75" i="43"/>
  <c r="AQ73" i="43"/>
  <c r="AP62" i="43"/>
  <c r="AQ61" i="43"/>
  <c r="AX60" i="43"/>
  <c r="AF56" i="43"/>
  <c r="BI50" i="43"/>
  <c r="BI39" i="43"/>
  <c r="BK37" i="43"/>
  <c r="BI31" i="43"/>
  <c r="AX27" i="43"/>
  <c r="BK20" i="43"/>
  <c r="AM22" i="43"/>
  <c r="AM50" i="43"/>
  <c r="AB466" i="43"/>
  <c r="AG439" i="43"/>
  <c r="AS439" i="43" s="1"/>
  <c r="BI391" i="43"/>
  <c r="AM353" i="43"/>
  <c r="BK292" i="43"/>
  <c r="AE104" i="43"/>
  <c r="BK30" i="43"/>
  <c r="AX18" i="43"/>
  <c r="V53" i="43"/>
  <c r="AQ396" i="43"/>
  <c r="AF402" i="43"/>
  <c r="AQ234" i="43"/>
  <c r="AF239" i="43"/>
  <c r="AQ366" i="43"/>
  <c r="AF372" i="43"/>
  <c r="AF360" i="43"/>
  <c r="AF278" i="43"/>
  <c r="AQ263" i="43"/>
  <c r="AG263" i="43"/>
  <c r="AS263" i="43" s="1"/>
  <c r="AQ386" i="43"/>
  <c r="AF391" i="43"/>
  <c r="AP462" i="43"/>
  <c r="AE465" i="43"/>
  <c r="AP142" i="43"/>
  <c r="AR142" i="43" s="1"/>
  <c r="AE147" i="43"/>
  <c r="AG142" i="43"/>
  <c r="AF376" i="43"/>
  <c r="AQ373" i="43"/>
  <c r="AQ445" i="43"/>
  <c r="AF451" i="43"/>
  <c r="AE423" i="43"/>
  <c r="AG346" i="43"/>
  <c r="AS346" i="43" s="1"/>
  <c r="AQ346" i="43"/>
  <c r="AF438" i="43"/>
  <c r="W444" i="43"/>
  <c r="AE431" i="43"/>
  <c r="V437" i="43"/>
  <c r="AM409" i="43"/>
  <c r="AE386" i="43"/>
  <c r="AE391" i="43" s="1"/>
  <c r="V391" i="43"/>
  <c r="AN372" i="43"/>
  <c r="AE331" i="43"/>
  <c r="AP331" i="43" s="1"/>
  <c r="V334" i="43"/>
  <c r="BI290" i="43"/>
  <c r="AQ279" i="43"/>
  <c r="AF285" i="43"/>
  <c r="AF269" i="43"/>
  <c r="AF274" i="43" s="1"/>
  <c r="W274" i="43"/>
  <c r="AN268" i="43"/>
  <c r="AN251" i="43"/>
  <c r="W215" i="43"/>
  <c r="AF182" i="43"/>
  <c r="BK160" i="43"/>
  <c r="BI164" i="43"/>
  <c r="BK154" i="43"/>
  <c r="BI159" i="43"/>
  <c r="AQ123" i="43"/>
  <c r="AN127" i="43"/>
  <c r="AX92" i="43"/>
  <c r="AG45" i="43"/>
  <c r="AT45" i="43" s="1"/>
  <c r="AP45" i="43"/>
  <c r="AO462" i="43"/>
  <c r="AM465" i="43"/>
  <c r="AF459" i="43"/>
  <c r="AF461" i="43" s="1"/>
  <c r="W461" i="43"/>
  <c r="AO457" i="43"/>
  <c r="AO454" i="43"/>
  <c r="BJ458" i="43"/>
  <c r="AF452" i="43"/>
  <c r="AF458" i="43" s="1"/>
  <c r="W458" i="43"/>
  <c r="BK449" i="43"/>
  <c r="BK441" i="43"/>
  <c r="BJ444" i="43"/>
  <c r="AE438" i="43"/>
  <c r="AE444" i="43" s="1"/>
  <c r="V444" i="43"/>
  <c r="AO435" i="43"/>
  <c r="AX437" i="43"/>
  <c r="AQ426" i="43"/>
  <c r="AX430" i="43"/>
  <c r="BK422" i="43"/>
  <c r="BK418" i="43"/>
  <c r="AN423" i="43"/>
  <c r="BK412" i="43"/>
  <c r="AX416" i="43"/>
  <c r="BK408" i="43"/>
  <c r="AQ407" i="43"/>
  <c r="AF403" i="43"/>
  <c r="W409" i="43"/>
  <c r="AM402" i="43"/>
  <c r="AM395" i="43"/>
  <c r="AX391" i="43"/>
  <c r="AN385" i="43"/>
  <c r="BK375" i="43"/>
  <c r="AN376" i="43"/>
  <c r="AO366" i="43"/>
  <c r="AM372" i="43"/>
  <c r="AX365" i="43"/>
  <c r="AE361" i="43"/>
  <c r="AE365" i="43" s="1"/>
  <c r="V365" i="43"/>
  <c r="AQ359" i="43"/>
  <c r="AO358" i="43"/>
  <c r="AN360" i="43"/>
  <c r="AQ351" i="43"/>
  <c r="AF353" i="43"/>
  <c r="AN347" i="43"/>
  <c r="BK335" i="43"/>
  <c r="BJ338" i="43"/>
  <c r="AE335" i="43"/>
  <c r="V338" i="43"/>
  <c r="AO332" i="43"/>
  <c r="AX334" i="43"/>
  <c r="AO327" i="43"/>
  <c r="AM330" i="43"/>
  <c r="AG322" i="43"/>
  <c r="AS322" i="43" s="1"/>
  <c r="AN318" i="43"/>
  <c r="AO312" i="43"/>
  <c r="AO308" i="43"/>
  <c r="AM314" i="43"/>
  <c r="BK305" i="43"/>
  <c r="AO303" i="43"/>
  <c r="AX307" i="43"/>
  <c r="AQ294" i="43"/>
  <c r="AN298" i="43"/>
  <c r="AX290" i="43"/>
  <c r="AG284" i="43"/>
  <c r="AS284" i="43" s="1"/>
  <c r="AG282" i="43"/>
  <c r="AS282" i="43" s="1"/>
  <c r="BJ285" i="43"/>
  <c r="W285" i="43"/>
  <c r="AM278" i="43"/>
  <c r="AG272" i="43"/>
  <c r="AS272" i="43" s="1"/>
  <c r="BJ274" i="43"/>
  <c r="AE269" i="43"/>
  <c r="AE274" i="43" s="1"/>
  <c r="V274" i="43"/>
  <c r="AM268" i="43"/>
  <c r="AP263" i="43"/>
  <c r="AN264" i="43"/>
  <c r="BK255" i="43"/>
  <c r="AO254" i="43"/>
  <c r="BI258" i="43"/>
  <c r="AE252" i="43"/>
  <c r="AE258" i="43" s="1"/>
  <c r="V258" i="43"/>
  <c r="AQ250" i="43"/>
  <c r="AM251" i="43"/>
  <c r="BK240" i="43"/>
  <c r="BJ245" i="43"/>
  <c r="AE240" i="43"/>
  <c r="AE245" i="43" s="1"/>
  <c r="V245" i="43"/>
  <c r="AN239" i="43"/>
  <c r="BK232" i="43"/>
  <c r="AO230" i="43"/>
  <c r="BI233" i="43"/>
  <c r="AF227" i="43"/>
  <c r="BK219" i="43"/>
  <c r="BJ221" i="43"/>
  <c r="AE216" i="43"/>
  <c r="AE221" i="43" s="1"/>
  <c r="V221" i="43"/>
  <c r="BI215" i="43"/>
  <c r="AE209" i="43"/>
  <c r="AE215" i="43" s="1"/>
  <c r="V215" i="43"/>
  <c r="AO206" i="43"/>
  <c r="BJ208" i="43"/>
  <c r="W208" i="43"/>
  <c r="AN202" i="43"/>
  <c r="BI196" i="43"/>
  <c r="AE190" i="43"/>
  <c r="AE196" i="43" s="1"/>
  <c r="V196" i="43"/>
  <c r="BK185" i="43"/>
  <c r="AM189" i="43"/>
  <c r="BJ182" i="43"/>
  <c r="W182" i="43"/>
  <c r="BJ176" i="43"/>
  <c r="W176" i="43"/>
  <c r="AX170" i="43"/>
  <c r="BK156" i="43"/>
  <c r="AX159" i="43"/>
  <c r="AO151" i="43"/>
  <c r="BK150" i="43"/>
  <c r="AX153" i="43"/>
  <c r="BI147" i="43"/>
  <c r="AP136" i="43"/>
  <c r="AF135" i="43"/>
  <c r="W141" i="43"/>
  <c r="BK131" i="43"/>
  <c r="AO130" i="43"/>
  <c r="AM134" i="43"/>
  <c r="AM127" i="43"/>
  <c r="BK121" i="43"/>
  <c r="AX122" i="43"/>
  <c r="BK117" i="43"/>
  <c r="BK116" i="43"/>
  <c r="AF116" i="43"/>
  <c r="AF118" i="43" s="1"/>
  <c r="W118" i="43"/>
  <c r="AF112" i="43"/>
  <c r="AF115" i="43" s="1"/>
  <c r="W115" i="43"/>
  <c r="AM107" i="43"/>
  <c r="W104" i="43"/>
  <c r="AF101" i="43"/>
  <c r="BK97" i="43"/>
  <c r="BJ100" i="43"/>
  <c r="AF53" i="43"/>
  <c r="AN50" i="43"/>
  <c r="AE44" i="43"/>
  <c r="AE47" i="43" s="1"/>
  <c r="V47" i="43"/>
  <c r="AE39" i="43"/>
  <c r="AE19" i="43"/>
  <c r="AE22" i="43" s="1"/>
  <c r="V22" i="43"/>
  <c r="AN402" i="43"/>
  <c r="AX385" i="43"/>
  <c r="AF240" i="43"/>
  <c r="AF245" i="43" s="1"/>
  <c r="W245" i="43"/>
  <c r="AX239" i="43"/>
  <c r="BK228" i="43"/>
  <c r="BJ233" i="43"/>
  <c r="AX202" i="43"/>
  <c r="AN189" i="43"/>
  <c r="AE165" i="43"/>
  <c r="AE170" i="43" s="1"/>
  <c r="V170" i="43"/>
  <c r="BK148" i="43"/>
  <c r="BI153" i="43"/>
  <c r="AN134" i="43"/>
  <c r="W111" i="43"/>
  <c r="AF108" i="43"/>
  <c r="BJ461" i="43"/>
  <c r="AE459" i="43"/>
  <c r="AE461" i="43" s="1"/>
  <c r="V461" i="43"/>
  <c r="BI458" i="43"/>
  <c r="V458" i="43"/>
  <c r="BJ451" i="43"/>
  <c r="W451" i="43"/>
  <c r="AQ440" i="43"/>
  <c r="BK438" i="43"/>
  <c r="BI444" i="43"/>
  <c r="AO432" i="43"/>
  <c r="BK429" i="43"/>
  <c r="BK426" i="43"/>
  <c r="AN430" i="43"/>
  <c r="AO420" i="43"/>
  <c r="BJ423" i="43"/>
  <c r="AO417" i="43"/>
  <c r="AM423" i="43"/>
  <c r="AQ414" i="43"/>
  <c r="AN416" i="43"/>
  <c r="BJ409" i="43"/>
  <c r="AE403" i="43"/>
  <c r="AE409" i="43" s="1"/>
  <c r="V409" i="43"/>
  <c r="AP393" i="43"/>
  <c r="AF392" i="43"/>
  <c r="W395" i="43"/>
  <c r="AN391" i="43"/>
  <c r="AM385" i="43"/>
  <c r="AM376" i="43"/>
  <c r="AG363" i="43"/>
  <c r="AS363" i="43" s="1"/>
  <c r="AQ357" i="43"/>
  <c r="AM360" i="43"/>
  <c r="BJ353" i="43"/>
  <c r="W353" i="43"/>
  <c r="BK341" i="43"/>
  <c r="AO339" i="43"/>
  <c r="AM347" i="43"/>
  <c r="BI338" i="43"/>
  <c r="AN334" i="43"/>
  <c r="BK329" i="43"/>
  <c r="BK328" i="43"/>
  <c r="AF327" i="43"/>
  <c r="AF330" i="43" s="1"/>
  <c r="W330" i="43"/>
  <c r="BK322" i="43"/>
  <c r="AG320" i="43"/>
  <c r="AS320" i="43" s="1"/>
  <c r="AN324" i="43"/>
  <c r="BK317" i="43"/>
  <c r="AM318" i="43"/>
  <c r="AG312" i="43"/>
  <c r="AT312" i="43" s="1"/>
  <c r="BJ314" i="43"/>
  <c r="AF308" i="43"/>
  <c r="W314" i="43"/>
  <c r="BK304" i="43"/>
  <c r="AQ303" i="43"/>
  <c r="AO302" i="43"/>
  <c r="AN307" i="43"/>
  <c r="AE299" i="43"/>
  <c r="AE300" i="43" s="1"/>
  <c r="V300" i="43"/>
  <c r="BK294" i="43"/>
  <c r="AM298" i="43"/>
  <c r="AN290" i="43"/>
  <c r="BK279" i="43"/>
  <c r="BI285" i="43"/>
  <c r="AE279" i="43"/>
  <c r="AE285" i="43" s="1"/>
  <c r="V285" i="43"/>
  <c r="BK269" i="43"/>
  <c r="BI274" i="43"/>
  <c r="BK265" i="43"/>
  <c r="BJ268" i="43"/>
  <c r="AF268" i="43"/>
  <c r="AM264" i="43"/>
  <c r="AQ254" i="43"/>
  <c r="AX258" i="43"/>
  <c r="AP250" i="43"/>
  <c r="AP247" i="43"/>
  <c r="BI245" i="43"/>
  <c r="BK235" i="43"/>
  <c r="AM239" i="43"/>
  <c r="BK231" i="43"/>
  <c r="AQ230" i="43"/>
  <c r="AX233" i="43"/>
  <c r="BJ227" i="43"/>
  <c r="W227" i="43"/>
  <c r="AO220" i="43"/>
  <c r="BI221" i="43"/>
  <c r="AX215" i="43"/>
  <c r="BI208" i="43"/>
  <c r="AE203" i="43"/>
  <c r="AE208" i="43" s="1"/>
  <c r="V208" i="43"/>
  <c r="BK199" i="43"/>
  <c r="AM202" i="43"/>
  <c r="AX196" i="43"/>
  <c r="BK184" i="43"/>
  <c r="AQ179" i="43"/>
  <c r="BI182" i="43"/>
  <c r="AE177" i="43"/>
  <c r="AE182" i="43" s="1"/>
  <c r="V182" i="43"/>
  <c r="BI176" i="43"/>
  <c r="AE171" i="43"/>
  <c r="AE176" i="43" s="1"/>
  <c r="V176" i="43"/>
  <c r="AP169" i="43"/>
  <c r="AP167" i="43"/>
  <c r="AN170" i="43"/>
  <c r="BK163" i="43"/>
  <c r="AO160" i="43"/>
  <c r="AN164" i="43"/>
  <c r="AQ157" i="43"/>
  <c r="AN159" i="43"/>
  <c r="AP152" i="43"/>
  <c r="AQ151" i="43"/>
  <c r="AN153" i="43"/>
  <c r="AX147" i="43"/>
  <c r="W147" i="43"/>
  <c r="BJ141" i="43"/>
  <c r="AE135" i="43"/>
  <c r="AE141" i="43" s="1"/>
  <c r="V141" i="43"/>
  <c r="AO132" i="43"/>
  <c r="BJ134" i="43"/>
  <c r="AF128" i="43"/>
  <c r="AF134" i="43" s="1"/>
  <c r="W134" i="43"/>
  <c r="AN122" i="43"/>
  <c r="BJ118" i="43"/>
  <c r="AE116" i="43"/>
  <c r="AE118" i="43" s="1"/>
  <c r="V118" i="43"/>
  <c r="BJ115" i="43"/>
  <c r="AX111" i="43"/>
  <c r="AF105" i="43"/>
  <c r="AF107" i="43" s="1"/>
  <c r="W107" i="43"/>
  <c r="W96" i="43"/>
  <c r="AO81" i="43"/>
  <c r="AM84" i="43"/>
  <c r="AF80" i="43"/>
  <c r="BJ53" i="43"/>
  <c r="BK44" i="43"/>
  <c r="BI47" i="43"/>
  <c r="AF43" i="43"/>
  <c r="AF27" i="43"/>
  <c r="AM451" i="43"/>
  <c r="AG427" i="43"/>
  <c r="AS427" i="43" s="1"/>
  <c r="AF335" i="43"/>
  <c r="AF338" i="43" s="1"/>
  <c r="W338" i="43"/>
  <c r="AE319" i="43"/>
  <c r="AE324" i="43" s="1"/>
  <c r="V324" i="43"/>
  <c r="AN314" i="43"/>
  <c r="AE301" i="43"/>
  <c r="AE307" i="43" s="1"/>
  <c r="V307" i="43"/>
  <c r="AG195" i="43"/>
  <c r="AS195" i="43" s="1"/>
  <c r="BK165" i="43"/>
  <c r="BI170" i="43"/>
  <c r="AM141" i="43"/>
  <c r="AO464" i="43"/>
  <c r="BJ465" i="43"/>
  <c r="AF462" i="43"/>
  <c r="AF465" i="43" s="1"/>
  <c r="W465" i="43"/>
  <c r="BK459" i="43"/>
  <c r="BI461" i="43"/>
  <c r="AO456" i="43"/>
  <c r="AO453" i="43"/>
  <c r="AX458" i="43"/>
  <c r="BI451" i="43"/>
  <c r="AE445" i="43"/>
  <c r="AE451" i="43" s="1"/>
  <c r="V451" i="43"/>
  <c r="AX444" i="43"/>
  <c r="AQ435" i="43"/>
  <c r="AN437" i="43"/>
  <c r="AM430" i="43"/>
  <c r="AQ420" i="43"/>
  <c r="BI423" i="43"/>
  <c r="AM416" i="43"/>
  <c r="BK403" i="43"/>
  <c r="BI409" i="43"/>
  <c r="AQ401" i="43"/>
  <c r="BJ402" i="43"/>
  <c r="W402" i="43"/>
  <c r="BJ395" i="43"/>
  <c r="AE392" i="43"/>
  <c r="AE395" i="43" s="1"/>
  <c r="V395" i="43"/>
  <c r="AM391" i="43"/>
  <c r="AF379" i="43"/>
  <c r="W385" i="43"/>
  <c r="BJ376" i="43"/>
  <c r="BJ372" i="43"/>
  <c r="AN365" i="43"/>
  <c r="BI353" i="43"/>
  <c r="AE348" i="43"/>
  <c r="AE353" i="43" s="1"/>
  <c r="V353" i="43"/>
  <c r="AG344" i="43"/>
  <c r="AS344" i="43" s="1"/>
  <c r="AF339" i="43"/>
  <c r="AF347" i="43" s="1"/>
  <c r="W347" i="43"/>
  <c r="AX338" i="43"/>
  <c r="AM334" i="43"/>
  <c r="BJ330" i="43"/>
  <c r="AE327" i="43"/>
  <c r="AE330" i="43" s="1"/>
  <c r="V330" i="43"/>
  <c r="AM324" i="43"/>
  <c r="BJ318" i="43"/>
  <c r="AF315" i="43"/>
  <c r="W318" i="43"/>
  <c r="AQ311" i="43"/>
  <c r="BK308" i="43"/>
  <c r="BI314" i="43"/>
  <c r="AE308" i="43"/>
  <c r="AE314" i="43" s="1"/>
  <c r="V314" i="43"/>
  <c r="AO305" i="43"/>
  <c r="AQ302" i="43"/>
  <c r="AO301" i="43"/>
  <c r="AM307" i="43"/>
  <c r="AF291" i="43"/>
  <c r="AF298" i="43" s="1"/>
  <c r="W298" i="43"/>
  <c r="AM290" i="43"/>
  <c r="AX285" i="43"/>
  <c r="BJ278" i="43"/>
  <c r="W278" i="43"/>
  <c r="AX274" i="43"/>
  <c r="BI268" i="43"/>
  <c r="W268" i="43"/>
  <c r="AO263" i="43"/>
  <c r="AF261" i="43"/>
  <c r="W264" i="43"/>
  <c r="AO259" i="43"/>
  <c r="AO260" i="43" s="1"/>
  <c r="AM260" i="43"/>
  <c r="AN258" i="43"/>
  <c r="BJ251" i="43"/>
  <c r="W251" i="43"/>
  <c r="AX245" i="43"/>
  <c r="AO236" i="43"/>
  <c r="AN233" i="43"/>
  <c r="AO224" i="43"/>
  <c r="BI227" i="43"/>
  <c r="AE222" i="43"/>
  <c r="AE227" i="43" s="1"/>
  <c r="V227" i="43"/>
  <c r="AX221" i="43"/>
  <c r="AP211" i="43"/>
  <c r="AR211" i="43" s="1"/>
  <c r="AN215" i="43"/>
  <c r="AX208" i="43"/>
  <c r="AF197" i="43"/>
  <c r="W202" i="43"/>
  <c r="AN196" i="43"/>
  <c r="BK188" i="43"/>
  <c r="BJ189" i="43"/>
  <c r="AE189" i="43"/>
  <c r="AX182" i="43"/>
  <c r="AP175" i="43"/>
  <c r="AX176" i="43"/>
  <c r="AQ169" i="43"/>
  <c r="AQ166" i="43"/>
  <c r="AM170" i="43"/>
  <c r="BK162" i="43"/>
  <c r="AM164" i="43"/>
  <c r="BK157" i="43"/>
  <c r="AO154" i="43"/>
  <c r="AM159" i="43"/>
  <c r="AM153" i="43"/>
  <c r="AP146" i="43"/>
  <c r="AN147" i="43"/>
  <c r="V147" i="43"/>
  <c r="BK135" i="43"/>
  <c r="BI141" i="43"/>
  <c r="BI134" i="43"/>
  <c r="AE128" i="43"/>
  <c r="V134" i="43"/>
  <c r="BK123" i="43"/>
  <c r="BJ127" i="43"/>
  <c r="AE127" i="43"/>
  <c r="AM122" i="43"/>
  <c r="BK112" i="43"/>
  <c r="BI115" i="43"/>
  <c r="AN111" i="43"/>
  <c r="AF69" i="43"/>
  <c r="W71" i="43"/>
  <c r="AE65" i="43"/>
  <c r="AE68" i="43" s="1"/>
  <c r="V68" i="43"/>
  <c r="AP32" i="43"/>
  <c r="AE35" i="43"/>
  <c r="AE27" i="43"/>
  <c r="AF96" i="43"/>
  <c r="AE458" i="43"/>
  <c r="BK431" i="43"/>
  <c r="BI437" i="43"/>
  <c r="BI430" i="43"/>
  <c r="BK331" i="43"/>
  <c r="BI334" i="43"/>
  <c r="BI307" i="43"/>
  <c r="AE259" i="43"/>
  <c r="V260" i="43"/>
  <c r="BJ258" i="43"/>
  <c r="AF176" i="43"/>
  <c r="AQ142" i="43"/>
  <c r="AF147" i="43"/>
  <c r="AO116" i="43"/>
  <c r="AM118" i="43"/>
  <c r="BI465" i="43"/>
  <c r="V465" i="43"/>
  <c r="AX461" i="43"/>
  <c r="BK457" i="43"/>
  <c r="AN458" i="43"/>
  <c r="AX451" i="43"/>
  <c r="AO441" i="43"/>
  <c r="BK440" i="43"/>
  <c r="AN444" i="43"/>
  <c r="BK435" i="43"/>
  <c r="AM437" i="43"/>
  <c r="BK425" i="43"/>
  <c r="AF424" i="43"/>
  <c r="AF430" i="43" s="1"/>
  <c r="W430" i="43"/>
  <c r="AX423" i="43"/>
  <c r="AF417" i="43"/>
  <c r="W423" i="43"/>
  <c r="AF410" i="43"/>
  <c r="AF416" i="43" s="1"/>
  <c r="W416" i="43"/>
  <c r="AX409" i="43"/>
  <c r="AG398" i="43"/>
  <c r="BI402" i="43"/>
  <c r="AE396" i="43"/>
  <c r="AP396" i="43" s="1"/>
  <c r="V402" i="43"/>
  <c r="BK392" i="43"/>
  <c r="BI395" i="43"/>
  <c r="BJ385" i="43"/>
  <c r="AE379" i="43"/>
  <c r="AE385" i="43" s="1"/>
  <c r="V385" i="43"/>
  <c r="AF377" i="43"/>
  <c r="AF378" i="43" s="1"/>
  <c r="W378" i="43"/>
  <c r="BK373" i="43"/>
  <c r="BI376" i="43"/>
  <c r="W376" i="43"/>
  <c r="BI372" i="43"/>
  <c r="W372" i="43"/>
  <c r="AQ363" i="43"/>
  <c r="AM365" i="43"/>
  <c r="BK354" i="43"/>
  <c r="BJ360" i="43"/>
  <c r="W360" i="43"/>
  <c r="AX353" i="43"/>
  <c r="BK344" i="43"/>
  <c r="BJ347" i="43"/>
  <c r="AE339" i="43"/>
  <c r="AE347" i="43" s="1"/>
  <c r="V347" i="43"/>
  <c r="AF334" i="43"/>
  <c r="BK327" i="43"/>
  <c r="BI330" i="43"/>
  <c r="AF325" i="43"/>
  <c r="W326" i="43"/>
  <c r="BJ324" i="43"/>
  <c r="AQ319" i="43"/>
  <c r="AF324" i="43"/>
  <c r="AE315" i="43"/>
  <c r="AE318" i="43" s="1"/>
  <c r="V318" i="43"/>
  <c r="AX314" i="43"/>
  <c r="AQ301" i="43"/>
  <c r="AF307" i="43"/>
  <c r="BJ298" i="43"/>
  <c r="AE291" i="43"/>
  <c r="AE298" i="43" s="1"/>
  <c r="V298" i="43"/>
  <c r="AF290" i="43"/>
  <c r="AG280" i="43"/>
  <c r="AS280" i="43" s="1"/>
  <c r="AN285" i="43"/>
  <c r="BI278" i="43"/>
  <c r="AE275" i="43"/>
  <c r="AE278" i="43" s="1"/>
  <c r="V278" i="43"/>
  <c r="AN274" i="43"/>
  <c r="AX268" i="43"/>
  <c r="AE265" i="43"/>
  <c r="AE268" i="43" s="1"/>
  <c r="V268" i="43"/>
  <c r="BJ264" i="43"/>
  <c r="AE261" i="43"/>
  <c r="AE264" i="43" s="1"/>
  <c r="V264" i="43"/>
  <c r="BK256" i="43"/>
  <c r="AM258" i="43"/>
  <c r="BK249" i="43"/>
  <c r="AO248" i="43"/>
  <c r="BI251" i="43"/>
  <c r="AE246" i="43"/>
  <c r="AE251" i="43" s="1"/>
  <c r="V251" i="43"/>
  <c r="AN245" i="43"/>
  <c r="BJ239" i="43"/>
  <c r="W239" i="43"/>
  <c r="AQ229" i="43"/>
  <c r="AM233" i="43"/>
  <c r="AX227" i="43"/>
  <c r="AN221" i="43"/>
  <c r="AM215" i="43"/>
  <c r="AQ205" i="43"/>
  <c r="AO204" i="43"/>
  <c r="AN208" i="43"/>
  <c r="BK201" i="43"/>
  <c r="BJ202" i="43"/>
  <c r="AE197" i="43"/>
  <c r="AE202" i="43" s="1"/>
  <c r="V202" i="43"/>
  <c r="AM196" i="43"/>
  <c r="BI189" i="43"/>
  <c r="W189" i="43"/>
  <c r="AP179" i="43"/>
  <c r="AN182" i="43"/>
  <c r="BK175" i="43"/>
  <c r="AP173" i="43"/>
  <c r="AN176" i="43"/>
  <c r="BK169" i="43"/>
  <c r="AF170" i="43"/>
  <c r="AO163" i="43"/>
  <c r="AF160" i="43"/>
  <c r="AF164" i="43" s="1"/>
  <c r="W164" i="43"/>
  <c r="AE154" i="43"/>
  <c r="AG154" i="43" s="1"/>
  <c r="AE148" i="43"/>
  <c r="AM147" i="43"/>
  <c r="AX141" i="43"/>
  <c r="AX134" i="43"/>
  <c r="BI127" i="43"/>
  <c r="W127" i="43"/>
  <c r="AF119" i="43"/>
  <c r="W122" i="43"/>
  <c r="AX115" i="43"/>
  <c r="AO108" i="43"/>
  <c r="AM111" i="43"/>
  <c r="BJ92" i="43"/>
  <c r="AE50" i="43"/>
  <c r="AN47" i="43"/>
  <c r="AN22" i="43"/>
  <c r="AF60" i="43"/>
  <c r="BK410" i="43"/>
  <c r="BI416" i="43"/>
  <c r="BK377" i="43"/>
  <c r="BK378" i="43" s="1"/>
  <c r="BI378" i="43"/>
  <c r="AX347" i="43"/>
  <c r="AX298" i="43"/>
  <c r="AE286" i="43"/>
  <c r="AE290" i="43" s="1"/>
  <c r="V290" i="43"/>
  <c r="AE228" i="43"/>
  <c r="AE233" i="43" s="1"/>
  <c r="V233" i="43"/>
  <c r="AF216" i="43"/>
  <c r="W221" i="43"/>
  <c r="AQ203" i="43"/>
  <c r="AF208" i="43"/>
  <c r="BJ147" i="43"/>
  <c r="AO112" i="43"/>
  <c r="AM115" i="43"/>
  <c r="W159" i="43"/>
  <c r="AO463" i="43"/>
  <c r="AX465" i="43"/>
  <c r="AN461" i="43"/>
  <c r="AO452" i="43"/>
  <c r="AM458" i="43"/>
  <c r="BK447" i="43"/>
  <c r="AN451" i="43"/>
  <c r="BK443" i="43"/>
  <c r="AQ441" i="43"/>
  <c r="AO438" i="43"/>
  <c r="AM444" i="43"/>
  <c r="BK434" i="43"/>
  <c r="BJ437" i="43"/>
  <c r="AF431" i="43"/>
  <c r="AF437" i="43" s="1"/>
  <c r="W437" i="43"/>
  <c r="BJ430" i="43"/>
  <c r="AE424" i="43"/>
  <c r="AE430" i="43" s="1"/>
  <c r="V430" i="43"/>
  <c r="V423" i="43"/>
  <c r="AG413" i="43"/>
  <c r="AS413" i="43" s="1"/>
  <c r="BJ416" i="43"/>
  <c r="AE410" i="43"/>
  <c r="AE416" i="43" s="1"/>
  <c r="V416" i="43"/>
  <c r="AG405" i="43"/>
  <c r="AT405" i="43" s="1"/>
  <c r="AN409" i="43"/>
  <c r="AP399" i="43"/>
  <c r="AX402" i="43"/>
  <c r="BJ391" i="43"/>
  <c r="W391" i="43"/>
  <c r="BK379" i="43"/>
  <c r="BI385" i="43"/>
  <c r="AE377" i="43"/>
  <c r="AE378" i="43" s="1"/>
  <c r="V378" i="43"/>
  <c r="AX376" i="43"/>
  <c r="AE373" i="43"/>
  <c r="AE376" i="43" s="1"/>
  <c r="V376" i="43"/>
  <c r="AO370" i="43"/>
  <c r="AX372" i="43"/>
  <c r="V372" i="43"/>
  <c r="BJ365" i="43"/>
  <c r="AF361" i="43"/>
  <c r="BI360" i="43"/>
  <c r="AE354" i="43"/>
  <c r="AE360" i="43" s="1"/>
  <c r="V360" i="43"/>
  <c r="BK350" i="43"/>
  <c r="AN353" i="43"/>
  <c r="BK339" i="43"/>
  <c r="BI347" i="43"/>
  <c r="AG336" i="43"/>
  <c r="AT336" i="43" s="1"/>
  <c r="AM338" i="43"/>
  <c r="W334" i="43"/>
  <c r="AX330" i="43"/>
  <c r="AE325" i="43"/>
  <c r="AE326" i="43" s="1"/>
  <c r="V326" i="43"/>
  <c r="AO322" i="43"/>
  <c r="AO321" i="43"/>
  <c r="BK319" i="43"/>
  <c r="BI324" i="43"/>
  <c r="W324" i="43"/>
  <c r="AX318" i="43"/>
  <c r="BK311" i="43"/>
  <c r="AG310" i="43"/>
  <c r="AS310" i="43" s="1"/>
  <c r="BK302" i="43"/>
  <c r="BJ307" i="43"/>
  <c r="W307" i="43"/>
  <c r="AO299" i="43"/>
  <c r="AO300" i="43" s="1"/>
  <c r="AM300" i="43"/>
  <c r="BK293" i="43"/>
  <c r="BI298" i="43"/>
  <c r="BK289" i="43"/>
  <c r="BK286" i="43"/>
  <c r="BJ290" i="43"/>
  <c r="W290" i="43"/>
  <c r="BK280" i="43"/>
  <c r="AM285" i="43"/>
  <c r="BK276" i="43"/>
  <c r="AX278" i="43"/>
  <c r="AM274" i="43"/>
  <c r="AQ265" i="43"/>
  <c r="BK261" i="43"/>
  <c r="BI264" i="43"/>
  <c r="AP256" i="43"/>
  <c r="AQ255" i="43"/>
  <c r="AF252" i="43"/>
  <c r="AF258" i="43" s="1"/>
  <c r="AQ248" i="43"/>
  <c r="AX251" i="43"/>
  <c r="BK244" i="43"/>
  <c r="AP244" i="43"/>
  <c r="AR244" i="43" s="1"/>
  <c r="AM245" i="43"/>
  <c r="BK237" i="43"/>
  <c r="BI239" i="43"/>
  <c r="AE234" i="43"/>
  <c r="AE239" i="43" s="1"/>
  <c r="V239" i="43"/>
  <c r="BK229" i="43"/>
  <c r="AF228" i="43"/>
  <c r="AF233" i="43" s="1"/>
  <c r="W233" i="43"/>
  <c r="AN227" i="43"/>
  <c r="AO218" i="43"/>
  <c r="BK217" i="43"/>
  <c r="AO216" i="43"/>
  <c r="AM221" i="43"/>
  <c r="AF209" i="43"/>
  <c r="AF215" i="43" s="1"/>
  <c r="AQ204" i="43"/>
  <c r="AM208" i="43"/>
  <c r="BK197" i="43"/>
  <c r="BI202" i="43"/>
  <c r="AF190" i="43"/>
  <c r="AX189" i="43"/>
  <c r="V189" i="43"/>
  <c r="AM182" i="43"/>
  <c r="AO173" i="43"/>
  <c r="AM176" i="43"/>
  <c r="BJ170" i="43"/>
  <c r="W170" i="43"/>
  <c r="BJ164" i="43"/>
  <c r="AE160" i="43"/>
  <c r="V164" i="43"/>
  <c r="BJ159" i="43"/>
  <c r="AF159" i="43"/>
  <c r="BJ153" i="43"/>
  <c r="AF148" i="43"/>
  <c r="AF153" i="43" s="1"/>
  <c r="W153" i="43"/>
  <c r="AO146" i="43"/>
  <c r="AN141" i="43"/>
  <c r="AP132" i="43"/>
  <c r="AQ129" i="43"/>
  <c r="AX127" i="43"/>
  <c r="V127" i="43"/>
  <c r="BJ122" i="43"/>
  <c r="AE119" i="43"/>
  <c r="AE122" i="43" s="1"/>
  <c r="V122" i="43"/>
  <c r="AN118" i="43"/>
  <c r="AN115" i="43"/>
  <c r="BK109" i="43"/>
  <c r="AX68" i="43"/>
  <c r="BI35" i="43"/>
  <c r="V35" i="43"/>
  <c r="AE105" i="43"/>
  <c r="AE107" i="43" s="1"/>
  <c r="V107" i="43"/>
  <c r="AQ99" i="43"/>
  <c r="BI100" i="43"/>
  <c r="BK90" i="43"/>
  <c r="AN92" i="43"/>
  <c r="AM88" i="43"/>
  <c r="AF81" i="43"/>
  <c r="AG81" i="43" s="1"/>
  <c r="AT81" i="43" s="1"/>
  <c r="AO72" i="43"/>
  <c r="BK69" i="43"/>
  <c r="AE69" i="43"/>
  <c r="AE71" i="43" s="1"/>
  <c r="V71" i="43"/>
  <c r="AQ67" i="43"/>
  <c r="AN64" i="43"/>
  <c r="BK58" i="43"/>
  <c r="AO55" i="43"/>
  <c r="AO49" i="43"/>
  <c r="AO45" i="43"/>
  <c r="AQ37" i="43"/>
  <c r="AO36" i="43"/>
  <c r="AO30" i="43"/>
  <c r="AQ28" i="43"/>
  <c r="BK19" i="43"/>
  <c r="AF18" i="43"/>
  <c r="V27" i="43"/>
  <c r="W31" i="43"/>
  <c r="BJ39" i="43"/>
  <c r="AM47" i="43"/>
  <c r="V50" i="43"/>
  <c r="W53" i="43"/>
  <c r="AM60" i="43"/>
  <c r="W68" i="43"/>
  <c r="AE112" i="43"/>
  <c r="AE115" i="43" s="1"/>
  <c r="V115" i="43"/>
  <c r="AG108" i="43"/>
  <c r="AS108" i="43" s="1"/>
  <c r="AE111" i="43"/>
  <c r="BK105" i="43"/>
  <c r="BI107" i="43"/>
  <c r="AN104" i="43"/>
  <c r="V100" i="43"/>
  <c r="AM92" i="43"/>
  <c r="BK86" i="43"/>
  <c r="AF85" i="43"/>
  <c r="AP81" i="43"/>
  <c r="AE84" i="43"/>
  <c r="AG78" i="43"/>
  <c r="AS78" i="43" s="1"/>
  <c r="AQ72" i="43"/>
  <c r="AQ62" i="43"/>
  <c r="AO61" i="43"/>
  <c r="BK57" i="43"/>
  <c r="AE57" i="43"/>
  <c r="AE60" i="43" s="1"/>
  <c r="V60" i="43"/>
  <c r="AP51" i="43"/>
  <c r="BK40" i="43"/>
  <c r="AE40" i="43"/>
  <c r="AE43" i="43" s="1"/>
  <c r="AO34" i="43"/>
  <c r="BK16" i="43"/>
  <c r="AQ16" i="43"/>
  <c r="W27" i="43"/>
  <c r="BJ35" i="43"/>
  <c r="W50" i="43"/>
  <c r="BI60" i="43"/>
  <c r="AF64" i="43"/>
  <c r="BI71" i="43"/>
  <c r="AF76" i="43"/>
  <c r="AM104" i="43"/>
  <c r="AN100" i="43"/>
  <c r="BK93" i="43"/>
  <c r="BI96" i="43"/>
  <c r="AE93" i="43"/>
  <c r="AE96" i="43" s="1"/>
  <c r="V96" i="43"/>
  <c r="BK81" i="43"/>
  <c r="BI84" i="43"/>
  <c r="AE77" i="43"/>
  <c r="AE80" i="43" s="1"/>
  <c r="V80" i="43"/>
  <c r="AE72" i="43"/>
  <c r="AE76" i="43" s="1"/>
  <c r="V76" i="43"/>
  <c r="V18" i="43"/>
  <c r="W22" i="43"/>
  <c r="BI27" i="43"/>
  <c r="AM39" i="43"/>
  <c r="W47" i="43"/>
  <c r="AE53" i="43"/>
  <c r="AM64" i="43"/>
  <c r="AM76" i="43"/>
  <c r="AG110" i="43"/>
  <c r="AS110" i="43" s="1"/>
  <c r="V111" i="43"/>
  <c r="AN107" i="43"/>
  <c r="AM100" i="43"/>
  <c r="AO90" i="43"/>
  <c r="AE89" i="43"/>
  <c r="AE92" i="43" s="1"/>
  <c r="V92" i="43"/>
  <c r="BI88" i="43"/>
  <c r="AE85" i="43"/>
  <c r="AE88" i="43" s="1"/>
  <c r="V88" i="43"/>
  <c r="V84" i="43"/>
  <c r="BK77" i="43"/>
  <c r="BI80" i="43"/>
  <c r="BI76" i="43"/>
  <c r="AO65" i="43"/>
  <c r="AE61" i="43"/>
  <c r="AE64" i="43" s="1"/>
  <c r="V64" i="43"/>
  <c r="AN60" i="43"/>
  <c r="AQ29" i="43"/>
  <c r="BK21" i="43"/>
  <c r="AQ20" i="43"/>
  <c r="W18" i="43"/>
  <c r="BI22" i="43"/>
  <c r="AF31" i="43"/>
  <c r="V39" i="43"/>
  <c r="W43" i="43"/>
  <c r="AM56" i="43"/>
  <c r="W92" i="43"/>
  <c r="BK101" i="43"/>
  <c r="AQ97" i="43"/>
  <c r="AQ93" i="43"/>
  <c r="AN96" i="43"/>
  <c r="BI92" i="43"/>
  <c r="BK83" i="43"/>
  <c r="AQ83" i="43"/>
  <c r="AN84" i="43"/>
  <c r="AQ65" i="43"/>
  <c r="AQ58" i="43"/>
  <c r="AP54" i="43"/>
  <c r="AP56" i="43" s="1"/>
  <c r="AO51" i="43"/>
  <c r="AO53" i="43" s="1"/>
  <c r="AP48" i="43"/>
  <c r="BK38" i="43"/>
  <c r="AO37" i="43"/>
  <c r="BK33" i="43"/>
  <c r="BK14" i="43"/>
  <c r="AM31" i="43"/>
  <c r="W39" i="43"/>
  <c r="V56" i="43"/>
  <c r="W64" i="43"/>
  <c r="AM68" i="43"/>
  <c r="W76" i="43"/>
  <c r="AQ89" i="44"/>
  <c r="AF92" i="44"/>
  <c r="AQ105" i="44"/>
  <c r="AF110" i="44"/>
  <c r="AQ113" i="44"/>
  <c r="AF121" i="44"/>
  <c r="AE89" i="44"/>
  <c r="AE92" i="44" s="1"/>
  <c r="V92" i="44"/>
  <c r="BK113" i="44"/>
  <c r="BI121" i="44"/>
  <c r="V35" i="44"/>
  <c r="AP18" i="44"/>
  <c r="AP24" i="44"/>
  <c r="AO27" i="44"/>
  <c r="AO29" i="44"/>
  <c r="AM35" i="44"/>
  <c r="AQ30" i="44"/>
  <c r="AQ36" i="44"/>
  <c r="AF42" i="44"/>
  <c r="AM56" i="44"/>
  <c r="AQ55" i="44"/>
  <c r="BJ70" i="44"/>
  <c r="AO76" i="44"/>
  <c r="AE84" i="44"/>
  <c r="AN88" i="44"/>
  <c r="BK86" i="44"/>
  <c r="BJ92" i="44"/>
  <c r="AQ93" i="44"/>
  <c r="AF98" i="44"/>
  <c r="BJ98" i="44"/>
  <c r="AQ97" i="44"/>
  <c r="AE99" i="44"/>
  <c r="V102" i="44"/>
  <c r="BJ102" i="44"/>
  <c r="AF103" i="44"/>
  <c r="AX110" i="44"/>
  <c r="AO106" i="44"/>
  <c r="AO111" i="44"/>
  <c r="AO112" i="44" s="1"/>
  <c r="AM112" i="44"/>
  <c r="BJ121" i="44"/>
  <c r="AX128" i="44"/>
  <c r="W13" i="44"/>
  <c r="W19" i="44"/>
  <c r="W28" i="44"/>
  <c r="W35" i="44"/>
  <c r="W56" i="44"/>
  <c r="W77" i="44"/>
  <c r="W92" i="44"/>
  <c r="W121" i="44"/>
  <c r="AQ78" i="44"/>
  <c r="AF84" i="44"/>
  <c r="AE113" i="44"/>
  <c r="AG113" i="44" s="1"/>
  <c r="V121" i="44"/>
  <c r="V28" i="44"/>
  <c r="AO17" i="44"/>
  <c r="AQ18" i="44"/>
  <c r="AO23" i="44"/>
  <c r="AQ24" i="44"/>
  <c r="AN35" i="44"/>
  <c r="AM42" i="44"/>
  <c r="AM49" i="44"/>
  <c r="AO50" i="44"/>
  <c r="AN56" i="44"/>
  <c r="BK53" i="44"/>
  <c r="AE57" i="44"/>
  <c r="AE63" i="44" s="1"/>
  <c r="V63" i="44"/>
  <c r="BJ63" i="44"/>
  <c r="AQ68" i="44"/>
  <c r="BI77" i="44"/>
  <c r="AQ79" i="44"/>
  <c r="AQ82" i="44"/>
  <c r="AX88" i="44"/>
  <c r="BK89" i="44"/>
  <c r="AE93" i="44"/>
  <c r="AE98" i="44" s="1"/>
  <c r="AQ99" i="44"/>
  <c r="AF102" i="44"/>
  <c r="BK100" i="44"/>
  <c r="AO103" i="44"/>
  <c r="AO104" i="44" s="1"/>
  <c r="AM104" i="44"/>
  <c r="AE105" i="44"/>
  <c r="V110" i="44"/>
  <c r="BI110" i="44"/>
  <c r="AP108" i="44"/>
  <c r="BK109" i="44"/>
  <c r="BK114" i="44"/>
  <c r="AO116" i="44"/>
  <c r="AE122" i="44"/>
  <c r="AE128" i="44" s="1"/>
  <c r="V128" i="44"/>
  <c r="BK122" i="44"/>
  <c r="BI128" i="44"/>
  <c r="AX35" i="44"/>
  <c r="AO36" i="44"/>
  <c r="AN42" i="44"/>
  <c r="AN49" i="44"/>
  <c r="AX56" i="44"/>
  <c r="AF63" i="44"/>
  <c r="AG58" i="44"/>
  <c r="AO60" i="44"/>
  <c r="AO67" i="44"/>
  <c r="AO68" i="44"/>
  <c r="AE71" i="44"/>
  <c r="AG71" i="44" s="1"/>
  <c r="V77" i="44"/>
  <c r="BJ77" i="44"/>
  <c r="AN84" i="44"/>
  <c r="AO82" i="44"/>
  <c r="BI88" i="44"/>
  <c r="AM92" i="44"/>
  <c r="BK90" i="44"/>
  <c r="AM102" i="44"/>
  <c r="AO113" i="44"/>
  <c r="AM121" i="44"/>
  <c r="BJ128" i="44"/>
  <c r="BI13" i="44"/>
  <c r="W42" i="44"/>
  <c r="W63" i="44"/>
  <c r="W84" i="44"/>
  <c r="W98" i="44"/>
  <c r="W110" i="44"/>
  <c r="W128" i="44"/>
  <c r="AE64" i="44"/>
  <c r="V70" i="44"/>
  <c r="V19" i="44"/>
  <c r="AN28" i="44"/>
  <c r="AQ26" i="44"/>
  <c r="AP27" i="44"/>
  <c r="BI35" i="44"/>
  <c r="AX42" i="44"/>
  <c r="AO43" i="44"/>
  <c r="AP46" i="44"/>
  <c r="V56" i="44"/>
  <c r="BK50" i="44"/>
  <c r="BI56" i="44"/>
  <c r="AO55" i="44"/>
  <c r="AO57" i="44"/>
  <c r="AM63" i="44"/>
  <c r="AQ58" i="44"/>
  <c r="AO64" i="44"/>
  <c r="AN70" i="44"/>
  <c r="AQ66" i="44"/>
  <c r="AQ71" i="44"/>
  <c r="AF77" i="44"/>
  <c r="AP76" i="44"/>
  <c r="AX84" i="44"/>
  <c r="AF88" i="44"/>
  <c r="AG87" i="44"/>
  <c r="AT87" i="44" s="1"/>
  <c r="AN98" i="44"/>
  <c r="AQ95" i="44"/>
  <c r="AN102" i="44"/>
  <c r="AP101" i="44"/>
  <c r="AQ109" i="44"/>
  <c r="AE111" i="44"/>
  <c r="V112" i="44"/>
  <c r="AN121" i="44"/>
  <c r="AF13" i="44"/>
  <c r="AF19" i="44"/>
  <c r="AF28" i="44"/>
  <c r="AE36" i="44"/>
  <c r="AG36" i="44" s="1"/>
  <c r="V42" i="44"/>
  <c r="AE43" i="44"/>
  <c r="AG43" i="44" s="1"/>
  <c r="V49" i="44"/>
  <c r="AP50" i="44"/>
  <c r="AE56" i="44"/>
  <c r="BK64" i="44"/>
  <c r="BI70" i="44"/>
  <c r="BK93" i="44"/>
  <c r="BI98" i="44"/>
  <c r="BK99" i="44"/>
  <c r="BI102" i="44"/>
  <c r="AQ111" i="44"/>
  <c r="AF112" i="44"/>
  <c r="AN19" i="44"/>
  <c r="AQ16" i="44"/>
  <c r="AQ22" i="44"/>
  <c r="AO26" i="44"/>
  <c r="AG27" i="44"/>
  <c r="AE35" i="44"/>
  <c r="BJ35" i="44"/>
  <c r="AQ34" i="44"/>
  <c r="BI42" i="44"/>
  <c r="AO39" i="44"/>
  <c r="AG40" i="44"/>
  <c r="AT40" i="44" s="1"/>
  <c r="AP41" i="44"/>
  <c r="AX49" i="44"/>
  <c r="AO45" i="44"/>
  <c r="AF56" i="44"/>
  <c r="BJ56" i="44"/>
  <c r="AO52" i="44"/>
  <c r="AO53" i="44"/>
  <c r="AQ54" i="44"/>
  <c r="AN63" i="44"/>
  <c r="AQ59" i="44"/>
  <c r="AO61" i="44"/>
  <c r="AX70" i="44"/>
  <c r="BK67" i="44"/>
  <c r="AO71" i="44"/>
  <c r="AM77" i="44"/>
  <c r="AQ72" i="44"/>
  <c r="BK78" i="44"/>
  <c r="BI84" i="44"/>
  <c r="BK81" i="44"/>
  <c r="AE85" i="44"/>
  <c r="AE88" i="44" s="1"/>
  <c r="AX98" i="44"/>
  <c r="AQ101" i="44"/>
  <c r="AE103" i="44"/>
  <c r="V104" i="44"/>
  <c r="AO105" i="44"/>
  <c r="AM110" i="44"/>
  <c r="AX121" i="44"/>
  <c r="BK116" i="44"/>
  <c r="AM128" i="44"/>
  <c r="AM19" i="44"/>
  <c r="AM28" i="44"/>
  <c r="W49" i="44"/>
  <c r="W88" i="44"/>
  <c r="W102" i="44"/>
  <c r="AE32" i="29"/>
  <c r="AF45" i="29"/>
  <c r="AG45" i="29" s="1"/>
  <c r="W48" i="29"/>
  <c r="AE12" i="29"/>
  <c r="AE13" i="29" s="1"/>
  <c r="V13" i="29"/>
  <c r="AX17" i="29"/>
  <c r="AO15" i="29"/>
  <c r="V21" i="29"/>
  <c r="AX21" i="29"/>
  <c r="AN25" i="29"/>
  <c r="AG24" i="29"/>
  <c r="AT24" i="29" s="1"/>
  <c r="BI29" i="29"/>
  <c r="AF30" i="29"/>
  <c r="W32" i="29"/>
  <c r="BK30" i="29"/>
  <c r="BV30" i="29" s="1"/>
  <c r="BJ32" i="29"/>
  <c r="BK35" i="29"/>
  <c r="BI40" i="29"/>
  <c r="AE41" i="29"/>
  <c r="AE44" i="29" s="1"/>
  <c r="V44" i="29"/>
  <c r="BK41" i="29"/>
  <c r="BJ44" i="29"/>
  <c r="AO45" i="29"/>
  <c r="AM48" i="29"/>
  <c r="AQ46" i="29"/>
  <c r="BK47" i="29"/>
  <c r="AX52" i="29"/>
  <c r="BK51" i="29"/>
  <c r="AN63" i="29"/>
  <c r="AX67" i="29"/>
  <c r="AE68" i="29"/>
  <c r="V71" i="29"/>
  <c r="BJ71" i="29"/>
  <c r="AQ85" i="29"/>
  <c r="AF90" i="29"/>
  <c r="AX108" i="29"/>
  <c r="AM120" i="29"/>
  <c r="AM132" i="29"/>
  <c r="AQ128" i="29"/>
  <c r="AQ135" i="29"/>
  <c r="AG135" i="29"/>
  <c r="AS135" i="29" s="1"/>
  <c r="AE149" i="29"/>
  <c r="AE155" i="29" s="1"/>
  <c r="V155" i="29"/>
  <c r="AQ163" i="29"/>
  <c r="AF169" i="29"/>
  <c r="AF175" i="29" s="1"/>
  <c r="W175" i="29"/>
  <c r="V32" i="29"/>
  <c r="AF72" i="29"/>
  <c r="W75" i="29"/>
  <c r="BK149" i="29"/>
  <c r="BI155" i="29"/>
  <c r="AF12" i="29"/>
  <c r="AG12" i="29" s="1"/>
  <c r="AG13" i="29" s="1"/>
  <c r="W13" i="29"/>
  <c r="V17" i="29"/>
  <c r="BK14" i="29"/>
  <c r="BI17" i="29"/>
  <c r="BK18" i="29"/>
  <c r="BI21" i="29"/>
  <c r="AO23" i="29"/>
  <c r="BP23" i="29" s="1"/>
  <c r="AE26" i="29"/>
  <c r="AP26" i="29" s="1"/>
  <c r="V29" i="29"/>
  <c r="BK26" i="29"/>
  <c r="BJ29" i="29"/>
  <c r="AE37" i="29"/>
  <c r="AE40" i="29" s="1"/>
  <c r="V40" i="29"/>
  <c r="BJ40" i="29"/>
  <c r="AF41" i="29"/>
  <c r="AF44" i="29" s="1"/>
  <c r="W44" i="29"/>
  <c r="AO46" i="29"/>
  <c r="BP46" i="29" s="1"/>
  <c r="AQ47" i="29"/>
  <c r="AE49" i="29"/>
  <c r="AE52" i="29" s="1"/>
  <c r="V52" i="29"/>
  <c r="BK49" i="29"/>
  <c r="BI52" i="29"/>
  <c r="AF57" i="29"/>
  <c r="W59" i="29"/>
  <c r="AF80" i="29"/>
  <c r="AF84" i="29" s="1"/>
  <c r="W84" i="29"/>
  <c r="AO97" i="29"/>
  <c r="AM102" i="29"/>
  <c r="AO121" i="29"/>
  <c r="AM126" i="29"/>
  <c r="BK139" i="29"/>
  <c r="BK140" i="29" s="1"/>
  <c r="BI140" i="29"/>
  <c r="AE160" i="29"/>
  <c r="AP160" i="29" s="1"/>
  <c r="V164" i="29"/>
  <c r="BK160" i="29"/>
  <c r="BJ164" i="29"/>
  <c r="AF165" i="29"/>
  <c r="AQ165" i="29" s="1"/>
  <c r="W168" i="29"/>
  <c r="AE186" i="29"/>
  <c r="AE192" i="29" s="1"/>
  <c r="V192" i="29"/>
  <c r="BK193" i="29"/>
  <c r="BI195" i="29"/>
  <c r="AO33" i="29"/>
  <c r="AM36" i="29"/>
  <c r="AO109" i="29"/>
  <c r="AM114" i="29"/>
  <c r="V126" i="29"/>
  <c r="AE121" i="29"/>
  <c r="AO156" i="29"/>
  <c r="BP156" i="29" s="1"/>
  <c r="AM159" i="29"/>
  <c r="AF14" i="29"/>
  <c r="AF17" i="29" s="1"/>
  <c r="W17" i="29"/>
  <c r="BJ17" i="29"/>
  <c r="AE21" i="29"/>
  <c r="BJ21" i="29"/>
  <c r="AG20" i="29"/>
  <c r="AT20" i="29" s="1"/>
  <c r="BI25" i="29"/>
  <c r="AQ26" i="29"/>
  <c r="AF29" i="29"/>
  <c r="V36" i="29"/>
  <c r="AO35" i="29"/>
  <c r="AF37" i="29"/>
  <c r="AF40" i="29" s="1"/>
  <c r="W40" i="29"/>
  <c r="AM44" i="29"/>
  <c r="AE53" i="29"/>
  <c r="V56" i="29"/>
  <c r="AQ69" i="29"/>
  <c r="AF180" i="29"/>
  <c r="AF185" i="29" s="1"/>
  <c r="W185" i="29"/>
  <c r="AM25" i="29"/>
  <c r="AF91" i="29"/>
  <c r="W96" i="29"/>
  <c r="AE14" i="29"/>
  <c r="AE17" i="29" s="1"/>
  <c r="AF18" i="29"/>
  <c r="AF21" i="29" s="1"/>
  <c r="AP20" i="29"/>
  <c r="AF22" i="29"/>
  <c r="AF25" i="29" s="1"/>
  <c r="W25" i="29"/>
  <c r="BK22" i="29"/>
  <c r="BJ25" i="29"/>
  <c r="AF33" i="29"/>
  <c r="W36" i="29"/>
  <c r="BK33" i="29"/>
  <c r="BJ36" i="29"/>
  <c r="BK43" i="29"/>
  <c r="BI48" i="29"/>
  <c r="AF49" i="29"/>
  <c r="AF52" i="29" s="1"/>
  <c r="AG50" i="29"/>
  <c r="AT50" i="29" s="1"/>
  <c r="AF60" i="29"/>
  <c r="AG60" i="29" s="1"/>
  <c r="AS60" i="29" s="1"/>
  <c r="W63" i="29"/>
  <c r="AN71" i="29"/>
  <c r="BI75" i="29"/>
  <c r="AQ88" i="29"/>
  <c r="AQ103" i="29"/>
  <c r="AF108" i="29"/>
  <c r="BK115" i="29"/>
  <c r="BI120" i="29"/>
  <c r="BK127" i="29"/>
  <c r="BI132" i="29"/>
  <c r="AE156" i="29"/>
  <c r="AE159" i="29" s="1"/>
  <c r="V159" i="29"/>
  <c r="AX175" i="29"/>
  <c r="AM13" i="29"/>
  <c r="W29" i="29"/>
  <c r="AQ15" i="29"/>
  <c r="AO18" i="29"/>
  <c r="AM21" i="29"/>
  <c r="AG19" i="29"/>
  <c r="AT19" i="29" s="1"/>
  <c r="AE22" i="29"/>
  <c r="AP22" i="29" s="1"/>
  <c r="AN29" i="29"/>
  <c r="AQ28" i="29"/>
  <c r="BK28" i="29"/>
  <c r="BV28" i="29" s="1"/>
  <c r="AX32" i="29"/>
  <c r="AE33" i="29"/>
  <c r="AE36" i="29" s="1"/>
  <c r="AN40" i="29"/>
  <c r="AX44" i="29"/>
  <c r="AE45" i="29"/>
  <c r="AE48" i="29" s="1"/>
  <c r="V48" i="29"/>
  <c r="BJ48" i="29"/>
  <c r="AM52" i="29"/>
  <c r="AM56" i="29"/>
  <c r="AQ54" i="29"/>
  <c r="AQ76" i="29"/>
  <c r="AF79" i="29"/>
  <c r="AE97" i="29"/>
  <c r="AE102" i="29" s="1"/>
  <c r="V102" i="29"/>
  <c r="BK97" i="29"/>
  <c r="BI102" i="29"/>
  <c r="W114" i="29"/>
  <c r="AF109" i="29"/>
  <c r="AG110" i="29"/>
  <c r="AT110" i="29" s="1"/>
  <c r="BK121" i="29"/>
  <c r="BI126" i="29"/>
  <c r="AF133" i="29"/>
  <c r="AF138" i="29" s="1"/>
  <c r="W138" i="29"/>
  <c r="AF141" i="29"/>
  <c r="AF148" i="29" s="1"/>
  <c r="W148" i="29"/>
  <c r="AN164" i="29"/>
  <c r="BK163" i="29"/>
  <c r="AN168" i="29"/>
  <c r="W56" i="29"/>
  <c r="BK53" i="29"/>
  <c r="BJ56" i="29"/>
  <c r="AO57" i="29"/>
  <c r="AM59" i="29"/>
  <c r="AX63" i="29"/>
  <c r="AQ62" i="29"/>
  <c r="V67" i="29"/>
  <c r="BK64" i="29"/>
  <c r="AO66" i="29"/>
  <c r="BP66" i="29" s="1"/>
  <c r="AF68" i="29"/>
  <c r="AF71" i="29" s="1"/>
  <c r="W71" i="29"/>
  <c r="AO72" i="29"/>
  <c r="AM75" i="29"/>
  <c r="AM79" i="29"/>
  <c r="AE85" i="29"/>
  <c r="AE90" i="29" s="1"/>
  <c r="V90" i="29"/>
  <c r="AQ94" i="29"/>
  <c r="AN102" i="29"/>
  <c r="BK99" i="29"/>
  <c r="AE103" i="29"/>
  <c r="AE108" i="29" s="1"/>
  <c r="V108" i="29"/>
  <c r="BK103" i="29"/>
  <c r="BI108" i="29"/>
  <c r="AE109" i="29"/>
  <c r="AE114" i="29" s="1"/>
  <c r="BJ114" i="29"/>
  <c r="AE115" i="29"/>
  <c r="AE120" i="29" s="1"/>
  <c r="V120" i="29"/>
  <c r="BJ120" i="29"/>
  <c r="AO119" i="29"/>
  <c r="AF121" i="29"/>
  <c r="AF126" i="29" s="1"/>
  <c r="W126" i="29"/>
  <c r="BJ126" i="29"/>
  <c r="AN132" i="29"/>
  <c r="AP129" i="29"/>
  <c r="AR129" i="29" s="1"/>
  <c r="BK129" i="29"/>
  <c r="AM138" i="29"/>
  <c r="AQ137" i="29"/>
  <c r="AE139" i="29"/>
  <c r="AE140" i="29" s="1"/>
  <c r="V140" i="29"/>
  <c r="BK141" i="29"/>
  <c r="BI148" i="29"/>
  <c r="AF149" i="29"/>
  <c r="W155" i="29"/>
  <c r="BJ155" i="29"/>
  <c r="AP152" i="29"/>
  <c r="BK152" i="29"/>
  <c r="W159" i="29"/>
  <c r="AF160" i="29"/>
  <c r="W164" i="29"/>
  <c r="AX168" i="29"/>
  <c r="BI175" i="29"/>
  <c r="BK174" i="29"/>
  <c r="AX179" i="29"/>
  <c r="AM185" i="29"/>
  <c r="AF186" i="29"/>
  <c r="AF192" i="29" s="1"/>
  <c r="W192" i="29"/>
  <c r="AE193" i="29"/>
  <c r="AE195" i="29" s="1"/>
  <c r="V195" i="29"/>
  <c r="AF53" i="29"/>
  <c r="AF56" i="29" s="1"/>
  <c r="BK54" i="29"/>
  <c r="V63" i="29"/>
  <c r="BK60" i="29"/>
  <c r="AF64" i="29"/>
  <c r="AG64" i="29" s="1"/>
  <c r="W67" i="29"/>
  <c r="BJ67" i="29"/>
  <c r="AM71" i="29"/>
  <c r="BK69" i="29"/>
  <c r="AN75" i="29"/>
  <c r="AG74" i="29"/>
  <c r="AT74" i="29" s="1"/>
  <c r="BK74" i="29"/>
  <c r="AN79" i="29"/>
  <c r="AO77" i="29"/>
  <c r="BP77" i="29" s="1"/>
  <c r="AE80" i="29"/>
  <c r="AE84" i="29" s="1"/>
  <c r="V84" i="29"/>
  <c r="BJ84" i="29"/>
  <c r="W90" i="29"/>
  <c r="BJ90" i="29"/>
  <c r="BK86" i="29"/>
  <c r="AO88" i="29"/>
  <c r="BP88" i="29" s="1"/>
  <c r="AE91" i="29"/>
  <c r="AE96" i="29" s="1"/>
  <c r="V96" i="29"/>
  <c r="BJ96" i="29"/>
  <c r="AO94" i="29"/>
  <c r="AX102" i="29"/>
  <c r="BK100" i="29"/>
  <c r="W108" i="29"/>
  <c r="BJ108" i="29"/>
  <c r="AQ106" i="29"/>
  <c r="BK112" i="29"/>
  <c r="AO113" i="29"/>
  <c r="BP113" i="29" s="1"/>
  <c r="AF115" i="29"/>
  <c r="AF120" i="29" s="1"/>
  <c r="W120" i="29"/>
  <c r="AO117" i="29"/>
  <c r="BK125" i="29"/>
  <c r="AO128" i="29"/>
  <c r="BP128" i="29" s="1"/>
  <c r="BK130" i="29"/>
  <c r="AN138" i="29"/>
  <c r="AP135" i="29"/>
  <c r="AO137" i="29"/>
  <c r="AF139" i="29"/>
  <c r="AF140" i="29" s="1"/>
  <c r="W140" i="29"/>
  <c r="AE141" i="29"/>
  <c r="AE148" i="29" s="1"/>
  <c r="V148" i="29"/>
  <c r="BJ148" i="29"/>
  <c r="BK142" i="29"/>
  <c r="AO144" i="29"/>
  <c r="AQ145" i="29"/>
  <c r="AO149" i="29"/>
  <c r="AM155" i="29"/>
  <c r="BK150" i="29"/>
  <c r="AF156" i="29"/>
  <c r="AF159" i="29" s="1"/>
  <c r="AM164" i="29"/>
  <c r="BK161" i="29"/>
  <c r="AO163" i="29"/>
  <c r="V168" i="29"/>
  <c r="BK165" i="29"/>
  <c r="BI168" i="29"/>
  <c r="AE169" i="29"/>
  <c r="AE175" i="29" s="1"/>
  <c r="V175" i="29"/>
  <c r="BJ175" i="29"/>
  <c r="BK170" i="29"/>
  <c r="BK176" i="29"/>
  <c r="BI179" i="29"/>
  <c r="AN185" i="29"/>
  <c r="BK183" i="29"/>
  <c r="AM192" i="29"/>
  <c r="BK188" i="29"/>
  <c r="BV188" i="29" s="1"/>
  <c r="AF193" i="29"/>
  <c r="AF195" i="29" s="1"/>
  <c r="W195" i="29"/>
  <c r="BI59" i="29"/>
  <c r="BI67" i="29"/>
  <c r="BI84" i="29"/>
  <c r="BI96" i="29"/>
  <c r="AE176" i="29"/>
  <c r="AE179" i="29" s="1"/>
  <c r="V179" i="29"/>
  <c r="AO186" i="29"/>
  <c r="AN192" i="29"/>
  <c r="AN56" i="29"/>
  <c r="BK61" i="29"/>
  <c r="AQ65" i="29"/>
  <c r="BK66" i="29"/>
  <c r="AX71" i="29"/>
  <c r="BK72" i="29"/>
  <c r="AE76" i="29"/>
  <c r="AP76" i="29" s="1"/>
  <c r="V79" i="29"/>
  <c r="AM84" i="29"/>
  <c r="AO85" i="29"/>
  <c r="AM90" i="29"/>
  <c r="AO91" i="29"/>
  <c r="AM96" i="29"/>
  <c r="W102" i="29"/>
  <c r="BJ102" i="29"/>
  <c r="AQ100" i="29"/>
  <c r="AO103" i="29"/>
  <c r="AM108" i="29"/>
  <c r="AQ104" i="29"/>
  <c r="AO106" i="29"/>
  <c r="BP106" i="29" s="1"/>
  <c r="AN114" i="29"/>
  <c r="BK110" i="29"/>
  <c r="BV110" i="29" s="1"/>
  <c r="AN120" i="29"/>
  <c r="AN126" i="29"/>
  <c r="BK123" i="29"/>
  <c r="AE127" i="29"/>
  <c r="AE132" i="29" s="1"/>
  <c r="V132" i="29"/>
  <c r="BJ132" i="29"/>
  <c r="BK133" i="29"/>
  <c r="BI138" i="29"/>
  <c r="BK136" i="29"/>
  <c r="AO141" i="29"/>
  <c r="AM148" i="29"/>
  <c r="AP143" i="29"/>
  <c r="AO145" i="29"/>
  <c r="BP145" i="29" s="1"/>
  <c r="AX164" i="29"/>
  <c r="AG162" i="29"/>
  <c r="AE168" i="29"/>
  <c r="AO169" i="29"/>
  <c r="AM175" i="29"/>
  <c r="AQ170" i="29"/>
  <c r="AF176" i="29"/>
  <c r="W179" i="29"/>
  <c r="AX185" i="29"/>
  <c r="AO182" i="29"/>
  <c r="AQ183" i="29"/>
  <c r="BK184" i="29"/>
  <c r="AX192" i="29"/>
  <c r="AO54" i="29"/>
  <c r="AQ55" i="29"/>
  <c r="AE57" i="29"/>
  <c r="AE59" i="29" s="1"/>
  <c r="V59" i="29"/>
  <c r="AO60" i="29"/>
  <c r="AM63" i="29"/>
  <c r="BK62" i="29"/>
  <c r="BV62" i="29" s="1"/>
  <c r="AN67" i="29"/>
  <c r="BK68" i="29"/>
  <c r="AO69" i="29"/>
  <c r="AE72" i="29"/>
  <c r="AP72" i="29" s="1"/>
  <c r="V75" i="29"/>
  <c r="BJ75" i="29"/>
  <c r="AO74" i="29"/>
  <c r="BK76" i="29"/>
  <c r="BJ79" i="29"/>
  <c r="BK77" i="29"/>
  <c r="AN84" i="29"/>
  <c r="BK83" i="29"/>
  <c r="AN90" i="29"/>
  <c r="BK88" i="29"/>
  <c r="AN96" i="29"/>
  <c r="BK94" i="29"/>
  <c r="AQ97" i="29"/>
  <c r="AF102" i="29"/>
  <c r="BK98" i="29"/>
  <c r="AO100" i="29"/>
  <c r="BP100" i="29" s="1"/>
  <c r="AN108" i="29"/>
  <c r="AO104" i="29"/>
  <c r="BK105" i="29"/>
  <c r="AG111" i="29"/>
  <c r="AS111" i="29" s="1"/>
  <c r="AO112" i="29"/>
  <c r="BP112" i="29" s="1"/>
  <c r="AX120" i="29"/>
  <c r="BK117" i="29"/>
  <c r="AO118" i="29"/>
  <c r="BP118" i="29" s="1"/>
  <c r="AX126" i="29"/>
  <c r="AO125" i="29"/>
  <c r="AF127" i="29"/>
  <c r="AF132" i="29" s="1"/>
  <c r="W132" i="29"/>
  <c r="AG128" i="29"/>
  <c r="AS128" i="29" s="1"/>
  <c r="AE133" i="29"/>
  <c r="AE138" i="29" s="1"/>
  <c r="V138" i="29"/>
  <c r="BJ138" i="29"/>
  <c r="BK137" i="29"/>
  <c r="BV137" i="29" s="1"/>
  <c r="AN148" i="29"/>
  <c r="AO142" i="29"/>
  <c r="AX155" i="29"/>
  <c r="AX159" i="29"/>
  <c r="BI164" i="29"/>
  <c r="AN175" i="29"/>
  <c r="BK172" i="29"/>
  <c r="AM179" i="29"/>
  <c r="AE180" i="29"/>
  <c r="AE185" i="29" s="1"/>
  <c r="V185" i="29"/>
  <c r="BK180" i="29"/>
  <c r="BI185" i="29"/>
  <c r="BI192" i="29"/>
  <c r="BK191" i="29"/>
  <c r="AX195" i="29"/>
  <c r="BI63" i="29"/>
  <c r="BI71" i="29"/>
  <c r="BI90" i="29"/>
  <c r="AE18" i="30"/>
  <c r="AE23" i="30" s="1"/>
  <c r="V23" i="30"/>
  <c r="AF12" i="30"/>
  <c r="AF15" i="30" s="1"/>
  <c r="W15" i="30"/>
  <c r="AF18" i="30"/>
  <c r="W23" i="30"/>
  <c r="AO22" i="30"/>
  <c r="AF24" i="30"/>
  <c r="BO24" i="30" s="1"/>
  <c r="W28" i="30"/>
  <c r="W37" i="30"/>
  <c r="AE38" i="30"/>
  <c r="AE44" i="30" s="1"/>
  <c r="V44" i="30"/>
  <c r="AE49" i="30"/>
  <c r="AE54" i="30" s="1"/>
  <c r="V54" i="30"/>
  <c r="AE76" i="30"/>
  <c r="AE81" i="30" s="1"/>
  <c r="V81" i="30"/>
  <c r="AF86" i="30"/>
  <c r="AF92" i="30" s="1"/>
  <c r="W92" i="30"/>
  <c r="BI99" i="30"/>
  <c r="AF16" i="30"/>
  <c r="W17" i="30"/>
  <c r="AF62" i="30"/>
  <c r="W65" i="30"/>
  <c r="AE86" i="30"/>
  <c r="AE92" i="30" s="1"/>
  <c r="V92" i="30"/>
  <c r="AM15" i="30"/>
  <c r="AM23" i="30"/>
  <c r="AM28" i="30"/>
  <c r="AF38" i="30"/>
  <c r="AF44" i="30" s="1"/>
  <c r="W44" i="30"/>
  <c r="AF49" i="30"/>
  <c r="W54" i="30"/>
  <c r="BK50" i="30"/>
  <c r="AE66" i="30"/>
  <c r="AE71" i="30" s="1"/>
  <c r="V71" i="30"/>
  <c r="AE72" i="30"/>
  <c r="AE75" i="30" s="1"/>
  <c r="V75" i="30"/>
  <c r="AF76" i="30"/>
  <c r="W81" i="30"/>
  <c r="AE82" i="30"/>
  <c r="AE85" i="30" s="1"/>
  <c r="V85" i="30"/>
  <c r="AM92" i="30"/>
  <c r="AQ91" i="30"/>
  <c r="AE93" i="30"/>
  <c r="AE99" i="30" s="1"/>
  <c r="V99" i="30"/>
  <c r="BI37" i="30"/>
  <c r="BI71" i="30"/>
  <c r="AQ13" i="30"/>
  <c r="AN23" i="30"/>
  <c r="AN28" i="30"/>
  <c r="AO31" i="30"/>
  <c r="AM37" i="30"/>
  <c r="AO38" i="30"/>
  <c r="BP38" i="30" s="1"/>
  <c r="AM44" i="30"/>
  <c r="AE45" i="30"/>
  <c r="AE48" i="30" s="1"/>
  <c r="V48" i="30"/>
  <c r="AQ53" i="30"/>
  <c r="AE55" i="30"/>
  <c r="AE61" i="30" s="1"/>
  <c r="V61" i="30"/>
  <c r="W71" i="30"/>
  <c r="AF72" i="30"/>
  <c r="W75" i="30"/>
  <c r="AM81" i="30"/>
  <c r="AF82" i="30"/>
  <c r="W85" i="30"/>
  <c r="AN92" i="30"/>
  <c r="AF93" i="30"/>
  <c r="W99" i="30"/>
  <c r="AE31" i="30"/>
  <c r="AE37" i="30" s="1"/>
  <c r="V37" i="30"/>
  <c r="BK29" i="30"/>
  <c r="BK30" i="30" s="1"/>
  <c r="AN37" i="30"/>
  <c r="BK35" i="30"/>
  <c r="AN44" i="30"/>
  <c r="AF45" i="30"/>
  <c r="W48" i="30"/>
  <c r="AN54" i="30"/>
  <c r="AF55" i="30"/>
  <c r="W61" i="30"/>
  <c r="BK68" i="30"/>
  <c r="AM75" i="30"/>
  <c r="AN81" i="30"/>
  <c r="AM85" i="30"/>
  <c r="AQ88" i="30"/>
  <c r="AM99" i="30"/>
  <c r="AQ94" i="30"/>
  <c r="BI81" i="30"/>
  <c r="AE12" i="30"/>
  <c r="AE15" i="30" s="1"/>
  <c r="V15" i="30"/>
  <c r="AE24" i="30"/>
  <c r="AE28" i="30" s="1"/>
  <c r="V28" i="30"/>
  <c r="AF29" i="30"/>
  <c r="AF30" i="30" s="1"/>
  <c r="W30" i="30"/>
  <c r="BK12" i="30"/>
  <c r="AE16" i="30"/>
  <c r="AE17" i="30" s="1"/>
  <c r="V17" i="30"/>
  <c r="AE29" i="30"/>
  <c r="AE30" i="30" s="1"/>
  <c r="V30" i="30"/>
  <c r="AG40" i="30"/>
  <c r="AS40" i="30" s="1"/>
  <c r="BK42" i="30"/>
  <c r="AM61" i="30"/>
  <c r="AQ60" i="30"/>
  <c r="AE62" i="30"/>
  <c r="AE65" i="30" s="1"/>
  <c r="V65" i="30"/>
  <c r="AM71" i="30"/>
  <c r="BK74" i="30"/>
  <c r="BK86" i="30"/>
  <c r="AN99" i="30"/>
  <c r="AF37" i="30"/>
  <c r="W43" i="31"/>
  <c r="W64" i="31"/>
  <c r="AQ29" i="31"/>
  <c r="AQ35" i="31"/>
  <c r="AO41" i="31"/>
  <c r="BK58" i="31"/>
  <c r="AQ69" i="31"/>
  <c r="AG71" i="31"/>
  <c r="AS71" i="31" s="1"/>
  <c r="W73" i="31"/>
  <c r="AQ13" i="31"/>
  <c r="BK66" i="31"/>
  <c r="BI15" i="31"/>
  <c r="BI19" i="31"/>
  <c r="BI23" i="31"/>
  <c r="BI25" i="31"/>
  <c r="BI32" i="31"/>
  <c r="BI40" i="31"/>
  <c r="BI57" i="31"/>
  <c r="BI67" i="31"/>
  <c r="W57" i="31"/>
  <c r="AQ37" i="31"/>
  <c r="AQ49" i="31"/>
  <c r="AQ59" i="31"/>
  <c r="BK60" i="31"/>
  <c r="BV60" i="31" s="1"/>
  <c r="AQ66" i="31"/>
  <c r="AF15" i="31"/>
  <c r="AF38" i="31"/>
  <c r="AF43" i="31"/>
  <c r="AF48" i="31"/>
  <c r="BJ64" i="31"/>
  <c r="W15" i="31"/>
  <c r="W38" i="31"/>
  <c r="AQ18" i="31"/>
  <c r="BK28" i="31"/>
  <c r="AQ39" i="31"/>
  <c r="AQ40" i="31" s="1"/>
  <c r="BK46" i="31"/>
  <c r="BK47" i="31"/>
  <c r="BV47" i="31" s="1"/>
  <c r="AQ60" i="31"/>
  <c r="AO66" i="31"/>
  <c r="AQ68" i="31"/>
  <c r="AM38" i="31"/>
  <c r="W48" i="31"/>
  <c r="BK29" i="31"/>
  <c r="BV29" i="31" s="1"/>
  <c r="BK35" i="31"/>
  <c r="AO39" i="31"/>
  <c r="AO40" i="31" s="1"/>
  <c r="AQ54" i="31"/>
  <c r="AO60" i="31"/>
  <c r="BK63" i="31"/>
  <c r="AO68" i="31"/>
  <c r="BK71" i="31"/>
  <c r="V15" i="31"/>
  <c r="AN15" i="31"/>
  <c r="V19" i="31"/>
  <c r="AN19" i="31"/>
  <c r="V23" i="31"/>
  <c r="AN23" i="31"/>
  <c r="V25" i="31"/>
  <c r="AN25" i="31"/>
  <c r="V32" i="31"/>
  <c r="AN32" i="31"/>
  <c r="V38" i="31"/>
  <c r="V40" i="31"/>
  <c r="V43" i="31"/>
  <c r="AN43" i="31"/>
  <c r="V48" i="31"/>
  <c r="V52" i="31"/>
  <c r="AN52" i="31"/>
  <c r="V57" i="31"/>
  <c r="V64" i="31"/>
  <c r="V67" i="31"/>
  <c r="V73" i="31"/>
  <c r="AF221" i="32"/>
  <c r="AQ221" i="32" s="1"/>
  <c r="W227" i="32"/>
  <c r="AX17" i="32"/>
  <c r="AX22" i="32"/>
  <c r="AT26" i="32"/>
  <c r="AS26" i="32"/>
  <c r="AF32" i="32"/>
  <c r="AF35" i="32" s="1"/>
  <c r="W35" i="32"/>
  <c r="AP33" i="32"/>
  <c r="AF40" i="32"/>
  <c r="AF43" i="32" s="1"/>
  <c r="W43" i="32"/>
  <c r="AN77" i="32"/>
  <c r="AM96" i="32"/>
  <c r="AM113" i="32"/>
  <c r="BK217" i="32"/>
  <c r="BI220" i="32"/>
  <c r="AG222" i="32"/>
  <c r="AS222" i="32" s="1"/>
  <c r="AE235" i="32"/>
  <c r="AE238" i="32" s="1"/>
  <c r="V238" i="32"/>
  <c r="AE250" i="32"/>
  <c r="AE256" i="32" s="1"/>
  <c r="V256" i="32"/>
  <c r="BK235" i="32"/>
  <c r="BI238" i="32"/>
  <c r="AO239" i="32"/>
  <c r="AM245" i="32"/>
  <c r="BK23" i="32"/>
  <c r="BI27" i="32"/>
  <c r="BK36" i="32"/>
  <c r="BI39" i="32"/>
  <c r="AE53" i="32"/>
  <c r="AE58" i="32" s="1"/>
  <c r="V58" i="32"/>
  <c r="BK59" i="32"/>
  <c r="BI65" i="32"/>
  <c r="AE114" i="32"/>
  <c r="AE120" i="32" s="1"/>
  <c r="V120" i="32"/>
  <c r="BJ120" i="32"/>
  <c r="AO165" i="32"/>
  <c r="AM171" i="32"/>
  <c r="AF179" i="32"/>
  <c r="W182" i="32"/>
  <c r="AF215" i="32"/>
  <c r="W216" i="32"/>
  <c r="AE217" i="32"/>
  <c r="AE220" i="32" s="1"/>
  <c r="V220" i="32"/>
  <c r="AE271" i="32"/>
  <c r="AE277" i="32" s="1"/>
  <c r="V277" i="32"/>
  <c r="AE278" i="32"/>
  <c r="AE284" i="32" s="1"/>
  <c r="V284" i="32"/>
  <c r="BK285" i="32"/>
  <c r="BI291" i="32"/>
  <c r="BK19" i="32"/>
  <c r="BV19" i="32" s="1"/>
  <c r="AE23" i="32"/>
  <c r="V27" i="32"/>
  <c r="AF28" i="32"/>
  <c r="AF31" i="32" s="1"/>
  <c r="W31" i="32"/>
  <c r="AQ48" i="32"/>
  <c r="BI71" i="32"/>
  <c r="AQ75" i="32"/>
  <c r="AQ87" i="32"/>
  <c r="AQ94" i="32"/>
  <c r="BI107" i="32"/>
  <c r="AQ101" i="32"/>
  <c r="AO147" i="32"/>
  <c r="AM150" i="32"/>
  <c r="AQ173" i="32"/>
  <c r="AR173" i="32" s="1"/>
  <c r="AQ191" i="32"/>
  <c r="AO228" i="32"/>
  <c r="AM234" i="32"/>
  <c r="BK246" i="32"/>
  <c r="BK249" i="32" s="1"/>
  <c r="BI249" i="32"/>
  <c r="W270" i="32"/>
  <c r="AF264" i="32"/>
  <c r="AF270" i="32" s="1"/>
  <c r="AO97" i="32"/>
  <c r="AM107" i="32"/>
  <c r="BK172" i="32"/>
  <c r="BI178" i="32"/>
  <c r="AE12" i="32"/>
  <c r="AE13" i="32" s="1"/>
  <c r="V13" i="32"/>
  <c r="AF14" i="32"/>
  <c r="AF17" i="32" s="1"/>
  <c r="W17" i="32"/>
  <c r="AE44" i="32"/>
  <c r="AE45" i="32" s="1"/>
  <c r="V45" i="32"/>
  <c r="BJ77" i="32"/>
  <c r="AX90" i="32"/>
  <c r="BI96" i="32"/>
  <c r="V107" i="32"/>
  <c r="AE97" i="32"/>
  <c r="AE107" i="32" s="1"/>
  <c r="AP102" i="32"/>
  <c r="AF131" i="32"/>
  <c r="W137" i="32"/>
  <c r="AX164" i="32"/>
  <c r="BK206" i="32"/>
  <c r="BI214" i="32"/>
  <c r="AE246" i="32"/>
  <c r="AE249" i="32" s="1"/>
  <c r="V249" i="32"/>
  <c r="BK250" i="32"/>
  <c r="BI256" i="32"/>
  <c r="AF12" i="32"/>
  <c r="W13" i="32"/>
  <c r="AQ24" i="32"/>
  <c r="AO36" i="32"/>
  <c r="AO39" i="32" s="1"/>
  <c r="AM39" i="32"/>
  <c r="AO59" i="32"/>
  <c r="BP59" i="32" s="1"/>
  <c r="AM65" i="32"/>
  <c r="W77" i="32"/>
  <c r="AF72" i="32"/>
  <c r="AF77" i="32" s="1"/>
  <c r="AF78" i="32"/>
  <c r="W84" i="32"/>
  <c r="V96" i="32"/>
  <c r="AE91" i="32"/>
  <c r="AE96" i="32" s="1"/>
  <c r="BK200" i="32"/>
  <c r="BI205" i="32"/>
  <c r="AM17" i="32"/>
  <c r="AQ15" i="32"/>
  <c r="AM22" i="32"/>
  <c r="AF23" i="32"/>
  <c r="AF27" i="32" s="1"/>
  <c r="W27" i="32"/>
  <c r="BJ27" i="32"/>
  <c r="BI31" i="32"/>
  <c r="BK32" i="32"/>
  <c r="BI35" i="32"/>
  <c r="AE36" i="32"/>
  <c r="V39" i="32"/>
  <c r="AQ41" i="32"/>
  <c r="AM52" i="32"/>
  <c r="AQ47" i="32"/>
  <c r="AO49" i="32"/>
  <c r="AX58" i="32"/>
  <c r="AN65" i="32"/>
  <c r="AO63" i="32"/>
  <c r="AE66" i="32"/>
  <c r="AE71" i="32" s="1"/>
  <c r="V71" i="32"/>
  <c r="BJ71" i="32"/>
  <c r="AX77" i="32"/>
  <c r="AQ74" i="32"/>
  <c r="AO76" i="32"/>
  <c r="AM84" i="32"/>
  <c r="AQ83" i="32"/>
  <c r="V90" i="32"/>
  <c r="BK85" i="32"/>
  <c r="BI90" i="32"/>
  <c r="AN96" i="32"/>
  <c r="AF97" i="32"/>
  <c r="AF107" i="32" s="1"/>
  <c r="W107" i="32"/>
  <c r="BK97" i="32"/>
  <c r="BJ107" i="32"/>
  <c r="BK98" i="32"/>
  <c r="AO100" i="32"/>
  <c r="AO105" i="32"/>
  <c r="BP105" i="32" s="1"/>
  <c r="BK108" i="32"/>
  <c r="BK109" i="32" s="1"/>
  <c r="BI109" i="32"/>
  <c r="AF114" i="32"/>
  <c r="W120" i="32"/>
  <c r="AO121" i="32"/>
  <c r="AN124" i="32"/>
  <c r="AX130" i="32"/>
  <c r="AX144" i="32"/>
  <c r="AX157" i="32"/>
  <c r="AG154" i="32"/>
  <c r="AS154" i="32" s="1"/>
  <c r="AE158" i="32"/>
  <c r="AP158" i="32" s="1"/>
  <c r="V164" i="32"/>
  <c r="AN171" i="32"/>
  <c r="AE172" i="32"/>
  <c r="AE178" i="32" s="1"/>
  <c r="V178" i="32"/>
  <c r="AG180" i="32"/>
  <c r="AT180" i="32" s="1"/>
  <c r="BK183" i="32"/>
  <c r="BI188" i="32"/>
  <c r="BK190" i="32"/>
  <c r="BV190" i="32" s="1"/>
  <c r="AE200" i="32"/>
  <c r="AE205" i="32" s="1"/>
  <c r="V205" i="32"/>
  <c r="BJ205" i="32"/>
  <c r="AE206" i="32"/>
  <c r="V214" i="32"/>
  <c r="BJ214" i="32"/>
  <c r="BK207" i="32"/>
  <c r="AG211" i="32"/>
  <c r="AT211" i="32" s="1"/>
  <c r="BK211" i="32"/>
  <c r="AM227" i="32"/>
  <c r="AN245" i="32"/>
  <c r="W256" i="32"/>
  <c r="BJ256" i="32"/>
  <c r="AG254" i="32"/>
  <c r="AS254" i="32" s="1"/>
  <c r="AP255" i="32"/>
  <c r="BK257" i="32"/>
  <c r="BI263" i="32"/>
  <c r="AQ259" i="32"/>
  <c r="AR259" i="32" s="1"/>
  <c r="AO268" i="32"/>
  <c r="AO269" i="32"/>
  <c r="AF271" i="32"/>
  <c r="AF277" i="32" s="1"/>
  <c r="W277" i="32"/>
  <c r="BK273" i="32"/>
  <c r="AF278" i="32"/>
  <c r="BO278" i="32" s="1"/>
  <c r="W284" i="32"/>
  <c r="AE285" i="32"/>
  <c r="AE291" i="32" s="1"/>
  <c r="V291" i="32"/>
  <c r="BJ291" i="32"/>
  <c r="AN17" i="32"/>
  <c r="AO15" i="32"/>
  <c r="AN22" i="32"/>
  <c r="AO19" i="32"/>
  <c r="BP19" i="32" s="1"/>
  <c r="AG20" i="32"/>
  <c r="BK20" i="32"/>
  <c r="BV20" i="32" s="1"/>
  <c r="AM27" i="32"/>
  <c r="AE28" i="32"/>
  <c r="AP28" i="32" s="1"/>
  <c r="V31" i="32"/>
  <c r="AE32" i="32"/>
  <c r="V35" i="32"/>
  <c r="BJ35" i="32"/>
  <c r="AF36" i="32"/>
  <c r="AF39" i="32" s="1"/>
  <c r="W39" i="32"/>
  <c r="AP37" i="32"/>
  <c r="AR37" i="32" s="1"/>
  <c r="AO40" i="32"/>
  <c r="AN43" i="32"/>
  <c r="AO41" i="32"/>
  <c r="BK44" i="32"/>
  <c r="BK45" i="32" s="1"/>
  <c r="BI45" i="32"/>
  <c r="AN52" i="32"/>
  <c r="BI58" i="32"/>
  <c r="AX65" i="32"/>
  <c r="BK62" i="32"/>
  <c r="BV62" i="32" s="1"/>
  <c r="AF66" i="32"/>
  <c r="W71" i="32"/>
  <c r="AO69" i="32"/>
  <c r="BP69" i="32" s="1"/>
  <c r="AE72" i="32"/>
  <c r="AE77" i="32" s="1"/>
  <c r="V77" i="32"/>
  <c r="BI77" i="32"/>
  <c r="AO78" i="32"/>
  <c r="AN84" i="32"/>
  <c r="AO83" i="32"/>
  <c r="AF85" i="32"/>
  <c r="W90" i="32"/>
  <c r="BJ90" i="32"/>
  <c r="AX96" i="32"/>
  <c r="BK99" i="32"/>
  <c r="AO101" i="32"/>
  <c r="AE108" i="32"/>
  <c r="AP108" i="32" s="1"/>
  <c r="V109" i="32"/>
  <c r="BK110" i="32"/>
  <c r="BI113" i="32"/>
  <c r="AO114" i="32"/>
  <c r="AM120" i="32"/>
  <c r="AE125" i="32"/>
  <c r="AP125" i="32" s="1"/>
  <c r="V130" i="32"/>
  <c r="BK125" i="32"/>
  <c r="BI130" i="32"/>
  <c r="AO127" i="32"/>
  <c r="AQ128" i="32"/>
  <c r="AN137" i="32"/>
  <c r="BI144" i="32"/>
  <c r="AO139" i="32"/>
  <c r="AE145" i="32"/>
  <c r="AE146" i="32" s="1"/>
  <c r="V146" i="32"/>
  <c r="AX150" i="32"/>
  <c r="AQ149" i="32"/>
  <c r="BK151" i="32"/>
  <c r="BI157" i="32"/>
  <c r="AF158" i="32"/>
  <c r="W164" i="32"/>
  <c r="BJ164" i="32"/>
  <c r="AF172" i="32"/>
  <c r="W178" i="32"/>
  <c r="AG176" i="32"/>
  <c r="AS176" i="32" s="1"/>
  <c r="AE183" i="32"/>
  <c r="V188" i="32"/>
  <c r="AO189" i="32"/>
  <c r="BP189" i="32" s="1"/>
  <c r="AN195" i="32"/>
  <c r="BK191" i="32"/>
  <c r="BK196" i="32"/>
  <c r="BI199" i="32"/>
  <c r="AO198" i="32"/>
  <c r="AF200" i="32"/>
  <c r="W205" i="32"/>
  <c r="AF206" i="32"/>
  <c r="AF214" i="32" s="1"/>
  <c r="W214" i="32"/>
  <c r="BK212" i="32"/>
  <c r="AF217" i="32"/>
  <c r="AQ217" i="32" s="1"/>
  <c r="AP218" i="32"/>
  <c r="AN227" i="32"/>
  <c r="AX234" i="32"/>
  <c r="AO230" i="32"/>
  <c r="AF235" i="32"/>
  <c r="BK237" i="32"/>
  <c r="BV237" i="32" s="1"/>
  <c r="AX245" i="32"/>
  <c r="AF246" i="32"/>
  <c r="AF249" i="32" s="1"/>
  <c r="AF250" i="32"/>
  <c r="AQ250" i="32" s="1"/>
  <c r="BK251" i="32"/>
  <c r="AQ255" i="32"/>
  <c r="AE257" i="32"/>
  <c r="V263" i="32"/>
  <c r="BJ263" i="32"/>
  <c r="AO264" i="32"/>
  <c r="AM270" i="32"/>
  <c r="AM277" i="32"/>
  <c r="AM284" i="32"/>
  <c r="BK280" i="32"/>
  <c r="BV280" i="32" s="1"/>
  <c r="AF285" i="32"/>
  <c r="W291" i="32"/>
  <c r="AE292" i="32"/>
  <c r="AE293" i="32" s="1"/>
  <c r="V293" i="32"/>
  <c r="AM137" i="32"/>
  <c r="AF108" i="32"/>
  <c r="AF109" i="32" s="1"/>
  <c r="W109" i="32"/>
  <c r="AE110" i="32"/>
  <c r="AE113" i="32" s="1"/>
  <c r="V113" i="32"/>
  <c r="BJ113" i="32"/>
  <c r="BK111" i="32"/>
  <c r="AN120" i="32"/>
  <c r="AG116" i="32"/>
  <c r="AT116" i="32" s="1"/>
  <c r="BK116" i="32"/>
  <c r="AO118" i="32"/>
  <c r="AQ119" i="32"/>
  <c r="BK121" i="32"/>
  <c r="BI124" i="32"/>
  <c r="AF125" i="32"/>
  <c r="W130" i="32"/>
  <c r="BJ130" i="32"/>
  <c r="BK126" i="32"/>
  <c r="BV126" i="32" s="1"/>
  <c r="AX137" i="32"/>
  <c r="AE138" i="32"/>
  <c r="AE144" i="32" s="1"/>
  <c r="V144" i="32"/>
  <c r="BK138" i="32"/>
  <c r="BJ144" i="32"/>
  <c r="AF145" i="32"/>
  <c r="W146" i="32"/>
  <c r="BK145" i="32"/>
  <c r="BK146" i="32" s="1"/>
  <c r="BI150" i="32"/>
  <c r="AE151" i="32"/>
  <c r="BN151" i="32" s="1"/>
  <c r="V157" i="32"/>
  <c r="BJ157" i="32"/>
  <c r="AP159" i="32"/>
  <c r="AQ168" i="32"/>
  <c r="AO172" i="32"/>
  <c r="AM178" i="32"/>
  <c r="AF183" i="32"/>
  <c r="W188" i="32"/>
  <c r="AX195" i="32"/>
  <c r="AE196" i="32"/>
  <c r="AE199" i="32" s="1"/>
  <c r="V199" i="32"/>
  <c r="BJ199" i="32"/>
  <c r="AM205" i="32"/>
  <c r="AP202" i="32"/>
  <c r="AM214" i="32"/>
  <c r="AP208" i="32"/>
  <c r="BK213" i="32"/>
  <c r="BV213" i="32" s="1"/>
  <c r="AO217" i="32"/>
  <c r="AM220" i="32"/>
  <c r="AP219" i="32"/>
  <c r="BK219" i="32"/>
  <c r="BV219" i="32" s="1"/>
  <c r="AX227" i="32"/>
  <c r="AE228" i="32"/>
  <c r="V234" i="32"/>
  <c r="BK228" i="32"/>
  <c r="BV228" i="32" s="1"/>
  <c r="BI234" i="32"/>
  <c r="AO235" i="32"/>
  <c r="BP235" i="32" s="1"/>
  <c r="AM238" i="32"/>
  <c r="BI245" i="32"/>
  <c r="AO241" i="32"/>
  <c r="AM249" i="32"/>
  <c r="AM256" i="32"/>
  <c r="BK252" i="32"/>
  <c r="AF257" i="32"/>
  <c r="BO257" i="32" s="1"/>
  <c r="W263" i="32"/>
  <c r="AN270" i="32"/>
  <c r="AO271" i="32"/>
  <c r="AN277" i="32"/>
  <c r="AM291" i="32"/>
  <c r="AF292" i="32"/>
  <c r="AF293" i="32" s="1"/>
  <c r="W293" i="32"/>
  <c r="BK14" i="32"/>
  <c r="BI17" i="32"/>
  <c r="AP16" i="32"/>
  <c r="V22" i="32"/>
  <c r="AO28" i="32"/>
  <c r="AM31" i="32"/>
  <c r="AM35" i="32"/>
  <c r="BK40" i="32"/>
  <c r="BI43" i="32"/>
  <c r="AF44" i="32"/>
  <c r="AG44" i="32" s="1"/>
  <c r="AG45" i="32" s="1"/>
  <c r="W45" i="32"/>
  <c r="V52" i="32"/>
  <c r="BK46" i="32"/>
  <c r="BI52" i="32"/>
  <c r="AF53" i="32"/>
  <c r="W58" i="32"/>
  <c r="AE59" i="32"/>
  <c r="AE65" i="32" s="1"/>
  <c r="V65" i="32"/>
  <c r="BJ65" i="32"/>
  <c r="AN71" i="32"/>
  <c r="AQ68" i="32"/>
  <c r="BI84" i="32"/>
  <c r="AG82" i="32"/>
  <c r="AS82" i="32" s="1"/>
  <c r="AQ86" i="32"/>
  <c r="AO88" i="32"/>
  <c r="AF91" i="32"/>
  <c r="BO91" i="32" s="1"/>
  <c r="W96" i="32"/>
  <c r="AN107" i="32"/>
  <c r="AQ99" i="32"/>
  <c r="AF110" i="32"/>
  <c r="W113" i="32"/>
  <c r="AQ116" i="32"/>
  <c r="AE121" i="32"/>
  <c r="AE124" i="32" s="1"/>
  <c r="V124" i="32"/>
  <c r="AM130" i="32"/>
  <c r="AQ129" i="32"/>
  <c r="BI137" i="32"/>
  <c r="BK134" i="32"/>
  <c r="AF138" i="32"/>
  <c r="W144" i="32"/>
  <c r="BK139" i="32"/>
  <c r="AO145" i="32"/>
  <c r="AO146" i="32" s="1"/>
  <c r="AM146" i="32"/>
  <c r="AE147" i="32"/>
  <c r="V150" i="32"/>
  <c r="BK147" i="32"/>
  <c r="BK150" i="32" s="1"/>
  <c r="BJ150" i="32"/>
  <c r="AF151" i="32"/>
  <c r="W157" i="32"/>
  <c r="AP155" i="32"/>
  <c r="AR155" i="32" s="1"/>
  <c r="AQ159" i="32"/>
  <c r="BK160" i="32"/>
  <c r="BV160" i="32" s="1"/>
  <c r="AO162" i="32"/>
  <c r="AQ163" i="32"/>
  <c r="AE165" i="32"/>
  <c r="V171" i="32"/>
  <c r="BK165" i="32"/>
  <c r="BI171" i="32"/>
  <c r="AP169" i="32"/>
  <c r="AN178" i="32"/>
  <c r="BK179" i="32"/>
  <c r="BI182" i="32"/>
  <c r="AO181" i="32"/>
  <c r="BP181" i="32" s="1"/>
  <c r="AM188" i="32"/>
  <c r="AE189" i="32"/>
  <c r="AG189" i="32" s="1"/>
  <c r="V195" i="32"/>
  <c r="BI195" i="32"/>
  <c r="AF196" i="32"/>
  <c r="AQ196" i="32" s="1"/>
  <c r="W199" i="32"/>
  <c r="AN205" i="32"/>
  <c r="AO206" i="32"/>
  <c r="AN214" i="32"/>
  <c r="AP209" i="32"/>
  <c r="AR209" i="32" s="1"/>
  <c r="AQ212" i="32"/>
  <c r="BI227" i="32"/>
  <c r="AP224" i="32"/>
  <c r="W234" i="32"/>
  <c r="BJ234" i="32"/>
  <c r="AN238" i="32"/>
  <c r="AQ237" i="32"/>
  <c r="AE239" i="32"/>
  <c r="AE245" i="32" s="1"/>
  <c r="V245" i="32"/>
  <c r="AQ243" i="32"/>
  <c r="AN256" i="32"/>
  <c r="AQ251" i="32"/>
  <c r="AM263" i="32"/>
  <c r="AQ261" i="32"/>
  <c r="AR261" i="32" s="1"/>
  <c r="AX270" i="32"/>
  <c r="AX277" i="32"/>
  <c r="AO279" i="32"/>
  <c r="BP279" i="32" s="1"/>
  <c r="AN291" i="32"/>
  <c r="AO292" i="32"/>
  <c r="AO293" i="32" s="1"/>
  <c r="AM293" i="32"/>
  <c r="AE14" i="32"/>
  <c r="V17" i="32"/>
  <c r="BJ17" i="32"/>
  <c r="BK15" i="32"/>
  <c r="BV15" i="32" s="1"/>
  <c r="AF18" i="32"/>
  <c r="AG18" i="32" s="1"/>
  <c r="W22" i="32"/>
  <c r="BJ22" i="32"/>
  <c r="AN35" i="32"/>
  <c r="BK34" i="32"/>
  <c r="AX39" i="32"/>
  <c r="AE40" i="32"/>
  <c r="AE43" i="32" s="1"/>
  <c r="V43" i="32"/>
  <c r="BJ43" i="32"/>
  <c r="AO42" i="32"/>
  <c r="AO44" i="32"/>
  <c r="AO45" i="32" s="1"/>
  <c r="AM45" i="32"/>
  <c r="AF46" i="32"/>
  <c r="AG46" i="32" s="1"/>
  <c r="AT46" i="32" s="1"/>
  <c r="W52" i="32"/>
  <c r="BJ52" i="32"/>
  <c r="BK50" i="32"/>
  <c r="AO51" i="32"/>
  <c r="AO53" i="32"/>
  <c r="AM58" i="32"/>
  <c r="AF59" i="32"/>
  <c r="W65" i="32"/>
  <c r="AG64" i="32"/>
  <c r="AS64" i="32" s="1"/>
  <c r="AX71" i="32"/>
  <c r="AO68" i="32"/>
  <c r="BP68" i="32" s="1"/>
  <c r="AM77" i="32"/>
  <c r="AE78" i="32"/>
  <c r="AE84" i="32" s="1"/>
  <c r="V84" i="32"/>
  <c r="BJ84" i="32"/>
  <c r="BK79" i="32"/>
  <c r="BK83" i="32"/>
  <c r="BV83" i="32" s="1"/>
  <c r="AN90" i="32"/>
  <c r="AO94" i="32"/>
  <c r="AX107" i="32"/>
  <c r="AO98" i="32"/>
  <c r="BP98" i="32" s="1"/>
  <c r="BK101" i="32"/>
  <c r="BK105" i="32"/>
  <c r="AO110" i="32"/>
  <c r="BK114" i="32"/>
  <c r="BI120" i="32"/>
  <c r="AF121" i="32"/>
  <c r="W124" i="32"/>
  <c r="AG122" i="32"/>
  <c r="AT122" i="32" s="1"/>
  <c r="AN130" i="32"/>
  <c r="AE131" i="32"/>
  <c r="AP131" i="32" s="1"/>
  <c r="V137" i="32"/>
  <c r="BJ137" i="32"/>
  <c r="AO133" i="32"/>
  <c r="AQ134" i="32"/>
  <c r="BK135" i="32"/>
  <c r="BV135" i="32" s="1"/>
  <c r="AO138" i="32"/>
  <c r="AM144" i="32"/>
  <c r="AP141" i="32"/>
  <c r="BK142" i="32"/>
  <c r="AF147" i="32"/>
  <c r="W150" i="32"/>
  <c r="AP148" i="32"/>
  <c r="AO151" i="32"/>
  <c r="AM157" i="32"/>
  <c r="BK156" i="32"/>
  <c r="BV156" i="32" s="1"/>
  <c r="AN164" i="32"/>
  <c r="BK161" i="32"/>
  <c r="BV161" i="32" s="1"/>
  <c r="AO163" i="32"/>
  <c r="BP163" i="32" s="1"/>
  <c r="AF165" i="32"/>
  <c r="W171" i="32"/>
  <c r="BJ171" i="32"/>
  <c r="BK166" i="32"/>
  <c r="AO168" i="32"/>
  <c r="BP168" i="32" s="1"/>
  <c r="BK170" i="32"/>
  <c r="AO173" i="32"/>
  <c r="AQ174" i="32"/>
  <c r="AQ177" i="32"/>
  <c r="AE179" i="32"/>
  <c r="V182" i="32"/>
  <c r="BJ182" i="32"/>
  <c r="BK180" i="32"/>
  <c r="BV180" i="32" s="1"/>
  <c r="AO183" i="32"/>
  <c r="AN188" i="32"/>
  <c r="BJ195" i="32"/>
  <c r="BK193" i="32"/>
  <c r="BK198" i="32"/>
  <c r="AX205" i="32"/>
  <c r="AX214" i="32"/>
  <c r="AE215" i="32"/>
  <c r="V216" i="32"/>
  <c r="AX220" i="32"/>
  <c r="AE221" i="32"/>
  <c r="V227" i="32"/>
  <c r="BJ227" i="32"/>
  <c r="AO223" i="32"/>
  <c r="AG224" i="32"/>
  <c r="AS224" i="32" s="1"/>
  <c r="BK225" i="32"/>
  <c r="BV225" i="32" s="1"/>
  <c r="AF228" i="32"/>
  <c r="AF234" i="32" s="1"/>
  <c r="BK230" i="32"/>
  <c r="AX238" i="32"/>
  <c r="AO237" i="32"/>
  <c r="AF239" i="32"/>
  <c r="AF245" i="32" s="1"/>
  <c r="W245" i="32"/>
  <c r="AX249" i="32"/>
  <c r="AP253" i="32"/>
  <c r="AR253" i="32" s="1"/>
  <c r="BK254" i="32"/>
  <c r="AN263" i="32"/>
  <c r="AE264" i="32"/>
  <c r="AE270" i="32" s="1"/>
  <c r="V270" i="32"/>
  <c r="BK264" i="32"/>
  <c r="BI270" i="32"/>
  <c r="AO266" i="32"/>
  <c r="BK271" i="32"/>
  <c r="BV271" i="32" s="1"/>
  <c r="BI277" i="32"/>
  <c r="AO273" i="32"/>
  <c r="BK278" i="32"/>
  <c r="BI284" i="32"/>
  <c r="BK283" i="32"/>
  <c r="AX291" i="32"/>
  <c r="AG24" i="32"/>
  <c r="AQ57" i="32"/>
  <c r="AG70" i="32"/>
  <c r="AT82" i="32"/>
  <c r="AG99" i="32"/>
  <c r="AT99" i="32" s="1"/>
  <c r="AP99" i="32"/>
  <c r="AG30" i="32"/>
  <c r="AG55" i="32"/>
  <c r="AS55" i="32" s="1"/>
  <c r="AG67" i="32"/>
  <c r="AS67" i="32" s="1"/>
  <c r="AG79" i="32"/>
  <c r="AS166" i="32"/>
  <c r="AT166" i="32"/>
  <c r="AG21" i="32"/>
  <c r="AT25" i="32"/>
  <c r="AS25" i="32"/>
  <c r="AG15" i="32"/>
  <c r="AT15" i="32" s="1"/>
  <c r="BK18" i="32"/>
  <c r="BK21" i="32"/>
  <c r="BK24" i="32"/>
  <c r="BK30" i="32"/>
  <c r="BK56" i="32"/>
  <c r="AQ79" i="32"/>
  <c r="AT88" i="32"/>
  <c r="AP114" i="32"/>
  <c r="AO67" i="32"/>
  <c r="AO72" i="32"/>
  <c r="BP72" i="32" s="1"/>
  <c r="AG85" i="32"/>
  <c r="AO91" i="32"/>
  <c r="AO12" i="32"/>
  <c r="AO13" i="32" s="1"/>
  <c r="AO18" i="32"/>
  <c r="AQ20" i="32"/>
  <c r="AO21" i="32"/>
  <c r="AQ23" i="32"/>
  <c r="AO24" i="32"/>
  <c r="BP24" i="32" s="1"/>
  <c r="AQ26" i="32"/>
  <c r="AQ29" i="32"/>
  <c r="AO30" i="32"/>
  <c r="BK47" i="32"/>
  <c r="AO48" i="32"/>
  <c r="AO55" i="32"/>
  <c r="BP55" i="32" s="1"/>
  <c r="BK64" i="32"/>
  <c r="BV64" i="32" s="1"/>
  <c r="AO70" i="32"/>
  <c r="BK74" i="32"/>
  <c r="AO75" i="32"/>
  <c r="AO82" i="32"/>
  <c r="BK86" i="32"/>
  <c r="AO87" i="32"/>
  <c r="BK88" i="32"/>
  <c r="BV88" i="32" s="1"/>
  <c r="BK95" i="32"/>
  <c r="BV95" i="32" s="1"/>
  <c r="AO99" i="32"/>
  <c r="BK112" i="32"/>
  <c r="BV112" i="32" s="1"/>
  <c r="AP143" i="32"/>
  <c r="AO159" i="32"/>
  <c r="AG160" i="32"/>
  <c r="AQ34" i="32"/>
  <c r="AQ98" i="32"/>
  <c r="AQ104" i="32"/>
  <c r="AG73" i="32"/>
  <c r="AS73" i="32" s="1"/>
  <c r="BS73" i="32" s="1"/>
  <c r="AQ19" i="32"/>
  <c r="AO20" i="32"/>
  <c r="AO23" i="32"/>
  <c r="AQ25" i="32"/>
  <c r="AO26" i="32"/>
  <c r="AO29" i="32"/>
  <c r="AO32" i="32"/>
  <c r="BK38" i="32"/>
  <c r="BV38" i="32" s="1"/>
  <c r="AO46" i="32"/>
  <c r="AQ50" i="32"/>
  <c r="BK55" i="32"/>
  <c r="AO61" i="32"/>
  <c r="BP61" i="32" s="1"/>
  <c r="AQ62" i="32"/>
  <c r="AQ64" i="32"/>
  <c r="AO66" i="32"/>
  <c r="AO73" i="32"/>
  <c r="AO85" i="32"/>
  <c r="BK89" i="32"/>
  <c r="BK91" i="32"/>
  <c r="AQ95" i="32"/>
  <c r="AQ102" i="32"/>
  <c r="AO148" i="32"/>
  <c r="BP148" i="32" s="1"/>
  <c r="AG152" i="32"/>
  <c r="BK158" i="32"/>
  <c r="AR161" i="32"/>
  <c r="AG162" i="32"/>
  <c r="AQ181" i="32"/>
  <c r="AQ206" i="32"/>
  <c r="BK12" i="32"/>
  <c r="BK13" i="32" s="1"/>
  <c r="AO34" i="32"/>
  <c r="BK41" i="32"/>
  <c r="BK53" i="32"/>
  <c r="AQ60" i="32"/>
  <c r="BK68" i="32"/>
  <c r="BK70" i="32"/>
  <c r="BV70" i="32" s="1"/>
  <c r="AQ72" i="32"/>
  <c r="BK80" i="32"/>
  <c r="BK82" i="32"/>
  <c r="BV82" i="32" s="1"/>
  <c r="AQ89" i="32"/>
  <c r="AQ93" i="32"/>
  <c r="AO95" i="32"/>
  <c r="AO102" i="32"/>
  <c r="AO104" i="32"/>
  <c r="BP104" i="32" s="1"/>
  <c r="AG105" i="32"/>
  <c r="AO108" i="32"/>
  <c r="AO109" i="32" s="1"/>
  <c r="BK153" i="32"/>
  <c r="BK163" i="32"/>
  <c r="AS168" i="32"/>
  <c r="AT168" i="32"/>
  <c r="BK173" i="32"/>
  <c r="BK209" i="32"/>
  <c r="BV209" i="32" s="1"/>
  <c r="AQ231" i="32"/>
  <c r="BK262" i="32"/>
  <c r="BK279" i="32"/>
  <c r="BV279" i="32" s="1"/>
  <c r="AP111" i="32"/>
  <c r="AO129" i="32"/>
  <c r="AG142" i="32"/>
  <c r="AS142" i="32" s="1"/>
  <c r="AO143" i="32"/>
  <c r="AO185" i="32"/>
  <c r="BP185" i="32" s="1"/>
  <c r="AO187" i="32"/>
  <c r="AO200" i="32"/>
  <c r="AQ236" i="32"/>
  <c r="AO243" i="32"/>
  <c r="BK265" i="32"/>
  <c r="AO267" i="32"/>
  <c r="BP267" i="32" s="1"/>
  <c r="AO272" i="32"/>
  <c r="BP272" i="32" s="1"/>
  <c r="AO281" i="32"/>
  <c r="BP281" i="32" s="1"/>
  <c r="AO285" i="32"/>
  <c r="AO289" i="32"/>
  <c r="AQ123" i="32"/>
  <c r="AQ132" i="32"/>
  <c r="AO136" i="32"/>
  <c r="BP136" i="32" s="1"/>
  <c r="AG184" i="32"/>
  <c r="AT184" i="32" s="1"/>
  <c r="AG186" i="32"/>
  <c r="AT186" i="32" s="1"/>
  <c r="AP212" i="32"/>
  <c r="AO215" i="32"/>
  <c r="AO216" i="32" s="1"/>
  <c r="AO218" i="32"/>
  <c r="AO221" i="32"/>
  <c r="AO224" i="32"/>
  <c r="BK233" i="32"/>
  <c r="BV233" i="32" s="1"/>
  <c r="BK240" i="32"/>
  <c r="AO278" i="32"/>
  <c r="AO123" i="32"/>
  <c r="AO132" i="32"/>
  <c r="BP132" i="32" s="1"/>
  <c r="AQ139" i="32"/>
  <c r="AO140" i="32"/>
  <c r="AQ148" i="32"/>
  <c r="AP153" i="32"/>
  <c r="AO156" i="32"/>
  <c r="AP163" i="32"/>
  <c r="AP185" i="32"/>
  <c r="AR185" i="32" s="1"/>
  <c r="AP187" i="32"/>
  <c r="AR187" i="32" s="1"/>
  <c r="AO193" i="32"/>
  <c r="AO203" i="32"/>
  <c r="BP203" i="32" s="1"/>
  <c r="AO209" i="32"/>
  <c r="AP223" i="32"/>
  <c r="AP226" i="32"/>
  <c r="BK236" i="32"/>
  <c r="BV236" i="32" s="1"/>
  <c r="AP243" i="32"/>
  <c r="AO247" i="32"/>
  <c r="BK267" i="32"/>
  <c r="AO274" i="32"/>
  <c r="AQ288" i="32"/>
  <c r="BK289" i="32"/>
  <c r="BV289" i="32" s="1"/>
  <c r="AQ111" i="32"/>
  <c r="AQ115" i="32"/>
  <c r="AQ117" i="32"/>
  <c r="AQ126" i="32"/>
  <c r="AQ133" i="32"/>
  <c r="AQ135" i="32"/>
  <c r="AO166" i="32"/>
  <c r="AG194" i="32"/>
  <c r="AT194" i="32" s="1"/>
  <c r="AQ198" i="32"/>
  <c r="AO219" i="32"/>
  <c r="BP219" i="32" s="1"/>
  <c r="AO222" i="32"/>
  <c r="BP222" i="32" s="1"/>
  <c r="AO225" i="32"/>
  <c r="BP225" i="32" s="1"/>
  <c r="AQ230" i="32"/>
  <c r="AO253" i="32"/>
  <c r="BP253" i="32" s="1"/>
  <c r="AQ266" i="32"/>
  <c r="AQ276" i="32"/>
  <c r="AO283" i="32"/>
  <c r="AO287" i="32"/>
  <c r="AO111" i="32"/>
  <c r="AO117" i="32"/>
  <c r="AO126" i="32"/>
  <c r="BP126" i="32" s="1"/>
  <c r="AO135" i="32"/>
  <c r="BP135" i="32" s="1"/>
  <c r="AO141" i="32"/>
  <c r="BP141" i="32" s="1"/>
  <c r="AO160" i="32"/>
  <c r="AP177" i="32"/>
  <c r="AR177" i="32" s="1"/>
  <c r="AO179" i="32"/>
  <c r="AO192" i="32"/>
  <c r="BP192" i="32" s="1"/>
  <c r="AP203" i="32"/>
  <c r="AR203" i="32" s="1"/>
  <c r="BK215" i="32"/>
  <c r="BK216" i="32" s="1"/>
  <c r="BK218" i="32"/>
  <c r="BK221" i="32"/>
  <c r="AG223" i="32"/>
  <c r="AS223" i="32" s="1"/>
  <c r="BK224" i="32"/>
  <c r="AG226" i="32"/>
  <c r="AS226" i="32" s="1"/>
  <c r="AO231" i="32"/>
  <c r="BP231" i="32" s="1"/>
  <c r="BK232" i="32"/>
  <c r="BK239" i="32"/>
  <c r="BV239" i="32" s="1"/>
  <c r="AO257" i="32"/>
  <c r="BP257" i="32" s="1"/>
  <c r="AO259" i="32"/>
  <c r="AO265" i="32"/>
  <c r="BK274" i="32"/>
  <c r="BK282" i="32"/>
  <c r="BV282" i="32" s="1"/>
  <c r="BK286" i="32"/>
  <c r="BV286" i="32" s="1"/>
  <c r="BK290" i="32"/>
  <c r="BK31" i="31"/>
  <c r="BV31" i="31" s="1"/>
  <c r="BK50" i="31"/>
  <c r="BV50" i="31" s="1"/>
  <c r="AQ53" i="31"/>
  <c r="BK56" i="31"/>
  <c r="BK62" i="31"/>
  <c r="AQ65" i="31"/>
  <c r="BK68" i="31"/>
  <c r="AQ22" i="31"/>
  <c r="BK42" i="31"/>
  <c r="AO44" i="31"/>
  <c r="BK69" i="31"/>
  <c r="BV69" i="31" s="1"/>
  <c r="AO37" i="31"/>
  <c r="BP37" i="31" s="1"/>
  <c r="AQ51" i="31"/>
  <c r="AQ61" i="31"/>
  <c r="AQ63" i="31"/>
  <c r="AQ14" i="31"/>
  <c r="AQ17" i="31"/>
  <c r="AQ20" i="31"/>
  <c r="AO28" i="31"/>
  <c r="AO34" i="31"/>
  <c r="BK44" i="31"/>
  <c r="AQ46" i="31"/>
  <c r="AQ58" i="31"/>
  <c r="AQ70" i="31"/>
  <c r="AO31" i="31"/>
  <c r="BK33" i="31"/>
  <c r="AO35" i="31"/>
  <c r="BP35" i="31" s="1"/>
  <c r="BK37" i="31"/>
  <c r="BK41" i="31"/>
  <c r="AO46" i="31"/>
  <c r="BK49" i="31"/>
  <c r="BK55" i="31"/>
  <c r="BV55" i="31" s="1"/>
  <c r="AO58" i="31"/>
  <c r="BK61" i="31"/>
  <c r="AO70" i="31"/>
  <c r="BP70" i="31" s="1"/>
  <c r="BK26" i="30"/>
  <c r="AG32" i="30"/>
  <c r="AS32" i="30" s="1"/>
  <c r="AP33" i="30"/>
  <c r="BK63" i="30"/>
  <c r="BV63" i="30" s="1"/>
  <c r="BK79" i="30"/>
  <c r="BV79" i="30" s="1"/>
  <c r="BK83" i="30"/>
  <c r="BV83" i="30" s="1"/>
  <c r="AQ12" i="30"/>
  <c r="AO25" i="30"/>
  <c r="AQ29" i="30"/>
  <c r="AQ30" i="30" s="1"/>
  <c r="AO32" i="30"/>
  <c r="AO41" i="30"/>
  <c r="BP41" i="30" s="1"/>
  <c r="AQ42" i="30"/>
  <c r="AQ59" i="30"/>
  <c r="AQ74" i="30"/>
  <c r="BK95" i="30"/>
  <c r="BV95" i="30" s="1"/>
  <c r="AO33" i="30"/>
  <c r="BK36" i="30"/>
  <c r="AO39" i="30"/>
  <c r="BK47" i="30"/>
  <c r="AO59" i="30"/>
  <c r="AO74" i="30"/>
  <c r="BK84" i="30"/>
  <c r="BV84" i="30" s="1"/>
  <c r="BK96" i="30"/>
  <c r="BV96" i="30" s="1"/>
  <c r="BK13" i="30"/>
  <c r="BK16" i="30"/>
  <c r="BK17" i="30" s="1"/>
  <c r="BK19" i="30"/>
  <c r="BK22" i="30"/>
  <c r="BV22" i="30" s="1"/>
  <c r="BK25" i="30"/>
  <c r="BV25" i="30" s="1"/>
  <c r="BK32" i="30"/>
  <c r="AO35" i="30"/>
  <c r="BP35" i="30" s="1"/>
  <c r="AG36" i="30"/>
  <c r="AS36" i="30" s="1"/>
  <c r="BK38" i="30"/>
  <c r="BK41" i="30"/>
  <c r="BK45" i="30"/>
  <c r="BV45" i="30" s="1"/>
  <c r="AO50" i="30"/>
  <c r="BP50" i="30" s="1"/>
  <c r="AO53" i="30"/>
  <c r="BK62" i="30"/>
  <c r="BK89" i="30"/>
  <c r="BV89" i="30" s="1"/>
  <c r="AO18" i="30"/>
  <c r="AO21" i="30"/>
  <c r="AO24" i="30"/>
  <c r="AO27" i="30"/>
  <c r="AQ32" i="30"/>
  <c r="AQ34" i="30"/>
  <c r="AQ36" i="30"/>
  <c r="AO43" i="30"/>
  <c r="BP43" i="30" s="1"/>
  <c r="AO46" i="30"/>
  <c r="BP46" i="30" s="1"/>
  <c r="AO49" i="30"/>
  <c r="AO52" i="30"/>
  <c r="BP52" i="30" s="1"/>
  <c r="AO55" i="30"/>
  <c r="AO58" i="30"/>
  <c r="BP58" i="30" s="1"/>
  <c r="AO64" i="30"/>
  <c r="BP64" i="30" s="1"/>
  <c r="AO70" i="30"/>
  <c r="BP70" i="30" s="1"/>
  <c r="AO97" i="30"/>
  <c r="AG33" i="30"/>
  <c r="AS33" i="30" s="1"/>
  <c r="AP34" i="30"/>
  <c r="AG35" i="30"/>
  <c r="AS35" i="30" s="1"/>
  <c r="AP36" i="30"/>
  <c r="AP38" i="30"/>
  <c r="AG39" i="30"/>
  <c r="AS39" i="30" s="1"/>
  <c r="AP40" i="30"/>
  <c r="AT40" i="30"/>
  <c r="BK69" i="30"/>
  <c r="BV69" i="30" s="1"/>
  <c r="AO72" i="30"/>
  <c r="AO82" i="30"/>
  <c r="AO88" i="30"/>
  <c r="BP88" i="30" s="1"/>
  <c r="AO94" i="30"/>
  <c r="AO13" i="30"/>
  <c r="BP13" i="30" s="1"/>
  <c r="AO16" i="30"/>
  <c r="AO17" i="30" s="1"/>
  <c r="AO19" i="30"/>
  <c r="BP19" i="30" s="1"/>
  <c r="AO62" i="30"/>
  <c r="AQ83" i="30"/>
  <c r="AQ89" i="30"/>
  <c r="BK90" i="30"/>
  <c r="AO12" i="30"/>
  <c r="AQ14" i="30"/>
  <c r="BK18" i="30"/>
  <c r="AQ20" i="30"/>
  <c r="BK21" i="30"/>
  <c r="BK24" i="30"/>
  <c r="AQ26" i="30"/>
  <c r="BK27" i="30"/>
  <c r="AQ33" i="30"/>
  <c r="AQ35" i="30"/>
  <c r="AQ39" i="30"/>
  <c r="BK40" i="30"/>
  <c r="BV40" i="30" s="1"/>
  <c r="BK43" i="30"/>
  <c r="BK46" i="30"/>
  <c r="BK49" i="30"/>
  <c r="AQ51" i="30"/>
  <c r="BK52" i="30"/>
  <c r="BK55" i="30"/>
  <c r="BK58" i="30"/>
  <c r="AQ63" i="30"/>
  <c r="BK64" i="30"/>
  <c r="AQ66" i="30"/>
  <c r="BK67" i="30"/>
  <c r="AG70" i="30"/>
  <c r="AT70" i="30" s="1"/>
  <c r="AO73" i="30"/>
  <c r="BP73" i="30" s="1"/>
  <c r="AO76" i="30"/>
  <c r="BP76" i="30" s="1"/>
  <c r="BK78" i="30"/>
  <c r="BV78" i="30" s="1"/>
  <c r="AO86" i="30"/>
  <c r="AO14" i="30"/>
  <c r="AO20" i="30"/>
  <c r="AO26" i="30"/>
  <c r="BP26" i="30" s="1"/>
  <c r="AO29" i="30"/>
  <c r="AO30" i="30" s="1"/>
  <c r="AO42" i="30"/>
  <c r="AO45" i="30"/>
  <c r="AO51" i="30"/>
  <c r="BP51" i="30" s="1"/>
  <c r="AO57" i="30"/>
  <c r="BP57" i="30" s="1"/>
  <c r="AO60" i="30"/>
  <c r="AO63" i="30"/>
  <c r="AO66" i="30"/>
  <c r="AO69" i="30"/>
  <c r="BP69" i="30" s="1"/>
  <c r="BK72" i="30"/>
  <c r="BK82" i="30"/>
  <c r="BK88" i="30"/>
  <c r="BK91" i="30"/>
  <c r="BK94" i="30"/>
  <c r="AG27" i="29"/>
  <c r="AT27" i="29" s="1"/>
  <c r="AP27" i="29"/>
  <c r="AG31" i="29"/>
  <c r="AT31" i="29" s="1"/>
  <c r="AP31" i="29"/>
  <c r="AR31" i="29" s="1"/>
  <c r="AG28" i="29"/>
  <c r="AS28" i="29" s="1"/>
  <c r="AP30" i="29"/>
  <c r="AP54" i="29"/>
  <c r="AG54" i="29"/>
  <c r="AG146" i="29"/>
  <c r="AT146" i="29" s="1"/>
  <c r="AQ146" i="29"/>
  <c r="AG163" i="29"/>
  <c r="BK19" i="29"/>
  <c r="BV19" i="29" s="1"/>
  <c r="AQ24" i="29"/>
  <c r="BK24" i="29"/>
  <c r="BV24" i="29" s="1"/>
  <c r="AP28" i="29"/>
  <c r="BK31" i="29"/>
  <c r="AQ34" i="29"/>
  <c r="BK34" i="29"/>
  <c r="BK37" i="29"/>
  <c r="AG154" i="29"/>
  <c r="AG161" i="29"/>
  <c r="AS161" i="29" s="1"/>
  <c r="AQ161" i="29"/>
  <c r="AR161" i="29" s="1"/>
  <c r="AQ22" i="29"/>
  <c r="AP23" i="29"/>
  <c r="AQ27" i="29"/>
  <c r="AO31" i="29"/>
  <c r="BP31" i="29" s="1"/>
  <c r="AG62" i="29"/>
  <c r="AS62" i="29" s="1"/>
  <c r="AP62" i="29"/>
  <c r="AQ143" i="29"/>
  <c r="BK158" i="29"/>
  <c r="AG15" i="29"/>
  <c r="AT15" i="29" s="1"/>
  <c r="AP18" i="29"/>
  <c r="AQ20" i="29"/>
  <c r="AR20" i="29" s="1"/>
  <c r="AP24" i="29"/>
  <c r="AO34" i="29"/>
  <c r="AQ35" i="29"/>
  <c r="AO37" i="29"/>
  <c r="AQ38" i="29"/>
  <c r="BK118" i="29"/>
  <c r="AP128" i="29"/>
  <c r="AG119" i="29"/>
  <c r="AT119" i="29" s="1"/>
  <c r="AP119" i="29"/>
  <c r="AR119" i="29" s="1"/>
  <c r="BK12" i="29"/>
  <c r="BK13" i="29" s="1"/>
  <c r="AO14" i="29"/>
  <c r="AO27" i="29"/>
  <c r="BK109" i="29"/>
  <c r="AG125" i="29"/>
  <c r="AS125" i="29" s="1"/>
  <c r="AP125" i="29"/>
  <c r="AG131" i="29"/>
  <c r="AT131" i="29" s="1"/>
  <c r="AG145" i="29"/>
  <c r="AS145" i="29" s="1"/>
  <c r="AG152" i="29"/>
  <c r="AS152" i="29" s="1"/>
  <c r="AQ152" i="29"/>
  <c r="AG158" i="29"/>
  <c r="AT158" i="29" s="1"/>
  <c r="AQ158" i="29"/>
  <c r="AP50" i="29"/>
  <c r="BK65" i="29"/>
  <c r="AG106" i="29"/>
  <c r="AT106" i="29" s="1"/>
  <c r="AO158" i="29"/>
  <c r="AO172" i="29"/>
  <c r="BP172" i="29" s="1"/>
  <c r="AO176" i="29"/>
  <c r="AO179" i="29" s="1"/>
  <c r="AO181" i="29"/>
  <c r="AO189" i="29"/>
  <c r="BP189" i="29" s="1"/>
  <c r="AO193" i="29"/>
  <c r="AG65" i="29"/>
  <c r="AT65" i="29" s="1"/>
  <c r="AP110" i="29"/>
  <c r="AR110" i="29" s="1"/>
  <c r="BK111" i="29"/>
  <c r="BK73" i="29"/>
  <c r="AQ111" i="29"/>
  <c r="AO147" i="29"/>
  <c r="AO150" i="29"/>
  <c r="AQ167" i="29"/>
  <c r="AO41" i="29"/>
  <c r="BK45" i="29"/>
  <c r="AQ50" i="29"/>
  <c r="AQ105" i="29"/>
  <c r="AO153" i="29"/>
  <c r="AO160" i="29"/>
  <c r="BP160" i="29" s="1"/>
  <c r="AO174" i="29"/>
  <c r="AO183" i="29"/>
  <c r="AO187" i="29"/>
  <c r="AO191" i="29"/>
  <c r="BK55" i="29"/>
  <c r="AG69" i="29"/>
  <c r="AT69" i="29" s="1"/>
  <c r="AG104" i="29"/>
  <c r="AT104" i="29" s="1"/>
  <c r="BK104" i="29"/>
  <c r="BK113" i="29"/>
  <c r="BV113" i="29" s="1"/>
  <c r="AO123" i="29"/>
  <c r="BP123" i="29" s="1"/>
  <c r="BK135" i="29"/>
  <c r="AO146" i="29"/>
  <c r="AG151" i="29"/>
  <c r="AT151" i="29" s="1"/>
  <c r="AO152" i="29"/>
  <c r="BK162" i="29"/>
  <c r="AO165" i="29"/>
  <c r="BK169" i="29"/>
  <c r="BK173" i="29"/>
  <c r="BK178" i="29"/>
  <c r="BK182" i="29"/>
  <c r="BK186" i="29"/>
  <c r="BK190" i="29"/>
  <c r="BK194" i="29"/>
  <c r="AQ83" i="44"/>
  <c r="AG83" i="44"/>
  <c r="AT83" i="44" s="1"/>
  <c r="AP68" i="44"/>
  <c r="AR68" i="44" s="1"/>
  <c r="AG68" i="44"/>
  <c r="AT90" i="44"/>
  <c r="AS90" i="44"/>
  <c r="AP59" i="44"/>
  <c r="AR59" i="44" s="1"/>
  <c r="AG59" i="44"/>
  <c r="AQ96" i="44"/>
  <c r="AG96" i="44"/>
  <c r="AQ85" i="44"/>
  <c r="AQ88" i="44" s="1"/>
  <c r="AP16" i="44"/>
  <c r="AP22" i="44"/>
  <c r="AP25" i="44"/>
  <c r="AP31" i="44"/>
  <c r="AP34" i="44"/>
  <c r="AP37" i="44"/>
  <c r="AP44" i="44"/>
  <c r="AP47" i="44"/>
  <c r="AG50" i="44"/>
  <c r="BK58" i="44"/>
  <c r="AP73" i="44"/>
  <c r="AR73" i="44" s="1"/>
  <c r="AQ91" i="44"/>
  <c r="BK105" i="44"/>
  <c r="AO119" i="44"/>
  <c r="AO122" i="44"/>
  <c r="AO125" i="44"/>
  <c r="AP14" i="44"/>
  <c r="AR14" i="44" s="1"/>
  <c r="AP20" i="44"/>
  <c r="AP26" i="44"/>
  <c r="AP32" i="44"/>
  <c r="AP38" i="44"/>
  <c r="AR38" i="44" s="1"/>
  <c r="AP40" i="44"/>
  <c r="AQ47" i="44"/>
  <c r="BK62" i="44"/>
  <c r="AO75" i="44"/>
  <c r="AO78" i="44"/>
  <c r="BK79" i="44"/>
  <c r="AP83" i="44"/>
  <c r="BK85" i="44"/>
  <c r="AP87" i="44"/>
  <c r="AR87" i="44" s="1"/>
  <c r="AP95" i="44"/>
  <c r="BK101" i="44"/>
  <c r="BK103" i="44"/>
  <c r="BK104" i="44" s="1"/>
  <c r="AO109" i="44"/>
  <c r="BK115" i="44"/>
  <c r="BK118" i="44"/>
  <c r="BK124" i="44"/>
  <c r="BK127" i="44"/>
  <c r="AO12" i="44"/>
  <c r="AO13" i="44" s="1"/>
  <c r="AP17" i="44"/>
  <c r="AP23" i="44"/>
  <c r="AP29" i="44"/>
  <c r="AQ53" i="44"/>
  <c r="AR53" i="44" s="1"/>
  <c r="AP72" i="44"/>
  <c r="AG81" i="44"/>
  <c r="AP106" i="44"/>
  <c r="AR106" i="44" s="1"/>
  <c r="AG67" i="44"/>
  <c r="AT67" i="44" s="1"/>
  <c r="AG78" i="44"/>
  <c r="AO25" i="44"/>
  <c r="AO31" i="44"/>
  <c r="AO37" i="44"/>
  <c r="BK55" i="44"/>
  <c r="AQ57" i="44"/>
  <c r="AO58" i="44"/>
  <c r="AO69" i="44"/>
  <c r="AO73" i="44"/>
  <c r="BK75" i="44"/>
  <c r="AG86" i="44"/>
  <c r="AS86" i="44" s="1"/>
  <c r="BK95" i="44"/>
  <c r="BK106" i="44"/>
  <c r="BK125" i="44"/>
  <c r="BK15" i="44"/>
  <c r="BK18" i="44"/>
  <c r="BK21" i="44"/>
  <c r="BK24" i="44"/>
  <c r="BK27" i="44"/>
  <c r="BK30" i="44"/>
  <c r="BK33" i="44"/>
  <c r="BK36" i="44"/>
  <c r="AQ50" i="44"/>
  <c r="BK61" i="44"/>
  <c r="BK68" i="44"/>
  <c r="BK76" i="44"/>
  <c r="AO79" i="44"/>
  <c r="AO81" i="44"/>
  <c r="AO85" i="44"/>
  <c r="BK87" i="44"/>
  <c r="AO93" i="44"/>
  <c r="AG95" i="44"/>
  <c r="AT95" i="44" s="1"/>
  <c r="AG97" i="44"/>
  <c r="AS97" i="44" s="1"/>
  <c r="BK97" i="44"/>
  <c r="AO101" i="44"/>
  <c r="AO108" i="44"/>
  <c r="BK111" i="44"/>
  <c r="BK112" i="44" s="1"/>
  <c r="AO115" i="44"/>
  <c r="AO127" i="44"/>
  <c r="AG381" i="43"/>
  <c r="AG375" i="43"/>
  <c r="AT357" i="43"/>
  <c r="AP446" i="43"/>
  <c r="AG446" i="43"/>
  <c r="AT446" i="43" s="1"/>
  <c r="AQ434" i="43"/>
  <c r="AP429" i="43"/>
  <c r="AG429" i="43"/>
  <c r="AP411" i="43"/>
  <c r="AR411" i="43" s="1"/>
  <c r="AG411" i="43"/>
  <c r="AQ406" i="43"/>
  <c r="BK390" i="43"/>
  <c r="AG369" i="43"/>
  <c r="AG366" i="43"/>
  <c r="AT366" i="43" s="1"/>
  <c r="AP257" i="43"/>
  <c r="AG257" i="43"/>
  <c r="AS257" i="43" s="1"/>
  <c r="BK442" i="43"/>
  <c r="AP434" i="43"/>
  <c r="AG434" i="43"/>
  <c r="AT434" i="43" s="1"/>
  <c r="AO408" i="43"/>
  <c r="AQ405" i="43"/>
  <c r="BK399" i="43"/>
  <c r="AQ389" i="43"/>
  <c r="AQ371" i="43"/>
  <c r="BK366" i="43"/>
  <c r="AG355" i="43"/>
  <c r="AG342" i="43"/>
  <c r="AS342" i="43" s="1"/>
  <c r="AQ342" i="43"/>
  <c r="AG288" i="43"/>
  <c r="AS288" i="43" s="1"/>
  <c r="AQ288" i="43"/>
  <c r="AQ381" i="43"/>
  <c r="AQ375" i="43"/>
  <c r="AG447" i="43"/>
  <c r="AP441" i="43"/>
  <c r="AG441" i="43"/>
  <c r="BK436" i="43"/>
  <c r="AP428" i="43"/>
  <c r="AG428" i="43"/>
  <c r="AT428" i="43" s="1"/>
  <c r="AG425" i="43"/>
  <c r="AS425" i="43" s="1"/>
  <c r="BK405" i="43"/>
  <c r="AG404" i="43"/>
  <c r="AT404" i="43" s="1"/>
  <c r="AG394" i="43"/>
  <c r="AS394" i="43" s="1"/>
  <c r="AQ369" i="43"/>
  <c r="AG337" i="43"/>
  <c r="AS337" i="43" s="1"/>
  <c r="AO342" i="43"/>
  <c r="AO344" i="43"/>
  <c r="AG242" i="43"/>
  <c r="AT242" i="43" s="1"/>
  <c r="AP242" i="43"/>
  <c r="AR242" i="43" s="1"/>
  <c r="BK439" i="43"/>
  <c r="BK433" i="43"/>
  <c r="BK424" i="43"/>
  <c r="AQ413" i="43"/>
  <c r="AO411" i="43"/>
  <c r="AG407" i="43"/>
  <c r="AS407" i="43" s="1"/>
  <c r="AG390" i="43"/>
  <c r="AT390" i="43" s="1"/>
  <c r="BK388" i="43"/>
  <c r="AG388" i="43"/>
  <c r="AS388" i="43" s="1"/>
  <c r="BK386" i="43"/>
  <c r="BK384" i="43"/>
  <c r="BK382" i="43"/>
  <c r="BK380" i="43"/>
  <c r="AO379" i="43"/>
  <c r="BK374" i="43"/>
  <c r="AO373" i="43"/>
  <c r="BK370" i="43"/>
  <c r="BK368" i="43"/>
  <c r="AO367" i="43"/>
  <c r="BK364" i="43"/>
  <c r="BK362" i="43"/>
  <c r="AO361" i="43"/>
  <c r="BK358" i="43"/>
  <c r="BK356" i="43"/>
  <c r="AO348" i="43"/>
  <c r="AO346" i="43"/>
  <c r="AG345" i="43"/>
  <c r="AS345" i="43" s="1"/>
  <c r="BK342" i="43"/>
  <c r="BK340" i="43"/>
  <c r="BK288" i="43"/>
  <c r="BK281" i="43"/>
  <c r="BK272" i="43"/>
  <c r="AP253" i="43"/>
  <c r="AG253" i="43"/>
  <c r="AS253" i="43" s="1"/>
  <c r="AG232" i="43"/>
  <c r="AT232" i="43" s="1"/>
  <c r="AQ231" i="43"/>
  <c r="AG163" i="43"/>
  <c r="AS163" i="43" s="1"/>
  <c r="AP163" i="43"/>
  <c r="AP102" i="43"/>
  <c r="AG102" i="43"/>
  <c r="AG341" i="43"/>
  <c r="AS341" i="43" s="1"/>
  <c r="AS302" i="43"/>
  <c r="AT302" i="43"/>
  <c r="AP184" i="43"/>
  <c r="AG184" i="43"/>
  <c r="AS184" i="43" s="1"/>
  <c r="AQ447" i="43"/>
  <c r="BK427" i="43"/>
  <c r="AO414" i="43"/>
  <c r="AQ398" i="43"/>
  <c r="AP390" i="43"/>
  <c r="AQ383" i="43"/>
  <c r="AG351" i="43"/>
  <c r="AS351" i="43" s="1"/>
  <c r="AG349" i="43"/>
  <c r="AG270" i="43"/>
  <c r="AS270" i="43" s="1"/>
  <c r="AQ270" i="43"/>
  <c r="AP243" i="43"/>
  <c r="AG243" i="43"/>
  <c r="AT243" i="43" s="1"/>
  <c r="AG225" i="43"/>
  <c r="AP78" i="43"/>
  <c r="AO447" i="43"/>
  <c r="AG419" i="43"/>
  <c r="AT419" i="43" s="1"/>
  <c r="AP404" i="43"/>
  <c r="AG400" i="43"/>
  <c r="AT400" i="43" s="1"/>
  <c r="BK398" i="43"/>
  <c r="BK367" i="43"/>
  <c r="BK361" i="43"/>
  <c r="BK348" i="43"/>
  <c r="AO343" i="43"/>
  <c r="AQ289" i="43"/>
  <c r="AQ286" i="43"/>
  <c r="AQ273" i="43"/>
  <c r="AQ257" i="43"/>
  <c r="AP232" i="43"/>
  <c r="AP231" i="43"/>
  <c r="AG231" i="43"/>
  <c r="AT231" i="43" s="1"/>
  <c r="AP178" i="43"/>
  <c r="AG343" i="43"/>
  <c r="AS343" i="43" s="1"/>
  <c r="AG443" i="43"/>
  <c r="AT443" i="43" s="1"/>
  <c r="BK432" i="43"/>
  <c r="BK414" i="43"/>
  <c r="BK396" i="43"/>
  <c r="AO382" i="43"/>
  <c r="BK371" i="43"/>
  <c r="AO354" i="43"/>
  <c r="AG247" i="43"/>
  <c r="AS247" i="43" s="1"/>
  <c r="AQ226" i="43"/>
  <c r="AO320" i="43"/>
  <c r="BK315" i="43"/>
  <c r="AO310" i="43"/>
  <c r="AO306" i="43"/>
  <c r="BK299" i="43"/>
  <c r="BK300" i="43" s="1"/>
  <c r="AQ296" i="43"/>
  <c r="AQ287" i="43"/>
  <c r="BK259" i="43"/>
  <c r="BK260" i="43" s="1"/>
  <c r="AO257" i="43"/>
  <c r="AG254" i="43"/>
  <c r="AO253" i="43"/>
  <c r="AP249" i="43"/>
  <c r="AG249" i="43"/>
  <c r="AS249" i="43" s="1"/>
  <c r="AG237" i="43"/>
  <c r="AT237" i="43" s="1"/>
  <c r="AO229" i="43"/>
  <c r="AO226" i="43"/>
  <c r="AO212" i="43"/>
  <c r="BK211" i="43"/>
  <c r="AG210" i="43"/>
  <c r="BK207" i="43"/>
  <c r="AG207" i="43"/>
  <c r="BK204" i="43"/>
  <c r="AG201" i="43"/>
  <c r="AO198" i="43"/>
  <c r="AP143" i="43"/>
  <c r="AO143" i="43"/>
  <c r="BK142" i="43"/>
  <c r="AO128" i="43"/>
  <c r="BK119" i="43"/>
  <c r="BK25" i="43"/>
  <c r="AQ306" i="43"/>
  <c r="BK247" i="43"/>
  <c r="AP237" i="43"/>
  <c r="AG230" i="43"/>
  <c r="AS230" i="43" s="1"/>
  <c r="BK226" i="43"/>
  <c r="AQ222" i="43"/>
  <c r="BK213" i="43"/>
  <c r="AQ212" i="43"/>
  <c r="AP210" i="43"/>
  <c r="BK203" i="43"/>
  <c r="AQ198" i="43"/>
  <c r="AQ195" i="43"/>
  <c r="BK194" i="43"/>
  <c r="BK190" i="43"/>
  <c r="AQ187" i="43"/>
  <c r="BK183" i="43"/>
  <c r="BK181" i="43"/>
  <c r="BK177" i="43"/>
  <c r="AQ175" i="43"/>
  <c r="BK171" i="43"/>
  <c r="BK166" i="43"/>
  <c r="BK151" i="43"/>
  <c r="AG146" i="43"/>
  <c r="AS146" i="43" s="1"/>
  <c r="BK140" i="43"/>
  <c r="AG132" i="43"/>
  <c r="AG126" i="43"/>
  <c r="AP110" i="43"/>
  <c r="AG329" i="43"/>
  <c r="AS329" i="43" s="1"/>
  <c r="AQ310" i="43"/>
  <c r="AQ281" i="43"/>
  <c r="AQ272" i="43"/>
  <c r="BK253" i="43"/>
  <c r="AO235" i="43"/>
  <c r="AQ225" i="43"/>
  <c r="AQ223" i="43"/>
  <c r="BK209" i="43"/>
  <c r="AQ207" i="43"/>
  <c r="AO186" i="43"/>
  <c r="AO167" i="43"/>
  <c r="AQ163" i="43"/>
  <c r="AP161" i="43"/>
  <c r="AG161" i="43"/>
  <c r="AS161" i="43" s="1"/>
  <c r="AQ158" i="43"/>
  <c r="AO148" i="43"/>
  <c r="AG36" i="43"/>
  <c r="AT36" i="43" s="1"/>
  <c r="AP36" i="43"/>
  <c r="AG333" i="43"/>
  <c r="AS333" i="43" s="1"/>
  <c r="AG332" i="43"/>
  <c r="AS332" i="43" s="1"/>
  <c r="AG294" i="43"/>
  <c r="AS294" i="43" s="1"/>
  <c r="AG292" i="43"/>
  <c r="AS292" i="43" s="1"/>
  <c r="AG276" i="43"/>
  <c r="AS276" i="43" s="1"/>
  <c r="BK242" i="43"/>
  <c r="AP230" i="43"/>
  <c r="AO214" i="43"/>
  <c r="AQ186" i="43"/>
  <c r="BK168" i="43"/>
  <c r="AP155" i="43"/>
  <c r="AP131" i="43"/>
  <c r="AO131" i="43"/>
  <c r="AG130" i="43"/>
  <c r="AT130" i="43" s="1"/>
  <c r="AP126" i="43"/>
  <c r="AR126" i="43" s="1"/>
  <c r="AQ42" i="43"/>
  <c r="AP30" i="43"/>
  <c r="BK332" i="43"/>
  <c r="BK323" i="43"/>
  <c r="AQ320" i="43"/>
  <c r="BK316" i="43"/>
  <c r="AG304" i="43"/>
  <c r="AS304" i="43" s="1"/>
  <c r="AQ293" i="43"/>
  <c r="AQ284" i="43"/>
  <c r="AQ282" i="43"/>
  <c r="AQ280" i="43"/>
  <c r="AQ275" i="43"/>
  <c r="AQ266" i="43"/>
  <c r="BK262" i="43"/>
  <c r="AG255" i="43"/>
  <c r="AT255" i="43" s="1"/>
  <c r="AO247" i="43"/>
  <c r="BK246" i="43"/>
  <c r="BK243" i="43"/>
  <c r="AG224" i="43"/>
  <c r="AG219" i="43"/>
  <c r="AQ218" i="43"/>
  <c r="BK205" i="43"/>
  <c r="AP205" i="43"/>
  <c r="BK195" i="43"/>
  <c r="AO194" i="43"/>
  <c r="BK193" i="43"/>
  <c r="BK191" i="43"/>
  <c r="AO190" i="43"/>
  <c r="AO166" i="43"/>
  <c r="AG152" i="43"/>
  <c r="AT152" i="43" s="1"/>
  <c r="AO149" i="43"/>
  <c r="AQ90" i="43"/>
  <c r="AG90" i="43"/>
  <c r="AS90" i="43" s="1"/>
  <c r="AG42" i="43"/>
  <c r="AT42" i="43" s="1"/>
  <c r="AP42" i="43"/>
  <c r="BK252" i="43"/>
  <c r="BK241" i="43"/>
  <c r="BK238" i="43"/>
  <c r="AO232" i="43"/>
  <c r="BK230" i="43"/>
  <c r="BK223" i="43"/>
  <c r="AO222" i="43"/>
  <c r="AQ219" i="43"/>
  <c r="BK218" i="43"/>
  <c r="AQ213" i="43"/>
  <c r="BK212" i="43"/>
  <c r="AO210" i="43"/>
  <c r="AQ201" i="43"/>
  <c r="BK200" i="43"/>
  <c r="AG192" i="43"/>
  <c r="AT192" i="43" s="1"/>
  <c r="AQ184" i="43"/>
  <c r="BK180" i="43"/>
  <c r="AQ178" i="43"/>
  <c r="BK174" i="43"/>
  <c r="BK172" i="43"/>
  <c r="AQ172" i="43"/>
  <c r="AG168" i="43"/>
  <c r="AS168" i="43" s="1"/>
  <c r="AG162" i="43"/>
  <c r="BK145" i="43"/>
  <c r="AQ144" i="43"/>
  <c r="AO142" i="43"/>
  <c r="AP137" i="43"/>
  <c r="BK136" i="43"/>
  <c r="BK125" i="43"/>
  <c r="AQ124" i="43"/>
  <c r="BK120" i="43"/>
  <c r="BK113" i="43"/>
  <c r="BK108" i="43"/>
  <c r="BK103" i="43"/>
  <c r="BK87" i="43"/>
  <c r="AG87" i="43"/>
  <c r="AS87" i="43" s="1"/>
  <c r="AG83" i="43"/>
  <c r="BK79" i="43"/>
  <c r="BK74" i="43"/>
  <c r="BK72" i="43"/>
  <c r="BK70" i="43"/>
  <c r="AO69" i="43"/>
  <c r="AO67" i="43"/>
  <c r="AG66" i="43"/>
  <c r="AS66" i="43" s="1"/>
  <c r="AG62" i="43"/>
  <c r="AS62" i="43" s="1"/>
  <c r="BK55" i="43"/>
  <c r="BK52" i="43"/>
  <c r="BK49" i="43"/>
  <c r="BK46" i="43"/>
  <c r="AQ45" i="43"/>
  <c r="AO40" i="43"/>
  <c r="AO38" i="43"/>
  <c r="AO32" i="43"/>
  <c r="BK29" i="43"/>
  <c r="AO26" i="43"/>
  <c r="AO129" i="43"/>
  <c r="AQ117" i="43"/>
  <c r="AO102" i="43"/>
  <c r="BK82" i="43"/>
  <c r="AG74" i="43"/>
  <c r="AT74" i="43" s="1"/>
  <c r="BK65" i="43"/>
  <c r="BK63" i="43"/>
  <c r="BK61" i="43"/>
  <c r="BK59" i="43"/>
  <c r="AO58" i="43"/>
  <c r="AO42" i="43"/>
  <c r="AQ40" i="43"/>
  <c r="AQ38" i="43"/>
  <c r="AR38" i="43" s="1"/>
  <c r="AQ32" i="43"/>
  <c r="BK26" i="43"/>
  <c r="AQ26" i="43"/>
  <c r="AQ132" i="43"/>
  <c r="AP89" i="43"/>
  <c r="AP74" i="43"/>
  <c r="AO62" i="43"/>
  <c r="AQ138" i="43"/>
  <c r="AO135" i="43"/>
  <c r="BK110" i="43"/>
  <c r="AQ106" i="43"/>
  <c r="AQ89" i="43"/>
  <c r="BK78" i="43"/>
  <c r="AO70" i="43"/>
  <c r="BK54" i="43"/>
  <c r="BK51" i="43"/>
  <c r="BK48" i="43"/>
  <c r="BK45" i="43"/>
  <c r="AQ36" i="43"/>
  <c r="AQ30" i="43"/>
  <c r="AO29" i="43"/>
  <c r="AQ23" i="43"/>
  <c r="AQ21" i="43"/>
  <c r="AQ19" i="43"/>
  <c r="AQ17" i="43"/>
  <c r="AQ15" i="43"/>
  <c r="AQ43" i="44"/>
  <c r="AG46" i="44"/>
  <c r="AQ46" i="44"/>
  <c r="AG25" i="44"/>
  <c r="AQ25" i="44"/>
  <c r="AG31" i="44"/>
  <c r="AQ31" i="44"/>
  <c r="AR31" i="44" s="1"/>
  <c r="AQ37" i="44"/>
  <c r="AG37" i="44"/>
  <c r="AG44" i="44"/>
  <c r="AQ44" i="44"/>
  <c r="AT39" i="44"/>
  <c r="AS39" i="44"/>
  <c r="AQ17" i="44"/>
  <c r="AG17" i="44"/>
  <c r="AQ23" i="44"/>
  <c r="AG23" i="44"/>
  <c r="AQ29" i="44"/>
  <c r="AG29" i="44"/>
  <c r="AG45" i="44"/>
  <c r="AQ45" i="44"/>
  <c r="AR45" i="44" s="1"/>
  <c r="AS27" i="44"/>
  <c r="AT27" i="44"/>
  <c r="AT41" i="44"/>
  <c r="AS41" i="44"/>
  <c r="BK16" i="44"/>
  <c r="AG18" i="44"/>
  <c r="BK22" i="44"/>
  <c r="AG24" i="44"/>
  <c r="AG30" i="44"/>
  <c r="BK34" i="44"/>
  <c r="AQ51" i="44"/>
  <c r="AG55" i="44"/>
  <c r="AP58" i="44"/>
  <c r="AQ60" i="44"/>
  <c r="AG65" i="44"/>
  <c r="AP67" i="44"/>
  <c r="AQ69" i="44"/>
  <c r="AG51" i="44"/>
  <c r="AP51" i="44"/>
  <c r="AG76" i="44"/>
  <c r="AQ76" i="44"/>
  <c r="AG117" i="44"/>
  <c r="AP117" i="44"/>
  <c r="AQ15" i="44"/>
  <c r="BK17" i="44"/>
  <c r="AQ21" i="44"/>
  <c r="BK23" i="44"/>
  <c r="AQ27" i="44"/>
  <c r="BK29" i="44"/>
  <c r="AQ33" i="44"/>
  <c r="AQ39" i="44"/>
  <c r="AQ40" i="44"/>
  <c r="AQ41" i="44"/>
  <c r="AG54" i="44"/>
  <c r="AP54" i="44"/>
  <c r="AP75" i="44"/>
  <c r="AG75" i="44"/>
  <c r="AP94" i="44"/>
  <c r="AG94" i="44"/>
  <c r="AG14" i="44"/>
  <c r="AG20" i="44"/>
  <c r="AG26" i="44"/>
  <c r="AG32" i="44"/>
  <c r="AG38" i="44"/>
  <c r="AQ48" i="44"/>
  <c r="AR48" i="44" s="1"/>
  <c r="AS58" i="44"/>
  <c r="AT58" i="44"/>
  <c r="AR61" i="44"/>
  <c r="AG79" i="44"/>
  <c r="AP79" i="44"/>
  <c r="AP82" i="44"/>
  <c r="AR82" i="44" s="1"/>
  <c r="AG82" i="44"/>
  <c r="AG93" i="44"/>
  <c r="AP93" i="44"/>
  <c r="AG60" i="44"/>
  <c r="AP60" i="44"/>
  <c r="AG69" i="44"/>
  <c r="AP69" i="44"/>
  <c r="AG123" i="44"/>
  <c r="AP123" i="44"/>
  <c r="AG48" i="44"/>
  <c r="AP57" i="44"/>
  <c r="AG66" i="44"/>
  <c r="AP66" i="44"/>
  <c r="AG72" i="44"/>
  <c r="AQ75" i="44"/>
  <c r="AP78" i="44"/>
  <c r="AT81" i="44"/>
  <c r="AS81" i="44"/>
  <c r="BK14" i="44"/>
  <c r="AG16" i="44"/>
  <c r="BK20" i="44"/>
  <c r="AG22" i="44"/>
  <c r="BK26" i="44"/>
  <c r="BK32" i="44"/>
  <c r="AG34" i="44"/>
  <c r="BK38" i="44"/>
  <c r="BK39" i="44"/>
  <c r="BK40" i="44"/>
  <c r="BK41" i="44"/>
  <c r="BK43" i="44"/>
  <c r="BK44" i="44"/>
  <c r="BK45" i="44"/>
  <c r="BK46" i="44"/>
  <c r="AG52" i="44"/>
  <c r="AG53" i="44"/>
  <c r="AG61" i="44"/>
  <c r="AG62" i="44"/>
  <c r="AP74" i="44"/>
  <c r="AR74" i="44" s="1"/>
  <c r="AG74" i="44"/>
  <c r="AO90" i="44"/>
  <c r="AP90" i="44"/>
  <c r="AO91" i="44"/>
  <c r="BK48" i="44"/>
  <c r="BK51" i="44"/>
  <c r="BK54" i="44"/>
  <c r="BK57" i="44"/>
  <c r="BK60" i="44"/>
  <c r="BK66" i="44"/>
  <c r="BK69" i="44"/>
  <c r="BK71" i="44"/>
  <c r="AG73" i="44"/>
  <c r="AG80" i="44"/>
  <c r="AP81" i="44"/>
  <c r="AR81" i="44" s="1"/>
  <c r="BK82" i="44"/>
  <c r="AO96" i="44"/>
  <c r="AP96" i="44"/>
  <c r="AG100" i="44"/>
  <c r="AG115" i="44"/>
  <c r="AP115" i="44"/>
  <c r="AG127" i="44"/>
  <c r="AP127" i="44"/>
  <c r="BK72" i="44"/>
  <c r="AS87" i="44"/>
  <c r="AG91" i="44"/>
  <c r="AP91" i="44"/>
  <c r="AP97" i="44"/>
  <c r="AO114" i="44"/>
  <c r="AO120" i="44"/>
  <c r="AO126" i="44"/>
  <c r="AQ80" i="44"/>
  <c r="AG119" i="44"/>
  <c r="AP119" i="44"/>
  <c r="AG125" i="44"/>
  <c r="AP125" i="44"/>
  <c r="BK74" i="44"/>
  <c r="AO118" i="44"/>
  <c r="AO124" i="44"/>
  <c r="AO83" i="44"/>
  <c r="AO89" i="44"/>
  <c r="AO95" i="44"/>
  <c r="AO100" i="44"/>
  <c r="AG101" i="44"/>
  <c r="AG105" i="44"/>
  <c r="AG106" i="44"/>
  <c r="AG107" i="44"/>
  <c r="AG108" i="44"/>
  <c r="AG109" i="44"/>
  <c r="AG111" i="44"/>
  <c r="AG112" i="44" s="1"/>
  <c r="AQ115" i="44"/>
  <c r="AQ117" i="44"/>
  <c r="AQ119" i="44"/>
  <c r="AQ123" i="44"/>
  <c r="AQ125" i="44"/>
  <c r="AQ127" i="44"/>
  <c r="AG114" i="44"/>
  <c r="AP114" i="44"/>
  <c r="AG116" i="44"/>
  <c r="AP116" i="44"/>
  <c r="AG118" i="44"/>
  <c r="AP118" i="44"/>
  <c r="AG120" i="44"/>
  <c r="AP120" i="44"/>
  <c r="AG124" i="44"/>
  <c r="AP124" i="44"/>
  <c r="AG126" i="44"/>
  <c r="AP126" i="44"/>
  <c r="AO80" i="44"/>
  <c r="AO86" i="44"/>
  <c r="AO97" i="44"/>
  <c r="AO99" i="44"/>
  <c r="AQ114" i="44"/>
  <c r="AQ116" i="44"/>
  <c r="AQ118" i="44"/>
  <c r="AQ120" i="44"/>
  <c r="AQ122" i="44"/>
  <c r="AQ124" i="44"/>
  <c r="AQ126" i="44"/>
  <c r="AT23" i="29"/>
  <c r="AS23" i="29"/>
  <c r="AG16" i="29"/>
  <c r="AQ16" i="29"/>
  <c r="AQ19" i="29"/>
  <c r="AR19" i="29" s="1"/>
  <c r="AG98" i="29"/>
  <c r="AP98" i="29"/>
  <c r="AO20" i="29"/>
  <c r="AO22" i="29"/>
  <c r="AO24" i="29"/>
  <c r="AO26" i="29"/>
  <c r="AO28" i="29"/>
  <c r="AO30" i="29"/>
  <c r="AO55" i="29"/>
  <c r="AP60" i="29"/>
  <c r="AG61" i="29"/>
  <c r="AP61" i="29"/>
  <c r="AP73" i="29"/>
  <c r="AG73" i="29"/>
  <c r="AO83" i="29"/>
  <c r="AG97" i="29"/>
  <c r="AP97" i="29"/>
  <c r="AO101" i="29"/>
  <c r="BP101" i="29" s="1"/>
  <c r="AO133" i="29"/>
  <c r="AQ142" i="29"/>
  <c r="AG142" i="29"/>
  <c r="AP15" i="29"/>
  <c r="AP58" i="29"/>
  <c r="AR58" i="29" s="1"/>
  <c r="AG58" i="29"/>
  <c r="AP70" i="29"/>
  <c r="AG70" i="29"/>
  <c r="AG92" i="29"/>
  <c r="AP92" i="29"/>
  <c r="AP64" i="29"/>
  <c r="AP34" i="29"/>
  <c r="AP35" i="29"/>
  <c r="AP38" i="29"/>
  <c r="AP39" i="29"/>
  <c r="AP41" i="29"/>
  <c r="AP42" i="29"/>
  <c r="AP43" i="29"/>
  <c r="AP45" i="29"/>
  <c r="AP46" i="29"/>
  <c r="AR46" i="29" s="1"/>
  <c r="AP47" i="29"/>
  <c r="AP51" i="29"/>
  <c r="AR51" i="29" s="1"/>
  <c r="AQ61" i="29"/>
  <c r="AP78" i="29"/>
  <c r="AG78" i="29"/>
  <c r="BM78" i="29" s="1"/>
  <c r="AP91" i="29"/>
  <c r="AP85" i="29"/>
  <c r="AO116" i="29"/>
  <c r="BP116" i="29" s="1"/>
  <c r="AP116" i="29"/>
  <c r="AG136" i="29"/>
  <c r="AQ136" i="29"/>
  <c r="AP80" i="29"/>
  <c r="AG34" i="29"/>
  <c r="AG35" i="29"/>
  <c r="AG38" i="29"/>
  <c r="AG39" i="29"/>
  <c r="AG42" i="29"/>
  <c r="AG43" i="29"/>
  <c r="AG46" i="29"/>
  <c r="AG47" i="29"/>
  <c r="AO49" i="29"/>
  <c r="AG55" i="29"/>
  <c r="AP55" i="29"/>
  <c r="AO61" i="29"/>
  <c r="AT62" i="29"/>
  <c r="AO73" i="29"/>
  <c r="BP73" i="29" s="1"/>
  <c r="AP77" i="29"/>
  <c r="AG77" i="29"/>
  <c r="AG86" i="29"/>
  <c r="AP86" i="29"/>
  <c r="AQ133" i="29"/>
  <c r="AO53" i="29"/>
  <c r="AO65" i="29"/>
  <c r="AQ77" i="29"/>
  <c r="AO81" i="29"/>
  <c r="AQ86" i="29"/>
  <c r="AO87" i="29"/>
  <c r="AQ92" i="29"/>
  <c r="AO93" i="29"/>
  <c r="AQ98" i="29"/>
  <c r="AO99" i="29"/>
  <c r="AO111" i="29"/>
  <c r="BP111" i="29" s="1"/>
  <c r="AP111" i="29"/>
  <c r="AQ117" i="29"/>
  <c r="AG117" i="29"/>
  <c r="AQ123" i="29"/>
  <c r="AG123" i="29"/>
  <c r="BK144" i="29"/>
  <c r="AT145" i="29"/>
  <c r="AQ157" i="29"/>
  <c r="AG157" i="29"/>
  <c r="AG178" i="29"/>
  <c r="AP178" i="29"/>
  <c r="AO58" i="29"/>
  <c r="BP58" i="29" s="1"/>
  <c r="AO64" i="29"/>
  <c r="AO70" i="29"/>
  <c r="AP74" i="29"/>
  <c r="AO76" i="29"/>
  <c r="AQ78" i="29"/>
  <c r="AO80" i="29"/>
  <c r="AG83" i="29"/>
  <c r="AP83" i="29"/>
  <c r="AO86" i="29"/>
  <c r="AG89" i="29"/>
  <c r="AP89" i="29"/>
  <c r="AO92" i="29"/>
  <c r="BP92" i="29" s="1"/>
  <c r="AG95" i="29"/>
  <c r="AP95" i="29"/>
  <c r="AO98" i="29"/>
  <c r="AG101" i="29"/>
  <c r="AP101" i="29"/>
  <c r="AP104" i="29"/>
  <c r="AG113" i="29"/>
  <c r="AP113" i="29"/>
  <c r="AO115" i="29"/>
  <c r="AG122" i="29"/>
  <c r="AP122" i="29"/>
  <c r="AQ73" i="29"/>
  <c r="AG82" i="29"/>
  <c r="AP82" i="29"/>
  <c r="AG88" i="29"/>
  <c r="AP88" i="29"/>
  <c r="AR88" i="29" s="1"/>
  <c r="AG94" i="29"/>
  <c r="AP94" i="29"/>
  <c r="AG100" i="29"/>
  <c r="AP100" i="29"/>
  <c r="AG105" i="29"/>
  <c r="AP105" i="29"/>
  <c r="AG107" i="29"/>
  <c r="AP107" i="29"/>
  <c r="AR107" i="29" s="1"/>
  <c r="AG112" i="29"/>
  <c r="AQ112" i="29"/>
  <c r="AG144" i="29"/>
  <c r="AQ144" i="29"/>
  <c r="AT166" i="29"/>
  <c r="AS166" i="29"/>
  <c r="AO50" i="29"/>
  <c r="AO62" i="29"/>
  <c r="AO68" i="29"/>
  <c r="AO78" i="29"/>
  <c r="AG81" i="29"/>
  <c r="AP81" i="29"/>
  <c r="AR81" i="29" s="1"/>
  <c r="AQ83" i="29"/>
  <c r="AG87" i="29"/>
  <c r="AP87" i="29"/>
  <c r="AQ89" i="29"/>
  <c r="AG93" i="29"/>
  <c r="AP93" i="29"/>
  <c r="AQ95" i="29"/>
  <c r="AG99" i="29"/>
  <c r="AP99" i="29"/>
  <c r="AQ101" i="29"/>
  <c r="AO130" i="29"/>
  <c r="AP130" i="29"/>
  <c r="AO134" i="29"/>
  <c r="AP134" i="29"/>
  <c r="AG137" i="29"/>
  <c r="AP137" i="29"/>
  <c r="AG147" i="29"/>
  <c r="AQ147" i="29"/>
  <c r="AP106" i="29"/>
  <c r="AR106" i="29" s="1"/>
  <c r="BK122" i="29"/>
  <c r="AP131" i="29"/>
  <c r="AR131" i="29" s="1"/>
  <c r="AO136" i="29"/>
  <c r="AP136" i="29"/>
  <c r="BK156" i="29"/>
  <c r="AG171" i="29"/>
  <c r="AP171" i="29"/>
  <c r="AG190" i="29"/>
  <c r="AP190" i="29"/>
  <c r="AG118" i="29"/>
  <c r="AQ118" i="29"/>
  <c r="AR118" i="29" s="1"/>
  <c r="AG124" i="29"/>
  <c r="AQ124" i="29"/>
  <c r="AT128" i="29"/>
  <c r="AO139" i="29"/>
  <c r="AO140" i="29" s="1"/>
  <c r="AO124" i="29"/>
  <c r="AP124" i="29"/>
  <c r="BK128" i="29"/>
  <c r="AG129" i="29"/>
  <c r="AG153" i="29"/>
  <c r="AQ153" i="29"/>
  <c r="AG184" i="29"/>
  <c r="AP184" i="29"/>
  <c r="AG116" i="29"/>
  <c r="AP117" i="29"/>
  <c r="AO127" i="29"/>
  <c r="AG130" i="29"/>
  <c r="AQ130" i="29"/>
  <c r="BK131" i="29"/>
  <c r="AP146" i="29"/>
  <c r="BK147" i="29"/>
  <c r="BV147" i="29" s="1"/>
  <c r="AG150" i="29"/>
  <c r="AQ150" i="29"/>
  <c r="AT162" i="29"/>
  <c r="AS162" i="29"/>
  <c r="AQ162" i="29"/>
  <c r="AP169" i="29"/>
  <c r="AQ174" i="29"/>
  <c r="AQ181" i="29"/>
  <c r="AG182" i="29"/>
  <c r="AP182" i="29"/>
  <c r="AQ187" i="29"/>
  <c r="AG188" i="29"/>
  <c r="AP188" i="29"/>
  <c r="AQ193" i="29"/>
  <c r="AG194" i="29"/>
  <c r="AP194" i="29"/>
  <c r="AP144" i="29"/>
  <c r="AP147" i="29"/>
  <c r="AR147" i="29" s="1"/>
  <c r="AP150" i="29"/>
  <c r="AP153" i="29"/>
  <c r="AP162" i="29"/>
  <c r="AP165" i="29"/>
  <c r="AP167" i="29"/>
  <c r="AG167" i="29"/>
  <c r="AQ172" i="29"/>
  <c r="AG173" i="29"/>
  <c r="AP173" i="29"/>
  <c r="AG180" i="29"/>
  <c r="AP180" i="29"/>
  <c r="AP186" i="29"/>
  <c r="AQ191" i="29"/>
  <c r="AP142" i="29"/>
  <c r="AP145" i="29"/>
  <c r="AP151" i="29"/>
  <c r="AR151" i="29" s="1"/>
  <c r="AP154" i="29"/>
  <c r="AP157" i="29"/>
  <c r="AP163" i="29"/>
  <c r="AP166" i="29"/>
  <c r="AQ171" i="29"/>
  <c r="AQ173" i="29"/>
  <c r="AQ178" i="29"/>
  <c r="AQ180" i="29"/>
  <c r="AQ182" i="29"/>
  <c r="AQ184" i="29"/>
  <c r="AQ188" i="29"/>
  <c r="AQ190" i="29"/>
  <c r="AQ194" i="29"/>
  <c r="BK166" i="29"/>
  <c r="AG170" i="29"/>
  <c r="AP170" i="29"/>
  <c r="AG172" i="29"/>
  <c r="AP172" i="29"/>
  <c r="AG174" i="29"/>
  <c r="AP174" i="29"/>
  <c r="AP176" i="29"/>
  <c r="AG181" i="29"/>
  <c r="AP181" i="29"/>
  <c r="AG183" i="29"/>
  <c r="AP183" i="29"/>
  <c r="AG187" i="29"/>
  <c r="AP187" i="29"/>
  <c r="AG189" i="29"/>
  <c r="AP189" i="29"/>
  <c r="AG191" i="29"/>
  <c r="AP191" i="29"/>
  <c r="AG21" i="30"/>
  <c r="AP21" i="30"/>
  <c r="AG27" i="30"/>
  <c r="AP27" i="30"/>
  <c r="AR27" i="30" s="1"/>
  <c r="AG13" i="30"/>
  <c r="AP13" i="30"/>
  <c r="AG19" i="30"/>
  <c r="AP19" i="30"/>
  <c r="AR19" i="30" s="1"/>
  <c r="AG22" i="30"/>
  <c r="AP22" i="30"/>
  <c r="AR22" i="30" s="1"/>
  <c r="AG25" i="30"/>
  <c r="AP25" i="30"/>
  <c r="AR25" i="30" s="1"/>
  <c r="AG31" i="30"/>
  <c r="AG14" i="30"/>
  <c r="AP14" i="30"/>
  <c r="AG20" i="30"/>
  <c r="AP20" i="30"/>
  <c r="AG26" i="30"/>
  <c r="AP26" i="30"/>
  <c r="AG43" i="30"/>
  <c r="AP43" i="30"/>
  <c r="AR43" i="30" s="1"/>
  <c r="AG47" i="30"/>
  <c r="AP47" i="30"/>
  <c r="AR47" i="30" s="1"/>
  <c r="AG51" i="30"/>
  <c r="AP51" i="30"/>
  <c r="AG53" i="30"/>
  <c r="AP53" i="30"/>
  <c r="AG57" i="30"/>
  <c r="AP57" i="30"/>
  <c r="AR57" i="30" s="1"/>
  <c r="AG59" i="30"/>
  <c r="AP59" i="30"/>
  <c r="AG63" i="30"/>
  <c r="AP63" i="30"/>
  <c r="AG67" i="30"/>
  <c r="AP67" i="30"/>
  <c r="AG69" i="30"/>
  <c r="AP69" i="30"/>
  <c r="AR69" i="30" s="1"/>
  <c r="AQ40" i="30"/>
  <c r="AG41" i="30"/>
  <c r="AP70" i="30"/>
  <c r="AG73" i="30"/>
  <c r="AP73" i="30"/>
  <c r="AG42" i="30"/>
  <c r="AP42" i="30"/>
  <c r="AG46" i="30"/>
  <c r="AP46" i="30"/>
  <c r="AR46" i="30" s="1"/>
  <c r="AG50" i="30"/>
  <c r="AP50" i="30"/>
  <c r="AR50" i="30" s="1"/>
  <c r="AG52" i="30"/>
  <c r="AP52" i="30"/>
  <c r="AG56" i="30"/>
  <c r="AP56" i="30"/>
  <c r="AG58" i="30"/>
  <c r="AP58" i="30"/>
  <c r="AR58" i="30" s="1"/>
  <c r="AG60" i="30"/>
  <c r="AP60" i="30"/>
  <c r="AG64" i="30"/>
  <c r="AP64" i="30"/>
  <c r="AG68" i="30"/>
  <c r="AP68" i="30"/>
  <c r="AG77" i="30"/>
  <c r="AP77" i="30"/>
  <c r="AP32" i="30"/>
  <c r="AR32" i="30" s="1"/>
  <c r="AQ70" i="30"/>
  <c r="AQ79" i="30"/>
  <c r="AO83" i="30"/>
  <c r="AG84" i="30"/>
  <c r="AP84" i="30"/>
  <c r="AO87" i="30"/>
  <c r="BP87" i="30" s="1"/>
  <c r="AG88" i="30"/>
  <c r="AP88" i="30"/>
  <c r="AR88" i="30" s="1"/>
  <c r="AO89" i="30"/>
  <c r="AG90" i="30"/>
  <c r="AP90" i="30"/>
  <c r="AR90" i="30" s="1"/>
  <c r="AO91" i="30"/>
  <c r="BP91" i="30" s="1"/>
  <c r="AO93" i="30"/>
  <c r="AG94" i="30"/>
  <c r="AP94" i="30"/>
  <c r="AO95" i="30"/>
  <c r="BP95" i="30" s="1"/>
  <c r="AG96" i="30"/>
  <c r="AP96" i="30"/>
  <c r="AG98" i="30"/>
  <c r="AP98" i="30"/>
  <c r="AQ73" i="30"/>
  <c r="AQ77" i="30"/>
  <c r="AG80" i="30"/>
  <c r="AP80" i="30"/>
  <c r="AQ96" i="30"/>
  <c r="AQ98" i="30"/>
  <c r="AG74" i="30"/>
  <c r="AP74" i="30"/>
  <c r="AO77" i="30"/>
  <c r="BP77" i="30" s="1"/>
  <c r="AG78" i="30"/>
  <c r="AP78" i="30"/>
  <c r="AO96" i="30"/>
  <c r="AG97" i="30"/>
  <c r="AP97" i="30"/>
  <c r="AO98" i="30"/>
  <c r="AP72" i="30"/>
  <c r="AQ78" i="30"/>
  <c r="AQ80" i="30"/>
  <c r="AG83" i="30"/>
  <c r="AP83" i="30"/>
  <c r="AG87" i="30"/>
  <c r="AP87" i="30"/>
  <c r="AR87" i="30" s="1"/>
  <c r="AG89" i="30"/>
  <c r="BM89" i="30" s="1"/>
  <c r="AP89" i="30"/>
  <c r="AG91" i="30"/>
  <c r="AP91" i="30"/>
  <c r="AR91" i="30" s="1"/>
  <c r="AG95" i="30"/>
  <c r="BM95" i="30" s="1"/>
  <c r="AP95" i="30"/>
  <c r="AR95" i="30" s="1"/>
  <c r="AO78" i="30"/>
  <c r="BP78" i="30" s="1"/>
  <c r="AG79" i="30"/>
  <c r="AP79" i="30"/>
  <c r="AO80" i="30"/>
  <c r="AP24" i="31"/>
  <c r="AG27" i="31"/>
  <c r="AP27" i="31"/>
  <c r="AG13" i="31"/>
  <c r="AP13" i="31"/>
  <c r="AR13" i="31" s="1"/>
  <c r="AG16" i="31"/>
  <c r="AP16" i="31"/>
  <c r="AG22" i="31"/>
  <c r="AP22" i="31"/>
  <c r="AG28" i="31"/>
  <c r="AP28" i="31"/>
  <c r="AR28" i="31" s="1"/>
  <c r="AG18" i="31"/>
  <c r="AP18" i="31"/>
  <c r="AR18" i="31" s="1"/>
  <c r="AG14" i="31"/>
  <c r="AP14" i="31"/>
  <c r="AG17" i="31"/>
  <c r="AP17" i="31"/>
  <c r="AG20" i="31"/>
  <c r="AP20" i="31"/>
  <c r="AP26" i="31"/>
  <c r="AP29" i="31"/>
  <c r="AG29" i="31"/>
  <c r="AG21" i="31"/>
  <c r="AP21" i="31"/>
  <c r="AR21" i="31" s="1"/>
  <c r="AG46" i="31"/>
  <c r="AG50" i="31"/>
  <c r="AG70" i="31"/>
  <c r="AG33" i="31"/>
  <c r="AP33" i="31"/>
  <c r="AG39" i="31"/>
  <c r="AG40" i="31" s="1"/>
  <c r="AP39" i="31"/>
  <c r="AG45" i="31"/>
  <c r="AP45" i="31"/>
  <c r="AG34" i="31"/>
  <c r="AP34" i="31"/>
  <c r="AG54" i="31"/>
  <c r="AG58" i="31"/>
  <c r="AG62" i="31"/>
  <c r="AG66" i="31"/>
  <c r="AG44" i="31"/>
  <c r="AP44" i="31"/>
  <c r="AO47" i="31"/>
  <c r="BP47" i="31" s="1"/>
  <c r="AO51" i="31"/>
  <c r="BP51" i="31" s="1"/>
  <c r="AO55" i="31"/>
  <c r="BP55" i="31" s="1"/>
  <c r="AO59" i="31"/>
  <c r="AO63" i="31"/>
  <c r="BP63" i="31" s="1"/>
  <c r="AO71" i="31"/>
  <c r="BP71" i="31" s="1"/>
  <c r="AG37" i="31"/>
  <c r="AP37" i="31"/>
  <c r="AG56" i="31"/>
  <c r="AG30" i="31"/>
  <c r="AP30" i="31"/>
  <c r="AR30" i="31" s="1"/>
  <c r="AG36" i="31"/>
  <c r="AP36" i="31"/>
  <c r="AR36" i="31" s="1"/>
  <c r="AG42" i="31"/>
  <c r="AP42" i="31"/>
  <c r="AR42" i="31" s="1"/>
  <c r="AQ71" i="31"/>
  <c r="AG31" i="31"/>
  <c r="AP31" i="31"/>
  <c r="AR31" i="31" s="1"/>
  <c r="AG60" i="31"/>
  <c r="AG68" i="31"/>
  <c r="AG72" i="31"/>
  <c r="AG35" i="31"/>
  <c r="AP35" i="31"/>
  <c r="AG41" i="31"/>
  <c r="AP41" i="31"/>
  <c r="AO49" i="31"/>
  <c r="AO53" i="31"/>
  <c r="AO61" i="31"/>
  <c r="AO65" i="31"/>
  <c r="AO67" i="31" s="1"/>
  <c r="AO69" i="31"/>
  <c r="AP47" i="31"/>
  <c r="AR47" i="31" s="1"/>
  <c r="AP49" i="31"/>
  <c r="AP51" i="31"/>
  <c r="AP53" i="31"/>
  <c r="AP55" i="31"/>
  <c r="AR55" i="31" s="1"/>
  <c r="AP59" i="31"/>
  <c r="AR59" i="31" s="1"/>
  <c r="AP61" i="31"/>
  <c r="AP63" i="31"/>
  <c r="AP65" i="31"/>
  <c r="AP69" i="31"/>
  <c r="AP71" i="31"/>
  <c r="AP46" i="31"/>
  <c r="AR46" i="31" s="1"/>
  <c r="AG47" i="31"/>
  <c r="AG49" i="31"/>
  <c r="AP50" i="31"/>
  <c r="AG51" i="31"/>
  <c r="AG53" i="31"/>
  <c r="AP54" i="31"/>
  <c r="AG55" i="31"/>
  <c r="AP56" i="31"/>
  <c r="AR56" i="31" s="1"/>
  <c r="AP58" i="31"/>
  <c r="AG59" i="31"/>
  <c r="AP60" i="31"/>
  <c r="AG61" i="31"/>
  <c r="AP62" i="31"/>
  <c r="AR62" i="31" s="1"/>
  <c r="AG63" i="31"/>
  <c r="AG65" i="31"/>
  <c r="AP66" i="31"/>
  <c r="AR66" i="31" s="1"/>
  <c r="AP68" i="31"/>
  <c r="AG69" i="31"/>
  <c r="AP70" i="31"/>
  <c r="AP72" i="31"/>
  <c r="AR72" i="31" s="1"/>
  <c r="AT34" i="32"/>
  <c r="AS34" i="32"/>
  <c r="AP63" i="32"/>
  <c r="AR63" i="32" s="1"/>
  <c r="AG63" i="32"/>
  <c r="AG16" i="32"/>
  <c r="AG33" i="32"/>
  <c r="AP36" i="32"/>
  <c r="AG47" i="32"/>
  <c r="AP47" i="32"/>
  <c r="AG56" i="32"/>
  <c r="AP56" i="32"/>
  <c r="AR56" i="32" s="1"/>
  <c r="AT67" i="32"/>
  <c r="AG74" i="32"/>
  <c r="AP74" i="32"/>
  <c r="AT76" i="32"/>
  <c r="AG83" i="32"/>
  <c r="AP83" i="32"/>
  <c r="AR83" i="32" s="1"/>
  <c r="AG92" i="32"/>
  <c r="AP92" i="32"/>
  <c r="AR92" i="32" s="1"/>
  <c r="AG139" i="32"/>
  <c r="AP139" i="32"/>
  <c r="AP72" i="32"/>
  <c r="AG72" i="32"/>
  <c r="AO14" i="32"/>
  <c r="AP42" i="32"/>
  <c r="AR42" i="32" s="1"/>
  <c r="AG42" i="32"/>
  <c r="AP51" i="32"/>
  <c r="AR51" i="32" s="1"/>
  <c r="AG51" i="32"/>
  <c r="AP60" i="32"/>
  <c r="AG60" i="32"/>
  <c r="AP69" i="32"/>
  <c r="AG69" i="32"/>
  <c r="AP87" i="32"/>
  <c r="AG87" i="32"/>
  <c r="AG94" i="32"/>
  <c r="AP94" i="32"/>
  <c r="AR94" i="32" s="1"/>
  <c r="AG132" i="32"/>
  <c r="AP132" i="32"/>
  <c r="AG100" i="32"/>
  <c r="AP100" i="32"/>
  <c r="AP34" i="32"/>
  <c r="AG37" i="32"/>
  <c r="AP44" i="32"/>
  <c r="AG62" i="32"/>
  <c r="AP62" i="32"/>
  <c r="AG80" i="32"/>
  <c r="AP80" i="32"/>
  <c r="AG89" i="32"/>
  <c r="AP89" i="32"/>
  <c r="AG126" i="32"/>
  <c r="AP126" i="32"/>
  <c r="AP15" i="32"/>
  <c r="AR15" i="32" s="1"/>
  <c r="AO16" i="32"/>
  <c r="AP48" i="32"/>
  <c r="AG48" i="32"/>
  <c r="AP57" i="32"/>
  <c r="AG57" i="32"/>
  <c r="AP75" i="32"/>
  <c r="AR75" i="32" s="1"/>
  <c r="AG75" i="32"/>
  <c r="AG93" i="32"/>
  <c r="AP93" i="32"/>
  <c r="AP54" i="32"/>
  <c r="AR54" i="32" s="1"/>
  <c r="AG54" i="32"/>
  <c r="AP81" i="32"/>
  <c r="AG81" i="32"/>
  <c r="AP18" i="32"/>
  <c r="AP19" i="32"/>
  <c r="AP20" i="32"/>
  <c r="AP21" i="32"/>
  <c r="AP23" i="32"/>
  <c r="AP24" i="32"/>
  <c r="AR24" i="32" s="1"/>
  <c r="AP25" i="32"/>
  <c r="AP26" i="32"/>
  <c r="AP29" i="32"/>
  <c r="AR29" i="32" s="1"/>
  <c r="AP30" i="32"/>
  <c r="AP32" i="32"/>
  <c r="AP38" i="32"/>
  <c r="AG41" i="32"/>
  <c r="AP41" i="32"/>
  <c r="AR41" i="32" s="1"/>
  <c r="AG50" i="32"/>
  <c r="AP50" i="32"/>
  <c r="AG68" i="32"/>
  <c r="AP68" i="32"/>
  <c r="AG86" i="32"/>
  <c r="AP86" i="32"/>
  <c r="AG95" i="32"/>
  <c r="AP95" i="32"/>
  <c r="AQ100" i="32"/>
  <c r="AG101" i="32"/>
  <c r="AP101" i="32"/>
  <c r="AP198" i="32"/>
  <c r="AG198" i="32"/>
  <c r="AG112" i="32"/>
  <c r="AP112" i="32"/>
  <c r="AR112" i="32" s="1"/>
  <c r="AG115" i="32"/>
  <c r="AP115" i="32"/>
  <c r="AG127" i="32"/>
  <c r="AP127" i="32"/>
  <c r="AR127" i="32" s="1"/>
  <c r="AG133" i="32"/>
  <c r="AP133" i="32"/>
  <c r="AG140" i="32"/>
  <c r="AP140" i="32"/>
  <c r="AP46" i="32"/>
  <c r="AP49" i="32"/>
  <c r="AP55" i="32"/>
  <c r="AR55" i="32" s="1"/>
  <c r="AP61" i="32"/>
  <c r="AP64" i="32"/>
  <c r="AP67" i="32"/>
  <c r="AR67" i="32" s="1"/>
  <c r="AP70" i="32"/>
  <c r="AP73" i="32"/>
  <c r="AR73" i="32" s="1"/>
  <c r="AP76" i="32"/>
  <c r="AP79" i="32"/>
  <c r="AP82" i="32"/>
  <c r="AR82" i="32" s="1"/>
  <c r="AP85" i="32"/>
  <c r="AP88" i="32"/>
  <c r="AG98" i="32"/>
  <c r="AP98" i="32"/>
  <c r="AG103" i="32"/>
  <c r="AP103" i="32"/>
  <c r="AG117" i="32"/>
  <c r="AP117" i="32"/>
  <c r="AG123" i="32"/>
  <c r="AP123" i="32"/>
  <c r="AG129" i="32"/>
  <c r="AP129" i="32"/>
  <c r="AG135" i="32"/>
  <c r="AP135" i="32"/>
  <c r="AP213" i="32"/>
  <c r="AR213" i="32" s="1"/>
  <c r="AG213" i="32"/>
  <c r="AT226" i="32"/>
  <c r="AQ103" i="32"/>
  <c r="AG104" i="32"/>
  <c r="AP104" i="32"/>
  <c r="BK42" i="32"/>
  <c r="BK48" i="32"/>
  <c r="BK51" i="32"/>
  <c r="BK54" i="32"/>
  <c r="BV54" i="32" s="1"/>
  <c r="BK57" i="32"/>
  <c r="BK60" i="32"/>
  <c r="BV60" i="32" s="1"/>
  <c r="BK63" i="32"/>
  <c r="BK66" i="32"/>
  <c r="BV66" i="32" s="1"/>
  <c r="BK69" i="32"/>
  <c r="BK72" i="32"/>
  <c r="BK75" i="32"/>
  <c r="BK78" i="32"/>
  <c r="BK81" i="32"/>
  <c r="BK87" i="32"/>
  <c r="AG102" i="32"/>
  <c r="AP105" i="32"/>
  <c r="AR105" i="32" s="1"/>
  <c r="AG106" i="32"/>
  <c r="AP106" i="32"/>
  <c r="AR106" i="32" s="1"/>
  <c r="AG118" i="32"/>
  <c r="AP118" i="32"/>
  <c r="AG136" i="32"/>
  <c r="AP136" i="32"/>
  <c r="AS141" i="32"/>
  <c r="AT141" i="32"/>
  <c r="AP116" i="32"/>
  <c r="AP119" i="32"/>
  <c r="AP122" i="32"/>
  <c r="AP128" i="32"/>
  <c r="AR128" i="32" s="1"/>
  <c r="AP134" i="32"/>
  <c r="AQ141" i="32"/>
  <c r="AP142" i="32"/>
  <c r="AG148" i="32"/>
  <c r="AG149" i="32"/>
  <c r="AO194" i="32"/>
  <c r="BP194" i="32" s="1"/>
  <c r="AP204" i="32"/>
  <c r="AR204" i="32" s="1"/>
  <c r="AG204" i="32"/>
  <c r="BK204" i="32"/>
  <c r="AS119" i="32"/>
  <c r="AS128" i="32"/>
  <c r="BS128" i="32" s="1"/>
  <c r="AQ142" i="32"/>
  <c r="AO152" i="32"/>
  <c r="BP152" i="32" s="1"/>
  <c r="AO158" i="32"/>
  <c r="AO170" i="32"/>
  <c r="AO176" i="32"/>
  <c r="BP176" i="32" s="1"/>
  <c r="AO184" i="32"/>
  <c r="BP184" i="32" s="1"/>
  <c r="AO196" i="32"/>
  <c r="AG202" i="32"/>
  <c r="AQ202" i="32"/>
  <c r="AP210" i="32"/>
  <c r="AR210" i="32" s="1"/>
  <c r="AG210" i="32"/>
  <c r="BK210" i="32"/>
  <c r="AS218" i="32"/>
  <c r="AT218" i="32"/>
  <c r="AQ143" i="32"/>
  <c r="AR143" i="32" s="1"/>
  <c r="AO186" i="32"/>
  <c r="AG208" i="32"/>
  <c r="AQ208" i="32"/>
  <c r="AG231" i="32"/>
  <c r="AP231" i="32"/>
  <c r="AG240" i="32"/>
  <c r="AP240" i="32"/>
  <c r="AG143" i="32"/>
  <c r="AT190" i="32"/>
  <c r="AS190" i="32"/>
  <c r="AP201" i="32"/>
  <c r="AG201" i="32"/>
  <c r="AS225" i="32"/>
  <c r="AO190" i="32"/>
  <c r="BP190" i="32" s="1"/>
  <c r="AT192" i="32"/>
  <c r="AS192" i="32"/>
  <c r="AP207" i="32"/>
  <c r="AG207" i="32"/>
  <c r="AP152" i="32"/>
  <c r="AR152" i="32" s="1"/>
  <c r="AG153" i="32"/>
  <c r="AP154" i="32"/>
  <c r="AR154" i="32" s="1"/>
  <c r="AG155" i="32"/>
  <c r="AP156" i="32"/>
  <c r="AR156" i="32" s="1"/>
  <c r="AG159" i="32"/>
  <c r="AP160" i="32"/>
  <c r="AR160" i="32" s="1"/>
  <c r="AG161" i="32"/>
  <c r="AP162" i="32"/>
  <c r="AR162" i="32" s="1"/>
  <c r="AG163" i="32"/>
  <c r="AG165" i="32"/>
  <c r="AP166" i="32"/>
  <c r="AR166" i="32" s="1"/>
  <c r="AG167" i="32"/>
  <c r="AP168" i="32"/>
  <c r="AG169" i="32"/>
  <c r="AP170" i="32"/>
  <c r="AG173" i="32"/>
  <c r="AP174" i="32"/>
  <c r="AG175" i="32"/>
  <c r="AP176" i="32"/>
  <c r="AR176" i="32" s="1"/>
  <c r="AG177" i="32"/>
  <c r="AP180" i="32"/>
  <c r="AG181" i="32"/>
  <c r="AP184" i="32"/>
  <c r="AG185" i="32"/>
  <c r="AP186" i="32"/>
  <c r="AG187" i="32"/>
  <c r="AP190" i="32"/>
  <c r="AG191" i="32"/>
  <c r="AP192" i="32"/>
  <c r="AG193" i="32"/>
  <c r="AP194" i="32"/>
  <c r="AG197" i="32"/>
  <c r="AG203" i="32"/>
  <c r="AG209" i="32"/>
  <c r="AG212" i="32"/>
  <c r="AQ215" i="32"/>
  <c r="AQ218" i="32"/>
  <c r="AQ219" i="32"/>
  <c r="AQ222" i="32"/>
  <c r="AR222" i="32" s="1"/>
  <c r="AQ223" i="32"/>
  <c r="AQ224" i="32"/>
  <c r="AQ225" i="32"/>
  <c r="AQ226" i="32"/>
  <c r="AQ180" i="32"/>
  <c r="AQ184" i="32"/>
  <c r="AQ186" i="32"/>
  <c r="AQ190" i="32"/>
  <c r="AQ192" i="32"/>
  <c r="AQ194" i="32"/>
  <c r="AQ201" i="32"/>
  <c r="AQ207" i="32"/>
  <c r="AP211" i="32"/>
  <c r="AO236" i="32"/>
  <c r="BP236" i="32" s="1"/>
  <c r="AG237" i="32"/>
  <c r="AP237" i="32"/>
  <c r="AS211" i="32"/>
  <c r="AO213" i="32"/>
  <c r="BP213" i="32" s="1"/>
  <c r="AO233" i="32"/>
  <c r="BP233" i="32" s="1"/>
  <c r="AO242" i="32"/>
  <c r="AG244" i="32"/>
  <c r="AQ244" i="32"/>
  <c r="AO212" i="32"/>
  <c r="AG229" i="32"/>
  <c r="AP229" i="32"/>
  <c r="AG232" i="32"/>
  <c r="AP232" i="32"/>
  <c r="AR232" i="32" s="1"/>
  <c r="AG241" i="32"/>
  <c r="AP241" i="32"/>
  <c r="AQ242" i="32"/>
  <c r="AO250" i="32"/>
  <c r="AT252" i="32"/>
  <c r="AS252" i="32"/>
  <c r="AO262" i="32"/>
  <c r="AG265" i="32"/>
  <c r="AP265" i="32"/>
  <c r="AR265" i="32" s="1"/>
  <c r="AG274" i="32"/>
  <c r="AP274" i="32"/>
  <c r="AG282" i="32"/>
  <c r="AP282" i="32"/>
  <c r="AO254" i="32"/>
  <c r="BP254" i="32" s="1"/>
  <c r="AG230" i="32"/>
  <c r="AP230" i="32"/>
  <c r="AG233" i="32"/>
  <c r="AP233" i="32"/>
  <c r="AR233" i="32" s="1"/>
  <c r="AG236" i="32"/>
  <c r="AP236" i="32"/>
  <c r="AP242" i="32"/>
  <c r="AG242" i="32"/>
  <c r="AO246" i="32"/>
  <c r="AO258" i="32"/>
  <c r="AG268" i="32"/>
  <c r="AP268" i="32"/>
  <c r="AG243" i="32"/>
  <c r="AP244" i="32"/>
  <c r="AG247" i="32"/>
  <c r="AP248" i="32"/>
  <c r="AG251" i="32"/>
  <c r="AP252" i="32"/>
  <c r="AG253" i="32"/>
  <c r="AP254" i="32"/>
  <c r="AG255" i="32"/>
  <c r="AP258" i="32"/>
  <c r="AG259" i="32"/>
  <c r="AP260" i="32"/>
  <c r="AG261" i="32"/>
  <c r="AP262" i="32"/>
  <c r="AQ268" i="32"/>
  <c r="AQ274" i="32"/>
  <c r="AG280" i="32"/>
  <c r="AP280" i="32"/>
  <c r="AR280" i="32" s="1"/>
  <c r="AQ289" i="32"/>
  <c r="AQ248" i="32"/>
  <c r="AQ252" i="32"/>
  <c r="AQ254" i="32"/>
  <c r="AQ258" i="32"/>
  <c r="AQ260" i="32"/>
  <c r="AQ262" i="32"/>
  <c r="AG266" i="32"/>
  <c r="AP266" i="32"/>
  <c r="AG269" i="32"/>
  <c r="AP269" i="32"/>
  <c r="AG272" i="32"/>
  <c r="AP272" i="32"/>
  <c r="AG275" i="32"/>
  <c r="AP275" i="32"/>
  <c r="AQ287" i="32"/>
  <c r="AG290" i="32"/>
  <c r="AP290" i="32"/>
  <c r="AG288" i="32"/>
  <c r="AP288" i="32"/>
  <c r="AG267" i="32"/>
  <c r="AP267" i="32"/>
  <c r="AG273" i="32"/>
  <c r="AP273" i="32"/>
  <c r="AG276" i="32"/>
  <c r="AP276" i="32"/>
  <c r="AG279" i="32"/>
  <c r="AP279" i="32"/>
  <c r="AQ283" i="32"/>
  <c r="AG286" i="32"/>
  <c r="AP286" i="32"/>
  <c r="AR286" i="32" s="1"/>
  <c r="AQ267" i="32"/>
  <c r="AQ269" i="32"/>
  <c r="AQ273" i="32"/>
  <c r="AQ275" i="32"/>
  <c r="AQ279" i="32"/>
  <c r="AG281" i="32"/>
  <c r="AP281" i="32"/>
  <c r="AR281" i="32" s="1"/>
  <c r="AG283" i="32"/>
  <c r="AP283" i="32"/>
  <c r="AG287" i="32"/>
  <c r="AP287" i="32"/>
  <c r="AG289" i="32"/>
  <c r="AP289" i="32"/>
  <c r="AG12" i="31"/>
  <c r="AP12" i="31"/>
  <c r="AG12" i="44"/>
  <c r="AG13" i="44" s="1"/>
  <c r="AP12" i="44"/>
  <c r="AG408" i="43"/>
  <c r="AP408" i="43"/>
  <c r="BK421" i="43"/>
  <c r="AG421" i="43"/>
  <c r="AP419" i="43"/>
  <c r="AG356" i="43"/>
  <c r="AQ356" i="43"/>
  <c r="AP463" i="43"/>
  <c r="AP460" i="43"/>
  <c r="AP457" i="43"/>
  <c r="AP454" i="43"/>
  <c r="AP448" i="43"/>
  <c r="AP447" i="43"/>
  <c r="AQ436" i="43"/>
  <c r="AG426" i="43"/>
  <c r="AP426" i="43"/>
  <c r="AG422" i="43"/>
  <c r="AP418" i="43"/>
  <c r="AG418" i="43"/>
  <c r="AP417" i="43"/>
  <c r="AP407" i="43"/>
  <c r="AP400" i="43"/>
  <c r="AP394" i="43"/>
  <c r="AP388" i="43"/>
  <c r="AG384" i="43"/>
  <c r="AP384" i="43"/>
  <c r="AG382" i="43"/>
  <c r="AP382" i="43"/>
  <c r="AG380" i="43"/>
  <c r="AP380" i="43"/>
  <c r="AG374" i="43"/>
  <c r="AP374" i="43"/>
  <c r="AG370" i="43"/>
  <c r="AP370" i="43"/>
  <c r="AG368" i="43"/>
  <c r="AP368" i="43"/>
  <c r="AG364" i="43"/>
  <c r="AP364" i="43"/>
  <c r="AG362" i="43"/>
  <c r="AP362" i="43"/>
  <c r="AG358" i="43"/>
  <c r="AP358" i="43"/>
  <c r="AP442" i="43"/>
  <c r="AG442" i="43"/>
  <c r="AP412" i="43"/>
  <c r="AR412" i="43" s="1"/>
  <c r="AG412" i="43"/>
  <c r="AQ463" i="43"/>
  <c r="AG463" i="43"/>
  <c r="AQ460" i="43"/>
  <c r="AG460" i="43"/>
  <c r="AG457" i="43"/>
  <c r="AQ457" i="43"/>
  <c r="AG454" i="43"/>
  <c r="AQ454" i="43"/>
  <c r="AG448" i="43"/>
  <c r="AQ448" i="43"/>
  <c r="AP435" i="43"/>
  <c r="AG414" i="43"/>
  <c r="AP414" i="43"/>
  <c r="AP406" i="43"/>
  <c r="AG406" i="43"/>
  <c r="AS398" i="43"/>
  <c r="AT398" i="43"/>
  <c r="AO405" i="43"/>
  <c r="AP405" i="43"/>
  <c r="AG456" i="43"/>
  <c r="AQ456" i="43"/>
  <c r="AG450" i="43"/>
  <c r="AQ450" i="43"/>
  <c r="AP464" i="43"/>
  <c r="AP455" i="43"/>
  <c r="AP452" i="43"/>
  <c r="AG440" i="43"/>
  <c r="AP436" i="43"/>
  <c r="AG436" i="43"/>
  <c r="AG432" i="43"/>
  <c r="AP432" i="43"/>
  <c r="AG350" i="43"/>
  <c r="AQ350" i="43"/>
  <c r="AG453" i="43"/>
  <c r="AQ453" i="43"/>
  <c r="AG464" i="43"/>
  <c r="AQ464" i="43"/>
  <c r="AO459" i="43"/>
  <c r="AG455" i="43"/>
  <c r="AQ455" i="43"/>
  <c r="AG449" i="43"/>
  <c r="AQ449" i="43"/>
  <c r="BK445" i="43"/>
  <c r="AP443" i="43"/>
  <c r="AR443" i="43" s="1"/>
  <c r="AP424" i="43"/>
  <c r="AG420" i="43"/>
  <c r="AP420" i="43"/>
  <c r="BK415" i="43"/>
  <c r="AG415" i="43"/>
  <c r="AP413" i="43"/>
  <c r="AG367" i="43"/>
  <c r="AP367" i="43"/>
  <c r="AG352" i="43"/>
  <c r="AQ352" i="43"/>
  <c r="AG401" i="43"/>
  <c r="AG389" i="43"/>
  <c r="AG359" i="43"/>
  <c r="AO357" i="43"/>
  <c r="AO355" i="43"/>
  <c r="AO349" i="43"/>
  <c r="AO345" i="43"/>
  <c r="AO341" i="43"/>
  <c r="AO333" i="43"/>
  <c r="AO329" i="43"/>
  <c r="BK325" i="43"/>
  <c r="BK326" i="43" s="1"/>
  <c r="AS316" i="43"/>
  <c r="AT316" i="43"/>
  <c r="BK313" i="43"/>
  <c r="BK301" i="43"/>
  <c r="BK254" i="43"/>
  <c r="BK248" i="43"/>
  <c r="AG194" i="43"/>
  <c r="AP194" i="43"/>
  <c r="AQ155" i="43"/>
  <c r="AG155" i="43"/>
  <c r="AO443" i="43"/>
  <c r="AP439" i="43"/>
  <c r="AP433" i="43"/>
  <c r="AO431" i="43"/>
  <c r="AP427" i="43"/>
  <c r="AR427" i="43" s="1"/>
  <c r="AO425" i="43"/>
  <c r="AP421" i="43"/>
  <c r="AO419" i="43"/>
  <c r="AP415" i="43"/>
  <c r="AO413" i="43"/>
  <c r="AO407" i="43"/>
  <c r="AO400" i="43"/>
  <c r="AO398" i="43"/>
  <c r="AO396" i="43"/>
  <c r="AO394" i="43"/>
  <c r="AO392" i="43"/>
  <c r="AO390" i="43"/>
  <c r="AO388" i="43"/>
  <c r="AO386" i="43"/>
  <c r="AO384" i="43"/>
  <c r="AO380" i="43"/>
  <c r="AO374" i="43"/>
  <c r="AO368" i="43"/>
  <c r="AP366" i="43"/>
  <c r="AO362" i="43"/>
  <c r="AO356" i="43"/>
  <c r="AQ355" i="43"/>
  <c r="AO350" i="43"/>
  <c r="AQ349" i="43"/>
  <c r="AQ345" i="43"/>
  <c r="AQ341" i="43"/>
  <c r="AQ337" i="43"/>
  <c r="AQ333" i="43"/>
  <c r="AQ329" i="43"/>
  <c r="AQ317" i="43"/>
  <c r="AQ312" i="43"/>
  <c r="AQ305" i="43"/>
  <c r="AG262" i="43"/>
  <c r="AG256" i="43"/>
  <c r="AG250" i="43"/>
  <c r="AG244" i="43"/>
  <c r="AG235" i="43"/>
  <c r="AP235" i="43"/>
  <c r="AP214" i="43"/>
  <c r="AG181" i="43"/>
  <c r="AP181" i="43"/>
  <c r="AO424" i="43"/>
  <c r="AO412" i="43"/>
  <c r="AO406" i="43"/>
  <c r="AG387" i="43"/>
  <c r="AO381" i="43"/>
  <c r="AO337" i="43"/>
  <c r="AP401" i="43"/>
  <c r="AP389" i="43"/>
  <c r="AP387" i="43"/>
  <c r="AR387" i="43" s="1"/>
  <c r="AP359" i="43"/>
  <c r="AP229" i="43"/>
  <c r="AG229" i="43"/>
  <c r="AP241" i="43"/>
  <c r="AG241" i="43"/>
  <c r="AO436" i="43"/>
  <c r="AO418" i="43"/>
  <c r="AG393" i="43"/>
  <c r="AO375" i="43"/>
  <c r="AO439" i="43"/>
  <c r="AO433" i="43"/>
  <c r="AO427" i="43"/>
  <c r="AO421" i="43"/>
  <c r="AO415" i="43"/>
  <c r="AO403" i="43"/>
  <c r="AQ354" i="43"/>
  <c r="AQ348" i="43"/>
  <c r="AT346" i="43"/>
  <c r="AQ344" i="43"/>
  <c r="AQ340" i="43"/>
  <c r="AQ336" i="43"/>
  <c r="AO335" i="43"/>
  <c r="AQ332" i="43"/>
  <c r="AO331" i="43"/>
  <c r="AQ328" i="43"/>
  <c r="AQ316" i="43"/>
  <c r="AQ304" i="43"/>
  <c r="AS231" i="43"/>
  <c r="AG212" i="43"/>
  <c r="AP212" i="43"/>
  <c r="AG198" i="43"/>
  <c r="AP198" i="43"/>
  <c r="AO120" i="43"/>
  <c r="AP120" i="43"/>
  <c r="AG206" i="43"/>
  <c r="AP206" i="43"/>
  <c r="AO442" i="43"/>
  <c r="AG399" i="43"/>
  <c r="AG397" i="43"/>
  <c r="AG383" i="43"/>
  <c r="AG371" i="43"/>
  <c r="AO369" i="43"/>
  <c r="AO363" i="43"/>
  <c r="AO445" i="43"/>
  <c r="AO446" i="43"/>
  <c r="AO440" i="43"/>
  <c r="AO434" i="43"/>
  <c r="AO428" i="43"/>
  <c r="AO422" i="43"/>
  <c r="AO410" i="43"/>
  <c r="AO404" i="43"/>
  <c r="AO401" i="43"/>
  <c r="AO399" i="43"/>
  <c r="AO397" i="43"/>
  <c r="AO393" i="43"/>
  <c r="AO389" i="43"/>
  <c r="AO387" i="43"/>
  <c r="AO383" i="43"/>
  <c r="AP381" i="43"/>
  <c r="AO377" i="43"/>
  <c r="AO378" i="43" s="1"/>
  <c r="AP375" i="43"/>
  <c r="AO371" i="43"/>
  <c r="AP369" i="43"/>
  <c r="AP363" i="43"/>
  <c r="AO359" i="43"/>
  <c r="AP357" i="43"/>
  <c r="AQ343" i="43"/>
  <c r="AQ331" i="43"/>
  <c r="BK321" i="43"/>
  <c r="BK309" i="43"/>
  <c r="AG306" i="43"/>
  <c r="BK297" i="43"/>
  <c r="AG186" i="43"/>
  <c r="AP186" i="43"/>
  <c r="AQ137" i="43"/>
  <c r="AG137" i="43"/>
  <c r="AQ131" i="43"/>
  <c r="AG131" i="43"/>
  <c r="AP352" i="43"/>
  <c r="AP350" i="43"/>
  <c r="AP346" i="43"/>
  <c r="AP344" i="43"/>
  <c r="AP342" i="43"/>
  <c r="AR342" i="43" s="1"/>
  <c r="AP340" i="43"/>
  <c r="AP336" i="43"/>
  <c r="AP332" i="43"/>
  <c r="AP323" i="43"/>
  <c r="AG323" i="43"/>
  <c r="AP311" i="43"/>
  <c r="AG311" i="43"/>
  <c r="AP303" i="43"/>
  <c r="AR303" i="43" s="1"/>
  <c r="AG303" i="43"/>
  <c r="AO296" i="43"/>
  <c r="AO295" i="43"/>
  <c r="AO294" i="43"/>
  <c r="AO293" i="43"/>
  <c r="AO292" i="43"/>
  <c r="AO291" i="43"/>
  <c r="AO289" i="43"/>
  <c r="AO288" i="43"/>
  <c r="AO287" i="43"/>
  <c r="AO286" i="43"/>
  <c r="AO284" i="43"/>
  <c r="AO283" i="43"/>
  <c r="AO282" i="43"/>
  <c r="AO281" i="43"/>
  <c r="AO280" i="43"/>
  <c r="AO279" i="43"/>
  <c r="AO277" i="43"/>
  <c r="AO276" i="43"/>
  <c r="AO275" i="43"/>
  <c r="AO273" i="43"/>
  <c r="AO272" i="43"/>
  <c r="AO271" i="43"/>
  <c r="AO270" i="43"/>
  <c r="AO269" i="43"/>
  <c r="AO267" i="43"/>
  <c r="AO266" i="43"/>
  <c r="AO265" i="43"/>
  <c r="AO252" i="43"/>
  <c r="AO246" i="43"/>
  <c r="AQ217" i="43"/>
  <c r="AG191" i="43"/>
  <c r="AP191" i="43"/>
  <c r="AR191" i="43" s="1"/>
  <c r="AO183" i="43"/>
  <c r="AQ183" i="43"/>
  <c r="AP166" i="43"/>
  <c r="AR166" i="43" s="1"/>
  <c r="AG166" i="43"/>
  <c r="AG157" i="43"/>
  <c r="AP157" i="43"/>
  <c r="AQ246" i="43"/>
  <c r="AG238" i="43"/>
  <c r="AP223" i="43"/>
  <c r="AG223" i="43"/>
  <c r="AS237" i="43"/>
  <c r="AG236" i="43"/>
  <c r="AP236" i="43"/>
  <c r="AR236" i="43" s="1"/>
  <c r="AG213" i="43"/>
  <c r="AP213" i="43"/>
  <c r="AG200" i="43"/>
  <c r="AP200" i="43"/>
  <c r="AG188" i="43"/>
  <c r="AP188" i="43"/>
  <c r="AO161" i="43"/>
  <c r="AQ161" i="43"/>
  <c r="AP355" i="43"/>
  <c r="AP351" i="43"/>
  <c r="AP349" i="43"/>
  <c r="AP345" i="43"/>
  <c r="AP343" i="43"/>
  <c r="AP341" i="43"/>
  <c r="AP339" i="43"/>
  <c r="AP337" i="43"/>
  <c r="AP335" i="43"/>
  <c r="AP333" i="43"/>
  <c r="AP329" i="43"/>
  <c r="AP321" i="43"/>
  <c r="AR321" i="43" s="1"/>
  <c r="AG321" i="43"/>
  <c r="AP317" i="43"/>
  <c r="AG317" i="43"/>
  <c r="AP313" i="43"/>
  <c r="AG313" i="43"/>
  <c r="AP309" i="43"/>
  <c r="AG309" i="43"/>
  <c r="AP305" i="43"/>
  <c r="AG305" i="43"/>
  <c r="AP297" i="43"/>
  <c r="AG297" i="43"/>
  <c r="AG295" i="43"/>
  <c r="AG293" i="43"/>
  <c r="AG289" i="43"/>
  <c r="AG287" i="43"/>
  <c r="AG283" i="43"/>
  <c r="AG281" i="43"/>
  <c r="AG277" i="43"/>
  <c r="AG273" i="43"/>
  <c r="AG271" i="43"/>
  <c r="AG267" i="43"/>
  <c r="AP254" i="43"/>
  <c r="AR254" i="43" s="1"/>
  <c r="AP248" i="43"/>
  <c r="AO234" i="43"/>
  <c r="AG220" i="43"/>
  <c r="AP220" i="43"/>
  <c r="AG218" i="43"/>
  <c r="AP218" i="43"/>
  <c r="AP204" i="43"/>
  <c r="AP192" i="43"/>
  <c r="AG185" i="43"/>
  <c r="AP185" i="43"/>
  <c r="AR185" i="43" s="1"/>
  <c r="AG183" i="43"/>
  <c r="AP183" i="43"/>
  <c r="AG180" i="43"/>
  <c r="AP180" i="43"/>
  <c r="AT168" i="43"/>
  <c r="AQ154" i="43"/>
  <c r="AG140" i="43"/>
  <c r="AQ140" i="43"/>
  <c r="BK129" i="43"/>
  <c r="AP328" i="43"/>
  <c r="AP322" i="43"/>
  <c r="AP320" i="43"/>
  <c r="AP316" i="43"/>
  <c r="AP312" i="43"/>
  <c r="AP310" i="43"/>
  <c r="AP306" i="43"/>
  <c r="AP304" i="43"/>
  <c r="AP302" i="43"/>
  <c r="AP296" i="43"/>
  <c r="AP294" i="43"/>
  <c r="AP292" i="43"/>
  <c r="AP288" i="43"/>
  <c r="AP284" i="43"/>
  <c r="AR284" i="43" s="1"/>
  <c r="AP282" i="43"/>
  <c r="AP280" i="43"/>
  <c r="AP276" i="43"/>
  <c r="AP272" i="43"/>
  <c r="AP270" i="43"/>
  <c r="AP266" i="43"/>
  <c r="AQ224" i="43"/>
  <c r="AG211" i="43"/>
  <c r="AP201" i="43"/>
  <c r="AG199" i="43"/>
  <c r="AG187" i="43"/>
  <c r="AO174" i="43"/>
  <c r="AQ174" i="43"/>
  <c r="AS173" i="43"/>
  <c r="AT173" i="43"/>
  <c r="AP172" i="43"/>
  <c r="AG172" i="43"/>
  <c r="AG169" i="43"/>
  <c r="AG129" i="43"/>
  <c r="AP129" i="43"/>
  <c r="AG70" i="43"/>
  <c r="AP70" i="43"/>
  <c r="AO240" i="43"/>
  <c r="BK236" i="43"/>
  <c r="AO228" i="43"/>
  <c r="AG179" i="43"/>
  <c r="AT178" i="43"/>
  <c r="AG167" i="43"/>
  <c r="AQ167" i="43"/>
  <c r="AR167" i="43" s="1"/>
  <c r="AO165" i="43"/>
  <c r="AQ165" i="43"/>
  <c r="AQ149" i="43"/>
  <c r="AR149" i="43" s="1"/>
  <c r="AG149" i="43"/>
  <c r="AQ143" i="43"/>
  <c r="AG143" i="43"/>
  <c r="AQ136" i="43"/>
  <c r="AR136" i="43" s="1"/>
  <c r="AG136" i="43"/>
  <c r="AG124" i="43"/>
  <c r="AP124" i="43"/>
  <c r="AP114" i="43"/>
  <c r="AG114" i="43"/>
  <c r="AQ86" i="43"/>
  <c r="AG86" i="43"/>
  <c r="AP295" i="43"/>
  <c r="AP293" i="43"/>
  <c r="AP289" i="43"/>
  <c r="AP287" i="43"/>
  <c r="AP283" i="43"/>
  <c r="AP281" i="43"/>
  <c r="AP277" i="43"/>
  <c r="AP273" i="43"/>
  <c r="AP271" i="43"/>
  <c r="AP269" i="43"/>
  <c r="AP267" i="43"/>
  <c r="AG226" i="43"/>
  <c r="AP224" i="43"/>
  <c r="AP219" i="43"/>
  <c r="AR219" i="43" s="1"/>
  <c r="AG217" i="43"/>
  <c r="AP207" i="43"/>
  <c r="AG205" i="43"/>
  <c r="AP195" i="43"/>
  <c r="AG193" i="43"/>
  <c r="AO177" i="43"/>
  <c r="AQ177" i="43"/>
  <c r="AG174" i="43"/>
  <c r="AP174" i="43"/>
  <c r="AP162" i="43"/>
  <c r="AQ146" i="43"/>
  <c r="AP144" i="43"/>
  <c r="AG144" i="43"/>
  <c r="AP112" i="43"/>
  <c r="AO261" i="43"/>
  <c r="AO255" i="43"/>
  <c r="AO249" i="43"/>
  <c r="AO243" i="43"/>
  <c r="AO237" i="43"/>
  <c r="AO231" i="43"/>
  <c r="AO225" i="43"/>
  <c r="AO219" i="43"/>
  <c r="AO217" i="43"/>
  <c r="AO213" i="43"/>
  <c r="AO211" i="43"/>
  <c r="AO209" i="43"/>
  <c r="AO207" i="43"/>
  <c r="AO205" i="43"/>
  <c r="AO203" i="43"/>
  <c r="AO201" i="43"/>
  <c r="AO199" i="43"/>
  <c r="AO197" i="43"/>
  <c r="AO195" i="43"/>
  <c r="AO193" i="43"/>
  <c r="AO191" i="43"/>
  <c r="AO187" i="43"/>
  <c r="AO185" i="43"/>
  <c r="AO180" i="43"/>
  <c r="AQ180" i="43"/>
  <c r="AO162" i="43"/>
  <c r="AQ162" i="43"/>
  <c r="AG158" i="43"/>
  <c r="AG125" i="43"/>
  <c r="AP125" i="43"/>
  <c r="AP121" i="43"/>
  <c r="AG121" i="43"/>
  <c r="AP108" i="43"/>
  <c r="AG106" i="43"/>
  <c r="AP106" i="43"/>
  <c r="AQ91" i="43"/>
  <c r="AG63" i="43"/>
  <c r="AP63" i="43"/>
  <c r="AQ173" i="43"/>
  <c r="AO168" i="43"/>
  <c r="AQ168" i="43"/>
  <c r="AG156" i="43"/>
  <c r="AG151" i="43"/>
  <c r="AP151" i="43"/>
  <c r="AP150" i="43"/>
  <c r="AR150" i="43" s="1"/>
  <c r="AG150" i="43"/>
  <c r="AG145" i="43"/>
  <c r="AP145" i="43"/>
  <c r="AG75" i="43"/>
  <c r="AP75" i="43"/>
  <c r="AR75" i="43" s="1"/>
  <c r="AO171" i="43"/>
  <c r="AQ171" i="43"/>
  <c r="AQ148" i="43"/>
  <c r="AG139" i="43"/>
  <c r="AP139" i="43"/>
  <c r="AP138" i="43"/>
  <c r="AG138" i="43"/>
  <c r="AG133" i="43"/>
  <c r="AP133" i="43"/>
  <c r="AG123" i="43"/>
  <c r="AP123" i="43"/>
  <c r="AG113" i="43"/>
  <c r="AP113" i="43"/>
  <c r="AP109" i="43"/>
  <c r="AG109" i="43"/>
  <c r="AG98" i="43"/>
  <c r="AP98" i="43"/>
  <c r="AQ95" i="43"/>
  <c r="AG58" i="43"/>
  <c r="AP58" i="43"/>
  <c r="AR58" i="43" s="1"/>
  <c r="BK179" i="43"/>
  <c r="BK173" i="43"/>
  <c r="BK167" i="43"/>
  <c r="BK161" i="43"/>
  <c r="BK158" i="43"/>
  <c r="AP117" i="43"/>
  <c r="AG117" i="43"/>
  <c r="AO103" i="43"/>
  <c r="AP97" i="43"/>
  <c r="AG97" i="43"/>
  <c r="AP95" i="43"/>
  <c r="AG95" i="43"/>
  <c r="AO93" i="43"/>
  <c r="AP91" i="43"/>
  <c r="AG91" i="43"/>
  <c r="AP90" i="43"/>
  <c r="AQ103" i="43"/>
  <c r="AG99" i="43"/>
  <c r="AP99" i="43"/>
  <c r="AO117" i="43"/>
  <c r="AO105" i="43"/>
  <c r="AP103" i="43"/>
  <c r="AG103" i="43"/>
  <c r="AP101" i="43"/>
  <c r="AG94" i="43"/>
  <c r="AP94" i="43"/>
  <c r="AO91" i="43"/>
  <c r="AO110" i="43"/>
  <c r="BK106" i="43"/>
  <c r="AO98" i="43"/>
  <c r="BK94" i="43"/>
  <c r="AO82" i="43"/>
  <c r="AG73" i="43"/>
  <c r="AP73" i="43"/>
  <c r="AR73" i="43" s="1"/>
  <c r="AQ82" i="43"/>
  <c r="AQ77" i="43"/>
  <c r="AG59" i="43"/>
  <c r="AP59" i="43"/>
  <c r="AQ54" i="43"/>
  <c r="AG54" i="43"/>
  <c r="AQ51" i="43"/>
  <c r="AG51" i="43"/>
  <c r="AQ48" i="43"/>
  <c r="AG48" i="43"/>
  <c r="AO123" i="43"/>
  <c r="AO121" i="43"/>
  <c r="AQ110" i="43"/>
  <c r="AO109" i="43"/>
  <c r="AO106" i="43"/>
  <c r="AO99" i="43"/>
  <c r="AQ98" i="43"/>
  <c r="AO97" i="43"/>
  <c r="AO94" i="43"/>
  <c r="AP87" i="43"/>
  <c r="BK85" i="43"/>
  <c r="AG79" i="43"/>
  <c r="AP79" i="43"/>
  <c r="AP66" i="43"/>
  <c r="AG57" i="43"/>
  <c r="AP57" i="43"/>
  <c r="AP29" i="43"/>
  <c r="AG29" i="43"/>
  <c r="AP82" i="43"/>
  <c r="AG82" i="43"/>
  <c r="AS74" i="43"/>
  <c r="AG67" i="43"/>
  <c r="AP67" i="43"/>
  <c r="AQ55" i="43"/>
  <c r="AR55" i="43" s="1"/>
  <c r="AG55" i="43"/>
  <c r="AQ52" i="43"/>
  <c r="AG52" i="43"/>
  <c r="AQ49" i="43"/>
  <c r="AG49" i="43"/>
  <c r="AQ46" i="43"/>
  <c r="AR46" i="43" s="1"/>
  <c r="AG46" i="43"/>
  <c r="AQ33" i="43"/>
  <c r="AG33" i="43"/>
  <c r="AO125" i="43"/>
  <c r="AO119" i="43"/>
  <c r="AO113" i="43"/>
  <c r="AO101" i="43"/>
  <c r="AO95" i="43"/>
  <c r="AO89" i="43"/>
  <c r="AO83" i="43"/>
  <c r="AO77" i="43"/>
  <c r="AG38" i="43"/>
  <c r="AP37" i="43"/>
  <c r="AG32" i="43"/>
  <c r="AG26" i="43"/>
  <c r="AP25" i="43"/>
  <c r="AO23" i="43"/>
  <c r="AP23" i="43"/>
  <c r="AO21" i="43"/>
  <c r="AP21" i="43"/>
  <c r="AO19" i="43"/>
  <c r="AO17" i="43"/>
  <c r="AP17" i="43"/>
  <c r="AO15" i="43"/>
  <c r="AP15" i="43"/>
  <c r="AO85" i="43"/>
  <c r="AO79" i="43"/>
  <c r="AO86" i="43"/>
  <c r="AO24" i="43"/>
  <c r="AP24" i="43"/>
  <c r="AR24" i="43" s="1"/>
  <c r="AO20" i="43"/>
  <c r="AP20" i="43"/>
  <c r="AO16" i="43"/>
  <c r="AP16" i="43"/>
  <c r="AO14" i="43"/>
  <c r="AP14" i="43"/>
  <c r="AG37" i="43"/>
  <c r="AG34" i="43"/>
  <c r="AG25" i="43"/>
  <c r="AG24" i="43"/>
  <c r="AG23" i="43"/>
  <c r="AG21" i="43"/>
  <c r="AG20" i="43"/>
  <c r="AG17" i="43"/>
  <c r="AG16" i="43"/>
  <c r="AG15" i="43"/>
  <c r="AG14" i="43"/>
  <c r="L196" i="29"/>
  <c r="M196" i="29"/>
  <c r="CJ307" i="32"/>
  <c r="CI307" i="32"/>
  <c r="CH307" i="32"/>
  <c r="CG307" i="32"/>
  <c r="CF307" i="32"/>
  <c r="CE307" i="32"/>
  <c r="CD307" i="32"/>
  <c r="CC307" i="32"/>
  <c r="CB307" i="32"/>
  <c r="CA307" i="32"/>
  <c r="BZ307" i="32"/>
  <c r="BY307" i="32"/>
  <c r="BH307" i="32"/>
  <c r="BG307" i="32"/>
  <c r="BF307" i="32"/>
  <c r="BE307" i="32"/>
  <c r="BD307" i="32"/>
  <c r="BC307" i="32"/>
  <c r="BB307" i="32"/>
  <c r="BA307" i="32"/>
  <c r="AZ307" i="32"/>
  <c r="AW307" i="32"/>
  <c r="AV307" i="32"/>
  <c r="AU307" i="32"/>
  <c r="AL307" i="32"/>
  <c r="AK307" i="32"/>
  <c r="AJ307" i="32"/>
  <c r="AI307" i="32"/>
  <c r="AH307" i="32"/>
  <c r="AD307" i="32"/>
  <c r="AC307" i="32"/>
  <c r="AB307" i="32"/>
  <c r="AA307" i="32"/>
  <c r="Z307" i="32"/>
  <c r="Y307" i="32"/>
  <c r="X307" i="32"/>
  <c r="U307" i="32"/>
  <c r="T307" i="32"/>
  <c r="S307" i="32"/>
  <c r="R307" i="32"/>
  <c r="Q307" i="32"/>
  <c r="P307" i="32"/>
  <c r="O307" i="32"/>
  <c r="N307" i="32"/>
  <c r="M307" i="32"/>
  <c r="L307" i="32"/>
  <c r="K307" i="32"/>
  <c r="J307" i="32"/>
  <c r="I307" i="32"/>
  <c r="CJ306" i="32"/>
  <c r="CI306" i="32"/>
  <c r="CH306" i="32"/>
  <c r="CG306" i="32"/>
  <c r="CF306" i="32"/>
  <c r="CE306" i="32"/>
  <c r="CD306" i="32"/>
  <c r="CC306" i="32"/>
  <c r="CB306" i="32"/>
  <c r="CA306" i="32"/>
  <c r="BZ306" i="32"/>
  <c r="BY306" i="32"/>
  <c r="BH306" i="32"/>
  <c r="BG306" i="32"/>
  <c r="BF306" i="32"/>
  <c r="BE306" i="32"/>
  <c r="BD306" i="32"/>
  <c r="BC306" i="32"/>
  <c r="BB306" i="32"/>
  <c r="BA306" i="32"/>
  <c r="AZ306" i="32"/>
  <c r="AW306" i="32"/>
  <c r="AV306" i="32"/>
  <c r="AU306" i="32"/>
  <c r="AL306" i="32"/>
  <c r="AK306" i="32"/>
  <c r="AJ306" i="32"/>
  <c r="AI306" i="32"/>
  <c r="AH306" i="32"/>
  <c r="AD306" i="32"/>
  <c r="AC306" i="32"/>
  <c r="AB306" i="32"/>
  <c r="AA306" i="32"/>
  <c r="Z306" i="32"/>
  <c r="Y306" i="32"/>
  <c r="X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CJ305" i="32"/>
  <c r="CI305" i="32"/>
  <c r="CH305" i="32"/>
  <c r="CG305" i="32"/>
  <c r="CF305" i="32"/>
  <c r="CE305" i="32"/>
  <c r="CD305" i="32"/>
  <c r="CC305" i="32"/>
  <c r="CB305" i="32"/>
  <c r="CA305" i="32"/>
  <c r="BZ305" i="32"/>
  <c r="BY305" i="32"/>
  <c r="BH305" i="32"/>
  <c r="BG305" i="32"/>
  <c r="BF305" i="32"/>
  <c r="BE305" i="32"/>
  <c r="BD305" i="32"/>
  <c r="BC305" i="32"/>
  <c r="BB305" i="32"/>
  <c r="BA305" i="32"/>
  <c r="AZ305" i="32"/>
  <c r="AW305" i="32"/>
  <c r="AV305" i="32"/>
  <c r="AU305" i="32"/>
  <c r="AL305" i="32"/>
  <c r="AK305" i="32"/>
  <c r="AJ305" i="32"/>
  <c r="AI305" i="32"/>
  <c r="AH305" i="32"/>
  <c r="AD305" i="32"/>
  <c r="AC305" i="32"/>
  <c r="AB305" i="32"/>
  <c r="AA305" i="32"/>
  <c r="Z305" i="32"/>
  <c r="Y305" i="32"/>
  <c r="X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CJ304" i="32"/>
  <c r="CI304" i="32"/>
  <c r="CH304" i="32"/>
  <c r="CG304" i="32"/>
  <c r="CF304" i="32"/>
  <c r="CE304" i="32"/>
  <c r="CD304" i="32"/>
  <c r="CC304" i="32"/>
  <c r="CB304" i="32"/>
  <c r="CA304" i="32"/>
  <c r="BZ304" i="32"/>
  <c r="BY304" i="32"/>
  <c r="BH304" i="32"/>
  <c r="BG304" i="32"/>
  <c r="BF304" i="32"/>
  <c r="BE304" i="32"/>
  <c r="BD304" i="32"/>
  <c r="BC304" i="32"/>
  <c r="BB304" i="32"/>
  <c r="BA304" i="32"/>
  <c r="AZ304" i="32"/>
  <c r="AW304" i="32"/>
  <c r="AV304" i="32"/>
  <c r="AU304" i="32"/>
  <c r="AL304" i="32"/>
  <c r="AK304" i="32"/>
  <c r="AJ304" i="32"/>
  <c r="AI304" i="32"/>
  <c r="AH304" i="32"/>
  <c r="AD304" i="32"/>
  <c r="AC304" i="32"/>
  <c r="AB304" i="32"/>
  <c r="AA304" i="32"/>
  <c r="Z304" i="32"/>
  <c r="Y304" i="32"/>
  <c r="X304" i="32"/>
  <c r="U304" i="32"/>
  <c r="T304" i="32"/>
  <c r="S304" i="32"/>
  <c r="R304" i="32"/>
  <c r="Q304" i="32"/>
  <c r="P304" i="32"/>
  <c r="O304" i="32"/>
  <c r="N304" i="32"/>
  <c r="M304" i="32"/>
  <c r="L304" i="32"/>
  <c r="K304" i="32"/>
  <c r="J304" i="32"/>
  <c r="I304" i="32"/>
  <c r="CJ303" i="32"/>
  <c r="CI303" i="32"/>
  <c r="CH303" i="32"/>
  <c r="CG303" i="32"/>
  <c r="CF303" i="32"/>
  <c r="CE303" i="32"/>
  <c r="CD303" i="32"/>
  <c r="CC303" i="32"/>
  <c r="CB303" i="32"/>
  <c r="CA303" i="32"/>
  <c r="BZ303" i="32"/>
  <c r="BY303" i="32"/>
  <c r="BH303" i="32"/>
  <c r="BG303" i="32"/>
  <c r="BF303" i="32"/>
  <c r="BE303" i="32"/>
  <c r="BD303" i="32"/>
  <c r="BC303" i="32"/>
  <c r="BB303" i="32"/>
  <c r="BA303" i="32"/>
  <c r="AZ303" i="32"/>
  <c r="AW303" i="32"/>
  <c r="AV303" i="32"/>
  <c r="AU303" i="32"/>
  <c r="AL303" i="32"/>
  <c r="AK303" i="32"/>
  <c r="AJ303" i="32"/>
  <c r="AI303" i="32"/>
  <c r="AH303" i="32"/>
  <c r="AD303" i="32"/>
  <c r="AC303" i="32"/>
  <c r="AB303" i="32"/>
  <c r="AA303" i="32"/>
  <c r="Z303" i="32"/>
  <c r="Y303" i="32"/>
  <c r="X303" i="32"/>
  <c r="U303" i="32"/>
  <c r="T303" i="32"/>
  <c r="S303" i="32"/>
  <c r="R303" i="32"/>
  <c r="Q303" i="32"/>
  <c r="P303" i="32"/>
  <c r="O303" i="32"/>
  <c r="N303" i="32"/>
  <c r="M303" i="32"/>
  <c r="L303" i="32"/>
  <c r="K303" i="32"/>
  <c r="J303" i="32"/>
  <c r="I303" i="32"/>
  <c r="CJ302" i="32"/>
  <c r="CI302" i="32"/>
  <c r="CH302" i="32"/>
  <c r="CG302" i="32"/>
  <c r="CF302" i="32"/>
  <c r="CE302" i="32"/>
  <c r="CD302" i="32"/>
  <c r="CC302" i="32"/>
  <c r="CB302" i="32"/>
  <c r="CA302" i="32"/>
  <c r="BZ302" i="32"/>
  <c r="BY302" i="32"/>
  <c r="BX302" i="32"/>
  <c r="BW302" i="32"/>
  <c r="BV302" i="32"/>
  <c r="BU302" i="32"/>
  <c r="BT302" i="32"/>
  <c r="BS302" i="32"/>
  <c r="BR302" i="32"/>
  <c r="BQ302" i="32"/>
  <c r="BP302" i="32"/>
  <c r="BO302" i="32"/>
  <c r="BN302" i="32"/>
  <c r="BM302" i="32"/>
  <c r="BL302" i="32"/>
  <c r="BK302" i="32"/>
  <c r="BJ302" i="32"/>
  <c r="BI302" i="32"/>
  <c r="BH302" i="32"/>
  <c r="BG302" i="32"/>
  <c r="BF302" i="32"/>
  <c r="BE302" i="32"/>
  <c r="BD302" i="32"/>
  <c r="BC302" i="32"/>
  <c r="BB302" i="32"/>
  <c r="BA302" i="32"/>
  <c r="AZ302" i="32"/>
  <c r="AY302" i="32"/>
  <c r="AX302" i="32"/>
  <c r="AW302" i="32"/>
  <c r="AV302" i="32"/>
  <c r="AU302" i="32"/>
  <c r="AT302" i="32"/>
  <c r="AS302" i="32"/>
  <c r="AR302" i="32"/>
  <c r="AQ302" i="32"/>
  <c r="AP302" i="32"/>
  <c r="AO302" i="32"/>
  <c r="AN302" i="32"/>
  <c r="AM302" i="32"/>
  <c r="AL302" i="32"/>
  <c r="AK302" i="32"/>
  <c r="AJ302" i="32"/>
  <c r="AI302" i="32"/>
  <c r="AH302" i="32"/>
  <c r="AG302" i="32"/>
  <c r="AF302" i="32"/>
  <c r="AE302" i="32"/>
  <c r="AD302" i="32"/>
  <c r="AC302" i="32"/>
  <c r="AB302" i="32"/>
  <c r="AA302" i="32"/>
  <c r="Z302" i="32"/>
  <c r="Y302" i="32"/>
  <c r="X302" i="32"/>
  <c r="W302" i="32"/>
  <c r="V302" i="32"/>
  <c r="U302" i="32"/>
  <c r="T302" i="32"/>
  <c r="S302" i="32"/>
  <c r="R302" i="32"/>
  <c r="Q302" i="32"/>
  <c r="P302" i="32"/>
  <c r="O302" i="32"/>
  <c r="N302" i="32"/>
  <c r="M302" i="32"/>
  <c r="L302" i="32"/>
  <c r="K302" i="32"/>
  <c r="J302" i="32"/>
  <c r="I302" i="32"/>
  <c r="CJ301" i="32"/>
  <c r="CI301" i="32"/>
  <c r="CH301" i="32"/>
  <c r="CG301" i="32"/>
  <c r="CF301" i="32"/>
  <c r="CE301" i="32"/>
  <c r="CD301" i="32"/>
  <c r="CC301" i="32"/>
  <c r="CB301" i="32"/>
  <c r="CA301" i="32"/>
  <c r="BZ301" i="32"/>
  <c r="BY301" i="32"/>
  <c r="BH301" i="32"/>
  <c r="BG301" i="32"/>
  <c r="BF301" i="32"/>
  <c r="BE301" i="32"/>
  <c r="BD301" i="32"/>
  <c r="BC301" i="32"/>
  <c r="BB301" i="32"/>
  <c r="BA301" i="32"/>
  <c r="AZ301" i="32"/>
  <c r="AW301" i="32"/>
  <c r="AV301" i="32"/>
  <c r="AU301" i="32"/>
  <c r="AL301" i="32"/>
  <c r="AK301" i="32"/>
  <c r="AJ301" i="32"/>
  <c r="AI301" i="32"/>
  <c r="AH301" i="32"/>
  <c r="AD301" i="32"/>
  <c r="AC301" i="32"/>
  <c r="AB301" i="32"/>
  <c r="AA301" i="32"/>
  <c r="Z301" i="32"/>
  <c r="Y301" i="32"/>
  <c r="X301" i="32"/>
  <c r="U301" i="32"/>
  <c r="T301" i="32"/>
  <c r="S301" i="32"/>
  <c r="R301" i="32"/>
  <c r="Q301" i="32"/>
  <c r="P301" i="32"/>
  <c r="O301" i="32"/>
  <c r="N301" i="32"/>
  <c r="M301" i="32"/>
  <c r="L301" i="32"/>
  <c r="K301" i="32"/>
  <c r="J301" i="32"/>
  <c r="I301" i="32"/>
  <c r="CJ300" i="32"/>
  <c r="CI300" i="32"/>
  <c r="CH300" i="32"/>
  <c r="CG300" i="32"/>
  <c r="CF300" i="32"/>
  <c r="CE300" i="32"/>
  <c r="CD300" i="32"/>
  <c r="CC300" i="32"/>
  <c r="CB300" i="32"/>
  <c r="CA300" i="32"/>
  <c r="BZ300" i="32"/>
  <c r="BY300" i="32"/>
  <c r="BH300" i="32"/>
  <c r="BG300" i="32"/>
  <c r="BF300" i="32"/>
  <c r="BE300" i="32"/>
  <c r="BD300" i="32"/>
  <c r="BC300" i="32"/>
  <c r="BB300" i="32"/>
  <c r="BA300" i="32"/>
  <c r="AZ300" i="32"/>
  <c r="AW300" i="32"/>
  <c r="AV300" i="32"/>
  <c r="AU300" i="32"/>
  <c r="AL300" i="32"/>
  <c r="AK300" i="32"/>
  <c r="AJ300" i="32"/>
  <c r="AI300" i="32"/>
  <c r="AH300" i="32"/>
  <c r="AD300" i="32"/>
  <c r="AC300" i="32"/>
  <c r="AB300" i="32"/>
  <c r="AA300" i="32"/>
  <c r="Z300" i="32"/>
  <c r="Y300" i="32"/>
  <c r="X300" i="32"/>
  <c r="U300" i="32"/>
  <c r="T300" i="32"/>
  <c r="S300" i="32"/>
  <c r="R300" i="32"/>
  <c r="Q300" i="32"/>
  <c r="P300" i="32"/>
  <c r="O300" i="32"/>
  <c r="N300" i="32"/>
  <c r="M300" i="32"/>
  <c r="L300" i="32"/>
  <c r="K300" i="32"/>
  <c r="J300" i="32"/>
  <c r="I300" i="32"/>
  <c r="CJ299" i="32"/>
  <c r="CI299" i="32"/>
  <c r="CH299" i="32"/>
  <c r="CG299" i="32"/>
  <c r="CF299" i="32"/>
  <c r="CE299" i="32"/>
  <c r="CD299" i="32"/>
  <c r="CC299" i="32"/>
  <c r="CB299" i="32"/>
  <c r="CA299" i="32"/>
  <c r="BZ299" i="32"/>
  <c r="BY299" i="32"/>
  <c r="BH299" i="32"/>
  <c r="BG299" i="32"/>
  <c r="BF299" i="32"/>
  <c r="BE299" i="32"/>
  <c r="BD299" i="32"/>
  <c r="BC299" i="32"/>
  <c r="BB299" i="32"/>
  <c r="BA299" i="32"/>
  <c r="AZ299" i="32"/>
  <c r="AW299" i="32"/>
  <c r="AV299" i="32"/>
  <c r="AU299" i="32"/>
  <c r="AL299" i="32"/>
  <c r="AK299" i="32"/>
  <c r="AJ299" i="32"/>
  <c r="AI299" i="32"/>
  <c r="AH299" i="32"/>
  <c r="AD299" i="32"/>
  <c r="AC299" i="32"/>
  <c r="AB299" i="32"/>
  <c r="AA299" i="32"/>
  <c r="Z299" i="32"/>
  <c r="Y299" i="32"/>
  <c r="X299" i="32"/>
  <c r="U299" i="32"/>
  <c r="T299" i="32"/>
  <c r="S299" i="32"/>
  <c r="R299" i="32"/>
  <c r="Q299" i="32"/>
  <c r="P299" i="32"/>
  <c r="O299" i="32"/>
  <c r="N299" i="32"/>
  <c r="M299" i="32"/>
  <c r="L299" i="32"/>
  <c r="K299" i="32"/>
  <c r="J299" i="32"/>
  <c r="I299" i="32"/>
  <c r="CJ298" i="32"/>
  <c r="CI298" i="32"/>
  <c r="CH298" i="32"/>
  <c r="CG298" i="32"/>
  <c r="CF298" i="32"/>
  <c r="CE298" i="32"/>
  <c r="CD298" i="32"/>
  <c r="CC298" i="32"/>
  <c r="CB298" i="32"/>
  <c r="CA298" i="32"/>
  <c r="BZ298" i="32"/>
  <c r="BH298" i="32"/>
  <c r="BG298" i="32"/>
  <c r="BF298" i="32"/>
  <c r="BE298" i="32"/>
  <c r="BD298" i="32"/>
  <c r="BC298" i="32"/>
  <c r="BB298" i="32"/>
  <c r="BA298" i="32"/>
  <c r="AZ298" i="32"/>
  <c r="AW298" i="32"/>
  <c r="AV298" i="32"/>
  <c r="AU298" i="32"/>
  <c r="AL298" i="32"/>
  <c r="AK298" i="32"/>
  <c r="AJ298" i="32"/>
  <c r="AI298" i="32"/>
  <c r="AH298" i="32"/>
  <c r="AD298" i="32"/>
  <c r="AC298" i="32"/>
  <c r="AB298" i="32"/>
  <c r="AA298" i="32"/>
  <c r="Z298" i="32"/>
  <c r="Y298" i="32"/>
  <c r="X298" i="32"/>
  <c r="U298" i="32"/>
  <c r="T298" i="32"/>
  <c r="S298" i="32"/>
  <c r="R298" i="32"/>
  <c r="Q298" i="32"/>
  <c r="P298" i="32"/>
  <c r="O298" i="32"/>
  <c r="N298" i="32"/>
  <c r="M298" i="32"/>
  <c r="L298" i="32"/>
  <c r="K298" i="32"/>
  <c r="J298" i="32"/>
  <c r="I298" i="32"/>
  <c r="U294" i="32"/>
  <c r="T294" i="32"/>
  <c r="S294" i="32"/>
  <c r="L18" i="47" s="1"/>
  <c r="R294" i="32"/>
  <c r="Q294" i="32"/>
  <c r="J18" i="47" s="1"/>
  <c r="P294" i="32"/>
  <c r="I18" i="47" s="1"/>
  <c r="O294" i="32"/>
  <c r="N294" i="32"/>
  <c r="M294" i="32"/>
  <c r="F18" i="47" s="1"/>
  <c r="L294" i="32"/>
  <c r="K294" i="32"/>
  <c r="J294" i="32"/>
  <c r="I294" i="32"/>
  <c r="B18" i="47" s="1"/>
  <c r="CJ293" i="32"/>
  <c r="CI293" i="32"/>
  <c r="CH293" i="32"/>
  <c r="CG293" i="32"/>
  <c r="CF293" i="32"/>
  <c r="CE293" i="32"/>
  <c r="CD293" i="32"/>
  <c r="CC293" i="32"/>
  <c r="CB293" i="32"/>
  <c r="CA293" i="32"/>
  <c r="BZ293" i="32"/>
  <c r="BY293" i="32"/>
  <c r="BX292" i="32"/>
  <c r="BX293" i="32" s="1"/>
  <c r="BW292" i="32"/>
  <c r="BW293" i="32" s="1"/>
  <c r="BR292" i="32"/>
  <c r="BR293" i="32" s="1"/>
  <c r="BU292" i="32"/>
  <c r="BU293" i="32" s="1"/>
  <c r="BQ292" i="32"/>
  <c r="BQ293" i="32" s="1"/>
  <c r="CJ291" i="32"/>
  <c r="CI291" i="32"/>
  <c r="CH291" i="32"/>
  <c r="CG291" i="32"/>
  <c r="CF291" i="32"/>
  <c r="CE291" i="32"/>
  <c r="CD291" i="32"/>
  <c r="CC291" i="32"/>
  <c r="CB291" i="32"/>
  <c r="CA291" i="32"/>
  <c r="BZ291" i="32"/>
  <c r="BY291" i="32"/>
  <c r="BP290" i="32"/>
  <c r="BX290" i="32"/>
  <c r="BU290" i="32"/>
  <c r="BR290" i="32"/>
  <c r="BQ290" i="32"/>
  <c r="BX289" i="32"/>
  <c r="BW289" i="32"/>
  <c r="BU289" i="32"/>
  <c r="BR289" i="32"/>
  <c r="BN289" i="32"/>
  <c r="BX288" i="32"/>
  <c r="BW288" i="32"/>
  <c r="BU288" i="32"/>
  <c r="BO288" i="32"/>
  <c r="BX287" i="32"/>
  <c r="BR287" i="32"/>
  <c r="BO287" i="32"/>
  <c r="BW287" i="32"/>
  <c r="BU287" i="32"/>
  <c r="BW286" i="32"/>
  <c r="BU286" i="32"/>
  <c r="BR286" i="32"/>
  <c r="BX285" i="32"/>
  <c r="BQ285" i="32"/>
  <c r="BR285" i="32"/>
  <c r="CJ284" i="32"/>
  <c r="CI284" i="32"/>
  <c r="CH284" i="32"/>
  <c r="CG284" i="32"/>
  <c r="CF284" i="32"/>
  <c r="CE284" i="32"/>
  <c r="CD284" i="32"/>
  <c r="CC284" i="32"/>
  <c r="CB284" i="32"/>
  <c r="CA284" i="32"/>
  <c r="BZ284" i="32"/>
  <c r="BY284" i="32"/>
  <c r="BV283" i="32"/>
  <c r="BN283" i="32"/>
  <c r="BX283" i="32"/>
  <c r="BU283" i="32"/>
  <c r="BR283" i="32"/>
  <c r="BW282" i="32"/>
  <c r="BU282" i="32"/>
  <c r="BR282" i="32"/>
  <c r="BQ282" i="32"/>
  <c r="BX282" i="32"/>
  <c r="BW281" i="32"/>
  <c r="BR281" i="32"/>
  <c r="BQ281" i="32"/>
  <c r="BX281" i="32"/>
  <c r="BV281" i="32"/>
  <c r="BU281" i="32"/>
  <c r="BX280" i="32"/>
  <c r="BW280" i="32"/>
  <c r="BR280" i="32"/>
  <c r="BU280" i="32"/>
  <c r="BX279" i="32"/>
  <c r="BU279" i="32"/>
  <c r="BR279" i="32"/>
  <c r="BO279" i="32"/>
  <c r="BN279" i="32"/>
  <c r="BQ279" i="32"/>
  <c r="BR278" i="32"/>
  <c r="BU278" i="32"/>
  <c r="BP278" i="32"/>
  <c r="CJ277" i="32"/>
  <c r="CI277" i="32"/>
  <c r="CH277" i="32"/>
  <c r="CG277" i="32"/>
  <c r="CF277" i="32"/>
  <c r="CE277" i="32"/>
  <c r="CD277" i="32"/>
  <c r="CC277" i="32"/>
  <c r="CB277" i="32"/>
  <c r="CA277" i="32"/>
  <c r="BZ277" i="32"/>
  <c r="BY277" i="32"/>
  <c r="BU276" i="32"/>
  <c r="BQ276" i="32"/>
  <c r="BX276" i="32"/>
  <c r="BR276" i="32"/>
  <c r="BO276" i="32"/>
  <c r="BX275" i="32"/>
  <c r="BR275" i="32"/>
  <c r="BO275" i="32"/>
  <c r="BW275" i="32"/>
  <c r="BU275" i="32"/>
  <c r="BQ275" i="32"/>
  <c r="BX274" i="32"/>
  <c r="BU274" i="32"/>
  <c r="BQ274" i="32"/>
  <c r="BW274" i="32"/>
  <c r="BR274" i="32"/>
  <c r="BP274" i="32"/>
  <c r="BP273" i="32"/>
  <c r="BX273" i="32"/>
  <c r="BU273" i="32"/>
  <c r="BR273" i="32"/>
  <c r="BQ273" i="32"/>
  <c r="BW272" i="32"/>
  <c r="BR272" i="32"/>
  <c r="BQ272" i="32"/>
  <c r="BU272" i="32"/>
  <c r="BX271" i="32"/>
  <c r="BQ271" i="32"/>
  <c r="BU271" i="32"/>
  <c r="CJ270" i="32"/>
  <c r="CI270" i="32"/>
  <c r="CH270" i="32"/>
  <c r="CG270" i="32"/>
  <c r="CF270" i="32"/>
  <c r="CE270" i="32"/>
  <c r="CD270" i="32"/>
  <c r="CC270" i="32"/>
  <c r="CB270" i="32"/>
  <c r="CA270" i="32"/>
  <c r="BZ270" i="32"/>
  <c r="BY270" i="32"/>
  <c r="BW269" i="32"/>
  <c r="BQ269" i="32"/>
  <c r="BX269" i="32"/>
  <c r="BU269" i="32"/>
  <c r="BR269" i="32"/>
  <c r="BP269" i="32"/>
  <c r="BO269" i="32"/>
  <c r="BN269" i="32"/>
  <c r="BU268" i="32"/>
  <c r="BQ268" i="32"/>
  <c r="BO268" i="32"/>
  <c r="BX268" i="32"/>
  <c r="BW268" i="32"/>
  <c r="BU267" i="32"/>
  <c r="BR267" i="32"/>
  <c r="BV267" i="32"/>
  <c r="BX267" i="32"/>
  <c r="BW267" i="32"/>
  <c r="BQ267" i="32"/>
  <c r="BW266" i="32"/>
  <c r="BQ266" i="32"/>
  <c r="BV266" i="32"/>
  <c r="BX266" i="32"/>
  <c r="BU266" i="32"/>
  <c r="BR266" i="32"/>
  <c r="BN266" i="32"/>
  <c r="BX265" i="32"/>
  <c r="BU265" i="32"/>
  <c r="BR265" i="32"/>
  <c r="BN265" i="32"/>
  <c r="BV265" i="32"/>
  <c r="BW265" i="32"/>
  <c r="BO265" i="32"/>
  <c r="BU264" i="32"/>
  <c r="BR264" i="32"/>
  <c r="CJ263" i="32"/>
  <c r="CI263" i="32"/>
  <c r="CH263" i="32"/>
  <c r="CG263" i="32"/>
  <c r="CF263" i="32"/>
  <c r="CE263" i="32"/>
  <c r="CD263" i="32"/>
  <c r="CC263" i="32"/>
  <c r="CB263" i="32"/>
  <c r="CA263" i="32"/>
  <c r="BZ263" i="32"/>
  <c r="BY263" i="32"/>
  <c r="BU262" i="32"/>
  <c r="BR262" i="32"/>
  <c r="BO262" i="32"/>
  <c r="BX262" i="32"/>
  <c r="BN262" i="32"/>
  <c r="BW261" i="32"/>
  <c r="BU261" i="32"/>
  <c r="BR261" i="32"/>
  <c r="BO261" i="32"/>
  <c r="BW260" i="32"/>
  <c r="BR260" i="32"/>
  <c r="BX260" i="32"/>
  <c r="BX259" i="32"/>
  <c r="BU259" i="32"/>
  <c r="BR259" i="32"/>
  <c r="BQ259" i="32"/>
  <c r="BN259" i="32"/>
  <c r="BU258" i="32"/>
  <c r="BR258" i="32"/>
  <c r="BX258" i="32"/>
  <c r="BP258" i="32"/>
  <c r="BQ258" i="32"/>
  <c r="BU257" i="32"/>
  <c r="BQ257" i="32"/>
  <c r="BX257" i="32"/>
  <c r="CJ256" i="32"/>
  <c r="CI256" i="32"/>
  <c r="CH256" i="32"/>
  <c r="CG256" i="32"/>
  <c r="CF256" i="32"/>
  <c r="CE256" i="32"/>
  <c r="CD256" i="32"/>
  <c r="CC256" i="32"/>
  <c r="CB256" i="32"/>
  <c r="CA256" i="32"/>
  <c r="BZ256" i="32"/>
  <c r="BY256" i="32"/>
  <c r="BX255" i="32"/>
  <c r="BQ255" i="32"/>
  <c r="BU255" i="32"/>
  <c r="BX254" i="32"/>
  <c r="BW254" i="32"/>
  <c r="BV254" i="32"/>
  <c r="BQ254" i="32"/>
  <c r="BU254" i="32"/>
  <c r="BR254" i="32"/>
  <c r="BX253" i="32"/>
  <c r="BU253" i="32"/>
  <c r="BQ253" i="32"/>
  <c r="BR253" i="32"/>
  <c r="BP252" i="32"/>
  <c r="BX252" i="32"/>
  <c r="BU252" i="32"/>
  <c r="BQ252" i="32"/>
  <c r="BO252" i="32"/>
  <c r="BU251" i="32"/>
  <c r="BO251" i="32"/>
  <c r="BX251" i="32"/>
  <c r="BV251" i="32"/>
  <c r="BX250" i="32"/>
  <c r="BU250" i="32"/>
  <c r="BR250" i="32"/>
  <c r="BQ250" i="32"/>
  <c r="CJ249" i="32"/>
  <c r="CI249" i="32"/>
  <c r="CH249" i="32"/>
  <c r="CG249" i="32"/>
  <c r="CF249" i="32"/>
  <c r="CE249" i="32"/>
  <c r="CD249" i="32"/>
  <c r="CC249" i="32"/>
  <c r="CB249" i="32"/>
  <c r="CA249" i="32"/>
  <c r="BZ249" i="32"/>
  <c r="BY249" i="32"/>
  <c r="BX248" i="32"/>
  <c r="BU248" i="32"/>
  <c r="BR248" i="32"/>
  <c r="BQ248" i="32"/>
  <c r="BW248" i="32"/>
  <c r="BN248" i="32"/>
  <c r="BR247" i="32"/>
  <c r="BX247" i="32"/>
  <c r="BU247" i="32"/>
  <c r="BQ247" i="32"/>
  <c r="BO247" i="32"/>
  <c r="BN247" i="32"/>
  <c r="BU246" i="32"/>
  <c r="BP246" i="32"/>
  <c r="BR246" i="32"/>
  <c r="CJ245" i="32"/>
  <c r="CI245" i="32"/>
  <c r="CH245" i="32"/>
  <c r="CG245" i="32"/>
  <c r="CF245" i="32"/>
  <c r="CE245" i="32"/>
  <c r="CD245" i="32"/>
  <c r="CC245" i="32"/>
  <c r="CB245" i="32"/>
  <c r="CA245" i="32"/>
  <c r="BZ245" i="32"/>
  <c r="BY245" i="32"/>
  <c r="BW244" i="32"/>
  <c r="BU244" i="32"/>
  <c r="BO244" i="32"/>
  <c r="BX244" i="32"/>
  <c r="BR244" i="32"/>
  <c r="BQ244" i="32"/>
  <c r="BX243" i="32"/>
  <c r="BW243" i="32"/>
  <c r="BQ243" i="32"/>
  <c r="BV243" i="32"/>
  <c r="BU243" i="32"/>
  <c r="BR243" i="32"/>
  <c r="BN243" i="32"/>
  <c r="BX242" i="32"/>
  <c r="BU242" i="32"/>
  <c r="BQ242" i="32"/>
  <c r="BO242" i="32"/>
  <c r="BR242" i="32"/>
  <c r="BR241" i="32"/>
  <c r="BX241" i="32"/>
  <c r="BU241" i="32"/>
  <c r="BP241" i="32"/>
  <c r="BQ241" i="32"/>
  <c r="BU240" i="32"/>
  <c r="BP240" i="32"/>
  <c r="BO240" i="32"/>
  <c r="BV240" i="32"/>
  <c r="BX240" i="32"/>
  <c r="BW240" i="32"/>
  <c r="BR240" i="32"/>
  <c r="BQ240" i="32"/>
  <c r="BN240" i="32"/>
  <c r="BX239" i="32"/>
  <c r="BU239" i="32"/>
  <c r="BR239" i="32"/>
  <c r="CJ238" i="32"/>
  <c r="CI238" i="32"/>
  <c r="CH238" i="32"/>
  <c r="CG238" i="32"/>
  <c r="CF238" i="32"/>
  <c r="CE238" i="32"/>
  <c r="CD238" i="32"/>
  <c r="CC238" i="32"/>
  <c r="CB238" i="32"/>
  <c r="CA238" i="32"/>
  <c r="BZ238" i="32"/>
  <c r="BY238" i="32"/>
  <c r="BW237" i="32"/>
  <c r="BN237" i="32"/>
  <c r="BX237" i="32"/>
  <c r="BU237" i="32"/>
  <c r="BQ237" i="32"/>
  <c r="BX236" i="32"/>
  <c r="BU236" i="32"/>
  <c r="BR236" i="32"/>
  <c r="BQ236" i="32"/>
  <c r="BU235" i="32"/>
  <c r="BR235" i="32"/>
  <c r="BN235" i="32"/>
  <c r="BX235" i="32"/>
  <c r="BQ235" i="32"/>
  <c r="CJ234" i="32"/>
  <c r="CI234" i="32"/>
  <c r="CH234" i="32"/>
  <c r="CG234" i="32"/>
  <c r="CF234" i="32"/>
  <c r="CE234" i="32"/>
  <c r="CD234" i="32"/>
  <c r="CC234" i="32"/>
  <c r="CB234" i="32"/>
  <c r="CA234" i="32"/>
  <c r="BZ234" i="32"/>
  <c r="BY234" i="32"/>
  <c r="BU233" i="32"/>
  <c r="BR233" i="32"/>
  <c r="BN233" i="32"/>
  <c r="BX233" i="32"/>
  <c r="BW233" i="32"/>
  <c r="BO233" i="32"/>
  <c r="BW232" i="32"/>
  <c r="BV232" i="32"/>
  <c r="BN232" i="32"/>
  <c r="BX232" i="32"/>
  <c r="BU232" i="32"/>
  <c r="BR232" i="32"/>
  <c r="BQ232" i="32"/>
  <c r="BX231" i="32"/>
  <c r="BW231" i="32"/>
  <c r="BU231" i="32"/>
  <c r="BR231" i="32"/>
  <c r="BO231" i="32"/>
  <c r="BV231" i="32"/>
  <c r="BM231" i="32"/>
  <c r="BU230" i="32"/>
  <c r="BN230" i="32"/>
  <c r="BX230" i="32"/>
  <c r="BR230" i="32"/>
  <c r="BQ230" i="32"/>
  <c r="BU229" i="32"/>
  <c r="BQ229" i="32"/>
  <c r="BV229" i="32"/>
  <c r="BX229" i="32"/>
  <c r="BP229" i="32"/>
  <c r="BR229" i="32"/>
  <c r="BO229" i="32"/>
  <c r="BN229" i="32"/>
  <c r="BW228" i="32"/>
  <c r="BU228" i="32"/>
  <c r="BR228" i="32"/>
  <c r="BO228" i="32"/>
  <c r="CJ227" i="32"/>
  <c r="CI227" i="32"/>
  <c r="CH227" i="32"/>
  <c r="CG227" i="32"/>
  <c r="CF227" i="32"/>
  <c r="CE227" i="32"/>
  <c r="CD227" i="32"/>
  <c r="CC227" i="32"/>
  <c r="CB227" i="32"/>
  <c r="CA227" i="32"/>
  <c r="BZ227" i="32"/>
  <c r="BY227" i="32"/>
  <c r="BX226" i="32"/>
  <c r="BW226" i="32"/>
  <c r="BQ226" i="32"/>
  <c r="BN226" i="32"/>
  <c r="BU226" i="32"/>
  <c r="BR226" i="32"/>
  <c r="BX225" i="32"/>
  <c r="BQ225" i="32"/>
  <c r="BW225" i="32"/>
  <c r="BU225" i="32"/>
  <c r="BR225" i="32"/>
  <c r="BO225" i="32"/>
  <c r="BX224" i="32"/>
  <c r="BU224" i="32"/>
  <c r="BR224" i="32"/>
  <c r="BQ224" i="32"/>
  <c r="BN223" i="32"/>
  <c r="BX223" i="32"/>
  <c r="BW223" i="32"/>
  <c r="BU223" i="32"/>
  <c r="BR223" i="32"/>
  <c r="BO223" i="32"/>
  <c r="BU222" i="32"/>
  <c r="BR222" i="32"/>
  <c r="BQ222" i="32"/>
  <c r="BX222" i="32"/>
  <c r="BQ221" i="32"/>
  <c r="BX221" i="32"/>
  <c r="CJ220" i="32"/>
  <c r="CI220" i="32"/>
  <c r="CH220" i="32"/>
  <c r="CG220" i="32"/>
  <c r="CF220" i="32"/>
  <c r="CE220" i="32"/>
  <c r="CD220" i="32"/>
  <c r="CC220" i="32"/>
  <c r="CB220" i="32"/>
  <c r="CA220" i="32"/>
  <c r="BZ220" i="32"/>
  <c r="BY220" i="32"/>
  <c r="BX219" i="32"/>
  <c r="BU219" i="32"/>
  <c r="BR219" i="32"/>
  <c r="BW219" i="32"/>
  <c r="BO219" i="32"/>
  <c r="BR218" i="32"/>
  <c r="BX218" i="32"/>
  <c r="BU218" i="32"/>
  <c r="BP218" i="32"/>
  <c r="BQ218" i="32"/>
  <c r="BQ217" i="32"/>
  <c r="BX217" i="32"/>
  <c r="BR217" i="32"/>
  <c r="CJ216" i="32"/>
  <c r="CI216" i="32"/>
  <c r="CH216" i="32"/>
  <c r="CG216" i="32"/>
  <c r="CF216" i="32"/>
  <c r="CE216" i="32"/>
  <c r="CD216" i="32"/>
  <c r="CC216" i="32"/>
  <c r="CB216" i="32"/>
  <c r="CA216" i="32"/>
  <c r="BZ216" i="32"/>
  <c r="BY216" i="32"/>
  <c r="BU215" i="32"/>
  <c r="BU216" i="32" s="1"/>
  <c r="BR215" i="32"/>
  <c r="BR216" i="32" s="1"/>
  <c r="BW215" i="32"/>
  <c r="BW216" i="32" s="1"/>
  <c r="BQ215" i="32"/>
  <c r="BQ216" i="32" s="1"/>
  <c r="CJ214" i="32"/>
  <c r="CI214" i="32"/>
  <c r="CH214" i="32"/>
  <c r="CG214" i="32"/>
  <c r="CF214" i="32"/>
  <c r="CE214" i="32"/>
  <c r="CD214" i="32"/>
  <c r="CC214" i="32"/>
  <c r="CB214" i="32"/>
  <c r="CA214" i="32"/>
  <c r="BZ214" i="32"/>
  <c r="BY214" i="32"/>
  <c r="BX213" i="32"/>
  <c r="BU213" i="32"/>
  <c r="BR213" i="32"/>
  <c r="BQ213" i="32"/>
  <c r="BX212" i="32"/>
  <c r="BU212" i="32"/>
  <c r="BR212" i="32"/>
  <c r="BQ212" i="32"/>
  <c r="BW211" i="32"/>
  <c r="BQ211" i="32"/>
  <c r="BN211" i="32"/>
  <c r="BX211" i="32"/>
  <c r="BV211" i="32"/>
  <c r="BU211" i="32"/>
  <c r="BP211" i="32"/>
  <c r="BR211" i="32"/>
  <c r="BW210" i="32"/>
  <c r="BU210" i="32"/>
  <c r="BO210" i="32"/>
  <c r="BX210" i="32"/>
  <c r="BV210" i="32"/>
  <c r="BR210" i="32"/>
  <c r="BU209" i="32"/>
  <c r="BR209" i="32"/>
  <c r="BQ209" i="32"/>
  <c r="BX209" i="32"/>
  <c r="BP209" i="32"/>
  <c r="BO209" i="32"/>
  <c r="BW208" i="32"/>
  <c r="BR208" i="32"/>
  <c r="BV208" i="32"/>
  <c r="BX208" i="32"/>
  <c r="BU208" i="32"/>
  <c r="BP208" i="32"/>
  <c r="BQ208" i="32"/>
  <c r="BX207" i="32"/>
  <c r="BR207" i="32"/>
  <c r="BQ207" i="32"/>
  <c r="BU207" i="32"/>
  <c r="BW206" i="32"/>
  <c r="BR206" i="32"/>
  <c r="BX206" i="32"/>
  <c r="CJ205" i="32"/>
  <c r="CI205" i="32"/>
  <c r="CH205" i="32"/>
  <c r="CG205" i="32"/>
  <c r="CF205" i="32"/>
  <c r="CE205" i="32"/>
  <c r="CD205" i="32"/>
  <c r="CC205" i="32"/>
  <c r="CB205" i="32"/>
  <c r="CA205" i="32"/>
  <c r="BZ205" i="32"/>
  <c r="BY205" i="32"/>
  <c r="BR204" i="32"/>
  <c r="BX204" i="32"/>
  <c r="BU204" i="32"/>
  <c r="BP204" i="32"/>
  <c r="BQ204" i="32"/>
  <c r="BN203" i="32"/>
  <c r="BV203" i="32"/>
  <c r="BX203" i="32"/>
  <c r="BW203" i="32"/>
  <c r="BU203" i="32"/>
  <c r="BR203" i="32"/>
  <c r="BO203" i="32"/>
  <c r="BU202" i="32"/>
  <c r="BR202" i="32"/>
  <c r="BQ202" i="32"/>
  <c r="BP202" i="32"/>
  <c r="BX202" i="32"/>
  <c r="BV202" i="32"/>
  <c r="BO202" i="32"/>
  <c r="BU201" i="32"/>
  <c r="BX201" i="32"/>
  <c r="BW200" i="32"/>
  <c r="BR200" i="32"/>
  <c r="BQ200" i="32"/>
  <c r="BP200" i="32"/>
  <c r="CJ199" i="32"/>
  <c r="CI199" i="32"/>
  <c r="CH199" i="32"/>
  <c r="CG199" i="32"/>
  <c r="CF199" i="32"/>
  <c r="CE199" i="32"/>
  <c r="CD199" i="32"/>
  <c r="CC199" i="32"/>
  <c r="CB199" i="32"/>
  <c r="CA199" i="32"/>
  <c r="BZ199" i="32"/>
  <c r="BY199" i="32"/>
  <c r="BX198" i="32"/>
  <c r="BU198" i="32"/>
  <c r="BP198" i="32"/>
  <c r="BQ198" i="32"/>
  <c r="BQ197" i="32"/>
  <c r="BX197" i="32"/>
  <c r="BV197" i="32"/>
  <c r="BU197" i="32"/>
  <c r="BR197" i="32"/>
  <c r="BU196" i="32"/>
  <c r="BW196" i="32"/>
  <c r="CJ195" i="32"/>
  <c r="CI195" i="32"/>
  <c r="CH195" i="32"/>
  <c r="CG195" i="32"/>
  <c r="CF195" i="32"/>
  <c r="CE195" i="32"/>
  <c r="CD195" i="32"/>
  <c r="CC195" i="32"/>
  <c r="CB195" i="32"/>
  <c r="CA195" i="32"/>
  <c r="BZ195" i="32"/>
  <c r="BY195" i="32"/>
  <c r="BU194" i="32"/>
  <c r="BX194" i="32"/>
  <c r="BW194" i="32"/>
  <c r="BR194" i="32"/>
  <c r="BQ194" i="32"/>
  <c r="BO194" i="32"/>
  <c r="BU193" i="32"/>
  <c r="BO193" i="32"/>
  <c r="BX193" i="32"/>
  <c r="BR193" i="32"/>
  <c r="BQ193" i="32"/>
  <c r="BN193" i="32"/>
  <c r="BW192" i="32"/>
  <c r="BU192" i="32"/>
  <c r="BR192" i="32"/>
  <c r="BO192" i="32"/>
  <c r="BX191" i="32"/>
  <c r="BW191" i="32"/>
  <c r="BV191" i="32"/>
  <c r="BU191" i="32"/>
  <c r="BR191" i="32"/>
  <c r="BP191" i="32"/>
  <c r="BX190" i="32"/>
  <c r="BW190" i="32"/>
  <c r="BU190" i="32"/>
  <c r="BQ190" i="32"/>
  <c r="BX189" i="32"/>
  <c r="CJ188" i="32"/>
  <c r="CI188" i="32"/>
  <c r="CH188" i="32"/>
  <c r="CG188" i="32"/>
  <c r="CF188" i="32"/>
  <c r="CE188" i="32"/>
  <c r="CD188" i="32"/>
  <c r="CC188" i="32"/>
  <c r="CB188" i="32"/>
  <c r="CA188" i="32"/>
  <c r="BZ188" i="32"/>
  <c r="BY188" i="32"/>
  <c r="BU187" i="32"/>
  <c r="BX187" i="32"/>
  <c r="BR187" i="32"/>
  <c r="BQ187" i="32"/>
  <c r="BN187" i="32"/>
  <c r="BW186" i="32"/>
  <c r="BU186" i="32"/>
  <c r="BQ186" i="32"/>
  <c r="BV186" i="32"/>
  <c r="BR186" i="32"/>
  <c r="BM186" i="32"/>
  <c r="BO186" i="32"/>
  <c r="BX185" i="32"/>
  <c r="BW185" i="32"/>
  <c r="BQ185" i="32"/>
  <c r="BU185" i="32"/>
  <c r="BR185" i="32"/>
  <c r="BX184" i="32"/>
  <c r="BW184" i="32"/>
  <c r="BV184" i="32"/>
  <c r="BU184" i="32"/>
  <c r="BX183" i="32"/>
  <c r="BU183" i="32"/>
  <c r="BR183" i="32"/>
  <c r="BQ183" i="32"/>
  <c r="CJ182" i="32"/>
  <c r="CI182" i="32"/>
  <c r="CH182" i="32"/>
  <c r="CG182" i="32"/>
  <c r="CF182" i="32"/>
  <c r="CE182" i="32"/>
  <c r="CD182" i="32"/>
  <c r="CC182" i="32"/>
  <c r="CB182" i="32"/>
  <c r="CA182" i="32"/>
  <c r="BZ182" i="32"/>
  <c r="BY182" i="32"/>
  <c r="BW181" i="32"/>
  <c r="BU181" i="32"/>
  <c r="BX181" i="32"/>
  <c r="BR181" i="32"/>
  <c r="BN181" i="32"/>
  <c r="BX180" i="32"/>
  <c r="BU180" i="32"/>
  <c r="BR180" i="32"/>
  <c r="BW179" i="32"/>
  <c r="BQ179" i="32"/>
  <c r="BV179" i="32"/>
  <c r="BX179" i="32"/>
  <c r="BU179" i="32"/>
  <c r="CJ178" i="32"/>
  <c r="CI178" i="32"/>
  <c r="CH178" i="32"/>
  <c r="CG178" i="32"/>
  <c r="CF178" i="32"/>
  <c r="CE178" i="32"/>
  <c r="CD178" i="32"/>
  <c r="CC178" i="32"/>
  <c r="CB178" i="32"/>
  <c r="CA178" i="32"/>
  <c r="BZ178" i="32"/>
  <c r="BY178" i="32"/>
  <c r="BR177" i="32"/>
  <c r="BX177" i="32"/>
  <c r="BU177" i="32"/>
  <c r="BP177" i="32"/>
  <c r="BQ177" i="32"/>
  <c r="BX176" i="32"/>
  <c r="BW176" i="32"/>
  <c r="BU176" i="32"/>
  <c r="BR176" i="32"/>
  <c r="BQ176" i="32"/>
  <c r="BU175" i="32"/>
  <c r="BX175" i="32"/>
  <c r="BV175" i="32"/>
  <c r="BR175" i="32"/>
  <c r="BQ175" i="32"/>
  <c r="BO175" i="32"/>
  <c r="BU174" i="32"/>
  <c r="BR174" i="32"/>
  <c r="BV174" i="32"/>
  <c r="BX174" i="32"/>
  <c r="BW174" i="32"/>
  <c r="BQ174" i="32"/>
  <c r="BW173" i="32"/>
  <c r="BV173" i="32"/>
  <c r="BX173" i="32"/>
  <c r="BU173" i="32"/>
  <c r="BR173" i="32"/>
  <c r="BQ173" i="32"/>
  <c r="BN173" i="32"/>
  <c r="BX172" i="32"/>
  <c r="BU172" i="32"/>
  <c r="BQ172" i="32"/>
  <c r="CJ171" i="32"/>
  <c r="CI171" i="32"/>
  <c r="CH171" i="32"/>
  <c r="CG171" i="32"/>
  <c r="CF171" i="32"/>
  <c r="CE171" i="32"/>
  <c r="CD171" i="32"/>
  <c r="CC171" i="32"/>
  <c r="CB171" i="32"/>
  <c r="CA171" i="32"/>
  <c r="BZ171" i="32"/>
  <c r="BY171" i="32"/>
  <c r="BX170" i="32"/>
  <c r="BW170" i="32"/>
  <c r="BU170" i="32"/>
  <c r="BR170" i="32"/>
  <c r="BQ170" i="32"/>
  <c r="BU169" i="32"/>
  <c r="BQ169" i="32"/>
  <c r="BX169" i="32"/>
  <c r="BW169" i="32"/>
  <c r="BR169" i="32"/>
  <c r="BP169" i="32"/>
  <c r="BN169" i="32"/>
  <c r="BQ168" i="32"/>
  <c r="BW168" i="32"/>
  <c r="BU168" i="32"/>
  <c r="BR168" i="32"/>
  <c r="BW167" i="32"/>
  <c r="BQ167" i="32"/>
  <c r="BX167" i="32"/>
  <c r="BU167" i="32"/>
  <c r="BR167" i="32"/>
  <c r="BX166" i="32"/>
  <c r="BV166" i="32"/>
  <c r="BW166" i="32"/>
  <c r="BU166" i="32"/>
  <c r="BR166" i="32"/>
  <c r="BQ166" i="32"/>
  <c r="BN166" i="32"/>
  <c r="BX165" i="32"/>
  <c r="CJ164" i="32"/>
  <c r="CI164" i="32"/>
  <c r="CH164" i="32"/>
  <c r="CG164" i="32"/>
  <c r="CF164" i="32"/>
  <c r="CE164" i="32"/>
  <c r="CD164" i="32"/>
  <c r="CC164" i="32"/>
  <c r="CB164" i="32"/>
  <c r="CA164" i="32"/>
  <c r="BZ164" i="32"/>
  <c r="BY164" i="32"/>
  <c r="BU163" i="32"/>
  <c r="BV163" i="32"/>
  <c r="BW163" i="32"/>
  <c r="BR163" i="32"/>
  <c r="BO163" i="32"/>
  <c r="BQ162" i="32"/>
  <c r="BW162" i="32"/>
  <c r="BU162" i="32"/>
  <c r="BR162" i="32"/>
  <c r="BW161" i="32"/>
  <c r="BU161" i="32"/>
  <c r="BR161" i="32"/>
  <c r="BN161" i="32"/>
  <c r="BX160" i="32"/>
  <c r="BQ160" i="32"/>
  <c r="BU160" i="32"/>
  <c r="BR160" i="32"/>
  <c r="BN160" i="32"/>
  <c r="BX159" i="32"/>
  <c r="BU159" i="32"/>
  <c r="BR159" i="32"/>
  <c r="BQ159" i="32"/>
  <c r="BN159" i="32"/>
  <c r="BX158" i="32"/>
  <c r="BW158" i="32"/>
  <c r="BQ158" i="32"/>
  <c r="CJ157" i="32"/>
  <c r="CI157" i="32"/>
  <c r="CH157" i="32"/>
  <c r="CG157" i="32"/>
  <c r="CF157" i="32"/>
  <c r="CE157" i="32"/>
  <c r="CD157" i="32"/>
  <c r="CC157" i="32"/>
  <c r="CB157" i="32"/>
  <c r="CA157" i="32"/>
  <c r="BZ157" i="32"/>
  <c r="BY157" i="32"/>
  <c r="BU156" i="32"/>
  <c r="BR156" i="32"/>
  <c r="BX156" i="32"/>
  <c r="BQ156" i="32"/>
  <c r="BW155" i="32"/>
  <c r="BR155" i="32"/>
  <c r="BV155" i="32"/>
  <c r="BX155" i="32"/>
  <c r="BU155" i="32"/>
  <c r="BQ155" i="32"/>
  <c r="BN155" i="32"/>
  <c r="BX154" i="32"/>
  <c r="BU154" i="32"/>
  <c r="BW154" i="32"/>
  <c r="BR154" i="32"/>
  <c r="BQ154" i="32"/>
  <c r="BR153" i="32"/>
  <c r="BX153" i="32"/>
  <c r="BU153" i="32"/>
  <c r="BQ153" i="32"/>
  <c r="BN152" i="32"/>
  <c r="BV152" i="32"/>
  <c r="BX152" i="32"/>
  <c r="BW152" i="32"/>
  <c r="BU152" i="32"/>
  <c r="BR152" i="32"/>
  <c r="BQ152" i="32"/>
  <c r="BU151" i="32"/>
  <c r="BR151" i="32"/>
  <c r="BX151" i="32"/>
  <c r="BQ151" i="32"/>
  <c r="CJ150" i="32"/>
  <c r="CI150" i="32"/>
  <c r="CH150" i="32"/>
  <c r="CG150" i="32"/>
  <c r="CF150" i="32"/>
  <c r="CE150" i="32"/>
  <c r="CD150" i="32"/>
  <c r="CC150" i="32"/>
  <c r="CB150" i="32"/>
  <c r="CA150" i="32"/>
  <c r="BZ150" i="32"/>
  <c r="BY150" i="32"/>
  <c r="BR149" i="32"/>
  <c r="BV149" i="32"/>
  <c r="BX149" i="32"/>
  <c r="BW149" i="32"/>
  <c r="BU149" i="32"/>
  <c r="BP149" i="32"/>
  <c r="BN149" i="32"/>
  <c r="BX148" i="32"/>
  <c r="BU148" i="32"/>
  <c r="BW148" i="32"/>
  <c r="BQ148" i="32"/>
  <c r="BO148" i="32"/>
  <c r="BW147" i="32"/>
  <c r="BP147" i="32"/>
  <c r="BR147" i="32"/>
  <c r="BQ147" i="32"/>
  <c r="CJ146" i="32"/>
  <c r="CI146" i="32"/>
  <c r="CH146" i="32"/>
  <c r="CG146" i="32"/>
  <c r="CF146" i="32"/>
  <c r="CE146" i="32"/>
  <c r="CD146" i="32"/>
  <c r="CC146" i="32"/>
  <c r="CB146" i="32"/>
  <c r="CA146" i="32"/>
  <c r="BZ146" i="32"/>
  <c r="BY146" i="32"/>
  <c r="BX145" i="32"/>
  <c r="BX146" i="32" s="1"/>
  <c r="BU145" i="32"/>
  <c r="BU146" i="32" s="1"/>
  <c r="BW145" i="32"/>
  <c r="BW146" i="32" s="1"/>
  <c r="BR145" i="32"/>
  <c r="BR146" i="32" s="1"/>
  <c r="CJ144" i="32"/>
  <c r="CI144" i="32"/>
  <c r="CH144" i="32"/>
  <c r="CG144" i="32"/>
  <c r="CF144" i="32"/>
  <c r="CE144" i="32"/>
  <c r="CD144" i="32"/>
  <c r="CC144" i="32"/>
  <c r="CB144" i="32"/>
  <c r="CA144" i="32"/>
  <c r="BZ144" i="32"/>
  <c r="BY144" i="32"/>
  <c r="BX143" i="32"/>
  <c r="BW143" i="32"/>
  <c r="BQ143" i="32"/>
  <c r="BU143" i="32"/>
  <c r="BP143" i="32"/>
  <c r="BR143" i="32"/>
  <c r="BN143" i="32"/>
  <c r="BX142" i="32"/>
  <c r="BU142" i="32"/>
  <c r="BW142" i="32"/>
  <c r="BP142" i="32"/>
  <c r="BQ142" i="32"/>
  <c r="BO142" i="32"/>
  <c r="BX141" i="32"/>
  <c r="BU141" i="32"/>
  <c r="BR141" i="32"/>
  <c r="BQ141" i="32"/>
  <c r="BM141" i="32"/>
  <c r="BN141" i="32"/>
  <c r="BW140" i="32"/>
  <c r="BU140" i="32"/>
  <c r="BR140" i="32"/>
  <c r="BQ140" i="32"/>
  <c r="BO140" i="32"/>
  <c r="BN140" i="32"/>
  <c r="BX139" i="32"/>
  <c r="BW139" i="32"/>
  <c r="BU139" i="32"/>
  <c r="BR139" i="32"/>
  <c r="BQ139" i="32"/>
  <c r="BW138" i="32"/>
  <c r="BX138" i="32"/>
  <c r="BU138" i="32"/>
  <c r="CJ137" i="32"/>
  <c r="CI137" i="32"/>
  <c r="CH137" i="32"/>
  <c r="CG137" i="32"/>
  <c r="CF137" i="32"/>
  <c r="CE137" i="32"/>
  <c r="CD137" i="32"/>
  <c r="CC137" i="32"/>
  <c r="CB137" i="32"/>
  <c r="CA137" i="32"/>
  <c r="BZ137" i="32"/>
  <c r="BX136" i="32"/>
  <c r="BU136" i="32"/>
  <c r="BQ136" i="32"/>
  <c r="BQ135" i="32"/>
  <c r="BX135" i="32"/>
  <c r="BU135" i="32"/>
  <c r="BR135" i="32"/>
  <c r="BU134" i="32"/>
  <c r="BO134" i="32"/>
  <c r="BX134" i="32"/>
  <c r="BW134" i="32"/>
  <c r="BP134" i="32"/>
  <c r="BU133" i="32"/>
  <c r="BR133" i="32"/>
  <c r="BQ133" i="32"/>
  <c r="BW133" i="32"/>
  <c r="BP133" i="32"/>
  <c r="BW132" i="32"/>
  <c r="BV132" i="32"/>
  <c r="BX132" i="32"/>
  <c r="BU132" i="32"/>
  <c r="BR132" i="32"/>
  <c r="BY131" i="32"/>
  <c r="BY298" i="32" s="1"/>
  <c r="BR131" i="32"/>
  <c r="BP131" i="32"/>
  <c r="BQ131" i="32"/>
  <c r="BO131" i="32"/>
  <c r="CJ130" i="32"/>
  <c r="CI130" i="32"/>
  <c r="CH130" i="32"/>
  <c r="CG130" i="32"/>
  <c r="CF130" i="32"/>
  <c r="CE130" i="32"/>
  <c r="CD130" i="32"/>
  <c r="CC130" i="32"/>
  <c r="CB130" i="32"/>
  <c r="CA130" i="32"/>
  <c r="BZ130" i="32"/>
  <c r="BY130" i="32"/>
  <c r="BU129" i="32"/>
  <c r="BR129" i="32"/>
  <c r="BQ129" i="32"/>
  <c r="BX129" i="32"/>
  <c r="BO129" i="32"/>
  <c r="BU128" i="32"/>
  <c r="BO128" i="32"/>
  <c r="BM128" i="32"/>
  <c r="BX128" i="32"/>
  <c r="BW128" i="32"/>
  <c r="BT128" i="32"/>
  <c r="BR128" i="32"/>
  <c r="BP128" i="32"/>
  <c r="BW127" i="32"/>
  <c r="BR127" i="32"/>
  <c r="BQ127" i="32"/>
  <c r="BP127" i="32"/>
  <c r="BU127" i="32"/>
  <c r="BX126" i="32"/>
  <c r="BW126" i="32"/>
  <c r="BU126" i="32"/>
  <c r="BR126" i="32"/>
  <c r="BX125" i="32"/>
  <c r="BU125" i="32"/>
  <c r="BQ125" i="32"/>
  <c r="CJ124" i="32"/>
  <c r="CI124" i="32"/>
  <c r="CH124" i="32"/>
  <c r="CG124" i="32"/>
  <c r="CF124" i="32"/>
  <c r="CE124" i="32"/>
  <c r="CD124" i="32"/>
  <c r="CC124" i="32"/>
  <c r="CB124" i="32"/>
  <c r="CA124" i="32"/>
  <c r="BZ124" i="32"/>
  <c r="BY124" i="32"/>
  <c r="BU123" i="32"/>
  <c r="BO123" i="32"/>
  <c r="BX123" i="32"/>
  <c r="BW123" i="32"/>
  <c r="BQ123" i="32"/>
  <c r="BU122" i="32"/>
  <c r="BR122" i="32"/>
  <c r="BQ122" i="32"/>
  <c r="BW121" i="32"/>
  <c r="BX121" i="32"/>
  <c r="BU121" i="32"/>
  <c r="CJ120" i="32"/>
  <c r="CI120" i="32"/>
  <c r="CH120" i="32"/>
  <c r="CG120" i="32"/>
  <c r="CF120" i="32"/>
  <c r="CE120" i="32"/>
  <c r="CD120" i="32"/>
  <c r="CC120" i="32"/>
  <c r="CB120" i="32"/>
  <c r="CA120" i="32"/>
  <c r="BZ120" i="32"/>
  <c r="BY120" i="32"/>
  <c r="BR119" i="32"/>
  <c r="BP119" i="32"/>
  <c r="BX119" i="32"/>
  <c r="BU119" i="32"/>
  <c r="BQ119" i="32"/>
  <c r="BN118" i="32"/>
  <c r="BX118" i="32"/>
  <c r="BW118" i="32"/>
  <c r="BU118" i="32"/>
  <c r="BP118" i="32"/>
  <c r="BR118" i="32"/>
  <c r="BQ118" i="32"/>
  <c r="BU117" i="32"/>
  <c r="BR117" i="32"/>
  <c r="BV117" i="32"/>
  <c r="BX117" i="32"/>
  <c r="BW117" i="32"/>
  <c r="BP117" i="32"/>
  <c r="BQ116" i="32"/>
  <c r="BX116" i="32"/>
  <c r="BV116" i="32"/>
  <c r="BU116" i="32"/>
  <c r="BR116" i="32"/>
  <c r="BW115" i="32"/>
  <c r="BR115" i="32"/>
  <c r="BV115" i="32"/>
  <c r="BJ301" i="32"/>
  <c r="AM301" i="32"/>
  <c r="BX114" i="32"/>
  <c r="BU114" i="32"/>
  <c r="BQ114" i="32"/>
  <c r="BW114" i="32"/>
  <c r="CJ113" i="32"/>
  <c r="CI113" i="32"/>
  <c r="CH113" i="32"/>
  <c r="CG113" i="32"/>
  <c r="CF113" i="32"/>
  <c r="CE113" i="32"/>
  <c r="CD113" i="32"/>
  <c r="CC113" i="32"/>
  <c r="CB113" i="32"/>
  <c r="CA113" i="32"/>
  <c r="BZ113" i="32"/>
  <c r="BY113" i="32"/>
  <c r="BQ112" i="32"/>
  <c r="BX112" i="32"/>
  <c r="BU112" i="32"/>
  <c r="BR112" i="32"/>
  <c r="BP112" i="32"/>
  <c r="BU111" i="32"/>
  <c r="BQ111" i="32"/>
  <c r="BO111" i="32"/>
  <c r="BX111" i="32"/>
  <c r="BW111" i="32"/>
  <c r="BU110" i="32"/>
  <c r="BR110" i="32"/>
  <c r="BX110" i="32"/>
  <c r="BW110" i="32"/>
  <c r="BO110" i="32"/>
  <c r="CJ109" i="32"/>
  <c r="CI109" i="32"/>
  <c r="CH109" i="32"/>
  <c r="CG109" i="32"/>
  <c r="CF109" i="32"/>
  <c r="CE109" i="32"/>
  <c r="CD109" i="32"/>
  <c r="CC109" i="32"/>
  <c r="CB109" i="32"/>
  <c r="CA109" i="32"/>
  <c r="BZ109" i="32"/>
  <c r="BY109" i="32"/>
  <c r="BX108" i="32"/>
  <c r="BU108" i="32"/>
  <c r="BR108" i="32"/>
  <c r="BQ108" i="32"/>
  <c r="BJ306" i="32"/>
  <c r="AX306" i="32"/>
  <c r="AN306" i="32"/>
  <c r="AM306" i="32"/>
  <c r="W306" i="32"/>
  <c r="V306" i="32"/>
  <c r="CJ107" i="32"/>
  <c r="CI107" i="32"/>
  <c r="CH107" i="32"/>
  <c r="CG107" i="32"/>
  <c r="CF107" i="32"/>
  <c r="CE107" i="32"/>
  <c r="CD107" i="32"/>
  <c r="CC107" i="32"/>
  <c r="CB107" i="32"/>
  <c r="CA107" i="32"/>
  <c r="BZ107" i="32"/>
  <c r="BY107" i="32"/>
  <c r="BX106" i="32"/>
  <c r="BW106" i="32"/>
  <c r="BU106" i="32"/>
  <c r="BP106" i="32"/>
  <c r="BQ106" i="32"/>
  <c r="BX105" i="32"/>
  <c r="BW105" i="32"/>
  <c r="BU105" i="32"/>
  <c r="BR105" i="32"/>
  <c r="BQ105" i="32"/>
  <c r="BN105" i="32"/>
  <c r="BU104" i="32"/>
  <c r="BX104" i="32"/>
  <c r="BW104" i="32"/>
  <c r="BR104" i="32"/>
  <c r="BQ104" i="32"/>
  <c r="BO104" i="32"/>
  <c r="BU103" i="32"/>
  <c r="BX103" i="32"/>
  <c r="BW103" i="32"/>
  <c r="BR103" i="32"/>
  <c r="BQ103" i="32"/>
  <c r="BN103" i="32"/>
  <c r="BW102" i="32"/>
  <c r="BU102" i="32"/>
  <c r="BX102" i="32"/>
  <c r="BR102" i="32"/>
  <c r="BQ102" i="32"/>
  <c r="BO102" i="32"/>
  <c r="BX101" i="32"/>
  <c r="BW101" i="32"/>
  <c r="BQ101" i="32"/>
  <c r="AX303" i="32"/>
  <c r="AN303" i="32"/>
  <c r="W303" i="32"/>
  <c r="BX100" i="32"/>
  <c r="BW100" i="32"/>
  <c r="BU100" i="32"/>
  <c r="BP100" i="32"/>
  <c r="BR100" i="32"/>
  <c r="BQ100" i="32"/>
  <c r="BX99" i="32"/>
  <c r="BJ300" i="32"/>
  <c r="BI300" i="32"/>
  <c r="W300" i="32"/>
  <c r="BU98" i="32"/>
  <c r="BX98" i="32"/>
  <c r="BR98" i="32"/>
  <c r="BQ98" i="32"/>
  <c r="BN98" i="32"/>
  <c r="BU97" i="32"/>
  <c r="BQ97" i="32"/>
  <c r="BR97" i="32"/>
  <c r="CJ96" i="32"/>
  <c r="CI96" i="32"/>
  <c r="CH96" i="32"/>
  <c r="CG96" i="32"/>
  <c r="CF96" i="32"/>
  <c r="CE96" i="32"/>
  <c r="CD96" i="32"/>
  <c r="CC96" i="32"/>
  <c r="CB96" i="32"/>
  <c r="CA96" i="32"/>
  <c r="BZ96" i="32"/>
  <c r="BY96" i="32"/>
  <c r="BW95" i="32"/>
  <c r="BQ95" i="32"/>
  <c r="BU95" i="32"/>
  <c r="BR95" i="32"/>
  <c r="BX94" i="32"/>
  <c r="BW94" i="32"/>
  <c r="BU94" i="32"/>
  <c r="BR94" i="32"/>
  <c r="BQ94" i="32"/>
  <c r="BX93" i="32"/>
  <c r="BU93" i="32"/>
  <c r="BR93" i="32"/>
  <c r="BQ93" i="32"/>
  <c r="BO93" i="32"/>
  <c r="BU92" i="32"/>
  <c r="BX92" i="32"/>
  <c r="BR92" i="32"/>
  <c r="BQ92" i="32"/>
  <c r="BN92" i="32"/>
  <c r="BU91" i="32"/>
  <c r="BQ91" i="32"/>
  <c r="BX91" i="32"/>
  <c r="BW91" i="32"/>
  <c r="BR91" i="32"/>
  <c r="CJ90" i="32"/>
  <c r="CI90" i="32"/>
  <c r="CH90" i="32"/>
  <c r="CG90" i="32"/>
  <c r="CF90" i="32"/>
  <c r="CE90" i="32"/>
  <c r="CD90" i="32"/>
  <c r="CC90" i="32"/>
  <c r="CB90" i="32"/>
  <c r="CA90" i="32"/>
  <c r="BZ90" i="32"/>
  <c r="BY90" i="32"/>
  <c r="BW89" i="32"/>
  <c r="BR89" i="32"/>
  <c r="BX89" i="32"/>
  <c r="BU89" i="32"/>
  <c r="BQ89" i="32"/>
  <c r="BX88" i="32"/>
  <c r="BW88" i="32"/>
  <c r="BQ88" i="32"/>
  <c r="BU88" i="32"/>
  <c r="BR88" i="32"/>
  <c r="BX87" i="32"/>
  <c r="BU87" i="32"/>
  <c r="BR87" i="32"/>
  <c r="BP87" i="32"/>
  <c r="BQ87" i="32"/>
  <c r="BO87" i="32"/>
  <c r="BP86" i="32"/>
  <c r="BX86" i="32"/>
  <c r="BU86" i="32"/>
  <c r="BR86" i="32"/>
  <c r="BQ86" i="32"/>
  <c r="BO86" i="32"/>
  <c r="BN86" i="32"/>
  <c r="BW85" i="32"/>
  <c r="BU85" i="32"/>
  <c r="BX85" i="32"/>
  <c r="BR85" i="32"/>
  <c r="BO85" i="32"/>
  <c r="BN85" i="32"/>
  <c r="CJ84" i="32"/>
  <c r="CI84" i="32"/>
  <c r="CH84" i="32"/>
  <c r="CG84" i="32"/>
  <c r="CF84" i="32"/>
  <c r="CE84" i="32"/>
  <c r="CD84" i="32"/>
  <c r="CC84" i="32"/>
  <c r="CB84" i="32"/>
  <c r="CA84" i="32"/>
  <c r="BZ84" i="32"/>
  <c r="BY84" i="32"/>
  <c r="BX83" i="32"/>
  <c r="BW83" i="32"/>
  <c r="BU83" i="32"/>
  <c r="BR83" i="32"/>
  <c r="BQ83" i="32"/>
  <c r="BX82" i="32"/>
  <c r="BW82" i="32"/>
  <c r="BR82" i="32"/>
  <c r="BQ82" i="32"/>
  <c r="BU82" i="32"/>
  <c r="BP82" i="32"/>
  <c r="BX81" i="32"/>
  <c r="BU81" i="32"/>
  <c r="BR81" i="32"/>
  <c r="BQ81" i="32"/>
  <c r="BU80" i="32"/>
  <c r="BN80" i="32"/>
  <c r="BX80" i="32"/>
  <c r="BR80" i="32"/>
  <c r="BQ80" i="32"/>
  <c r="BO80" i="32"/>
  <c r="BW79" i="32"/>
  <c r="BU79" i="32"/>
  <c r="BP79" i="32"/>
  <c r="BN79" i="32"/>
  <c r="BV79" i="32"/>
  <c r="BX79" i="32"/>
  <c r="BR79" i="32"/>
  <c r="BO79" i="32"/>
  <c r="BX78" i="32"/>
  <c r="BU78" i="32"/>
  <c r="BQ78" i="32"/>
  <c r="BR78" i="32"/>
  <c r="CJ77" i="32"/>
  <c r="CI77" i="32"/>
  <c r="CH77" i="32"/>
  <c r="CG77" i="32"/>
  <c r="CF77" i="32"/>
  <c r="CE77" i="32"/>
  <c r="CD77" i="32"/>
  <c r="CC77" i="32"/>
  <c r="CB77" i="32"/>
  <c r="CA77" i="32"/>
  <c r="BZ77" i="32"/>
  <c r="BY77" i="32"/>
  <c r="BX76" i="32"/>
  <c r="BW76" i="32"/>
  <c r="BR76" i="32"/>
  <c r="BV76" i="32"/>
  <c r="BU76" i="32"/>
  <c r="BQ76" i="32"/>
  <c r="BX75" i="32"/>
  <c r="BU75" i="32"/>
  <c r="BO75" i="32"/>
  <c r="BQ75" i="32"/>
  <c r="BN74" i="32"/>
  <c r="BX74" i="32"/>
  <c r="BU74" i="32"/>
  <c r="BP74" i="32"/>
  <c r="BR74" i="32"/>
  <c r="BQ74" i="32"/>
  <c r="BU73" i="32"/>
  <c r="BQ73" i="32"/>
  <c r="BO73" i="32"/>
  <c r="BN73" i="32"/>
  <c r="BX73" i="32"/>
  <c r="BW73" i="32"/>
  <c r="BR73" i="32"/>
  <c r="BP73" i="32"/>
  <c r="BW72" i="32"/>
  <c r="BU72" i="32"/>
  <c r="BR72" i="32"/>
  <c r="BO72" i="32"/>
  <c r="BX72" i="32"/>
  <c r="CJ71" i="32"/>
  <c r="CI71" i="32"/>
  <c r="CH71" i="32"/>
  <c r="CG71" i="32"/>
  <c r="CF71" i="32"/>
  <c r="CE71" i="32"/>
  <c r="CD71" i="32"/>
  <c r="CC71" i="32"/>
  <c r="CB71" i="32"/>
  <c r="CA71" i="32"/>
  <c r="BZ71" i="32"/>
  <c r="BY71" i="32"/>
  <c r="BX70" i="32"/>
  <c r="BW70" i="32"/>
  <c r="BN70" i="32"/>
  <c r="BU70" i="32"/>
  <c r="BR70" i="32"/>
  <c r="BQ70" i="32"/>
  <c r="BX69" i="32"/>
  <c r="BU69" i="32"/>
  <c r="BR69" i="32"/>
  <c r="BQ69" i="32"/>
  <c r="BO68" i="32"/>
  <c r="BX68" i="32"/>
  <c r="BR68" i="32"/>
  <c r="BQ68" i="32"/>
  <c r="BW67" i="32"/>
  <c r="BU67" i="32"/>
  <c r="BO67" i="32"/>
  <c r="BX67" i="32"/>
  <c r="BR67" i="32"/>
  <c r="BX66" i="32"/>
  <c r="BU66" i="32"/>
  <c r="BW66" i="32"/>
  <c r="BO66" i="32"/>
  <c r="CJ65" i="32"/>
  <c r="CI65" i="32"/>
  <c r="CH65" i="32"/>
  <c r="CG65" i="32"/>
  <c r="CF65" i="32"/>
  <c r="CE65" i="32"/>
  <c r="CD65" i="32"/>
  <c r="CC65" i="32"/>
  <c r="CB65" i="32"/>
  <c r="CA65" i="32"/>
  <c r="BZ65" i="32"/>
  <c r="BY65" i="32"/>
  <c r="BX64" i="32"/>
  <c r="BU64" i="32"/>
  <c r="BR64" i="32"/>
  <c r="BQ64" i="32"/>
  <c r="BW64" i="32"/>
  <c r="BP64" i="32"/>
  <c r="BN64" i="32"/>
  <c r="BR63" i="32"/>
  <c r="BX63" i="32"/>
  <c r="BU63" i="32"/>
  <c r="BP63" i="32"/>
  <c r="BQ63" i="32"/>
  <c r="BO63" i="32"/>
  <c r="BU62" i="32"/>
  <c r="BQ62" i="32"/>
  <c r="BN62" i="32"/>
  <c r="BX62" i="32"/>
  <c r="BP62" i="32"/>
  <c r="BR62" i="32"/>
  <c r="BU61" i="32"/>
  <c r="BR61" i="32"/>
  <c r="BO61" i="32"/>
  <c r="BV61" i="32"/>
  <c r="BX61" i="32"/>
  <c r="BW61" i="32"/>
  <c r="BU60" i="32"/>
  <c r="BR60" i="32"/>
  <c r="BQ60" i="32"/>
  <c r="BW59" i="32"/>
  <c r="BR59" i="32"/>
  <c r="BX59" i="32"/>
  <c r="BU59" i="32"/>
  <c r="CJ58" i="32"/>
  <c r="CI58" i="32"/>
  <c r="CH58" i="32"/>
  <c r="CG58" i="32"/>
  <c r="CF58" i="32"/>
  <c r="CE58" i="32"/>
  <c r="CD58" i="32"/>
  <c r="CC58" i="32"/>
  <c r="CB58" i="32"/>
  <c r="CA58" i="32"/>
  <c r="BZ58" i="32"/>
  <c r="BY58" i="32"/>
  <c r="BX57" i="32"/>
  <c r="BR57" i="32"/>
  <c r="BO57" i="32"/>
  <c r="BU57" i="32"/>
  <c r="BP57" i="32"/>
  <c r="BQ57" i="32"/>
  <c r="BN56" i="32"/>
  <c r="BV56" i="32"/>
  <c r="BX56" i="32"/>
  <c r="BW56" i="32"/>
  <c r="BU56" i="32"/>
  <c r="BP56" i="32"/>
  <c r="BR56" i="32"/>
  <c r="BQ56" i="32"/>
  <c r="BU55" i="32"/>
  <c r="BR55" i="32"/>
  <c r="BX55" i="32"/>
  <c r="BV55" i="32"/>
  <c r="BO55" i="32"/>
  <c r="BU54" i="32"/>
  <c r="BX54" i="32"/>
  <c r="BR54" i="32"/>
  <c r="BW53" i="32"/>
  <c r="BR53" i="32"/>
  <c r="BQ53" i="32"/>
  <c r="CJ52" i="32"/>
  <c r="CI52" i="32"/>
  <c r="CH52" i="32"/>
  <c r="CG52" i="32"/>
  <c r="CF52" i="32"/>
  <c r="CE52" i="32"/>
  <c r="CD52" i="32"/>
  <c r="CC52" i="32"/>
  <c r="CB52" i="32"/>
  <c r="CA52" i="32"/>
  <c r="BZ52" i="32"/>
  <c r="BY52" i="32"/>
  <c r="BX51" i="32"/>
  <c r="BU51" i="32"/>
  <c r="BO51" i="32"/>
  <c r="BR51" i="32"/>
  <c r="BP51" i="32"/>
  <c r="BW50" i="32"/>
  <c r="BQ50" i="32"/>
  <c r="AX305" i="32"/>
  <c r="AM305" i="32"/>
  <c r="BX49" i="32"/>
  <c r="BW49" i="32"/>
  <c r="BR49" i="32"/>
  <c r="BV49" i="32"/>
  <c r="BU49" i="32"/>
  <c r="BQ49" i="32"/>
  <c r="BX48" i="32"/>
  <c r="BU48" i="32"/>
  <c r="BR48" i="32"/>
  <c r="BO48" i="32"/>
  <c r="BP48" i="32"/>
  <c r="BQ48" i="32"/>
  <c r="BN47" i="32"/>
  <c r="BU47" i="32"/>
  <c r="BP47" i="32"/>
  <c r="W299" i="32"/>
  <c r="BU46" i="32"/>
  <c r="BQ46" i="32"/>
  <c r="BO46" i="32"/>
  <c r="BN46" i="32"/>
  <c r="CJ45" i="32"/>
  <c r="CI45" i="32"/>
  <c r="CH45" i="32"/>
  <c r="CG45" i="32"/>
  <c r="CF45" i="32"/>
  <c r="CE45" i="32"/>
  <c r="CD45" i="32"/>
  <c r="CC45" i="32"/>
  <c r="CB45" i="32"/>
  <c r="CA45" i="32"/>
  <c r="BZ45" i="32"/>
  <c r="BY45" i="32"/>
  <c r="BW44" i="32"/>
  <c r="BW45" i="32" s="1"/>
  <c r="BR44" i="32"/>
  <c r="BR45" i="32" s="1"/>
  <c r="BX44" i="32"/>
  <c r="BX45" i="32" s="1"/>
  <c r="BU44" i="32"/>
  <c r="BU45" i="32" s="1"/>
  <c r="CJ43" i="32"/>
  <c r="CI43" i="32"/>
  <c r="CH43" i="32"/>
  <c r="CG43" i="32"/>
  <c r="CF43" i="32"/>
  <c r="CE43" i="32"/>
  <c r="CD43" i="32"/>
  <c r="CC43" i="32"/>
  <c r="CB43" i="32"/>
  <c r="CA43" i="32"/>
  <c r="BZ43" i="32"/>
  <c r="BY43" i="32"/>
  <c r="BX42" i="32"/>
  <c r="BR42" i="32"/>
  <c r="BU42" i="32"/>
  <c r="BP42" i="32"/>
  <c r="BQ42" i="32"/>
  <c r="BP41" i="32"/>
  <c r="BV41" i="32"/>
  <c r="BX41" i="32"/>
  <c r="BW41" i="32"/>
  <c r="BU41" i="32"/>
  <c r="BR41" i="32"/>
  <c r="BQ41" i="32"/>
  <c r="BU40" i="32"/>
  <c r="BR40" i="32"/>
  <c r="BQ40" i="32"/>
  <c r="BO40" i="32"/>
  <c r="BN40" i="32"/>
  <c r="CJ39" i="32"/>
  <c r="CI39" i="32"/>
  <c r="CH39" i="32"/>
  <c r="CG39" i="32"/>
  <c r="CF39" i="32"/>
  <c r="CE39" i="32"/>
  <c r="CD39" i="32"/>
  <c r="CC39" i="32"/>
  <c r="CB39" i="32"/>
  <c r="CA39" i="32"/>
  <c r="BZ39" i="32"/>
  <c r="BY39" i="32"/>
  <c r="BW38" i="32"/>
  <c r="BR38" i="32"/>
  <c r="BP38" i="32"/>
  <c r="BX38" i="32"/>
  <c r="BU38" i="32"/>
  <c r="BQ38" i="32"/>
  <c r="BX37" i="32"/>
  <c r="BU37" i="32"/>
  <c r="BR37" i="32"/>
  <c r="BV37" i="32"/>
  <c r="BP37" i="32"/>
  <c r="BQ37" i="32"/>
  <c r="BR36" i="32"/>
  <c r="BQ36" i="32"/>
  <c r="CJ35" i="32"/>
  <c r="CI35" i="32"/>
  <c r="CH35" i="32"/>
  <c r="CG35" i="32"/>
  <c r="CF35" i="32"/>
  <c r="CE35" i="32"/>
  <c r="CD35" i="32"/>
  <c r="CC35" i="32"/>
  <c r="CB35" i="32"/>
  <c r="CA35" i="32"/>
  <c r="BZ35" i="32"/>
  <c r="BY35" i="32"/>
  <c r="BU34" i="32"/>
  <c r="BX34" i="32"/>
  <c r="BV34" i="32"/>
  <c r="BR34" i="32"/>
  <c r="BQ34" i="32"/>
  <c r="BO34" i="32"/>
  <c r="BU33" i="32"/>
  <c r="BR33" i="32"/>
  <c r="BV33" i="32"/>
  <c r="BX33" i="32"/>
  <c r="BQ33" i="32"/>
  <c r="BW32" i="32"/>
  <c r="BU32" i="32"/>
  <c r="BQ32" i="32"/>
  <c r="CJ31" i="32"/>
  <c r="CI31" i="32"/>
  <c r="CH31" i="32"/>
  <c r="CG31" i="32"/>
  <c r="CF31" i="32"/>
  <c r="CE31" i="32"/>
  <c r="CD31" i="32"/>
  <c r="CC31" i="32"/>
  <c r="CB31" i="32"/>
  <c r="CA31" i="32"/>
  <c r="BZ31" i="32"/>
  <c r="BY31" i="32"/>
  <c r="BR30" i="32"/>
  <c r="BX30" i="32"/>
  <c r="BU30" i="32"/>
  <c r="BP30" i="32"/>
  <c r="BQ30" i="32"/>
  <c r="BX29" i="32"/>
  <c r="BU29" i="32"/>
  <c r="BR29" i="32"/>
  <c r="BN29" i="32"/>
  <c r="BU28" i="32"/>
  <c r="BQ28" i="32"/>
  <c r="BW28" i="32"/>
  <c r="BR28" i="32"/>
  <c r="CJ27" i="32"/>
  <c r="CI27" i="32"/>
  <c r="CH27" i="32"/>
  <c r="CG27" i="32"/>
  <c r="CF27" i="32"/>
  <c r="CE27" i="32"/>
  <c r="CD27" i="32"/>
  <c r="CC27" i="32"/>
  <c r="CB27" i="32"/>
  <c r="CA27" i="32"/>
  <c r="BZ27" i="32"/>
  <c r="BY27" i="32"/>
  <c r="BW26" i="32"/>
  <c r="BV26" i="32"/>
  <c r="BU26" i="32"/>
  <c r="BR26" i="32"/>
  <c r="BQ26" i="32"/>
  <c r="BX25" i="32"/>
  <c r="BW25" i="32"/>
  <c r="BU25" i="32"/>
  <c r="BQ25" i="32"/>
  <c r="BX24" i="32"/>
  <c r="BR24" i="32"/>
  <c r="BU24" i="32"/>
  <c r="BQ24" i="32"/>
  <c r="BV23" i="32"/>
  <c r="BX23" i="32"/>
  <c r="BU23" i="32"/>
  <c r="BR23" i="32"/>
  <c r="CJ22" i="32"/>
  <c r="CI22" i="32"/>
  <c r="CH22" i="32"/>
  <c r="CG22" i="32"/>
  <c r="CF22" i="32"/>
  <c r="CE22" i="32"/>
  <c r="CD22" i="32"/>
  <c r="CC22" i="32"/>
  <c r="CB22" i="32"/>
  <c r="CA22" i="32"/>
  <c r="BZ22" i="32"/>
  <c r="BY22" i="32"/>
  <c r="BU21" i="32"/>
  <c r="BQ21" i="32"/>
  <c r="BX21" i="32"/>
  <c r="BW21" i="32"/>
  <c r="BP21" i="32"/>
  <c r="BR21" i="32"/>
  <c r="BW20" i="32"/>
  <c r="BR20" i="32"/>
  <c r="BX20" i="32"/>
  <c r="BU20" i="32"/>
  <c r="BP20" i="32"/>
  <c r="BQ20" i="32"/>
  <c r="BX19" i="32"/>
  <c r="BU19" i="32"/>
  <c r="BR19" i="32"/>
  <c r="BW19" i="32"/>
  <c r="BO19" i="32"/>
  <c r="BX18" i="32"/>
  <c r="BQ18" i="32"/>
  <c r="CJ17" i="32"/>
  <c r="CI17" i="32"/>
  <c r="CH17" i="32"/>
  <c r="CG17" i="32"/>
  <c r="CF17" i="32"/>
  <c r="CE17" i="32"/>
  <c r="CD17" i="32"/>
  <c r="CC17" i="32"/>
  <c r="CB17" i="32"/>
  <c r="CA17" i="32"/>
  <c r="BZ17" i="32"/>
  <c r="BY17" i="32"/>
  <c r="BU16" i="32"/>
  <c r="BJ304" i="32"/>
  <c r="BI304" i="32"/>
  <c r="AN304" i="32"/>
  <c r="BO16" i="32"/>
  <c r="V304" i="32"/>
  <c r="BU15" i="32"/>
  <c r="BR15" i="32"/>
  <c r="BX15" i="32"/>
  <c r="BQ15" i="32"/>
  <c r="BO15" i="32"/>
  <c r="BW14" i="32"/>
  <c r="BQ14" i="32"/>
  <c r="BJ298" i="32"/>
  <c r="BR14" i="32"/>
  <c r="CJ13" i="32"/>
  <c r="CI13" i="32"/>
  <c r="CH13" i="32"/>
  <c r="CG13" i="32"/>
  <c r="CF13" i="32"/>
  <c r="CE13" i="32"/>
  <c r="CD13" i="32"/>
  <c r="CC13" i="32"/>
  <c r="CB13" i="32"/>
  <c r="CA13" i="32"/>
  <c r="BZ13" i="32"/>
  <c r="BY13" i="32"/>
  <c r="BH294" i="32"/>
  <c r="BA18" i="47" s="1"/>
  <c r="BG294" i="32"/>
  <c r="AZ18" i="47" s="1"/>
  <c r="BE294" i="32"/>
  <c r="BD294" i="32"/>
  <c r="AW18" i="47" s="1"/>
  <c r="BB294" i="32"/>
  <c r="AU18" i="47" s="1"/>
  <c r="BA294" i="32"/>
  <c r="AV294" i="32"/>
  <c r="AO18" i="47" s="1"/>
  <c r="AU294" i="32"/>
  <c r="AL294" i="32"/>
  <c r="AE18" i="47" s="1"/>
  <c r="AJ294" i="32"/>
  <c r="AC18" i="47" s="1"/>
  <c r="AI294" i="32"/>
  <c r="W295" i="32" s="1"/>
  <c r="AD294" i="32"/>
  <c r="W18" i="47" s="1"/>
  <c r="AC294" i="32"/>
  <c r="V18" i="47" s="1"/>
  <c r="AA294" i="32"/>
  <c r="T18" i="47" s="1"/>
  <c r="Z294" i="32"/>
  <c r="S18" i="47" s="1"/>
  <c r="X294" i="32"/>
  <c r="Q18" i="47" s="1"/>
  <c r="BX12" i="32"/>
  <c r="BU12" i="32"/>
  <c r="BJ307" i="32"/>
  <c r="BI307" i="32"/>
  <c r="AX307" i="32"/>
  <c r="AN307" i="32"/>
  <c r="AM307" i="32"/>
  <c r="AF307" i="32"/>
  <c r="W307" i="32"/>
  <c r="V307" i="32"/>
  <c r="BY131" i="31"/>
  <c r="BY130" i="31"/>
  <c r="CJ87" i="31"/>
  <c r="CI87" i="31"/>
  <c r="CH87" i="31"/>
  <c r="CG87" i="31"/>
  <c r="CF87" i="31"/>
  <c r="CE87" i="31"/>
  <c r="CD87" i="31"/>
  <c r="CC87" i="31"/>
  <c r="CB87" i="31"/>
  <c r="CA87" i="31"/>
  <c r="BZ87" i="31"/>
  <c r="BY87" i="31"/>
  <c r="BH87" i="31"/>
  <c r="BG87" i="31"/>
  <c r="BF87" i="31"/>
  <c r="BE87" i="31"/>
  <c r="BD87" i="31"/>
  <c r="BC87" i="31"/>
  <c r="BB87" i="31"/>
  <c r="BA87" i="31"/>
  <c r="AZ87" i="31"/>
  <c r="AW87" i="31"/>
  <c r="AV87" i="31"/>
  <c r="AU87" i="31"/>
  <c r="AL87" i="31"/>
  <c r="AK87" i="31"/>
  <c r="AJ87" i="31"/>
  <c r="AI87" i="31"/>
  <c r="AH87" i="31"/>
  <c r="AD87" i="31"/>
  <c r="AC87" i="31"/>
  <c r="AB87" i="31"/>
  <c r="AA87" i="31"/>
  <c r="Z87" i="31"/>
  <c r="Y87" i="31"/>
  <c r="X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CJ86" i="31"/>
  <c r="CI86" i="31"/>
  <c r="CH86" i="31"/>
  <c r="CG86" i="31"/>
  <c r="CF86" i="31"/>
  <c r="CE86" i="31"/>
  <c r="CD86" i="31"/>
  <c r="CC86" i="31"/>
  <c r="CB86" i="31"/>
  <c r="CA86" i="31"/>
  <c r="BZ86" i="31"/>
  <c r="BY86" i="31"/>
  <c r="BH86" i="31"/>
  <c r="BG86" i="31"/>
  <c r="BF86" i="31"/>
  <c r="BE86" i="31"/>
  <c r="BD86" i="31"/>
  <c r="BC86" i="31"/>
  <c r="BB86" i="31"/>
  <c r="BA86" i="31"/>
  <c r="AZ86" i="31"/>
  <c r="AW86" i="31"/>
  <c r="AV86" i="31"/>
  <c r="AU86" i="31"/>
  <c r="AL86" i="31"/>
  <c r="AK86" i="31"/>
  <c r="AJ86" i="31"/>
  <c r="AI86" i="31"/>
  <c r="AH86" i="31"/>
  <c r="AD86" i="31"/>
  <c r="AC86" i="31"/>
  <c r="AB86" i="31"/>
  <c r="AA86" i="31"/>
  <c r="Z86" i="31"/>
  <c r="Y86" i="31"/>
  <c r="X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CJ85" i="31"/>
  <c r="CI85" i="31"/>
  <c r="CH85" i="31"/>
  <c r="CG85" i="31"/>
  <c r="CF85" i="31"/>
  <c r="CE85" i="31"/>
  <c r="CD85" i="31"/>
  <c r="CC85" i="31"/>
  <c r="CB85" i="31"/>
  <c r="CA85" i="31"/>
  <c r="BZ85" i="31"/>
  <c r="BY85" i="31"/>
  <c r="BH85" i="31"/>
  <c r="BG85" i="31"/>
  <c r="BF85" i="31"/>
  <c r="BE85" i="31"/>
  <c r="BD85" i="31"/>
  <c r="BC85" i="31"/>
  <c r="BB85" i="31"/>
  <c r="BA85" i="31"/>
  <c r="AZ85" i="31"/>
  <c r="AW85" i="31"/>
  <c r="AV85" i="31"/>
  <c r="AU85" i="31"/>
  <c r="AL85" i="31"/>
  <c r="AK85" i="31"/>
  <c r="AJ85" i="31"/>
  <c r="AI85" i="31"/>
  <c r="AH85" i="31"/>
  <c r="AD85" i="31"/>
  <c r="AC85" i="31"/>
  <c r="AB85" i="31"/>
  <c r="AA85" i="31"/>
  <c r="Z85" i="31"/>
  <c r="Y85" i="31"/>
  <c r="X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CJ84" i="31"/>
  <c r="CI84" i="31"/>
  <c r="CH84" i="31"/>
  <c r="CG84" i="31"/>
  <c r="CF84" i="31"/>
  <c r="CE84" i="31"/>
  <c r="CD84" i="31"/>
  <c r="CC84" i="31"/>
  <c r="CB84" i="31"/>
  <c r="CA84" i="31"/>
  <c r="BZ84" i="31"/>
  <c r="BY84" i="31"/>
  <c r="BH84" i="31"/>
  <c r="BG84" i="31"/>
  <c r="BF84" i="31"/>
  <c r="BE84" i="31"/>
  <c r="BD84" i="31"/>
  <c r="BC84" i="31"/>
  <c r="BB84" i="31"/>
  <c r="BA84" i="31"/>
  <c r="AZ84" i="31"/>
  <c r="AW84" i="31"/>
  <c r="AV84" i="31"/>
  <c r="AU84" i="31"/>
  <c r="AL84" i="31"/>
  <c r="AK84" i="31"/>
  <c r="AJ84" i="31"/>
  <c r="AI84" i="31"/>
  <c r="AH84" i="31"/>
  <c r="AD84" i="31"/>
  <c r="AC84" i="31"/>
  <c r="AB84" i="31"/>
  <c r="AA84" i="31"/>
  <c r="Z84" i="31"/>
  <c r="Y84" i="31"/>
  <c r="X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CJ83" i="31"/>
  <c r="CI83" i="31"/>
  <c r="CH83" i="31"/>
  <c r="CG83" i="31"/>
  <c r="CF83" i="31"/>
  <c r="CE83" i="31"/>
  <c r="CD83" i="31"/>
  <c r="CC83" i="31"/>
  <c r="CB83" i="31"/>
  <c r="CA83" i="31"/>
  <c r="BZ83" i="31"/>
  <c r="BY83" i="31"/>
  <c r="BX83" i="31"/>
  <c r="BW83" i="31"/>
  <c r="BV83" i="31"/>
  <c r="BU83" i="31"/>
  <c r="BT83" i="31"/>
  <c r="BS83" i="31"/>
  <c r="BR83" i="31"/>
  <c r="BQ83" i="31"/>
  <c r="BP83" i="31"/>
  <c r="BO83" i="31"/>
  <c r="BN83" i="31"/>
  <c r="BM83" i="31"/>
  <c r="BL83" i="31"/>
  <c r="BK83" i="31"/>
  <c r="BJ83" i="31"/>
  <c r="BI83" i="31"/>
  <c r="BH83" i="31"/>
  <c r="BG83" i="31"/>
  <c r="BF83" i="31"/>
  <c r="BE83" i="31"/>
  <c r="BD83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CJ82" i="31"/>
  <c r="CI82" i="31"/>
  <c r="CH82" i="31"/>
  <c r="CG82" i="31"/>
  <c r="CF82" i="31"/>
  <c r="CE82" i="31"/>
  <c r="CD82" i="31"/>
  <c r="CC82" i="31"/>
  <c r="CB82" i="31"/>
  <c r="CA82" i="31"/>
  <c r="BZ82" i="31"/>
  <c r="BY82" i="31"/>
  <c r="BX82" i="31"/>
  <c r="BW82" i="31"/>
  <c r="BV82" i="31"/>
  <c r="BU82" i="31"/>
  <c r="BT82" i="31"/>
  <c r="BS82" i="31"/>
  <c r="BR82" i="31"/>
  <c r="BQ82" i="31"/>
  <c r="BP82" i="31"/>
  <c r="BO82" i="31"/>
  <c r="BN82" i="31"/>
  <c r="BM82" i="31"/>
  <c r="BL82" i="31"/>
  <c r="BK82" i="31"/>
  <c r="BJ82" i="31"/>
  <c r="BI82" i="31"/>
  <c r="BH82" i="31"/>
  <c r="BG82" i="31"/>
  <c r="BF82" i="31"/>
  <c r="BE82" i="31"/>
  <c r="BD82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CJ81" i="31"/>
  <c r="CI81" i="31"/>
  <c r="CH81" i="31"/>
  <c r="CG81" i="31"/>
  <c r="CF81" i="31"/>
  <c r="CE81" i="31"/>
  <c r="CD81" i="31"/>
  <c r="CC81" i="31"/>
  <c r="CB81" i="31"/>
  <c r="CA81" i="31"/>
  <c r="BZ81" i="31"/>
  <c r="BY81" i="31"/>
  <c r="BH81" i="31"/>
  <c r="BG81" i="31"/>
  <c r="BF81" i="31"/>
  <c r="BE81" i="31"/>
  <c r="BD81" i="31"/>
  <c r="BC81" i="31"/>
  <c r="BB81" i="31"/>
  <c r="BA81" i="31"/>
  <c r="AZ81" i="31"/>
  <c r="AW81" i="31"/>
  <c r="AV81" i="31"/>
  <c r="AU81" i="31"/>
  <c r="AL81" i="31"/>
  <c r="AK81" i="31"/>
  <c r="AJ81" i="31"/>
  <c r="AI81" i="31"/>
  <c r="AH81" i="31"/>
  <c r="AD81" i="31"/>
  <c r="AC81" i="31"/>
  <c r="AB81" i="31"/>
  <c r="AA81" i="31"/>
  <c r="Z81" i="31"/>
  <c r="Y81" i="31"/>
  <c r="X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CJ80" i="31"/>
  <c r="CI80" i="31"/>
  <c r="CH80" i="31"/>
  <c r="CG80" i="31"/>
  <c r="CF80" i="31"/>
  <c r="CE80" i="31"/>
  <c r="CD80" i="31"/>
  <c r="CC80" i="31"/>
  <c r="CB80" i="31"/>
  <c r="CA80" i="31"/>
  <c r="BZ80" i="31"/>
  <c r="BY80" i="31"/>
  <c r="BX80" i="31"/>
  <c r="BW80" i="31"/>
  <c r="BV80" i="31"/>
  <c r="BU80" i="31"/>
  <c r="BT80" i="31"/>
  <c r="BS80" i="31"/>
  <c r="BR80" i="31"/>
  <c r="BQ80" i="31"/>
  <c r="BP80" i="31"/>
  <c r="BO80" i="31"/>
  <c r="BN80" i="31"/>
  <c r="BM80" i="31"/>
  <c r="BL80" i="31"/>
  <c r="BK80" i="31"/>
  <c r="BJ80" i="31"/>
  <c r="BI80" i="31"/>
  <c r="BH80" i="31"/>
  <c r="BG80" i="31"/>
  <c r="BF80" i="31"/>
  <c r="BE80" i="31"/>
  <c r="BD80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CJ79" i="31"/>
  <c r="CI79" i="31"/>
  <c r="CH79" i="31"/>
  <c r="CG79" i="31"/>
  <c r="CF79" i="31"/>
  <c r="CE79" i="31"/>
  <c r="CD79" i="31"/>
  <c r="CC79" i="31"/>
  <c r="CB79" i="31"/>
  <c r="CA79" i="31"/>
  <c r="BZ79" i="31"/>
  <c r="BY79" i="31"/>
  <c r="BH79" i="31"/>
  <c r="BG79" i="31"/>
  <c r="BF79" i="31"/>
  <c r="BE79" i="31"/>
  <c r="BD79" i="31"/>
  <c r="BC79" i="31"/>
  <c r="BB79" i="31"/>
  <c r="BA79" i="31"/>
  <c r="AZ79" i="31"/>
  <c r="AW79" i="31"/>
  <c r="AV79" i="31"/>
  <c r="AU79" i="31"/>
  <c r="AL79" i="31"/>
  <c r="AK79" i="31"/>
  <c r="AJ79" i="31"/>
  <c r="AI79" i="31"/>
  <c r="AH79" i="31"/>
  <c r="AD79" i="31"/>
  <c r="AC79" i="31"/>
  <c r="AB79" i="31"/>
  <c r="AA79" i="31"/>
  <c r="Z79" i="31"/>
  <c r="Y79" i="31"/>
  <c r="X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CJ78" i="31"/>
  <c r="CI78" i="31"/>
  <c r="CH78" i="31"/>
  <c r="CG78" i="31"/>
  <c r="CF78" i="31"/>
  <c r="CE78" i="31"/>
  <c r="CD78" i="31"/>
  <c r="CC78" i="31"/>
  <c r="CB78" i="31"/>
  <c r="CA78" i="31"/>
  <c r="BZ78" i="31"/>
  <c r="BY78" i="31"/>
  <c r="BH78" i="31"/>
  <c r="BG78" i="31"/>
  <c r="BF78" i="31"/>
  <c r="BE78" i="31"/>
  <c r="BD78" i="31"/>
  <c r="BC78" i="31"/>
  <c r="BB78" i="31"/>
  <c r="BA78" i="31"/>
  <c r="AZ78" i="31"/>
  <c r="AW78" i="31"/>
  <c r="AV78" i="31"/>
  <c r="AU78" i="31"/>
  <c r="AL78" i="31"/>
  <c r="AK78" i="31"/>
  <c r="AJ78" i="31"/>
  <c r="AI78" i="31"/>
  <c r="AH78" i="31"/>
  <c r="AD78" i="31"/>
  <c r="AC78" i="31"/>
  <c r="AB78" i="31"/>
  <c r="AA78" i="31"/>
  <c r="Z78" i="31"/>
  <c r="Y78" i="31"/>
  <c r="X78" i="31"/>
  <c r="U78" i="31"/>
  <c r="T78" i="31"/>
  <c r="S78" i="31"/>
  <c r="R78" i="31"/>
  <c r="Q78" i="31"/>
  <c r="P78" i="31"/>
  <c r="O78" i="31"/>
  <c r="N78" i="31"/>
  <c r="M78" i="31"/>
  <c r="L78" i="31"/>
  <c r="K78" i="31"/>
  <c r="J78" i="31"/>
  <c r="I78" i="31"/>
  <c r="U74" i="31"/>
  <c r="N17" i="47" s="1"/>
  <c r="T74" i="31"/>
  <c r="S74" i="31"/>
  <c r="L17" i="47" s="1"/>
  <c r="R74" i="31"/>
  <c r="Q74" i="31"/>
  <c r="J17" i="47" s="1"/>
  <c r="P74" i="31"/>
  <c r="I17" i="47" s="1"/>
  <c r="O74" i="31"/>
  <c r="H17" i="47" s="1"/>
  <c r="N74" i="31"/>
  <c r="M74" i="31"/>
  <c r="F17" i="47" s="1"/>
  <c r="L74" i="31"/>
  <c r="E17" i="47" s="1"/>
  <c r="K74" i="31"/>
  <c r="J74" i="31"/>
  <c r="I74" i="31"/>
  <c r="B17" i="47" s="1"/>
  <c r="CJ73" i="31"/>
  <c r="CI73" i="31"/>
  <c r="CH73" i="31"/>
  <c r="CG73" i="31"/>
  <c r="CF73" i="31"/>
  <c r="CE73" i="31"/>
  <c r="CD73" i="31"/>
  <c r="CC73" i="31"/>
  <c r="CB73" i="31"/>
  <c r="CA73" i="31"/>
  <c r="BZ73" i="31"/>
  <c r="BY73" i="31"/>
  <c r="BX72" i="31"/>
  <c r="BV72" i="31"/>
  <c r="BW72" i="31"/>
  <c r="BU72" i="31"/>
  <c r="BP72" i="31"/>
  <c r="BR72" i="31"/>
  <c r="BQ72" i="31"/>
  <c r="BN71" i="31"/>
  <c r="BX71" i="31"/>
  <c r="BW71" i="31"/>
  <c r="BU71" i="31"/>
  <c r="BR71" i="31"/>
  <c r="BQ71" i="31"/>
  <c r="BW70" i="31"/>
  <c r="BU70" i="31"/>
  <c r="BR70" i="31"/>
  <c r="BQ70" i="31"/>
  <c r="BX69" i="31"/>
  <c r="BU69" i="31"/>
  <c r="BQ69" i="31"/>
  <c r="BR69" i="31"/>
  <c r="BO69" i="31"/>
  <c r="BU68" i="31"/>
  <c r="CJ67" i="31"/>
  <c r="CI67" i="31"/>
  <c r="CH67" i="31"/>
  <c r="CG67" i="31"/>
  <c r="CF67" i="31"/>
  <c r="CE67" i="31"/>
  <c r="CD67" i="31"/>
  <c r="CC67" i="31"/>
  <c r="CB67" i="31"/>
  <c r="CA67" i="31"/>
  <c r="BZ67" i="31"/>
  <c r="BY67" i="31"/>
  <c r="BX66" i="31"/>
  <c r="BW66" i="31"/>
  <c r="BU66" i="31"/>
  <c r="BR66" i="31"/>
  <c r="BV66" i="31"/>
  <c r="BP66" i="31"/>
  <c r="BO66" i="31"/>
  <c r="BX65" i="31"/>
  <c r="BU65" i="31"/>
  <c r="BQ65" i="31"/>
  <c r="CJ64" i="31"/>
  <c r="CI64" i="31"/>
  <c r="CH64" i="31"/>
  <c r="CG64" i="31"/>
  <c r="CF64" i="31"/>
  <c r="CE64" i="31"/>
  <c r="CD64" i="31"/>
  <c r="CC64" i="31"/>
  <c r="CB64" i="31"/>
  <c r="CA64" i="31"/>
  <c r="BZ64" i="31"/>
  <c r="BY64" i="31"/>
  <c r="BX63" i="31"/>
  <c r="BU63" i="31"/>
  <c r="BW63" i="31"/>
  <c r="BR63" i="31"/>
  <c r="BX62" i="31"/>
  <c r="BU62" i="31"/>
  <c r="BR62" i="31"/>
  <c r="BP62" i="31"/>
  <c r="BQ62" i="31"/>
  <c r="BO62" i="31"/>
  <c r="BW61" i="31"/>
  <c r="BU61" i="31"/>
  <c r="BR61" i="31"/>
  <c r="BP61" i="31"/>
  <c r="BN61" i="31"/>
  <c r="BX60" i="31"/>
  <c r="BW60" i="31"/>
  <c r="BU60" i="31"/>
  <c r="BR60" i="31"/>
  <c r="BO60" i="31"/>
  <c r="BX59" i="31"/>
  <c r="BR59" i="31"/>
  <c r="BU59" i="31"/>
  <c r="BP59" i="31"/>
  <c r="BQ59" i="31"/>
  <c r="BO59" i="31"/>
  <c r="BW58" i="31"/>
  <c r="BU58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U56" i="31"/>
  <c r="BO56" i="31"/>
  <c r="BX56" i="31"/>
  <c r="BR56" i="31"/>
  <c r="BW55" i="31"/>
  <c r="BX55" i="31"/>
  <c r="BU55" i="31"/>
  <c r="BR55" i="31"/>
  <c r="BQ55" i="31"/>
  <c r="BN55" i="31"/>
  <c r="BX54" i="31"/>
  <c r="BW54" i="31"/>
  <c r="BQ54" i="31"/>
  <c r="BU54" i="31"/>
  <c r="BR54" i="31"/>
  <c r="BN54" i="31"/>
  <c r="BX53" i="31"/>
  <c r="BW53" i="31"/>
  <c r="BV53" i="31"/>
  <c r="CJ52" i="31"/>
  <c r="CI52" i="31"/>
  <c r="CH52" i="31"/>
  <c r="CG52" i="31"/>
  <c r="CF52" i="31"/>
  <c r="CE52" i="31"/>
  <c r="CD52" i="31"/>
  <c r="CC52" i="31"/>
  <c r="CB52" i="31"/>
  <c r="CA52" i="31"/>
  <c r="BZ52" i="31"/>
  <c r="BY52" i="31"/>
  <c r="BQ51" i="31"/>
  <c r="BN51" i="31"/>
  <c r="BX51" i="31"/>
  <c r="BV51" i="31"/>
  <c r="BU51" i="31"/>
  <c r="BR51" i="31"/>
  <c r="BO51" i="31"/>
  <c r="BX50" i="31"/>
  <c r="BU50" i="31"/>
  <c r="BQ50" i="31"/>
  <c r="BO50" i="31"/>
  <c r="BW50" i="31"/>
  <c r="BR50" i="31"/>
  <c r="BX49" i="31"/>
  <c r="BQ49" i="31"/>
  <c r="BR49" i="31"/>
  <c r="BO49" i="31"/>
  <c r="CJ48" i="31"/>
  <c r="CI48" i="31"/>
  <c r="CH48" i="31"/>
  <c r="CG48" i="31"/>
  <c r="CF48" i="31"/>
  <c r="CE48" i="31"/>
  <c r="CD48" i="31"/>
  <c r="CC48" i="31"/>
  <c r="CB48" i="31"/>
  <c r="CA48" i="31"/>
  <c r="BZ48" i="31"/>
  <c r="BY48" i="31"/>
  <c r="BX47" i="31"/>
  <c r="BU47" i="31"/>
  <c r="BR47" i="31"/>
  <c r="BQ47" i="31"/>
  <c r="BR46" i="31"/>
  <c r="BX46" i="31"/>
  <c r="BU46" i="31"/>
  <c r="BP46" i="31"/>
  <c r="BQ46" i="31"/>
  <c r="BN46" i="31"/>
  <c r="BU45" i="31"/>
  <c r="BX45" i="31"/>
  <c r="BW45" i="31"/>
  <c r="BP45" i="31"/>
  <c r="BR45" i="31"/>
  <c r="BQ45" i="31"/>
  <c r="BN45" i="31"/>
  <c r="BU44" i="31"/>
  <c r="BQ44" i="31"/>
  <c r="BJ81" i="31"/>
  <c r="AN81" i="31"/>
  <c r="CJ43" i="31"/>
  <c r="CI43" i="31"/>
  <c r="CH43" i="31"/>
  <c r="CG43" i="31"/>
  <c r="CF43" i="31"/>
  <c r="CE43" i="31"/>
  <c r="CD43" i="31"/>
  <c r="CC43" i="31"/>
  <c r="CB43" i="31"/>
  <c r="CA43" i="31"/>
  <c r="BZ43" i="31"/>
  <c r="BY43" i="31"/>
  <c r="BU42" i="31"/>
  <c r="BR42" i="31"/>
  <c r="BO42" i="31"/>
  <c r="BV42" i="31"/>
  <c r="BX42" i="31"/>
  <c r="BW42" i="31"/>
  <c r="BP42" i="31"/>
  <c r="BW41" i="31"/>
  <c r="BP41" i="31"/>
  <c r="BU41" i="31"/>
  <c r="CJ40" i="31"/>
  <c r="CI40" i="31"/>
  <c r="CH40" i="31"/>
  <c r="CG40" i="31"/>
  <c r="CF40" i="31"/>
  <c r="CE40" i="31"/>
  <c r="CD40" i="31"/>
  <c r="CC40" i="31"/>
  <c r="CB40" i="31"/>
  <c r="CA40" i="31"/>
  <c r="BZ40" i="31"/>
  <c r="BY40" i="31"/>
  <c r="BX39" i="31"/>
  <c r="BU39" i="31"/>
  <c r="BU86" i="31" s="1"/>
  <c r="BR39" i="31"/>
  <c r="BJ86" i="31"/>
  <c r="AX86" i="31"/>
  <c r="AM86" i="31"/>
  <c r="CJ38" i="31"/>
  <c r="CI38" i="31"/>
  <c r="CH38" i="31"/>
  <c r="CG38" i="31"/>
  <c r="CF38" i="31"/>
  <c r="CE38" i="31"/>
  <c r="CD38" i="31"/>
  <c r="CC38" i="31"/>
  <c r="CB38" i="31"/>
  <c r="CA38" i="31"/>
  <c r="BZ38" i="31"/>
  <c r="BY38" i="31"/>
  <c r="BX37" i="31"/>
  <c r="BU37" i="31"/>
  <c r="BW37" i="31"/>
  <c r="BR37" i="31"/>
  <c r="BO37" i="31"/>
  <c r="BR36" i="31"/>
  <c r="BX36" i="31"/>
  <c r="BU36" i="31"/>
  <c r="BP36" i="31"/>
  <c r="BQ36" i="31"/>
  <c r="BW35" i="31"/>
  <c r="BQ35" i="31"/>
  <c r="BN35" i="31"/>
  <c r="BX35" i="31"/>
  <c r="BU35" i="31"/>
  <c r="BR35" i="31"/>
  <c r="BX34" i="31"/>
  <c r="BU34" i="31"/>
  <c r="BQ34" i="31"/>
  <c r="BO34" i="31"/>
  <c r="BW34" i="31"/>
  <c r="BR34" i="31"/>
  <c r="BX33" i="31"/>
  <c r="BQ33" i="31"/>
  <c r="CJ32" i="31"/>
  <c r="CI32" i="31"/>
  <c r="CH32" i="31"/>
  <c r="CG32" i="31"/>
  <c r="CF32" i="31"/>
  <c r="CE32" i="31"/>
  <c r="CD32" i="31"/>
  <c r="CC32" i="31"/>
  <c r="CB32" i="31"/>
  <c r="CA32" i="31"/>
  <c r="BZ32" i="31"/>
  <c r="BY32" i="31"/>
  <c r="BU31" i="31"/>
  <c r="BW31" i="31"/>
  <c r="BR31" i="31"/>
  <c r="BP31" i="31"/>
  <c r="BO31" i="31"/>
  <c r="BQ30" i="31"/>
  <c r="BJ85" i="31"/>
  <c r="BI85" i="31"/>
  <c r="AX85" i="31"/>
  <c r="AN85" i="31"/>
  <c r="W85" i="31"/>
  <c r="BW29" i="31"/>
  <c r="BR29" i="31"/>
  <c r="BU29" i="31"/>
  <c r="BP29" i="31"/>
  <c r="BN29" i="31"/>
  <c r="BX28" i="31"/>
  <c r="BQ28" i="31"/>
  <c r="BU28" i="31"/>
  <c r="BR28" i="31"/>
  <c r="BX27" i="31"/>
  <c r="BR27" i="31"/>
  <c r="BU27" i="31"/>
  <c r="BQ27" i="31"/>
  <c r="BN27" i="31"/>
  <c r="BN26" i="31"/>
  <c r="AM79" i="31"/>
  <c r="W79" i="31"/>
  <c r="CJ25" i="31"/>
  <c r="CI25" i="31"/>
  <c r="CH25" i="31"/>
  <c r="CG25" i="31"/>
  <c r="CF25" i="31"/>
  <c r="CE25" i="31"/>
  <c r="CD25" i="31"/>
  <c r="CC25" i="31"/>
  <c r="CB25" i="31"/>
  <c r="CA25" i="31"/>
  <c r="BZ25" i="31"/>
  <c r="BY25" i="31"/>
  <c r="BU24" i="31"/>
  <c r="BU87" i="31" s="1"/>
  <c r="BJ87" i="31"/>
  <c r="BI87" i="31"/>
  <c r="AX87" i="31"/>
  <c r="AN87" i="31"/>
  <c r="AM87" i="31"/>
  <c r="AE87" i="31"/>
  <c r="W87" i="31"/>
  <c r="V87" i="31"/>
  <c r="CJ23" i="31"/>
  <c r="CI23" i="31"/>
  <c r="CH23" i="31"/>
  <c r="CG23" i="31"/>
  <c r="CF23" i="31"/>
  <c r="CE23" i="31"/>
  <c r="CD23" i="31"/>
  <c r="CC23" i="31"/>
  <c r="CB23" i="31"/>
  <c r="CA23" i="31"/>
  <c r="BZ23" i="31"/>
  <c r="BY23" i="31"/>
  <c r="BW22" i="31"/>
  <c r="BU22" i="31"/>
  <c r="BV22" i="31"/>
  <c r="BX22" i="31"/>
  <c r="BR22" i="31"/>
  <c r="BO22" i="31"/>
  <c r="BX21" i="31"/>
  <c r="BW21" i="31"/>
  <c r="BV21" i="31"/>
  <c r="BU21" i="31"/>
  <c r="BR21" i="31"/>
  <c r="BP21" i="31"/>
  <c r="BX20" i="31"/>
  <c r="BW20" i="31"/>
  <c r="BQ20" i="31"/>
  <c r="BU20" i="31"/>
  <c r="CJ19" i="31"/>
  <c r="CI19" i="31"/>
  <c r="CH19" i="31"/>
  <c r="CG19" i="31"/>
  <c r="CF19" i="31"/>
  <c r="CE19" i="31"/>
  <c r="CD19" i="31"/>
  <c r="CC19" i="31"/>
  <c r="CB19" i="31"/>
  <c r="CA19" i="31"/>
  <c r="BZ19" i="31"/>
  <c r="BY19" i="31"/>
  <c r="BX18" i="31"/>
  <c r="BU18" i="31"/>
  <c r="BR18" i="31"/>
  <c r="BQ18" i="31"/>
  <c r="BU17" i="31"/>
  <c r="BN17" i="31"/>
  <c r="BX17" i="31"/>
  <c r="BW17" i="31"/>
  <c r="BR17" i="31"/>
  <c r="BQ17" i="31"/>
  <c r="BO17" i="31"/>
  <c r="BU16" i="31"/>
  <c r="BR16" i="31"/>
  <c r="BQ16" i="31"/>
  <c r="CJ15" i="31"/>
  <c r="CI15" i="31"/>
  <c r="CH15" i="31"/>
  <c r="CG15" i="31"/>
  <c r="CF15" i="31"/>
  <c r="CE15" i="31"/>
  <c r="CD15" i="31"/>
  <c r="CC15" i="31"/>
  <c r="CB15" i="31"/>
  <c r="CA15" i="31"/>
  <c r="BZ15" i="31"/>
  <c r="BY15" i="31"/>
  <c r="BG74" i="31"/>
  <c r="AZ17" i="47" s="1"/>
  <c r="AY17" i="47"/>
  <c r="BE74" i="31"/>
  <c r="AX17" i="47" s="1"/>
  <c r="BD74" i="31"/>
  <c r="AW17" i="47" s="1"/>
  <c r="BA74" i="31"/>
  <c r="AZ74" i="31"/>
  <c r="AS17" i="47" s="1"/>
  <c r="AU74" i="31"/>
  <c r="AL74" i="31"/>
  <c r="AE17" i="47" s="1"/>
  <c r="AI74" i="31"/>
  <c r="W75" i="31" s="1"/>
  <c r="AC74" i="31"/>
  <c r="V17" i="47" s="1"/>
  <c r="AA74" i="31"/>
  <c r="T17" i="47" s="1"/>
  <c r="Z74" i="31"/>
  <c r="S17" i="47" s="1"/>
  <c r="BX14" i="31"/>
  <c r="BW14" i="31"/>
  <c r="BR14" i="31"/>
  <c r="AN84" i="31"/>
  <c r="AM84" i="31"/>
  <c r="V84" i="31"/>
  <c r="BX13" i="31"/>
  <c r="BU13" i="31"/>
  <c r="BR13" i="31"/>
  <c r="BQ13" i="31"/>
  <c r="BP12" i="31"/>
  <c r="BN12" i="31"/>
  <c r="AX78" i="31"/>
  <c r="W78" i="31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H113" i="30"/>
  <c r="BG113" i="30"/>
  <c r="BF113" i="30"/>
  <c r="BE113" i="30"/>
  <c r="BD113" i="30"/>
  <c r="BC113" i="30"/>
  <c r="BB113" i="30"/>
  <c r="BA113" i="30"/>
  <c r="AZ113" i="30"/>
  <c r="AW113" i="30"/>
  <c r="AV113" i="30"/>
  <c r="AU113" i="30"/>
  <c r="AL113" i="30"/>
  <c r="AK113" i="30"/>
  <c r="AJ113" i="30"/>
  <c r="AI113" i="30"/>
  <c r="AH113" i="30"/>
  <c r="AD113" i="30"/>
  <c r="AC113" i="30"/>
  <c r="AB113" i="30"/>
  <c r="AA113" i="30"/>
  <c r="Z113" i="30"/>
  <c r="Y113" i="30"/>
  <c r="X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H112" i="30"/>
  <c r="BG112" i="30"/>
  <c r="BF112" i="30"/>
  <c r="BE112" i="30"/>
  <c r="BD112" i="30"/>
  <c r="BC112" i="30"/>
  <c r="BB112" i="30"/>
  <c r="BA112" i="30"/>
  <c r="AZ112" i="30"/>
  <c r="AW112" i="30"/>
  <c r="AV112" i="30"/>
  <c r="AU112" i="30"/>
  <c r="AL112" i="30"/>
  <c r="AK112" i="30"/>
  <c r="AJ112" i="30"/>
  <c r="AI112" i="30"/>
  <c r="AH112" i="30"/>
  <c r="AD112" i="30"/>
  <c r="AC112" i="30"/>
  <c r="AB112" i="30"/>
  <c r="AA112" i="30"/>
  <c r="Z112" i="30"/>
  <c r="Y112" i="30"/>
  <c r="X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CJ111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H111" i="30"/>
  <c r="BG111" i="30"/>
  <c r="BF111" i="30"/>
  <c r="BE111" i="30"/>
  <c r="BD111" i="30"/>
  <c r="BC111" i="30"/>
  <c r="BB111" i="30"/>
  <c r="BA111" i="30"/>
  <c r="AZ111" i="30"/>
  <c r="AW111" i="30"/>
  <c r="AV111" i="30"/>
  <c r="AU111" i="30"/>
  <c r="AL111" i="30"/>
  <c r="AK111" i="30"/>
  <c r="AJ111" i="30"/>
  <c r="AI111" i="30"/>
  <c r="AH111" i="30"/>
  <c r="AD111" i="30"/>
  <c r="AC111" i="30"/>
  <c r="AB111" i="30"/>
  <c r="AA111" i="30"/>
  <c r="Z111" i="30"/>
  <c r="Y111" i="30"/>
  <c r="X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CJ110" i="30"/>
  <c r="CI110" i="30"/>
  <c r="CH110" i="30"/>
  <c r="CG110" i="30"/>
  <c r="CF110" i="30"/>
  <c r="CE110" i="30"/>
  <c r="CD110" i="30"/>
  <c r="CC110" i="30"/>
  <c r="CB110" i="30"/>
  <c r="CA110" i="30"/>
  <c r="BZ110" i="30"/>
  <c r="BY110" i="30"/>
  <c r="BH110" i="30"/>
  <c r="BG110" i="30"/>
  <c r="BF110" i="30"/>
  <c r="BE110" i="30"/>
  <c r="BD110" i="30"/>
  <c r="BC110" i="30"/>
  <c r="BB110" i="30"/>
  <c r="BA110" i="30"/>
  <c r="AZ110" i="30"/>
  <c r="AW110" i="30"/>
  <c r="AV110" i="30"/>
  <c r="AU110" i="30"/>
  <c r="AL110" i="30"/>
  <c r="AK110" i="30"/>
  <c r="AJ110" i="30"/>
  <c r="AI110" i="30"/>
  <c r="AH110" i="30"/>
  <c r="AD110" i="30"/>
  <c r="AC110" i="30"/>
  <c r="AB110" i="30"/>
  <c r="AA110" i="30"/>
  <c r="Z110" i="30"/>
  <c r="Y110" i="30"/>
  <c r="X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CJ109" i="30"/>
  <c r="CI109" i="30"/>
  <c r="CH109" i="30"/>
  <c r="CG109" i="30"/>
  <c r="CF109" i="30"/>
  <c r="CE109" i="30"/>
  <c r="CD109" i="30"/>
  <c r="CC109" i="30"/>
  <c r="CB109" i="30"/>
  <c r="CA109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CJ108" i="30"/>
  <c r="CI108" i="30"/>
  <c r="CH108" i="30"/>
  <c r="CG108" i="30"/>
  <c r="CF108" i="30"/>
  <c r="CE108" i="30"/>
  <c r="CD108" i="30"/>
  <c r="CC108" i="30"/>
  <c r="CB108" i="30"/>
  <c r="CA108" i="30"/>
  <c r="BZ108" i="30"/>
  <c r="BY108" i="30"/>
  <c r="BX108" i="30"/>
  <c r="BW108" i="30"/>
  <c r="BV108" i="30"/>
  <c r="BU108" i="30"/>
  <c r="BT108" i="30"/>
  <c r="BS108" i="30"/>
  <c r="BR108" i="30"/>
  <c r="BQ108" i="30"/>
  <c r="BP108" i="30"/>
  <c r="BO108" i="30"/>
  <c r="BN108" i="30"/>
  <c r="BM108" i="30"/>
  <c r="BL108" i="30"/>
  <c r="BK108" i="30"/>
  <c r="BJ108" i="30"/>
  <c r="BI108" i="30"/>
  <c r="BH108" i="30"/>
  <c r="BG108" i="30"/>
  <c r="BF108" i="30"/>
  <c r="BE108" i="30"/>
  <c r="BD108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CJ107" i="30"/>
  <c r="CI107" i="30"/>
  <c r="CH107" i="30"/>
  <c r="CG107" i="30"/>
  <c r="CF107" i="30"/>
  <c r="CE107" i="30"/>
  <c r="CD107" i="30"/>
  <c r="CC107" i="30"/>
  <c r="CB107" i="30"/>
  <c r="CA107" i="30"/>
  <c r="BZ107" i="30"/>
  <c r="BY107" i="30"/>
  <c r="BH107" i="30"/>
  <c r="BG107" i="30"/>
  <c r="BF107" i="30"/>
  <c r="BE107" i="30"/>
  <c r="BD107" i="30"/>
  <c r="BC107" i="30"/>
  <c r="BB107" i="30"/>
  <c r="BA107" i="30"/>
  <c r="AZ107" i="30"/>
  <c r="AW107" i="30"/>
  <c r="AV107" i="30"/>
  <c r="AU107" i="30"/>
  <c r="AL107" i="30"/>
  <c r="AK107" i="30"/>
  <c r="AJ107" i="30"/>
  <c r="AI107" i="30"/>
  <c r="AH107" i="30"/>
  <c r="AD107" i="30"/>
  <c r="AC107" i="30"/>
  <c r="AB107" i="30"/>
  <c r="AA107" i="30"/>
  <c r="Z107" i="30"/>
  <c r="Y107" i="30"/>
  <c r="X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CJ106" i="30"/>
  <c r="CI106" i="30"/>
  <c r="CH106" i="30"/>
  <c r="CG106" i="30"/>
  <c r="CF106" i="30"/>
  <c r="CE106" i="30"/>
  <c r="CD106" i="30"/>
  <c r="CC106" i="30"/>
  <c r="CB106" i="30"/>
  <c r="CA106" i="30"/>
  <c r="BZ106" i="30"/>
  <c r="BY106" i="30"/>
  <c r="BX106" i="30"/>
  <c r="BW106" i="30"/>
  <c r="BV106" i="30"/>
  <c r="BU106" i="30"/>
  <c r="BT106" i="30"/>
  <c r="BS106" i="30"/>
  <c r="BR106" i="30"/>
  <c r="BQ106" i="30"/>
  <c r="BP106" i="30"/>
  <c r="BO106" i="30"/>
  <c r="BN106" i="30"/>
  <c r="BM106" i="30"/>
  <c r="BL106" i="30"/>
  <c r="BK106" i="30"/>
  <c r="BJ106" i="30"/>
  <c r="BI106" i="30"/>
  <c r="BH106" i="30"/>
  <c r="BG106" i="30"/>
  <c r="BF106" i="30"/>
  <c r="BE106" i="30"/>
  <c r="BD106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CJ105" i="30"/>
  <c r="CI105" i="30"/>
  <c r="CH105" i="30"/>
  <c r="CG105" i="30"/>
  <c r="CF105" i="30"/>
  <c r="CE105" i="30"/>
  <c r="CD105" i="30"/>
  <c r="CC105" i="30"/>
  <c r="CB105" i="30"/>
  <c r="CA105" i="30"/>
  <c r="BZ105" i="30"/>
  <c r="BY105" i="30"/>
  <c r="BH105" i="30"/>
  <c r="BG105" i="30"/>
  <c r="BF105" i="30"/>
  <c r="BE105" i="30"/>
  <c r="BD105" i="30"/>
  <c r="BC105" i="30"/>
  <c r="BB105" i="30"/>
  <c r="BA105" i="30"/>
  <c r="AZ105" i="30"/>
  <c r="AW105" i="30"/>
  <c r="AV105" i="30"/>
  <c r="AU105" i="30"/>
  <c r="AL105" i="30"/>
  <c r="AK105" i="30"/>
  <c r="AJ105" i="30"/>
  <c r="AI105" i="30"/>
  <c r="AH105" i="30"/>
  <c r="AD105" i="30"/>
  <c r="AC105" i="30"/>
  <c r="AB105" i="30"/>
  <c r="AA105" i="30"/>
  <c r="Z105" i="30"/>
  <c r="Y105" i="30"/>
  <c r="X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CJ104" i="30"/>
  <c r="CI104" i="30"/>
  <c r="CH104" i="30"/>
  <c r="CG104" i="30"/>
  <c r="CF104" i="30"/>
  <c r="CE104" i="30"/>
  <c r="CD104" i="30"/>
  <c r="CC104" i="30"/>
  <c r="CB104" i="30"/>
  <c r="CA104" i="30"/>
  <c r="BZ104" i="30"/>
  <c r="BY104" i="30"/>
  <c r="BH104" i="30"/>
  <c r="BG104" i="30"/>
  <c r="BF104" i="30"/>
  <c r="BE104" i="30"/>
  <c r="BD104" i="30"/>
  <c r="BC104" i="30"/>
  <c r="BB104" i="30"/>
  <c r="BA104" i="30"/>
  <c r="AZ104" i="30"/>
  <c r="AW104" i="30"/>
  <c r="AV104" i="30"/>
  <c r="AU104" i="30"/>
  <c r="AL104" i="30"/>
  <c r="AK104" i="30"/>
  <c r="AJ104" i="30"/>
  <c r="AI104" i="30"/>
  <c r="AH104" i="30"/>
  <c r="AD104" i="30"/>
  <c r="AC104" i="30"/>
  <c r="AB104" i="30"/>
  <c r="AA104" i="30"/>
  <c r="Z104" i="30"/>
  <c r="Y104" i="30"/>
  <c r="X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U100" i="30"/>
  <c r="T100" i="30"/>
  <c r="S100" i="30"/>
  <c r="L16" i="47" s="1"/>
  <c r="R100" i="30"/>
  <c r="Q100" i="30"/>
  <c r="J16" i="47" s="1"/>
  <c r="P100" i="30"/>
  <c r="I16" i="47" s="1"/>
  <c r="O100" i="30"/>
  <c r="N100" i="30"/>
  <c r="M100" i="30"/>
  <c r="F16" i="47" s="1"/>
  <c r="L100" i="30"/>
  <c r="K100" i="30"/>
  <c r="J100" i="30"/>
  <c r="I100" i="30"/>
  <c r="B16" i="47" s="1"/>
  <c r="CJ99" i="30"/>
  <c r="CI99" i="30"/>
  <c r="CH99" i="30"/>
  <c r="CG99" i="30"/>
  <c r="CF99" i="30"/>
  <c r="CE99" i="30"/>
  <c r="CD99" i="30"/>
  <c r="CC99" i="30"/>
  <c r="CB99" i="30"/>
  <c r="CA99" i="30"/>
  <c r="BZ99" i="30"/>
  <c r="BY99" i="30"/>
  <c r="BX98" i="30"/>
  <c r="BW98" i="30"/>
  <c r="BV98" i="30"/>
  <c r="BU98" i="30"/>
  <c r="BR98" i="30"/>
  <c r="BO98" i="30"/>
  <c r="BX97" i="30"/>
  <c r="BR97" i="30"/>
  <c r="BV97" i="30"/>
  <c r="BW97" i="30"/>
  <c r="BU97" i="30"/>
  <c r="BX96" i="30"/>
  <c r="BN96" i="30"/>
  <c r="BW96" i="30"/>
  <c r="BU96" i="30"/>
  <c r="BR96" i="30"/>
  <c r="BX95" i="30"/>
  <c r="BW95" i="30"/>
  <c r="BU95" i="30"/>
  <c r="BQ95" i="30"/>
  <c r="BN95" i="30"/>
  <c r="BR95" i="30"/>
  <c r="BO95" i="30"/>
  <c r="BX94" i="30"/>
  <c r="BU94" i="30"/>
  <c r="BQ94" i="30"/>
  <c r="BO94" i="30"/>
  <c r="BW93" i="30"/>
  <c r="CJ92" i="30"/>
  <c r="CI92" i="30"/>
  <c r="CH92" i="30"/>
  <c r="CG92" i="30"/>
  <c r="CF92" i="30"/>
  <c r="CE92" i="30"/>
  <c r="CD92" i="30"/>
  <c r="CC92" i="30"/>
  <c r="CB92" i="30"/>
  <c r="CA92" i="30"/>
  <c r="BZ92" i="30"/>
  <c r="BY92" i="30"/>
  <c r="BX91" i="30"/>
  <c r="BU91" i="30"/>
  <c r="BR91" i="30"/>
  <c r="BQ91" i="30"/>
  <c r="BW90" i="30"/>
  <c r="BQ90" i="30"/>
  <c r="BU90" i="30"/>
  <c r="BR90" i="30"/>
  <c r="BP90" i="30"/>
  <c r="BN90" i="30"/>
  <c r="BX89" i="30"/>
  <c r="BW89" i="30"/>
  <c r="BU89" i="30"/>
  <c r="BN89" i="30"/>
  <c r="BR89" i="30"/>
  <c r="BO89" i="30"/>
  <c r="BX88" i="30"/>
  <c r="BR88" i="30"/>
  <c r="BU88" i="30"/>
  <c r="BQ88" i="30"/>
  <c r="BX87" i="30"/>
  <c r="BW87" i="30"/>
  <c r="BU87" i="30"/>
  <c r="BR87" i="30"/>
  <c r="BQ87" i="30"/>
  <c r="BU86" i="30"/>
  <c r="BX86" i="30"/>
  <c r="CJ85" i="30"/>
  <c r="CI85" i="30"/>
  <c r="CH85" i="30"/>
  <c r="CG85" i="30"/>
  <c r="CF85" i="30"/>
  <c r="CE85" i="30"/>
  <c r="CD85" i="30"/>
  <c r="CC85" i="30"/>
  <c r="CB85" i="30"/>
  <c r="CA85" i="30"/>
  <c r="BZ85" i="30"/>
  <c r="BY85" i="30"/>
  <c r="BW84" i="30"/>
  <c r="BX84" i="30"/>
  <c r="BU84" i="30"/>
  <c r="BR84" i="30"/>
  <c r="BQ84" i="30"/>
  <c r="BX83" i="30"/>
  <c r="BW83" i="30"/>
  <c r="BU83" i="30"/>
  <c r="BR83" i="30"/>
  <c r="BX82" i="30"/>
  <c r="BU82" i="30"/>
  <c r="BQ82" i="30"/>
  <c r="CJ81" i="30"/>
  <c r="CI81" i="30"/>
  <c r="CH81" i="30"/>
  <c r="CG81" i="30"/>
  <c r="CF81" i="30"/>
  <c r="CE81" i="30"/>
  <c r="CD81" i="30"/>
  <c r="CC81" i="30"/>
  <c r="CB81" i="30"/>
  <c r="CA81" i="30"/>
  <c r="BZ81" i="30"/>
  <c r="BY81" i="30"/>
  <c r="BX80" i="30"/>
  <c r="BU80" i="30"/>
  <c r="BW80" i="30"/>
  <c r="BR80" i="30"/>
  <c r="BQ80" i="30"/>
  <c r="BO80" i="30"/>
  <c r="BW79" i="30"/>
  <c r="BX79" i="30"/>
  <c r="BP79" i="30"/>
  <c r="BR79" i="30"/>
  <c r="BQ79" i="30"/>
  <c r="BX78" i="30"/>
  <c r="BW78" i="30"/>
  <c r="BU78" i="30"/>
  <c r="BR78" i="30"/>
  <c r="BX77" i="30"/>
  <c r="BU77" i="30"/>
  <c r="BR77" i="30"/>
  <c r="BQ77" i="30"/>
  <c r="BO77" i="30"/>
  <c r="BW76" i="30"/>
  <c r="BU76" i="30"/>
  <c r="CJ75" i="30"/>
  <c r="CI75" i="30"/>
  <c r="CH75" i="30"/>
  <c r="CG75" i="30"/>
  <c r="CF75" i="30"/>
  <c r="CE75" i="30"/>
  <c r="CD75" i="30"/>
  <c r="CC75" i="30"/>
  <c r="CB75" i="30"/>
  <c r="CA75" i="30"/>
  <c r="BZ75" i="30"/>
  <c r="BY75" i="30"/>
  <c r="BX74" i="30"/>
  <c r="BU74" i="30"/>
  <c r="BW74" i="30"/>
  <c r="BR74" i="30"/>
  <c r="BQ74" i="30"/>
  <c r="BO74" i="30"/>
  <c r="BW73" i="30"/>
  <c r="BV73" i="30"/>
  <c r="BU73" i="30"/>
  <c r="BR73" i="30"/>
  <c r="BQ73" i="30"/>
  <c r="BX72" i="30"/>
  <c r="BW72" i="30"/>
  <c r="BR72" i="30"/>
  <c r="BN72" i="30"/>
  <c r="CJ71" i="30"/>
  <c r="CI71" i="30"/>
  <c r="CH71" i="30"/>
  <c r="CG71" i="30"/>
  <c r="CF71" i="30"/>
  <c r="CE71" i="30"/>
  <c r="CD71" i="30"/>
  <c r="CC71" i="30"/>
  <c r="CB71" i="30"/>
  <c r="CA71" i="30"/>
  <c r="BZ71" i="30"/>
  <c r="BY71" i="30"/>
  <c r="BN70" i="30"/>
  <c r="BX70" i="30"/>
  <c r="BW70" i="30"/>
  <c r="BU70" i="30"/>
  <c r="BR70" i="30"/>
  <c r="BQ70" i="30"/>
  <c r="BW69" i="30"/>
  <c r="BU69" i="30"/>
  <c r="BX69" i="30"/>
  <c r="BR69" i="30"/>
  <c r="BO69" i="30"/>
  <c r="BU68" i="30"/>
  <c r="BX68" i="30"/>
  <c r="BR68" i="30"/>
  <c r="BQ68" i="30"/>
  <c r="BW67" i="30"/>
  <c r="BR67" i="30"/>
  <c r="BX67" i="30"/>
  <c r="BU67" i="30"/>
  <c r="BQ67" i="30"/>
  <c r="BX66" i="30"/>
  <c r="BW66" i="30"/>
  <c r="BQ66" i="30"/>
  <c r="BR66" i="30"/>
  <c r="CJ65" i="30"/>
  <c r="CI65" i="30"/>
  <c r="CH65" i="30"/>
  <c r="CG65" i="30"/>
  <c r="CF65" i="30"/>
  <c r="CE65" i="30"/>
  <c r="CD65" i="30"/>
  <c r="CC65" i="30"/>
  <c r="CB65" i="30"/>
  <c r="CA65" i="30"/>
  <c r="BZ65" i="30"/>
  <c r="BY65" i="30"/>
  <c r="BW64" i="30"/>
  <c r="BX64" i="30"/>
  <c r="BU64" i="30"/>
  <c r="BR64" i="30"/>
  <c r="BQ64" i="30"/>
  <c r="BX63" i="30"/>
  <c r="BW63" i="30"/>
  <c r="BU63" i="30"/>
  <c r="BR63" i="30"/>
  <c r="BX62" i="30"/>
  <c r="BU62" i="30"/>
  <c r="BQ62" i="30"/>
  <c r="CJ61" i="30"/>
  <c r="CI61" i="30"/>
  <c r="CH61" i="30"/>
  <c r="CG61" i="30"/>
  <c r="CF61" i="30"/>
  <c r="CE61" i="30"/>
  <c r="CD61" i="30"/>
  <c r="CC61" i="30"/>
  <c r="CB61" i="30"/>
  <c r="CA61" i="30"/>
  <c r="BZ61" i="30"/>
  <c r="BY61" i="30"/>
  <c r="BW60" i="30"/>
  <c r="BU60" i="30"/>
  <c r="BV60" i="30"/>
  <c r="BX60" i="30"/>
  <c r="BR60" i="30"/>
  <c r="BO60" i="30"/>
  <c r="BX59" i="30"/>
  <c r="BU59" i="30"/>
  <c r="BW59" i="30"/>
  <c r="BR59" i="30"/>
  <c r="BQ59" i="30"/>
  <c r="BO59" i="30"/>
  <c r="BW58" i="30"/>
  <c r="BX58" i="30"/>
  <c r="BU58" i="30"/>
  <c r="BR58" i="30"/>
  <c r="BQ58" i="30"/>
  <c r="BX57" i="30"/>
  <c r="BW57" i="30"/>
  <c r="BN57" i="30"/>
  <c r="BU57" i="30"/>
  <c r="BR57" i="30"/>
  <c r="BX56" i="30"/>
  <c r="BU56" i="30"/>
  <c r="BO56" i="30"/>
  <c r="BP56" i="30"/>
  <c r="BQ56" i="30"/>
  <c r="BX55" i="30"/>
  <c r="BU55" i="30"/>
  <c r="CJ54" i="30"/>
  <c r="CI54" i="30"/>
  <c r="CH54" i="30"/>
  <c r="CG54" i="30"/>
  <c r="CF54" i="30"/>
  <c r="CE54" i="30"/>
  <c r="CD54" i="30"/>
  <c r="CC54" i="30"/>
  <c r="CB54" i="30"/>
  <c r="CA54" i="30"/>
  <c r="BZ54" i="30"/>
  <c r="BY54" i="30"/>
  <c r="BX53" i="30"/>
  <c r="BU53" i="30"/>
  <c r="BR53" i="30"/>
  <c r="BW53" i="30"/>
  <c r="BQ53" i="30"/>
  <c r="BO53" i="30"/>
  <c r="BW52" i="30"/>
  <c r="BX52" i="30"/>
  <c r="BU52" i="30"/>
  <c r="BR52" i="30"/>
  <c r="BQ52" i="30"/>
  <c r="BX51" i="30"/>
  <c r="BW51" i="30"/>
  <c r="BU51" i="30"/>
  <c r="BR51" i="30"/>
  <c r="BX50" i="30"/>
  <c r="BU50" i="30"/>
  <c r="BR50" i="30"/>
  <c r="BP49" i="30"/>
  <c r="BR49" i="30"/>
  <c r="BQ49" i="30"/>
  <c r="CJ48" i="30"/>
  <c r="CI48" i="30"/>
  <c r="CH48" i="30"/>
  <c r="CG48" i="30"/>
  <c r="CF48" i="30"/>
  <c r="CE48" i="30"/>
  <c r="CD48" i="30"/>
  <c r="CC48" i="30"/>
  <c r="CB48" i="30"/>
  <c r="CA48" i="30"/>
  <c r="BZ48" i="30"/>
  <c r="BY48" i="30"/>
  <c r="BX47" i="30"/>
  <c r="BU47" i="30"/>
  <c r="BW47" i="30"/>
  <c r="BR47" i="30"/>
  <c r="BQ47" i="30"/>
  <c r="BO47" i="30"/>
  <c r="BX46" i="30"/>
  <c r="BW46" i="30"/>
  <c r="BU46" i="30"/>
  <c r="BR46" i="30"/>
  <c r="BQ46" i="30"/>
  <c r="BX45" i="30"/>
  <c r="BQ45" i="30"/>
  <c r="CJ44" i="30"/>
  <c r="CI44" i="30"/>
  <c r="CH44" i="30"/>
  <c r="CG44" i="30"/>
  <c r="CF44" i="30"/>
  <c r="CE44" i="30"/>
  <c r="CD44" i="30"/>
  <c r="CC44" i="30"/>
  <c r="CB44" i="30"/>
  <c r="CA44" i="30"/>
  <c r="BZ44" i="30"/>
  <c r="BY44" i="30"/>
  <c r="BW43" i="30"/>
  <c r="BX43" i="30"/>
  <c r="BU43" i="30"/>
  <c r="BR43" i="30"/>
  <c r="BX42" i="30"/>
  <c r="BU42" i="30"/>
  <c r="BO42" i="30"/>
  <c r="BR42" i="30"/>
  <c r="BP42" i="30"/>
  <c r="BX41" i="30"/>
  <c r="BW41" i="30"/>
  <c r="BU41" i="30"/>
  <c r="BQ41" i="30"/>
  <c r="BW40" i="30"/>
  <c r="BQ40" i="30"/>
  <c r="BX40" i="30"/>
  <c r="BU40" i="30"/>
  <c r="BS40" i="30"/>
  <c r="BR40" i="30"/>
  <c r="BP40" i="30"/>
  <c r="BX39" i="30"/>
  <c r="BU39" i="30"/>
  <c r="BW39" i="30"/>
  <c r="BR39" i="30"/>
  <c r="BQ39" i="30"/>
  <c r="BO39" i="30"/>
  <c r="BX38" i="30"/>
  <c r="BW38" i="30"/>
  <c r="CJ37" i="30"/>
  <c r="CI37" i="30"/>
  <c r="CH37" i="30"/>
  <c r="CG37" i="30"/>
  <c r="CF37" i="30"/>
  <c r="CE37" i="30"/>
  <c r="CD37" i="30"/>
  <c r="CC37" i="30"/>
  <c r="CB37" i="30"/>
  <c r="CA37" i="30"/>
  <c r="BZ37" i="30"/>
  <c r="BY37" i="30"/>
  <c r="BX36" i="30"/>
  <c r="BU36" i="30"/>
  <c r="BR36" i="30"/>
  <c r="BP36" i="30"/>
  <c r="BO36" i="30"/>
  <c r="BX35" i="30"/>
  <c r="BW35" i="30"/>
  <c r="BU35" i="30"/>
  <c r="BQ35" i="30"/>
  <c r="BW34" i="30"/>
  <c r="BX34" i="30"/>
  <c r="BU34" i="30"/>
  <c r="BR34" i="30"/>
  <c r="BP34" i="30"/>
  <c r="BX33" i="30"/>
  <c r="BU33" i="30"/>
  <c r="BW33" i="30"/>
  <c r="BR33" i="30"/>
  <c r="BQ33" i="30"/>
  <c r="BO33" i="30"/>
  <c r="BJ107" i="30"/>
  <c r="AM107" i="30"/>
  <c r="BW31" i="30"/>
  <c r="BX31" i="30"/>
  <c r="CJ30" i="30"/>
  <c r="CI30" i="30"/>
  <c r="CH30" i="30"/>
  <c r="CG30" i="30"/>
  <c r="CF30" i="30"/>
  <c r="CE30" i="30"/>
  <c r="CD30" i="30"/>
  <c r="CC30" i="30"/>
  <c r="CB30" i="30"/>
  <c r="CA30" i="30"/>
  <c r="BZ30" i="30"/>
  <c r="BY30" i="30"/>
  <c r="BI112" i="30"/>
  <c r="AX112" i="30"/>
  <c r="AO112" i="30"/>
  <c r="AN112" i="30"/>
  <c r="AM112" i="30"/>
  <c r="W112" i="30"/>
  <c r="V112" i="30"/>
  <c r="CJ28" i="30"/>
  <c r="CI28" i="30"/>
  <c r="CH28" i="30"/>
  <c r="CG28" i="30"/>
  <c r="CF28" i="30"/>
  <c r="CE28" i="30"/>
  <c r="CD28" i="30"/>
  <c r="CC28" i="30"/>
  <c r="CB28" i="30"/>
  <c r="CA28" i="30"/>
  <c r="BZ28" i="30"/>
  <c r="BY28" i="30"/>
  <c r="BX27" i="30"/>
  <c r="BU27" i="30"/>
  <c r="BW27" i="30"/>
  <c r="BR27" i="30"/>
  <c r="BQ27" i="30"/>
  <c r="BO27" i="30"/>
  <c r="BX26" i="30"/>
  <c r="BW26" i="30"/>
  <c r="BU26" i="30"/>
  <c r="BR26" i="30"/>
  <c r="BQ26" i="30"/>
  <c r="BW25" i="30"/>
  <c r="BN25" i="30"/>
  <c r="BX25" i="30"/>
  <c r="BU25" i="30"/>
  <c r="BR25" i="30"/>
  <c r="BP25" i="30"/>
  <c r="BO25" i="30"/>
  <c r="BX24" i="30"/>
  <c r="BU24" i="30"/>
  <c r="BR24" i="30"/>
  <c r="CJ23" i="30"/>
  <c r="CI23" i="30"/>
  <c r="CH23" i="30"/>
  <c r="CG23" i="30"/>
  <c r="CF23" i="30"/>
  <c r="CE23" i="30"/>
  <c r="CD23" i="30"/>
  <c r="CC23" i="30"/>
  <c r="CB23" i="30"/>
  <c r="CA23" i="30"/>
  <c r="BZ23" i="30"/>
  <c r="BY23" i="30"/>
  <c r="BW22" i="30"/>
  <c r="BX22" i="30"/>
  <c r="BU22" i="30"/>
  <c r="BR22" i="30"/>
  <c r="BP22" i="30"/>
  <c r="BX21" i="30"/>
  <c r="BW21" i="30"/>
  <c r="BU21" i="30"/>
  <c r="BR21" i="30"/>
  <c r="BQ21" i="30"/>
  <c r="BX19" i="30"/>
  <c r="BW19" i="30"/>
  <c r="BU19" i="30"/>
  <c r="BR19" i="30"/>
  <c r="BX18" i="30"/>
  <c r="BU18" i="30"/>
  <c r="BJ105" i="30"/>
  <c r="AX105" i="30"/>
  <c r="W105" i="30"/>
  <c r="CJ17" i="30"/>
  <c r="CI17" i="30"/>
  <c r="CH17" i="30"/>
  <c r="CG17" i="30"/>
  <c r="CF17" i="30"/>
  <c r="CE17" i="30"/>
  <c r="CD17" i="30"/>
  <c r="CC17" i="30"/>
  <c r="CB17" i="30"/>
  <c r="CA17" i="30"/>
  <c r="BZ17" i="30"/>
  <c r="BY17" i="30"/>
  <c r="BW16" i="30"/>
  <c r="BU16" i="30"/>
  <c r="BU113" i="30" s="1"/>
  <c r="BQ16" i="30"/>
  <c r="BJ113" i="30"/>
  <c r="BI113" i="30"/>
  <c r="AX113" i="30"/>
  <c r="AN113" i="30"/>
  <c r="AF113" i="30"/>
  <c r="W113" i="30"/>
  <c r="V113" i="30"/>
  <c r="CJ15" i="30"/>
  <c r="CI15" i="30"/>
  <c r="CH15" i="30"/>
  <c r="CG15" i="30"/>
  <c r="CF15" i="30"/>
  <c r="CE15" i="30"/>
  <c r="CD15" i="30"/>
  <c r="CC15" i="30"/>
  <c r="CB15" i="30"/>
  <c r="CA15" i="30"/>
  <c r="BZ15" i="30"/>
  <c r="BY15" i="30"/>
  <c r="AZ100" i="30"/>
  <c r="AS16" i="47" s="1"/>
  <c r="AH100" i="30"/>
  <c r="V101" i="30" s="1"/>
  <c r="BW14" i="30"/>
  <c r="BQ14" i="30"/>
  <c r="BI110" i="30"/>
  <c r="AN110" i="30"/>
  <c r="BX13" i="30"/>
  <c r="BW13" i="30"/>
  <c r="BU13" i="30"/>
  <c r="BR13" i="30"/>
  <c r="BW12" i="30"/>
  <c r="BJ104" i="30"/>
  <c r="AN104" i="30"/>
  <c r="BQ12" i="30"/>
  <c r="V104" i="30"/>
  <c r="CJ209" i="29"/>
  <c r="CI209" i="29"/>
  <c r="CH209" i="29"/>
  <c r="CG209" i="29"/>
  <c r="CF209" i="29"/>
  <c r="CE209" i="29"/>
  <c r="CD209" i="29"/>
  <c r="CC209" i="29"/>
  <c r="CB209" i="29"/>
  <c r="CA209" i="29"/>
  <c r="BZ209" i="29"/>
  <c r="BY209" i="29"/>
  <c r="BH209" i="29"/>
  <c r="BG209" i="29"/>
  <c r="BF209" i="29"/>
  <c r="BE209" i="29"/>
  <c r="BD209" i="29"/>
  <c r="BC209" i="29"/>
  <c r="BB209" i="29"/>
  <c r="BA209" i="29"/>
  <c r="AZ209" i="29"/>
  <c r="AW209" i="29"/>
  <c r="AV209" i="29"/>
  <c r="AU209" i="29"/>
  <c r="AL209" i="29"/>
  <c r="AK209" i="29"/>
  <c r="AJ209" i="29"/>
  <c r="AI209" i="29"/>
  <c r="AH209" i="29"/>
  <c r="AD209" i="29"/>
  <c r="AC209" i="29"/>
  <c r="AB209" i="29"/>
  <c r="AA209" i="29"/>
  <c r="Z209" i="29"/>
  <c r="Y209" i="29"/>
  <c r="X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CJ208" i="29"/>
  <c r="CI208" i="29"/>
  <c r="CH208" i="29"/>
  <c r="CG208" i="29"/>
  <c r="CF208" i="29"/>
  <c r="CE208" i="29"/>
  <c r="CD208" i="29"/>
  <c r="CC208" i="29"/>
  <c r="CB208" i="29"/>
  <c r="CA208" i="29"/>
  <c r="BZ208" i="29"/>
  <c r="BY208" i="29"/>
  <c r="BH208" i="29"/>
  <c r="BG208" i="29"/>
  <c r="BF208" i="29"/>
  <c r="BE208" i="29"/>
  <c r="BD208" i="29"/>
  <c r="BC208" i="29"/>
  <c r="BB208" i="29"/>
  <c r="BA208" i="29"/>
  <c r="AZ208" i="29"/>
  <c r="AW208" i="29"/>
  <c r="AV208" i="29"/>
  <c r="AU208" i="29"/>
  <c r="AL208" i="29"/>
  <c r="AK208" i="29"/>
  <c r="AJ208" i="29"/>
  <c r="AI208" i="29"/>
  <c r="AH208" i="29"/>
  <c r="AD208" i="29"/>
  <c r="AC208" i="29"/>
  <c r="AB208" i="29"/>
  <c r="AA208" i="29"/>
  <c r="Z208" i="29"/>
  <c r="Y208" i="29"/>
  <c r="X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CJ207" i="29"/>
  <c r="CI207" i="29"/>
  <c r="CH207" i="29"/>
  <c r="CG207" i="29"/>
  <c r="CF207" i="29"/>
  <c r="CE207" i="29"/>
  <c r="CD207" i="29"/>
  <c r="CC207" i="29"/>
  <c r="CB207" i="29"/>
  <c r="CA207" i="29"/>
  <c r="BZ207" i="29"/>
  <c r="BH207" i="29"/>
  <c r="BG207" i="29"/>
  <c r="BF207" i="29"/>
  <c r="BE207" i="29"/>
  <c r="BD207" i="29"/>
  <c r="BC207" i="29"/>
  <c r="BB207" i="29"/>
  <c r="BA207" i="29"/>
  <c r="AZ207" i="29"/>
  <c r="AW207" i="29"/>
  <c r="AV207" i="29"/>
  <c r="AU207" i="29"/>
  <c r="AL207" i="29"/>
  <c r="AK207" i="29"/>
  <c r="AJ207" i="29"/>
  <c r="AI207" i="29"/>
  <c r="AH207" i="29"/>
  <c r="AD207" i="29"/>
  <c r="AC207" i="29"/>
  <c r="AB207" i="29"/>
  <c r="AA207" i="29"/>
  <c r="Z207" i="29"/>
  <c r="Y207" i="29"/>
  <c r="X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CJ206" i="29"/>
  <c r="CI206" i="29"/>
  <c r="CH206" i="29"/>
  <c r="CG206" i="29"/>
  <c r="CF206" i="29"/>
  <c r="CE206" i="29"/>
  <c r="CD206" i="29"/>
  <c r="CC206" i="29"/>
  <c r="CB206" i="29"/>
  <c r="CA206" i="29"/>
  <c r="BZ206" i="29"/>
  <c r="BY206" i="29"/>
  <c r="BH206" i="29"/>
  <c r="BG206" i="29"/>
  <c r="BF206" i="29"/>
  <c r="BE206" i="29"/>
  <c r="BD206" i="29"/>
  <c r="BC206" i="29"/>
  <c r="BB206" i="29"/>
  <c r="BA206" i="29"/>
  <c r="AZ206" i="29"/>
  <c r="AW206" i="29"/>
  <c r="AV206" i="29"/>
  <c r="AU206" i="29"/>
  <c r="AL206" i="29"/>
  <c r="AK206" i="29"/>
  <c r="AJ206" i="29"/>
  <c r="AI206" i="29"/>
  <c r="AH206" i="29"/>
  <c r="AD206" i="29"/>
  <c r="AC206" i="29"/>
  <c r="AB206" i="29"/>
  <c r="AA206" i="29"/>
  <c r="Z206" i="29"/>
  <c r="Y206" i="29"/>
  <c r="X206" i="29"/>
  <c r="U206" i="29"/>
  <c r="T206" i="29"/>
  <c r="S206" i="29"/>
  <c r="R206" i="29"/>
  <c r="Q206" i="29"/>
  <c r="P206" i="29"/>
  <c r="O206" i="29"/>
  <c r="N206" i="29"/>
  <c r="M206" i="29"/>
  <c r="L206" i="29"/>
  <c r="K206" i="29"/>
  <c r="J206" i="29"/>
  <c r="I206" i="29"/>
  <c r="CJ205" i="29"/>
  <c r="CI205" i="29"/>
  <c r="CH205" i="29"/>
  <c r="CG205" i="29"/>
  <c r="CF205" i="29"/>
  <c r="CE205" i="29"/>
  <c r="CD205" i="29"/>
  <c r="CC205" i="29"/>
  <c r="CB205" i="29"/>
  <c r="CA205" i="29"/>
  <c r="BZ205" i="29"/>
  <c r="BY205" i="29"/>
  <c r="BX205" i="29"/>
  <c r="BW205" i="29"/>
  <c r="BV205" i="29"/>
  <c r="BU205" i="29"/>
  <c r="BT205" i="29"/>
  <c r="BS205" i="29"/>
  <c r="BR205" i="29"/>
  <c r="BQ205" i="29"/>
  <c r="BP205" i="29"/>
  <c r="BO205" i="29"/>
  <c r="BN205" i="29"/>
  <c r="BM205" i="29"/>
  <c r="BL205" i="29"/>
  <c r="BK205" i="29"/>
  <c r="BJ205" i="29"/>
  <c r="BI205" i="29"/>
  <c r="BH205" i="29"/>
  <c r="BG205" i="29"/>
  <c r="BF205" i="29"/>
  <c r="BE205" i="29"/>
  <c r="BD205" i="29"/>
  <c r="BC205" i="29"/>
  <c r="BB205" i="29"/>
  <c r="BA205" i="29"/>
  <c r="AZ205" i="29"/>
  <c r="AY205" i="29"/>
  <c r="AX205" i="29"/>
  <c r="AW205" i="29"/>
  <c r="AV205" i="29"/>
  <c r="AU205" i="29"/>
  <c r="AT205" i="29"/>
  <c r="AS205" i="29"/>
  <c r="AR205" i="29"/>
  <c r="AQ205" i="29"/>
  <c r="AP205" i="29"/>
  <c r="AO205" i="29"/>
  <c r="AN205" i="29"/>
  <c r="AM205" i="29"/>
  <c r="AL205" i="29"/>
  <c r="AK205" i="29"/>
  <c r="AJ205" i="29"/>
  <c r="AI205" i="29"/>
  <c r="AH205" i="29"/>
  <c r="AG205" i="29"/>
  <c r="AF205" i="29"/>
  <c r="AE205" i="29"/>
  <c r="AD205" i="29"/>
  <c r="AC205" i="29"/>
  <c r="AB205" i="29"/>
  <c r="AA20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CJ204" i="29"/>
  <c r="CI204" i="29"/>
  <c r="CH204" i="29"/>
  <c r="CG204" i="29"/>
  <c r="CF204" i="29"/>
  <c r="CE204" i="29"/>
  <c r="CD204" i="29"/>
  <c r="CC204" i="29"/>
  <c r="CB204" i="29"/>
  <c r="CA204" i="29"/>
  <c r="BZ204" i="29"/>
  <c r="BY204" i="29"/>
  <c r="BX204" i="29"/>
  <c r="BW204" i="29"/>
  <c r="BV204" i="29"/>
  <c r="BU204" i="29"/>
  <c r="BT204" i="29"/>
  <c r="BS204" i="29"/>
  <c r="BR204" i="29"/>
  <c r="BQ204" i="29"/>
  <c r="BP204" i="29"/>
  <c r="BO204" i="29"/>
  <c r="BN204" i="29"/>
  <c r="BM204" i="29"/>
  <c r="BL204" i="29"/>
  <c r="BK204" i="29"/>
  <c r="BJ204" i="29"/>
  <c r="BI204" i="29"/>
  <c r="BH204" i="29"/>
  <c r="BG204" i="29"/>
  <c r="BF204" i="29"/>
  <c r="BE204" i="29"/>
  <c r="BD204" i="29"/>
  <c r="BC204" i="29"/>
  <c r="BB204" i="29"/>
  <c r="BA204" i="29"/>
  <c r="AZ204" i="29"/>
  <c r="AY204" i="29"/>
  <c r="AX204" i="29"/>
  <c r="AW204" i="29"/>
  <c r="AV204" i="29"/>
  <c r="AU204" i="29"/>
  <c r="AT204" i="29"/>
  <c r="AS204" i="29"/>
  <c r="AR204" i="29"/>
  <c r="AQ204" i="29"/>
  <c r="AP204" i="29"/>
  <c r="AO204" i="29"/>
  <c r="AN204" i="29"/>
  <c r="AM204" i="29"/>
  <c r="AL204" i="29"/>
  <c r="AK204" i="29"/>
  <c r="AJ204" i="29"/>
  <c r="AI204" i="29"/>
  <c r="AH204" i="29"/>
  <c r="AG204" i="29"/>
  <c r="AF204" i="29"/>
  <c r="AE204" i="29"/>
  <c r="AD204" i="29"/>
  <c r="AC204" i="29"/>
  <c r="AB204" i="29"/>
  <c r="AA204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CJ203" i="29"/>
  <c r="CI203" i="29"/>
  <c r="CH203" i="29"/>
  <c r="CG203" i="29"/>
  <c r="CF203" i="29"/>
  <c r="CE203" i="29"/>
  <c r="CD203" i="29"/>
  <c r="CC203" i="29"/>
  <c r="CB203" i="29"/>
  <c r="CA203" i="29"/>
  <c r="BZ203" i="29"/>
  <c r="BY203" i="29"/>
  <c r="BH203" i="29"/>
  <c r="BG203" i="29"/>
  <c r="BF203" i="29"/>
  <c r="BE203" i="29"/>
  <c r="BD203" i="29"/>
  <c r="BC203" i="29"/>
  <c r="BB203" i="29"/>
  <c r="BA203" i="29"/>
  <c r="AZ203" i="29"/>
  <c r="AW203" i="29"/>
  <c r="AV203" i="29"/>
  <c r="AU203" i="29"/>
  <c r="AL203" i="29"/>
  <c r="AK203" i="29"/>
  <c r="AJ203" i="29"/>
  <c r="AI203" i="29"/>
  <c r="AH203" i="29"/>
  <c r="AD203" i="29"/>
  <c r="AC203" i="29"/>
  <c r="AB203" i="29"/>
  <c r="AA203" i="29"/>
  <c r="Z203" i="29"/>
  <c r="Y203" i="29"/>
  <c r="X203" i="29"/>
  <c r="U203" i="29"/>
  <c r="T203" i="29"/>
  <c r="S203" i="29"/>
  <c r="R203" i="29"/>
  <c r="Q203" i="29"/>
  <c r="P203" i="29"/>
  <c r="O203" i="29"/>
  <c r="N203" i="29"/>
  <c r="M203" i="29"/>
  <c r="L203" i="29"/>
  <c r="K203" i="29"/>
  <c r="J203" i="29"/>
  <c r="I203" i="29"/>
  <c r="CJ202" i="29"/>
  <c r="CI202" i="29"/>
  <c r="CH202" i="29"/>
  <c r="CG202" i="29"/>
  <c r="CF202" i="29"/>
  <c r="CE202" i="29"/>
  <c r="CD202" i="29"/>
  <c r="CC202" i="29"/>
  <c r="CB202" i="29"/>
  <c r="CA202" i="29"/>
  <c r="BZ202" i="29"/>
  <c r="BY202" i="29"/>
  <c r="BX202" i="29"/>
  <c r="BW202" i="29"/>
  <c r="BV202" i="29"/>
  <c r="BU202" i="29"/>
  <c r="BT202" i="29"/>
  <c r="BS202" i="29"/>
  <c r="BR202" i="29"/>
  <c r="BQ202" i="29"/>
  <c r="BP202" i="29"/>
  <c r="BO202" i="29"/>
  <c r="BN202" i="29"/>
  <c r="BM202" i="29"/>
  <c r="BL202" i="29"/>
  <c r="BK202" i="29"/>
  <c r="BJ202" i="29"/>
  <c r="BI202" i="29"/>
  <c r="BH202" i="29"/>
  <c r="BG202" i="29"/>
  <c r="BF202" i="29"/>
  <c r="BE202" i="29"/>
  <c r="BD202" i="29"/>
  <c r="BC202" i="29"/>
  <c r="BB202" i="29"/>
  <c r="BA202" i="29"/>
  <c r="AZ202" i="29"/>
  <c r="AY202" i="29"/>
  <c r="AX202" i="29"/>
  <c r="AW202" i="29"/>
  <c r="AV202" i="29"/>
  <c r="AU202" i="29"/>
  <c r="AT202" i="29"/>
  <c r="AS202" i="29"/>
  <c r="AR202" i="29"/>
  <c r="AQ202" i="29"/>
  <c r="AP202" i="29"/>
  <c r="AO202" i="29"/>
  <c r="AN202" i="29"/>
  <c r="AM202" i="29"/>
  <c r="AL202" i="29"/>
  <c r="AK202" i="29"/>
  <c r="AJ202" i="29"/>
  <c r="AI202" i="29"/>
  <c r="AH202" i="29"/>
  <c r="AG202" i="29"/>
  <c r="AF202" i="29"/>
  <c r="AE202" i="29"/>
  <c r="AD202" i="29"/>
  <c r="AC202" i="29"/>
  <c r="AB202" i="29"/>
  <c r="AA202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CJ201" i="29"/>
  <c r="CI201" i="29"/>
  <c r="CH201" i="29"/>
  <c r="CG201" i="29"/>
  <c r="CF201" i="29"/>
  <c r="CE201" i="29"/>
  <c r="CD201" i="29"/>
  <c r="CC201" i="29"/>
  <c r="CB201" i="29"/>
  <c r="CA201" i="29"/>
  <c r="BZ201" i="29"/>
  <c r="BY201" i="29"/>
  <c r="BH201" i="29"/>
  <c r="BG201" i="29"/>
  <c r="BF201" i="29"/>
  <c r="BE201" i="29"/>
  <c r="BD201" i="29"/>
  <c r="BC201" i="29"/>
  <c r="BB201" i="29"/>
  <c r="BA201" i="29"/>
  <c r="AZ201" i="29"/>
  <c r="AW201" i="29"/>
  <c r="AV201" i="29"/>
  <c r="AU201" i="29"/>
  <c r="AL201" i="29"/>
  <c r="AK201" i="29"/>
  <c r="AJ201" i="29"/>
  <c r="AI201" i="29"/>
  <c r="AH201" i="29"/>
  <c r="AD201" i="29"/>
  <c r="AC201" i="29"/>
  <c r="AB201" i="29"/>
  <c r="AA201" i="29"/>
  <c r="Z201" i="29"/>
  <c r="Y201" i="29"/>
  <c r="X201" i="29"/>
  <c r="U201" i="29"/>
  <c r="T201" i="29"/>
  <c r="S201" i="29"/>
  <c r="R201" i="29"/>
  <c r="Q201" i="29"/>
  <c r="P201" i="29"/>
  <c r="O201" i="29"/>
  <c r="N201" i="29"/>
  <c r="M201" i="29"/>
  <c r="L201" i="29"/>
  <c r="K201" i="29"/>
  <c r="J201" i="29"/>
  <c r="I201" i="29"/>
  <c r="CJ200" i="29"/>
  <c r="CI200" i="29"/>
  <c r="CH200" i="29"/>
  <c r="CG200" i="29"/>
  <c r="CF200" i="29"/>
  <c r="CE200" i="29"/>
  <c r="CD200" i="29"/>
  <c r="CC200" i="29"/>
  <c r="CB200" i="29"/>
  <c r="CA200" i="29"/>
  <c r="BZ200" i="29"/>
  <c r="BY200" i="29"/>
  <c r="BH200" i="29"/>
  <c r="BG200" i="29"/>
  <c r="BF200" i="29"/>
  <c r="BE200" i="29"/>
  <c r="BD200" i="29"/>
  <c r="BC200" i="29"/>
  <c r="BB200" i="29"/>
  <c r="BA200" i="29"/>
  <c r="AZ200" i="29"/>
  <c r="AW200" i="29"/>
  <c r="AV200" i="29"/>
  <c r="AU200" i="29"/>
  <c r="AL200" i="29"/>
  <c r="AK200" i="29"/>
  <c r="AJ200" i="29"/>
  <c r="AI200" i="29"/>
  <c r="AH200" i="29"/>
  <c r="AD200" i="29"/>
  <c r="AC200" i="29"/>
  <c r="AB200" i="29"/>
  <c r="AA200" i="29"/>
  <c r="Z200" i="29"/>
  <c r="Y200" i="29"/>
  <c r="X200" i="29"/>
  <c r="U200" i="29"/>
  <c r="T200" i="29"/>
  <c r="S200" i="29"/>
  <c r="R200" i="29"/>
  <c r="Q200" i="29"/>
  <c r="P200" i="29"/>
  <c r="O200" i="29"/>
  <c r="N200" i="29"/>
  <c r="M200" i="29"/>
  <c r="L200" i="29"/>
  <c r="K200" i="29"/>
  <c r="J200" i="29"/>
  <c r="I200" i="29"/>
  <c r="U196" i="29"/>
  <c r="T196" i="29"/>
  <c r="S196" i="29"/>
  <c r="L15" i="47" s="1"/>
  <c r="R196" i="29"/>
  <c r="Q196" i="29"/>
  <c r="J15" i="47" s="1"/>
  <c r="P196" i="29"/>
  <c r="I15" i="47" s="1"/>
  <c r="O196" i="29"/>
  <c r="N196" i="29"/>
  <c r="K196" i="29"/>
  <c r="J196" i="29"/>
  <c r="I196" i="29"/>
  <c r="B15" i="47" s="1"/>
  <c r="CJ195" i="29"/>
  <c r="CI195" i="29"/>
  <c r="CH195" i="29"/>
  <c r="CG195" i="29"/>
  <c r="CF195" i="29"/>
  <c r="CE195" i="29"/>
  <c r="CD195" i="29"/>
  <c r="CC195" i="29"/>
  <c r="CB195" i="29"/>
  <c r="CA195" i="29"/>
  <c r="BZ195" i="29"/>
  <c r="BY195" i="29"/>
  <c r="BU194" i="29"/>
  <c r="BR194" i="29"/>
  <c r="BO194" i="29"/>
  <c r="BW193" i="29"/>
  <c r="BQ193" i="29"/>
  <c r="BX193" i="29"/>
  <c r="CJ192" i="29"/>
  <c r="CI192" i="29"/>
  <c r="CH192" i="29"/>
  <c r="CG192" i="29"/>
  <c r="CF192" i="29"/>
  <c r="CE192" i="29"/>
  <c r="CD192" i="29"/>
  <c r="CC192" i="29"/>
  <c r="CB192" i="29"/>
  <c r="CA192" i="29"/>
  <c r="BZ192" i="29"/>
  <c r="BY192" i="29"/>
  <c r="BX191" i="29"/>
  <c r="BU191" i="29"/>
  <c r="BR191" i="29"/>
  <c r="BU190" i="29"/>
  <c r="BO190" i="29"/>
  <c r="BN190" i="29"/>
  <c r="BV190" i="29"/>
  <c r="BX190" i="29"/>
  <c r="BW190" i="29"/>
  <c r="BR190" i="29"/>
  <c r="BQ190" i="29"/>
  <c r="BQ189" i="29"/>
  <c r="BX189" i="29"/>
  <c r="BU189" i="29"/>
  <c r="BR189" i="29"/>
  <c r="BW188" i="29"/>
  <c r="BR188" i="29"/>
  <c r="BX188" i="29"/>
  <c r="BU188" i="29"/>
  <c r="BQ188" i="29"/>
  <c r="BR187" i="29"/>
  <c r="BV187" i="29"/>
  <c r="BX187" i="29"/>
  <c r="BW187" i="29"/>
  <c r="BU187" i="29"/>
  <c r="BP187" i="29"/>
  <c r="BQ187" i="29"/>
  <c r="BX186" i="29"/>
  <c r="BR186" i="29"/>
  <c r="CJ185" i="29"/>
  <c r="CI185" i="29"/>
  <c r="CH185" i="29"/>
  <c r="CG185" i="29"/>
  <c r="CF185" i="29"/>
  <c r="CE185" i="29"/>
  <c r="CD185" i="29"/>
  <c r="CC185" i="29"/>
  <c r="CB185" i="29"/>
  <c r="CA185" i="29"/>
  <c r="BZ185" i="29"/>
  <c r="BY185" i="29"/>
  <c r="BU184" i="29"/>
  <c r="BR184" i="29"/>
  <c r="BX184" i="29"/>
  <c r="BO184" i="29"/>
  <c r="BU183" i="29"/>
  <c r="BR183" i="29"/>
  <c r="BR182" i="29"/>
  <c r="BX182" i="29"/>
  <c r="BU182" i="29"/>
  <c r="BO181" i="29"/>
  <c r="BX181" i="29"/>
  <c r="BU181" i="29"/>
  <c r="BR181" i="29"/>
  <c r="BR180" i="29"/>
  <c r="BX180" i="29"/>
  <c r="BU180" i="29"/>
  <c r="BQ180" i="29"/>
  <c r="BO180" i="29"/>
  <c r="CJ179" i="29"/>
  <c r="CI179" i="29"/>
  <c r="CH179" i="29"/>
  <c r="CG179" i="29"/>
  <c r="CF179" i="29"/>
  <c r="CE179" i="29"/>
  <c r="CD179" i="29"/>
  <c r="CC179" i="29"/>
  <c r="CB179" i="29"/>
  <c r="CA179" i="29"/>
  <c r="BZ179" i="29"/>
  <c r="BY179" i="29"/>
  <c r="BW178" i="29"/>
  <c r="BU178" i="29"/>
  <c r="BX178" i="29"/>
  <c r="BR178" i="29"/>
  <c r="BQ178" i="29"/>
  <c r="CJ175" i="29"/>
  <c r="CI175" i="29"/>
  <c r="CH175" i="29"/>
  <c r="CG175" i="29"/>
  <c r="CF175" i="29"/>
  <c r="CE175" i="29"/>
  <c r="CD175" i="29"/>
  <c r="CC175" i="29"/>
  <c r="CB175" i="29"/>
  <c r="CA175" i="29"/>
  <c r="BZ175" i="29"/>
  <c r="BY175" i="29"/>
  <c r="BR174" i="29"/>
  <c r="BQ174" i="29"/>
  <c r="BX174" i="29"/>
  <c r="BW174" i="29"/>
  <c r="BU174" i="29"/>
  <c r="BU173" i="29"/>
  <c r="BX173" i="29"/>
  <c r="BR173" i="29"/>
  <c r="BO173" i="29"/>
  <c r="BQ172" i="29"/>
  <c r="BX172" i="29"/>
  <c r="BW172" i="29"/>
  <c r="BU172" i="29"/>
  <c r="BR172" i="29"/>
  <c r="BN172" i="29"/>
  <c r="BU171" i="29"/>
  <c r="BX171" i="29"/>
  <c r="BR171" i="29"/>
  <c r="BO171" i="29"/>
  <c r="BR170" i="29"/>
  <c r="BQ170" i="29"/>
  <c r="BX170" i="29"/>
  <c r="BU170" i="29"/>
  <c r="BW169" i="29"/>
  <c r="BX169" i="29"/>
  <c r="BQ169" i="29"/>
  <c r="CJ168" i="29"/>
  <c r="CI168" i="29"/>
  <c r="CH168" i="29"/>
  <c r="CG168" i="29"/>
  <c r="CF168" i="29"/>
  <c r="CE168" i="29"/>
  <c r="CD168" i="29"/>
  <c r="CC168" i="29"/>
  <c r="CB168" i="29"/>
  <c r="CA168" i="29"/>
  <c r="BZ168" i="29"/>
  <c r="BY168" i="29"/>
  <c r="BR167" i="29"/>
  <c r="BX167" i="29"/>
  <c r="BU167" i="29"/>
  <c r="BQ167" i="29"/>
  <c r="BO167" i="29"/>
  <c r="BX166" i="29"/>
  <c r="BU166" i="29"/>
  <c r="BR166" i="29"/>
  <c r="BN166" i="29"/>
  <c r="BU165" i="29"/>
  <c r="CJ164" i="29"/>
  <c r="CI164" i="29"/>
  <c r="CH164" i="29"/>
  <c r="CG164" i="29"/>
  <c r="CF164" i="29"/>
  <c r="CE164" i="29"/>
  <c r="CD164" i="29"/>
  <c r="CC164" i="29"/>
  <c r="CB164" i="29"/>
  <c r="CA164" i="29"/>
  <c r="BZ164" i="29"/>
  <c r="BY164" i="29"/>
  <c r="BW163" i="29"/>
  <c r="BX163" i="29"/>
  <c r="BU163" i="29"/>
  <c r="BR163" i="29"/>
  <c r="BN163" i="29"/>
  <c r="BU162" i="29"/>
  <c r="BX162" i="29"/>
  <c r="BR162" i="29"/>
  <c r="BU161" i="29"/>
  <c r="BX161" i="29"/>
  <c r="BQ160" i="29"/>
  <c r="BX160" i="29"/>
  <c r="BU160" i="29"/>
  <c r="BR160" i="29"/>
  <c r="CJ159" i="29"/>
  <c r="CI159" i="29"/>
  <c r="CH159" i="29"/>
  <c r="CG159" i="29"/>
  <c r="CF159" i="29"/>
  <c r="CE159" i="29"/>
  <c r="CD159" i="29"/>
  <c r="CC159" i="29"/>
  <c r="CB159" i="29"/>
  <c r="CA159" i="29"/>
  <c r="BZ159" i="29"/>
  <c r="BY159" i="29"/>
  <c r="BO158" i="29"/>
  <c r="BN158" i="29"/>
  <c r="BX158" i="29"/>
  <c r="BU158" i="29"/>
  <c r="BR158" i="29"/>
  <c r="BX157" i="29"/>
  <c r="BU157" i="29"/>
  <c r="BR157" i="29"/>
  <c r="BQ157" i="29"/>
  <c r="BU156" i="29"/>
  <c r="CJ155" i="29"/>
  <c r="CI155" i="29"/>
  <c r="CH155" i="29"/>
  <c r="CG155" i="29"/>
  <c r="CF155" i="29"/>
  <c r="CE155" i="29"/>
  <c r="CD155" i="29"/>
  <c r="CC155" i="29"/>
  <c r="CB155" i="29"/>
  <c r="CA155" i="29"/>
  <c r="BZ155" i="29"/>
  <c r="BY155" i="29"/>
  <c r="BV154" i="29"/>
  <c r="BW154" i="29"/>
  <c r="BU154" i="29"/>
  <c r="BR154" i="29"/>
  <c r="BW153" i="29"/>
  <c r="BQ153" i="29"/>
  <c r="BU153" i="29"/>
  <c r="BR153" i="29"/>
  <c r="BX152" i="29"/>
  <c r="BW152" i="29"/>
  <c r="BU152" i="29"/>
  <c r="BR152" i="29"/>
  <c r="BN152" i="29"/>
  <c r="BR151" i="29"/>
  <c r="BX151" i="29"/>
  <c r="BU151" i="29"/>
  <c r="BO150" i="29"/>
  <c r="BX150" i="29"/>
  <c r="BU150" i="29"/>
  <c r="BR150" i="29"/>
  <c r="BX149" i="29"/>
  <c r="BU149" i="29"/>
  <c r="CJ148" i="29"/>
  <c r="CI148" i="29"/>
  <c r="CH148" i="29"/>
  <c r="CG148" i="29"/>
  <c r="CF148" i="29"/>
  <c r="CE148" i="29"/>
  <c r="CD148" i="29"/>
  <c r="CC148" i="29"/>
  <c r="CB148" i="29"/>
  <c r="CA148" i="29"/>
  <c r="BZ148" i="29"/>
  <c r="BY148" i="29"/>
  <c r="BR147" i="29"/>
  <c r="BW147" i="29"/>
  <c r="BU147" i="29"/>
  <c r="BX146" i="29"/>
  <c r="BW146" i="29"/>
  <c r="BV146" i="29"/>
  <c r="BU146" i="29"/>
  <c r="BR146" i="29"/>
  <c r="BN146" i="29"/>
  <c r="BX145" i="29"/>
  <c r="BU145" i="29"/>
  <c r="BR145" i="29"/>
  <c r="BQ145" i="29"/>
  <c r="BX144" i="29"/>
  <c r="BU144" i="29"/>
  <c r="BR144" i="29"/>
  <c r="BW143" i="29"/>
  <c r="BX143" i="29"/>
  <c r="BU143" i="29"/>
  <c r="BR143" i="29"/>
  <c r="BQ142" i="29"/>
  <c r="BX142" i="29"/>
  <c r="BU142" i="29"/>
  <c r="BR142" i="29"/>
  <c r="BX141" i="29"/>
  <c r="BU141" i="29"/>
  <c r="BR141" i="29"/>
  <c r="CJ140" i="29"/>
  <c r="CI140" i="29"/>
  <c r="CH140" i="29"/>
  <c r="CG140" i="29"/>
  <c r="CF140" i="29"/>
  <c r="CE140" i="29"/>
  <c r="CD140" i="29"/>
  <c r="CC140" i="29"/>
  <c r="CB140" i="29"/>
  <c r="CA140" i="29"/>
  <c r="BZ140" i="29"/>
  <c r="BY140" i="29"/>
  <c r="BX139" i="29"/>
  <c r="BX208" i="29" s="1"/>
  <c r="BJ208" i="29"/>
  <c r="BU139" i="29"/>
  <c r="V208" i="29"/>
  <c r="CJ138" i="29"/>
  <c r="CI138" i="29"/>
  <c r="CH138" i="29"/>
  <c r="CG138" i="29"/>
  <c r="CF138" i="29"/>
  <c r="CE138" i="29"/>
  <c r="CD138" i="29"/>
  <c r="CC138" i="29"/>
  <c r="CB138" i="29"/>
  <c r="CA138" i="29"/>
  <c r="BZ138" i="29"/>
  <c r="BY138" i="29"/>
  <c r="BX137" i="29"/>
  <c r="BW137" i="29"/>
  <c r="BU137" i="29"/>
  <c r="BR137" i="29"/>
  <c r="BX136" i="29"/>
  <c r="BU136" i="29"/>
  <c r="BR136" i="29"/>
  <c r="BQ136" i="29"/>
  <c r="BO136" i="29"/>
  <c r="BX135" i="29"/>
  <c r="BR135" i="29"/>
  <c r="BO135" i="29"/>
  <c r="BU134" i="29"/>
  <c r="BX134" i="29"/>
  <c r="BQ134" i="29"/>
  <c r="BQ133" i="29"/>
  <c r="BU133" i="29"/>
  <c r="BR133" i="29"/>
  <c r="CJ132" i="29"/>
  <c r="CI132" i="29"/>
  <c r="CH132" i="29"/>
  <c r="CG132" i="29"/>
  <c r="CF132" i="29"/>
  <c r="CE132" i="29"/>
  <c r="CD132" i="29"/>
  <c r="CC132" i="29"/>
  <c r="CB132" i="29"/>
  <c r="CA132" i="29"/>
  <c r="BZ132" i="29"/>
  <c r="BY131" i="29"/>
  <c r="BW131" i="29"/>
  <c r="BX131" i="29"/>
  <c r="BU131" i="29"/>
  <c r="BQ131" i="29"/>
  <c r="BU130" i="29"/>
  <c r="BX130" i="29"/>
  <c r="BR130" i="29"/>
  <c r="BO130" i="29"/>
  <c r="BU129" i="29"/>
  <c r="BX129" i="29"/>
  <c r="BR129" i="29"/>
  <c r="BQ129" i="29"/>
  <c r="BX128" i="29"/>
  <c r="BW128" i="29"/>
  <c r="BU128" i="29"/>
  <c r="BR128" i="29"/>
  <c r="BX127" i="29"/>
  <c r="BU127" i="29"/>
  <c r="CJ126" i="29"/>
  <c r="CI126" i="29"/>
  <c r="CH126" i="29"/>
  <c r="CG126" i="29"/>
  <c r="CF126" i="29"/>
  <c r="CE126" i="29"/>
  <c r="CD126" i="29"/>
  <c r="CC126" i="29"/>
  <c r="CB126" i="29"/>
  <c r="CA126" i="29"/>
  <c r="BZ126" i="29"/>
  <c r="BY126" i="29"/>
  <c r="BW125" i="29"/>
  <c r="BN125" i="29"/>
  <c r="BX125" i="29"/>
  <c r="BU125" i="29"/>
  <c r="BR125" i="29"/>
  <c r="BU124" i="29"/>
  <c r="BX124" i="29"/>
  <c r="BQ124" i="29"/>
  <c r="BO124" i="29"/>
  <c r="BX123" i="29"/>
  <c r="BR123" i="29"/>
  <c r="BQ123" i="29"/>
  <c r="BX122" i="29"/>
  <c r="BW122" i="29"/>
  <c r="BU122" i="29"/>
  <c r="BR122" i="29"/>
  <c r="BX121" i="29"/>
  <c r="BW121" i="29"/>
  <c r="BQ121" i="29"/>
  <c r="BU121" i="29"/>
  <c r="CJ120" i="29"/>
  <c r="CI120" i="29"/>
  <c r="CH120" i="29"/>
  <c r="CG120" i="29"/>
  <c r="CF120" i="29"/>
  <c r="CE120" i="29"/>
  <c r="CD120" i="29"/>
  <c r="CC120" i="29"/>
  <c r="CB120" i="29"/>
  <c r="CA120" i="29"/>
  <c r="BZ120" i="29"/>
  <c r="BY120" i="29"/>
  <c r="BX119" i="29"/>
  <c r="BV119" i="29"/>
  <c r="BW119" i="29"/>
  <c r="BU119" i="29"/>
  <c r="BR119" i="29"/>
  <c r="BQ119" i="29"/>
  <c r="BU118" i="29"/>
  <c r="BX118" i="29"/>
  <c r="BQ118" i="29"/>
  <c r="BX117" i="29"/>
  <c r="BU117" i="29"/>
  <c r="BR117" i="29"/>
  <c r="BQ117" i="29"/>
  <c r="BN117" i="29"/>
  <c r="BW116" i="29"/>
  <c r="BX116" i="29"/>
  <c r="BU116" i="29"/>
  <c r="BR116" i="29"/>
  <c r="BO116" i="29"/>
  <c r="BX115" i="29"/>
  <c r="BQ115" i="29"/>
  <c r="BW115" i="29"/>
  <c r="BU115" i="29"/>
  <c r="BR115" i="29"/>
  <c r="CJ114" i="29"/>
  <c r="CI114" i="29"/>
  <c r="CH114" i="29"/>
  <c r="CG114" i="29"/>
  <c r="CF114" i="29"/>
  <c r="CE114" i="29"/>
  <c r="CD114" i="29"/>
  <c r="CC114" i="29"/>
  <c r="CB114" i="29"/>
  <c r="CA114" i="29"/>
  <c r="BZ114" i="29"/>
  <c r="BY114" i="29"/>
  <c r="BX113" i="29"/>
  <c r="BW113" i="29"/>
  <c r="BU113" i="29"/>
  <c r="BR113" i="29"/>
  <c r="BQ113" i="29"/>
  <c r="BX112" i="29"/>
  <c r="BO112" i="29"/>
  <c r="BU112" i="29"/>
  <c r="BQ112" i="29"/>
  <c r="BU111" i="29"/>
  <c r="BX111" i="29"/>
  <c r="BR111" i="29"/>
  <c r="BQ111" i="29"/>
  <c r="BN111" i="29"/>
  <c r="BQ110" i="29"/>
  <c r="BW110" i="29"/>
  <c r="BU110" i="29"/>
  <c r="BR110" i="29"/>
  <c r="BO110" i="29"/>
  <c r="BN110" i="29"/>
  <c r="BW109" i="29"/>
  <c r="BX109" i="29"/>
  <c r="BU109" i="29"/>
  <c r="CJ108" i="29"/>
  <c r="CI108" i="29"/>
  <c r="CH108" i="29"/>
  <c r="CG108" i="29"/>
  <c r="CF108" i="29"/>
  <c r="CE108" i="29"/>
  <c r="CD108" i="29"/>
  <c r="CC108" i="29"/>
  <c r="CB108" i="29"/>
  <c r="CA108" i="29"/>
  <c r="BZ108" i="29"/>
  <c r="BY108" i="29"/>
  <c r="BX107" i="29"/>
  <c r="BW107" i="29"/>
  <c r="BU107" i="29"/>
  <c r="BP107" i="29"/>
  <c r="BR107" i="29"/>
  <c r="BQ107" i="29"/>
  <c r="BX106" i="29"/>
  <c r="BU106" i="29"/>
  <c r="BQ106" i="29"/>
  <c r="BO106" i="29"/>
  <c r="BU105" i="29"/>
  <c r="BX105" i="29"/>
  <c r="BR105" i="29"/>
  <c r="BQ105" i="29"/>
  <c r="BW104" i="29"/>
  <c r="BP104" i="29"/>
  <c r="BU104" i="29"/>
  <c r="BR104" i="29"/>
  <c r="BN104" i="29"/>
  <c r="BX103" i="29"/>
  <c r="BU103" i="29"/>
  <c r="BQ103" i="29"/>
  <c r="CJ102" i="29"/>
  <c r="CI102" i="29"/>
  <c r="CH102" i="29"/>
  <c r="CG102" i="29"/>
  <c r="CF102" i="29"/>
  <c r="CE102" i="29"/>
  <c r="CD102" i="29"/>
  <c r="CC102" i="29"/>
  <c r="CB102" i="29"/>
  <c r="CA102" i="29"/>
  <c r="BZ102" i="29"/>
  <c r="BY102" i="29"/>
  <c r="BX101" i="29"/>
  <c r="BW101" i="29"/>
  <c r="BU101" i="29"/>
  <c r="BR101" i="29"/>
  <c r="BQ101" i="29"/>
  <c r="BX100" i="29"/>
  <c r="BU100" i="29"/>
  <c r="BO100" i="29"/>
  <c r="BR100" i="29"/>
  <c r="BX99" i="29"/>
  <c r="BU99" i="29"/>
  <c r="BR99" i="29"/>
  <c r="BQ99" i="29"/>
  <c r="BQ98" i="29"/>
  <c r="BX98" i="29"/>
  <c r="BW98" i="29"/>
  <c r="BU98" i="29"/>
  <c r="BR98" i="29"/>
  <c r="BN98" i="29"/>
  <c r="BX97" i="29"/>
  <c r="BQ97" i="29"/>
  <c r="CJ96" i="29"/>
  <c r="CI96" i="29"/>
  <c r="CH96" i="29"/>
  <c r="CG96" i="29"/>
  <c r="CF96" i="29"/>
  <c r="CE96" i="29"/>
  <c r="CD96" i="29"/>
  <c r="CC96" i="29"/>
  <c r="CB96" i="29"/>
  <c r="CA96" i="29"/>
  <c r="BZ96" i="29"/>
  <c r="BY96" i="29"/>
  <c r="BX95" i="29"/>
  <c r="BU95" i="29"/>
  <c r="BR95" i="29"/>
  <c r="BO95" i="29"/>
  <c r="BO94" i="29"/>
  <c r="BX94" i="29"/>
  <c r="BU94" i="29"/>
  <c r="BQ94" i="29"/>
  <c r="BW93" i="29"/>
  <c r="BX93" i="29"/>
  <c r="BU93" i="29"/>
  <c r="BR93" i="29"/>
  <c r="BN93" i="29"/>
  <c r="BW92" i="29"/>
  <c r="BU92" i="29"/>
  <c r="BR92" i="29"/>
  <c r="BO92" i="29"/>
  <c r="BX91" i="29"/>
  <c r="BR91" i="29"/>
  <c r="BW91" i="29"/>
  <c r="BQ91" i="29"/>
  <c r="CJ90" i="29"/>
  <c r="CI90" i="29"/>
  <c r="CH90" i="29"/>
  <c r="CG90" i="29"/>
  <c r="CF90" i="29"/>
  <c r="CE90" i="29"/>
  <c r="CD90" i="29"/>
  <c r="CC90" i="29"/>
  <c r="CB90" i="29"/>
  <c r="CA90" i="29"/>
  <c r="BZ90" i="29"/>
  <c r="BY90" i="29"/>
  <c r="BX89" i="29"/>
  <c r="BU89" i="29"/>
  <c r="BR89" i="29"/>
  <c r="BO89" i="29"/>
  <c r="BU88" i="29"/>
  <c r="BW87" i="29"/>
  <c r="BQ87" i="29"/>
  <c r="BX87" i="29"/>
  <c r="BU87" i="29"/>
  <c r="BR87" i="29"/>
  <c r="BN87" i="29"/>
  <c r="BX86" i="29"/>
  <c r="BW86" i="29"/>
  <c r="BU86" i="29"/>
  <c r="BR86" i="29"/>
  <c r="BQ86" i="29"/>
  <c r="BO86" i="29"/>
  <c r="BX85" i="29"/>
  <c r="BR85" i="29"/>
  <c r="CJ84" i="29"/>
  <c r="CI84" i="29"/>
  <c r="CH84" i="29"/>
  <c r="CG84" i="29"/>
  <c r="CF84" i="29"/>
  <c r="CE84" i="29"/>
  <c r="CD84" i="29"/>
  <c r="CC84" i="29"/>
  <c r="CB84" i="29"/>
  <c r="CA84" i="29"/>
  <c r="BZ84" i="29"/>
  <c r="BY84" i="29"/>
  <c r="BX83" i="29"/>
  <c r="BU83" i="29"/>
  <c r="BR83" i="29"/>
  <c r="BO83" i="29"/>
  <c r="BU82" i="29"/>
  <c r="BX82" i="29"/>
  <c r="BR82" i="29"/>
  <c r="BQ82" i="29"/>
  <c r="BX81" i="29"/>
  <c r="BW81" i="29"/>
  <c r="BU81" i="29"/>
  <c r="BR81" i="29"/>
  <c r="BN81" i="29"/>
  <c r="BW80" i="29"/>
  <c r="BU80" i="29"/>
  <c r="BX80" i="29"/>
  <c r="BR80" i="29"/>
  <c r="BQ80" i="29"/>
  <c r="CJ79" i="29"/>
  <c r="CI79" i="29"/>
  <c r="CH79" i="29"/>
  <c r="CG79" i="29"/>
  <c r="CF79" i="29"/>
  <c r="CE79" i="29"/>
  <c r="CD79" i="29"/>
  <c r="CC79" i="29"/>
  <c r="CB79" i="29"/>
  <c r="CA79" i="29"/>
  <c r="BZ79" i="29"/>
  <c r="BY79" i="29"/>
  <c r="BX78" i="29"/>
  <c r="BU78" i="29"/>
  <c r="BP78" i="29"/>
  <c r="BR78" i="29"/>
  <c r="BQ78" i="29"/>
  <c r="BX77" i="29"/>
  <c r="BU77" i="29"/>
  <c r="BQ77" i="29"/>
  <c r="BO77" i="29"/>
  <c r="BN77" i="29"/>
  <c r="BR76" i="29"/>
  <c r="CJ75" i="29"/>
  <c r="CI75" i="29"/>
  <c r="CH75" i="29"/>
  <c r="CG75" i="29"/>
  <c r="CF75" i="29"/>
  <c r="CE75" i="29"/>
  <c r="CD75" i="29"/>
  <c r="CC75" i="29"/>
  <c r="CB75" i="29"/>
  <c r="CA75" i="29"/>
  <c r="BZ75" i="29"/>
  <c r="BY75" i="29"/>
  <c r="BX74" i="29"/>
  <c r="BW74" i="29"/>
  <c r="BU74" i="29"/>
  <c r="BR74" i="29"/>
  <c r="BO74" i="29"/>
  <c r="BX73" i="29"/>
  <c r="BR73" i="29"/>
  <c r="BW73" i="29"/>
  <c r="BU73" i="29"/>
  <c r="BQ73" i="29"/>
  <c r="BX72" i="29"/>
  <c r="BU72" i="29"/>
  <c r="BR72" i="29"/>
  <c r="BQ72" i="29"/>
  <c r="CJ71" i="29"/>
  <c r="CI71" i="29"/>
  <c r="CH71" i="29"/>
  <c r="CG71" i="29"/>
  <c r="CF71" i="29"/>
  <c r="CE71" i="29"/>
  <c r="CD71" i="29"/>
  <c r="CC71" i="29"/>
  <c r="CB71" i="29"/>
  <c r="CA71" i="29"/>
  <c r="BZ71" i="29"/>
  <c r="BY71" i="29"/>
  <c r="BU70" i="29"/>
  <c r="BX70" i="29"/>
  <c r="BR70" i="29"/>
  <c r="BO70" i="29"/>
  <c r="BN70" i="29"/>
  <c r="BW69" i="29"/>
  <c r="BX69" i="29"/>
  <c r="BU69" i="29"/>
  <c r="BR69" i="29"/>
  <c r="BN69" i="29"/>
  <c r="BW68" i="29"/>
  <c r="BU68" i="29"/>
  <c r="BQ68" i="29"/>
  <c r="CJ67" i="29"/>
  <c r="CI67" i="29"/>
  <c r="CH67" i="29"/>
  <c r="CG67" i="29"/>
  <c r="CF67" i="29"/>
  <c r="CE67" i="29"/>
  <c r="CD67" i="29"/>
  <c r="CC67" i="29"/>
  <c r="CB67" i="29"/>
  <c r="CA67" i="29"/>
  <c r="BZ67" i="29"/>
  <c r="BY67" i="29"/>
  <c r="BX66" i="29"/>
  <c r="BW66" i="29"/>
  <c r="BU66" i="29"/>
  <c r="BR66" i="29"/>
  <c r="BQ66" i="29"/>
  <c r="BX65" i="29"/>
  <c r="BU65" i="29"/>
  <c r="BR65" i="29"/>
  <c r="BO65" i="29"/>
  <c r="BN65" i="29"/>
  <c r="BU64" i="29"/>
  <c r="BR64" i="29"/>
  <c r="CJ63" i="29"/>
  <c r="CI63" i="29"/>
  <c r="CH63" i="29"/>
  <c r="CG63" i="29"/>
  <c r="CF63" i="29"/>
  <c r="CE63" i="29"/>
  <c r="CD63" i="29"/>
  <c r="CC63" i="29"/>
  <c r="CB63" i="29"/>
  <c r="CA63" i="29"/>
  <c r="BZ63" i="29"/>
  <c r="BY63" i="29"/>
  <c r="BX62" i="29"/>
  <c r="BW62" i="29"/>
  <c r="BU62" i="29"/>
  <c r="BR62" i="29"/>
  <c r="BQ62" i="29"/>
  <c r="BX61" i="29"/>
  <c r="BW61" i="29"/>
  <c r="BU61" i="29"/>
  <c r="BR61" i="29"/>
  <c r="BQ61" i="29"/>
  <c r="BX60" i="29"/>
  <c r="BU60" i="29"/>
  <c r="BR60" i="29"/>
  <c r="BQ60" i="29"/>
  <c r="CJ59" i="29"/>
  <c r="CI59" i="29"/>
  <c r="CH59" i="29"/>
  <c r="CG59" i="29"/>
  <c r="CF59" i="29"/>
  <c r="CE59" i="29"/>
  <c r="CD59" i="29"/>
  <c r="CC59" i="29"/>
  <c r="CB59" i="29"/>
  <c r="CA59" i="29"/>
  <c r="BZ59" i="29"/>
  <c r="BY59" i="29"/>
  <c r="BU58" i="29"/>
  <c r="BX58" i="29"/>
  <c r="BR58" i="29"/>
  <c r="BW57" i="29"/>
  <c r="BU57" i="29"/>
  <c r="BQ57" i="29"/>
  <c r="CJ56" i="29"/>
  <c r="CI56" i="29"/>
  <c r="CH56" i="29"/>
  <c r="CG56" i="29"/>
  <c r="CF56" i="29"/>
  <c r="CE56" i="29"/>
  <c r="CD56" i="29"/>
  <c r="CC56" i="29"/>
  <c r="CB56" i="29"/>
  <c r="CA56" i="29"/>
  <c r="BZ56" i="29"/>
  <c r="BY56" i="29"/>
  <c r="BX55" i="29"/>
  <c r="BW55" i="29"/>
  <c r="BU55" i="29"/>
  <c r="BR55" i="29"/>
  <c r="BQ55" i="29"/>
  <c r="BX54" i="29"/>
  <c r="BW54" i="29"/>
  <c r="BU54" i="29"/>
  <c r="BR54" i="29"/>
  <c r="BQ54" i="29"/>
  <c r="BU53" i="29"/>
  <c r="BR53" i="29"/>
  <c r="CJ52" i="29"/>
  <c r="CI52" i="29"/>
  <c r="CH52" i="29"/>
  <c r="CG52" i="29"/>
  <c r="CF52" i="29"/>
  <c r="CE52" i="29"/>
  <c r="CD52" i="29"/>
  <c r="CC52" i="29"/>
  <c r="CB52" i="29"/>
  <c r="CA52" i="29"/>
  <c r="BZ52" i="29"/>
  <c r="BY52" i="29"/>
  <c r="BW51" i="29"/>
  <c r="BX51" i="29"/>
  <c r="BU51" i="29"/>
  <c r="BR51" i="29"/>
  <c r="BX50" i="29"/>
  <c r="BW50" i="29"/>
  <c r="BU50" i="29"/>
  <c r="BR50" i="29"/>
  <c r="BP50" i="29"/>
  <c r="BX49" i="29"/>
  <c r="BW49" i="29"/>
  <c r="BU49" i="29"/>
  <c r="BQ49" i="29"/>
  <c r="CJ48" i="29"/>
  <c r="CI48" i="29"/>
  <c r="CH48" i="29"/>
  <c r="CG48" i="29"/>
  <c r="CF48" i="29"/>
  <c r="CE48" i="29"/>
  <c r="CD48" i="29"/>
  <c r="CC48" i="29"/>
  <c r="CB48" i="29"/>
  <c r="CA48" i="29"/>
  <c r="BZ48" i="29"/>
  <c r="BY48" i="29"/>
  <c r="BU47" i="29"/>
  <c r="BX47" i="29"/>
  <c r="BR47" i="29"/>
  <c r="BO47" i="29"/>
  <c r="BX46" i="29"/>
  <c r="BU46" i="29"/>
  <c r="BQ46" i="29"/>
  <c r="BW45" i="29"/>
  <c r="BQ45" i="29"/>
  <c r="BU45" i="29"/>
  <c r="BN45" i="29"/>
  <c r="CJ44" i="29"/>
  <c r="CI44" i="29"/>
  <c r="CH44" i="29"/>
  <c r="CG44" i="29"/>
  <c r="CF44" i="29"/>
  <c r="CE44" i="29"/>
  <c r="CD44" i="29"/>
  <c r="CC44" i="29"/>
  <c r="CB44" i="29"/>
  <c r="CA44" i="29"/>
  <c r="BZ44" i="29"/>
  <c r="BY44" i="29"/>
  <c r="BR43" i="29"/>
  <c r="BX43" i="29"/>
  <c r="BW43" i="29"/>
  <c r="BU43" i="29"/>
  <c r="BQ43" i="29"/>
  <c r="BX42" i="29"/>
  <c r="BW42" i="29"/>
  <c r="BU42" i="29"/>
  <c r="BR42" i="29"/>
  <c r="BQ42" i="29"/>
  <c r="BU41" i="29"/>
  <c r="BR41" i="29"/>
  <c r="BO41" i="29"/>
  <c r="CJ40" i="29"/>
  <c r="CI40" i="29"/>
  <c r="CH40" i="29"/>
  <c r="CG40" i="29"/>
  <c r="CF40" i="29"/>
  <c r="CE40" i="29"/>
  <c r="CD40" i="29"/>
  <c r="CC40" i="29"/>
  <c r="CB40" i="29"/>
  <c r="CA40" i="29"/>
  <c r="BZ40" i="29"/>
  <c r="BY40" i="29"/>
  <c r="BW39" i="29"/>
  <c r="BX39" i="29"/>
  <c r="BU39" i="29"/>
  <c r="BR39" i="29"/>
  <c r="BP39" i="29"/>
  <c r="BO39" i="29"/>
  <c r="BW38" i="29"/>
  <c r="BR38" i="29"/>
  <c r="BX38" i="29"/>
  <c r="BU38" i="29"/>
  <c r="BQ38" i="29"/>
  <c r="BX37" i="29"/>
  <c r="BW37" i="29"/>
  <c r="BU37" i="29"/>
  <c r="BQ37" i="29"/>
  <c r="CJ36" i="29"/>
  <c r="CI36" i="29"/>
  <c r="CH36" i="29"/>
  <c r="CG36" i="29"/>
  <c r="CF36" i="29"/>
  <c r="CE36" i="29"/>
  <c r="CD36" i="29"/>
  <c r="CC36" i="29"/>
  <c r="CB36" i="29"/>
  <c r="CA36" i="29"/>
  <c r="BZ36" i="29"/>
  <c r="BY36" i="29"/>
  <c r="BX35" i="29"/>
  <c r="BU35" i="29"/>
  <c r="BR35" i="29"/>
  <c r="BP35" i="29"/>
  <c r="BU34" i="29"/>
  <c r="BX34" i="29"/>
  <c r="BR34" i="29"/>
  <c r="BP34" i="29"/>
  <c r="BO34" i="29"/>
  <c r="BU33" i="29"/>
  <c r="BQ33" i="29"/>
  <c r="CJ32" i="29"/>
  <c r="CI32" i="29"/>
  <c r="CH32" i="29"/>
  <c r="CG32" i="29"/>
  <c r="CF32" i="29"/>
  <c r="CE32" i="29"/>
  <c r="CD32" i="29"/>
  <c r="CC32" i="29"/>
  <c r="CB32" i="29"/>
  <c r="CA32" i="29"/>
  <c r="BZ32" i="29"/>
  <c r="BY32" i="29"/>
  <c r="BX31" i="29"/>
  <c r="BW31" i="29"/>
  <c r="BU31" i="29"/>
  <c r="BQ31" i="29"/>
  <c r="BU30" i="29"/>
  <c r="BQ30" i="29"/>
  <c r="CJ29" i="29"/>
  <c r="CI29" i="29"/>
  <c r="CH29" i="29"/>
  <c r="CG29" i="29"/>
  <c r="CF29" i="29"/>
  <c r="CE29" i="29"/>
  <c r="CD29" i="29"/>
  <c r="CC29" i="29"/>
  <c r="CB29" i="29"/>
  <c r="CA29" i="29"/>
  <c r="BZ29" i="29"/>
  <c r="BY29" i="29"/>
  <c r="BW28" i="29"/>
  <c r="BU28" i="29"/>
  <c r="BR28" i="29"/>
  <c r="BQ28" i="29"/>
  <c r="BN28" i="29"/>
  <c r="BX27" i="29"/>
  <c r="BU27" i="29"/>
  <c r="BW27" i="29"/>
  <c r="BR27" i="29"/>
  <c r="BQ27" i="29"/>
  <c r="BU26" i="29"/>
  <c r="BR26" i="29"/>
  <c r="BQ26" i="29"/>
  <c r="CJ25" i="29"/>
  <c r="CI25" i="29"/>
  <c r="CH25" i="29"/>
  <c r="CG25" i="29"/>
  <c r="CF25" i="29"/>
  <c r="CE25" i="29"/>
  <c r="CD25" i="29"/>
  <c r="CC25" i="29"/>
  <c r="CB25" i="29"/>
  <c r="CA25" i="29"/>
  <c r="BZ25" i="29"/>
  <c r="BY25" i="29"/>
  <c r="BW24" i="29"/>
  <c r="BX24" i="29"/>
  <c r="BU24" i="29"/>
  <c r="BR24" i="29"/>
  <c r="BX23" i="29"/>
  <c r="BW23" i="29"/>
  <c r="BU23" i="29"/>
  <c r="BQ23" i="29"/>
  <c r="BX22" i="29"/>
  <c r="BU22" i="29"/>
  <c r="BR22" i="29"/>
  <c r="BQ22" i="29"/>
  <c r="CJ21" i="29"/>
  <c r="CI21" i="29"/>
  <c r="CH21" i="29"/>
  <c r="CG21" i="29"/>
  <c r="CF21" i="29"/>
  <c r="CE21" i="29"/>
  <c r="CD21" i="29"/>
  <c r="CC21" i="29"/>
  <c r="CB21" i="29"/>
  <c r="CA21" i="29"/>
  <c r="BZ21" i="29"/>
  <c r="BY21" i="29"/>
  <c r="BX20" i="29"/>
  <c r="BW20" i="29"/>
  <c r="BU20" i="29"/>
  <c r="BR20" i="29"/>
  <c r="BO20" i="29"/>
  <c r="BW19" i="29"/>
  <c r="BU19" i="29"/>
  <c r="BR19" i="29"/>
  <c r="BQ19" i="29"/>
  <c r="BX18" i="29"/>
  <c r="BW18" i="29"/>
  <c r="BU18" i="29"/>
  <c r="CJ17" i="29"/>
  <c r="CI17" i="29"/>
  <c r="CH17" i="29"/>
  <c r="CG17" i="29"/>
  <c r="CF17" i="29"/>
  <c r="CE17" i="29"/>
  <c r="CD17" i="29"/>
  <c r="CC17" i="29"/>
  <c r="CB17" i="29"/>
  <c r="CA17" i="29"/>
  <c r="BZ17" i="29"/>
  <c r="BY17" i="29"/>
  <c r="BX15" i="29"/>
  <c r="BU15" i="29"/>
  <c r="BW15" i="29"/>
  <c r="BR15" i="29"/>
  <c r="BO15" i="29"/>
  <c r="BN15" i="29"/>
  <c r="BU14" i="29"/>
  <c r="CJ13" i="29"/>
  <c r="CI13" i="29"/>
  <c r="CH13" i="29"/>
  <c r="CG13" i="29"/>
  <c r="CF13" i="29"/>
  <c r="CE13" i="29"/>
  <c r="CD13" i="29"/>
  <c r="CC13" i="29"/>
  <c r="CB13" i="29"/>
  <c r="CA13" i="29"/>
  <c r="BZ13" i="29"/>
  <c r="BY13" i="29"/>
  <c r="BD196" i="29"/>
  <c r="AW15" i="47" s="1"/>
  <c r="BJ209" i="29"/>
  <c r="BI209" i="29"/>
  <c r="AX209" i="29"/>
  <c r="AN209" i="29"/>
  <c r="AM209" i="29"/>
  <c r="W209" i="29"/>
  <c r="V209" i="29"/>
  <c r="AS29" i="32" l="1"/>
  <c r="AR282" i="32"/>
  <c r="AT254" i="32"/>
  <c r="AR140" i="32"/>
  <c r="AQ108" i="32"/>
  <c r="AQ109" i="32" s="1"/>
  <c r="AR218" i="32"/>
  <c r="AR141" i="32"/>
  <c r="AY141" i="32" s="1"/>
  <c r="BL141" i="32" s="1"/>
  <c r="M75" i="31"/>
  <c r="AO57" i="31"/>
  <c r="AR71" i="31"/>
  <c r="AO52" i="31"/>
  <c r="AR34" i="31"/>
  <c r="AF25" i="31"/>
  <c r="AO19" i="31"/>
  <c r="AR69" i="31"/>
  <c r="AF19" i="31"/>
  <c r="AO15" i="31"/>
  <c r="AT71" i="31"/>
  <c r="AG24" i="31"/>
  <c r="AG25" i="31" s="1"/>
  <c r="AG12" i="30"/>
  <c r="AR59" i="30"/>
  <c r="AR41" i="30"/>
  <c r="AR84" i="30"/>
  <c r="AR21" i="30"/>
  <c r="AP156" i="29"/>
  <c r="AQ127" i="29"/>
  <c r="AQ132" i="29" s="1"/>
  <c r="AR122" i="29"/>
  <c r="AG85" i="29"/>
  <c r="AP21" i="29"/>
  <c r="AR93" i="29"/>
  <c r="AR69" i="29"/>
  <c r="AY69" i="29" s="1"/>
  <c r="AP133" i="29"/>
  <c r="AO40" i="29"/>
  <c r="AR74" i="29"/>
  <c r="AR39" i="29"/>
  <c r="BO127" i="29"/>
  <c r="AQ186" i="29"/>
  <c r="AG186" i="29"/>
  <c r="BK59" i="29"/>
  <c r="AR183" i="29"/>
  <c r="AP139" i="29"/>
  <c r="AP140" i="29" s="1"/>
  <c r="AS33" i="44"/>
  <c r="AR76" i="44"/>
  <c r="AT47" i="44"/>
  <c r="AR55" i="44"/>
  <c r="AR96" i="44"/>
  <c r="AR41" i="44"/>
  <c r="AR66" i="44"/>
  <c r="AR40" i="44"/>
  <c r="AY40" i="44" s="1"/>
  <c r="AT15" i="44"/>
  <c r="AR107" i="44"/>
  <c r="AT161" i="43"/>
  <c r="AP165" i="43"/>
  <c r="AR270" i="43"/>
  <c r="AG165" i="43"/>
  <c r="AR158" i="43"/>
  <c r="AQ327" i="43"/>
  <c r="AR374" i="43"/>
  <c r="AR388" i="43"/>
  <c r="AG246" i="43"/>
  <c r="AR110" i="43"/>
  <c r="AR204" i="43"/>
  <c r="AR143" i="43"/>
  <c r="AR217" i="43"/>
  <c r="AQ335" i="43"/>
  <c r="AR335" i="43" s="1"/>
  <c r="AT439" i="43"/>
  <c r="AR145" i="43"/>
  <c r="AS242" i="43"/>
  <c r="AY242" i="43" s="1"/>
  <c r="AQ228" i="43"/>
  <c r="AS328" i="43"/>
  <c r="AT435" i="43"/>
  <c r="AR113" i="43"/>
  <c r="AR78" i="43"/>
  <c r="AR144" i="43"/>
  <c r="AT322" i="43"/>
  <c r="AO50" i="43"/>
  <c r="AR16" i="32"/>
  <c r="AR212" i="32"/>
  <c r="AT174" i="32"/>
  <c r="BT174" i="32" s="1"/>
  <c r="AR30" i="32"/>
  <c r="AG183" i="32"/>
  <c r="AR61" i="32"/>
  <c r="BK31" i="32"/>
  <c r="AR193" i="32"/>
  <c r="AT38" i="32"/>
  <c r="BK188" i="32"/>
  <c r="AR175" i="32"/>
  <c r="BM82" i="32"/>
  <c r="AG292" i="32"/>
  <c r="AG293" i="32" s="1"/>
  <c r="AR272" i="32"/>
  <c r="AP110" i="32"/>
  <c r="AT64" i="32"/>
  <c r="AG110" i="32"/>
  <c r="AG113" i="32" s="1"/>
  <c r="AR289" i="32"/>
  <c r="AP264" i="32"/>
  <c r="AP270" i="32" s="1"/>
  <c r="AR208" i="32"/>
  <c r="AR119" i="32"/>
  <c r="AS111" i="32"/>
  <c r="AT223" i="32"/>
  <c r="AR198" i="32"/>
  <c r="AR19" i="32"/>
  <c r="AQ292" i="32"/>
  <c r="AQ293" i="32" s="1"/>
  <c r="AS260" i="32"/>
  <c r="AR211" i="32"/>
  <c r="BV215" i="32"/>
  <c r="BV216" i="32" s="1"/>
  <c r="AP138" i="32"/>
  <c r="AR135" i="32"/>
  <c r="AR104" i="32"/>
  <c r="AS170" i="32"/>
  <c r="AG151" i="32"/>
  <c r="AT151" i="32" s="1"/>
  <c r="AQ38" i="31"/>
  <c r="BM71" i="31"/>
  <c r="AQ67" i="31"/>
  <c r="AR22" i="31"/>
  <c r="I75" i="31"/>
  <c r="S75" i="31"/>
  <c r="BK43" i="31"/>
  <c r="AO43" i="31"/>
  <c r="AR56" i="30"/>
  <c r="AR35" i="30"/>
  <c r="AR68" i="30"/>
  <c r="AP45" i="30"/>
  <c r="AP48" i="30" s="1"/>
  <c r="AP76" i="30"/>
  <c r="AG45" i="30"/>
  <c r="AP16" i="30"/>
  <c r="AP17" i="30" s="1"/>
  <c r="AR74" i="30"/>
  <c r="AG16" i="30"/>
  <c r="AG17" i="30" s="1"/>
  <c r="AR97" i="30"/>
  <c r="AR123" i="29"/>
  <c r="AS95" i="44"/>
  <c r="AR90" i="44"/>
  <c r="AR27" i="44"/>
  <c r="AG64" i="44"/>
  <c r="AR100" i="44"/>
  <c r="AR54" i="44"/>
  <c r="AR101" i="44"/>
  <c r="AR108" i="44"/>
  <c r="AF70" i="44"/>
  <c r="AG89" i="44"/>
  <c r="AS40" i="44"/>
  <c r="AQ64" i="44"/>
  <c r="AQ70" i="44" s="1"/>
  <c r="AP89" i="44"/>
  <c r="AR89" i="44" s="1"/>
  <c r="AR72" i="44"/>
  <c r="AR52" i="44"/>
  <c r="AS83" i="44"/>
  <c r="AR97" i="44"/>
  <c r="AR22" i="44"/>
  <c r="AR30" i="44"/>
  <c r="AS67" i="44"/>
  <c r="AT433" i="43"/>
  <c r="AR370" i="43"/>
  <c r="AR297" i="43"/>
  <c r="AT413" i="43"/>
  <c r="AT282" i="43"/>
  <c r="AR99" i="43"/>
  <c r="AT363" i="43"/>
  <c r="AP325" i="43"/>
  <c r="AP326" i="43" s="1"/>
  <c r="AT288" i="43"/>
  <c r="AT249" i="43"/>
  <c r="AR281" i="43"/>
  <c r="AG269" i="43"/>
  <c r="AS269" i="43" s="1"/>
  <c r="AR351" i="43"/>
  <c r="AQ269" i="43"/>
  <c r="AQ274" i="43" s="1"/>
  <c r="AR17" i="43"/>
  <c r="AQ189" i="32"/>
  <c r="AR49" i="32"/>
  <c r="AG121" i="32"/>
  <c r="AT121" i="32" s="1"/>
  <c r="AT124" i="32" s="1"/>
  <c r="AR181" i="32"/>
  <c r="AT156" i="32"/>
  <c r="AG172" i="32"/>
  <c r="AR191" i="32"/>
  <c r="AR134" i="32"/>
  <c r="AG228" i="32"/>
  <c r="BM228" i="32" s="1"/>
  <c r="AG114" i="32"/>
  <c r="AT114" i="32" s="1"/>
  <c r="AR102" i="32"/>
  <c r="AP196" i="32"/>
  <c r="AP199" i="32" s="1"/>
  <c r="AR70" i="32"/>
  <c r="AS99" i="32"/>
  <c r="AP285" i="32"/>
  <c r="AR230" i="32"/>
  <c r="AS262" i="32"/>
  <c r="BU249" i="32"/>
  <c r="AR69" i="32"/>
  <c r="AG206" i="32"/>
  <c r="AR276" i="32"/>
  <c r="AQ228" i="32"/>
  <c r="AQ234" i="32" s="1"/>
  <c r="AO199" i="32"/>
  <c r="AR163" i="32"/>
  <c r="AT176" i="32"/>
  <c r="AQ40" i="32"/>
  <c r="AQ43" i="32" s="1"/>
  <c r="AR247" i="32"/>
  <c r="AT49" i="32"/>
  <c r="AR169" i="32"/>
  <c r="BO271" i="32"/>
  <c r="AQ264" i="32"/>
  <c r="AQ270" i="32" s="1"/>
  <c r="AS248" i="32"/>
  <c r="AP235" i="32"/>
  <c r="AS184" i="32"/>
  <c r="BS184" i="32" s="1"/>
  <c r="AR98" i="32"/>
  <c r="AT61" i="32"/>
  <c r="AY61" i="32" s="1"/>
  <c r="BL61" i="32" s="1"/>
  <c r="AR89" i="32"/>
  <c r="AR243" i="32"/>
  <c r="AR88" i="32"/>
  <c r="AY88" i="32" s="1"/>
  <c r="AR25" i="32"/>
  <c r="AY25" i="32" s="1"/>
  <c r="AR81" i="32"/>
  <c r="AR149" i="32"/>
  <c r="AQ26" i="31"/>
  <c r="AR26" i="31" s="1"/>
  <c r="AR60" i="31"/>
  <c r="BK52" i="31"/>
  <c r="AF32" i="31"/>
  <c r="CF77" i="31"/>
  <c r="BK32" i="31"/>
  <c r="J75" i="31"/>
  <c r="AG67" i="31"/>
  <c r="AO73" i="31"/>
  <c r="AO23" i="31"/>
  <c r="AR54" i="31"/>
  <c r="AR27" i="31"/>
  <c r="AO32" i="31"/>
  <c r="AQ15" i="31"/>
  <c r="AG32" i="31"/>
  <c r="BK67" i="31"/>
  <c r="K17" i="47"/>
  <c r="AR45" i="31"/>
  <c r="AQ57" i="31"/>
  <c r="CC74" i="31"/>
  <c r="BV17" i="47" s="1"/>
  <c r="BU67" i="31"/>
  <c r="AR35" i="31"/>
  <c r="BX52" i="31"/>
  <c r="AR50" i="31"/>
  <c r="BK57" i="31"/>
  <c r="AQ19" i="31"/>
  <c r="BV28" i="31"/>
  <c r="AN17" i="47"/>
  <c r="AO87" i="31"/>
  <c r="BF77" i="31"/>
  <c r="AQ64" i="31"/>
  <c r="CI74" i="31"/>
  <c r="CB17" i="47" s="1"/>
  <c r="BP22" i="31"/>
  <c r="AW77" i="31"/>
  <c r="AG15" i="31"/>
  <c r="AQ48" i="31"/>
  <c r="AS70" i="30"/>
  <c r="BP29" i="30"/>
  <c r="AP24" i="30"/>
  <c r="AP28" i="30" s="1"/>
  <c r="AP66" i="30"/>
  <c r="AR66" i="30" s="1"/>
  <c r="AG24" i="30"/>
  <c r="AG55" i="30"/>
  <c r="AG66" i="30"/>
  <c r="AG71" i="30" s="1"/>
  <c r="AP55" i="30"/>
  <c r="AP61" i="30" s="1"/>
  <c r="AG72" i="30"/>
  <c r="AS72" i="30" s="1"/>
  <c r="AT34" i="30"/>
  <c r="AP49" i="30"/>
  <c r="AP54" i="30" s="1"/>
  <c r="AG38" i="30"/>
  <c r="AT38" i="30" s="1"/>
  <c r="CJ103" i="30"/>
  <c r="AP31" i="30"/>
  <c r="AR39" i="30"/>
  <c r="AQ38" i="30"/>
  <c r="AR38" i="30" s="1"/>
  <c r="AT161" i="29"/>
  <c r="BN160" i="29"/>
  <c r="AS158" i="29"/>
  <c r="AR99" i="29"/>
  <c r="AR158" i="29"/>
  <c r="AR152" i="29"/>
  <c r="AG176" i="29"/>
  <c r="AS176" i="29" s="1"/>
  <c r="AR42" i="29"/>
  <c r="AT28" i="29"/>
  <c r="AP250" i="32"/>
  <c r="AP256" i="32" s="1"/>
  <c r="AG147" i="32"/>
  <c r="AR99" i="32"/>
  <c r="AY99" i="32" s="1"/>
  <c r="AR38" i="32"/>
  <c r="AY38" i="32" s="1"/>
  <c r="AO38" i="31"/>
  <c r="AG52" i="31"/>
  <c r="AT17" i="47"/>
  <c r="AQ23" i="31"/>
  <c r="AQ156" i="29"/>
  <c r="AR156" i="29" s="1"/>
  <c r="AG156" i="29"/>
  <c r="AG159" i="29" s="1"/>
  <c r="AQ14" i="29"/>
  <c r="AQ17" i="29" s="1"/>
  <c r="AR229" i="32"/>
  <c r="AR64" i="32"/>
  <c r="AY64" i="32" s="1"/>
  <c r="AS15" i="32"/>
  <c r="AT19" i="32"/>
  <c r="AY19" i="32" s="1"/>
  <c r="AS134" i="32"/>
  <c r="AQ97" i="32"/>
  <c r="AO284" i="32"/>
  <c r="AT154" i="32"/>
  <c r="AY154" i="32" s="1"/>
  <c r="AR251" i="32"/>
  <c r="AS258" i="32"/>
  <c r="AR241" i="32"/>
  <c r="AR224" i="32"/>
  <c r="AR129" i="32"/>
  <c r="AR80" i="32"/>
  <c r="AG22" i="32"/>
  <c r="AR33" i="32"/>
  <c r="AP278" i="32"/>
  <c r="AP284" i="32" s="1"/>
  <c r="AO27" i="32"/>
  <c r="BU124" i="32"/>
  <c r="AG278" i="32"/>
  <c r="AG284" i="32" s="1"/>
  <c r="AR236" i="32"/>
  <c r="AS116" i="32"/>
  <c r="BK84" i="32"/>
  <c r="AR123" i="32"/>
  <c r="AT73" i="32"/>
  <c r="AY73" i="32" s="1"/>
  <c r="BL73" i="32" s="1"/>
  <c r="AO130" i="32"/>
  <c r="AR111" i="32"/>
  <c r="BK124" i="32"/>
  <c r="AG257" i="32"/>
  <c r="AG263" i="32" s="1"/>
  <c r="AR197" i="32"/>
  <c r="CG297" i="32"/>
  <c r="AQ246" i="32"/>
  <c r="AQ249" i="32" s="1"/>
  <c r="AP97" i="32"/>
  <c r="AR97" i="32" s="1"/>
  <c r="AY29" i="32"/>
  <c r="AY15" i="32"/>
  <c r="AR288" i="32"/>
  <c r="AY156" i="32"/>
  <c r="BL156" i="32" s="1"/>
  <c r="AG97" i="32"/>
  <c r="AQ14" i="32"/>
  <c r="AG285" i="32"/>
  <c r="AG291" i="32" s="1"/>
  <c r="AQ271" i="32"/>
  <c r="AQ277" i="32" s="1"/>
  <c r="AR290" i="32"/>
  <c r="AR168" i="32"/>
  <c r="AY168" i="32" s="1"/>
  <c r="AR50" i="32"/>
  <c r="AR87" i="32"/>
  <c r="AO137" i="32"/>
  <c r="BK58" i="32"/>
  <c r="AQ28" i="32"/>
  <c r="AQ31" i="32" s="1"/>
  <c r="D18" i="47"/>
  <c r="J295" i="32"/>
  <c r="E18" i="47"/>
  <c r="M18" i="47"/>
  <c r="S295" i="32"/>
  <c r="BZ297" i="32"/>
  <c r="CH297" i="32"/>
  <c r="AP292" i="32"/>
  <c r="AR292" i="32" s="1"/>
  <c r="AR293" i="32" s="1"/>
  <c r="AR283" i="32"/>
  <c r="AR136" i="32"/>
  <c r="BK77" i="32"/>
  <c r="AR26" i="32"/>
  <c r="AR126" i="32"/>
  <c r="AG91" i="32"/>
  <c r="BK195" i="32"/>
  <c r="AR148" i="32"/>
  <c r="BK171" i="32"/>
  <c r="N18" i="47"/>
  <c r="AP246" i="32"/>
  <c r="AP249" i="32" s="1"/>
  <c r="AR95" i="32"/>
  <c r="AO291" i="32"/>
  <c r="AT18" i="47"/>
  <c r="BJ295" i="32"/>
  <c r="G18" i="47"/>
  <c r="M295" i="32"/>
  <c r="CB297" i="32"/>
  <c r="CA297" i="32"/>
  <c r="CJ297" i="32"/>
  <c r="AP12" i="32"/>
  <c r="AP13" i="32" s="1"/>
  <c r="AR266" i="32"/>
  <c r="AQ199" i="32"/>
  <c r="AR226" i="32"/>
  <c r="AY226" i="32" s="1"/>
  <c r="AR174" i="32"/>
  <c r="AR240" i="32"/>
  <c r="AS122" i="32"/>
  <c r="AR118" i="32"/>
  <c r="AR76" i="32"/>
  <c r="AR57" i="32"/>
  <c r="AP53" i="32"/>
  <c r="AP58" i="32" s="1"/>
  <c r="BK245" i="32"/>
  <c r="AG40" i="32"/>
  <c r="AT40" i="32" s="1"/>
  <c r="BK120" i="32"/>
  <c r="AG53" i="32"/>
  <c r="AG58" i="32" s="1"/>
  <c r="AO120" i="32"/>
  <c r="BX307" i="32"/>
  <c r="BV121" i="32"/>
  <c r="BN246" i="32"/>
  <c r="H18" i="47"/>
  <c r="AG12" i="32"/>
  <c r="AG13" i="32" s="1"/>
  <c r="AR225" i="32"/>
  <c r="AY225" i="32" s="1"/>
  <c r="AT219" i="32"/>
  <c r="AR122" i="32"/>
  <c r="AP145" i="32"/>
  <c r="AR117" i="32"/>
  <c r="AP40" i="32"/>
  <c r="AR86" i="32"/>
  <c r="AR47" i="32"/>
  <c r="AG246" i="32"/>
  <c r="AG249" i="32" s="1"/>
  <c r="AP217" i="32"/>
  <c r="AR153" i="32"/>
  <c r="BK137" i="32"/>
  <c r="C18" i="47"/>
  <c r="I295" i="32"/>
  <c r="K18" i="47"/>
  <c r="AN18" i="47"/>
  <c r="AX295" i="32"/>
  <c r="BN91" i="32"/>
  <c r="AB297" i="32"/>
  <c r="CD297" i="32"/>
  <c r="AR237" i="32"/>
  <c r="AP172" i="32"/>
  <c r="AP178" i="32" s="1"/>
  <c r="AS180" i="32"/>
  <c r="AG145" i="32"/>
  <c r="AG146" i="32" s="1"/>
  <c r="AR21" i="32"/>
  <c r="AQ36" i="32"/>
  <c r="AQ39" i="32" s="1"/>
  <c r="AQ32" i="32"/>
  <c r="AQ35" i="32" s="1"/>
  <c r="AO22" i="32"/>
  <c r="AO96" i="32"/>
  <c r="BF297" i="32"/>
  <c r="AR170" i="32"/>
  <c r="AR116" i="32"/>
  <c r="AP91" i="32"/>
  <c r="AR101" i="32"/>
  <c r="AR93" i="32"/>
  <c r="AR139" i="32"/>
  <c r="AR60" i="30"/>
  <c r="AR14" i="30"/>
  <c r="AR40" i="30"/>
  <c r="AY40" i="30" s="1"/>
  <c r="AR94" i="30"/>
  <c r="AR77" i="30"/>
  <c r="AR52" i="30"/>
  <c r="BK99" i="30"/>
  <c r="G16" i="47"/>
  <c r="M101" i="30"/>
  <c r="H16" i="47"/>
  <c r="AT32" i="30"/>
  <c r="AG29" i="30"/>
  <c r="AG30" i="30" s="1"/>
  <c r="AG37" i="30"/>
  <c r="BK23" i="30"/>
  <c r="BF103" i="30"/>
  <c r="AP86" i="30"/>
  <c r="AP92" i="30" s="1"/>
  <c r="AR64" i="30"/>
  <c r="AR13" i="30"/>
  <c r="AP18" i="30"/>
  <c r="AP23" i="30" s="1"/>
  <c r="AO48" i="30"/>
  <c r="AG76" i="30"/>
  <c r="AG81" i="30" s="1"/>
  <c r="AR83" i="30"/>
  <c r="AG86" i="30"/>
  <c r="AG92" i="30" s="1"/>
  <c r="AG18" i="30"/>
  <c r="AG23" i="30" s="1"/>
  <c r="AR33" i="30"/>
  <c r="AO15" i="30"/>
  <c r="C16" i="47"/>
  <c r="I101" i="30"/>
  <c r="K16" i="47"/>
  <c r="AR67" i="30"/>
  <c r="AR20" i="30"/>
  <c r="BK37" i="30"/>
  <c r="N16" i="47"/>
  <c r="D16" i="47"/>
  <c r="J101" i="30"/>
  <c r="AR78" i="30"/>
  <c r="AP82" i="30"/>
  <c r="AP85" i="30" s="1"/>
  <c r="AO71" i="30"/>
  <c r="BK71" i="30"/>
  <c r="AQ37" i="30"/>
  <c r="E16" i="47"/>
  <c r="M16" i="47"/>
  <c r="S101" i="30"/>
  <c r="AP12" i="30"/>
  <c r="AP15" i="30" s="1"/>
  <c r="AG82" i="30"/>
  <c r="AG85" i="30" s="1"/>
  <c r="AR63" i="30"/>
  <c r="AR53" i="30"/>
  <c r="AQ86" i="30"/>
  <c r="AQ92" i="30" s="1"/>
  <c r="AO32" i="29"/>
  <c r="AS20" i="29"/>
  <c r="AS66" i="29"/>
  <c r="AR15" i="29"/>
  <c r="AR154" i="29"/>
  <c r="AS106" i="29"/>
  <c r="BS106" i="29" s="1"/>
  <c r="AS119" i="29"/>
  <c r="AY119" i="29" s="1"/>
  <c r="AR104" i="29"/>
  <c r="AS143" i="29"/>
  <c r="AP12" i="29"/>
  <c r="AP13" i="29" s="1"/>
  <c r="AR134" i="29"/>
  <c r="AQ41" i="29"/>
  <c r="AR41" i="29" s="1"/>
  <c r="AR170" i="29"/>
  <c r="AT125" i="29"/>
  <c r="AG41" i="29"/>
  <c r="AG44" i="29" s="1"/>
  <c r="AR116" i="29"/>
  <c r="AG68" i="29"/>
  <c r="AG71" i="29" s="1"/>
  <c r="BN41" i="29"/>
  <c r="AS134" i="29"/>
  <c r="AQ115" i="29"/>
  <c r="AQ120" i="29" s="1"/>
  <c r="AR50" i="29"/>
  <c r="AQ53" i="29"/>
  <c r="AQ56" i="29" s="1"/>
  <c r="AR145" i="29"/>
  <c r="AR87" i="29"/>
  <c r="AR66" i="29"/>
  <c r="AR28" i="29"/>
  <c r="AP115" i="29"/>
  <c r="AP120" i="29" s="1"/>
  <c r="AG133" i="29"/>
  <c r="AG138" i="29" s="1"/>
  <c r="AR43" i="29"/>
  <c r="BK48" i="29"/>
  <c r="AQ68" i="29"/>
  <c r="AQ71" i="29" s="1"/>
  <c r="AT111" i="29"/>
  <c r="BT111" i="29" s="1"/>
  <c r="BV57" i="29"/>
  <c r="AP149" i="29"/>
  <c r="BK159" i="29"/>
  <c r="AR113" i="29"/>
  <c r="AR125" i="29"/>
  <c r="BK40" i="29"/>
  <c r="AG193" i="29"/>
  <c r="AS193" i="29" s="1"/>
  <c r="AO195" i="29"/>
  <c r="AQ37" i="29"/>
  <c r="AQ40" i="29" s="1"/>
  <c r="BK84" i="29"/>
  <c r="AR100" i="29"/>
  <c r="AG37" i="29"/>
  <c r="AG40" i="29" s="1"/>
  <c r="AQ49" i="29"/>
  <c r="AR38" i="29"/>
  <c r="AO25" i="29"/>
  <c r="AG121" i="29"/>
  <c r="AT121" i="29" s="1"/>
  <c r="AT135" i="29"/>
  <c r="AO67" i="29"/>
  <c r="AR70" i="29"/>
  <c r="AQ44" i="29"/>
  <c r="AR23" i="29"/>
  <c r="BK71" i="29"/>
  <c r="AG91" i="29"/>
  <c r="AT91" i="29" s="1"/>
  <c r="BN57" i="29"/>
  <c r="AR187" i="29"/>
  <c r="AQ169" i="29"/>
  <c r="AQ175" i="29" s="1"/>
  <c r="AR142" i="29"/>
  <c r="AS104" i="29"/>
  <c r="AQ80" i="29"/>
  <c r="AQ84" i="29" s="1"/>
  <c r="AS15" i="29"/>
  <c r="AO185" i="29"/>
  <c r="AR62" i="29"/>
  <c r="AY62" i="29" s="1"/>
  <c r="AR112" i="29"/>
  <c r="AP57" i="29"/>
  <c r="AP59" i="29" s="1"/>
  <c r="AR65" i="29"/>
  <c r="BO80" i="29"/>
  <c r="AG192" i="29"/>
  <c r="AR16" i="29"/>
  <c r="AG57" i="29"/>
  <c r="AT57" i="29" s="1"/>
  <c r="AO59" i="29"/>
  <c r="AO44" i="29"/>
  <c r="AQ25" i="29"/>
  <c r="AG169" i="29"/>
  <c r="AS169" i="29" s="1"/>
  <c r="BK96" i="29"/>
  <c r="BK79" i="29"/>
  <c r="AR153" i="29"/>
  <c r="AR137" i="29"/>
  <c r="AR105" i="29"/>
  <c r="AO120" i="29"/>
  <c r="AQ138" i="29"/>
  <c r="AS74" i="29"/>
  <c r="AR24" i="29"/>
  <c r="BK17" i="29"/>
  <c r="AO48" i="29"/>
  <c r="E15" i="47"/>
  <c r="H15" i="47"/>
  <c r="AR172" i="29"/>
  <c r="AQ192" i="29"/>
  <c r="AR166" i="29"/>
  <c r="AR82" i="29"/>
  <c r="AR35" i="29"/>
  <c r="AP49" i="29"/>
  <c r="AP52" i="29" s="1"/>
  <c r="AG18" i="29"/>
  <c r="AT18" i="29" s="1"/>
  <c r="AT21" i="29" s="1"/>
  <c r="AS31" i="29"/>
  <c r="AR128" i="29"/>
  <c r="AY128" i="29" s="1"/>
  <c r="G15" i="47"/>
  <c r="M197" i="29"/>
  <c r="AP193" i="29"/>
  <c r="AP195" i="29" s="1"/>
  <c r="AR163" i="29"/>
  <c r="AS151" i="29"/>
  <c r="AY151" i="29" s="1"/>
  <c r="AR111" i="29"/>
  <c r="AG48" i="29"/>
  <c r="AP103" i="29"/>
  <c r="AP108" i="29" s="1"/>
  <c r="AR34" i="29"/>
  <c r="AG49" i="29"/>
  <c r="AG52" i="29" s="1"/>
  <c r="AG53" i="29"/>
  <c r="AT53" i="29" s="1"/>
  <c r="AQ18" i="29"/>
  <c r="AQ21" i="29" s="1"/>
  <c r="AR135" i="29"/>
  <c r="BK44" i="29"/>
  <c r="AG127" i="29"/>
  <c r="AT127" i="29" s="1"/>
  <c r="AS110" i="29"/>
  <c r="AY110" i="29" s="1"/>
  <c r="AR55" i="29"/>
  <c r="AG103" i="29"/>
  <c r="AG108" i="29" s="1"/>
  <c r="BK175" i="29"/>
  <c r="AO17" i="29"/>
  <c r="AR143" i="29"/>
  <c r="BK120" i="29"/>
  <c r="K15" i="47"/>
  <c r="AR191" i="29"/>
  <c r="AR157" i="29"/>
  <c r="AR162" i="29"/>
  <c r="AY162" i="29" s="1"/>
  <c r="AQ195" i="29"/>
  <c r="AQ141" i="29"/>
  <c r="AQ148" i="29" s="1"/>
  <c r="AG80" i="29"/>
  <c r="AG84" i="29" s="1"/>
  <c r="AO168" i="29"/>
  <c r="AR54" i="29"/>
  <c r="BK75" i="29"/>
  <c r="AP127" i="29"/>
  <c r="AQ139" i="29"/>
  <c r="AQ140" i="29" s="1"/>
  <c r="AR94" i="29"/>
  <c r="AS50" i="29"/>
  <c r="AS146" i="29"/>
  <c r="AS69" i="29"/>
  <c r="AO29" i="29"/>
  <c r="AP14" i="29"/>
  <c r="C15" i="47"/>
  <c r="I197" i="29"/>
  <c r="AR189" i="29"/>
  <c r="AT152" i="29"/>
  <c r="AY152" i="29" s="1"/>
  <c r="AG139" i="29"/>
  <c r="AG140" i="29" s="1"/>
  <c r="AO56" i="29"/>
  <c r="AR77" i="29"/>
  <c r="AS51" i="29"/>
  <c r="AY51" i="29" s="1"/>
  <c r="AO96" i="29"/>
  <c r="BK90" i="29"/>
  <c r="BK52" i="29"/>
  <c r="M15" i="47"/>
  <c r="S197" i="29"/>
  <c r="D15" i="47"/>
  <c r="J197" i="29"/>
  <c r="N15" i="47"/>
  <c r="AR174" i="29"/>
  <c r="AR146" i="29"/>
  <c r="AG14" i="29"/>
  <c r="AS14" i="29" s="1"/>
  <c r="BK126" i="29"/>
  <c r="AP59" i="32"/>
  <c r="AG66" i="32"/>
  <c r="AS66" i="32" s="1"/>
  <c r="AP66" i="32"/>
  <c r="AP71" i="32" s="1"/>
  <c r="AX18" i="47"/>
  <c r="AG49" i="30"/>
  <c r="AS49" i="30" s="1"/>
  <c r="AG115" i="29"/>
  <c r="AG120" i="29" s="1"/>
  <c r="AS446" i="43"/>
  <c r="AR188" i="43"/>
  <c r="AP203" i="43"/>
  <c r="AR359" i="43"/>
  <c r="AR37" i="43"/>
  <c r="AR121" i="43"/>
  <c r="AP275" i="43"/>
  <c r="AR275" i="43" s="1"/>
  <c r="AG275" i="43"/>
  <c r="AS275" i="43" s="1"/>
  <c r="AG203" i="43"/>
  <c r="AT203" i="43" s="1"/>
  <c r="AQ459" i="43"/>
  <c r="AQ461" i="43" s="1"/>
  <c r="AP308" i="43"/>
  <c r="AG319" i="43"/>
  <c r="AG324" i="43" s="1"/>
  <c r="AR389" i="43"/>
  <c r="AT388" i="43"/>
  <c r="AY388" i="43" s="1"/>
  <c r="AG89" i="43"/>
  <c r="AT89" i="43" s="1"/>
  <c r="AQ160" i="43"/>
  <c r="AQ164" i="43" s="1"/>
  <c r="AR205" i="43"/>
  <c r="AQ291" i="43"/>
  <c r="AQ298" i="43" s="1"/>
  <c r="AO56" i="43"/>
  <c r="AR67" i="43"/>
  <c r="AP279" i="43"/>
  <c r="AR279" i="43" s="1"/>
  <c r="AS175" i="43"/>
  <c r="AG279" i="43"/>
  <c r="AG285" i="43" s="1"/>
  <c r="AT272" i="43"/>
  <c r="AP319" i="43"/>
  <c r="AR319" i="43" s="1"/>
  <c r="AT345" i="43"/>
  <c r="AP403" i="43"/>
  <c r="AS405" i="43"/>
  <c r="AP40" i="43"/>
  <c r="AR40" i="43" s="1"/>
  <c r="AR419" i="43"/>
  <c r="AG93" i="43"/>
  <c r="AG96" i="43" s="1"/>
  <c r="AR267" i="43"/>
  <c r="AR220" i="43"/>
  <c r="AR194" i="43"/>
  <c r="AR140" i="43"/>
  <c r="AT341" i="43"/>
  <c r="AR214" i="43"/>
  <c r="AR449" i="43"/>
  <c r="AR383" i="43"/>
  <c r="AR87" i="43"/>
  <c r="AS30" i="43"/>
  <c r="AR313" i="43"/>
  <c r="AR235" i="43"/>
  <c r="AR364" i="43"/>
  <c r="AR45" i="43"/>
  <c r="AR390" i="43"/>
  <c r="AY390" i="43" s="1"/>
  <c r="AT340" i="43"/>
  <c r="AR356" i="43"/>
  <c r="AR237" i="43"/>
  <c r="AY237" i="43" s="1"/>
  <c r="AR62" i="43"/>
  <c r="AP35" i="43"/>
  <c r="AR33" i="43"/>
  <c r="AT294" i="43"/>
  <c r="AR26" i="43"/>
  <c r="AR397" i="43"/>
  <c r="AR152" i="43"/>
  <c r="AR207" i="43"/>
  <c r="AR369" i="43"/>
  <c r="AR74" i="43"/>
  <c r="AY74" i="43" s="1"/>
  <c r="AR230" i="43"/>
  <c r="AR253" i="43"/>
  <c r="AO318" i="43"/>
  <c r="AR25" i="43"/>
  <c r="AR439" i="43"/>
  <c r="AR384" i="43"/>
  <c r="AR429" i="43"/>
  <c r="AR138" i="43"/>
  <c r="AR262" i="43"/>
  <c r="AR66" i="43"/>
  <c r="AR114" i="43"/>
  <c r="AR306" i="43"/>
  <c r="AP50" i="43"/>
  <c r="AR34" i="43"/>
  <c r="AR225" i="43"/>
  <c r="AR63" i="43"/>
  <c r="AP197" i="43"/>
  <c r="AP202" i="43" s="1"/>
  <c r="AR179" i="43"/>
  <c r="AR124" i="43"/>
  <c r="AR201" i="43"/>
  <c r="AR337" i="43"/>
  <c r="AP373" i="43"/>
  <c r="AP376" i="43" s="1"/>
  <c r="AR255" i="43"/>
  <c r="AG373" i="43"/>
  <c r="AG376" i="43" s="1"/>
  <c r="AG424" i="43"/>
  <c r="AG430" i="43" s="1"/>
  <c r="AR132" i="43"/>
  <c r="AG57" i="44"/>
  <c r="AG63" i="44" s="1"/>
  <c r="AR65" i="44"/>
  <c r="AR118" i="44"/>
  <c r="AR44" i="44"/>
  <c r="AP85" i="44"/>
  <c r="AR85" i="44" s="1"/>
  <c r="AR32" i="44"/>
  <c r="AR109" i="44"/>
  <c r="AP122" i="44"/>
  <c r="AP128" i="44" s="1"/>
  <c r="AG85" i="44"/>
  <c r="AG88" i="44" s="1"/>
  <c r="AR39" i="44"/>
  <c r="AY39" i="44" s="1"/>
  <c r="AR95" i="44"/>
  <c r="AG122" i="44"/>
  <c r="AG128" i="44" s="1"/>
  <c r="AR46" i="44"/>
  <c r="AR86" i="44"/>
  <c r="BK19" i="44"/>
  <c r="AR80" i="44"/>
  <c r="AR94" i="44"/>
  <c r="AR15" i="44"/>
  <c r="AY15" i="44" s="1"/>
  <c r="AO19" i="44"/>
  <c r="AR26" i="44"/>
  <c r="AR62" i="44"/>
  <c r="AR24" i="44"/>
  <c r="AR21" i="44"/>
  <c r="AR79" i="44"/>
  <c r="AR67" i="44"/>
  <c r="AR34" i="44"/>
  <c r="AR33" i="44"/>
  <c r="AR69" i="44"/>
  <c r="AT86" i="44"/>
  <c r="AR58" i="44"/>
  <c r="AY58" i="44" s="1"/>
  <c r="AR16" i="44"/>
  <c r="AR139" i="43"/>
  <c r="AR289" i="43"/>
  <c r="AR288" i="43"/>
  <c r="AY288" i="43" s="1"/>
  <c r="AR131" i="43"/>
  <c r="AS428" i="43"/>
  <c r="AR404" i="43"/>
  <c r="AG148" i="43"/>
  <c r="AG259" i="43"/>
  <c r="AG260" i="43" s="1"/>
  <c r="AG197" i="43"/>
  <c r="AS197" i="43" s="1"/>
  <c r="AG261" i="43"/>
  <c r="AT261" i="43" s="1"/>
  <c r="AR250" i="43"/>
  <c r="AR440" i="43"/>
  <c r="AR125" i="43"/>
  <c r="AR70" i="43"/>
  <c r="AR433" i="43"/>
  <c r="AY433" i="43" s="1"/>
  <c r="AR450" i="43"/>
  <c r="AO31" i="43"/>
  <c r="BK35" i="43"/>
  <c r="AQ259" i="43"/>
  <c r="AQ260" i="43" s="1"/>
  <c r="AR133" i="43"/>
  <c r="AR200" i="43"/>
  <c r="AS243" i="43"/>
  <c r="AR309" i="43"/>
  <c r="AT329" i="43"/>
  <c r="BK461" i="43"/>
  <c r="AR316" i="43"/>
  <c r="AY316" i="43" s="1"/>
  <c r="AR336" i="43"/>
  <c r="AR367" i="43"/>
  <c r="AR362" i="43"/>
  <c r="AR249" i="43"/>
  <c r="AO47" i="43"/>
  <c r="AR199" i="43"/>
  <c r="AR156" i="43"/>
  <c r="AR425" i="43"/>
  <c r="AT78" i="43"/>
  <c r="AY78" i="43" s="1"/>
  <c r="AT146" i="43"/>
  <c r="AS192" i="43"/>
  <c r="AR198" i="43"/>
  <c r="AT342" i="43"/>
  <c r="AY342" i="43" s="1"/>
  <c r="AS255" i="43"/>
  <c r="AS390" i="43"/>
  <c r="AR432" i="43"/>
  <c r="AS443" i="43"/>
  <c r="AY443" i="43" s="1"/>
  <c r="AR456" i="43"/>
  <c r="AR243" i="43"/>
  <c r="AR371" i="43"/>
  <c r="AR90" i="43"/>
  <c r="AR146" i="43"/>
  <c r="AR172" i="43"/>
  <c r="AG252" i="43"/>
  <c r="AS252" i="43" s="1"/>
  <c r="AR375" i="43"/>
  <c r="AR408" i="43"/>
  <c r="AP72" i="43"/>
  <c r="AR72" i="43" s="1"/>
  <c r="AR232" i="43"/>
  <c r="AR441" i="43"/>
  <c r="BK43" i="43"/>
  <c r="AR151" i="43"/>
  <c r="AR283" i="43"/>
  <c r="AR276" i="43"/>
  <c r="AR294" i="43"/>
  <c r="AR241" i="43"/>
  <c r="AR421" i="43"/>
  <c r="AO461" i="43"/>
  <c r="AP228" i="43"/>
  <c r="AP233" i="43" s="1"/>
  <c r="AR398" i="43"/>
  <c r="AP392" i="43"/>
  <c r="AP395" i="43" s="1"/>
  <c r="AR247" i="43"/>
  <c r="AR193" i="43"/>
  <c r="AT66" i="43"/>
  <c r="AT266" i="43"/>
  <c r="AQ339" i="43"/>
  <c r="AQ347" i="43" s="1"/>
  <c r="AR120" i="43"/>
  <c r="AP222" i="43"/>
  <c r="AR222" i="43" s="1"/>
  <c r="AT332" i="43"/>
  <c r="AR435" i="43"/>
  <c r="AR442" i="43"/>
  <c r="AR399" i="43"/>
  <c r="AP265" i="43"/>
  <c r="AR265" i="43" s="1"/>
  <c r="AR293" i="43"/>
  <c r="AG265" i="43"/>
  <c r="AS265" i="43" s="1"/>
  <c r="AP252" i="43"/>
  <c r="AP258" i="43" s="1"/>
  <c r="AG222" i="43"/>
  <c r="AG227" i="43" s="1"/>
  <c r="AG228" i="43"/>
  <c r="AT228" i="43" s="1"/>
  <c r="AP438" i="43"/>
  <c r="AP444" i="43" s="1"/>
  <c r="AO60" i="43"/>
  <c r="AG339" i="43"/>
  <c r="AT339" i="43" s="1"/>
  <c r="AY41" i="43"/>
  <c r="BL41" i="43" s="1"/>
  <c r="AG325" i="43"/>
  <c r="AG326" i="43" s="1"/>
  <c r="AG315" i="43"/>
  <c r="AG318" i="43" s="1"/>
  <c r="AR272" i="43"/>
  <c r="AR292" i="43"/>
  <c r="AP190" i="43"/>
  <c r="AS232" i="43"/>
  <c r="AT320" i="43"/>
  <c r="AR181" i="43"/>
  <c r="BK353" i="43"/>
  <c r="AR238" i="43"/>
  <c r="AG119" i="43"/>
  <c r="AT119" i="43" s="1"/>
  <c r="AP171" i="43"/>
  <c r="AP176" i="43" s="1"/>
  <c r="AG190" i="43"/>
  <c r="AG196" i="43" s="1"/>
  <c r="AP299" i="43"/>
  <c r="AR299" i="43" s="1"/>
  <c r="AR300" i="43" s="1"/>
  <c r="AQ462" i="43"/>
  <c r="AR462" i="43" s="1"/>
  <c r="BK68" i="43"/>
  <c r="AP61" i="43"/>
  <c r="AP64" i="43" s="1"/>
  <c r="AP119" i="43"/>
  <c r="AP122" i="43" s="1"/>
  <c r="AG171" i="43"/>
  <c r="AS171" i="43" s="1"/>
  <c r="AR453" i="43"/>
  <c r="AG462" i="43"/>
  <c r="AT462" i="43" s="1"/>
  <c r="AQ410" i="43"/>
  <c r="AQ416" i="43" s="1"/>
  <c r="AG61" i="43"/>
  <c r="AT61" i="43" s="1"/>
  <c r="AR282" i="43"/>
  <c r="AR381" i="43"/>
  <c r="AR380" i="43"/>
  <c r="AR418" i="43"/>
  <c r="AT195" i="43"/>
  <c r="AQ377" i="43"/>
  <c r="AQ378" i="43" s="1"/>
  <c r="AR277" i="43"/>
  <c r="AR394" i="43"/>
  <c r="AP116" i="43"/>
  <c r="AP118" i="43" s="1"/>
  <c r="AR226" i="43"/>
  <c r="BK338" i="43"/>
  <c r="AR422" i="43"/>
  <c r="AT204" i="43"/>
  <c r="AY204" i="43" s="1"/>
  <c r="AR155" i="43"/>
  <c r="AQ63" i="44"/>
  <c r="AP35" i="44"/>
  <c r="AO102" i="44"/>
  <c r="AG70" i="44"/>
  <c r="AG103" i="44"/>
  <c r="AG104" i="44" s="1"/>
  <c r="BK84" i="44"/>
  <c r="AO56" i="44"/>
  <c r="AR18" i="44"/>
  <c r="AG121" i="44"/>
  <c r="BK35" i="44"/>
  <c r="AR124" i="44"/>
  <c r="AG110" i="44"/>
  <c r="AG77" i="44"/>
  <c r="BK88" i="44"/>
  <c r="AQ128" i="44"/>
  <c r="AG49" i="44"/>
  <c r="AQ102" i="44"/>
  <c r="AG19" i="44"/>
  <c r="AT21" i="44"/>
  <c r="AO49" i="44"/>
  <c r="BK63" i="44"/>
  <c r="AO28" i="44"/>
  <c r="AT62" i="43"/>
  <c r="AR271" i="43"/>
  <c r="AT296" i="43"/>
  <c r="AQ252" i="43"/>
  <c r="AQ258" i="43" s="1"/>
  <c r="AQ240" i="43"/>
  <c r="AP445" i="43"/>
  <c r="AR445" i="43" s="1"/>
  <c r="AR413" i="43"/>
  <c r="BK56" i="43"/>
  <c r="AQ128" i="43"/>
  <c r="AQ134" i="43" s="1"/>
  <c r="AT120" i="43"/>
  <c r="AR187" i="43"/>
  <c r="AR210" i="43"/>
  <c r="AP261" i="43"/>
  <c r="AP264" i="43" s="1"/>
  <c r="AQ76" i="43"/>
  <c r="BK92" i="43"/>
  <c r="BK118" i="43"/>
  <c r="AQ239" i="43"/>
  <c r="BK465" i="43"/>
  <c r="AR49" i="43"/>
  <c r="AR79" i="43"/>
  <c r="AR129" i="43"/>
  <c r="BK134" i="43"/>
  <c r="AT276" i="43"/>
  <c r="AR157" i="43"/>
  <c r="AO141" i="43"/>
  <c r="AQ209" i="43"/>
  <c r="AQ215" i="43" s="1"/>
  <c r="AR256" i="43"/>
  <c r="AR428" i="43"/>
  <c r="AO251" i="43"/>
  <c r="AS36" i="43"/>
  <c r="AR59" i="43"/>
  <c r="AR280" i="43"/>
  <c r="AT230" i="43"/>
  <c r="AR323" i="43"/>
  <c r="AR206" i="43"/>
  <c r="AG445" i="43"/>
  <c r="AR358" i="43"/>
  <c r="AR368" i="43"/>
  <c r="BK31" i="43"/>
  <c r="BK268" i="43"/>
  <c r="AS45" i="43"/>
  <c r="BK88" i="43"/>
  <c r="AR117" i="43"/>
  <c r="AR109" i="43"/>
  <c r="AR168" i="43"/>
  <c r="BK239" i="43"/>
  <c r="AT284" i="43"/>
  <c r="AY284" i="43" s="1"/>
  <c r="AP348" i="43"/>
  <c r="AR348" i="43" s="1"/>
  <c r="AR137" i="43"/>
  <c r="AR415" i="43"/>
  <c r="AR420" i="43"/>
  <c r="BK451" i="43"/>
  <c r="BK27" i="43"/>
  <c r="AG160" i="43"/>
  <c r="AG164" i="43" s="1"/>
  <c r="BK458" i="43"/>
  <c r="AG392" i="43"/>
  <c r="AS392" i="43" s="1"/>
  <c r="AG348" i="43"/>
  <c r="AG353" i="43" s="1"/>
  <c r="AR295" i="43"/>
  <c r="AT184" i="43"/>
  <c r="AR320" i="43"/>
  <c r="AY320" i="43" s="1"/>
  <c r="AT263" i="43"/>
  <c r="AR382" i="43"/>
  <c r="AR426" i="43"/>
  <c r="BK100" i="43"/>
  <c r="AR94" i="43"/>
  <c r="AG100" i="43"/>
  <c r="AR296" i="43"/>
  <c r="AY296" i="43" s="1"/>
  <c r="AG327" i="43"/>
  <c r="AG330" i="43" s="1"/>
  <c r="AT310" i="43"/>
  <c r="AG377" i="43"/>
  <c r="AG378" i="43" s="1"/>
  <c r="AT90" i="43"/>
  <c r="AG438" i="43"/>
  <c r="AG444" i="43" s="1"/>
  <c r="AR447" i="43"/>
  <c r="AQ18" i="43"/>
  <c r="AQ278" i="43"/>
  <c r="AP77" i="43"/>
  <c r="AR77" i="43" s="1"/>
  <c r="AR102" i="43"/>
  <c r="BK39" i="43"/>
  <c r="AQ208" i="43"/>
  <c r="AR393" i="43"/>
  <c r="AR446" i="43"/>
  <c r="AR29" i="43"/>
  <c r="AR192" i="43"/>
  <c r="AP246" i="43"/>
  <c r="AR332" i="43"/>
  <c r="BK298" i="43"/>
  <c r="AP377" i="43"/>
  <c r="AP378" i="43" s="1"/>
  <c r="AR400" i="43"/>
  <c r="AG77" i="43"/>
  <c r="AG80" i="43" s="1"/>
  <c r="AT248" i="43"/>
  <c r="AQ431" i="43"/>
  <c r="AQ437" i="43" s="1"/>
  <c r="AR52" i="43"/>
  <c r="AR86" i="43"/>
  <c r="AT253" i="43"/>
  <c r="AP53" i="43"/>
  <c r="AP334" i="43"/>
  <c r="AG431" i="43"/>
  <c r="AG437" i="43" s="1"/>
  <c r="AE31" i="43"/>
  <c r="AG28" i="43"/>
  <c r="AS28" i="43" s="1"/>
  <c r="AT110" i="43"/>
  <c r="AY110" i="43" s="1"/>
  <c r="AR322" i="43"/>
  <c r="AP234" i="43"/>
  <c r="AR234" i="43" s="1"/>
  <c r="AT351" i="43"/>
  <c r="BK18" i="43"/>
  <c r="AR263" i="43"/>
  <c r="AR328" i="43"/>
  <c r="AY328" i="43" s="1"/>
  <c r="AG234" i="43"/>
  <c r="AG239" i="43" s="1"/>
  <c r="AS312" i="43"/>
  <c r="AO334" i="43"/>
  <c r="AG386" i="43"/>
  <c r="AG391" i="43" s="1"/>
  <c r="AT394" i="43"/>
  <c r="AO35" i="43"/>
  <c r="AG135" i="43"/>
  <c r="AG141" i="43" s="1"/>
  <c r="AO324" i="43"/>
  <c r="AG403" i="43"/>
  <c r="AT403" i="43" s="1"/>
  <c r="BK423" i="43"/>
  <c r="AQ127" i="43"/>
  <c r="AQ285" i="43"/>
  <c r="AP240" i="43"/>
  <c r="AP245" i="43" s="1"/>
  <c r="AP177" i="43"/>
  <c r="AP182" i="43" s="1"/>
  <c r="AG177" i="43"/>
  <c r="AG182" i="43" s="1"/>
  <c r="AS42" i="43"/>
  <c r="AG35" i="43"/>
  <c r="AP69" i="43"/>
  <c r="AP71" i="43" s="1"/>
  <c r="AR106" i="43"/>
  <c r="AG112" i="43"/>
  <c r="AG115" i="43" s="1"/>
  <c r="AR287" i="43"/>
  <c r="AG299" i="43"/>
  <c r="AG300" i="43" s="1"/>
  <c r="AR405" i="43"/>
  <c r="AR414" i="43"/>
  <c r="AS419" i="43"/>
  <c r="AS214" i="43"/>
  <c r="AQ60" i="43"/>
  <c r="BK182" i="43"/>
  <c r="AQ268" i="43"/>
  <c r="AG19" i="43"/>
  <c r="AG22" i="43" s="1"/>
  <c r="AG69" i="43"/>
  <c r="AG71" i="43" s="1"/>
  <c r="AR195" i="43"/>
  <c r="AT163" i="43"/>
  <c r="AS152" i="43"/>
  <c r="AG170" i="43"/>
  <c r="AG209" i="43"/>
  <c r="AG215" i="43" s="1"/>
  <c r="AO239" i="43"/>
  <c r="AO338" i="43"/>
  <c r="AR436" i="43"/>
  <c r="AP92" i="43"/>
  <c r="AO76" i="43"/>
  <c r="BK334" i="43"/>
  <c r="AO159" i="43"/>
  <c r="AR169" i="43"/>
  <c r="AO423" i="43"/>
  <c r="AF300" i="43"/>
  <c r="AO409" i="43"/>
  <c r="AR20" i="43"/>
  <c r="AR51" i="43"/>
  <c r="AO96" i="43"/>
  <c r="AG105" i="43"/>
  <c r="AG107" i="43" s="1"/>
  <c r="AR312" i="43"/>
  <c r="AR357" i="43"/>
  <c r="AY357" i="43" s="1"/>
  <c r="AT427" i="43"/>
  <c r="AY427" i="43" s="1"/>
  <c r="AT425" i="43"/>
  <c r="AQ43" i="43"/>
  <c r="AQ105" i="43"/>
  <c r="AQ107" i="43" s="1"/>
  <c r="AT108" i="43"/>
  <c r="AO153" i="43"/>
  <c r="BK202" i="43"/>
  <c r="BK221" i="43"/>
  <c r="BK278" i="43"/>
  <c r="AO444" i="43"/>
  <c r="AO458" i="43"/>
  <c r="AO115" i="43"/>
  <c r="BK395" i="43"/>
  <c r="AR161" i="43"/>
  <c r="AY161" i="43" s="1"/>
  <c r="AO27" i="43"/>
  <c r="AO122" i="43"/>
  <c r="AG153" i="43"/>
  <c r="AP65" i="43"/>
  <c r="AP68" i="43" s="1"/>
  <c r="AR302" i="43"/>
  <c r="AY302" i="43" s="1"/>
  <c r="AG301" i="43"/>
  <c r="AG307" i="43" s="1"/>
  <c r="AO268" i="43"/>
  <c r="AT304" i="43"/>
  <c r="AS336" i="43"/>
  <c r="AG72" i="43"/>
  <c r="AG76" i="43" s="1"/>
  <c r="BK111" i="43"/>
  <c r="BK258" i="43"/>
  <c r="AR83" i="43"/>
  <c r="BK104" i="43"/>
  <c r="BK84" i="43"/>
  <c r="AO64" i="43"/>
  <c r="AG85" i="43"/>
  <c r="AG88" i="43" s="1"/>
  <c r="BK107" i="43"/>
  <c r="AO314" i="43"/>
  <c r="AO330" i="43"/>
  <c r="AG27" i="43"/>
  <c r="AP19" i="43"/>
  <c r="AR19" i="43" s="1"/>
  <c r="AR54" i="43"/>
  <c r="AR56" i="43" s="1"/>
  <c r="AG65" i="43"/>
  <c r="AG68" i="43" s="1"/>
  <c r="AO264" i="43"/>
  <c r="AP85" i="43"/>
  <c r="AP88" i="43" s="1"/>
  <c r="AO170" i="43"/>
  <c r="AO233" i="43"/>
  <c r="AR266" i="43"/>
  <c r="AP301" i="43"/>
  <c r="AR301" i="43" s="1"/>
  <c r="AT257" i="43"/>
  <c r="AQ452" i="43"/>
  <c r="AQ458" i="43" s="1"/>
  <c r="BK50" i="43"/>
  <c r="AQ92" i="43"/>
  <c r="AQ112" i="43"/>
  <c r="AQ115" i="43" s="1"/>
  <c r="BK227" i="43"/>
  <c r="AP135" i="43"/>
  <c r="AP141" i="43" s="1"/>
  <c r="AR231" i="43"/>
  <c r="AY231" i="43" s="1"/>
  <c r="BK430" i="43"/>
  <c r="AQ64" i="43"/>
  <c r="BK153" i="43"/>
  <c r="BK233" i="43"/>
  <c r="AR130" i="43"/>
  <c r="BF199" i="29"/>
  <c r="AW199" i="29"/>
  <c r="AB199" i="29"/>
  <c r="AW103" i="30"/>
  <c r="AB103" i="30"/>
  <c r="AB77" i="31"/>
  <c r="AW297" i="32"/>
  <c r="N297" i="32"/>
  <c r="X77" i="31"/>
  <c r="Z103" i="30"/>
  <c r="AO227" i="43"/>
  <c r="AQ330" i="43"/>
  <c r="BK147" i="43"/>
  <c r="BK365" i="43"/>
  <c r="AR396" i="43"/>
  <c r="AP402" i="43"/>
  <c r="AQ31" i="43"/>
  <c r="BK71" i="43"/>
  <c r="BK416" i="43"/>
  <c r="AO372" i="43"/>
  <c r="AR14" i="43"/>
  <c r="AP18" i="43"/>
  <c r="AO104" i="43"/>
  <c r="AG53" i="43"/>
  <c r="AR89" i="43"/>
  <c r="AQ153" i="43"/>
  <c r="AY168" i="43"/>
  <c r="AQ182" i="43"/>
  <c r="AP274" i="43"/>
  <c r="AQ159" i="43"/>
  <c r="AQ189" i="43"/>
  <c r="AO274" i="43"/>
  <c r="AO298" i="43"/>
  <c r="AP409" i="43"/>
  <c r="AS400" i="43"/>
  <c r="AO18" i="43"/>
  <c r="AG44" i="43"/>
  <c r="AG47" i="43" s="1"/>
  <c r="AR23" i="43"/>
  <c r="AP27" i="43"/>
  <c r="AR57" i="43"/>
  <c r="AP60" i="43"/>
  <c r="AQ53" i="43"/>
  <c r="AP93" i="43"/>
  <c r="AR103" i="43"/>
  <c r="AR97" i="43"/>
  <c r="AP100" i="43"/>
  <c r="AQ176" i="43"/>
  <c r="AO202" i="43"/>
  <c r="AO215" i="43"/>
  <c r="AP115" i="43"/>
  <c r="AO182" i="43"/>
  <c r="AP286" i="43"/>
  <c r="AS130" i="43"/>
  <c r="AP189" i="43"/>
  <c r="AR218" i="43"/>
  <c r="AG251" i="43"/>
  <c r="AQ251" i="43"/>
  <c r="AO189" i="43"/>
  <c r="AG216" i="43"/>
  <c r="AG221" i="43" s="1"/>
  <c r="AP315" i="43"/>
  <c r="AP327" i="43"/>
  <c r="AR346" i="43"/>
  <c r="AY346" i="43" s="1"/>
  <c r="AQ334" i="43"/>
  <c r="AO416" i="43"/>
  <c r="AO451" i="43"/>
  <c r="AQ353" i="43"/>
  <c r="AR229" i="43"/>
  <c r="AR401" i="43"/>
  <c r="AO395" i="43"/>
  <c r="AT87" i="43"/>
  <c r="BK307" i="43"/>
  <c r="AT344" i="43"/>
  <c r="AG452" i="43"/>
  <c r="AG458" i="43" s="1"/>
  <c r="AR407" i="43"/>
  <c r="AQ27" i="43"/>
  <c r="BK53" i="43"/>
  <c r="AP31" i="43"/>
  <c r="AR42" i="43"/>
  <c r="BK176" i="43"/>
  <c r="BK196" i="43"/>
  <c r="BK122" i="43"/>
  <c r="BK402" i="43"/>
  <c r="AQ290" i="43"/>
  <c r="AP216" i="43"/>
  <c r="AO365" i="43"/>
  <c r="AO376" i="43"/>
  <c r="BK391" i="43"/>
  <c r="AS366" i="43"/>
  <c r="AG372" i="43"/>
  <c r="AQ68" i="43"/>
  <c r="AQ96" i="43"/>
  <c r="AQ190" i="43"/>
  <c r="AQ196" i="43" s="1"/>
  <c r="AF196" i="43"/>
  <c r="BK385" i="43"/>
  <c r="AQ119" i="43"/>
  <c r="AQ122" i="43" s="1"/>
  <c r="AF122" i="43"/>
  <c r="AP148" i="43"/>
  <c r="AP153" i="43" s="1"/>
  <c r="AE153" i="43"/>
  <c r="BK330" i="43"/>
  <c r="AQ47" i="43"/>
  <c r="AQ69" i="43"/>
  <c r="AQ71" i="43" s="1"/>
  <c r="AF71" i="43"/>
  <c r="BK141" i="43"/>
  <c r="BK47" i="43"/>
  <c r="AO84" i="43"/>
  <c r="AQ135" i="43"/>
  <c r="AQ141" i="43" s="1"/>
  <c r="AF141" i="43"/>
  <c r="BK164" i="43"/>
  <c r="AQ376" i="43"/>
  <c r="AP465" i="43"/>
  <c r="AQ372" i="43"/>
  <c r="AR16" i="43"/>
  <c r="AP44" i="43"/>
  <c r="AO80" i="43"/>
  <c r="AG60" i="43"/>
  <c r="AO100" i="43"/>
  <c r="AG56" i="43"/>
  <c r="AQ80" i="43"/>
  <c r="AO107" i="43"/>
  <c r="AO176" i="43"/>
  <c r="AR173" i="43"/>
  <c r="AY173" i="43" s="1"/>
  <c r="AR224" i="43"/>
  <c r="AR273" i="43"/>
  <c r="AQ170" i="43"/>
  <c r="AP170" i="43"/>
  <c r="AG189" i="43"/>
  <c r="AR248" i="43"/>
  <c r="AP338" i="43"/>
  <c r="AR349" i="43"/>
  <c r="AT270" i="43"/>
  <c r="AY270" i="43" s="1"/>
  <c r="AO258" i="43"/>
  <c r="AO285" i="43"/>
  <c r="AO290" i="43"/>
  <c r="AT333" i="43"/>
  <c r="AQ360" i="43"/>
  <c r="AQ233" i="43"/>
  <c r="AG240" i="43"/>
  <c r="AG245" i="43" s="1"/>
  <c r="AO430" i="43"/>
  <c r="AO437" i="43"/>
  <c r="AR373" i="43"/>
  <c r="AG451" i="43"/>
  <c r="AQ424" i="43"/>
  <c r="AQ430" i="43" s="1"/>
  <c r="AP386" i="43"/>
  <c r="AP423" i="43"/>
  <c r="AR32" i="43"/>
  <c r="AQ35" i="43"/>
  <c r="BK64" i="43"/>
  <c r="AO71" i="43"/>
  <c r="BK215" i="43"/>
  <c r="AR175" i="43"/>
  <c r="AO134" i="43"/>
  <c r="AG286" i="43"/>
  <c r="AR434" i="43"/>
  <c r="AQ100" i="43"/>
  <c r="BK80" i="43"/>
  <c r="BK96" i="43"/>
  <c r="BK60" i="43"/>
  <c r="AP84" i="43"/>
  <c r="AO39" i="43"/>
  <c r="AQ81" i="43"/>
  <c r="AF84" i="43"/>
  <c r="AO221" i="43"/>
  <c r="BK290" i="43"/>
  <c r="BK347" i="43"/>
  <c r="AF365" i="43"/>
  <c r="AQ361" i="43"/>
  <c r="AQ365" i="43" s="1"/>
  <c r="AQ216" i="43"/>
  <c r="AQ221" i="43" s="1"/>
  <c r="AF221" i="43"/>
  <c r="AP154" i="43"/>
  <c r="AP159" i="43" s="1"/>
  <c r="AE159" i="43"/>
  <c r="AQ324" i="43"/>
  <c r="AG396" i="43"/>
  <c r="AE402" i="43"/>
  <c r="BK127" i="43"/>
  <c r="AQ315" i="43"/>
  <c r="AQ318" i="43" s="1"/>
  <c r="AF318" i="43"/>
  <c r="AQ379" i="43"/>
  <c r="AQ385" i="43" s="1"/>
  <c r="AF385" i="43"/>
  <c r="AO164" i="43"/>
  <c r="AG308" i="43"/>
  <c r="AF314" i="43"/>
  <c r="AQ308" i="43"/>
  <c r="AQ314" i="43" s="1"/>
  <c r="BK444" i="43"/>
  <c r="AQ403" i="43"/>
  <c r="AQ409" i="43" s="1"/>
  <c r="AF409" i="43"/>
  <c r="AP314" i="43"/>
  <c r="AQ245" i="43"/>
  <c r="AQ56" i="43"/>
  <c r="AR123" i="43"/>
  <c r="AP127" i="43"/>
  <c r="AO402" i="43"/>
  <c r="AQ227" i="43"/>
  <c r="AF423" i="43"/>
  <c r="AQ417" i="43"/>
  <c r="AQ423" i="43" s="1"/>
  <c r="AO118" i="43"/>
  <c r="AP259" i="43"/>
  <c r="AE260" i="43"/>
  <c r="BK437" i="43"/>
  <c r="BK170" i="43"/>
  <c r="BK285" i="43"/>
  <c r="AQ101" i="43"/>
  <c r="AQ104" i="43" s="1"/>
  <c r="AF104" i="43"/>
  <c r="BK245" i="43"/>
  <c r="AG331" i="43"/>
  <c r="AE334" i="43"/>
  <c r="AE437" i="43"/>
  <c r="AP431" i="43"/>
  <c r="AP437" i="43" s="1"/>
  <c r="AG417" i="43"/>
  <c r="AG147" i="43"/>
  <c r="AO88" i="43"/>
  <c r="AO22" i="43"/>
  <c r="AO92" i="43"/>
  <c r="AG50" i="43"/>
  <c r="AP104" i="43"/>
  <c r="AP105" i="43"/>
  <c r="AG127" i="43"/>
  <c r="AP111" i="43"/>
  <c r="AO208" i="43"/>
  <c r="AP291" i="43"/>
  <c r="AR310" i="43"/>
  <c r="AG116" i="43"/>
  <c r="AG118" i="43" s="1"/>
  <c r="AG291" i="43"/>
  <c r="AG298" i="43" s="1"/>
  <c r="AR339" i="43"/>
  <c r="AP347" i="43"/>
  <c r="AT292" i="43"/>
  <c r="AR223" i="43"/>
  <c r="AS142" i="43"/>
  <c r="AR203" i="43"/>
  <c r="AP208" i="43"/>
  <c r="AR186" i="43"/>
  <c r="AT337" i="43"/>
  <c r="AT247" i="43"/>
  <c r="AT343" i="43"/>
  <c r="AO391" i="43"/>
  <c r="AP361" i="43"/>
  <c r="AP379" i="43"/>
  <c r="AP430" i="43"/>
  <c r="AP459" i="43"/>
  <c r="AP461" i="43" s="1"/>
  <c r="AP458" i="43"/>
  <c r="AR406" i="43"/>
  <c r="AQ39" i="43"/>
  <c r="BK76" i="43"/>
  <c r="AO147" i="43"/>
  <c r="BK251" i="43"/>
  <c r="AR36" i="43"/>
  <c r="AR39" i="43" s="1"/>
  <c r="AP39" i="43"/>
  <c r="AO360" i="43"/>
  <c r="AO353" i="43"/>
  <c r="BK372" i="43"/>
  <c r="AP160" i="43"/>
  <c r="AE164" i="43"/>
  <c r="BK324" i="43"/>
  <c r="AO111" i="43"/>
  <c r="BK360" i="43"/>
  <c r="BK115" i="43"/>
  <c r="AG128" i="43"/>
  <c r="AE134" i="43"/>
  <c r="AP128" i="43"/>
  <c r="AP134" i="43" s="1"/>
  <c r="AQ197" i="43"/>
  <c r="AQ202" i="43" s="1"/>
  <c r="AF202" i="43"/>
  <c r="AQ261" i="43"/>
  <c r="AQ264" i="43" s="1"/>
  <c r="AF264" i="43"/>
  <c r="AQ392" i="43"/>
  <c r="AF395" i="43"/>
  <c r="AG335" i="43"/>
  <c r="AE338" i="43"/>
  <c r="AO465" i="43"/>
  <c r="AQ391" i="43"/>
  <c r="AO127" i="43"/>
  <c r="BK318" i="43"/>
  <c r="AO385" i="43"/>
  <c r="AQ85" i="43"/>
  <c r="AQ88" i="43" s="1"/>
  <c r="AF88" i="43"/>
  <c r="AQ307" i="43"/>
  <c r="AG18" i="43"/>
  <c r="AG40" i="43"/>
  <c r="AG43" i="43" s="1"/>
  <c r="AR15" i="43"/>
  <c r="AR21" i="43"/>
  <c r="AR48" i="43"/>
  <c r="AQ50" i="43"/>
  <c r="AR28" i="43"/>
  <c r="AG101" i="43"/>
  <c r="AG104" i="43" s="1"/>
  <c r="AP285" i="43"/>
  <c r="AO245" i="43"/>
  <c r="AQ116" i="43"/>
  <c r="AQ118" i="43" s="1"/>
  <c r="AG159" i="43"/>
  <c r="AP209" i="43"/>
  <c r="AR329" i="43"/>
  <c r="AR341" i="43"/>
  <c r="AR213" i="43"/>
  <c r="AT280" i="43"/>
  <c r="AT142" i="43"/>
  <c r="AP251" i="43"/>
  <c r="AO278" i="43"/>
  <c r="AR311" i="43"/>
  <c r="AP354" i="43"/>
  <c r="AR363" i="43"/>
  <c r="AR366" i="43"/>
  <c r="AP372" i="43"/>
  <c r="AG361" i="43"/>
  <c r="AG365" i="43" s="1"/>
  <c r="AG379" i="43"/>
  <c r="AG385" i="43" s="1"/>
  <c r="AG410" i="43"/>
  <c r="AG416" i="43" s="1"/>
  <c r="AG459" i="43"/>
  <c r="AG461" i="43" s="1"/>
  <c r="AQ22" i="43"/>
  <c r="AS81" i="43"/>
  <c r="AG84" i="43"/>
  <c r="AO43" i="43"/>
  <c r="AO196" i="43"/>
  <c r="AG39" i="43"/>
  <c r="BK189" i="43"/>
  <c r="BK208" i="43"/>
  <c r="AP410" i="43"/>
  <c r="AP416" i="43" s="1"/>
  <c r="AO68" i="43"/>
  <c r="AG111" i="43"/>
  <c r="BK22" i="43"/>
  <c r="BK264" i="43"/>
  <c r="AQ325" i="43"/>
  <c r="AQ326" i="43" s="1"/>
  <c r="AF326" i="43"/>
  <c r="BK376" i="43"/>
  <c r="AQ147" i="43"/>
  <c r="AO307" i="43"/>
  <c r="BK314" i="43"/>
  <c r="BK409" i="43"/>
  <c r="BK274" i="43"/>
  <c r="AO347" i="43"/>
  <c r="AQ108" i="43"/>
  <c r="AQ111" i="43" s="1"/>
  <c r="AF111" i="43"/>
  <c r="BK159" i="43"/>
  <c r="AQ438" i="43"/>
  <c r="AQ444" i="43" s="1"/>
  <c r="AF444" i="43"/>
  <c r="AQ451" i="43"/>
  <c r="AP147" i="43"/>
  <c r="AG354" i="43"/>
  <c r="AQ402" i="43"/>
  <c r="AR20" i="44"/>
  <c r="AP28" i="44"/>
  <c r="AQ19" i="44"/>
  <c r="AY87" i="44"/>
  <c r="BK49" i="44"/>
  <c r="AY27" i="44"/>
  <c r="AR23" i="44"/>
  <c r="AR25" i="44"/>
  <c r="AR83" i="44"/>
  <c r="AP19" i="44"/>
  <c r="BK102" i="44"/>
  <c r="AP56" i="44"/>
  <c r="AO70" i="44"/>
  <c r="BK56" i="44"/>
  <c r="AP71" i="44"/>
  <c r="AE77" i="44"/>
  <c r="BK128" i="44"/>
  <c r="AQ28" i="44"/>
  <c r="AR12" i="44"/>
  <c r="AR13" i="44" s="1"/>
  <c r="AP13" i="44"/>
  <c r="AG92" i="44"/>
  <c r="AP103" i="44"/>
  <c r="AE104" i="44"/>
  <c r="AT97" i="44"/>
  <c r="BK77" i="44"/>
  <c r="AG28" i="44"/>
  <c r="AY41" i="44"/>
  <c r="AQ49" i="44"/>
  <c r="AO98" i="44"/>
  <c r="AT78" i="44"/>
  <c r="AG84" i="44"/>
  <c r="AQ42" i="44"/>
  <c r="AQ84" i="44"/>
  <c r="AO84" i="44"/>
  <c r="AO128" i="44"/>
  <c r="AG56" i="44"/>
  <c r="AO77" i="44"/>
  <c r="BK98" i="44"/>
  <c r="AP43" i="44"/>
  <c r="AP49" i="44" s="1"/>
  <c r="AE49" i="44"/>
  <c r="AQ103" i="44"/>
  <c r="AQ104" i="44" s="1"/>
  <c r="AF104" i="44"/>
  <c r="AQ110" i="44"/>
  <c r="AP64" i="44"/>
  <c r="AE70" i="44"/>
  <c r="BK28" i="44"/>
  <c r="AR93" i="44"/>
  <c r="AP98" i="44"/>
  <c r="AG35" i="44"/>
  <c r="AO88" i="44"/>
  <c r="AR50" i="44"/>
  <c r="AQ56" i="44"/>
  <c r="AO110" i="44"/>
  <c r="AQ77" i="44"/>
  <c r="AO63" i="44"/>
  <c r="AO121" i="44"/>
  <c r="AO42" i="44"/>
  <c r="AP105" i="44"/>
  <c r="AE110" i="44"/>
  <c r="AP113" i="44"/>
  <c r="AE121" i="44"/>
  <c r="AQ98" i="44"/>
  <c r="AQ121" i="44"/>
  <c r="AP99" i="44"/>
  <c r="AE102" i="44"/>
  <c r="AO92" i="44"/>
  <c r="AR91" i="44"/>
  <c r="AY90" i="44"/>
  <c r="AR78" i="44"/>
  <c r="AP84" i="44"/>
  <c r="AR57" i="44"/>
  <c r="AP63" i="44"/>
  <c r="AG98" i="44"/>
  <c r="AY33" i="44"/>
  <c r="AG42" i="44"/>
  <c r="AR29" i="44"/>
  <c r="AQ35" i="44"/>
  <c r="BK42" i="44"/>
  <c r="AG99" i="44"/>
  <c r="BK110" i="44"/>
  <c r="AQ112" i="44"/>
  <c r="BK70" i="44"/>
  <c r="AP36" i="44"/>
  <c r="AP42" i="44" s="1"/>
  <c r="AE42" i="44"/>
  <c r="AP111" i="44"/>
  <c r="AP112" i="44" s="1"/>
  <c r="AE112" i="44"/>
  <c r="BK92" i="44"/>
  <c r="AO35" i="44"/>
  <c r="BK121" i="44"/>
  <c r="AQ92" i="44"/>
  <c r="AO138" i="29"/>
  <c r="AF155" i="29"/>
  <c r="AQ149" i="29"/>
  <c r="AQ155" i="29" s="1"/>
  <c r="AP185" i="29"/>
  <c r="AR167" i="29"/>
  <c r="AQ159" i="29"/>
  <c r="AG141" i="29"/>
  <c r="AG148" i="29" s="1"/>
  <c r="AO71" i="29"/>
  <c r="AO84" i="29"/>
  <c r="AP48" i="29"/>
  <c r="AP37" i="29"/>
  <c r="AG67" i="29"/>
  <c r="AS19" i="29"/>
  <c r="AY19" i="29" s="1"/>
  <c r="AP32" i="29"/>
  <c r="AG72" i="29"/>
  <c r="AE75" i="29"/>
  <c r="AO63" i="29"/>
  <c r="BK138" i="29"/>
  <c r="AO108" i="29"/>
  <c r="BK67" i="29"/>
  <c r="AQ60" i="29"/>
  <c r="AQ63" i="29" s="1"/>
  <c r="AF63" i="29"/>
  <c r="BK36" i="29"/>
  <c r="AP53" i="29"/>
  <c r="AP56" i="29" s="1"/>
  <c r="AE56" i="29"/>
  <c r="BK195" i="29"/>
  <c r="BK164" i="29"/>
  <c r="AO126" i="29"/>
  <c r="AQ57" i="29"/>
  <c r="AQ59" i="29" s="1"/>
  <c r="AF59" i="29"/>
  <c r="BK21" i="29"/>
  <c r="AQ90" i="29"/>
  <c r="AP179" i="29"/>
  <c r="AR76" i="29"/>
  <c r="AP79" i="29"/>
  <c r="AP96" i="29"/>
  <c r="AQ102" i="29"/>
  <c r="AQ160" i="29"/>
  <c r="AQ164" i="29" s="1"/>
  <c r="AF164" i="29"/>
  <c r="AQ91" i="29"/>
  <c r="AQ96" i="29" s="1"/>
  <c r="AF96" i="29"/>
  <c r="BP26" i="29"/>
  <c r="BV86" i="29"/>
  <c r="AG185" i="29"/>
  <c r="AR165" i="29"/>
  <c r="AP168" i="29"/>
  <c r="AR144" i="29"/>
  <c r="AP175" i="29"/>
  <c r="AY161" i="29"/>
  <c r="AQ121" i="29"/>
  <c r="AR85" i="29"/>
  <c r="AP90" i="29"/>
  <c r="AP67" i="29"/>
  <c r="AR97" i="29"/>
  <c r="AP102" i="29"/>
  <c r="AP75" i="29"/>
  <c r="AS27" i="29"/>
  <c r="BS27" i="29" s="1"/>
  <c r="AG149" i="29"/>
  <c r="AO90" i="29"/>
  <c r="AO192" i="29"/>
  <c r="BK148" i="29"/>
  <c r="BK108" i="29"/>
  <c r="BK56" i="29"/>
  <c r="AQ109" i="29"/>
  <c r="AQ114" i="29" s="1"/>
  <c r="AF114" i="29"/>
  <c r="AO21" i="29"/>
  <c r="AQ108" i="29"/>
  <c r="AP25" i="29"/>
  <c r="AQ29" i="29"/>
  <c r="BK29" i="29"/>
  <c r="BK32" i="29"/>
  <c r="AO155" i="29"/>
  <c r="AQ12" i="29"/>
  <c r="AQ13" i="29" s="1"/>
  <c r="AF13" i="29"/>
  <c r="AQ185" i="29"/>
  <c r="AP141" i="29"/>
  <c r="AP148" i="29" s="1"/>
  <c r="AP155" i="29"/>
  <c r="AP109" i="29"/>
  <c r="AO79" i="29"/>
  <c r="AO52" i="29"/>
  <c r="AG33" i="29"/>
  <c r="AG36" i="29" s="1"/>
  <c r="AG90" i="29"/>
  <c r="AG102" i="29"/>
  <c r="AS24" i="29"/>
  <c r="BK114" i="29"/>
  <c r="AO175" i="29"/>
  <c r="AQ64" i="29"/>
  <c r="AQ67" i="29" s="1"/>
  <c r="AF67" i="29"/>
  <c r="AO75" i="29"/>
  <c r="AQ79" i="29"/>
  <c r="AQ33" i="29"/>
  <c r="AQ36" i="29" s="1"/>
  <c r="AF36" i="29"/>
  <c r="AO114" i="29"/>
  <c r="AG160" i="29"/>
  <c r="AE164" i="29"/>
  <c r="AO102" i="29"/>
  <c r="BK155" i="29"/>
  <c r="AQ45" i="29"/>
  <c r="AQ48" i="29" s="1"/>
  <c r="AF48" i="29"/>
  <c r="AP63" i="29"/>
  <c r="AP121" i="29"/>
  <c r="AP126" i="29" s="1"/>
  <c r="AE126" i="29"/>
  <c r="BO121" i="29"/>
  <c r="T199" i="29"/>
  <c r="AP164" i="29"/>
  <c r="AP159" i="29"/>
  <c r="AQ168" i="29"/>
  <c r="AO132" i="29"/>
  <c r="AS131" i="29"/>
  <c r="AY131" i="29" s="1"/>
  <c r="AG109" i="29"/>
  <c r="AG114" i="29" s="1"/>
  <c r="AP84" i="29"/>
  <c r="AQ52" i="29"/>
  <c r="AP44" i="29"/>
  <c r="AP33" i="29"/>
  <c r="AR26" i="29"/>
  <c r="AP29" i="29"/>
  <c r="AT60" i="29"/>
  <c r="AG63" i="29"/>
  <c r="AO148" i="29"/>
  <c r="BK179" i="29"/>
  <c r="BK168" i="29"/>
  <c r="BK63" i="29"/>
  <c r="BK132" i="29"/>
  <c r="AG26" i="29"/>
  <c r="AE29" i="29"/>
  <c r="AP68" i="29"/>
  <c r="AE71" i="29"/>
  <c r="AQ30" i="29"/>
  <c r="AQ32" i="29" s="1"/>
  <c r="AF32" i="29"/>
  <c r="AQ176" i="29"/>
  <c r="AQ179" i="29" s="1"/>
  <c r="AF179" i="29"/>
  <c r="BO176" i="29"/>
  <c r="AP192" i="29"/>
  <c r="AR117" i="29"/>
  <c r="AS65" i="29"/>
  <c r="AR47" i="29"/>
  <c r="AP138" i="29"/>
  <c r="AY23" i="29"/>
  <c r="BK192" i="29"/>
  <c r="AO164" i="29"/>
  <c r="AR22" i="29"/>
  <c r="AR27" i="29"/>
  <c r="BK185" i="29"/>
  <c r="AG76" i="29"/>
  <c r="AE79" i="29"/>
  <c r="BK102" i="29"/>
  <c r="AG22" i="29"/>
  <c r="AE25" i="29"/>
  <c r="BK25" i="29"/>
  <c r="AO159" i="29"/>
  <c r="AO36" i="29"/>
  <c r="AG165" i="29"/>
  <c r="AF168" i="29"/>
  <c r="AQ72" i="29"/>
  <c r="AQ75" i="29" s="1"/>
  <c r="AF75" i="29"/>
  <c r="AG30" i="29"/>
  <c r="AO28" i="30"/>
  <c r="AP81" i="30"/>
  <c r="AR98" i="30"/>
  <c r="AT39" i="30"/>
  <c r="AR31" i="30"/>
  <c r="AP37" i="30"/>
  <c r="BK85" i="30"/>
  <c r="BK61" i="30"/>
  <c r="BK28" i="30"/>
  <c r="BK48" i="30"/>
  <c r="AQ55" i="30"/>
  <c r="AQ61" i="30" s="1"/>
  <c r="AF61" i="30"/>
  <c r="AQ93" i="30"/>
  <c r="AQ99" i="30" s="1"/>
  <c r="AF99" i="30"/>
  <c r="AQ72" i="30"/>
  <c r="AQ75" i="30" s="1"/>
  <c r="AF75" i="30"/>
  <c r="AQ16" i="30"/>
  <c r="AQ17" i="30" s="1"/>
  <c r="AF17" i="30"/>
  <c r="AF105" i="30"/>
  <c r="BX85" i="30"/>
  <c r="AO99" i="30"/>
  <c r="AG48" i="30"/>
  <c r="BV72" i="30"/>
  <c r="BK75" i="30"/>
  <c r="BP55" i="30"/>
  <c r="AO61" i="30"/>
  <c r="AO23" i="30"/>
  <c r="BK92" i="30"/>
  <c r="AQ49" i="30"/>
  <c r="AQ54" i="30" s="1"/>
  <c r="AF54" i="30"/>
  <c r="AQ24" i="30"/>
  <c r="AQ28" i="30" s="1"/>
  <c r="AF28" i="30"/>
  <c r="AO92" i="30"/>
  <c r="AQ71" i="30"/>
  <c r="BK15" i="30"/>
  <c r="BK81" i="30"/>
  <c r="AO44" i="30"/>
  <c r="AO75" i="30"/>
  <c r="AQ76" i="30"/>
  <c r="AQ81" i="30" s="1"/>
  <c r="AF81" i="30"/>
  <c r="AP93" i="30"/>
  <c r="AR72" i="30"/>
  <c r="AP75" i="30"/>
  <c r="AP62" i="30"/>
  <c r="AG61" i="30"/>
  <c r="AG28" i="30"/>
  <c r="BK54" i="30"/>
  <c r="AO54" i="30"/>
  <c r="BK65" i="30"/>
  <c r="BK44" i="30"/>
  <c r="AQ45" i="30"/>
  <c r="AQ48" i="30" s="1"/>
  <c r="AF48" i="30"/>
  <c r="AQ82" i="30"/>
  <c r="AQ85" i="30" s="1"/>
  <c r="AF85" i="30"/>
  <c r="CB103" i="30"/>
  <c r="CH103" i="30"/>
  <c r="L103" i="30"/>
  <c r="CA103" i="30"/>
  <c r="AG15" i="30"/>
  <c r="AG93" i="30"/>
  <c r="AG99" i="30" s="1"/>
  <c r="AG62" i="30"/>
  <c r="AG65" i="30" s="1"/>
  <c r="AP29" i="30"/>
  <c r="AP30" i="30" s="1"/>
  <c r="AO81" i="30"/>
  <c r="AO65" i="30"/>
  <c r="AO85" i="30"/>
  <c r="AP44" i="30"/>
  <c r="AQ15" i="30"/>
  <c r="AO37" i="30"/>
  <c r="AQ62" i="30"/>
  <c r="AQ65" i="30" s="1"/>
  <c r="AF65" i="30"/>
  <c r="AQ18" i="30"/>
  <c r="AQ23" i="30" s="1"/>
  <c r="AF23" i="30"/>
  <c r="AR41" i="31"/>
  <c r="AR43" i="31" s="1"/>
  <c r="AP43" i="31"/>
  <c r="AR16" i="31"/>
  <c r="AP19" i="31"/>
  <c r="CA77" i="31"/>
  <c r="CG77" i="31"/>
  <c r="AV77" i="31"/>
  <c r="BZ77" i="31"/>
  <c r="CH77" i="31"/>
  <c r="AR68" i="31"/>
  <c r="AP73" i="31"/>
  <c r="AG57" i="31"/>
  <c r="AG43" i="31"/>
  <c r="AR44" i="31"/>
  <c r="AR48" i="31" s="1"/>
  <c r="AP48" i="31"/>
  <c r="AR33" i="31"/>
  <c r="AP38" i="31"/>
  <c r="AG23" i="31"/>
  <c r="AG19" i="31"/>
  <c r="BP58" i="31"/>
  <c r="AO64" i="31"/>
  <c r="BK48" i="31"/>
  <c r="AO48" i="31"/>
  <c r="AR24" i="31"/>
  <c r="AR25" i="31" s="1"/>
  <c r="AP25" i="31"/>
  <c r="CB77" i="31"/>
  <c r="AR53" i="31"/>
  <c r="AP57" i="31"/>
  <c r="AG48" i="31"/>
  <c r="AG38" i="31"/>
  <c r="AR17" i="31"/>
  <c r="BK38" i="31"/>
  <c r="AR20" i="31"/>
  <c r="AR23" i="31" s="1"/>
  <c r="AP23" i="31"/>
  <c r="AP64" i="31"/>
  <c r="AP67" i="31"/>
  <c r="AR51" i="31"/>
  <c r="AR29" i="31"/>
  <c r="AQ73" i="31"/>
  <c r="BK64" i="31"/>
  <c r="CJ77" i="31"/>
  <c r="AR12" i="31"/>
  <c r="AP15" i="31"/>
  <c r="AR49" i="31"/>
  <c r="AP52" i="31"/>
  <c r="AP32" i="31"/>
  <c r="BK73" i="31"/>
  <c r="CD77" i="31"/>
  <c r="AG73" i="31"/>
  <c r="AR37" i="31"/>
  <c r="AG64" i="31"/>
  <c r="AR39" i="31"/>
  <c r="AR40" i="31" s="1"/>
  <c r="AP40" i="31"/>
  <c r="AQ52" i="31"/>
  <c r="AP137" i="32"/>
  <c r="AO144" i="32"/>
  <c r="AQ145" i="32"/>
  <c r="AQ146" i="32" s="1"/>
  <c r="AF146" i="32"/>
  <c r="AQ235" i="32"/>
  <c r="AQ238" i="32" s="1"/>
  <c r="AF238" i="32"/>
  <c r="AR248" i="32"/>
  <c r="AO249" i="32"/>
  <c r="AQ220" i="32"/>
  <c r="AG200" i="32"/>
  <c r="AG205" i="32" s="1"/>
  <c r="AY176" i="32"/>
  <c r="AP90" i="32"/>
  <c r="AR40" i="32"/>
  <c r="AR43" i="32" s="1"/>
  <c r="AP43" i="32"/>
  <c r="AR115" i="32"/>
  <c r="AR48" i="32"/>
  <c r="AR72" i="32"/>
  <c r="AP77" i="32"/>
  <c r="AP220" i="32"/>
  <c r="AG178" i="32"/>
  <c r="AO35" i="32"/>
  <c r="AQ27" i="32"/>
  <c r="AS85" i="32"/>
  <c r="AG90" i="32"/>
  <c r="BK22" i="32"/>
  <c r="BK277" i="32"/>
  <c r="AP215" i="32"/>
  <c r="AP216" i="32" s="1"/>
  <c r="AE216" i="32"/>
  <c r="AP179" i="32"/>
  <c r="AP182" i="32" s="1"/>
  <c r="AE182" i="32"/>
  <c r="AO113" i="32"/>
  <c r="AQ46" i="32"/>
  <c r="AQ52" i="32" s="1"/>
  <c r="AF52" i="32"/>
  <c r="AQ18" i="32"/>
  <c r="AQ22" i="32" s="1"/>
  <c r="AF22" i="32"/>
  <c r="AG196" i="32"/>
  <c r="AF199" i="32"/>
  <c r="AP147" i="32"/>
  <c r="AE150" i="32"/>
  <c r="AQ91" i="32"/>
  <c r="AQ96" i="32" s="1"/>
  <c r="AF96" i="32"/>
  <c r="BK43" i="32"/>
  <c r="AO277" i="32"/>
  <c r="BK234" i="32"/>
  <c r="AQ183" i="32"/>
  <c r="AQ188" i="32" s="1"/>
  <c r="AF188" i="32"/>
  <c r="BK199" i="32"/>
  <c r="AP183" i="32"/>
  <c r="AE188" i="32"/>
  <c r="AQ158" i="32"/>
  <c r="AQ164" i="32" s="1"/>
  <c r="AF164" i="32"/>
  <c r="AO84" i="32"/>
  <c r="AQ66" i="32"/>
  <c r="AQ71" i="32" s="1"/>
  <c r="AF71" i="32"/>
  <c r="AG28" i="32"/>
  <c r="AE31" i="32"/>
  <c r="AQ278" i="32"/>
  <c r="AQ284" i="32" s="1"/>
  <c r="AF284" i="32"/>
  <c r="AQ114" i="32"/>
  <c r="AQ120" i="32" s="1"/>
  <c r="AF120" i="32"/>
  <c r="BK90" i="32"/>
  <c r="AG36" i="32"/>
  <c r="AE39" i="32"/>
  <c r="BK205" i="32"/>
  <c r="AO107" i="32"/>
  <c r="AO234" i="32"/>
  <c r="BK65" i="32"/>
  <c r="BK27" i="32"/>
  <c r="AQ195" i="32"/>
  <c r="AG124" i="32"/>
  <c r="BP23" i="32"/>
  <c r="BW303" i="32"/>
  <c r="BU113" i="32"/>
  <c r="BP114" i="32"/>
  <c r="BP138" i="32"/>
  <c r="AP291" i="32"/>
  <c r="AP271" i="32"/>
  <c r="AP277" i="32" s="1"/>
  <c r="AR223" i="32"/>
  <c r="AQ216" i="32"/>
  <c r="AG188" i="32"/>
  <c r="AT222" i="32"/>
  <c r="AY222" i="32" s="1"/>
  <c r="AR202" i="32"/>
  <c r="AO164" i="32"/>
  <c r="AY82" i="32"/>
  <c r="AS194" i="32"/>
  <c r="BS194" i="32" s="1"/>
  <c r="AQ107" i="32"/>
  <c r="AR68" i="32"/>
  <c r="AP31" i="32"/>
  <c r="AR36" i="32"/>
  <c r="AP39" i="32"/>
  <c r="AQ239" i="32"/>
  <c r="AQ245" i="32" s="1"/>
  <c r="AQ77" i="32"/>
  <c r="AO90" i="32"/>
  <c r="AO77" i="32"/>
  <c r="AQ147" i="32"/>
  <c r="AQ150" i="32" s="1"/>
  <c r="AF150" i="32"/>
  <c r="AO58" i="32"/>
  <c r="BK182" i="32"/>
  <c r="AP165" i="32"/>
  <c r="AE171" i="32"/>
  <c r="BK52" i="32"/>
  <c r="BK17" i="32"/>
  <c r="AO220" i="32"/>
  <c r="AP151" i="32"/>
  <c r="AE157" i="32"/>
  <c r="BK144" i="32"/>
  <c r="AO270" i="32"/>
  <c r="AG250" i="32"/>
  <c r="AF256" i="32"/>
  <c r="BK130" i="32"/>
  <c r="BK113" i="32"/>
  <c r="BK107" i="32"/>
  <c r="BK291" i="32"/>
  <c r="AO171" i="32"/>
  <c r="BK220" i="32"/>
  <c r="AG77" i="32"/>
  <c r="AG96" i="32"/>
  <c r="AG131" i="32"/>
  <c r="AE137" i="32"/>
  <c r="AQ59" i="32"/>
  <c r="AQ65" i="32" s="1"/>
  <c r="AF65" i="32"/>
  <c r="AQ138" i="32"/>
  <c r="AQ144" i="32" s="1"/>
  <c r="AF144" i="32"/>
  <c r="BN264" i="32"/>
  <c r="AR260" i="32"/>
  <c r="AG271" i="32"/>
  <c r="AG277" i="32" s="1"/>
  <c r="AP238" i="32"/>
  <c r="AG195" i="32"/>
  <c r="AT224" i="32"/>
  <c r="AP107" i="32"/>
  <c r="AY26" i="32"/>
  <c r="AP45" i="32"/>
  <c r="AR132" i="32"/>
  <c r="AG78" i="32"/>
  <c r="AG84" i="32" s="1"/>
  <c r="AQ17" i="32"/>
  <c r="AO188" i="32"/>
  <c r="AQ151" i="32"/>
  <c r="AQ157" i="32" s="1"/>
  <c r="AF157" i="32"/>
  <c r="AQ110" i="32"/>
  <c r="AQ113" i="32" s="1"/>
  <c r="AF113" i="32"/>
  <c r="AP228" i="32"/>
  <c r="AE234" i="32"/>
  <c r="AO178" i="32"/>
  <c r="AQ125" i="32"/>
  <c r="AQ130" i="32" s="1"/>
  <c r="AF130" i="32"/>
  <c r="AQ285" i="32"/>
  <c r="AQ291" i="32" s="1"/>
  <c r="AF291" i="32"/>
  <c r="BK157" i="32"/>
  <c r="BK263" i="32"/>
  <c r="AP206" i="32"/>
  <c r="AP214" i="32" s="1"/>
  <c r="AE214" i="32"/>
  <c r="BK35" i="32"/>
  <c r="AQ12" i="32"/>
  <c r="AQ13" i="32" s="1"/>
  <c r="AF13" i="32"/>
  <c r="AQ131" i="32"/>
  <c r="AQ137" i="32" s="1"/>
  <c r="AF137" i="32"/>
  <c r="AO245" i="32"/>
  <c r="AR46" i="32"/>
  <c r="AP52" i="32"/>
  <c r="AQ53" i="32"/>
  <c r="AQ58" i="32" s="1"/>
  <c r="AF58" i="32"/>
  <c r="BP91" i="32"/>
  <c r="BO239" i="32"/>
  <c r="J297" i="32"/>
  <c r="P297" i="32"/>
  <c r="AD297" i="32"/>
  <c r="CF297" i="32"/>
  <c r="AL297" i="32"/>
  <c r="AQ256" i="32"/>
  <c r="AP239" i="32"/>
  <c r="AG235" i="32"/>
  <c r="AG238" i="32" s="1"/>
  <c r="AQ227" i="32"/>
  <c r="AY166" i="32"/>
  <c r="AG150" i="32"/>
  <c r="AP130" i="32"/>
  <c r="BK71" i="32"/>
  <c r="AG107" i="32"/>
  <c r="AP65" i="32"/>
  <c r="AP22" i="32"/>
  <c r="AR62" i="32"/>
  <c r="AP78" i="32"/>
  <c r="AP144" i="32"/>
  <c r="AO263" i="32"/>
  <c r="AO182" i="32"/>
  <c r="AG234" i="32"/>
  <c r="AP200" i="32"/>
  <c r="AO227" i="32"/>
  <c r="AO205" i="32"/>
  <c r="AQ214" i="32"/>
  <c r="AO71" i="32"/>
  <c r="AO52" i="32"/>
  <c r="AP120" i="32"/>
  <c r="AS46" i="32"/>
  <c r="AG52" i="32"/>
  <c r="BK284" i="32"/>
  <c r="BK270" i="32"/>
  <c r="AP221" i="32"/>
  <c r="AP227" i="32" s="1"/>
  <c r="AE227" i="32"/>
  <c r="AQ165" i="32"/>
  <c r="AQ171" i="32" s="1"/>
  <c r="AF171" i="32"/>
  <c r="AQ121" i="32"/>
  <c r="AQ124" i="32" s="1"/>
  <c r="AF124" i="32"/>
  <c r="AO214" i="32"/>
  <c r="AP189" i="32"/>
  <c r="AP195" i="32" s="1"/>
  <c r="AE195" i="32"/>
  <c r="AO31" i="32"/>
  <c r="AQ257" i="32"/>
  <c r="AF263" i="32"/>
  <c r="AQ200" i="32"/>
  <c r="AQ205" i="32" s="1"/>
  <c r="AF205" i="32"/>
  <c r="AQ172" i="32"/>
  <c r="AQ178" i="32" s="1"/>
  <c r="AF178" i="32"/>
  <c r="AG125" i="32"/>
  <c r="AE130" i="32"/>
  <c r="AG108" i="32"/>
  <c r="AE109" i="32"/>
  <c r="AQ85" i="32"/>
  <c r="AQ90" i="32" s="1"/>
  <c r="AF90" i="32"/>
  <c r="AO43" i="32"/>
  <c r="AG32" i="32"/>
  <c r="BM32" i="32" s="1"/>
  <c r="AE35" i="32"/>
  <c r="AT20" i="32"/>
  <c r="AS20" i="32"/>
  <c r="AR255" i="32"/>
  <c r="AE164" i="32"/>
  <c r="AG158" i="32"/>
  <c r="AO65" i="32"/>
  <c r="AG215" i="32"/>
  <c r="AF216" i="32"/>
  <c r="AR23" i="32"/>
  <c r="AP27" i="32"/>
  <c r="AQ78" i="32"/>
  <c r="AQ84" i="32" s="1"/>
  <c r="AF84" i="32"/>
  <c r="AQ179" i="32"/>
  <c r="AF182" i="32"/>
  <c r="BR31" i="32"/>
  <c r="BQ39" i="32"/>
  <c r="BY297" i="32"/>
  <c r="AG239" i="32"/>
  <c r="AG245" i="32" s="1"/>
  <c r="AO256" i="32"/>
  <c r="AR219" i="32"/>
  <c r="AG214" i="32"/>
  <c r="AR186" i="32"/>
  <c r="AG179" i="32"/>
  <c r="AG182" i="32" s="1"/>
  <c r="AG171" i="32"/>
  <c r="AR158" i="32"/>
  <c r="AP164" i="32"/>
  <c r="AP146" i="32"/>
  <c r="AR91" i="32"/>
  <c r="AP96" i="32"/>
  <c r="AP121" i="32"/>
  <c r="AP113" i="32"/>
  <c r="AR108" i="32"/>
  <c r="AR109" i="32" s="1"/>
  <c r="AP109" i="32"/>
  <c r="AG59" i="32"/>
  <c r="AG65" i="32" s="1"/>
  <c r="AP35" i="32"/>
  <c r="AO17" i="32"/>
  <c r="AG138" i="32"/>
  <c r="AG144" i="32" s="1"/>
  <c r="AR74" i="32"/>
  <c r="BK227" i="32"/>
  <c r="AG264" i="32"/>
  <c r="BK164" i="32"/>
  <c r="BK96" i="32"/>
  <c r="AO157" i="32"/>
  <c r="AG14" i="32"/>
  <c r="AE17" i="32"/>
  <c r="AQ44" i="32"/>
  <c r="AQ45" i="32" s="1"/>
  <c r="AF45" i="32"/>
  <c r="AO238" i="32"/>
  <c r="AR159" i="32"/>
  <c r="AP257" i="32"/>
  <c r="AP263" i="32" s="1"/>
  <c r="AE263" i="32"/>
  <c r="AG217" i="32"/>
  <c r="AF220" i="32"/>
  <c r="AO195" i="32"/>
  <c r="AO124" i="32"/>
  <c r="AP14" i="32"/>
  <c r="AP17" i="32" s="1"/>
  <c r="BK256" i="32"/>
  <c r="BK214" i="32"/>
  <c r="BK178" i="32"/>
  <c r="AO150" i="32"/>
  <c r="AG23" i="32"/>
  <c r="AE27" i="32"/>
  <c r="BK39" i="32"/>
  <c r="BK238" i="32"/>
  <c r="AG221" i="32"/>
  <c r="AF227" i="32"/>
  <c r="AJ297" i="32"/>
  <c r="AZ297" i="32"/>
  <c r="X297" i="32"/>
  <c r="BC297" i="32"/>
  <c r="AS172" i="32"/>
  <c r="AT172" i="32"/>
  <c r="AT21" i="32"/>
  <c r="AS21" i="32"/>
  <c r="AT30" i="32"/>
  <c r="AS30" i="32"/>
  <c r="AS70" i="32"/>
  <c r="AT70" i="32"/>
  <c r="CC294" i="32"/>
  <c r="BV18" i="47" s="1"/>
  <c r="CI294" i="32"/>
  <c r="CB18" i="47" s="1"/>
  <c r="CC297" i="32"/>
  <c r="CI297" i="32"/>
  <c r="CE296" i="32" s="1"/>
  <c r="AR269" i="32"/>
  <c r="AR231" i="32"/>
  <c r="AS79" i="32"/>
  <c r="AT79" i="32"/>
  <c r="CD294" i="32"/>
  <c r="BW18" i="47" s="1"/>
  <c r="CJ294" i="32"/>
  <c r="CC18" i="47" s="1"/>
  <c r="AR273" i="32"/>
  <c r="AR252" i="32"/>
  <c r="AY252" i="32" s="1"/>
  <c r="AR268" i="32"/>
  <c r="AR196" i="32"/>
  <c r="AR190" i="32"/>
  <c r="AY190" i="32" s="1"/>
  <c r="AR184" i="32"/>
  <c r="AY184" i="32" s="1"/>
  <c r="AR79" i="32"/>
  <c r="AR60" i="32"/>
  <c r="AT85" i="32"/>
  <c r="AS162" i="32"/>
  <c r="AT162" i="32"/>
  <c r="AS160" i="32"/>
  <c r="AT160" i="32"/>
  <c r="BB297" i="32"/>
  <c r="BH297" i="32"/>
  <c r="AS186" i="32"/>
  <c r="BS186" i="32" s="1"/>
  <c r="AR133" i="32"/>
  <c r="AR20" i="32"/>
  <c r="AT55" i="32"/>
  <c r="BZ294" i="32"/>
  <c r="BS18" i="47" s="1"/>
  <c r="CF294" i="32"/>
  <c r="BY18" i="47" s="1"/>
  <c r="AR262" i="32"/>
  <c r="AY262" i="32" s="1"/>
  <c r="AR244" i="32"/>
  <c r="AY218" i="32"/>
  <c r="AR194" i="32"/>
  <c r="AR34" i="32"/>
  <c r="AY34" i="32" s="1"/>
  <c r="AT24" i="32"/>
  <c r="AS24" i="32"/>
  <c r="CA294" i="32"/>
  <c r="BT18" i="47" s="1"/>
  <c r="CG294" i="32"/>
  <c r="BZ18" i="47" s="1"/>
  <c r="BR39" i="32"/>
  <c r="BU238" i="32"/>
  <c r="AY223" i="32"/>
  <c r="AR217" i="32"/>
  <c r="AT142" i="32"/>
  <c r="AY70" i="32"/>
  <c r="AR100" i="32"/>
  <c r="AT105" i="32"/>
  <c r="AS105" i="32"/>
  <c r="AS152" i="32"/>
  <c r="AT152" i="32"/>
  <c r="AS91" i="32"/>
  <c r="AT91" i="32"/>
  <c r="AT18" i="32"/>
  <c r="AS18" i="32"/>
  <c r="AA77" i="31"/>
  <c r="BY74" i="31"/>
  <c r="BR17" i="47" s="1"/>
  <c r="CE74" i="31"/>
  <c r="BX17" i="47" s="1"/>
  <c r="BW43" i="31"/>
  <c r="M17" i="47"/>
  <c r="AR63" i="31"/>
  <c r="AR14" i="31"/>
  <c r="AL77" i="31"/>
  <c r="BB77" i="31"/>
  <c r="BH77" i="31"/>
  <c r="AZ77" i="31"/>
  <c r="AR70" i="31"/>
  <c r="AR58" i="31"/>
  <c r="AR61" i="31"/>
  <c r="J77" i="31"/>
  <c r="P77" i="31"/>
  <c r="AD77" i="31"/>
  <c r="I77" i="31"/>
  <c r="O77" i="31"/>
  <c r="U77" i="31"/>
  <c r="N77" i="31"/>
  <c r="T77" i="31"/>
  <c r="G17" i="47"/>
  <c r="AY71" i="31"/>
  <c r="AR65" i="31"/>
  <c r="AR67" i="31" s="1"/>
  <c r="CB74" i="31"/>
  <c r="BU17" i="47" s="1"/>
  <c r="CH74" i="31"/>
  <c r="CA17" i="47" s="1"/>
  <c r="AH77" i="31"/>
  <c r="V76" i="31" s="1"/>
  <c r="BD77" i="31"/>
  <c r="BY77" i="31"/>
  <c r="CE77" i="31"/>
  <c r="CC77" i="31"/>
  <c r="CI77" i="31"/>
  <c r="AJ77" i="31"/>
  <c r="AK103" i="30"/>
  <c r="BA103" i="30"/>
  <c r="BG103" i="30"/>
  <c r="AZ103" i="30"/>
  <c r="BB103" i="30"/>
  <c r="AR12" i="30"/>
  <c r="AT36" i="30"/>
  <c r="AD103" i="30"/>
  <c r="BZ103" i="30"/>
  <c r="AL103" i="30"/>
  <c r="BH103" i="30"/>
  <c r="CD103" i="30"/>
  <c r="CG103" i="30"/>
  <c r="AH103" i="30"/>
  <c r="V102" i="30" s="1"/>
  <c r="BD103" i="30"/>
  <c r="X103" i="30"/>
  <c r="AV103" i="30"/>
  <c r="CF103" i="30"/>
  <c r="AR42" i="30"/>
  <c r="AT33" i="30"/>
  <c r="CC103" i="30"/>
  <c r="CD100" i="30"/>
  <c r="BW16" i="47" s="1"/>
  <c r="CJ100" i="30"/>
  <c r="CC16" i="47" s="1"/>
  <c r="J103" i="30"/>
  <c r="P103" i="30"/>
  <c r="I103" i="30"/>
  <c r="O103" i="30"/>
  <c r="U103" i="30"/>
  <c r="N103" i="30"/>
  <c r="T103" i="30"/>
  <c r="M103" i="30"/>
  <c r="AR89" i="30"/>
  <c r="BU85" i="30"/>
  <c r="AR36" i="30"/>
  <c r="AC103" i="30"/>
  <c r="R103" i="30"/>
  <c r="AI103" i="30"/>
  <c r="W102" i="30" s="1"/>
  <c r="AR70" i="30"/>
  <c r="AR34" i="30"/>
  <c r="AY34" i="30" s="1"/>
  <c r="CI103" i="30"/>
  <c r="AJ103" i="30"/>
  <c r="AY32" i="30"/>
  <c r="AT35" i="30"/>
  <c r="AY35" i="30" s="1"/>
  <c r="AR51" i="30"/>
  <c r="AR26" i="30"/>
  <c r="AR139" i="29"/>
  <c r="AR140" i="29" s="1"/>
  <c r="AR190" i="29"/>
  <c r="AY166" i="29"/>
  <c r="AR186" i="29"/>
  <c r="AR173" i="29"/>
  <c r="AS54" i="29"/>
  <c r="BS54" i="29" s="1"/>
  <c r="AT54" i="29"/>
  <c r="BT54" i="29" s="1"/>
  <c r="AY31" i="29"/>
  <c r="AT154" i="29"/>
  <c r="AS154" i="29"/>
  <c r="CI196" i="29"/>
  <c r="CB15" i="47" s="1"/>
  <c r="AR181" i="29"/>
  <c r="AR194" i="29"/>
  <c r="AR182" i="29"/>
  <c r="AR169" i="29"/>
  <c r="AR101" i="29"/>
  <c r="AR89" i="29"/>
  <c r="AR92" i="29"/>
  <c r="AY20" i="29"/>
  <c r="AT163" i="29"/>
  <c r="AS163" i="29"/>
  <c r="AS53" i="29"/>
  <c r="AS68" i="44"/>
  <c r="AT68" i="44"/>
  <c r="AS59" i="44"/>
  <c r="AT59" i="44"/>
  <c r="AS78" i="44"/>
  <c r="AR17" i="44"/>
  <c r="AR37" i="44"/>
  <c r="AS50" i="44"/>
  <c r="AT50" i="44"/>
  <c r="AR47" i="44"/>
  <c r="AY47" i="44" s="1"/>
  <c r="AS96" i="44"/>
  <c r="AT96" i="44"/>
  <c r="AT83" i="43"/>
  <c r="AS83" i="43"/>
  <c r="AS210" i="43"/>
  <c r="AT210" i="43"/>
  <c r="AT441" i="43"/>
  <c r="AS441" i="43"/>
  <c r="AS201" i="43"/>
  <c r="AT201" i="43"/>
  <c r="AR178" i="43"/>
  <c r="AY178" i="43" s="1"/>
  <c r="AR184" i="43"/>
  <c r="AR163" i="43"/>
  <c r="AS411" i="43"/>
  <c r="AT411" i="43"/>
  <c r="AS375" i="43"/>
  <c r="AT375" i="43"/>
  <c r="AR228" i="43"/>
  <c r="AS434" i="43"/>
  <c r="AT407" i="43"/>
  <c r="AS162" i="43"/>
  <c r="AT162" i="43"/>
  <c r="AR30" i="43"/>
  <c r="AT447" i="43"/>
  <c r="AS447" i="43"/>
  <c r="AR95" i="43"/>
  <c r="AY398" i="43"/>
  <c r="AS219" i="43"/>
  <c r="AT219" i="43"/>
  <c r="AT126" i="43"/>
  <c r="AS126" i="43"/>
  <c r="AT225" i="43"/>
  <c r="AS225" i="43"/>
  <c r="AS369" i="43"/>
  <c r="AT369" i="43"/>
  <c r="AS381" i="43"/>
  <c r="AT381" i="43"/>
  <c r="AR212" i="43"/>
  <c r="AS404" i="43"/>
  <c r="AR460" i="43"/>
  <c r="AS224" i="43"/>
  <c r="AT224" i="43"/>
  <c r="AT132" i="43"/>
  <c r="AS132" i="43"/>
  <c r="AS207" i="43"/>
  <c r="AT207" i="43"/>
  <c r="AS254" i="43"/>
  <c r="AT254" i="43"/>
  <c r="AS349" i="43"/>
  <c r="AT349" i="43"/>
  <c r="AR464" i="43"/>
  <c r="AR463" i="43"/>
  <c r="AR257" i="43"/>
  <c r="AY257" i="43" s="1"/>
  <c r="AS102" i="43"/>
  <c r="AT102" i="43"/>
  <c r="AS355" i="43"/>
  <c r="AT355" i="43"/>
  <c r="AS429" i="43"/>
  <c r="AT429" i="43"/>
  <c r="AS111" i="44"/>
  <c r="AT111" i="44"/>
  <c r="AT112" i="44" s="1"/>
  <c r="AS52" i="44"/>
  <c r="AT52" i="44"/>
  <c r="AT93" i="44"/>
  <c r="AS93" i="44"/>
  <c r="AT89" i="44"/>
  <c r="AS89" i="44"/>
  <c r="AT46" i="44"/>
  <c r="AS46" i="44"/>
  <c r="AR126" i="44"/>
  <c r="AR120" i="44"/>
  <c r="AR114" i="44"/>
  <c r="AS91" i="44"/>
  <c r="AT91" i="44"/>
  <c r="AS66" i="44"/>
  <c r="AT66" i="44"/>
  <c r="AS82" i="44"/>
  <c r="AT82" i="44"/>
  <c r="AS26" i="44"/>
  <c r="AT26" i="44"/>
  <c r="AT45" i="44"/>
  <c r="AS45" i="44"/>
  <c r="AS126" i="44"/>
  <c r="AT126" i="44"/>
  <c r="AS120" i="44"/>
  <c r="AT120" i="44"/>
  <c r="AS114" i="44"/>
  <c r="AT114" i="44"/>
  <c r="AS109" i="44"/>
  <c r="AT109" i="44"/>
  <c r="AS103" i="44"/>
  <c r="AR115" i="44"/>
  <c r="AS62" i="44"/>
  <c r="AT62" i="44"/>
  <c r="AS22" i="44"/>
  <c r="AT22" i="44"/>
  <c r="AS20" i="44"/>
  <c r="AT20" i="44"/>
  <c r="AS76" i="44"/>
  <c r="AT76" i="44"/>
  <c r="AS30" i="44"/>
  <c r="AT30" i="44"/>
  <c r="AS29" i="44"/>
  <c r="AT29" i="44"/>
  <c r="AS37" i="44"/>
  <c r="AT37" i="44"/>
  <c r="AT43" i="44"/>
  <c r="AS43" i="44"/>
  <c r="AS116" i="44"/>
  <c r="AT116" i="44"/>
  <c r="AS123" i="44"/>
  <c r="AT123" i="44"/>
  <c r="AS18" i="44"/>
  <c r="AT18" i="44"/>
  <c r="AS108" i="44"/>
  <c r="AT108" i="44"/>
  <c r="AR125" i="44"/>
  <c r="AS115" i="44"/>
  <c r="AT115" i="44"/>
  <c r="AY81" i="44"/>
  <c r="AS74" i="44"/>
  <c r="AT74" i="44"/>
  <c r="AS61" i="44"/>
  <c r="AT61" i="44"/>
  <c r="AS14" i="44"/>
  <c r="AT14" i="44"/>
  <c r="AR51" i="44"/>
  <c r="AS55" i="44"/>
  <c r="AT55" i="44"/>
  <c r="AS25" i="44"/>
  <c r="AT25" i="44"/>
  <c r="AS105" i="44"/>
  <c r="AT105" i="44"/>
  <c r="AS119" i="44"/>
  <c r="AT119" i="44"/>
  <c r="AS60" i="44"/>
  <c r="AT60" i="44"/>
  <c r="AS32" i="44"/>
  <c r="AT32" i="44"/>
  <c r="AS117" i="44"/>
  <c r="AT117" i="44"/>
  <c r="AS36" i="44"/>
  <c r="AT36" i="44"/>
  <c r="AS17" i="44"/>
  <c r="AT17" i="44"/>
  <c r="AS31" i="44"/>
  <c r="AT31" i="44"/>
  <c r="AS124" i="44"/>
  <c r="AT124" i="44"/>
  <c r="AS118" i="44"/>
  <c r="AT118" i="44"/>
  <c r="AS113" i="44"/>
  <c r="AT113" i="44"/>
  <c r="AS107" i="44"/>
  <c r="AT107" i="44"/>
  <c r="AS101" i="44"/>
  <c r="AT101" i="44"/>
  <c r="AS125" i="44"/>
  <c r="AT125" i="44"/>
  <c r="AR127" i="44"/>
  <c r="AS100" i="44"/>
  <c r="AT100" i="44"/>
  <c r="AT80" i="44"/>
  <c r="AS80" i="44"/>
  <c r="AS34" i="44"/>
  <c r="AT34" i="44"/>
  <c r="AS16" i="44"/>
  <c r="AT16" i="44"/>
  <c r="AS72" i="44"/>
  <c r="AT72" i="44"/>
  <c r="AS48" i="44"/>
  <c r="AT48" i="44"/>
  <c r="AS69" i="44"/>
  <c r="AT69" i="44"/>
  <c r="AS79" i="44"/>
  <c r="AT79" i="44"/>
  <c r="AT94" i="44"/>
  <c r="AS94" i="44"/>
  <c r="AS75" i="44"/>
  <c r="AT75" i="44"/>
  <c r="AS54" i="44"/>
  <c r="AT54" i="44"/>
  <c r="AS51" i="44"/>
  <c r="AT51" i="44"/>
  <c r="AS65" i="44"/>
  <c r="AT65" i="44"/>
  <c r="AS24" i="44"/>
  <c r="AT24" i="44"/>
  <c r="AS23" i="44"/>
  <c r="AT23" i="44"/>
  <c r="AT122" i="44"/>
  <c r="AT44" i="44"/>
  <c r="AS44" i="44"/>
  <c r="AR122" i="44"/>
  <c r="AR116" i="44"/>
  <c r="AS106" i="44"/>
  <c r="AT106" i="44"/>
  <c r="AR119" i="44"/>
  <c r="AS127" i="44"/>
  <c r="AT127" i="44"/>
  <c r="AS73" i="44"/>
  <c r="AT73" i="44"/>
  <c r="AS71" i="44"/>
  <c r="AT71" i="44"/>
  <c r="AS53" i="44"/>
  <c r="AT53" i="44"/>
  <c r="AR123" i="44"/>
  <c r="AR60" i="44"/>
  <c r="AS38" i="44"/>
  <c r="AT38" i="44"/>
  <c r="AR75" i="44"/>
  <c r="AR117" i="44"/>
  <c r="AS64" i="44"/>
  <c r="AT64" i="44"/>
  <c r="AS188" i="29"/>
  <c r="BS188" i="29" s="1"/>
  <c r="AT188" i="29"/>
  <c r="BT188" i="29" s="1"/>
  <c r="AS184" i="29"/>
  <c r="BS184" i="29" s="1"/>
  <c r="AT184" i="29"/>
  <c r="BT184" i="29" s="1"/>
  <c r="AS139" i="29"/>
  <c r="AS140" i="29" s="1"/>
  <c r="AT137" i="29"/>
  <c r="AS137" i="29"/>
  <c r="AT38" i="29"/>
  <c r="AS38" i="29"/>
  <c r="AS189" i="29"/>
  <c r="BS189" i="29" s="1"/>
  <c r="AT189" i="29"/>
  <c r="BT189" i="29" s="1"/>
  <c r="AS183" i="29"/>
  <c r="AT183" i="29"/>
  <c r="AS170" i="29"/>
  <c r="AT170" i="29"/>
  <c r="AY145" i="29"/>
  <c r="AS186" i="29"/>
  <c r="AT186" i="29"/>
  <c r="AS173" i="29"/>
  <c r="AT173" i="29"/>
  <c r="AT150" i="29"/>
  <c r="AS150" i="29"/>
  <c r="AR124" i="29"/>
  <c r="AS190" i="29"/>
  <c r="BS190" i="29" s="1"/>
  <c r="AT190" i="29"/>
  <c r="BT190" i="29" s="1"/>
  <c r="AR136" i="29"/>
  <c r="AT100" i="29"/>
  <c r="AS100" i="29"/>
  <c r="AT88" i="29"/>
  <c r="AS88" i="29"/>
  <c r="AT101" i="29"/>
  <c r="AS101" i="29"/>
  <c r="AT89" i="29"/>
  <c r="AS89" i="29"/>
  <c r="AR178" i="29"/>
  <c r="AT43" i="29"/>
  <c r="AS43" i="29"/>
  <c r="AR80" i="29"/>
  <c r="AT136" i="29"/>
  <c r="AS136" i="29"/>
  <c r="AS85" i="29"/>
  <c r="AT85" i="29"/>
  <c r="AS92" i="29"/>
  <c r="AT92" i="29"/>
  <c r="AT142" i="29"/>
  <c r="AS142" i="29"/>
  <c r="AR98" i="29"/>
  <c r="AT87" i="29"/>
  <c r="AS87" i="29"/>
  <c r="AT107" i="29"/>
  <c r="BT107" i="29" s="1"/>
  <c r="AS107" i="29"/>
  <c r="AT122" i="29"/>
  <c r="AS122" i="29"/>
  <c r="AT117" i="29"/>
  <c r="AS117" i="29"/>
  <c r="BM107" i="29"/>
  <c r="AT116" i="29"/>
  <c r="BT116" i="29" s="1"/>
  <c r="AS116" i="29"/>
  <c r="BS116" i="29" s="1"/>
  <c r="AT153" i="29"/>
  <c r="BT153" i="29" s="1"/>
  <c r="AS153" i="29"/>
  <c r="BS153" i="29" s="1"/>
  <c r="AR171" i="29"/>
  <c r="AT147" i="29"/>
  <c r="AS147" i="29"/>
  <c r="AT93" i="29"/>
  <c r="AS93" i="29"/>
  <c r="BS93" i="29" s="1"/>
  <c r="AT105" i="29"/>
  <c r="AS105" i="29"/>
  <c r="AS178" i="29"/>
  <c r="AT178" i="29"/>
  <c r="AT123" i="29"/>
  <c r="AS123" i="29"/>
  <c r="BS123" i="29" s="1"/>
  <c r="AT42" i="29"/>
  <c r="BT42" i="29" s="1"/>
  <c r="AS42" i="29"/>
  <c r="BS42" i="29" s="1"/>
  <c r="AT58" i="29"/>
  <c r="BT58" i="29" s="1"/>
  <c r="AS58" i="29"/>
  <c r="BS58" i="29" s="1"/>
  <c r="AS97" i="29"/>
  <c r="AT97" i="29"/>
  <c r="AT73" i="29"/>
  <c r="AS73" i="29"/>
  <c r="AS98" i="29"/>
  <c r="BS98" i="29" s="1"/>
  <c r="AT98" i="29"/>
  <c r="BT98" i="29" s="1"/>
  <c r="AS187" i="29"/>
  <c r="AT187" i="29"/>
  <c r="AS181" i="29"/>
  <c r="AT181" i="29"/>
  <c r="AS174" i="29"/>
  <c r="AT174" i="29"/>
  <c r="AR180" i="29"/>
  <c r="AS167" i="29"/>
  <c r="AT167" i="29"/>
  <c r="AS194" i="29"/>
  <c r="BS194" i="29" s="1"/>
  <c r="AT194" i="29"/>
  <c r="BT194" i="29" s="1"/>
  <c r="AS182" i="29"/>
  <c r="BS182" i="29" s="1"/>
  <c r="AT182" i="29"/>
  <c r="BT182" i="29" s="1"/>
  <c r="AT129" i="29"/>
  <c r="AS129" i="29"/>
  <c r="AT118" i="29"/>
  <c r="AS118" i="29"/>
  <c r="AS171" i="29"/>
  <c r="AT171" i="29"/>
  <c r="AR130" i="29"/>
  <c r="AT144" i="29"/>
  <c r="AS144" i="29"/>
  <c r="AT112" i="29"/>
  <c r="AS112" i="29"/>
  <c r="BS112" i="29" s="1"/>
  <c r="AR95" i="29"/>
  <c r="AR83" i="29"/>
  <c r="AT157" i="29"/>
  <c r="AS157" i="29"/>
  <c r="AR86" i="29"/>
  <c r="AS55" i="29"/>
  <c r="AT55" i="29"/>
  <c r="AT47" i="29"/>
  <c r="BT47" i="29" s="1"/>
  <c r="AS47" i="29"/>
  <c r="AT41" i="29"/>
  <c r="AT35" i="29"/>
  <c r="BT35" i="29" s="1"/>
  <c r="AS35" i="29"/>
  <c r="AT78" i="29"/>
  <c r="AS78" i="29"/>
  <c r="BS78" i="29" s="1"/>
  <c r="AT70" i="29"/>
  <c r="AS70" i="29"/>
  <c r="AR133" i="29"/>
  <c r="AR73" i="29"/>
  <c r="AR61" i="29"/>
  <c r="AS180" i="29"/>
  <c r="AT180" i="29"/>
  <c r="AR150" i="29"/>
  <c r="AT130" i="29"/>
  <c r="AS130" i="29"/>
  <c r="AT115" i="29"/>
  <c r="AT99" i="29"/>
  <c r="AS99" i="29"/>
  <c r="AT81" i="29"/>
  <c r="BT81" i="29" s="1"/>
  <c r="AS81" i="29"/>
  <c r="BS81" i="29" s="1"/>
  <c r="AT94" i="29"/>
  <c r="AS94" i="29"/>
  <c r="AT82" i="29"/>
  <c r="AS82" i="29"/>
  <c r="AT113" i="29"/>
  <c r="BT113" i="29" s="1"/>
  <c r="AS113" i="29"/>
  <c r="BS113" i="29" s="1"/>
  <c r="AT95" i="29"/>
  <c r="BT95" i="29" s="1"/>
  <c r="AS95" i="29"/>
  <c r="AT83" i="29"/>
  <c r="BT83" i="29" s="1"/>
  <c r="AS83" i="29"/>
  <c r="BS83" i="29" s="1"/>
  <c r="AS86" i="29"/>
  <c r="AT86" i="29"/>
  <c r="AT46" i="29"/>
  <c r="AS46" i="29"/>
  <c r="AT34" i="29"/>
  <c r="AS34" i="29"/>
  <c r="BS34" i="29" s="1"/>
  <c r="AR78" i="29"/>
  <c r="AS61" i="29"/>
  <c r="AS63" i="29" s="1"/>
  <c r="AT61" i="29"/>
  <c r="AT16" i="29"/>
  <c r="AS16" i="29"/>
  <c r="AS191" i="29"/>
  <c r="AT191" i="29"/>
  <c r="AS172" i="29"/>
  <c r="AT172" i="29"/>
  <c r="AR188" i="29"/>
  <c r="AR184" i="29"/>
  <c r="AT124" i="29"/>
  <c r="BT124" i="29" s="1"/>
  <c r="AS124" i="29"/>
  <c r="AY104" i="29"/>
  <c r="AT77" i="29"/>
  <c r="AS77" i="29"/>
  <c r="AT45" i="29"/>
  <c r="AS45" i="29"/>
  <c r="AT39" i="29"/>
  <c r="BT39" i="29" s="1"/>
  <c r="AS39" i="29"/>
  <c r="BS39" i="29" s="1"/>
  <c r="AT64" i="29"/>
  <c r="AT67" i="29" s="1"/>
  <c r="AS64" i="29"/>
  <c r="AT14" i="29"/>
  <c r="AS80" i="30"/>
  <c r="AT80" i="30"/>
  <c r="AR96" i="30"/>
  <c r="AR73" i="30"/>
  <c r="AS67" i="30"/>
  <c r="BS67" i="30" s="1"/>
  <c r="AT67" i="30"/>
  <c r="BT67" i="30" s="1"/>
  <c r="AS55" i="30"/>
  <c r="AT55" i="30"/>
  <c r="AS43" i="30"/>
  <c r="AT43" i="30"/>
  <c r="AR79" i="30"/>
  <c r="AS95" i="30"/>
  <c r="AT95" i="30"/>
  <c r="BT95" i="30" s="1"/>
  <c r="AS89" i="30"/>
  <c r="BS89" i="30" s="1"/>
  <c r="AT89" i="30"/>
  <c r="BT89" i="30" s="1"/>
  <c r="AS83" i="30"/>
  <c r="AT83" i="30"/>
  <c r="AS96" i="30"/>
  <c r="AT96" i="30"/>
  <c r="AS88" i="30"/>
  <c r="AT88" i="30"/>
  <c r="AS84" i="30"/>
  <c r="AT84" i="30"/>
  <c r="BT84" i="30" s="1"/>
  <c r="AS64" i="30"/>
  <c r="AT64" i="30"/>
  <c r="AS58" i="30"/>
  <c r="AT58" i="30"/>
  <c r="AS52" i="30"/>
  <c r="AT52" i="30"/>
  <c r="AS46" i="30"/>
  <c r="AT46" i="30"/>
  <c r="AS73" i="30"/>
  <c r="AT73" i="30"/>
  <c r="AS14" i="30"/>
  <c r="AT14" i="30"/>
  <c r="AS31" i="30"/>
  <c r="AS37" i="30" s="1"/>
  <c r="AT31" i="30"/>
  <c r="AS22" i="30"/>
  <c r="AT22" i="30"/>
  <c r="AS13" i="30"/>
  <c r="AT13" i="30"/>
  <c r="AS21" i="30"/>
  <c r="AT21" i="30"/>
  <c r="AS79" i="30"/>
  <c r="AT79" i="30"/>
  <c r="AS97" i="30"/>
  <c r="AT97" i="30"/>
  <c r="AS76" i="30"/>
  <c r="AS59" i="30"/>
  <c r="AT59" i="30"/>
  <c r="AS53" i="30"/>
  <c r="AT53" i="30"/>
  <c r="AS47" i="30"/>
  <c r="AT47" i="30"/>
  <c r="AS87" i="30"/>
  <c r="BS87" i="30" s="1"/>
  <c r="AT87" i="30"/>
  <c r="BT87" i="30" s="1"/>
  <c r="AS68" i="30"/>
  <c r="AT68" i="30"/>
  <c r="BT68" i="30" s="1"/>
  <c r="AS56" i="30"/>
  <c r="AT56" i="30"/>
  <c r="AS50" i="30"/>
  <c r="AT50" i="30"/>
  <c r="AS41" i="30"/>
  <c r="BS41" i="30" s="1"/>
  <c r="AT41" i="30"/>
  <c r="BT41" i="30" s="1"/>
  <c r="AT29" i="30"/>
  <c r="AT30" i="30" s="1"/>
  <c r="AS20" i="30"/>
  <c r="AT20" i="30"/>
  <c r="AS19" i="30"/>
  <c r="AT19" i="30"/>
  <c r="AS27" i="30"/>
  <c r="AT27" i="30"/>
  <c r="AS94" i="30"/>
  <c r="AT94" i="30"/>
  <c r="AS90" i="30"/>
  <c r="BS90" i="30" s="1"/>
  <c r="AT90" i="30"/>
  <c r="BT90" i="30" s="1"/>
  <c r="AS86" i="30"/>
  <c r="AT86" i="30"/>
  <c r="AS69" i="30"/>
  <c r="AT69" i="30"/>
  <c r="AS63" i="30"/>
  <c r="AT63" i="30"/>
  <c r="AS57" i="30"/>
  <c r="AT57" i="30"/>
  <c r="AS51" i="30"/>
  <c r="AT51" i="30"/>
  <c r="BT51" i="30" s="1"/>
  <c r="AS45" i="30"/>
  <c r="AT45" i="30"/>
  <c r="AS91" i="30"/>
  <c r="AT91" i="30"/>
  <c r="BT91" i="30" s="1"/>
  <c r="AS78" i="30"/>
  <c r="AT78" i="30"/>
  <c r="AS74" i="30"/>
  <c r="AT74" i="30"/>
  <c r="AR80" i="30"/>
  <c r="AS98" i="30"/>
  <c r="AT98" i="30"/>
  <c r="AS77" i="30"/>
  <c r="AT77" i="30"/>
  <c r="AS60" i="30"/>
  <c r="BS60" i="30" s="1"/>
  <c r="AT60" i="30"/>
  <c r="AS42" i="30"/>
  <c r="AT42" i="30"/>
  <c r="AS26" i="30"/>
  <c r="AT26" i="30"/>
  <c r="AS25" i="30"/>
  <c r="AT25" i="30"/>
  <c r="AS16" i="30"/>
  <c r="AS17" i="30" s="1"/>
  <c r="AT16" i="30"/>
  <c r="AT17" i="30" s="1"/>
  <c r="AS24" i="30"/>
  <c r="AT24" i="30"/>
  <c r="AS55" i="31"/>
  <c r="AT55" i="31"/>
  <c r="AS56" i="31"/>
  <c r="AT56" i="31"/>
  <c r="AS54" i="31"/>
  <c r="AT54" i="31"/>
  <c r="AS50" i="31"/>
  <c r="AT50" i="31"/>
  <c r="AS41" i="31"/>
  <c r="AT41" i="31"/>
  <c r="AS13" i="31"/>
  <c r="AT13" i="31"/>
  <c r="BU23" i="31"/>
  <c r="BQ52" i="31"/>
  <c r="AS65" i="31"/>
  <c r="AT65" i="31"/>
  <c r="AS59" i="31"/>
  <c r="AT59" i="31"/>
  <c r="AS53" i="31"/>
  <c r="AT53" i="31"/>
  <c r="AS47" i="31"/>
  <c r="BS47" i="31" s="1"/>
  <c r="AT47" i="31"/>
  <c r="AS36" i="31"/>
  <c r="AT36" i="31"/>
  <c r="AS39" i="31"/>
  <c r="AS40" i="31" s="1"/>
  <c r="AT39" i="31"/>
  <c r="AS61" i="31"/>
  <c r="BS61" i="31" s="1"/>
  <c r="AT61" i="31"/>
  <c r="BT61" i="31" s="1"/>
  <c r="AS26" i="31"/>
  <c r="AT26" i="31"/>
  <c r="Z77" i="31"/>
  <c r="AS35" i="31"/>
  <c r="BS35" i="31" s="1"/>
  <c r="AT35" i="31"/>
  <c r="BT35" i="31" s="1"/>
  <c r="AS31" i="31"/>
  <c r="AT31" i="31"/>
  <c r="AS66" i="31"/>
  <c r="AT66" i="31"/>
  <c r="AS21" i="31"/>
  <c r="AT21" i="31"/>
  <c r="BT21" i="31" s="1"/>
  <c r="AS14" i="31"/>
  <c r="AT14" i="31"/>
  <c r="AS28" i="31"/>
  <c r="AT28" i="31"/>
  <c r="AS27" i="31"/>
  <c r="BS27" i="31" s="1"/>
  <c r="AT27" i="31"/>
  <c r="BT27" i="31" s="1"/>
  <c r="AS42" i="31"/>
  <c r="AT42" i="31"/>
  <c r="AS45" i="31"/>
  <c r="BS45" i="31" s="1"/>
  <c r="AT45" i="31"/>
  <c r="BT45" i="31" s="1"/>
  <c r="BM61" i="31"/>
  <c r="AS46" i="31"/>
  <c r="AT46" i="31"/>
  <c r="AS22" i="31"/>
  <c r="AT22" i="31"/>
  <c r="AS69" i="31"/>
  <c r="AT69" i="31"/>
  <c r="AS63" i="31"/>
  <c r="AT63" i="31"/>
  <c r="AS51" i="31"/>
  <c r="AT51" i="31"/>
  <c r="AT72" i="31"/>
  <c r="AS72" i="31"/>
  <c r="AS30" i="31"/>
  <c r="AT30" i="31"/>
  <c r="AS44" i="31"/>
  <c r="AT44" i="31"/>
  <c r="AS62" i="31"/>
  <c r="BS62" i="31" s="1"/>
  <c r="AT62" i="31"/>
  <c r="BT62" i="31" s="1"/>
  <c r="AS34" i="31"/>
  <c r="AT34" i="31"/>
  <c r="AS33" i="31"/>
  <c r="AT33" i="31"/>
  <c r="AT29" i="31"/>
  <c r="AS29" i="31"/>
  <c r="AS49" i="31"/>
  <c r="AT49" i="31"/>
  <c r="AS60" i="31"/>
  <c r="AY60" i="31" s="1"/>
  <c r="AT60" i="31"/>
  <c r="BC77" i="31"/>
  <c r="AS17" i="31"/>
  <c r="AT17" i="31"/>
  <c r="BT17" i="31" s="1"/>
  <c r="AK77" i="31"/>
  <c r="AS68" i="31"/>
  <c r="AT68" i="31"/>
  <c r="AS37" i="31"/>
  <c r="AT37" i="31"/>
  <c r="AS58" i="31"/>
  <c r="AT58" i="31"/>
  <c r="AS70" i="31"/>
  <c r="AT70" i="31"/>
  <c r="AS20" i="31"/>
  <c r="AT20" i="31"/>
  <c r="AS18" i="31"/>
  <c r="AT18" i="31"/>
  <c r="AS16" i="31"/>
  <c r="AT16" i="31"/>
  <c r="AS24" i="31"/>
  <c r="AT24" i="31"/>
  <c r="AT25" i="31" s="1"/>
  <c r="AS275" i="32"/>
  <c r="BS275" i="32" s="1"/>
  <c r="AT275" i="32"/>
  <c r="BT275" i="32" s="1"/>
  <c r="AS274" i="32"/>
  <c r="BS274" i="32" s="1"/>
  <c r="AT274" i="32"/>
  <c r="BT274" i="32" s="1"/>
  <c r="AS213" i="32"/>
  <c r="AT213" i="32"/>
  <c r="AT129" i="32"/>
  <c r="BT129" i="32" s="1"/>
  <c r="AS129" i="32"/>
  <c r="AY111" i="32"/>
  <c r="AT127" i="32"/>
  <c r="AS127" i="32"/>
  <c r="AS81" i="32"/>
  <c r="AT81" i="32"/>
  <c r="AS51" i="32"/>
  <c r="AT51" i="32"/>
  <c r="BU307" i="32"/>
  <c r="BU35" i="32"/>
  <c r="AS292" i="32"/>
  <c r="AS293" i="32" s="1"/>
  <c r="AT292" i="32"/>
  <c r="AS285" i="32"/>
  <c r="AT285" i="32"/>
  <c r="AS279" i="32"/>
  <c r="AT279" i="32"/>
  <c r="AS290" i="32"/>
  <c r="AT290" i="32"/>
  <c r="BT290" i="32" s="1"/>
  <c r="AS280" i="32"/>
  <c r="AT280" i="32"/>
  <c r="AT261" i="32"/>
  <c r="AS261" i="32"/>
  <c r="AT255" i="32"/>
  <c r="AS255" i="32"/>
  <c r="AT243" i="32"/>
  <c r="AS243" i="32"/>
  <c r="AR242" i="32"/>
  <c r="AS233" i="32"/>
  <c r="AT233" i="32"/>
  <c r="AS282" i="32"/>
  <c r="AT282" i="32"/>
  <c r="AS229" i="32"/>
  <c r="AT229" i="32"/>
  <c r="AT244" i="32"/>
  <c r="AS244" i="32"/>
  <c r="AS237" i="32"/>
  <c r="AT237" i="32"/>
  <c r="AT209" i="32"/>
  <c r="AS209" i="32"/>
  <c r="AT189" i="32"/>
  <c r="AS189" i="32"/>
  <c r="AT183" i="32"/>
  <c r="AS183" i="32"/>
  <c r="AT177" i="32"/>
  <c r="AS177" i="32"/>
  <c r="AT165" i="32"/>
  <c r="AS165" i="32"/>
  <c r="AT159" i="32"/>
  <c r="AS159" i="32"/>
  <c r="AY159" i="32" s="1"/>
  <c r="AT153" i="32"/>
  <c r="AS153" i="32"/>
  <c r="AT201" i="32"/>
  <c r="AS201" i="32"/>
  <c r="BS201" i="32" s="1"/>
  <c r="AY119" i="32"/>
  <c r="BL119" i="32" s="1"/>
  <c r="AR103" i="32"/>
  <c r="AT97" i="32"/>
  <c r="AS97" i="32"/>
  <c r="AY76" i="32"/>
  <c r="AS95" i="32"/>
  <c r="AT95" i="32"/>
  <c r="AS68" i="32"/>
  <c r="AT68" i="32"/>
  <c r="AS41" i="32"/>
  <c r="AT41" i="32"/>
  <c r="AT93" i="32"/>
  <c r="AS93" i="32"/>
  <c r="BS93" i="32" s="1"/>
  <c r="AT126" i="32"/>
  <c r="AS126" i="32"/>
  <c r="AS63" i="32"/>
  <c r="AT63" i="32"/>
  <c r="AR279" i="32"/>
  <c r="AS266" i="32"/>
  <c r="AT266" i="32"/>
  <c r="AY266" i="32" s="1"/>
  <c r="AT242" i="32"/>
  <c r="AS242" i="32"/>
  <c r="AT212" i="32"/>
  <c r="AS212" i="32"/>
  <c r="AS240" i="32"/>
  <c r="AT240" i="32"/>
  <c r="AT37" i="32"/>
  <c r="AS37" i="32"/>
  <c r="AS139" i="32"/>
  <c r="AT139" i="32"/>
  <c r="AT16" i="32"/>
  <c r="AS16" i="32"/>
  <c r="BQ303" i="32"/>
  <c r="AR267" i="32"/>
  <c r="AS272" i="32"/>
  <c r="AT272" i="32"/>
  <c r="AY260" i="32"/>
  <c r="AR254" i="32"/>
  <c r="AY254" i="32" s="1"/>
  <c r="AT271" i="32"/>
  <c r="AS265" i="32"/>
  <c r="AT265" i="32"/>
  <c r="AT206" i="32"/>
  <c r="AS206" i="32"/>
  <c r="AR201" i="32"/>
  <c r="AS231" i="32"/>
  <c r="BS231" i="32" s="1"/>
  <c r="AT231" i="32"/>
  <c r="BT231" i="32" s="1"/>
  <c r="AT210" i="32"/>
  <c r="AS210" i="32"/>
  <c r="AT149" i="32"/>
  <c r="AS149" i="32"/>
  <c r="AY116" i="32"/>
  <c r="BL116" i="32" s="1"/>
  <c r="AT123" i="32"/>
  <c r="AS123" i="32"/>
  <c r="AT103" i="32"/>
  <c r="BT103" i="32" s="1"/>
  <c r="AS103" i="32"/>
  <c r="BS103" i="32" s="1"/>
  <c r="AY55" i="32"/>
  <c r="AS140" i="32"/>
  <c r="AT140" i="32"/>
  <c r="AS121" i="32"/>
  <c r="AT112" i="32"/>
  <c r="AS112" i="32"/>
  <c r="AT198" i="32"/>
  <c r="AS198" i="32"/>
  <c r="AS54" i="32"/>
  <c r="BS54" i="32" s="1"/>
  <c r="AT54" i="32"/>
  <c r="BT54" i="32" s="1"/>
  <c r="AS57" i="32"/>
  <c r="AT57" i="32"/>
  <c r="AS69" i="32"/>
  <c r="AT69" i="32"/>
  <c r="AS42" i="32"/>
  <c r="AT42" i="32"/>
  <c r="AS83" i="32"/>
  <c r="AT83" i="32"/>
  <c r="AS47" i="32"/>
  <c r="AT47" i="32"/>
  <c r="BX256" i="32"/>
  <c r="AU297" i="32"/>
  <c r="AS289" i="32"/>
  <c r="BS289" i="32" s="1"/>
  <c r="AT289" i="32"/>
  <c r="BT289" i="32" s="1"/>
  <c r="AS283" i="32"/>
  <c r="AT283" i="32"/>
  <c r="AS276" i="32"/>
  <c r="AT276" i="32"/>
  <c r="AS267" i="32"/>
  <c r="BS267" i="32" s="1"/>
  <c r="AT267" i="32"/>
  <c r="BT267" i="32" s="1"/>
  <c r="AT259" i="32"/>
  <c r="AS259" i="32"/>
  <c r="AT253" i="32"/>
  <c r="AS253" i="32"/>
  <c r="AT247" i="32"/>
  <c r="AS247" i="32"/>
  <c r="AS239" i="32"/>
  <c r="AT239" i="32"/>
  <c r="AS230" i="32"/>
  <c r="AT230" i="32"/>
  <c r="AS235" i="32"/>
  <c r="AT235" i="32"/>
  <c r="AY211" i="32"/>
  <c r="AT203" i="32"/>
  <c r="BT203" i="32" s="1"/>
  <c r="AS203" i="32"/>
  <c r="AT193" i="32"/>
  <c r="BT193" i="32" s="1"/>
  <c r="AS193" i="32"/>
  <c r="BS193" i="32" s="1"/>
  <c r="AT187" i="32"/>
  <c r="AS187" i="32"/>
  <c r="AT181" i="32"/>
  <c r="AS181" i="32"/>
  <c r="AT175" i="32"/>
  <c r="AS175" i="32"/>
  <c r="AT169" i="32"/>
  <c r="AS169" i="32"/>
  <c r="AT163" i="32"/>
  <c r="AS163" i="32"/>
  <c r="AT148" i="32"/>
  <c r="AS148" i="32"/>
  <c r="AT136" i="32"/>
  <c r="AS136" i="32"/>
  <c r="AT118" i="32"/>
  <c r="AS118" i="32"/>
  <c r="AT106" i="32"/>
  <c r="AS106" i="32"/>
  <c r="AS104" i="32"/>
  <c r="AT104" i="32"/>
  <c r="BT104" i="32" s="1"/>
  <c r="AS101" i="32"/>
  <c r="AT101" i="32"/>
  <c r="AS86" i="32"/>
  <c r="AT86" i="32"/>
  <c r="AS89" i="32"/>
  <c r="AT89" i="32"/>
  <c r="AT100" i="32"/>
  <c r="AS100" i="32"/>
  <c r="AS94" i="32"/>
  <c r="AT94" i="32"/>
  <c r="AS72" i="32"/>
  <c r="AT72" i="32"/>
  <c r="BR157" i="32"/>
  <c r="BX214" i="32"/>
  <c r="BQ238" i="32"/>
  <c r="BM274" i="32"/>
  <c r="Y297" i="32"/>
  <c r="AH297" i="32"/>
  <c r="V296" i="32" s="1"/>
  <c r="AV297" i="32"/>
  <c r="BD297" i="32"/>
  <c r="AR287" i="32"/>
  <c r="AS286" i="32"/>
  <c r="AT286" i="32"/>
  <c r="AS269" i="32"/>
  <c r="BS269" i="32" s="1"/>
  <c r="AT269" i="32"/>
  <c r="BT269" i="32" s="1"/>
  <c r="AR258" i="32"/>
  <c r="AT200" i="32"/>
  <c r="AR192" i="32"/>
  <c r="AY192" i="32" s="1"/>
  <c r="AR180" i="32"/>
  <c r="AT207" i="32"/>
  <c r="AS207" i="32"/>
  <c r="AS143" i="32"/>
  <c r="AT143" i="32"/>
  <c r="AT208" i="32"/>
  <c r="AS208" i="32"/>
  <c r="BS208" i="32" s="1"/>
  <c r="AT147" i="32"/>
  <c r="AS147" i="32"/>
  <c r="AY128" i="32"/>
  <c r="BL128" i="32" s="1"/>
  <c r="AT135" i="32"/>
  <c r="BT135" i="32" s="1"/>
  <c r="AS135" i="32"/>
  <c r="BS135" i="32" s="1"/>
  <c r="AT117" i="32"/>
  <c r="AS117" i="32"/>
  <c r="AY67" i="32"/>
  <c r="AT133" i="32"/>
  <c r="AS133" i="32"/>
  <c r="AT115" i="32"/>
  <c r="AS115" i="32"/>
  <c r="AS110" i="32"/>
  <c r="AT110" i="32"/>
  <c r="AT113" i="32" s="1"/>
  <c r="AS75" i="32"/>
  <c r="AT75" i="32"/>
  <c r="AS48" i="32"/>
  <c r="AT48" i="32"/>
  <c r="AS87" i="32"/>
  <c r="AT87" i="32"/>
  <c r="AS60" i="32"/>
  <c r="AT60" i="32"/>
  <c r="BX71" i="32"/>
  <c r="Z297" i="32"/>
  <c r="AI297" i="32"/>
  <c r="W296" i="32" s="1"/>
  <c r="AS287" i="32"/>
  <c r="AT287" i="32"/>
  <c r="AS281" i="32"/>
  <c r="AT281" i="32"/>
  <c r="AS273" i="32"/>
  <c r="AT273" i="32"/>
  <c r="AS288" i="32"/>
  <c r="BS288" i="32" s="1"/>
  <c r="AT288" i="32"/>
  <c r="BT288" i="32" s="1"/>
  <c r="AR275" i="32"/>
  <c r="AT251" i="32"/>
  <c r="AS251" i="32"/>
  <c r="AS268" i="32"/>
  <c r="AT268" i="32"/>
  <c r="AS236" i="32"/>
  <c r="AT236" i="32"/>
  <c r="AR274" i="32"/>
  <c r="AS241" i="32"/>
  <c r="AT241" i="32"/>
  <c r="AS232" i="32"/>
  <c r="AT232" i="32"/>
  <c r="AT197" i="32"/>
  <c r="AS197" i="32"/>
  <c r="AT191" i="32"/>
  <c r="AS191" i="32"/>
  <c r="AT185" i="32"/>
  <c r="AS185" i="32"/>
  <c r="AT173" i="32"/>
  <c r="AS173" i="32"/>
  <c r="AT167" i="32"/>
  <c r="AS167" i="32"/>
  <c r="AT161" i="32"/>
  <c r="AS161" i="32"/>
  <c r="AT155" i="32"/>
  <c r="AS155" i="32"/>
  <c r="AR207" i="32"/>
  <c r="AT202" i="32"/>
  <c r="AS202" i="32"/>
  <c r="AT204" i="32"/>
  <c r="AS204" i="32"/>
  <c r="AR142" i="32"/>
  <c r="AT102" i="32"/>
  <c r="AS102" i="32"/>
  <c r="AS145" i="32"/>
  <c r="AS146" i="32" s="1"/>
  <c r="AT145" i="32"/>
  <c r="AT146" i="32" s="1"/>
  <c r="AT98" i="32"/>
  <c r="AS98" i="32"/>
  <c r="AS50" i="32"/>
  <c r="AT50" i="32"/>
  <c r="AS80" i="32"/>
  <c r="AT80" i="32"/>
  <c r="AS62" i="32"/>
  <c r="BS62" i="32" s="1"/>
  <c r="AT62" i="32"/>
  <c r="BT62" i="32" s="1"/>
  <c r="AS44" i="32"/>
  <c r="AT44" i="32"/>
  <c r="AT45" i="32" s="1"/>
  <c r="AT132" i="32"/>
  <c r="AS132" i="32"/>
  <c r="AS92" i="32"/>
  <c r="AT92" i="32"/>
  <c r="AS74" i="32"/>
  <c r="BS74" i="32" s="1"/>
  <c r="AT74" i="32"/>
  <c r="AS56" i="32"/>
  <c r="AT56" i="32"/>
  <c r="BT56" i="32" s="1"/>
  <c r="AT33" i="32"/>
  <c r="BT33" i="32" s="1"/>
  <c r="AS33" i="32"/>
  <c r="BS33" i="32" s="1"/>
  <c r="AK297" i="32"/>
  <c r="BE297" i="32"/>
  <c r="AB18" i="47"/>
  <c r="AS12" i="32"/>
  <c r="AT12" i="32"/>
  <c r="AT13" i="32" s="1"/>
  <c r="AU77" i="31"/>
  <c r="BE77" i="31"/>
  <c r="AB17" i="47"/>
  <c r="AS12" i="31"/>
  <c r="AT12" i="31"/>
  <c r="BE103" i="30"/>
  <c r="AA16" i="47"/>
  <c r="Y103" i="30"/>
  <c r="BC103" i="30"/>
  <c r="AS12" i="30"/>
  <c r="AT12" i="30"/>
  <c r="AS12" i="29"/>
  <c r="AT12" i="29"/>
  <c r="AT13" i="29" s="1"/>
  <c r="AS12" i="44"/>
  <c r="AS13" i="44" s="1"/>
  <c r="AT12" i="44"/>
  <c r="AT13" i="44" s="1"/>
  <c r="AT95" i="43"/>
  <c r="AS95" i="43"/>
  <c r="AT138" i="43"/>
  <c r="AS138" i="43"/>
  <c r="AS174" i="43"/>
  <c r="AT174" i="43"/>
  <c r="AS167" i="43"/>
  <c r="AT167" i="43"/>
  <c r="AS70" i="43"/>
  <c r="AT70" i="43"/>
  <c r="AS180" i="43"/>
  <c r="AT180" i="43"/>
  <c r="AS185" i="43"/>
  <c r="AT185" i="43"/>
  <c r="AT246" i="43"/>
  <c r="AS246" i="43"/>
  <c r="AS241" i="43"/>
  <c r="AT241" i="43"/>
  <c r="AS420" i="43"/>
  <c r="AT420" i="43"/>
  <c r="AT432" i="43"/>
  <c r="AS432" i="43"/>
  <c r="AT412" i="43"/>
  <c r="AS412" i="43"/>
  <c r="AT55" i="43"/>
  <c r="AS55" i="43"/>
  <c r="AS82" i="43"/>
  <c r="AT82" i="43"/>
  <c r="AT51" i="43"/>
  <c r="AS51" i="43"/>
  <c r="AT109" i="43"/>
  <c r="AS109" i="43"/>
  <c r="AS111" i="43" s="1"/>
  <c r="AT156" i="43"/>
  <c r="AS156" i="43"/>
  <c r="AS188" i="43"/>
  <c r="AT188" i="43"/>
  <c r="AT137" i="43"/>
  <c r="AS137" i="43"/>
  <c r="AS371" i="43"/>
  <c r="AT371" i="43"/>
  <c r="AT448" i="43"/>
  <c r="AS448" i="43"/>
  <c r="AS370" i="43"/>
  <c r="AT370" i="43"/>
  <c r="AT17" i="43"/>
  <c r="AS17" i="43"/>
  <c r="AT23" i="43"/>
  <c r="AS23" i="43"/>
  <c r="AT37" i="43"/>
  <c r="AS37" i="43"/>
  <c r="AR82" i="43"/>
  <c r="AT123" i="43"/>
  <c r="AS123" i="43"/>
  <c r="AT145" i="43"/>
  <c r="AS145" i="43"/>
  <c r="AT144" i="43"/>
  <c r="AS144" i="43"/>
  <c r="AS217" i="43"/>
  <c r="AT217" i="43"/>
  <c r="AT86" i="43"/>
  <c r="AS86" i="43"/>
  <c r="AT136" i="43"/>
  <c r="AS136" i="43"/>
  <c r="AS172" i="43"/>
  <c r="AT172" i="43"/>
  <c r="AY322" i="43"/>
  <c r="AR165" i="43"/>
  <c r="AT190" i="43"/>
  <c r="AS190" i="43"/>
  <c r="AS271" i="43"/>
  <c r="AT271" i="43"/>
  <c r="AS283" i="43"/>
  <c r="AT283" i="43"/>
  <c r="AS295" i="43"/>
  <c r="AT295" i="43"/>
  <c r="AR305" i="43"/>
  <c r="AR317" i="43"/>
  <c r="AR331" i="43"/>
  <c r="AR343" i="43"/>
  <c r="AR355" i="43"/>
  <c r="AS203" i="43"/>
  <c r="AR246" i="43"/>
  <c r="AR340" i="43"/>
  <c r="AR352" i="43"/>
  <c r="AT383" i="43"/>
  <c r="AS383" i="43"/>
  <c r="AS393" i="43"/>
  <c r="AT393" i="43"/>
  <c r="AT244" i="43"/>
  <c r="AS244" i="43"/>
  <c r="AS359" i="43"/>
  <c r="AT359" i="43"/>
  <c r="AS367" i="43"/>
  <c r="AT367" i="43"/>
  <c r="AT455" i="43"/>
  <c r="AS455" i="43"/>
  <c r="AT453" i="43"/>
  <c r="AS453" i="43"/>
  <c r="AT460" i="43"/>
  <c r="AS460" i="43"/>
  <c r="AR448" i="43"/>
  <c r="AS67" i="43"/>
  <c r="AT67" i="43"/>
  <c r="AT121" i="43"/>
  <c r="AS121" i="43"/>
  <c r="AS211" i="43"/>
  <c r="AT211" i="43"/>
  <c r="AS305" i="43"/>
  <c r="AT305" i="43"/>
  <c r="AS317" i="43"/>
  <c r="AT317" i="43"/>
  <c r="AS166" i="43"/>
  <c r="AT166" i="43"/>
  <c r="AR350" i="43"/>
  <c r="AS235" i="43"/>
  <c r="AT235" i="43"/>
  <c r="AS445" i="43"/>
  <c r="AT445" i="43"/>
  <c r="AT456" i="43"/>
  <c r="AS456" i="43"/>
  <c r="AS421" i="43"/>
  <c r="AT421" i="43"/>
  <c r="AT24" i="43"/>
  <c r="AS24" i="43"/>
  <c r="AT32" i="43"/>
  <c r="AS32" i="43"/>
  <c r="AT33" i="43"/>
  <c r="AS33" i="43"/>
  <c r="AT49" i="43"/>
  <c r="AS49" i="43"/>
  <c r="AS79" i="43"/>
  <c r="AT79" i="43"/>
  <c r="AT54" i="43"/>
  <c r="AS54" i="43"/>
  <c r="AS73" i="43"/>
  <c r="AT73" i="43"/>
  <c r="AS91" i="43"/>
  <c r="AT91" i="43"/>
  <c r="AT117" i="43"/>
  <c r="AS117" i="43"/>
  <c r="AS58" i="43"/>
  <c r="AT58" i="43"/>
  <c r="AT139" i="43"/>
  <c r="AS139" i="43"/>
  <c r="AS75" i="43"/>
  <c r="AT75" i="43"/>
  <c r="AT150" i="43"/>
  <c r="AS150" i="43"/>
  <c r="AR162" i="43"/>
  <c r="AT149" i="43"/>
  <c r="AS149" i="43"/>
  <c r="AS179" i="43"/>
  <c r="AT179" i="43"/>
  <c r="AS187" i="43"/>
  <c r="AT187" i="43"/>
  <c r="AT154" i="43"/>
  <c r="AS154" i="43"/>
  <c r="AS165" i="43"/>
  <c r="AT165" i="43"/>
  <c r="AR183" i="43"/>
  <c r="AT220" i="43"/>
  <c r="AS220" i="43"/>
  <c r="AS273" i="43"/>
  <c r="AT273" i="43"/>
  <c r="AS297" i="43"/>
  <c r="AT297" i="43"/>
  <c r="AS309" i="43"/>
  <c r="AT309" i="43"/>
  <c r="AS321" i="43"/>
  <c r="AT321" i="43"/>
  <c r="AR333" i="43"/>
  <c r="AR345" i="43"/>
  <c r="AT238" i="43"/>
  <c r="AS238" i="43"/>
  <c r="AS319" i="43"/>
  <c r="AT319" i="43"/>
  <c r="AS397" i="43"/>
  <c r="AT397" i="43"/>
  <c r="AS198" i="43"/>
  <c r="AT198" i="43"/>
  <c r="AT250" i="43"/>
  <c r="AS250" i="43"/>
  <c r="AS194" i="43"/>
  <c r="AT194" i="43"/>
  <c r="AS415" i="43"/>
  <c r="AT415" i="43"/>
  <c r="AS436" i="43"/>
  <c r="AT436" i="43"/>
  <c r="AS364" i="43"/>
  <c r="AT364" i="43"/>
  <c r="AS374" i="43"/>
  <c r="AT374" i="43"/>
  <c r="AS382" i="43"/>
  <c r="AT382" i="43"/>
  <c r="AS418" i="43"/>
  <c r="AT418" i="43"/>
  <c r="AS356" i="43"/>
  <c r="AT356" i="43"/>
  <c r="AS408" i="43"/>
  <c r="AT408" i="43"/>
  <c r="AT21" i="43"/>
  <c r="AS21" i="43"/>
  <c r="AS59" i="43"/>
  <c r="AT59" i="43"/>
  <c r="AS98" i="43"/>
  <c r="AT98" i="43"/>
  <c r="AT151" i="43"/>
  <c r="AS151" i="43"/>
  <c r="AS158" i="43"/>
  <c r="AT158" i="43"/>
  <c r="AS205" i="43"/>
  <c r="AT205" i="43"/>
  <c r="AS169" i="43"/>
  <c r="AT169" i="43"/>
  <c r="AS236" i="43"/>
  <c r="AT236" i="43"/>
  <c r="AS216" i="43"/>
  <c r="AT216" i="43"/>
  <c r="AS361" i="43"/>
  <c r="AT406" i="43"/>
  <c r="AS406" i="43"/>
  <c r="AS94" i="43"/>
  <c r="AT94" i="43"/>
  <c r="AT99" i="43"/>
  <c r="AS99" i="43"/>
  <c r="AS63" i="43"/>
  <c r="AT63" i="43"/>
  <c r="AT129" i="43"/>
  <c r="AS129" i="43"/>
  <c r="AS218" i="43"/>
  <c r="AT218" i="43"/>
  <c r="AS293" i="43"/>
  <c r="AT293" i="43"/>
  <c r="AS350" i="43"/>
  <c r="AT350" i="43"/>
  <c r="AS380" i="43"/>
  <c r="AT380" i="43"/>
  <c r="AT25" i="43"/>
  <c r="AS25" i="43"/>
  <c r="AR91" i="43"/>
  <c r="AT97" i="43"/>
  <c r="AS97" i="43"/>
  <c r="AT113" i="43"/>
  <c r="AS113" i="43"/>
  <c r="AT148" i="43"/>
  <c r="AS148" i="43"/>
  <c r="AT125" i="43"/>
  <c r="AS125" i="43"/>
  <c r="AS193" i="43"/>
  <c r="AT193" i="43"/>
  <c r="AT114" i="43"/>
  <c r="AS114" i="43"/>
  <c r="AS183" i="43"/>
  <c r="AT183" i="43"/>
  <c r="AS287" i="43"/>
  <c r="AT287" i="43"/>
  <c r="AS213" i="43"/>
  <c r="AT213" i="43"/>
  <c r="AS223" i="43"/>
  <c r="AT223" i="43"/>
  <c r="AS191" i="43"/>
  <c r="AT191" i="43"/>
  <c r="AR344" i="43"/>
  <c r="AT131" i="43"/>
  <c r="AS131" i="43"/>
  <c r="AS186" i="43"/>
  <c r="AT186" i="43"/>
  <c r="AS399" i="43"/>
  <c r="AT399" i="43"/>
  <c r="AS181" i="43"/>
  <c r="AT181" i="43"/>
  <c r="AT256" i="43"/>
  <c r="AS256" i="43"/>
  <c r="AS389" i="43"/>
  <c r="AT389" i="43"/>
  <c r="AS352" i="43"/>
  <c r="AT352" i="43"/>
  <c r="AT449" i="43"/>
  <c r="AS449" i="43"/>
  <c r="AT464" i="43"/>
  <c r="AS464" i="43"/>
  <c r="AR455" i="43"/>
  <c r="AS414" i="43"/>
  <c r="AT414" i="43"/>
  <c r="AT463" i="43"/>
  <c r="AS463" i="43"/>
  <c r="AR454" i="43"/>
  <c r="AT15" i="43"/>
  <c r="AS15" i="43"/>
  <c r="AS57" i="43"/>
  <c r="AT57" i="43"/>
  <c r="AS267" i="43"/>
  <c r="AT267" i="43"/>
  <c r="AS200" i="43"/>
  <c r="AT200" i="43"/>
  <c r="AT157" i="43"/>
  <c r="AS157" i="43"/>
  <c r="AS306" i="43"/>
  <c r="AT306" i="43"/>
  <c r="AS387" i="43"/>
  <c r="AT387" i="43"/>
  <c r="AS442" i="43"/>
  <c r="AT442" i="43"/>
  <c r="AT16" i="43"/>
  <c r="AS16" i="43"/>
  <c r="AT34" i="43"/>
  <c r="AS34" i="43"/>
  <c r="AT26" i="43"/>
  <c r="AS26" i="43"/>
  <c r="AT46" i="43"/>
  <c r="AS46" i="43"/>
  <c r="AS106" i="43"/>
  <c r="AT106" i="43"/>
  <c r="AS124" i="43"/>
  <c r="AT124" i="43"/>
  <c r="AS281" i="43"/>
  <c r="AT281" i="43"/>
  <c r="AS303" i="43"/>
  <c r="AT303" i="43"/>
  <c r="AS315" i="43"/>
  <c r="AT315" i="43"/>
  <c r="AS206" i="43"/>
  <c r="AT206" i="43"/>
  <c r="AS229" i="43"/>
  <c r="AT229" i="43"/>
  <c r="AT457" i="43"/>
  <c r="AS457" i="43"/>
  <c r="AS362" i="43"/>
  <c r="AT362" i="43"/>
  <c r="AT426" i="43"/>
  <c r="AS426" i="43"/>
  <c r="AT14" i="43"/>
  <c r="AS14" i="43"/>
  <c r="AT20" i="43"/>
  <c r="AS20" i="43"/>
  <c r="AT38" i="43"/>
  <c r="AS38" i="43"/>
  <c r="AT52" i="43"/>
  <c r="AS52" i="43"/>
  <c r="AT29" i="43"/>
  <c r="AS29" i="43"/>
  <c r="AT48" i="43"/>
  <c r="AS48" i="43"/>
  <c r="AS103" i="43"/>
  <c r="AT103" i="43"/>
  <c r="AR98" i="43"/>
  <c r="AT133" i="43"/>
  <c r="AS133" i="43"/>
  <c r="AR174" i="43"/>
  <c r="AS226" i="43"/>
  <c r="AT226" i="43"/>
  <c r="AT143" i="43"/>
  <c r="AS143" i="43"/>
  <c r="AS199" i="43"/>
  <c r="AT199" i="43"/>
  <c r="AR304" i="43"/>
  <c r="AT140" i="43"/>
  <c r="AS140" i="43"/>
  <c r="AR180" i="43"/>
  <c r="AS277" i="43"/>
  <c r="AT277" i="43"/>
  <c r="AS289" i="43"/>
  <c r="AT289" i="43"/>
  <c r="AS313" i="43"/>
  <c r="AT313" i="43"/>
  <c r="AS325" i="43"/>
  <c r="AT325" i="43"/>
  <c r="AT326" i="43" s="1"/>
  <c r="AS311" i="43"/>
  <c r="AT311" i="43"/>
  <c r="AS323" i="43"/>
  <c r="AT323" i="43"/>
  <c r="AS212" i="43"/>
  <c r="AT212" i="43"/>
  <c r="AT262" i="43"/>
  <c r="AS262" i="43"/>
  <c r="AT155" i="43"/>
  <c r="AS155" i="43"/>
  <c r="AS401" i="43"/>
  <c r="AT401" i="43"/>
  <c r="AT440" i="43"/>
  <c r="AS440" i="43"/>
  <c r="AT450" i="43"/>
  <c r="AS450" i="43"/>
  <c r="AT454" i="43"/>
  <c r="AS454" i="43"/>
  <c r="AS358" i="43"/>
  <c r="AT358" i="43"/>
  <c r="AS368" i="43"/>
  <c r="AT368" i="43"/>
  <c r="AS384" i="43"/>
  <c r="AT384" i="43"/>
  <c r="AT422" i="43"/>
  <c r="AS422" i="43"/>
  <c r="AR457" i="43"/>
  <c r="I297" i="32"/>
  <c r="BR58" i="32"/>
  <c r="BU31" i="32"/>
  <c r="BR84" i="32"/>
  <c r="BX84" i="32"/>
  <c r="BP150" i="32"/>
  <c r="BU188" i="32"/>
  <c r="BU234" i="32"/>
  <c r="BX238" i="32"/>
  <c r="BU270" i="32"/>
  <c r="K297" i="32"/>
  <c r="Q297" i="32"/>
  <c r="BX77" i="32"/>
  <c r="BU84" i="32"/>
  <c r="BR96" i="32"/>
  <c r="BR306" i="32"/>
  <c r="BU256" i="32"/>
  <c r="L297" i="32"/>
  <c r="R297" i="32"/>
  <c r="BR90" i="32"/>
  <c r="BX182" i="32"/>
  <c r="BX220" i="32"/>
  <c r="BU245" i="32"/>
  <c r="BR43" i="32"/>
  <c r="BX90" i="32"/>
  <c r="BU96" i="32"/>
  <c r="BX157" i="32"/>
  <c r="BU182" i="32"/>
  <c r="T297" i="32"/>
  <c r="M297" i="32"/>
  <c r="S297" i="32"/>
  <c r="BR84" i="31"/>
  <c r="BQ19" i="31"/>
  <c r="BU64" i="31"/>
  <c r="BX67" i="31"/>
  <c r="L77" i="31"/>
  <c r="R77" i="31"/>
  <c r="K77" i="31"/>
  <c r="Q77" i="31"/>
  <c r="BR19" i="31"/>
  <c r="BU43" i="31"/>
  <c r="BO52" i="31"/>
  <c r="M77" i="31"/>
  <c r="D17" i="47"/>
  <c r="C17" i="47"/>
  <c r="BW23" i="31"/>
  <c r="BR52" i="31"/>
  <c r="BQ48" i="30"/>
  <c r="BU61" i="30"/>
  <c r="BU28" i="30"/>
  <c r="BR71" i="30"/>
  <c r="K103" i="30"/>
  <c r="J102" i="30" s="1"/>
  <c r="BX61" i="30"/>
  <c r="BU92" i="30"/>
  <c r="Q103" i="30"/>
  <c r="BW75" i="30"/>
  <c r="S103" i="30"/>
  <c r="BU84" i="29"/>
  <c r="BX102" i="29"/>
  <c r="BQ32" i="29"/>
  <c r="BX175" i="29"/>
  <c r="BX132" i="29"/>
  <c r="BR148" i="29"/>
  <c r="BX140" i="29"/>
  <c r="BR56" i="29"/>
  <c r="BQ63" i="29"/>
  <c r="BM113" i="29"/>
  <c r="BN66" i="29"/>
  <c r="BO35" i="29"/>
  <c r="BN116" i="29"/>
  <c r="BU207" i="29"/>
  <c r="BN34" i="29"/>
  <c r="BO82" i="29"/>
  <c r="BN156" i="29"/>
  <c r="BP55" i="29"/>
  <c r="BP117" i="29"/>
  <c r="BN119" i="29"/>
  <c r="BU123" i="29"/>
  <c r="BU126" i="29" s="1"/>
  <c r="BO154" i="29"/>
  <c r="BQ173" i="29"/>
  <c r="BP173" i="29"/>
  <c r="BM180" i="29"/>
  <c r="BN182" i="29"/>
  <c r="AJ199" i="29"/>
  <c r="BW12" i="29"/>
  <c r="BW209" i="29" s="1"/>
  <c r="CC196" i="29"/>
  <c r="BV15" i="47" s="1"/>
  <c r="BN26" i="29"/>
  <c r="BP27" i="29"/>
  <c r="BW33" i="29"/>
  <c r="BU52" i="29"/>
  <c r="BN53" i="29"/>
  <c r="BX68" i="29"/>
  <c r="BX71" i="29" s="1"/>
  <c r="BV69" i="29"/>
  <c r="BQ70" i="29"/>
  <c r="BP70" i="29"/>
  <c r="BV74" i="29"/>
  <c r="BW78" i="29"/>
  <c r="BJ201" i="29"/>
  <c r="BP87" i="29"/>
  <c r="BP99" i="29"/>
  <c r="BQ116" i="29"/>
  <c r="BQ120" i="29" s="1"/>
  <c r="BO134" i="29"/>
  <c r="BQ147" i="29"/>
  <c r="BP147" i="29"/>
  <c r="BP42" i="29"/>
  <c r="BP43" i="29"/>
  <c r="BO46" i="29"/>
  <c r="BV50" i="29"/>
  <c r="BP53" i="29"/>
  <c r="BP81" i="29"/>
  <c r="W207" i="29"/>
  <c r="AF207" i="29"/>
  <c r="BP91" i="29"/>
  <c r="BX92" i="29"/>
  <c r="BX96" i="29" s="1"/>
  <c r="BW103" i="29"/>
  <c r="BR131" i="29"/>
  <c r="BP131" i="29"/>
  <c r="BP143" i="29"/>
  <c r="BQ150" i="29"/>
  <c r="BP150" i="29"/>
  <c r="BV152" i="29"/>
  <c r="BP157" i="29"/>
  <c r="BQ161" i="29"/>
  <c r="BP161" i="29"/>
  <c r="BR165" i="29"/>
  <c r="BR168" i="29" s="1"/>
  <c r="BP54" i="29"/>
  <c r="BN60" i="29"/>
  <c r="BT131" i="29"/>
  <c r="BX12" i="29"/>
  <c r="BX209" i="29" s="1"/>
  <c r="BX28" i="29"/>
  <c r="BU40" i="29"/>
  <c r="BR31" i="29"/>
  <c r="BU48" i="29"/>
  <c r="BU76" i="29"/>
  <c r="BU79" i="29" s="1"/>
  <c r="BO129" i="29"/>
  <c r="AC199" i="29"/>
  <c r="CD199" i="29"/>
  <c r="BR109" i="29"/>
  <c r="BQ146" i="29"/>
  <c r="BP146" i="29"/>
  <c r="BZ199" i="29"/>
  <c r="W206" i="29"/>
  <c r="BO33" i="29"/>
  <c r="BX52" i="29"/>
  <c r="BN122" i="29"/>
  <c r="BU135" i="29"/>
  <c r="BU138" i="29" s="1"/>
  <c r="BU155" i="29"/>
  <c r="AV199" i="29"/>
  <c r="BP20" i="29"/>
  <c r="BU25" i="29"/>
  <c r="BR29" i="29"/>
  <c r="BP28" i="29"/>
  <c r="BV45" i="29"/>
  <c r="BT46" i="29"/>
  <c r="BV49" i="29"/>
  <c r="BQ50" i="29"/>
  <c r="BO68" i="29"/>
  <c r="BU75" i="29"/>
  <c r="BP74" i="29"/>
  <c r="BP82" i="29"/>
  <c r="BV101" i="29"/>
  <c r="BQ104" i="29"/>
  <c r="BQ108" i="29" s="1"/>
  <c r="BP119" i="29"/>
  <c r="BV121" i="29"/>
  <c r="BP134" i="29"/>
  <c r="BW141" i="29"/>
  <c r="BQ144" i="29"/>
  <c r="BP144" i="29"/>
  <c r="BW165" i="29"/>
  <c r="BV169" i="29"/>
  <c r="BV172" i="29"/>
  <c r="BG199" i="29"/>
  <c r="BW21" i="29"/>
  <c r="BX183" i="29"/>
  <c r="BX185" i="29" s="1"/>
  <c r="X199" i="29"/>
  <c r="BI200" i="29"/>
  <c r="AX206" i="29"/>
  <c r="BQ65" i="29"/>
  <c r="BP65" i="29"/>
  <c r="AX207" i="29"/>
  <c r="BW133" i="29"/>
  <c r="BV133" i="29"/>
  <c r="CF199" i="29"/>
  <c r="BN137" i="29"/>
  <c r="BK209" i="29"/>
  <c r="CB196" i="29"/>
  <c r="BU15" i="47" s="1"/>
  <c r="Z196" i="29"/>
  <c r="S15" i="47" s="1"/>
  <c r="AL196" i="29"/>
  <c r="AE15" i="47" s="1"/>
  <c r="CH196" i="29"/>
  <c r="CA15" i="47" s="1"/>
  <c r="BP14" i="29"/>
  <c r="BV18" i="29"/>
  <c r="BX25" i="29"/>
  <c r="BR23" i="29"/>
  <c r="BR25" i="29" s="1"/>
  <c r="BU36" i="29"/>
  <c r="BR44" i="29"/>
  <c r="BR67" i="29"/>
  <c r="BP69" i="29"/>
  <c r="BQ69" i="29"/>
  <c r="BX75" i="29"/>
  <c r="BP76" i="29"/>
  <c r="BP79" i="29" s="1"/>
  <c r="BV87" i="29"/>
  <c r="BM93" i="29"/>
  <c r="BX120" i="29"/>
  <c r="BN118" i="29"/>
  <c r="BV125" i="29"/>
  <c r="BU132" i="29"/>
  <c r="BP129" i="29"/>
  <c r="BV131" i="29"/>
  <c r="AM208" i="29"/>
  <c r="BP153" i="29"/>
  <c r="BW162" i="29"/>
  <c r="BV162" i="29"/>
  <c r="BV163" i="29"/>
  <c r="BV174" i="29"/>
  <c r="BW182" i="29"/>
  <c r="BV182" i="29"/>
  <c r="BO193" i="29"/>
  <c r="BO195" i="29" s="1"/>
  <c r="S199" i="29"/>
  <c r="BB199" i="29"/>
  <c r="BP51" i="29"/>
  <c r="BO58" i="29"/>
  <c r="BP83" i="29"/>
  <c r="BM89" i="29"/>
  <c r="BP94" i="29"/>
  <c r="BN128" i="29"/>
  <c r="BV136" i="29"/>
  <c r="BP188" i="29"/>
  <c r="BP95" i="29"/>
  <c r="BW97" i="29"/>
  <c r="BQ151" i="29"/>
  <c r="BP151" i="29"/>
  <c r="BU164" i="29"/>
  <c r="BU185" i="29"/>
  <c r="BU193" i="29"/>
  <c r="BU195" i="29" s="1"/>
  <c r="BP191" i="29"/>
  <c r="BQ191" i="29"/>
  <c r="Q199" i="29"/>
  <c r="AL199" i="29"/>
  <c r="CJ199" i="29"/>
  <c r="BO143" i="29"/>
  <c r="BX164" i="29"/>
  <c r="BV166" i="29"/>
  <c r="BR176" i="29"/>
  <c r="BR179" i="29" s="1"/>
  <c r="BN188" i="29"/>
  <c r="AU199" i="29"/>
  <c r="BP194" i="29"/>
  <c r="BQ194" i="29"/>
  <c r="BQ195" i="29" s="1"/>
  <c r="BA199" i="29"/>
  <c r="BU59" i="29"/>
  <c r="BX63" i="29"/>
  <c r="BU71" i="29"/>
  <c r="BP93" i="29"/>
  <c r="BP110" i="29"/>
  <c r="BP122" i="29"/>
  <c r="BP130" i="29"/>
  <c r="BU148" i="29"/>
  <c r="BP174" i="29"/>
  <c r="BV178" i="29"/>
  <c r="CA199" i="29"/>
  <c r="BD199" i="29"/>
  <c r="R199" i="29"/>
  <c r="P199" i="29"/>
  <c r="N199" i="29"/>
  <c r="BC199" i="29"/>
  <c r="CH199" i="29"/>
  <c r="Z199" i="29"/>
  <c r="CB199" i="29"/>
  <c r="BH199" i="29"/>
  <c r="AD199" i="29"/>
  <c r="F15" i="47"/>
  <c r="J199" i="29"/>
  <c r="L199" i="29"/>
  <c r="K199" i="29"/>
  <c r="BX22" i="32"/>
  <c r="BO25" i="32"/>
  <c r="BN37" i="32"/>
  <c r="BQ43" i="32"/>
  <c r="BN19" i="32"/>
  <c r="BU27" i="32"/>
  <c r="BO24" i="32"/>
  <c r="BN38" i="32"/>
  <c r="BO42" i="32"/>
  <c r="BN20" i="32"/>
  <c r="BN36" i="32"/>
  <c r="BM61" i="32"/>
  <c r="BT61" i="32"/>
  <c r="BS61" i="32"/>
  <c r="BO21" i="32"/>
  <c r="BQ35" i="32"/>
  <c r="BN48" i="32"/>
  <c r="BT74" i="32"/>
  <c r="BM74" i="32"/>
  <c r="BM26" i="32"/>
  <c r="BT26" i="32"/>
  <c r="BS26" i="32"/>
  <c r="BM33" i="32"/>
  <c r="BN49" i="32"/>
  <c r="BN18" i="32"/>
  <c r="Y294" i="32"/>
  <c r="R18" i="47" s="1"/>
  <c r="AK294" i="32"/>
  <c r="AD18" i="47" s="1"/>
  <c r="AP18" i="47"/>
  <c r="BC294" i="32"/>
  <c r="AV18" i="47" s="1"/>
  <c r="BU13" i="32"/>
  <c r="BN15" i="32"/>
  <c r="BP15" i="32"/>
  <c r="BW15" i="32"/>
  <c r="BR16" i="32"/>
  <c r="BR17" i="32" s="1"/>
  <c r="BQ19" i="32"/>
  <c r="BQ22" i="32" s="1"/>
  <c r="BV21" i="32"/>
  <c r="BQ23" i="32"/>
  <c r="BQ27" i="32" s="1"/>
  <c r="BN24" i="32"/>
  <c r="BV25" i="32"/>
  <c r="BR25" i="32"/>
  <c r="BR27" i="32" s="1"/>
  <c r="BP26" i="32"/>
  <c r="BN26" i="32"/>
  <c r="AX294" i="32"/>
  <c r="BU295" i="32" s="1"/>
  <c r="BP29" i="32"/>
  <c r="BO29" i="32"/>
  <c r="BN32" i="32"/>
  <c r="BW36" i="32"/>
  <c r="BP36" i="32"/>
  <c r="BP39" i="32" s="1"/>
  <c r="BX36" i="32"/>
  <c r="BX39" i="32" s="1"/>
  <c r="BN42" i="32"/>
  <c r="BQ44" i="32"/>
  <c r="BQ45" i="32" s="1"/>
  <c r="BQ54" i="32"/>
  <c r="BP54" i="32"/>
  <c r="BM54" i="32"/>
  <c r="BP65" i="32"/>
  <c r="BR65" i="32"/>
  <c r="BN63" i="32"/>
  <c r="BN69" i="32"/>
  <c r="BQ96" i="32"/>
  <c r="BN94" i="32"/>
  <c r="BQ12" i="32"/>
  <c r="BW12" i="32"/>
  <c r="AM298" i="32"/>
  <c r="AM304" i="32"/>
  <c r="BU18" i="32"/>
  <c r="BU22" i="32" s="1"/>
  <c r="BO26" i="32"/>
  <c r="BL26" i="32"/>
  <c r="BW29" i="32"/>
  <c r="BO32" i="32"/>
  <c r="BW34" i="32"/>
  <c r="BW40" i="32"/>
  <c r="BI299" i="32"/>
  <c r="BW47" i="32"/>
  <c r="BJ305" i="32"/>
  <c r="BX50" i="32"/>
  <c r="BN51" i="32"/>
  <c r="BM56" i="32"/>
  <c r="BS56" i="32"/>
  <c r="BM62" i="32"/>
  <c r="BU68" i="32"/>
  <c r="BW69" i="32"/>
  <c r="BV69" i="32"/>
  <c r="BO70" i="32"/>
  <c r="BT72" i="32"/>
  <c r="BM73" i="32"/>
  <c r="BT73" i="32"/>
  <c r="BR12" i="32"/>
  <c r="BX13" i="32"/>
  <c r="AN298" i="32"/>
  <c r="AX298" i="32"/>
  <c r="BU14" i="32"/>
  <c r="BN16" i="32"/>
  <c r="BO18" i="32"/>
  <c r="BO20" i="32"/>
  <c r="BJ294" i="32"/>
  <c r="BX295" i="32" s="1"/>
  <c r="BW24" i="32"/>
  <c r="BV24" i="32"/>
  <c r="BV27" i="32" s="1"/>
  <c r="BX26" i="32"/>
  <c r="BX27" i="32" s="1"/>
  <c r="BO28" i="32"/>
  <c r="BQ29" i="32"/>
  <c r="BQ31" i="32" s="1"/>
  <c r="BN30" i="32"/>
  <c r="BX32" i="32"/>
  <c r="BX35" i="32" s="1"/>
  <c r="BO33" i="32"/>
  <c r="BO37" i="32"/>
  <c r="BW37" i="32"/>
  <c r="BX40" i="32"/>
  <c r="BX43" i="32" s="1"/>
  <c r="BW42" i="32"/>
  <c r="BV42" i="32"/>
  <c r="BN44" i="32"/>
  <c r="BN45" i="32" s="1"/>
  <c r="BX46" i="32"/>
  <c r="BJ299" i="32"/>
  <c r="BX47" i="32"/>
  <c r="BW51" i="32"/>
  <c r="BV51" i="32"/>
  <c r="BN60" i="32"/>
  <c r="BW60" i="32"/>
  <c r="BR75" i="32"/>
  <c r="BR77" i="32" s="1"/>
  <c r="BP75" i="32"/>
  <c r="BN81" i="32"/>
  <c r="BU90" i="32"/>
  <c r="U18" i="47"/>
  <c r="AH294" i="32"/>
  <c r="V295" i="32" s="1"/>
  <c r="AZ294" i="32"/>
  <c r="AY18" i="47"/>
  <c r="CE294" i="32"/>
  <c r="BX18" i="47" s="1"/>
  <c r="V298" i="32"/>
  <c r="BN14" i="32"/>
  <c r="BW18" i="32"/>
  <c r="BW22" i="32" s="1"/>
  <c r="BN23" i="32"/>
  <c r="BP25" i="32"/>
  <c r="BN25" i="32"/>
  <c r="BV29" i="32"/>
  <c r="BO30" i="32"/>
  <c r="BR32" i="32"/>
  <c r="BR35" i="32" s="1"/>
  <c r="BN33" i="32"/>
  <c r="BP33" i="32"/>
  <c r="BW33" i="32"/>
  <c r="BN41" i="32"/>
  <c r="AF304" i="32"/>
  <c r="BP49" i="32"/>
  <c r="V305" i="32"/>
  <c r="BP50" i="32"/>
  <c r="BW55" i="32"/>
  <c r="BO60" i="32"/>
  <c r="BN61" i="32"/>
  <c r="BQ66" i="32"/>
  <c r="BM72" i="32"/>
  <c r="BO81" i="32"/>
  <c r="BN88" i="32"/>
  <c r="W298" i="32"/>
  <c r="BW16" i="32"/>
  <c r="AM294" i="32"/>
  <c r="BQ295" i="32" s="1"/>
  <c r="BR18" i="32"/>
  <c r="BR22" i="32" s="1"/>
  <c r="BN21" i="32"/>
  <c r="BX28" i="32"/>
  <c r="BX31" i="32" s="1"/>
  <c r="BW30" i="32"/>
  <c r="BV30" i="32"/>
  <c r="BP34" i="32"/>
  <c r="BU36" i="32"/>
  <c r="BU39" i="32" s="1"/>
  <c r="BM46" i="32"/>
  <c r="W305" i="32"/>
  <c r="BN55" i="32"/>
  <c r="BP67" i="32"/>
  <c r="BQ67" i="32"/>
  <c r="BO74" i="32"/>
  <c r="BN76" i="32"/>
  <c r="BO12" i="32"/>
  <c r="BX14" i="32"/>
  <c r="BQ16" i="32"/>
  <c r="BX16" i="32"/>
  <c r="BW23" i="32"/>
  <c r="BN34" i="32"/>
  <c r="BO36" i="32"/>
  <c r="BO38" i="32"/>
  <c r="BU43" i="32"/>
  <c r="BP44" i="32"/>
  <c r="BP45" i="32" s="1"/>
  <c r="BW46" i="32"/>
  <c r="AX299" i="32"/>
  <c r="BW48" i="32"/>
  <c r="BV48" i="32"/>
  <c r="BO49" i="32"/>
  <c r="W294" i="32"/>
  <c r="AI295" i="32" s="1"/>
  <c r="BO54" i="32"/>
  <c r="BO56" i="32"/>
  <c r="BV59" i="32"/>
  <c r="CB294" i="32"/>
  <c r="BU18" i="47" s="1"/>
  <c r="CH294" i="32"/>
  <c r="BI298" i="32"/>
  <c r="W304" i="32"/>
  <c r="AX304" i="32"/>
  <c r="V299" i="32"/>
  <c r="AN299" i="32"/>
  <c r="BR47" i="32"/>
  <c r="BI305" i="32"/>
  <c r="BU50" i="32"/>
  <c r="BU305" i="32" s="1"/>
  <c r="AO299" i="32"/>
  <c r="BN53" i="32"/>
  <c r="BN57" i="32"/>
  <c r="AE299" i="32"/>
  <c r="BQ59" i="32"/>
  <c r="BQ61" i="32"/>
  <c r="BW63" i="32"/>
  <c r="BV63" i="32"/>
  <c r="BN67" i="32"/>
  <c r="BN68" i="32"/>
  <c r="BO69" i="32"/>
  <c r="BV73" i="32"/>
  <c r="BN75" i="32"/>
  <c r="BP76" i="32"/>
  <c r="BN82" i="32"/>
  <c r="BP83" i="32"/>
  <c r="BQ85" i="32"/>
  <c r="BQ90" i="32" s="1"/>
  <c r="BW86" i="32"/>
  <c r="BV86" i="32"/>
  <c r="BX95" i="32"/>
  <c r="BX96" i="32" s="1"/>
  <c r="BO97" i="32"/>
  <c r="BW97" i="32"/>
  <c r="V300" i="32"/>
  <c r="AO300" i="32"/>
  <c r="BP99" i="32"/>
  <c r="BP300" i="32" s="1"/>
  <c r="BN100" i="32"/>
  <c r="AM303" i="32"/>
  <c r="BV101" i="32"/>
  <c r="BO105" i="32"/>
  <c r="BN111" i="32"/>
  <c r="BN114" i="32"/>
  <c r="BU130" i="32"/>
  <c r="BN83" i="32"/>
  <c r="BW92" i="32"/>
  <c r="BV92" i="32"/>
  <c r="AP300" i="32"/>
  <c r="BO100" i="32"/>
  <c r="BT112" i="32"/>
  <c r="BM112" i="32"/>
  <c r="BS112" i="32"/>
  <c r="BN117" i="32"/>
  <c r="BO118" i="32"/>
  <c r="BS119" i="32"/>
  <c r="BM119" i="32"/>
  <c r="BT119" i="32"/>
  <c r="BM129" i="32"/>
  <c r="BS129" i="32"/>
  <c r="BN132" i="32"/>
  <c r="BO133" i="32"/>
  <c r="BN136" i="32"/>
  <c r="BX53" i="32"/>
  <c r="BX58" i="32" s="1"/>
  <c r="BQ55" i="32"/>
  <c r="BQ58" i="32" s="1"/>
  <c r="BW57" i="32"/>
  <c r="BV57" i="32"/>
  <c r="BX60" i="32"/>
  <c r="BX65" i="32" s="1"/>
  <c r="BO62" i="32"/>
  <c r="BO64" i="32"/>
  <c r="BW75" i="32"/>
  <c r="BV75" i="32"/>
  <c r="BO76" i="32"/>
  <c r="BO78" i="32"/>
  <c r="BW78" i="32"/>
  <c r="BO83" i="32"/>
  <c r="BP88" i="32"/>
  <c r="BN89" i="32"/>
  <c r="BV89" i="32"/>
  <c r="BT93" i="32"/>
  <c r="BM93" i="32"/>
  <c r="BP95" i="32"/>
  <c r="BW98" i="32"/>
  <c r="BV98" i="32"/>
  <c r="AE300" i="32"/>
  <c r="BN99" i="32"/>
  <c r="BN300" i="32" s="1"/>
  <c r="BM104" i="32"/>
  <c r="BX113" i="32"/>
  <c r="BN123" i="32"/>
  <c r="BO136" i="32"/>
  <c r="AN305" i="32"/>
  <c r="BR50" i="32"/>
  <c r="BQ51" i="32"/>
  <c r="BN54" i="32"/>
  <c r="BW54" i="32"/>
  <c r="BU65" i="32"/>
  <c r="BW62" i="32"/>
  <c r="BN66" i="32"/>
  <c r="BR66" i="32"/>
  <c r="BR71" i="32" s="1"/>
  <c r="BW68" i="32"/>
  <c r="BV68" i="32"/>
  <c r="BQ72" i="32"/>
  <c r="BQ77" i="32" s="1"/>
  <c r="BP81" i="32"/>
  <c r="BW81" i="32"/>
  <c r="BV81" i="32"/>
  <c r="BO82" i="32"/>
  <c r="BS82" i="32"/>
  <c r="BO89" i="32"/>
  <c r="BN93" i="32"/>
  <c r="BP94" i="32"/>
  <c r="BN95" i="32"/>
  <c r="BX97" i="32"/>
  <c r="BX107" i="32" s="1"/>
  <c r="AX300" i="32"/>
  <c r="BU99" i="32"/>
  <c r="BU300" i="32" s="1"/>
  <c r="BN106" i="32"/>
  <c r="BN142" i="32"/>
  <c r="BU71" i="32"/>
  <c r="BN72" i="32"/>
  <c r="BW74" i="32"/>
  <c r="BW77" i="32" s="1"/>
  <c r="BV74" i="32"/>
  <c r="BT82" i="32"/>
  <c r="BW87" i="32"/>
  <c r="BV87" i="32"/>
  <c r="BO88" i="32"/>
  <c r="BO95" i="32"/>
  <c r="V303" i="32"/>
  <c r="BN102" i="32"/>
  <c r="BO106" i="32"/>
  <c r="BM116" i="32"/>
  <c r="BT116" i="32"/>
  <c r="BS116" i="32"/>
  <c r="BN121" i="32"/>
  <c r="BN126" i="32"/>
  <c r="BS127" i="32"/>
  <c r="BM127" i="32"/>
  <c r="BT127" i="32"/>
  <c r="BN134" i="32"/>
  <c r="BM135" i="32"/>
  <c r="BO139" i="32"/>
  <c r="BR46" i="32"/>
  <c r="AM299" i="32"/>
  <c r="BQ47" i="32"/>
  <c r="BU53" i="32"/>
  <c r="BU58" i="32" s="1"/>
  <c r="BO59" i="32"/>
  <c r="BP70" i="32"/>
  <c r="BU77" i="32"/>
  <c r="BN78" i="32"/>
  <c r="BQ79" i="32"/>
  <c r="BQ84" i="32" s="1"/>
  <c r="BW80" i="32"/>
  <c r="BV80" i="32"/>
  <c r="BP85" i="32"/>
  <c r="BP93" i="32"/>
  <c r="BW93" i="32"/>
  <c r="BV93" i="32"/>
  <c r="BO94" i="32"/>
  <c r="BN97" i="32"/>
  <c r="BM103" i="32"/>
  <c r="BO116" i="32"/>
  <c r="BP102" i="32"/>
  <c r="BV104" i="32"/>
  <c r="BR109" i="32"/>
  <c r="BN110" i="32"/>
  <c r="BV111" i="32"/>
  <c r="BR111" i="32"/>
  <c r="BR113" i="32" s="1"/>
  <c r="BN112" i="32"/>
  <c r="BR114" i="32"/>
  <c r="BR120" i="32" s="1"/>
  <c r="V301" i="32"/>
  <c r="BN115" i="32"/>
  <c r="BO117" i="32"/>
  <c r="BN119" i="32"/>
  <c r="BQ121" i="32"/>
  <c r="BQ124" i="32" s="1"/>
  <c r="BO122" i="32"/>
  <c r="BV122" i="32"/>
  <c r="BO126" i="32"/>
  <c r="BQ128" i="32"/>
  <c r="BP129" i="32"/>
  <c r="BN131" i="32"/>
  <c r="BU131" i="32"/>
  <c r="BU137" i="32" s="1"/>
  <c r="BQ132" i="32"/>
  <c r="BQ134" i="32"/>
  <c r="BW136" i="32"/>
  <c r="BV136" i="32"/>
  <c r="BP139" i="32"/>
  <c r="BV139" i="32"/>
  <c r="BX140" i="32"/>
  <c r="BX144" i="32" s="1"/>
  <c r="BR142" i="32"/>
  <c r="BO147" i="32"/>
  <c r="BW150" i="32"/>
  <c r="BV151" i="32"/>
  <c r="BO162" i="32"/>
  <c r="BO168" i="32"/>
  <c r="BQ178" i="32"/>
  <c r="AM300" i="32"/>
  <c r="BQ99" i="32"/>
  <c r="BQ300" i="32" s="1"/>
  <c r="BW99" i="32"/>
  <c r="BW300" i="32" s="1"/>
  <c r="BI303" i="32"/>
  <c r="BU101" i="32"/>
  <c r="BU303" i="32" s="1"/>
  <c r="BP103" i="32"/>
  <c r="BV105" i="32"/>
  <c r="BU306" i="32"/>
  <c r="BU109" i="32"/>
  <c r="BQ110" i="32"/>
  <c r="BQ113" i="32" s="1"/>
  <c r="BP111" i="32"/>
  <c r="BO112" i="32"/>
  <c r="BO113" i="32" s="1"/>
  <c r="W301" i="32"/>
  <c r="BV118" i="32"/>
  <c r="BO119" i="32"/>
  <c r="BR121" i="32"/>
  <c r="BN122" i="32"/>
  <c r="BW122" i="32"/>
  <c r="BW124" i="32" s="1"/>
  <c r="BV123" i="32"/>
  <c r="BR123" i="32"/>
  <c r="BQ126" i="32"/>
  <c r="BV128" i="32"/>
  <c r="BN129" i="32"/>
  <c r="BN133" i="32"/>
  <c r="BV134" i="32"/>
  <c r="BR134" i="32"/>
  <c r="BN135" i="32"/>
  <c r="BR136" i="32"/>
  <c r="BU144" i="32"/>
  <c r="BN139" i="32"/>
  <c r="BO141" i="32"/>
  <c r="BO149" i="32"/>
  <c r="BN163" i="32"/>
  <c r="BP172" i="32"/>
  <c r="BN175" i="32"/>
  <c r="BV182" i="32"/>
  <c r="AN300" i="32"/>
  <c r="BR99" i="32"/>
  <c r="BR300" i="32" s="1"/>
  <c r="BX300" i="32"/>
  <c r="BJ303" i="32"/>
  <c r="BI306" i="32"/>
  <c r="BO108" i="32"/>
  <c r="BW108" i="32"/>
  <c r="BW112" i="32"/>
  <c r="BW113" i="32" s="1"/>
  <c r="AE301" i="32"/>
  <c r="BQ115" i="32"/>
  <c r="BX115" i="32"/>
  <c r="BQ117" i="32"/>
  <c r="BW119" i="32"/>
  <c r="BV119" i="32"/>
  <c r="BX122" i="32"/>
  <c r="BX124" i="32" s="1"/>
  <c r="BP123" i="32"/>
  <c r="BN125" i="32"/>
  <c r="BN127" i="32"/>
  <c r="BW131" i="32"/>
  <c r="BP137" i="32"/>
  <c r="BX131" i="32"/>
  <c r="BX133" i="32"/>
  <c r="BO135" i="32"/>
  <c r="BR138" i="32"/>
  <c r="BN145" i="32"/>
  <c r="BN146" i="32" s="1"/>
  <c r="BN148" i="32"/>
  <c r="BQ157" i="32"/>
  <c r="BN154" i="32"/>
  <c r="BP165" i="32"/>
  <c r="BO166" i="32"/>
  <c r="BX178" i="32"/>
  <c r="BM174" i="32"/>
  <c r="BS174" i="32"/>
  <c r="BO103" i="32"/>
  <c r="BN104" i="32"/>
  <c r="BR106" i="32"/>
  <c r="BR301" i="32"/>
  <c r="BN116" i="32"/>
  <c r="BW116" i="32"/>
  <c r="BO127" i="32"/>
  <c r="BW129" i="32"/>
  <c r="BW135" i="32"/>
  <c r="BU157" i="32"/>
  <c r="BO154" i="32"/>
  <c r="BO177" i="32"/>
  <c r="BM192" i="32"/>
  <c r="BT192" i="32"/>
  <c r="BS192" i="32"/>
  <c r="BR101" i="32"/>
  <c r="BR303" i="32" s="1"/>
  <c r="BX303" i="32"/>
  <c r="BV102" i="32"/>
  <c r="BK306" i="32"/>
  <c r="BV108" i="32"/>
  <c r="BM110" i="32"/>
  <c r="BW125" i="32"/>
  <c r="BP125" i="32"/>
  <c r="BX127" i="32"/>
  <c r="BX130" i="32" s="1"/>
  <c r="BY137" i="32"/>
  <c r="BY294" i="32" s="1"/>
  <c r="BR18" i="47" s="1"/>
  <c r="BS141" i="32"/>
  <c r="BT141" i="32"/>
  <c r="BW141" i="32"/>
  <c r="BW144" i="32" s="1"/>
  <c r="BV141" i="32"/>
  <c r="BO158" i="32"/>
  <c r="BO160" i="32"/>
  <c r="BT170" i="32"/>
  <c r="BM170" i="32"/>
  <c r="BS170" i="32"/>
  <c r="BM180" i="32"/>
  <c r="BS180" i="32"/>
  <c r="BT180" i="32"/>
  <c r="BV103" i="32"/>
  <c r="BQ109" i="32"/>
  <c r="BX109" i="32"/>
  <c r="BV110" i="32"/>
  <c r="AN301" i="32"/>
  <c r="AX301" i="32"/>
  <c r="BU115" i="32"/>
  <c r="BU301" i="32" s="1"/>
  <c r="BO121" i="32"/>
  <c r="BR125" i="32"/>
  <c r="BR130" i="32" s="1"/>
  <c r="BN128" i="32"/>
  <c r="BO132" i="32"/>
  <c r="BO143" i="32"/>
  <c r="BP145" i="32"/>
  <c r="BP146" i="32" s="1"/>
  <c r="BO152" i="32"/>
  <c r="BO153" i="32"/>
  <c r="BM156" i="32"/>
  <c r="BT156" i="32"/>
  <c r="BS156" i="32"/>
  <c r="BO176" i="32"/>
  <c r="BI301" i="32"/>
  <c r="BP140" i="32"/>
  <c r="BV142" i="32"/>
  <c r="BX147" i="32"/>
  <c r="BX150" i="32" s="1"/>
  <c r="BV148" i="32"/>
  <c r="BQ149" i="32"/>
  <c r="BQ150" i="32" s="1"/>
  <c r="BO151" i="32"/>
  <c r="BN153" i="32"/>
  <c r="BV154" i="32"/>
  <c r="BP155" i="32"/>
  <c r="BP159" i="32"/>
  <c r="BO159" i="32"/>
  <c r="BO161" i="32"/>
  <c r="BR165" i="32"/>
  <c r="BR171" i="32" s="1"/>
  <c r="BP166" i="32"/>
  <c r="BV167" i="32"/>
  <c r="BN168" i="32"/>
  <c r="BV169" i="32"/>
  <c r="BN170" i="32"/>
  <c r="BR172" i="32"/>
  <c r="BR178" i="32" s="1"/>
  <c r="BP173" i="32"/>
  <c r="BN177" i="32"/>
  <c r="BO179" i="32"/>
  <c r="BO180" i="32"/>
  <c r="BW180" i="32"/>
  <c r="BW182" i="32" s="1"/>
  <c r="BW183" i="32"/>
  <c r="BN184" i="32"/>
  <c r="BN185" i="32"/>
  <c r="BN186" i="32"/>
  <c r="BW187" i="32"/>
  <c r="BV187" i="32"/>
  <c r="BR190" i="32"/>
  <c r="BQ191" i="32"/>
  <c r="BX192" i="32"/>
  <c r="BX195" i="32" s="1"/>
  <c r="BV192" i="32"/>
  <c r="BN197" i="32"/>
  <c r="BN198" i="32"/>
  <c r="BM203" i="32"/>
  <c r="BS203" i="32"/>
  <c r="BV207" i="32"/>
  <c r="BW207" i="32"/>
  <c r="BT208" i="32"/>
  <c r="BM208" i="32"/>
  <c r="BO213" i="32"/>
  <c r="BO145" i="32"/>
  <c r="BO146" i="32" s="1"/>
  <c r="BR148" i="32"/>
  <c r="BR150" i="32" s="1"/>
  <c r="BW151" i="32"/>
  <c r="BO155" i="32"/>
  <c r="BW159" i="32"/>
  <c r="BV159" i="32"/>
  <c r="BQ161" i="32"/>
  <c r="BX161" i="32"/>
  <c r="BQ163" i="32"/>
  <c r="BX163" i="32"/>
  <c r="BX168" i="32"/>
  <c r="BX171" i="32" s="1"/>
  <c r="BP170" i="32"/>
  <c r="BO170" i="32"/>
  <c r="BO173" i="32"/>
  <c r="BW175" i="32"/>
  <c r="BV176" i="32"/>
  <c r="BO181" i="32"/>
  <c r="BP183" i="32"/>
  <c r="BR184" i="32"/>
  <c r="BR188" i="32" s="1"/>
  <c r="BO185" i="32"/>
  <c r="BW193" i="32"/>
  <c r="BV193" i="32"/>
  <c r="BM194" i="32"/>
  <c r="BT194" i="32"/>
  <c r="BO198" i="32"/>
  <c r="BN202" i="32"/>
  <c r="BW202" i="32"/>
  <c r="BM206" i="32"/>
  <c r="BQ138" i="32"/>
  <c r="BQ144" i="32" s="1"/>
  <c r="BN147" i="32"/>
  <c r="BW153" i="32"/>
  <c r="BV153" i="32"/>
  <c r="BO156" i="32"/>
  <c r="BN158" i="32"/>
  <c r="BU158" i="32"/>
  <c r="BU164" i="32" s="1"/>
  <c r="BP160" i="32"/>
  <c r="BN162" i="32"/>
  <c r="BP162" i="32"/>
  <c r="BO174" i="32"/>
  <c r="BW177" i="32"/>
  <c r="BV177" i="32"/>
  <c r="BQ180" i="32"/>
  <c r="BT186" i="32"/>
  <c r="BO187" i="32"/>
  <c r="BU189" i="32"/>
  <c r="BU195" i="32" s="1"/>
  <c r="BN190" i="32"/>
  <c r="BM193" i="32"/>
  <c r="BO196" i="32"/>
  <c r="BO201" i="32"/>
  <c r="BO204" i="32"/>
  <c r="BP206" i="32"/>
  <c r="BV206" i="32"/>
  <c r="BQ145" i="32"/>
  <c r="BQ146" i="32" s="1"/>
  <c r="BU147" i="32"/>
  <c r="BU150" i="32" s="1"/>
  <c r="BP154" i="32"/>
  <c r="BN156" i="32"/>
  <c r="BP156" i="32"/>
  <c r="BW156" i="32"/>
  <c r="BW160" i="32"/>
  <c r="BX162" i="32"/>
  <c r="BN165" i="32"/>
  <c r="BU165" i="32"/>
  <c r="BU171" i="32" s="1"/>
  <c r="BN167" i="32"/>
  <c r="BO169" i="32"/>
  <c r="BN172" i="32"/>
  <c r="BU178" i="32"/>
  <c r="BN174" i="32"/>
  <c r="BP174" i="32"/>
  <c r="BN176" i="32"/>
  <c r="BN180" i="32"/>
  <c r="BQ181" i="32"/>
  <c r="BN183" i="32"/>
  <c r="BO189" i="32"/>
  <c r="BO190" i="32"/>
  <c r="BN191" i="32"/>
  <c r="BN192" i="32"/>
  <c r="BU199" i="32"/>
  <c r="BQ201" i="32"/>
  <c r="BP201" i="32"/>
  <c r="BP205" i="32" s="1"/>
  <c r="BM201" i="32"/>
  <c r="BR214" i="32"/>
  <c r="BO218" i="32"/>
  <c r="BO167" i="32"/>
  <c r="BV170" i="32"/>
  <c r="BW172" i="32"/>
  <c r="BP175" i="32"/>
  <c r="BR179" i="32"/>
  <c r="BR182" i="32" s="1"/>
  <c r="BO183" i="32"/>
  <c r="BO184" i="32"/>
  <c r="BT184" i="32"/>
  <c r="BP186" i="32"/>
  <c r="BO191" i="32"/>
  <c r="BR196" i="32"/>
  <c r="BW165" i="32"/>
  <c r="BW171" i="32" s="1"/>
  <c r="BM184" i="32"/>
  <c r="BX186" i="32"/>
  <c r="BX188" i="32" s="1"/>
  <c r="BN194" i="32"/>
  <c r="BW197" i="32"/>
  <c r="BT201" i="32"/>
  <c r="BN210" i="32"/>
  <c r="BO211" i="32"/>
  <c r="BO212" i="32"/>
  <c r="BN213" i="32"/>
  <c r="BR158" i="32"/>
  <c r="BR164" i="32" s="1"/>
  <c r="BQ165" i="32"/>
  <c r="BQ171" i="32" s="1"/>
  <c r="BP187" i="32"/>
  <c r="BQ189" i="32"/>
  <c r="BW189" i="32"/>
  <c r="BP193" i="32"/>
  <c r="BP195" i="32" s="1"/>
  <c r="BR198" i="32"/>
  <c r="BU200" i="32"/>
  <c r="BU205" i="32" s="1"/>
  <c r="BV201" i="32"/>
  <c r="BR201" i="32"/>
  <c r="BR205" i="32" s="1"/>
  <c r="BO206" i="32"/>
  <c r="BW209" i="32"/>
  <c r="BW217" i="32"/>
  <c r="BX227" i="32"/>
  <c r="BQ184" i="32"/>
  <c r="BQ188" i="32" s="1"/>
  <c r="BR189" i="32"/>
  <c r="BO197" i="32"/>
  <c r="BN200" i="32"/>
  <c r="BV200" i="32"/>
  <c r="BQ203" i="32"/>
  <c r="BN204" i="32"/>
  <c r="BQ206" i="32"/>
  <c r="BO207" i="32"/>
  <c r="BN208" i="32"/>
  <c r="BP210" i="32"/>
  <c r="BQ210" i="32"/>
  <c r="BN212" i="32"/>
  <c r="BW213" i="32"/>
  <c r="BN217" i="32"/>
  <c r="BN218" i="32"/>
  <c r="BQ219" i="32"/>
  <c r="BQ220" i="32" s="1"/>
  <c r="BO222" i="32"/>
  <c r="BV222" i="32"/>
  <c r="BN225" i="32"/>
  <c r="BN239" i="32"/>
  <c r="BN209" i="32"/>
  <c r="BO217" i="32"/>
  <c r="BN219" i="32"/>
  <c r="BP221" i="32"/>
  <c r="BO230" i="32"/>
  <c r="BM233" i="32"/>
  <c r="BT233" i="32"/>
  <c r="BN236" i="32"/>
  <c r="BN238" i="32" s="1"/>
  <c r="BN189" i="32"/>
  <c r="BQ192" i="32"/>
  <c r="BX200" i="32"/>
  <c r="BX205" i="32" s="1"/>
  <c r="BW204" i="32"/>
  <c r="BV204" i="32"/>
  <c r="BP212" i="32"/>
  <c r="BR221" i="32"/>
  <c r="BR227" i="32" s="1"/>
  <c r="BO224" i="32"/>
  <c r="BW224" i="32"/>
  <c r="BV224" i="32"/>
  <c r="BN201" i="32"/>
  <c r="BW201" i="32"/>
  <c r="BU206" i="32"/>
  <c r="BU214" i="32" s="1"/>
  <c r="BO208" i="32"/>
  <c r="BU221" i="32"/>
  <c r="BU227" i="32" s="1"/>
  <c r="BN224" i="32"/>
  <c r="BT226" i="32"/>
  <c r="BM226" i="32"/>
  <c r="BS226" i="32"/>
  <c r="BO241" i="32"/>
  <c r="BV194" i="32"/>
  <c r="BQ196" i="32"/>
  <c r="BQ199" i="32" s="1"/>
  <c r="BX196" i="32"/>
  <c r="BX199" i="32" s="1"/>
  <c r="BW198" i="32"/>
  <c r="BV198" i="32"/>
  <c r="BN206" i="32"/>
  <c r="BX215" i="32"/>
  <c r="BX216" i="32" s="1"/>
  <c r="BR220" i="32"/>
  <c r="BU217" i="32"/>
  <c r="BU220" i="32" s="1"/>
  <c r="BP223" i="32"/>
  <c r="BQ223" i="32"/>
  <c r="BQ227" i="32" s="1"/>
  <c r="BR245" i="32"/>
  <c r="BW212" i="32"/>
  <c r="BV212" i="32"/>
  <c r="BN215" i="32"/>
  <c r="BN216" i="32" s="1"/>
  <c r="BN222" i="32"/>
  <c r="BO226" i="32"/>
  <c r="BP230" i="32"/>
  <c r="BQ231" i="32"/>
  <c r="BO236" i="32"/>
  <c r="BQ239" i="32"/>
  <c r="BQ245" i="32" s="1"/>
  <c r="BQ246" i="32"/>
  <c r="BQ249" i="32" s="1"/>
  <c r="BP250" i="32"/>
  <c r="BP259" i="32"/>
  <c r="BR234" i="32"/>
  <c r="BO232" i="32"/>
  <c r="BO237" i="32"/>
  <c r="BW239" i="32"/>
  <c r="BO248" i="32"/>
  <c r="BN251" i="32"/>
  <c r="BW251" i="32"/>
  <c r="BM254" i="32"/>
  <c r="BS254" i="32"/>
  <c r="BR255" i="32"/>
  <c r="BP255" i="32"/>
  <c r="BQ260" i="32"/>
  <c r="BP260" i="32"/>
  <c r="BX264" i="32"/>
  <c r="BX270" i="32" s="1"/>
  <c r="BN268" i="32"/>
  <c r="BU277" i="32"/>
  <c r="BW222" i="32"/>
  <c r="BV223" i="32"/>
  <c r="BP224" i="32"/>
  <c r="BN242" i="32"/>
  <c r="BX246" i="32"/>
  <c r="BX249" i="32" s="1"/>
  <c r="BN258" i="32"/>
  <c r="BQ261" i="32"/>
  <c r="BP261" i="32"/>
  <c r="BV261" i="32"/>
  <c r="BX261" i="32"/>
  <c r="BX263" i="32" s="1"/>
  <c r="BL262" i="32"/>
  <c r="BN276" i="32"/>
  <c r="BR237" i="32"/>
  <c r="BR238" i="32" s="1"/>
  <c r="BW241" i="32"/>
  <c r="BV241" i="32"/>
  <c r="BP251" i="32"/>
  <c r="BQ251" i="32"/>
  <c r="BQ256" i="32" s="1"/>
  <c r="BN253" i="32"/>
  <c r="BO258" i="32"/>
  <c r="BP265" i="32"/>
  <c r="BQ265" i="32"/>
  <c r="BW218" i="32"/>
  <c r="BV218" i="32"/>
  <c r="BN221" i="32"/>
  <c r="BW221" i="32"/>
  <c r="BQ228" i="32"/>
  <c r="BN228" i="32"/>
  <c r="BN231" i="32"/>
  <c r="BQ233" i="32"/>
  <c r="BO235" i="32"/>
  <c r="BW236" i="32"/>
  <c r="BP237" i="32"/>
  <c r="BP238" i="32" s="1"/>
  <c r="BX245" i="32"/>
  <c r="BO243" i="32"/>
  <c r="BN244" i="32"/>
  <c r="BN249" i="32"/>
  <c r="BW255" i="32"/>
  <c r="BV255" i="32"/>
  <c r="BV257" i="32"/>
  <c r="BO259" i="32"/>
  <c r="BU260" i="32"/>
  <c r="BU304" i="32" s="1"/>
  <c r="BP264" i="32"/>
  <c r="BO273" i="32"/>
  <c r="BW229" i="32"/>
  <c r="BP232" i="32"/>
  <c r="BP239" i="32"/>
  <c r="BN241" i="32"/>
  <c r="BP242" i="32"/>
  <c r="BV242" i="32"/>
  <c r="BW242" i="32"/>
  <c r="BV248" i="32"/>
  <c r="BO253" i="32"/>
  <c r="BW253" i="32"/>
  <c r="BV253" i="32"/>
  <c r="BN254" i="32"/>
  <c r="BT254" i="32"/>
  <c r="BO255" i="32"/>
  <c r="BV259" i="32"/>
  <c r="BW259" i="32"/>
  <c r="BN260" i="32"/>
  <c r="BM262" i="32"/>
  <c r="BS262" i="32"/>
  <c r="BX228" i="32"/>
  <c r="BX234" i="32" s="1"/>
  <c r="BW230" i="32"/>
  <c r="BV230" i="32"/>
  <c r="BV234" i="32" s="1"/>
  <c r="BP243" i="32"/>
  <c r="BR249" i="32"/>
  <c r="BN252" i="32"/>
  <c r="BV262" i="32"/>
  <c r="BW262" i="32"/>
  <c r="BM267" i="32"/>
  <c r="BQ280" i="32"/>
  <c r="BO282" i="32"/>
  <c r="BW235" i="32"/>
  <c r="BW252" i="32"/>
  <c r="BV252" i="32"/>
  <c r="BR252" i="32"/>
  <c r="BN255" i="32"/>
  <c r="BN257" i="32"/>
  <c r="BP262" i="32"/>
  <c r="BQ262" i="32"/>
  <c r="BO266" i="32"/>
  <c r="BR268" i="32"/>
  <c r="BR270" i="32" s="1"/>
  <c r="BV274" i="32"/>
  <c r="BO289" i="32"/>
  <c r="BN290" i="32"/>
  <c r="BW247" i="32"/>
  <c r="BV247" i="32"/>
  <c r="BN250" i="32"/>
  <c r="BW250" i="32"/>
  <c r="BR251" i="32"/>
  <c r="BW257" i="32"/>
  <c r="BN261" i="32"/>
  <c r="BV268" i="32"/>
  <c r="BW271" i="32"/>
  <c r="BN272" i="32"/>
  <c r="BN273" i="32"/>
  <c r="BN282" i="32"/>
  <c r="BN285" i="32"/>
  <c r="BP288" i="32"/>
  <c r="BQ288" i="32"/>
  <c r="BO264" i="32"/>
  <c r="BN267" i="32"/>
  <c r="BM269" i="32"/>
  <c r="BN274" i="32"/>
  <c r="BO281" i="32"/>
  <c r="BV285" i="32"/>
  <c r="BR288" i="32"/>
  <c r="BR291" i="32" s="1"/>
  <c r="BM289" i="32"/>
  <c r="BM290" i="32"/>
  <c r="BO260" i="32"/>
  <c r="BO274" i="32"/>
  <c r="BM275" i="32"/>
  <c r="BN280" i="32"/>
  <c r="BT283" i="32"/>
  <c r="BS283" i="32"/>
  <c r="BM283" i="32"/>
  <c r="BW246" i="32"/>
  <c r="BP266" i="32"/>
  <c r="BO267" i="32"/>
  <c r="BR271" i="32"/>
  <c r="BR277" i="32" s="1"/>
  <c r="BX272" i="32"/>
  <c r="BX277" i="32" s="1"/>
  <c r="BN275" i="32"/>
  <c r="BR284" i="32"/>
  <c r="BQ283" i="32"/>
  <c r="BP283" i="32"/>
  <c r="BQ286" i="32"/>
  <c r="BP286" i="32"/>
  <c r="BN286" i="32"/>
  <c r="BP287" i="32"/>
  <c r="BQ287" i="32"/>
  <c r="BV292" i="32"/>
  <c r="BV293" i="32" s="1"/>
  <c r="BO254" i="32"/>
  <c r="BW258" i="32"/>
  <c r="BV258" i="32"/>
  <c r="BP268" i="32"/>
  <c r="BO272" i="32"/>
  <c r="BW273" i="32"/>
  <c r="BV273" i="32"/>
  <c r="BV276" i="32"/>
  <c r="BW276" i="32"/>
  <c r="BX278" i="32"/>
  <c r="BX284" i="32" s="1"/>
  <c r="BW279" i="32"/>
  <c r="BP292" i="32"/>
  <c r="BP293" i="32" s="1"/>
  <c r="CE297" i="32"/>
  <c r="BW264" i="32"/>
  <c r="BW270" i="32" s="1"/>
  <c r="BQ277" i="32"/>
  <c r="BU284" i="32"/>
  <c r="BQ289" i="32"/>
  <c r="BP289" i="32"/>
  <c r="BP282" i="32"/>
  <c r="BO283" i="32"/>
  <c r="BW283" i="32"/>
  <c r="BW285" i="32"/>
  <c r="BX286" i="32"/>
  <c r="BX291" i="32" s="1"/>
  <c r="BV288" i="32"/>
  <c r="BW290" i="32"/>
  <c r="BV290" i="32"/>
  <c r="BO292" i="32"/>
  <c r="BO293" i="32" s="1"/>
  <c r="BP276" i="32"/>
  <c r="BU285" i="32"/>
  <c r="BU291" i="32" s="1"/>
  <c r="BO280" i="32"/>
  <c r="BM288" i="32"/>
  <c r="BR257" i="32"/>
  <c r="BR263" i="32" s="1"/>
  <c r="BQ264" i="32"/>
  <c r="BW278" i="32"/>
  <c r="BN281" i="32"/>
  <c r="BO286" i="32"/>
  <c r="BN288" i="32"/>
  <c r="BO290" i="32"/>
  <c r="BA297" i="32"/>
  <c r="BG297" i="32"/>
  <c r="O297" i="32"/>
  <c r="U297" i="32"/>
  <c r="BQ278" i="32"/>
  <c r="BN287" i="32"/>
  <c r="AA297" i="32"/>
  <c r="AC297" i="32"/>
  <c r="BN13" i="31"/>
  <c r="BO13" i="31"/>
  <c r="BM17" i="31"/>
  <c r="BJ78" i="31"/>
  <c r="BX12" i="31"/>
  <c r="AH74" i="31"/>
  <c r="V75" i="31" s="1"/>
  <c r="BN16" i="31"/>
  <c r="BW18" i="31"/>
  <c r="BV18" i="31"/>
  <c r="BV20" i="31"/>
  <c r="BV23" i="31" s="1"/>
  <c r="BN21" i="31"/>
  <c r="BQ22" i="31"/>
  <c r="AF87" i="31"/>
  <c r="BO24" i="31"/>
  <c r="BN31" i="31"/>
  <c r="BU12" i="31"/>
  <c r="BQ14" i="31"/>
  <c r="U17" i="47"/>
  <c r="BU19" i="31"/>
  <c r="BO21" i="31"/>
  <c r="BW16" i="31"/>
  <c r="BM21" i="31"/>
  <c r="BS21" i="31"/>
  <c r="BN22" i="31"/>
  <c r="BO36" i="31"/>
  <c r="BP13" i="31"/>
  <c r="BW13" i="31"/>
  <c r="BV13" i="31"/>
  <c r="W84" i="31"/>
  <c r="BV14" i="31"/>
  <c r="BN28" i="31"/>
  <c r="BV16" i="31"/>
  <c r="AQ87" i="31"/>
  <c r="BO28" i="31"/>
  <c r="BI78" i="31"/>
  <c r="BW12" i="31"/>
  <c r="AX84" i="31"/>
  <c r="BU14" i="31"/>
  <c r="BU84" i="31" s="1"/>
  <c r="CD74" i="31"/>
  <c r="BW17" i="47" s="1"/>
  <c r="CJ74" i="31"/>
  <c r="CC17" i="47" s="1"/>
  <c r="BO16" i="31"/>
  <c r="BX23" i="31"/>
  <c r="BN34" i="31"/>
  <c r="V78" i="31"/>
  <c r="AN78" i="31"/>
  <c r="BR12" i="31"/>
  <c r="BJ84" i="31"/>
  <c r="Y74" i="31"/>
  <c r="R17" i="47" s="1"/>
  <c r="AK74" i="31"/>
  <c r="AD17" i="47" s="1"/>
  <c r="AP17" i="47"/>
  <c r="BC74" i="31"/>
  <c r="AV17" i="47" s="1"/>
  <c r="CA74" i="31"/>
  <c r="BT17" i="47" s="1"/>
  <c r="CG74" i="31"/>
  <c r="BZ17" i="47" s="1"/>
  <c r="BP17" i="31"/>
  <c r="BR24" i="31"/>
  <c r="BX24" i="31"/>
  <c r="BO27" i="31"/>
  <c r="BO29" i="31"/>
  <c r="AM85" i="31"/>
  <c r="BU30" i="31"/>
  <c r="BU85" i="31" s="1"/>
  <c r="BV34" i="31"/>
  <c r="BV35" i="31"/>
  <c r="BV37" i="31"/>
  <c r="BN42" i="31"/>
  <c r="BW27" i="31"/>
  <c r="BV27" i="31"/>
  <c r="BQ29" i="31"/>
  <c r="BX29" i="31"/>
  <c r="BQ31" i="31"/>
  <c r="BX31" i="31"/>
  <c r="BU33" i="31"/>
  <c r="BU38" i="31" s="1"/>
  <c r="BM35" i="31"/>
  <c r="BT37" i="31"/>
  <c r="BM37" i="31"/>
  <c r="BS37" i="31"/>
  <c r="BN37" i="31"/>
  <c r="AN86" i="31"/>
  <c r="BN18" i="31"/>
  <c r="BR20" i="31"/>
  <c r="BR23" i="31" s="1"/>
  <c r="BQ21" i="31"/>
  <c r="BN24" i="31"/>
  <c r="AX79" i="31"/>
  <c r="BU26" i="31"/>
  <c r="BP28" i="31"/>
  <c r="V85" i="31"/>
  <c r="BW30" i="31"/>
  <c r="BP34" i="31"/>
  <c r="BW36" i="31"/>
  <c r="BV36" i="31"/>
  <c r="BW28" i="31"/>
  <c r="BX30" i="31"/>
  <c r="BX38" i="31"/>
  <c r="BN36" i="31"/>
  <c r="BQ37" i="31"/>
  <c r="BQ38" i="31" s="1"/>
  <c r="V86" i="31"/>
  <c r="BR86" i="31"/>
  <c r="BR40" i="31"/>
  <c r="BO41" i="31"/>
  <c r="BO43" i="31" s="1"/>
  <c r="BX16" i="31"/>
  <c r="BX19" i="31" s="1"/>
  <c r="BV17" i="31"/>
  <c r="BP24" i="31"/>
  <c r="BU25" i="31"/>
  <c r="BI79" i="31"/>
  <c r="BP26" i="31"/>
  <c r="BW26" i="31"/>
  <c r="BM27" i="31"/>
  <c r="BR30" i="31"/>
  <c r="BR85" i="31" s="1"/>
  <c r="W86" i="31"/>
  <c r="BP43" i="31"/>
  <c r="AM78" i="31"/>
  <c r="BQ12" i="31"/>
  <c r="BI84" i="31"/>
  <c r="X74" i="31"/>
  <c r="Q17" i="47" s="1"/>
  <c r="AD74" i="31"/>
  <c r="W17" i="47" s="1"/>
  <c r="AJ74" i="31"/>
  <c r="AC17" i="47" s="1"/>
  <c r="AV74" i="31"/>
  <c r="AX75" i="31" s="1"/>
  <c r="BB74" i="31"/>
  <c r="BH74" i="31"/>
  <c r="BJ75" i="31" s="1"/>
  <c r="BZ74" i="31"/>
  <c r="BS17" i="47" s="1"/>
  <c r="CF74" i="31"/>
  <c r="BY17" i="47" s="1"/>
  <c r="BQ24" i="31"/>
  <c r="BW24" i="31"/>
  <c r="BJ79" i="31"/>
  <c r="BX26" i="31"/>
  <c r="BQ26" i="31"/>
  <c r="BW33" i="31"/>
  <c r="BR33" i="31"/>
  <c r="BR38" i="31" s="1"/>
  <c r="BO35" i="31"/>
  <c r="BI86" i="31"/>
  <c r="BW39" i="31"/>
  <c r="BX86" i="31"/>
  <c r="BX40" i="31"/>
  <c r="BM49" i="31"/>
  <c r="BM62" i="31"/>
  <c r="V79" i="31"/>
  <c r="AN79" i="31"/>
  <c r="BR26" i="31"/>
  <c r="BQ39" i="31"/>
  <c r="BQ42" i="31"/>
  <c r="AM81" i="31"/>
  <c r="BX44" i="31"/>
  <c r="BO45" i="31"/>
  <c r="BO47" i="31"/>
  <c r="BO55" i="31"/>
  <c r="BW59" i="31"/>
  <c r="BV59" i="31"/>
  <c r="BW62" i="31"/>
  <c r="BV62" i="31"/>
  <c r="BV63" i="31"/>
  <c r="BR68" i="31"/>
  <c r="BR73" i="31" s="1"/>
  <c r="BX68" i="31"/>
  <c r="V81" i="31"/>
  <c r="BI81" i="31"/>
  <c r="BO46" i="31"/>
  <c r="BO53" i="31"/>
  <c r="BO54" i="31"/>
  <c r="BN60" i="31"/>
  <c r="BO61" i="31"/>
  <c r="BO63" i="31"/>
  <c r="BW69" i="31"/>
  <c r="BQ41" i="31"/>
  <c r="BX41" i="31"/>
  <c r="BX43" i="31" s="1"/>
  <c r="BR44" i="31"/>
  <c r="BW49" i="31"/>
  <c r="BP50" i="31"/>
  <c r="BN50" i="31"/>
  <c r="BW51" i="31"/>
  <c r="BU53" i="31"/>
  <c r="BU57" i="31" s="1"/>
  <c r="BQ53" i="31"/>
  <c r="BR65" i="31"/>
  <c r="BR67" i="31" s="1"/>
  <c r="BQ66" i="31"/>
  <c r="BQ67" i="31" s="1"/>
  <c r="BN68" i="31"/>
  <c r="BR41" i="31"/>
  <c r="BR43" i="31" s="1"/>
  <c r="BW46" i="31"/>
  <c r="BV46" i="31"/>
  <c r="BU49" i="31"/>
  <c r="BU52" i="31" s="1"/>
  <c r="BR53" i="31"/>
  <c r="BR57" i="31" s="1"/>
  <c r="BN56" i="31"/>
  <c r="BX61" i="31"/>
  <c r="BV61" i="31"/>
  <c r="BN62" i="31"/>
  <c r="BN63" i="31"/>
  <c r="BP69" i="31"/>
  <c r="AF81" i="31"/>
  <c r="BO44" i="31"/>
  <c r="BU81" i="31"/>
  <c r="BU48" i="31"/>
  <c r="BM45" i="31"/>
  <c r="BT47" i="31"/>
  <c r="BM47" i="31"/>
  <c r="BP53" i="31"/>
  <c r="BN59" i="31"/>
  <c r="BO68" i="31"/>
  <c r="BO70" i="31"/>
  <c r="BU40" i="31"/>
  <c r="BW44" i="31"/>
  <c r="BN47" i="31"/>
  <c r="BW47" i="31"/>
  <c r="BQ48" i="31"/>
  <c r="BN49" i="31"/>
  <c r="BX57" i="31"/>
  <c r="BQ61" i="31"/>
  <c r="BW65" i="31"/>
  <c r="BW67" i="31" s="1"/>
  <c r="BN70" i="31"/>
  <c r="BP54" i="31"/>
  <c r="BN58" i="31"/>
  <c r="BN66" i="31"/>
  <c r="W81" i="31"/>
  <c r="AX81" i="31"/>
  <c r="BP56" i="31"/>
  <c r="BW56" i="31"/>
  <c r="BW57" i="31" s="1"/>
  <c r="BV56" i="31"/>
  <c r="BV57" i="31" s="1"/>
  <c r="BX58" i="31"/>
  <c r="BP60" i="31"/>
  <c r="BQ60" i="31"/>
  <c r="BQ81" i="31" s="1"/>
  <c r="BQ63" i="31"/>
  <c r="BN69" i="31"/>
  <c r="BN72" i="31"/>
  <c r="BW68" i="31"/>
  <c r="BU73" i="31"/>
  <c r="BX70" i="31"/>
  <c r="BV70" i="31"/>
  <c r="BO72" i="31"/>
  <c r="Y77" i="31"/>
  <c r="BQ56" i="31"/>
  <c r="BQ68" i="31"/>
  <c r="BQ73" i="31" s="1"/>
  <c r="S77" i="31"/>
  <c r="AI77" i="31"/>
  <c r="W76" i="31" s="1"/>
  <c r="BQ58" i="31"/>
  <c r="BO71" i="31"/>
  <c r="BR58" i="31"/>
  <c r="BR64" i="31" s="1"/>
  <c r="BT71" i="31"/>
  <c r="BS71" i="31"/>
  <c r="AC77" i="31"/>
  <c r="BA77" i="31"/>
  <c r="BG77" i="31"/>
  <c r="BV71" i="31"/>
  <c r="BN13" i="30"/>
  <c r="BO21" i="30"/>
  <c r="BP24" i="30"/>
  <c r="AX104" i="30"/>
  <c r="W110" i="30"/>
  <c r="AX110" i="30"/>
  <c r="BU14" i="30"/>
  <c r="BU110" i="30" s="1"/>
  <c r="BQ113" i="30"/>
  <c r="BQ17" i="30"/>
  <c r="BM19" i="30"/>
  <c r="BT19" i="30"/>
  <c r="BS19" i="30"/>
  <c r="BN24" i="30"/>
  <c r="BJ112" i="30"/>
  <c r="BX29" i="30"/>
  <c r="BP31" i="30"/>
  <c r="BO38" i="30"/>
  <c r="BX44" i="30"/>
  <c r="BM40" i="30"/>
  <c r="BT40" i="30"/>
  <c r="BM41" i="30"/>
  <c r="BR45" i="30"/>
  <c r="BR48" i="30" s="1"/>
  <c r="BV14" i="30"/>
  <c r="AX111" i="30"/>
  <c r="BU20" i="30"/>
  <c r="BU23" i="30" s="1"/>
  <c r="W104" i="30"/>
  <c r="BO12" i="30"/>
  <c r="BO13" i="30"/>
  <c r="BO18" i="30"/>
  <c r="BN22" i="30"/>
  <c r="BW24" i="30"/>
  <c r="BW28" i="30" s="1"/>
  <c r="BN27" i="30"/>
  <c r="BP112" i="30"/>
  <c r="BP30" i="30"/>
  <c r="BN31" i="30"/>
  <c r="BQ34" i="30"/>
  <c r="BN43" i="30"/>
  <c r="BU45" i="30"/>
  <c r="BU48" i="30" s="1"/>
  <c r="BN26" i="30"/>
  <c r="BI104" i="30"/>
  <c r="AM110" i="30"/>
  <c r="BW113" i="30"/>
  <c r="BW17" i="30"/>
  <c r="BN19" i="30"/>
  <c r="BP20" i="30"/>
  <c r="BN21" i="30"/>
  <c r="BO22" i="30"/>
  <c r="BM25" i="30"/>
  <c r="BT25" i="30"/>
  <c r="BP32" i="30"/>
  <c r="BN33" i="30"/>
  <c r="BN36" i="30"/>
  <c r="BN46" i="30"/>
  <c r="BN50" i="30"/>
  <c r="BN63" i="30"/>
  <c r="BN78" i="30"/>
  <c r="BP93" i="30"/>
  <c r="AX107" i="30"/>
  <c r="BU32" i="30"/>
  <c r="BW36" i="30"/>
  <c r="BV36" i="30"/>
  <c r="BN39" i="30"/>
  <c r="BN42" i="30"/>
  <c r="BW56" i="30"/>
  <c r="BV56" i="30"/>
  <c r="BO57" i="30"/>
  <c r="BP72" i="30"/>
  <c r="BN74" i="30"/>
  <c r="BN35" i="30"/>
  <c r="BV12" i="30"/>
  <c r="BU12" i="30"/>
  <c r="BP14" i="30"/>
  <c r="AE111" i="30"/>
  <c r="BN20" i="30"/>
  <c r="BQ22" i="30"/>
  <c r="BR28" i="30"/>
  <c r="BO26" i="30"/>
  <c r="BO28" i="30" s="1"/>
  <c r="BN32" i="30"/>
  <c r="BO34" i="30"/>
  <c r="BO35" i="30"/>
  <c r="BU38" i="30"/>
  <c r="BU44" i="30" s="1"/>
  <c r="BN41" i="30"/>
  <c r="BW42" i="30"/>
  <c r="BW44" i="30" s="1"/>
  <c r="BV42" i="30"/>
  <c r="BO43" i="30"/>
  <c r="BN49" i="30"/>
  <c r="BP60" i="30"/>
  <c r="BQ60" i="30"/>
  <c r="BO62" i="30"/>
  <c r="AM104" i="30"/>
  <c r="BW15" i="30"/>
  <c r="AM113" i="30"/>
  <c r="BK113" i="30"/>
  <c r="BV16" i="30"/>
  <c r="BI105" i="30"/>
  <c r="BW18" i="30"/>
  <c r="BO19" i="30"/>
  <c r="W111" i="30"/>
  <c r="BX28" i="30"/>
  <c r="W107" i="30"/>
  <c r="BO40" i="30"/>
  <c r="BO41" i="30"/>
  <c r="BM55" i="30"/>
  <c r="AE110" i="30"/>
  <c r="BN14" i="30"/>
  <c r="AC100" i="30"/>
  <c r="V16" i="47" s="1"/>
  <c r="AI100" i="30"/>
  <c r="W101" i="30" s="1"/>
  <c r="AU100" i="30"/>
  <c r="BA100" i="30"/>
  <c r="BG100" i="30"/>
  <c r="AZ16" i="47" s="1"/>
  <c r="BY100" i="30"/>
  <c r="BR16" i="47" s="1"/>
  <c r="CE100" i="30"/>
  <c r="BX16" i="47" s="1"/>
  <c r="BR16" i="30"/>
  <c r="BX16" i="30"/>
  <c r="BP18" i="30"/>
  <c r="BP21" i="30"/>
  <c r="BP27" i="30"/>
  <c r="BQ29" i="30"/>
  <c r="BW29" i="30"/>
  <c r="BU31" i="30"/>
  <c r="BP33" i="30"/>
  <c r="BV35" i="30"/>
  <c r="BP39" i="30"/>
  <c r="BP44" i="30" s="1"/>
  <c r="BV41" i="30"/>
  <c r="BO46" i="30"/>
  <c r="BO49" i="30"/>
  <c r="BW50" i="30"/>
  <c r="BV50" i="30"/>
  <c r="BO51" i="30"/>
  <c r="BN59" i="30"/>
  <c r="BN64" i="30"/>
  <c r="BV66" i="30"/>
  <c r="X100" i="30"/>
  <c r="Q16" i="47" s="1"/>
  <c r="AD100" i="30"/>
  <c r="W16" i="47" s="1"/>
  <c r="AJ100" i="30"/>
  <c r="AC16" i="47" s="1"/>
  <c r="AV100" i="30"/>
  <c r="AO16" i="47" s="1"/>
  <c r="BB100" i="30"/>
  <c r="BH100" i="30"/>
  <c r="BA16" i="47" s="1"/>
  <c r="BZ100" i="30"/>
  <c r="BS16" i="47" s="1"/>
  <c r="CF100" i="30"/>
  <c r="BY16" i="47" s="1"/>
  <c r="AN100" i="30"/>
  <c r="BR101" i="30" s="1"/>
  <c r="AM105" i="30"/>
  <c r="BQ18" i="30"/>
  <c r="BI111" i="30"/>
  <c r="BQ24" i="30"/>
  <c r="BR29" i="30"/>
  <c r="BI107" i="30"/>
  <c r="BR35" i="30"/>
  <c r="BQ36" i="30"/>
  <c r="BR41" i="30"/>
  <c r="BQ42" i="30"/>
  <c r="BM51" i="30"/>
  <c r="BN53" i="30"/>
  <c r="BN58" i="30"/>
  <c r="BP62" i="30"/>
  <c r="BU65" i="30"/>
  <c r="BO64" i="30"/>
  <c r="BN73" i="30"/>
  <c r="BX76" i="30"/>
  <c r="BX81" i="30" s="1"/>
  <c r="BU79" i="30"/>
  <c r="BU81" i="30" s="1"/>
  <c r="BM91" i="30"/>
  <c r="BS91" i="30"/>
  <c r="BR12" i="30"/>
  <c r="BX12" i="30"/>
  <c r="BV13" i="30"/>
  <c r="BQ13" i="30"/>
  <c r="BQ15" i="30" s="1"/>
  <c r="BJ110" i="30"/>
  <c r="Y100" i="30"/>
  <c r="R16" i="47" s="1"/>
  <c r="AK100" i="30"/>
  <c r="AD16" i="47" s="1"/>
  <c r="AP16" i="47"/>
  <c r="BC100" i="30"/>
  <c r="AV16" i="47" s="1"/>
  <c r="CA100" i="30"/>
  <c r="BT16" i="47" s="1"/>
  <c r="CG100" i="30"/>
  <c r="BZ16" i="47" s="1"/>
  <c r="V105" i="30"/>
  <c r="AN105" i="30"/>
  <c r="BR18" i="30"/>
  <c r="BV19" i="30"/>
  <c r="BQ19" i="30"/>
  <c r="BJ111" i="30"/>
  <c r="BQ25" i="30"/>
  <c r="BQ31" i="30"/>
  <c r="BN34" i="30"/>
  <c r="BL40" i="30"/>
  <c r="BN40" i="30"/>
  <c r="BV43" i="30"/>
  <c r="BQ43" i="30"/>
  <c r="BO45" i="30"/>
  <c r="BX49" i="30"/>
  <c r="BX54" i="30" s="1"/>
  <c r="BO50" i="30"/>
  <c r="BN52" i="30"/>
  <c r="BO58" i="30"/>
  <c r="BX65" i="30"/>
  <c r="BM68" i="30"/>
  <c r="BX90" i="30"/>
  <c r="BX92" i="30" s="1"/>
  <c r="BV90" i="30"/>
  <c r="Z100" i="30"/>
  <c r="S16" i="47" s="1"/>
  <c r="AL100" i="30"/>
  <c r="AE16" i="47" s="1"/>
  <c r="BD100" i="30"/>
  <c r="AW16" i="47" s="1"/>
  <c r="CB100" i="30"/>
  <c r="BU16" i="47" s="1"/>
  <c r="CH100" i="30"/>
  <c r="CA16" i="47" s="1"/>
  <c r="BO16" i="30"/>
  <c r="AO105" i="30"/>
  <c r="AM111" i="30"/>
  <c r="BQ20" i="30"/>
  <c r="BW20" i="30"/>
  <c r="BV26" i="30"/>
  <c r="BR31" i="30"/>
  <c r="BQ32" i="30"/>
  <c r="BW32" i="30"/>
  <c r="BQ38" i="30"/>
  <c r="BN47" i="30"/>
  <c r="BR54" i="30"/>
  <c r="BO52" i="30"/>
  <c r="BM60" i="30"/>
  <c r="BT60" i="30"/>
  <c r="BN62" i="30"/>
  <c r="BM67" i="30"/>
  <c r="BN83" i="30"/>
  <c r="V110" i="30"/>
  <c r="BR14" i="30"/>
  <c r="BX14" i="30"/>
  <c r="BX110" i="30" s="1"/>
  <c r="AA100" i="30"/>
  <c r="T16" i="47" s="1"/>
  <c r="BE100" i="30"/>
  <c r="CC100" i="30"/>
  <c r="BV16" i="47" s="1"/>
  <c r="CI100" i="30"/>
  <c r="CB16" i="47" s="1"/>
  <c r="BU17" i="30"/>
  <c r="V111" i="30"/>
  <c r="AN111" i="30"/>
  <c r="BR20" i="30"/>
  <c r="BX20" i="30"/>
  <c r="BV21" i="30"/>
  <c r="BV27" i="30"/>
  <c r="BU29" i="30"/>
  <c r="V107" i="30"/>
  <c r="AN107" i="30"/>
  <c r="BR32" i="30"/>
  <c r="BX32" i="30"/>
  <c r="BX107" i="30" s="1"/>
  <c r="BV33" i="30"/>
  <c r="BR38" i="30"/>
  <c r="BV39" i="30"/>
  <c r="BX48" i="30"/>
  <c r="BN51" i="30"/>
  <c r="BO55" i="30"/>
  <c r="BN56" i="30"/>
  <c r="BW62" i="30"/>
  <c r="BW65" i="30" s="1"/>
  <c r="BO63" i="30"/>
  <c r="BQ69" i="30"/>
  <c r="BQ71" i="30" s="1"/>
  <c r="BP47" i="30"/>
  <c r="BW49" i="30"/>
  <c r="BP53" i="30"/>
  <c r="BP54" i="30" s="1"/>
  <c r="BQ55" i="30"/>
  <c r="BW55" i="30"/>
  <c r="BP59" i="30"/>
  <c r="BN68" i="30"/>
  <c r="BR75" i="30"/>
  <c r="BO73" i="30"/>
  <c r="BN79" i="30"/>
  <c r="BN80" i="30"/>
  <c r="BO83" i="30"/>
  <c r="BQ50" i="30"/>
  <c r="BR55" i="30"/>
  <c r="BU66" i="30"/>
  <c r="BU71" i="30" s="1"/>
  <c r="BO68" i="30"/>
  <c r="BO79" i="30"/>
  <c r="BW88" i="30"/>
  <c r="BV88" i="30"/>
  <c r="BW45" i="30"/>
  <c r="BW48" i="30" s="1"/>
  <c r="BQ51" i="30"/>
  <c r="BR56" i="30"/>
  <c r="BQ57" i="30"/>
  <c r="BN60" i="30"/>
  <c r="BR62" i="30"/>
  <c r="BR65" i="30" s="1"/>
  <c r="BQ63" i="30"/>
  <c r="BQ65" i="30" s="1"/>
  <c r="BX71" i="30"/>
  <c r="BO76" i="30"/>
  <c r="BN77" i="30"/>
  <c r="BO88" i="30"/>
  <c r="BX93" i="30"/>
  <c r="BX99" i="30" s="1"/>
  <c r="BV46" i="30"/>
  <c r="BV52" i="30"/>
  <c r="BN55" i="30"/>
  <c r="BV58" i="30"/>
  <c r="BV64" i="30"/>
  <c r="BN67" i="30"/>
  <c r="BV67" i="30"/>
  <c r="BN69" i="30"/>
  <c r="BM87" i="30"/>
  <c r="BW91" i="30"/>
  <c r="BV91" i="30"/>
  <c r="BR94" i="30"/>
  <c r="BP94" i="30"/>
  <c r="BP98" i="30"/>
  <c r="BQ98" i="30"/>
  <c r="BV47" i="30"/>
  <c r="BU49" i="30"/>
  <c r="BU54" i="30" s="1"/>
  <c r="BV53" i="30"/>
  <c r="BV59" i="30"/>
  <c r="BP63" i="30"/>
  <c r="BO67" i="30"/>
  <c r="BW68" i="30"/>
  <c r="BW71" i="30" s="1"/>
  <c r="BV68" i="30"/>
  <c r="BO70" i="30"/>
  <c r="BW77" i="30"/>
  <c r="BW81" i="30" s="1"/>
  <c r="BV77" i="30"/>
  <c r="BO78" i="30"/>
  <c r="BP68" i="30"/>
  <c r="BV70" i="30"/>
  <c r="BU72" i="30"/>
  <c r="BU75" i="30" s="1"/>
  <c r="BP74" i="30"/>
  <c r="BQ76" i="30"/>
  <c r="BR82" i="30"/>
  <c r="BR85" i="30" s="1"/>
  <c r="BN84" i="30"/>
  <c r="BM84" i="30"/>
  <c r="BW86" i="30"/>
  <c r="BP89" i="30"/>
  <c r="BQ89" i="30"/>
  <c r="BO96" i="30"/>
  <c r="BR76" i="30"/>
  <c r="BR81" i="30" s="1"/>
  <c r="BW82" i="30"/>
  <c r="BW85" i="30" s="1"/>
  <c r="BP83" i="30"/>
  <c r="BQ83" i="30"/>
  <c r="BQ85" i="30" s="1"/>
  <c r="BO84" i="30"/>
  <c r="BS84" i="30"/>
  <c r="BN86" i="30"/>
  <c r="BO90" i="30"/>
  <c r="BM90" i="30"/>
  <c r="BN91" i="30"/>
  <c r="BN93" i="30"/>
  <c r="BN94" i="30"/>
  <c r="BQ72" i="30"/>
  <c r="BQ75" i="30" s="1"/>
  <c r="BQ78" i="30"/>
  <c r="BO86" i="30"/>
  <c r="BO87" i="30"/>
  <c r="BN88" i="30"/>
  <c r="BO91" i="30"/>
  <c r="BU93" i="30"/>
  <c r="BU99" i="30" s="1"/>
  <c r="BS95" i="30"/>
  <c r="BQ96" i="30"/>
  <c r="BP96" i="30"/>
  <c r="BN97" i="30"/>
  <c r="BN76" i="30"/>
  <c r="BP82" i="30"/>
  <c r="BP86" i="30"/>
  <c r="BQ86" i="30"/>
  <c r="BN87" i="30"/>
  <c r="BX73" i="30"/>
  <c r="BX75" i="30" s="1"/>
  <c r="BV80" i="30"/>
  <c r="BN82" i="30"/>
  <c r="BW94" i="30"/>
  <c r="BW99" i="30" s="1"/>
  <c r="BV94" i="30"/>
  <c r="BQ97" i="30"/>
  <c r="BP97" i="30"/>
  <c r="BY103" i="30"/>
  <c r="CE103" i="30"/>
  <c r="BO97" i="30"/>
  <c r="BR86" i="30"/>
  <c r="BR92" i="30" s="1"/>
  <c r="BV87" i="30"/>
  <c r="BQ93" i="30"/>
  <c r="BN98" i="30"/>
  <c r="AU103" i="30"/>
  <c r="AX102" i="30" s="1"/>
  <c r="AA103" i="30"/>
  <c r="BR93" i="30"/>
  <c r="BN24" i="29"/>
  <c r="BO28" i="29"/>
  <c r="BP97" i="29"/>
  <c r="BU21" i="29"/>
  <c r="BN19" i="29"/>
  <c r="BO24" i="29"/>
  <c r="BM27" i="29"/>
  <c r="BT27" i="29"/>
  <c r="BO99" i="29"/>
  <c r="BO19" i="29"/>
  <c r="BN20" i="29"/>
  <c r="BN23" i="29"/>
  <c r="BQ29" i="29"/>
  <c r="BP15" i="29"/>
  <c r="BN30" i="29"/>
  <c r="BO23" i="29"/>
  <c r="BU29" i="29"/>
  <c r="BV33" i="29"/>
  <c r="BQ12" i="29"/>
  <c r="BQ24" i="29"/>
  <c r="BQ25" i="29" s="1"/>
  <c r="BN27" i="29"/>
  <c r="BM51" i="29"/>
  <c r="BT51" i="29"/>
  <c r="BP60" i="29"/>
  <c r="BV68" i="29"/>
  <c r="BW77" i="29"/>
  <c r="BV77" i="29"/>
  <c r="BM81" i="29"/>
  <c r="W201" i="29"/>
  <c r="BW89" i="29"/>
  <c r="BV89" i="29"/>
  <c r="BO118" i="29"/>
  <c r="BP125" i="29"/>
  <c r="BQ125" i="29"/>
  <c r="BR12" i="29"/>
  <c r="BE196" i="29"/>
  <c r="BJ200" i="29"/>
  <c r="BN16" i="29"/>
  <c r="BO27" i="29"/>
  <c r="BO31" i="29"/>
  <c r="BM35" i="29"/>
  <c r="BM83" i="29"/>
  <c r="U15" i="47"/>
  <c r="AH196" i="29"/>
  <c r="V197" i="29" s="1"/>
  <c r="AZ196" i="29"/>
  <c r="AY15" i="47"/>
  <c r="CD196" i="29"/>
  <c r="BW15" i="47" s="1"/>
  <c r="CJ196" i="29"/>
  <c r="CC15" i="47" s="1"/>
  <c r="AM200" i="29"/>
  <c r="BQ14" i="29"/>
  <c r="BW14" i="29"/>
  <c r="BI206" i="29"/>
  <c r="BU16" i="29"/>
  <c r="BX19" i="29"/>
  <c r="BX21" i="29" s="1"/>
  <c r="BV20" i="29"/>
  <c r="BQ20" i="29"/>
  <c r="BP24" i="29"/>
  <c r="BW26" i="29"/>
  <c r="BW29" i="29" s="1"/>
  <c r="BP38" i="29"/>
  <c r="BV39" i="29"/>
  <c r="BO43" i="29"/>
  <c r="BX45" i="29"/>
  <c r="BX48" i="29" s="1"/>
  <c r="BN46" i="29"/>
  <c r="BO50" i="29"/>
  <c r="BV51" i="29"/>
  <c r="BO55" i="29"/>
  <c r="BX57" i="29"/>
  <c r="BX59" i="29" s="1"/>
  <c r="BN58" i="29"/>
  <c r="BU63" i="29"/>
  <c r="BP61" i="29"/>
  <c r="BP62" i="29"/>
  <c r="BX64" i="29"/>
  <c r="BX67" i="29" s="1"/>
  <c r="BN73" i="29"/>
  <c r="BW76" i="29"/>
  <c r="BO78" i="29"/>
  <c r="BN78" i="29"/>
  <c r="BV80" i="29"/>
  <c r="BX84" i="29"/>
  <c r="BV81" i="29"/>
  <c r="AN201" i="29"/>
  <c r="BI207" i="29"/>
  <c r="BW88" i="29"/>
  <c r="BN89" i="29"/>
  <c r="BU91" i="29"/>
  <c r="BU96" i="29" s="1"/>
  <c r="BV93" i="29"/>
  <c r="BW95" i="29"/>
  <c r="BV95" i="29"/>
  <c r="BN101" i="29"/>
  <c r="BW106" i="29"/>
  <c r="BV106" i="29"/>
  <c r="BO111" i="29"/>
  <c r="BP124" i="29"/>
  <c r="BR124" i="29"/>
  <c r="BN135" i="29"/>
  <c r="BO172" i="29"/>
  <c r="BM189" i="29"/>
  <c r="BO14" i="29"/>
  <c r="BQ18" i="29"/>
  <c r="BO26" i="29"/>
  <c r="BN31" i="29"/>
  <c r="BN38" i="29"/>
  <c r="BM39" i="29"/>
  <c r="BW65" i="29"/>
  <c r="BV65" i="29"/>
  <c r="BO105" i="29"/>
  <c r="BQ165" i="29"/>
  <c r="AA196" i="29"/>
  <c r="T15" i="47" s="1"/>
  <c r="BN22" i="29"/>
  <c r="BX33" i="29"/>
  <c r="BX36" i="29" s="1"/>
  <c r="BN50" i="29"/>
  <c r="BW64" i="29"/>
  <c r="BO69" i="29"/>
  <c r="BN86" i="29"/>
  <c r="BO87" i="29"/>
  <c r="BN94" i="29"/>
  <c r="AC196" i="29"/>
  <c r="V15" i="47" s="1"/>
  <c r="AI196" i="29"/>
  <c r="W197" i="29" s="1"/>
  <c r="AU196" i="29"/>
  <c r="BA196" i="29"/>
  <c r="BG196" i="29"/>
  <c r="AZ15" i="47" s="1"/>
  <c r="CE196" i="29"/>
  <c r="BX15" i="47" s="1"/>
  <c r="V200" i="29"/>
  <c r="AN200" i="29"/>
  <c r="BR14" i="29"/>
  <c r="BX14" i="29"/>
  <c r="BV15" i="29"/>
  <c r="BQ15" i="29"/>
  <c r="BJ206" i="29"/>
  <c r="BP16" i="29"/>
  <c r="BP19" i="29"/>
  <c r="BP22" i="29"/>
  <c r="BX26" i="29"/>
  <c r="BV27" i="29"/>
  <c r="BW35" i="29"/>
  <c r="BV35" i="29"/>
  <c r="BR37" i="29"/>
  <c r="BR40" i="29" s="1"/>
  <c r="BN39" i="29"/>
  <c r="BU44" i="29"/>
  <c r="BM42" i="29"/>
  <c r="BW47" i="29"/>
  <c r="BV47" i="29"/>
  <c r="BU56" i="29"/>
  <c r="BM54" i="29"/>
  <c r="BO64" i="29"/>
  <c r="BR68" i="29"/>
  <c r="BR71" i="29" s="1"/>
  <c r="BW70" i="29"/>
  <c r="BW71" i="29" s="1"/>
  <c r="BV70" i="29"/>
  <c r="BR75" i="29"/>
  <c r="BO73" i="29"/>
  <c r="BX76" i="29"/>
  <c r="BX79" i="29" s="1"/>
  <c r="BT78" i="29"/>
  <c r="BW83" i="29"/>
  <c r="BV83" i="29"/>
  <c r="BP85" i="29"/>
  <c r="BJ207" i="29"/>
  <c r="BX88" i="29"/>
  <c r="BX90" i="29" s="1"/>
  <c r="BO91" i="29"/>
  <c r="BQ109" i="29"/>
  <c r="BQ114" i="29" s="1"/>
  <c r="BM111" i="29"/>
  <c r="BS111" i="29"/>
  <c r="BR127" i="29"/>
  <c r="BO144" i="29"/>
  <c r="AE206" i="29"/>
  <c r="BR18" i="29"/>
  <c r="BR21" i="29" s="1"/>
  <c r="BM47" i="29"/>
  <c r="BS47" i="29"/>
  <c r="BN82" i="29"/>
  <c r="BR97" i="29"/>
  <c r="BR102" i="29" s="1"/>
  <c r="BQ141" i="29"/>
  <c r="BO145" i="29"/>
  <c r="BW189" i="29"/>
  <c r="BV189" i="29"/>
  <c r="BU12" i="29"/>
  <c r="X196" i="29"/>
  <c r="Q15" i="47" s="1"/>
  <c r="AD196" i="29"/>
  <c r="W15" i="47" s="1"/>
  <c r="AJ196" i="29"/>
  <c r="AC15" i="47" s="1"/>
  <c r="AV196" i="29"/>
  <c r="AO15" i="47" s="1"/>
  <c r="BB196" i="29"/>
  <c r="AU15" i="47" s="1"/>
  <c r="BH196" i="29"/>
  <c r="BA15" i="47" s="1"/>
  <c r="BZ196" i="29"/>
  <c r="BS15" i="47" s="1"/>
  <c r="CF196" i="29"/>
  <c r="BY15" i="47" s="1"/>
  <c r="W200" i="29"/>
  <c r="AX200" i="29"/>
  <c r="AM206" i="29"/>
  <c r="BQ16" i="29"/>
  <c r="BW16" i="29"/>
  <c r="BW22" i="29"/>
  <c r="BW25" i="29" s="1"/>
  <c r="BW30" i="29"/>
  <c r="BW32" i="29" s="1"/>
  <c r="BO30" i="29"/>
  <c r="BU32" i="29"/>
  <c r="BQ39" i="29"/>
  <c r="BQ40" i="29" s="1"/>
  <c r="BP41" i="29"/>
  <c r="BW41" i="29"/>
  <c r="BW44" i="29" s="1"/>
  <c r="BN42" i="29"/>
  <c r="BR49" i="29"/>
  <c r="BR52" i="29" s="1"/>
  <c r="BN51" i="29"/>
  <c r="BQ51" i="29"/>
  <c r="BW53" i="29"/>
  <c r="BW56" i="29" s="1"/>
  <c r="BN54" i="29"/>
  <c r="BN61" i="29"/>
  <c r="BN64" i="29"/>
  <c r="BP72" i="29"/>
  <c r="BP75" i="29" s="1"/>
  <c r="BN74" i="29"/>
  <c r="BQ74" i="29"/>
  <c r="BQ75" i="29" s="1"/>
  <c r="BN76" i="29"/>
  <c r="BO76" i="29"/>
  <c r="BO81" i="29"/>
  <c r="BQ81" i="29"/>
  <c r="BP86" i="29"/>
  <c r="BO88" i="29"/>
  <c r="BS89" i="29"/>
  <c r="BN92" i="29"/>
  <c r="BQ92" i="29"/>
  <c r="BO93" i="29"/>
  <c r="BQ93" i="29"/>
  <c r="BW94" i="29"/>
  <c r="BV94" i="29"/>
  <c r="BN95" i="29"/>
  <c r="BU97" i="29"/>
  <c r="BU102" i="29" s="1"/>
  <c r="BM98" i="29"/>
  <c r="BO104" i="29"/>
  <c r="BU114" i="29"/>
  <c r="BW112" i="29"/>
  <c r="BV112" i="29"/>
  <c r="BO117" i="29"/>
  <c r="BP162" i="29"/>
  <c r="BQ162" i="29"/>
  <c r="BR169" i="29"/>
  <c r="BR175" i="29" s="1"/>
  <c r="BN62" i="29"/>
  <c r="BN100" i="29"/>
  <c r="BW118" i="29"/>
  <c r="BV118" i="29"/>
  <c r="BN136" i="29"/>
  <c r="BV141" i="29"/>
  <c r="BR30" i="29"/>
  <c r="BO38" i="29"/>
  <c r="BN43" i="29"/>
  <c r="BM45" i="29"/>
  <c r="BN55" i="29"/>
  <c r="BO62" i="29"/>
  <c r="BO66" i="29"/>
  <c r="BV12" i="29"/>
  <c r="Y196" i="29"/>
  <c r="R15" i="47" s="1"/>
  <c r="AK196" i="29"/>
  <c r="AD15" i="47" s="1"/>
  <c r="AP15" i="47"/>
  <c r="BC196" i="29"/>
  <c r="AV15" i="47" s="1"/>
  <c r="CA196" i="29"/>
  <c r="BT15" i="47" s="1"/>
  <c r="CG196" i="29"/>
  <c r="BZ15" i="47" s="1"/>
  <c r="V206" i="29"/>
  <c r="AN206" i="29"/>
  <c r="BR16" i="29"/>
  <c r="BX16" i="29"/>
  <c r="BV23" i="29"/>
  <c r="BX30" i="29"/>
  <c r="BX32" i="29" s="1"/>
  <c r="BM34" i="29"/>
  <c r="BT34" i="29"/>
  <c r="BW34" i="29"/>
  <c r="BV34" i="29"/>
  <c r="BN35" i="29"/>
  <c r="BW40" i="29"/>
  <c r="BX40" i="29"/>
  <c r="BO42" i="29"/>
  <c r="BO45" i="29"/>
  <c r="BW46" i="29"/>
  <c r="BV46" i="29"/>
  <c r="BN47" i="29"/>
  <c r="BW52" i="29"/>
  <c r="BO51" i="29"/>
  <c r="BO54" i="29"/>
  <c r="BM58" i="29"/>
  <c r="BW58" i="29"/>
  <c r="BW59" i="29" s="1"/>
  <c r="BV58" i="29"/>
  <c r="BR63" i="29"/>
  <c r="BO61" i="29"/>
  <c r="BU67" i="29"/>
  <c r="BN72" i="29"/>
  <c r="BR84" i="29"/>
  <c r="BW82" i="29"/>
  <c r="BV82" i="29"/>
  <c r="BN83" i="29"/>
  <c r="V201" i="29"/>
  <c r="AX201" i="29"/>
  <c r="BU85" i="29"/>
  <c r="BP98" i="29"/>
  <c r="BN103" i="29"/>
  <c r="BM110" i="29"/>
  <c r="BT110" i="29"/>
  <c r="BO122" i="29"/>
  <c r="BV165" i="29"/>
  <c r="BQ166" i="29"/>
  <c r="BP166" i="29"/>
  <c r="BR33" i="29"/>
  <c r="BR36" i="29" s="1"/>
  <c r="BQ34" i="29"/>
  <c r="BR45" i="29"/>
  <c r="BR57" i="29"/>
  <c r="BR59" i="29" s="1"/>
  <c r="BQ58" i="29"/>
  <c r="BQ59" i="29" s="1"/>
  <c r="BQ64" i="29"/>
  <c r="BQ76" i="29"/>
  <c r="BQ79" i="29" s="1"/>
  <c r="AM207" i="29"/>
  <c r="BQ88" i="29"/>
  <c r="BR103" i="29"/>
  <c r="BW105" i="29"/>
  <c r="BV105" i="29"/>
  <c r="BN106" i="29"/>
  <c r="BO107" i="29"/>
  <c r="BN107" i="29"/>
  <c r="BV109" i="29"/>
  <c r="BX110" i="29"/>
  <c r="BX114" i="29" s="1"/>
  <c r="BW111" i="29"/>
  <c r="BV111" i="29"/>
  <c r="BN112" i="29"/>
  <c r="BO113" i="29"/>
  <c r="BN113" i="29"/>
  <c r="BM116" i="29"/>
  <c r="BW123" i="29"/>
  <c r="BV123" i="29"/>
  <c r="BW127" i="29"/>
  <c r="W208" i="29"/>
  <c r="BU208" i="29"/>
  <c r="BU140" i="29"/>
  <c r="BN143" i="29"/>
  <c r="BN149" i="29"/>
  <c r="BN151" i="29"/>
  <c r="BO157" i="29"/>
  <c r="BQ35" i="29"/>
  <c r="BQ41" i="29"/>
  <c r="BQ44" i="29" s="1"/>
  <c r="BR46" i="29"/>
  <c r="BQ47" i="29"/>
  <c r="BQ48" i="29" s="1"/>
  <c r="BQ53" i="29"/>
  <c r="BQ56" i="29" s="1"/>
  <c r="BQ83" i="29"/>
  <c r="BI201" i="29"/>
  <c r="V207" i="29"/>
  <c r="AN207" i="29"/>
  <c r="BR88" i="29"/>
  <c r="BR90" i="29" s="1"/>
  <c r="BQ89" i="29"/>
  <c r="BR94" i="29"/>
  <c r="BR96" i="29" s="1"/>
  <c r="BQ95" i="29"/>
  <c r="BW99" i="29"/>
  <c r="BV99" i="29"/>
  <c r="BW100" i="29"/>
  <c r="BV100" i="29"/>
  <c r="BU108" i="29"/>
  <c r="BV115" i="29"/>
  <c r="BW117" i="29"/>
  <c r="BV117" i="29"/>
  <c r="BO119" i="29"/>
  <c r="BW124" i="29"/>
  <c r="BV124" i="29"/>
  <c r="BN129" i="29"/>
  <c r="BO137" i="29"/>
  <c r="BO151" i="29"/>
  <c r="BW167" i="29"/>
  <c r="BV167" i="29"/>
  <c r="BQ181" i="29"/>
  <c r="BP181" i="29"/>
  <c r="BM182" i="29"/>
  <c r="BX41" i="29"/>
  <c r="BX44" i="29" s="1"/>
  <c r="BV42" i="29"/>
  <c r="BX53" i="29"/>
  <c r="BX56" i="29" s="1"/>
  <c r="BV54" i="29"/>
  <c r="BW60" i="29"/>
  <c r="BW63" i="29" s="1"/>
  <c r="BV66" i="29"/>
  <c r="BW72" i="29"/>
  <c r="BW75" i="29" s="1"/>
  <c r="BR77" i="29"/>
  <c r="BR79" i="29" s="1"/>
  <c r="BO98" i="29"/>
  <c r="BV98" i="29"/>
  <c r="BX104" i="29"/>
  <c r="BX108" i="29" s="1"/>
  <c r="BN105" i="29"/>
  <c r="BM106" i="29"/>
  <c r="BT106" i="29"/>
  <c r="BN109" i="29"/>
  <c r="BM112" i="29"/>
  <c r="BT112" i="29"/>
  <c r="BV116" i="29"/>
  <c r="BV122" i="29"/>
  <c r="BX154" i="29"/>
  <c r="BX156" i="29"/>
  <c r="BX159" i="29" s="1"/>
  <c r="W203" i="29"/>
  <c r="BV31" i="29"/>
  <c r="BV32" i="29" s="1"/>
  <c r="BV43" i="29"/>
  <c r="BV55" i="29"/>
  <c r="BV61" i="29"/>
  <c r="BV73" i="29"/>
  <c r="AM201" i="29"/>
  <c r="BQ85" i="29"/>
  <c r="BW85" i="29"/>
  <c r="BN99" i="29"/>
  <c r="BO101" i="29"/>
  <c r="BV103" i="29"/>
  <c r="BV104" i="29"/>
  <c r="BN115" i="29"/>
  <c r="BX126" i="29"/>
  <c r="BQ127" i="29"/>
  <c r="BN144" i="29"/>
  <c r="BQ152" i="29"/>
  <c r="BP152" i="29"/>
  <c r="BP154" i="29"/>
  <c r="BQ154" i="29"/>
  <c r="BR121" i="29"/>
  <c r="BN123" i="29"/>
  <c r="BQ128" i="29"/>
  <c r="AE208" i="29"/>
  <c r="BN139" i="29"/>
  <c r="BN147" i="29"/>
  <c r="BW149" i="29"/>
  <c r="BW151" i="29"/>
  <c r="BV151" i="29"/>
  <c r="BO156" i="29"/>
  <c r="BW157" i="29"/>
  <c r="BV157" i="29"/>
  <c r="BO161" i="29"/>
  <c r="AM203" i="29"/>
  <c r="BN171" i="29"/>
  <c r="BO183" i="29"/>
  <c r="BM190" i="29"/>
  <c r="BQ100" i="29"/>
  <c r="BQ102" i="29" s="1"/>
  <c r="BO123" i="29"/>
  <c r="BN127" i="29"/>
  <c r="BO131" i="29"/>
  <c r="BY207" i="29"/>
  <c r="BY132" i="29"/>
  <c r="BY196" i="29" s="1"/>
  <c r="BR15" i="47" s="1"/>
  <c r="BX133" i="29"/>
  <c r="BX138" i="29" s="1"/>
  <c r="BW134" i="29"/>
  <c r="BV134" i="29"/>
  <c r="BP135" i="29"/>
  <c r="BO142" i="29"/>
  <c r="BW142" i="29"/>
  <c r="BN145" i="29"/>
  <c r="BN154" i="29"/>
  <c r="BV171" i="29"/>
  <c r="BW171" i="29"/>
  <c r="BN174" i="29"/>
  <c r="BO178" i="29"/>
  <c r="BP184" i="29"/>
  <c r="BQ184" i="29"/>
  <c r="BM188" i="29"/>
  <c r="BO103" i="29"/>
  <c r="BR106" i="29"/>
  <c r="BO109" i="29"/>
  <c r="BR112" i="29"/>
  <c r="BO115" i="29"/>
  <c r="BU120" i="29"/>
  <c r="BR118" i="29"/>
  <c r="BR120" i="29" s="1"/>
  <c r="BQ122" i="29"/>
  <c r="BM124" i="29"/>
  <c r="BS124" i="29"/>
  <c r="BN124" i="29"/>
  <c r="BW129" i="29"/>
  <c r="BV129" i="29"/>
  <c r="BN131" i="29"/>
  <c r="BO133" i="29"/>
  <c r="BV135" i="29"/>
  <c r="BW135" i="29"/>
  <c r="BW136" i="29"/>
  <c r="BQ137" i="29"/>
  <c r="BP137" i="29"/>
  <c r="AN208" i="29"/>
  <c r="BR139" i="29"/>
  <c r="BX147" i="29"/>
  <c r="BX148" i="29" s="1"/>
  <c r="BX153" i="29"/>
  <c r="BV153" i="29"/>
  <c r="BU159" i="29"/>
  <c r="BV158" i="29"/>
  <c r="BW158" i="29"/>
  <c r="BO174" i="29"/>
  <c r="BV181" i="29"/>
  <c r="BW181" i="29"/>
  <c r="BO191" i="29"/>
  <c r="BN121" i="29"/>
  <c r="BO125" i="29"/>
  <c r="BO128" i="29"/>
  <c r="BV128" i="29"/>
  <c r="BW130" i="29"/>
  <c r="BV130" i="29"/>
  <c r="BN133" i="29"/>
  <c r="AP208" i="29"/>
  <c r="BV142" i="29"/>
  <c r="BV143" i="29"/>
  <c r="BQ149" i="29"/>
  <c r="BN150" i="29"/>
  <c r="BW150" i="29"/>
  <c r="BV150" i="29"/>
  <c r="BO152" i="29"/>
  <c r="BM153" i="29"/>
  <c r="BN157" i="29"/>
  <c r="BP158" i="29"/>
  <c r="BO162" i="29"/>
  <c r="BO166" i="29"/>
  <c r="BU186" i="29"/>
  <c r="BU192" i="29" s="1"/>
  <c r="BV193" i="29"/>
  <c r="BO147" i="29"/>
  <c r="BN153" i="29"/>
  <c r="BO163" i="29"/>
  <c r="BU168" i="29"/>
  <c r="BN167" i="29"/>
  <c r="BN173" i="29"/>
  <c r="BU176" i="29"/>
  <c r="BU179" i="29" s="1"/>
  <c r="BV183" i="29"/>
  <c r="BO186" i="29"/>
  <c r="BQ130" i="29"/>
  <c r="BR134" i="29"/>
  <c r="BR138" i="29" s="1"/>
  <c r="BQ135" i="29"/>
  <c r="BP136" i="29"/>
  <c r="AX208" i="29"/>
  <c r="BP142" i="29"/>
  <c r="BW145" i="29"/>
  <c r="BV145" i="29"/>
  <c r="BO146" i="29"/>
  <c r="BO153" i="29"/>
  <c r="BW156" i="29"/>
  <c r="BQ158" i="29"/>
  <c r="BW160" i="29"/>
  <c r="BQ163" i="29"/>
  <c r="BP163" i="29"/>
  <c r="BX165" i="29"/>
  <c r="BX168" i="29" s="1"/>
  <c r="BV170" i="29"/>
  <c r="BX203" i="29"/>
  <c r="BR185" i="29"/>
  <c r="BR192" i="29"/>
  <c r="BO187" i="29"/>
  <c r="BO189" i="29"/>
  <c r="BN191" i="29"/>
  <c r="BI208" i="29"/>
  <c r="BW139" i="29"/>
  <c r="BN142" i="29"/>
  <c r="BQ143" i="29"/>
  <c r="BW144" i="29"/>
  <c r="BV144" i="29"/>
  <c r="BW166" i="29"/>
  <c r="BN178" i="29"/>
  <c r="BO182" i="29"/>
  <c r="BQ183" i="29"/>
  <c r="BP183" i="29"/>
  <c r="BW183" i="29"/>
  <c r="BM184" i="29"/>
  <c r="BW184" i="29"/>
  <c r="BV184" i="29"/>
  <c r="BR149" i="29"/>
  <c r="BR155" i="29" s="1"/>
  <c r="BQ156" i="29"/>
  <c r="BR161" i="29"/>
  <c r="BR164" i="29" s="1"/>
  <c r="BN162" i="29"/>
  <c r="BO169" i="29"/>
  <c r="BU169" i="29"/>
  <c r="BU175" i="29" s="1"/>
  <c r="BR203" i="29"/>
  <c r="BQ182" i="29"/>
  <c r="BP182" i="29"/>
  <c r="BX192" i="29"/>
  <c r="BV191" i="29"/>
  <c r="BW191" i="29"/>
  <c r="BQ139" i="29"/>
  <c r="BR156" i="29"/>
  <c r="BR159" i="29" s="1"/>
  <c r="BO165" i="29"/>
  <c r="BJ203" i="29"/>
  <c r="BQ176" i="29"/>
  <c r="BQ179" i="29" s="1"/>
  <c r="BV176" i="29"/>
  <c r="BV179" i="29" s="1"/>
  <c r="BN189" i="29"/>
  <c r="BX194" i="29"/>
  <c r="BX195" i="29" s="1"/>
  <c r="BE199" i="29"/>
  <c r="BU203" i="29"/>
  <c r="BP171" i="29"/>
  <c r="BQ171" i="29"/>
  <c r="BP180" i="29"/>
  <c r="BN181" i="29"/>
  <c r="BN183" i="29"/>
  <c r="BN184" i="29"/>
  <c r="BN187" i="29"/>
  <c r="BW161" i="29"/>
  <c r="BV161" i="29"/>
  <c r="AN203" i="29"/>
  <c r="AX203" i="29"/>
  <c r="BW173" i="29"/>
  <c r="BV173" i="29"/>
  <c r="BW176" i="29"/>
  <c r="BW179" i="29" s="1"/>
  <c r="BO188" i="29"/>
  <c r="BR193" i="29"/>
  <c r="BR195" i="29" s="1"/>
  <c r="V203" i="29"/>
  <c r="BI203" i="29"/>
  <c r="BW170" i="29"/>
  <c r="BX176" i="29"/>
  <c r="BX179" i="29" s="1"/>
  <c r="BP178" i="29"/>
  <c r="BN180" i="29"/>
  <c r="BW186" i="29"/>
  <c r="BM194" i="29"/>
  <c r="BW194" i="29"/>
  <c r="BW195" i="29" s="1"/>
  <c r="BV194" i="29"/>
  <c r="AA199" i="29"/>
  <c r="AI199" i="29"/>
  <c r="W198" i="29" s="1"/>
  <c r="BW180" i="29"/>
  <c r="BP190" i="29"/>
  <c r="M199" i="29"/>
  <c r="Y199" i="29"/>
  <c r="AK199" i="29"/>
  <c r="CG199" i="29"/>
  <c r="CE199" i="29"/>
  <c r="I199" i="29"/>
  <c r="O199" i="29"/>
  <c r="U199" i="29"/>
  <c r="CC199" i="29"/>
  <c r="CI199" i="29"/>
  <c r="BQ186" i="29"/>
  <c r="BN194" i="29"/>
  <c r="AH199" i="29"/>
  <c r="V198" i="29" s="1"/>
  <c r="AZ199" i="29"/>
  <c r="AS115" i="29" l="1"/>
  <c r="AY174" i="32"/>
  <c r="BL174" i="32" s="1"/>
  <c r="AP293" i="32"/>
  <c r="AR39" i="32"/>
  <c r="AR28" i="32"/>
  <c r="BW35" i="32"/>
  <c r="AY49" i="32"/>
  <c r="BW84" i="31"/>
  <c r="AT15" i="31"/>
  <c r="AR57" i="31"/>
  <c r="AY66" i="31"/>
  <c r="M76" i="31"/>
  <c r="AQ32" i="31"/>
  <c r="AS82" i="30"/>
  <c r="AT76" i="30"/>
  <c r="CE102" i="30"/>
  <c r="AT82" i="30"/>
  <c r="AG44" i="30"/>
  <c r="AP71" i="30"/>
  <c r="AQ105" i="30"/>
  <c r="AS38" i="30"/>
  <c r="AY38" i="30" s="1"/>
  <c r="AS18" i="30"/>
  <c r="AG132" i="29"/>
  <c r="AS127" i="29"/>
  <c r="AY158" i="29"/>
  <c r="AR44" i="29"/>
  <c r="BW96" i="29"/>
  <c r="AR127" i="29"/>
  <c r="AR14" i="29"/>
  <c r="AR17" i="29" s="1"/>
  <c r="AY74" i="29"/>
  <c r="AY134" i="29"/>
  <c r="AS37" i="29"/>
  <c r="AT37" i="29"/>
  <c r="BM133" i="29"/>
  <c r="AS133" i="29"/>
  <c r="AS138" i="29" s="1"/>
  <c r="AT133" i="29"/>
  <c r="AY95" i="44"/>
  <c r="AY97" i="44"/>
  <c r="AP92" i="44"/>
  <c r="AY86" i="44"/>
  <c r="AG274" i="43"/>
  <c r="AY413" i="43"/>
  <c r="AT69" i="43"/>
  <c r="AY344" i="43"/>
  <c r="AT291" i="43"/>
  <c r="AG92" i="43"/>
  <c r="AS69" i="43"/>
  <c r="AS71" i="43" s="1"/>
  <c r="AG264" i="43"/>
  <c r="AT279" i="43"/>
  <c r="AY439" i="43"/>
  <c r="AS279" i="43"/>
  <c r="AQ338" i="43"/>
  <c r="AT222" i="43"/>
  <c r="AG233" i="43"/>
  <c r="AY282" i="43"/>
  <c r="AY351" i="43"/>
  <c r="AS222" i="43"/>
  <c r="AT252" i="43"/>
  <c r="AY175" i="43"/>
  <c r="AY419" i="43"/>
  <c r="AT269" i="43"/>
  <c r="AY435" i="43"/>
  <c r="AG208" i="43"/>
  <c r="AY146" i="43"/>
  <c r="AR127" i="43"/>
  <c r="AG278" i="43"/>
  <c r="AY363" i="43"/>
  <c r="AY122" i="32"/>
  <c r="AY240" i="32"/>
  <c r="AY60" i="32"/>
  <c r="AR264" i="32"/>
  <c r="AR52" i="32"/>
  <c r="AY170" i="32"/>
  <c r="BL170" i="32" s="1"/>
  <c r="AS114" i="32"/>
  <c r="BM66" i="32"/>
  <c r="AT278" i="32"/>
  <c r="AG120" i="32"/>
  <c r="AR235" i="32"/>
  <c r="AS278" i="32"/>
  <c r="AG157" i="32"/>
  <c r="AY180" i="32"/>
  <c r="AR215" i="32"/>
  <c r="AT228" i="32"/>
  <c r="AS151" i="32"/>
  <c r="AT78" i="32"/>
  <c r="AT84" i="32" s="1"/>
  <c r="AS228" i="32"/>
  <c r="AS234" i="32" s="1"/>
  <c r="AS78" i="32"/>
  <c r="BR144" i="32"/>
  <c r="AY224" i="32"/>
  <c r="AY31" i="31"/>
  <c r="BY76" i="31"/>
  <c r="BI75" i="31"/>
  <c r="AY56" i="31"/>
  <c r="AY70" i="30"/>
  <c r="AR15" i="30"/>
  <c r="AG75" i="30"/>
  <c r="AQ44" i="30"/>
  <c r="AT72" i="30"/>
  <c r="AY33" i="30"/>
  <c r="BX111" i="30"/>
  <c r="AY39" i="30"/>
  <c r="AY27" i="30"/>
  <c r="BQ138" i="29"/>
  <c r="AY27" i="29"/>
  <c r="AY50" i="29"/>
  <c r="AY15" i="29"/>
  <c r="AY125" i="29"/>
  <c r="AY28" i="29"/>
  <c r="BO71" i="29"/>
  <c r="AR103" i="29"/>
  <c r="AR108" i="29" s="1"/>
  <c r="AY66" i="29"/>
  <c r="AR115" i="29"/>
  <c r="AR120" i="29" s="1"/>
  <c r="BM156" i="29"/>
  <c r="BW13" i="29"/>
  <c r="AY65" i="29"/>
  <c r="AS156" i="29"/>
  <c r="BS110" i="29"/>
  <c r="AT156" i="29"/>
  <c r="AT159" i="29" s="1"/>
  <c r="AT57" i="44"/>
  <c r="AS57" i="44"/>
  <c r="AY83" i="44"/>
  <c r="AR98" i="44"/>
  <c r="AT85" i="44"/>
  <c r="AT88" i="44" s="1"/>
  <c r="AR88" i="44"/>
  <c r="AS85" i="44"/>
  <c r="AY67" i="44"/>
  <c r="AP88" i="44"/>
  <c r="AY345" i="43"/>
  <c r="AP353" i="43"/>
  <c r="AP300" i="43"/>
  <c r="AY241" i="43"/>
  <c r="AT392" i="43"/>
  <c r="AT395" i="43" s="1"/>
  <c r="AP76" i="43"/>
  <c r="AR177" i="43"/>
  <c r="AR182" i="43" s="1"/>
  <c r="AY255" i="43"/>
  <c r="AS438" i="43"/>
  <c r="AS444" i="43" s="1"/>
  <c r="AT438" i="43"/>
  <c r="AT444" i="43" s="1"/>
  <c r="AY62" i="43"/>
  <c r="AY230" i="43"/>
  <c r="AY192" i="43"/>
  <c r="AP43" i="43"/>
  <c r="AY272" i="43"/>
  <c r="AR278" i="43"/>
  <c r="AS228" i="43"/>
  <c r="AY228" i="43" s="1"/>
  <c r="AP451" i="43"/>
  <c r="AR269" i="43"/>
  <c r="AR274" i="43" s="1"/>
  <c r="AY152" i="43"/>
  <c r="AY214" i="43"/>
  <c r="AY87" i="43"/>
  <c r="AT275" i="43"/>
  <c r="AY275" i="43" s="1"/>
  <c r="AY249" i="43"/>
  <c r="AY66" i="43"/>
  <c r="AY243" i="43"/>
  <c r="AS209" i="43"/>
  <c r="AT361" i="43"/>
  <c r="AT365" i="43" s="1"/>
  <c r="AY366" i="43"/>
  <c r="AY394" i="43"/>
  <c r="AY90" i="43"/>
  <c r="AY276" i="43"/>
  <c r="AY155" i="32"/>
  <c r="AY241" i="32"/>
  <c r="AY57" i="32"/>
  <c r="AY201" i="32"/>
  <c r="BL201" i="32" s="1"/>
  <c r="AY219" i="32"/>
  <c r="AY134" i="32"/>
  <c r="BL134" i="32" s="1"/>
  <c r="AY258" i="32"/>
  <c r="BL258" i="32" s="1"/>
  <c r="AY290" i="32"/>
  <c r="AY286" i="32"/>
  <c r="AY91" i="32"/>
  <c r="BY296" i="32"/>
  <c r="AG71" i="32"/>
  <c r="AY248" i="32"/>
  <c r="AY273" i="32"/>
  <c r="BL273" i="32" s="1"/>
  <c r="AR246" i="32"/>
  <c r="AR249" i="32" s="1"/>
  <c r="AT53" i="32"/>
  <c r="AT58" i="32" s="1"/>
  <c r="AY210" i="32"/>
  <c r="AR238" i="32"/>
  <c r="AT246" i="32"/>
  <c r="AT249" i="32" s="1"/>
  <c r="AS53" i="32"/>
  <c r="AS58" i="32" s="1"/>
  <c r="AT66" i="32"/>
  <c r="AY142" i="32"/>
  <c r="AS257" i="32"/>
  <c r="AS263" i="32" s="1"/>
  <c r="AT138" i="32"/>
  <c r="AT144" i="32" s="1"/>
  <c r="AS124" i="32"/>
  <c r="AY139" i="32"/>
  <c r="AY46" i="32"/>
  <c r="AS246" i="32"/>
  <c r="AT257" i="32"/>
  <c r="AS138" i="32"/>
  <c r="AY280" i="32"/>
  <c r="BL280" i="32" s="1"/>
  <c r="AR250" i="32"/>
  <c r="AR256" i="32" s="1"/>
  <c r="AY30" i="32"/>
  <c r="BS290" i="32"/>
  <c r="AY203" i="32"/>
  <c r="BL203" i="32" s="1"/>
  <c r="BQ23" i="31"/>
  <c r="BP64" i="31"/>
  <c r="AR38" i="31"/>
  <c r="AY55" i="31"/>
  <c r="BL55" i="31" s="1"/>
  <c r="BQ43" i="31"/>
  <c r="AY61" i="31"/>
  <c r="BL61" i="31" s="1"/>
  <c r="CE76" i="31"/>
  <c r="BX64" i="31"/>
  <c r="AR19" i="31"/>
  <c r="AR73" i="31"/>
  <c r="AS15" i="31"/>
  <c r="AY29" i="31"/>
  <c r="BL29" i="31" s="1"/>
  <c r="AY94" i="30"/>
  <c r="AT66" i="30"/>
  <c r="AT71" i="30" s="1"/>
  <c r="AS66" i="30"/>
  <c r="AY66" i="30" s="1"/>
  <c r="AY36" i="30"/>
  <c r="AY47" i="30"/>
  <c r="AR86" i="30"/>
  <c r="AY86" i="30" s="1"/>
  <c r="AR49" i="30"/>
  <c r="AT37" i="30"/>
  <c r="AT18" i="30"/>
  <c r="AT23" i="30" s="1"/>
  <c r="AY106" i="29"/>
  <c r="AG179" i="29"/>
  <c r="AT176" i="29"/>
  <c r="AT179" i="29" s="1"/>
  <c r="AY143" i="29"/>
  <c r="AR141" i="29"/>
  <c r="AR148" i="29" s="1"/>
  <c r="AS18" i="29"/>
  <c r="AS21" i="29" s="1"/>
  <c r="AG21" i="29"/>
  <c r="AS109" i="29"/>
  <c r="AT109" i="29"/>
  <c r="AT114" i="29" s="1"/>
  <c r="AG17" i="29"/>
  <c r="BV59" i="29"/>
  <c r="AS271" i="32"/>
  <c r="AS200" i="32"/>
  <c r="AS205" i="32" s="1"/>
  <c r="AY75" i="32"/>
  <c r="BJ297" i="32"/>
  <c r="AT52" i="31"/>
  <c r="AY34" i="31"/>
  <c r="W77" i="31"/>
  <c r="AT23" i="31"/>
  <c r="AT93" i="30"/>
  <c r="AS93" i="30"/>
  <c r="AS99" i="30" s="1"/>
  <c r="BO124" i="32"/>
  <c r="AY80" i="32"/>
  <c r="AY265" i="32"/>
  <c r="BI295" i="32"/>
  <c r="AY16" i="32"/>
  <c r="AT291" i="32"/>
  <c r="BW164" i="32"/>
  <c r="AR44" i="32"/>
  <c r="AR45" i="32" s="1"/>
  <c r="AY94" i="32"/>
  <c r="BL94" i="32" s="1"/>
  <c r="AY233" i="32"/>
  <c r="AR172" i="32"/>
  <c r="AY172" i="32" s="1"/>
  <c r="AY62" i="32"/>
  <c r="BL62" i="32" s="1"/>
  <c r="AY173" i="32"/>
  <c r="AY198" i="32"/>
  <c r="AY186" i="32"/>
  <c r="AR206" i="32"/>
  <c r="AR214" i="32" s="1"/>
  <c r="AT157" i="32"/>
  <c r="BN270" i="32"/>
  <c r="BR137" i="32"/>
  <c r="AT120" i="32"/>
  <c r="AY123" i="32"/>
  <c r="AY282" i="32"/>
  <c r="AR32" i="32"/>
  <c r="AR35" i="32" s="1"/>
  <c r="AR96" i="32"/>
  <c r="AR12" i="32"/>
  <c r="AR13" i="32" s="1"/>
  <c r="AY207" i="32"/>
  <c r="AY101" i="32"/>
  <c r="AY24" i="32"/>
  <c r="AR125" i="32"/>
  <c r="AR130" i="32" s="1"/>
  <c r="AF18" i="47"/>
  <c r="AT205" i="32"/>
  <c r="AS214" i="32"/>
  <c r="AG43" i="32"/>
  <c r="BQ52" i="32"/>
  <c r="AS113" i="32"/>
  <c r="AY89" i="32"/>
  <c r="AY104" i="32"/>
  <c r="BL104" i="32" s="1"/>
  <c r="AY81" i="32"/>
  <c r="AS40" i="32"/>
  <c r="AY40" i="32" s="1"/>
  <c r="AY204" i="32"/>
  <c r="AY191" i="32"/>
  <c r="AY115" i="32"/>
  <c r="AY143" i="32"/>
  <c r="AY106" i="32"/>
  <c r="BL106" i="32" s="1"/>
  <c r="AY181" i="32"/>
  <c r="AY47" i="32"/>
  <c r="AY69" i="32"/>
  <c r="BL69" i="32" s="1"/>
  <c r="AY37" i="32"/>
  <c r="AY127" i="32"/>
  <c r="BL127" i="32" s="1"/>
  <c r="AY152" i="32"/>
  <c r="AY160" i="32"/>
  <c r="AR110" i="32"/>
  <c r="AR113" i="32" s="1"/>
  <c r="AR107" i="32"/>
  <c r="AS90" i="32"/>
  <c r="AY87" i="32"/>
  <c r="AS59" i="32"/>
  <c r="AS65" i="32" s="1"/>
  <c r="AT43" i="32"/>
  <c r="AT234" i="32"/>
  <c r="AY105" i="32"/>
  <c r="AY194" i="32"/>
  <c r="BL194" i="32" s="1"/>
  <c r="AR59" i="32"/>
  <c r="AR65" i="32" s="1"/>
  <c r="AR278" i="32"/>
  <c r="BO195" i="32"/>
  <c r="AY129" i="32"/>
  <c r="BL129" i="32" s="1"/>
  <c r="AY48" i="32"/>
  <c r="AY163" i="32"/>
  <c r="AY283" i="32"/>
  <c r="BL283" i="32" s="1"/>
  <c r="AY83" i="32"/>
  <c r="AY41" i="32"/>
  <c r="AY51" i="32"/>
  <c r="BL51" i="32" s="1"/>
  <c r="AS64" i="31"/>
  <c r="BI76" i="31"/>
  <c r="AY13" i="30"/>
  <c r="AY80" i="30"/>
  <c r="AT85" i="30"/>
  <c r="AT15" i="30"/>
  <c r="AY25" i="30"/>
  <c r="BL25" i="30" s="1"/>
  <c r="AS54" i="30"/>
  <c r="BN75" i="30"/>
  <c r="AR29" i="30"/>
  <c r="AR30" i="30" s="1"/>
  <c r="AS23" i="30"/>
  <c r="AY97" i="30"/>
  <c r="BL97" i="30" s="1"/>
  <c r="AY22" i="30"/>
  <c r="AR76" i="30"/>
  <c r="AR81" i="30" s="1"/>
  <c r="AY51" i="30"/>
  <c r="BL51" i="30" s="1"/>
  <c r="AS29" i="30"/>
  <c r="AY53" i="30"/>
  <c r="BL53" i="30" s="1"/>
  <c r="AY52" i="30"/>
  <c r="AY88" i="30"/>
  <c r="AG54" i="30"/>
  <c r="AR44" i="30"/>
  <c r="BJ101" i="30"/>
  <c r="AY77" i="30"/>
  <c r="M102" i="30"/>
  <c r="AN16" i="47"/>
  <c r="AX101" i="30"/>
  <c r="AT28" i="30"/>
  <c r="AR24" i="30"/>
  <c r="AR28" i="30" s="1"/>
  <c r="AY42" i="30"/>
  <c r="AT49" i="30"/>
  <c r="AT54" i="30" s="1"/>
  <c r="AR82" i="30"/>
  <c r="AR85" i="30" s="1"/>
  <c r="AS41" i="29"/>
  <c r="AY41" i="29" s="1"/>
  <c r="AY122" i="29"/>
  <c r="AG195" i="29"/>
  <c r="AG96" i="29"/>
  <c r="AT193" i="29"/>
  <c r="AT195" i="29" s="1"/>
  <c r="AR193" i="29"/>
  <c r="AR195" i="29" s="1"/>
  <c r="AY46" i="29"/>
  <c r="BL46" i="29" s="1"/>
  <c r="AS91" i="29"/>
  <c r="AS96" i="29" s="1"/>
  <c r="AY135" i="29"/>
  <c r="BS51" i="29"/>
  <c r="AS103" i="29"/>
  <c r="AS108" i="29" s="1"/>
  <c r="AY101" i="29"/>
  <c r="AT68" i="29"/>
  <c r="AT71" i="29" s="1"/>
  <c r="BO48" i="29"/>
  <c r="BN67" i="29"/>
  <c r="BX29" i="29"/>
  <c r="AR49" i="29"/>
  <c r="AR52" i="29" s="1"/>
  <c r="AY24" i="29"/>
  <c r="AT17" i="29"/>
  <c r="AT120" i="29"/>
  <c r="AR159" i="29"/>
  <c r="AG56" i="29"/>
  <c r="AS67" i="29"/>
  <c r="AS68" i="29"/>
  <c r="AS71" i="29" s="1"/>
  <c r="AR18" i="29"/>
  <c r="AR21" i="29" s="1"/>
  <c r="AP132" i="29"/>
  <c r="AG59" i="29"/>
  <c r="AY146" i="29"/>
  <c r="BY198" i="29"/>
  <c r="BR114" i="29"/>
  <c r="AY187" i="29"/>
  <c r="AY89" i="29"/>
  <c r="BL89" i="29" s="1"/>
  <c r="AR160" i="29"/>
  <c r="AR164" i="29" s="1"/>
  <c r="AP17" i="29"/>
  <c r="BQ67" i="29"/>
  <c r="AT103" i="29"/>
  <c r="AT108" i="29" s="1"/>
  <c r="BQ192" i="29"/>
  <c r="BN59" i="29"/>
  <c r="BN25" i="29"/>
  <c r="AY34" i="29"/>
  <c r="BL34" i="29" s="1"/>
  <c r="AT139" i="29"/>
  <c r="AT140" i="29" s="1"/>
  <c r="AY54" i="29"/>
  <c r="AR57" i="29"/>
  <c r="AR59" i="29" s="1"/>
  <c r="BR32" i="29"/>
  <c r="BQ52" i="29"/>
  <c r="AS121" i="29"/>
  <c r="AS126" i="29" s="1"/>
  <c r="AY111" i="29"/>
  <c r="AG126" i="29"/>
  <c r="BV48" i="29"/>
  <c r="AT49" i="29"/>
  <c r="AT52" i="29" s="1"/>
  <c r="AS141" i="29"/>
  <c r="BN120" i="29"/>
  <c r="AS49" i="29"/>
  <c r="AT141" i="29"/>
  <c r="AT148" i="29" s="1"/>
  <c r="AR60" i="29"/>
  <c r="AY191" i="29"/>
  <c r="BL191" i="29" s="1"/>
  <c r="AT80" i="29"/>
  <c r="AT84" i="29" s="1"/>
  <c r="AY184" i="29"/>
  <c r="BL184" i="29" s="1"/>
  <c r="AS80" i="29"/>
  <c r="AS84" i="29" s="1"/>
  <c r="AR25" i="29"/>
  <c r="BW84" i="29"/>
  <c r="AT48" i="29"/>
  <c r="AS185" i="29"/>
  <c r="AY35" i="29"/>
  <c r="BL35" i="29" s="1"/>
  <c r="AY58" i="29"/>
  <c r="BL58" i="29" s="1"/>
  <c r="AR53" i="29"/>
  <c r="AR56" i="29" s="1"/>
  <c r="AG175" i="29"/>
  <c r="AS57" i="29"/>
  <c r="AS59" i="29" s="1"/>
  <c r="BV114" i="29"/>
  <c r="AY77" i="29"/>
  <c r="AY94" i="29"/>
  <c r="AY157" i="29"/>
  <c r="AT169" i="29"/>
  <c r="AT175" i="29" s="1"/>
  <c r="AY147" i="29"/>
  <c r="AY107" i="29"/>
  <c r="BL107" i="29" s="1"/>
  <c r="AR168" i="29"/>
  <c r="BW79" i="29"/>
  <c r="BP44" i="29"/>
  <c r="AY174" i="29"/>
  <c r="BO36" i="29"/>
  <c r="AY123" i="29"/>
  <c r="BL123" i="29" s="1"/>
  <c r="AY170" i="29"/>
  <c r="AT96" i="29"/>
  <c r="AY87" i="29"/>
  <c r="BL87" i="29" s="1"/>
  <c r="AR91" i="29"/>
  <c r="AR96" i="29" s="1"/>
  <c r="AR30" i="29"/>
  <c r="AR32" i="29" s="1"/>
  <c r="AS179" i="29"/>
  <c r="AY113" i="29"/>
  <c r="BL113" i="29" s="1"/>
  <c r="AY55" i="29"/>
  <c r="AY117" i="29"/>
  <c r="AY173" i="29"/>
  <c r="AT15" i="47"/>
  <c r="BJ197" i="29"/>
  <c r="I198" i="29"/>
  <c r="AT90" i="29"/>
  <c r="AT192" i="29"/>
  <c r="AN15" i="47"/>
  <c r="AX197" i="29"/>
  <c r="AY167" i="29"/>
  <c r="AY93" i="29"/>
  <c r="AR185" i="29"/>
  <c r="AY189" i="29"/>
  <c r="AX16" i="47"/>
  <c r="BI101" i="30"/>
  <c r="AX15" i="47"/>
  <c r="BI197" i="29"/>
  <c r="AY142" i="29"/>
  <c r="AY446" i="43"/>
  <c r="AT171" i="43"/>
  <c r="AG176" i="43"/>
  <c r="AY21" i="44"/>
  <c r="AS424" i="43"/>
  <c r="AS430" i="43" s="1"/>
  <c r="AY434" i="43"/>
  <c r="AY163" i="43"/>
  <c r="AY42" i="43"/>
  <c r="AT93" i="43"/>
  <c r="AT96" i="43" s="1"/>
  <c r="AT424" i="43"/>
  <c r="AR147" i="43"/>
  <c r="AY341" i="43"/>
  <c r="AP278" i="43"/>
  <c r="AG202" i="43"/>
  <c r="AS89" i="43"/>
  <c r="AS92" i="43" s="1"/>
  <c r="AS93" i="43"/>
  <c r="AS96" i="43" s="1"/>
  <c r="AP324" i="43"/>
  <c r="AY336" i="43"/>
  <c r="AT197" i="43"/>
  <c r="AT202" i="43" s="1"/>
  <c r="AT240" i="43"/>
  <c r="AT245" i="43" s="1"/>
  <c r="AT348" i="43"/>
  <c r="AT353" i="43" s="1"/>
  <c r="AY405" i="43"/>
  <c r="AR27" i="43"/>
  <c r="AY45" i="43"/>
  <c r="AT373" i="43"/>
  <c r="AY30" i="43"/>
  <c r="AR76" i="43"/>
  <c r="AY294" i="43"/>
  <c r="AS373" i="43"/>
  <c r="AS376" i="43" s="1"/>
  <c r="AS234" i="43"/>
  <c r="AS239" i="43" s="1"/>
  <c r="AT234" i="43"/>
  <c r="AT239" i="43" s="1"/>
  <c r="AS259" i="43"/>
  <c r="AS260" i="43" s="1"/>
  <c r="AY337" i="43"/>
  <c r="AY340" i="43"/>
  <c r="AS135" i="43"/>
  <c r="AS141" i="43" s="1"/>
  <c r="AT259" i="43"/>
  <c r="AT260" i="43" s="1"/>
  <c r="AT209" i="43"/>
  <c r="AT215" i="43" s="1"/>
  <c r="AT135" i="43"/>
  <c r="AT141" i="43" s="1"/>
  <c r="AS268" i="43"/>
  <c r="AR252" i="43"/>
  <c r="AR258" i="43" s="1"/>
  <c r="AY447" i="43"/>
  <c r="AR35" i="43"/>
  <c r="AR376" i="43"/>
  <c r="AR285" i="43"/>
  <c r="AY253" i="43"/>
  <c r="AR171" i="43"/>
  <c r="AR176" i="43" s="1"/>
  <c r="AY428" i="43"/>
  <c r="AG122" i="43"/>
  <c r="AT160" i="43"/>
  <c r="AT164" i="43" s="1"/>
  <c r="AT60" i="43"/>
  <c r="AS160" i="43"/>
  <c r="AS164" i="43" s="1"/>
  <c r="AT85" i="43"/>
  <c r="AT88" i="43" s="1"/>
  <c r="AS379" i="43"/>
  <c r="AS385" i="43" s="1"/>
  <c r="AY247" i="43"/>
  <c r="AP227" i="43"/>
  <c r="AY304" i="43"/>
  <c r="AT92" i="43"/>
  <c r="AS85" i="43"/>
  <c r="AS88" i="43" s="1"/>
  <c r="AR372" i="43"/>
  <c r="AY292" i="43"/>
  <c r="AS261" i="43"/>
  <c r="AS264" i="43" s="1"/>
  <c r="AT264" i="43"/>
  <c r="AT65" i="43"/>
  <c r="AT68" i="43" s="1"/>
  <c r="AT84" i="43"/>
  <c r="AS77" i="43"/>
  <c r="AY400" i="43"/>
  <c r="AG347" i="43"/>
  <c r="AR239" i="43"/>
  <c r="AS122" i="44"/>
  <c r="AR35" i="44"/>
  <c r="AY68" i="44"/>
  <c r="AR19" i="44"/>
  <c r="AY118" i="44"/>
  <c r="AY76" i="44"/>
  <c r="AY80" i="44"/>
  <c r="AT103" i="44"/>
  <c r="AT104" i="44" s="1"/>
  <c r="AY65" i="44"/>
  <c r="AY53" i="44"/>
  <c r="AY124" i="44"/>
  <c r="AT111" i="43"/>
  <c r="AY207" i="43"/>
  <c r="AP239" i="43"/>
  <c r="AT77" i="43"/>
  <c r="AT80" i="43" s="1"/>
  <c r="AS339" i="43"/>
  <c r="AS347" i="43" s="1"/>
  <c r="AY425" i="43"/>
  <c r="AT299" i="43"/>
  <c r="AT300" i="43" s="1"/>
  <c r="AT265" i="43"/>
  <c r="AT268" i="43" s="1"/>
  <c r="AT377" i="43"/>
  <c r="AT378" i="43" s="1"/>
  <c r="AR50" i="43"/>
  <c r="AG268" i="43"/>
  <c r="AR268" i="43"/>
  <c r="AY232" i="43"/>
  <c r="AS299" i="43"/>
  <c r="AT301" i="43"/>
  <c r="AT307" i="43" s="1"/>
  <c r="AS377" i="43"/>
  <c r="AS378" i="43" s="1"/>
  <c r="AS459" i="43"/>
  <c r="AS461" i="43" s="1"/>
  <c r="AS105" i="43"/>
  <c r="AS107" i="43" s="1"/>
  <c r="AR424" i="43"/>
  <c r="AR430" i="43" s="1"/>
  <c r="AY162" i="43"/>
  <c r="AY404" i="43"/>
  <c r="AP80" i="43"/>
  <c r="AT459" i="43"/>
  <c r="AT461" i="43" s="1"/>
  <c r="AG258" i="43"/>
  <c r="AY329" i="43"/>
  <c r="AT112" i="43"/>
  <c r="AT115" i="43" s="1"/>
  <c r="AS65" i="43"/>
  <c r="AS68" i="43" s="1"/>
  <c r="AT327" i="43"/>
  <c r="AT330" i="43" s="1"/>
  <c r="AR240" i="43"/>
  <c r="AR245" i="43" s="1"/>
  <c r="AY130" i="43"/>
  <c r="AY266" i="43"/>
  <c r="AY332" i="43"/>
  <c r="AY120" i="43"/>
  <c r="AS112" i="43"/>
  <c r="AS115" i="43" s="1"/>
  <c r="AT101" i="43"/>
  <c r="AT104" i="43" s="1"/>
  <c r="AS327" i="43"/>
  <c r="AS330" i="43" s="1"/>
  <c r="AR233" i="43"/>
  <c r="AS348" i="43"/>
  <c r="AR208" i="43"/>
  <c r="AQ465" i="43"/>
  <c r="AY463" i="43"/>
  <c r="AT177" i="43"/>
  <c r="AT182" i="43" s="1"/>
  <c r="AP268" i="43"/>
  <c r="AG465" i="43"/>
  <c r="AS462" i="43"/>
  <c r="AS465" i="43" s="1"/>
  <c r="AS177" i="43"/>
  <c r="AS182" i="43" s="1"/>
  <c r="AS44" i="43"/>
  <c r="AS47" i="43" s="1"/>
  <c r="AS240" i="43"/>
  <c r="AS245" i="43" s="1"/>
  <c r="AT44" i="43"/>
  <c r="AT47" i="43" s="1"/>
  <c r="AT379" i="43"/>
  <c r="AT385" i="43" s="1"/>
  <c r="AR65" i="43"/>
  <c r="AR68" i="43" s="1"/>
  <c r="AR53" i="43"/>
  <c r="AT64" i="43"/>
  <c r="AR190" i="43"/>
  <c r="AR196" i="43" s="1"/>
  <c r="AT431" i="43"/>
  <c r="AT437" i="43" s="1"/>
  <c r="AR80" i="43"/>
  <c r="AS403" i="43"/>
  <c r="AS409" i="43" s="1"/>
  <c r="AR377" i="43"/>
  <c r="AR378" i="43" s="1"/>
  <c r="AY219" i="43"/>
  <c r="AY295" i="43"/>
  <c r="AY17" i="43"/>
  <c r="AY280" i="43"/>
  <c r="AG409" i="43"/>
  <c r="AS61" i="43"/>
  <c r="AS64" i="43" s="1"/>
  <c r="AT28" i="43"/>
  <c r="AY28" i="43" s="1"/>
  <c r="AT19" i="43"/>
  <c r="AT22" i="43" s="1"/>
  <c r="AR61" i="43"/>
  <c r="AR64" i="43" s="1"/>
  <c r="AY195" i="43"/>
  <c r="AT386" i="43"/>
  <c r="AT391" i="43" s="1"/>
  <c r="AY442" i="43"/>
  <c r="AY117" i="43"/>
  <c r="AY73" i="43"/>
  <c r="AS119" i="43"/>
  <c r="AS122" i="43" s="1"/>
  <c r="AP196" i="43"/>
  <c r="AG395" i="43"/>
  <c r="AG64" i="43"/>
  <c r="AY401" i="43"/>
  <c r="AS386" i="43"/>
  <c r="AS391" i="43" s="1"/>
  <c r="AY310" i="43"/>
  <c r="AS431" i="43"/>
  <c r="AS437" i="43" s="1"/>
  <c r="AY312" i="43"/>
  <c r="AG31" i="43"/>
  <c r="AY263" i="43"/>
  <c r="AS301" i="43"/>
  <c r="AS307" i="43" s="1"/>
  <c r="AT105" i="43"/>
  <c r="AT107" i="43" s="1"/>
  <c r="AR452" i="43"/>
  <c r="AR458" i="43" s="1"/>
  <c r="AY194" i="43"/>
  <c r="AY184" i="43"/>
  <c r="AY83" i="43"/>
  <c r="AR60" i="43"/>
  <c r="AS19" i="43"/>
  <c r="AR324" i="43"/>
  <c r="AY94" i="43"/>
  <c r="AT70" i="44"/>
  <c r="AY60" i="44"/>
  <c r="AY46" i="44"/>
  <c r="AY107" i="44"/>
  <c r="AT49" i="44"/>
  <c r="AY30" i="44"/>
  <c r="AS28" i="44"/>
  <c r="AY96" i="44"/>
  <c r="AY106" i="44"/>
  <c r="AY52" i="44"/>
  <c r="AR43" i="44"/>
  <c r="AY43" i="44" s="1"/>
  <c r="AR28" i="44"/>
  <c r="AY26" i="44"/>
  <c r="AY91" i="44"/>
  <c r="AY78" i="44"/>
  <c r="AR92" i="44"/>
  <c r="AY69" i="44"/>
  <c r="AY94" i="44"/>
  <c r="AT92" i="44"/>
  <c r="AY99" i="43"/>
  <c r="AY238" i="43"/>
  <c r="AY220" i="43"/>
  <c r="AR116" i="43"/>
  <c r="AR118" i="43" s="1"/>
  <c r="AR112" i="43"/>
  <c r="AR115" i="43" s="1"/>
  <c r="AY199" i="43"/>
  <c r="AY200" i="43"/>
  <c r="AY218" i="43"/>
  <c r="AY406" i="43"/>
  <c r="AY364" i="43"/>
  <c r="AY415" i="43"/>
  <c r="AY321" i="43"/>
  <c r="AY33" i="43"/>
  <c r="AY24" i="43"/>
  <c r="AY271" i="43"/>
  <c r="AY145" i="43"/>
  <c r="AY185" i="43"/>
  <c r="AY167" i="43"/>
  <c r="AY289" i="43"/>
  <c r="AT318" i="43"/>
  <c r="AY367" i="43"/>
  <c r="AS39" i="43"/>
  <c r="AY370" i="43"/>
  <c r="AY137" i="43"/>
  <c r="AY412" i="43"/>
  <c r="AY369" i="43"/>
  <c r="AP22" i="43"/>
  <c r="AR101" i="43"/>
  <c r="AR104" i="43" s="1"/>
  <c r="AY248" i="43"/>
  <c r="AY157" i="43"/>
  <c r="AT153" i="43"/>
  <c r="AY158" i="43"/>
  <c r="AY59" i="43"/>
  <c r="AY356" i="43"/>
  <c r="AY250" i="43"/>
  <c r="AY355" i="43"/>
  <c r="AY172" i="43"/>
  <c r="AY70" i="43"/>
  <c r="AY138" i="43"/>
  <c r="AY102" i="43"/>
  <c r="AR128" i="43"/>
  <c r="AR134" i="43" s="1"/>
  <c r="AR108" i="43"/>
  <c r="AR111" i="43" s="1"/>
  <c r="AR308" i="43"/>
  <c r="AR314" i="43" s="1"/>
  <c r="AY236" i="43"/>
  <c r="AY432" i="43"/>
  <c r="AY205" i="43"/>
  <c r="AS324" i="43"/>
  <c r="AY297" i="43"/>
  <c r="AY283" i="43"/>
  <c r="AY144" i="43"/>
  <c r="AY381" i="43"/>
  <c r="AY256" i="43"/>
  <c r="AY131" i="43"/>
  <c r="AY223" i="43"/>
  <c r="AY380" i="43"/>
  <c r="AY371" i="43"/>
  <c r="AY188" i="43"/>
  <c r="AY420" i="43"/>
  <c r="AY210" i="43"/>
  <c r="AY358" i="43"/>
  <c r="AY323" i="43"/>
  <c r="AT176" i="43"/>
  <c r="AY52" i="43"/>
  <c r="AY20" i="43"/>
  <c r="AY267" i="43"/>
  <c r="AY414" i="43"/>
  <c r="AY287" i="43"/>
  <c r="AY193" i="43"/>
  <c r="AY113" i="43"/>
  <c r="AY129" i="43"/>
  <c r="AS56" i="43"/>
  <c r="AT274" i="43"/>
  <c r="AY343" i="43"/>
  <c r="AY136" i="43"/>
  <c r="AY109" i="43"/>
  <c r="AT39" i="43"/>
  <c r="AS291" i="43"/>
  <c r="AS298" i="43" s="1"/>
  <c r="AY254" i="43"/>
  <c r="AY224" i="43"/>
  <c r="AY375" i="43"/>
  <c r="AY201" i="43"/>
  <c r="AR459" i="43"/>
  <c r="AY174" i="43"/>
  <c r="AY455" i="43"/>
  <c r="AY436" i="43"/>
  <c r="AT159" i="43"/>
  <c r="AR170" i="43"/>
  <c r="AY441" i="43"/>
  <c r="AR451" i="43"/>
  <c r="AY140" i="43"/>
  <c r="AY229" i="43"/>
  <c r="AY303" i="43"/>
  <c r="AS40" i="43"/>
  <c r="AS43" i="43" s="1"/>
  <c r="AS100" i="43"/>
  <c r="AY63" i="43"/>
  <c r="AY179" i="43"/>
  <c r="AY225" i="43"/>
  <c r="AR325" i="43"/>
  <c r="AR326" i="43" s="1"/>
  <c r="AT347" i="43"/>
  <c r="AR85" i="43"/>
  <c r="AY450" i="43"/>
  <c r="AT18" i="43"/>
  <c r="AT40" i="43"/>
  <c r="AT43" i="43" s="1"/>
  <c r="AY114" i="43"/>
  <c r="AY151" i="43"/>
  <c r="AY149" i="43"/>
  <c r="AY150" i="43"/>
  <c r="AY79" i="43"/>
  <c r="AY211" i="43"/>
  <c r="AT372" i="43"/>
  <c r="AP307" i="43"/>
  <c r="AR261" i="43"/>
  <c r="AR264" i="43" s="1"/>
  <c r="AY155" i="43"/>
  <c r="AY29" i="43"/>
  <c r="AY46" i="43"/>
  <c r="AY449" i="43"/>
  <c r="AY389" i="43"/>
  <c r="AS285" i="43"/>
  <c r="AT170" i="43"/>
  <c r="AY464" i="43"/>
  <c r="AY95" i="43"/>
  <c r="AY407" i="43"/>
  <c r="AR135" i="43"/>
  <c r="AR141" i="43" s="1"/>
  <c r="AR402" i="43"/>
  <c r="AS72" i="43"/>
  <c r="AS76" i="43" s="1"/>
  <c r="AT72" i="43"/>
  <c r="AT76" i="43" s="1"/>
  <c r="S296" i="32"/>
  <c r="J296" i="32"/>
  <c r="AX296" i="32"/>
  <c r="BI296" i="32"/>
  <c r="BJ296" i="32"/>
  <c r="I296" i="32"/>
  <c r="M296" i="32"/>
  <c r="S76" i="31"/>
  <c r="I76" i="31"/>
  <c r="J76" i="31"/>
  <c r="AX76" i="31"/>
  <c r="BJ76" i="31"/>
  <c r="BJ102" i="30"/>
  <c r="S102" i="30"/>
  <c r="I102" i="30"/>
  <c r="BI102" i="30"/>
  <c r="S198" i="29"/>
  <c r="M198" i="29"/>
  <c r="AX198" i="29"/>
  <c r="BI198" i="29"/>
  <c r="J198" i="29"/>
  <c r="BJ198" i="29"/>
  <c r="AY32" i="43"/>
  <c r="AS35" i="43"/>
  <c r="AS196" i="43"/>
  <c r="AT27" i="43"/>
  <c r="AT147" i="43"/>
  <c r="AG134" i="43"/>
  <c r="AT128" i="43"/>
  <c r="AT134" i="43" s="1"/>
  <c r="AS128" i="43"/>
  <c r="AS331" i="43"/>
  <c r="AS334" i="43" s="1"/>
  <c r="AG334" i="43"/>
  <c r="AT331" i="43"/>
  <c r="AT334" i="43" s="1"/>
  <c r="AG314" i="43"/>
  <c r="AT308" i="43"/>
  <c r="AT314" i="43" s="1"/>
  <c r="AS308" i="43"/>
  <c r="AY457" i="43"/>
  <c r="AY368" i="43"/>
  <c r="AS176" i="43"/>
  <c r="AT50" i="43"/>
  <c r="AY34" i="43"/>
  <c r="AY306" i="43"/>
  <c r="AY15" i="43"/>
  <c r="AY186" i="43"/>
  <c r="AY191" i="43"/>
  <c r="AT227" i="43"/>
  <c r="AS365" i="43"/>
  <c r="AY21" i="43"/>
  <c r="AY374" i="43"/>
  <c r="AY309" i="43"/>
  <c r="AY75" i="43"/>
  <c r="AT35" i="43"/>
  <c r="AY421" i="43"/>
  <c r="AY235" i="43"/>
  <c r="AY121" i="43"/>
  <c r="AY453" i="43"/>
  <c r="AR251" i="43"/>
  <c r="AT196" i="43"/>
  <c r="AY86" i="43"/>
  <c r="AT122" i="43"/>
  <c r="AT251" i="43"/>
  <c r="AR410" i="43"/>
  <c r="AR416" i="43" s="1"/>
  <c r="AR31" i="43"/>
  <c r="AS395" i="43"/>
  <c r="AR417" i="43"/>
  <c r="AR438" i="43"/>
  <c r="AR44" i="43"/>
  <c r="AP47" i="43"/>
  <c r="AR119" i="43"/>
  <c r="AR154" i="43"/>
  <c r="AR43" i="43"/>
  <c r="AR431" i="43"/>
  <c r="AY48" i="43"/>
  <c r="AS50" i="43"/>
  <c r="AT430" i="43"/>
  <c r="AS251" i="43"/>
  <c r="AR354" i="43"/>
  <c r="AP360" i="43"/>
  <c r="AP164" i="43"/>
  <c r="AR160" i="43"/>
  <c r="AT409" i="43"/>
  <c r="AR361" i="43"/>
  <c r="AR365" i="43" s="1"/>
  <c r="AP365" i="43"/>
  <c r="AS147" i="43"/>
  <c r="AY142" i="43"/>
  <c r="AR286" i="43"/>
  <c r="AP290" i="43"/>
  <c r="AY422" i="43"/>
  <c r="AY440" i="43"/>
  <c r="AY133" i="43"/>
  <c r="AT71" i="43"/>
  <c r="AY14" i="43"/>
  <c r="AS18" i="43"/>
  <c r="AY26" i="43"/>
  <c r="AY16" i="43"/>
  <c r="AS452" i="43"/>
  <c r="AS458" i="43" s="1"/>
  <c r="AS215" i="43"/>
  <c r="AY125" i="43"/>
  <c r="AY54" i="43"/>
  <c r="AT465" i="43"/>
  <c r="AT221" i="43"/>
  <c r="AT285" i="43"/>
  <c r="AY319" i="43"/>
  <c r="AT324" i="43"/>
  <c r="AR189" i="43"/>
  <c r="AY139" i="43"/>
  <c r="AY49" i="43"/>
  <c r="AY456" i="43"/>
  <c r="AY383" i="43"/>
  <c r="AR334" i="43"/>
  <c r="AS127" i="43"/>
  <c r="AY82" i="43"/>
  <c r="AY55" i="43"/>
  <c r="AS258" i="43"/>
  <c r="AS84" i="43"/>
  <c r="AR209" i="43"/>
  <c r="AR215" i="43" s="1"/>
  <c r="AP215" i="43"/>
  <c r="AR307" i="43"/>
  <c r="AR69" i="43"/>
  <c r="AR71" i="43" s="1"/>
  <c r="AT417" i="43"/>
  <c r="AT423" i="43" s="1"/>
  <c r="AG423" i="43"/>
  <c r="AS417" i="43"/>
  <c r="AS423" i="43" s="1"/>
  <c r="AG402" i="43"/>
  <c r="AS396" i="43"/>
  <c r="AT396" i="43"/>
  <c r="AT402" i="43" s="1"/>
  <c r="AS286" i="43"/>
  <c r="AS290" i="43" s="1"/>
  <c r="AG290" i="43"/>
  <c r="AT286" i="43"/>
  <c r="AT290" i="43" s="1"/>
  <c r="AR386" i="43"/>
  <c r="AR391" i="43" s="1"/>
  <c r="AP391" i="43"/>
  <c r="AR353" i="43"/>
  <c r="AR197" i="43"/>
  <c r="AR202" i="43" s="1"/>
  <c r="AR403" i="43"/>
  <c r="AR148" i="43"/>
  <c r="AR153" i="43" s="1"/>
  <c r="AS318" i="43"/>
  <c r="AS326" i="43"/>
  <c r="AS202" i="43"/>
  <c r="AT452" i="43"/>
  <c r="AT458" i="43" s="1"/>
  <c r="AT189" i="43"/>
  <c r="AS221" i="43"/>
  <c r="AY333" i="43"/>
  <c r="AT208" i="43"/>
  <c r="AT116" i="43"/>
  <c r="AT118" i="43" s="1"/>
  <c r="AT127" i="43"/>
  <c r="AT258" i="43"/>
  <c r="AS335" i="43"/>
  <c r="AS338" i="43" s="1"/>
  <c r="AG338" i="43"/>
  <c r="AT335" i="43"/>
  <c r="AT338" i="43" s="1"/>
  <c r="AP260" i="43"/>
  <c r="AR259" i="43"/>
  <c r="AQ84" i="43"/>
  <c r="AR81" i="43"/>
  <c r="AR93" i="43"/>
  <c r="AP96" i="43"/>
  <c r="AR92" i="43"/>
  <c r="AR18" i="43"/>
  <c r="AY311" i="43"/>
  <c r="AY226" i="43"/>
  <c r="AY98" i="43"/>
  <c r="AS31" i="43"/>
  <c r="AY362" i="43"/>
  <c r="AY206" i="43"/>
  <c r="AY106" i="43"/>
  <c r="AS189" i="43"/>
  <c r="AS153" i="43"/>
  <c r="AT100" i="43"/>
  <c r="AY293" i="43"/>
  <c r="AY279" i="43"/>
  <c r="AY408" i="43"/>
  <c r="AY198" i="43"/>
  <c r="AS170" i="43"/>
  <c r="AY187" i="43"/>
  <c r="AT56" i="43"/>
  <c r="AT451" i="43"/>
  <c r="AY166" i="43"/>
  <c r="AS274" i="43"/>
  <c r="AY67" i="43"/>
  <c r="AS410" i="43"/>
  <c r="AY203" i="43"/>
  <c r="AS208" i="43"/>
  <c r="AS116" i="43"/>
  <c r="AY37" i="43"/>
  <c r="AY51" i="43"/>
  <c r="AS53" i="43"/>
  <c r="AT298" i="43"/>
  <c r="AY429" i="43"/>
  <c r="AY349" i="43"/>
  <c r="AG360" i="43"/>
  <c r="AS354" i="43"/>
  <c r="AS360" i="43" s="1"/>
  <c r="AT354" i="43"/>
  <c r="AT360" i="43" s="1"/>
  <c r="AS80" i="43"/>
  <c r="AR347" i="43"/>
  <c r="AR291" i="43"/>
  <c r="AR298" i="43" s="1"/>
  <c r="AP298" i="43"/>
  <c r="AR465" i="43"/>
  <c r="AP221" i="43"/>
  <c r="AR216" i="43"/>
  <c r="AR221" i="43" s="1"/>
  <c r="AR327" i="43"/>
  <c r="AP330" i="43"/>
  <c r="AR227" i="43"/>
  <c r="AY36" i="43"/>
  <c r="AY384" i="43"/>
  <c r="AY262" i="43"/>
  <c r="AY313" i="43"/>
  <c r="AY277" i="43"/>
  <c r="AY143" i="43"/>
  <c r="AY426" i="43"/>
  <c r="AY281" i="43"/>
  <c r="AY123" i="43"/>
  <c r="AY387" i="43"/>
  <c r="AY57" i="43"/>
  <c r="AS60" i="43"/>
  <c r="AY181" i="43"/>
  <c r="AY399" i="43"/>
  <c r="AY213" i="43"/>
  <c r="AS278" i="43"/>
  <c r="AY25" i="43"/>
  <c r="AY382" i="43"/>
  <c r="AS159" i="43"/>
  <c r="AY58" i="43"/>
  <c r="AS101" i="43"/>
  <c r="AS451" i="43"/>
  <c r="AT410" i="43"/>
  <c r="AT416" i="43" s="1"/>
  <c r="AY359" i="43"/>
  <c r="AT233" i="43"/>
  <c r="AY23" i="43"/>
  <c r="AS27" i="43"/>
  <c r="AY156" i="43"/>
  <c r="AT53" i="43"/>
  <c r="AY126" i="43"/>
  <c r="AR22" i="43"/>
  <c r="AQ395" i="43"/>
  <c r="AR392" i="43"/>
  <c r="AR395" i="43" s="1"/>
  <c r="AR379" i="43"/>
  <c r="AR385" i="43" s="1"/>
  <c r="AP385" i="43"/>
  <c r="AR105" i="43"/>
  <c r="AR107" i="43" s="1"/>
  <c r="AP107" i="43"/>
  <c r="AR338" i="43"/>
  <c r="AS372" i="43"/>
  <c r="AR315" i="43"/>
  <c r="AR318" i="43" s="1"/>
  <c r="AP318" i="43"/>
  <c r="AR100" i="43"/>
  <c r="AS70" i="44"/>
  <c r="AY123" i="44"/>
  <c r="AY73" i="44"/>
  <c r="AT128" i="44"/>
  <c r="AY24" i="44"/>
  <c r="AY54" i="44"/>
  <c r="AY79" i="44"/>
  <c r="AY17" i="44"/>
  <c r="AY32" i="44"/>
  <c r="AT110" i="44"/>
  <c r="AY61" i="44"/>
  <c r="AS98" i="44"/>
  <c r="AG102" i="44"/>
  <c r="AS99" i="44"/>
  <c r="AT99" i="44"/>
  <c r="AT102" i="44" s="1"/>
  <c r="AT84" i="44"/>
  <c r="AS112" i="44"/>
  <c r="AP77" i="44"/>
  <c r="AR71" i="44"/>
  <c r="AR77" i="44" s="1"/>
  <c r="AR128" i="44"/>
  <c r="AS128" i="44"/>
  <c r="AY100" i="44"/>
  <c r="AS110" i="44"/>
  <c r="AS104" i="44"/>
  <c r="AY66" i="44"/>
  <c r="AY93" i="44"/>
  <c r="AT98" i="44"/>
  <c r="AP121" i="44"/>
  <c r="AR113" i="44"/>
  <c r="AR121" i="44" s="1"/>
  <c r="AP70" i="44"/>
  <c r="AR64" i="44"/>
  <c r="AR70" i="44" s="1"/>
  <c r="AY20" i="44"/>
  <c r="AT42" i="44"/>
  <c r="AT19" i="44"/>
  <c r="AT35" i="44"/>
  <c r="AS84" i="44"/>
  <c r="AR63" i="44"/>
  <c r="AT77" i="44"/>
  <c r="AY119" i="44"/>
  <c r="AY44" i="44"/>
  <c r="AS42" i="44"/>
  <c r="AS19" i="44"/>
  <c r="AY74" i="44"/>
  <c r="AS35" i="44"/>
  <c r="AT56" i="44"/>
  <c r="AP102" i="44"/>
  <c r="AR99" i="44"/>
  <c r="AR102" i="44" s="1"/>
  <c r="AR105" i="44"/>
  <c r="AR110" i="44" s="1"/>
  <c r="AP110" i="44"/>
  <c r="AS88" i="44"/>
  <c r="AS121" i="44"/>
  <c r="AY57" i="44"/>
  <c r="AS63" i="44"/>
  <c r="AS77" i="44"/>
  <c r="AT121" i="44"/>
  <c r="AY31" i="44"/>
  <c r="AY55" i="44"/>
  <c r="AT63" i="44"/>
  <c r="AS49" i="44"/>
  <c r="AT28" i="44"/>
  <c r="AY89" i="44"/>
  <c r="AY92" i="44" s="1"/>
  <c r="AS92" i="44"/>
  <c r="AY50" i="44"/>
  <c r="AS56" i="44"/>
  <c r="AY59" i="44"/>
  <c r="AR111" i="44"/>
  <c r="AR112" i="44" s="1"/>
  <c r="AR84" i="44"/>
  <c r="AR56" i="44"/>
  <c r="AR36" i="44"/>
  <c r="AR42" i="44" s="1"/>
  <c r="AP104" i="44"/>
  <c r="AR103" i="44"/>
  <c r="AR104" i="44" s="1"/>
  <c r="AS13" i="29"/>
  <c r="AY97" i="29"/>
  <c r="AS102" i="29"/>
  <c r="AY127" i="29"/>
  <c r="AS132" i="29"/>
  <c r="AR79" i="29"/>
  <c r="AR45" i="29"/>
  <c r="AR48" i="29" s="1"/>
  <c r="BO159" i="29"/>
  <c r="BO32" i="29"/>
  <c r="AS33" i="29"/>
  <c r="AY172" i="29"/>
  <c r="BL172" i="29" s="1"/>
  <c r="AS148" i="29"/>
  <c r="AT132" i="29"/>
  <c r="AS192" i="29"/>
  <c r="AR175" i="29"/>
  <c r="AY190" i="29"/>
  <c r="BL190" i="29" s="1"/>
  <c r="AG25" i="29"/>
  <c r="AT22" i="29"/>
  <c r="AT25" i="29" s="1"/>
  <c r="AS22" i="29"/>
  <c r="AR102" i="29"/>
  <c r="AS195" i="29"/>
  <c r="AP71" i="29"/>
  <c r="AR68" i="29"/>
  <c r="AR149" i="29"/>
  <c r="BP159" i="29"/>
  <c r="BN159" i="29"/>
  <c r="AT33" i="29"/>
  <c r="AT36" i="29" s="1"/>
  <c r="AR138" i="29"/>
  <c r="AY112" i="29"/>
  <c r="BL112" i="29" s="1"/>
  <c r="AY181" i="29"/>
  <c r="AY116" i="29"/>
  <c r="BL116" i="29" s="1"/>
  <c r="AR84" i="29"/>
  <c r="AT138" i="29"/>
  <c r="AT126" i="29"/>
  <c r="AY53" i="29"/>
  <c r="AS56" i="29"/>
  <c r="AY154" i="29"/>
  <c r="AR192" i="29"/>
  <c r="AG168" i="29"/>
  <c r="AT165" i="29"/>
  <c r="AT168" i="29" s="1"/>
  <c r="AS165" i="29"/>
  <c r="AS168" i="29" s="1"/>
  <c r="AG29" i="29"/>
  <c r="AS26" i="29"/>
  <c r="AT26" i="29"/>
  <c r="AT29" i="29" s="1"/>
  <c r="AR132" i="29"/>
  <c r="AG155" i="29"/>
  <c r="AS149" i="29"/>
  <c r="AS155" i="29" s="1"/>
  <c r="AT149" i="29"/>
  <c r="AT155" i="29" s="1"/>
  <c r="AR176" i="29"/>
  <c r="BQ203" i="29"/>
  <c r="BQ126" i="29"/>
  <c r="BW36" i="29"/>
  <c r="AS17" i="29"/>
  <c r="AY39" i="29"/>
  <c r="BL39" i="29" s="1"/>
  <c r="AY81" i="29"/>
  <c r="AS120" i="29"/>
  <c r="AT185" i="29"/>
  <c r="AS175" i="29"/>
  <c r="AY105" i="29"/>
  <c r="AS40" i="29"/>
  <c r="AY136" i="29"/>
  <c r="AT63" i="29"/>
  <c r="AR33" i="29"/>
  <c r="AR36" i="29" s="1"/>
  <c r="AP36" i="29"/>
  <c r="AR109" i="29"/>
  <c r="AR114" i="29" s="1"/>
  <c r="AP114" i="29"/>
  <c r="AR64" i="29"/>
  <c r="AR67" i="29" s="1"/>
  <c r="AR121" i="29"/>
  <c r="AQ126" i="29"/>
  <c r="BO179" i="29"/>
  <c r="BS107" i="29"/>
  <c r="AT44" i="29"/>
  <c r="AY144" i="29"/>
  <c r="AY118" i="29"/>
  <c r="AS159" i="29"/>
  <c r="AS114" i="29"/>
  <c r="AT40" i="29"/>
  <c r="AG32" i="29"/>
  <c r="AT30" i="29"/>
  <c r="AT32" i="29" s="1"/>
  <c r="AS30" i="29"/>
  <c r="AS32" i="29" s="1"/>
  <c r="AG79" i="29"/>
  <c r="AT76" i="29"/>
  <c r="AT79" i="29" s="1"/>
  <c r="AS76" i="29"/>
  <c r="AS79" i="29" s="1"/>
  <c r="AY60" i="29"/>
  <c r="AR63" i="29"/>
  <c r="AG164" i="29"/>
  <c r="AS160" i="29"/>
  <c r="AT160" i="29"/>
  <c r="AT164" i="29" s="1"/>
  <c r="AT56" i="29"/>
  <c r="AR12" i="29"/>
  <c r="AR13" i="29" s="1"/>
  <c r="AT72" i="29"/>
  <c r="AT75" i="29" s="1"/>
  <c r="AG75" i="29"/>
  <c r="AS72" i="29"/>
  <c r="AS75" i="29" s="1"/>
  <c r="AR37" i="29"/>
  <c r="AP40" i="29"/>
  <c r="BT123" i="29"/>
  <c r="AS48" i="29"/>
  <c r="AY47" i="29"/>
  <c r="BL47" i="29" s="1"/>
  <c r="AT102" i="29"/>
  <c r="AY85" i="29"/>
  <c r="AS90" i="29"/>
  <c r="AY43" i="29"/>
  <c r="AY38" i="29"/>
  <c r="AY163" i="29"/>
  <c r="AR29" i="29"/>
  <c r="AR72" i="29"/>
  <c r="AR90" i="29"/>
  <c r="AT59" i="29"/>
  <c r="AY72" i="30"/>
  <c r="AS75" i="30"/>
  <c r="AR71" i="30"/>
  <c r="AY12" i="30"/>
  <c r="AS15" i="30"/>
  <c r="AY67" i="30"/>
  <c r="AS71" i="30"/>
  <c r="AY74" i="30"/>
  <c r="BL74" i="30" s="1"/>
  <c r="AT92" i="30"/>
  <c r="AT62" i="30"/>
  <c r="AT65" i="30" s="1"/>
  <c r="AT99" i="30"/>
  <c r="AR37" i="30"/>
  <c r="AS92" i="30"/>
  <c r="AS85" i="30"/>
  <c r="AS62" i="30"/>
  <c r="AS65" i="30" s="1"/>
  <c r="AR75" i="30"/>
  <c r="AT48" i="30"/>
  <c r="AR55" i="30"/>
  <c r="AR61" i="30" s="1"/>
  <c r="AY78" i="30"/>
  <c r="AS48" i="30"/>
  <c r="AY90" i="30"/>
  <c r="BL90" i="30" s="1"/>
  <c r="AY20" i="30"/>
  <c r="AY50" i="30"/>
  <c r="BL50" i="30" s="1"/>
  <c r="AY68" i="30"/>
  <c r="AS81" i="30"/>
  <c r="AY21" i="30"/>
  <c r="AT61" i="30"/>
  <c r="AT44" i="30"/>
  <c r="AT81" i="30"/>
  <c r="AR93" i="30"/>
  <c r="AR99" i="30" s="1"/>
  <c r="AP99" i="30"/>
  <c r="AR45" i="30"/>
  <c r="AR48" i="30" s="1"/>
  <c r="AS28" i="30"/>
  <c r="AT75" i="30"/>
  <c r="AS61" i="30"/>
  <c r="AR62" i="30"/>
  <c r="AR65" i="30" s="1"/>
  <c r="AP65" i="30"/>
  <c r="AS44" i="30"/>
  <c r="AR16" i="30"/>
  <c r="AR17" i="30" s="1"/>
  <c r="AR18" i="30"/>
  <c r="AR23" i="30" s="1"/>
  <c r="AT19" i="31"/>
  <c r="AT73" i="31"/>
  <c r="AY33" i="31"/>
  <c r="AT38" i="31"/>
  <c r="AT48" i="31"/>
  <c r="AY28" i="31"/>
  <c r="BL28" i="31" s="1"/>
  <c r="AT67" i="31"/>
  <c r="AT43" i="31"/>
  <c r="AR64" i="31"/>
  <c r="AY16" i="31"/>
  <c r="AS19" i="31"/>
  <c r="AY68" i="31"/>
  <c r="AS73" i="31"/>
  <c r="AS38" i="31"/>
  <c r="AS48" i="31"/>
  <c r="AY65" i="31"/>
  <c r="AY67" i="31" s="1"/>
  <c r="AS67" i="31"/>
  <c r="AY41" i="31"/>
  <c r="AS43" i="31"/>
  <c r="AY70" i="31"/>
  <c r="AR32" i="31"/>
  <c r="BW19" i="31"/>
  <c r="AY58" i="31"/>
  <c r="AT64" i="31"/>
  <c r="AY63" i="31"/>
  <c r="AY39" i="31"/>
  <c r="AY40" i="31" s="1"/>
  <c r="AT40" i="31"/>
  <c r="AT57" i="31"/>
  <c r="AY50" i="31"/>
  <c r="AY49" i="31"/>
  <c r="AS52" i="31"/>
  <c r="AT32" i="31"/>
  <c r="AY53" i="31"/>
  <c r="AS57" i="31"/>
  <c r="AR52" i="31"/>
  <c r="AY17" i="31"/>
  <c r="BL17" i="31" s="1"/>
  <c r="AS32" i="31"/>
  <c r="AY24" i="31"/>
  <c r="AY25" i="31" s="1"/>
  <c r="AS25" i="31"/>
  <c r="AY20" i="31"/>
  <c r="AS23" i="31"/>
  <c r="AY37" i="31"/>
  <c r="AY59" i="31"/>
  <c r="AY54" i="31"/>
  <c r="AR15" i="31"/>
  <c r="AS45" i="32"/>
  <c r="AT107" i="32"/>
  <c r="AR239" i="32"/>
  <c r="AR245" i="32" s="1"/>
  <c r="AP245" i="32"/>
  <c r="AR151" i="32"/>
  <c r="AR157" i="32" s="1"/>
  <c r="AP157" i="32"/>
  <c r="BQ164" i="32"/>
  <c r="AY275" i="32"/>
  <c r="BL275" i="32" s="1"/>
  <c r="AS150" i="32"/>
  <c r="AT284" i="32"/>
  <c r="AY230" i="32"/>
  <c r="AY276" i="32"/>
  <c r="AS144" i="32"/>
  <c r="AT214" i="32"/>
  <c r="AY63" i="32"/>
  <c r="AY95" i="32"/>
  <c r="AS188" i="32"/>
  <c r="AY213" i="32"/>
  <c r="AS22" i="32"/>
  <c r="AY162" i="32"/>
  <c r="AR270" i="32"/>
  <c r="AT23" i="32"/>
  <c r="AT27" i="32" s="1"/>
  <c r="AG27" i="32"/>
  <c r="AS23" i="32"/>
  <c r="AS27" i="32" s="1"/>
  <c r="AR164" i="32"/>
  <c r="AT108" i="32"/>
  <c r="AT109" i="32" s="1"/>
  <c r="AG109" i="32"/>
  <c r="AS108" i="32"/>
  <c r="AR114" i="32"/>
  <c r="AR138" i="32"/>
  <c r="AR144" i="32" s="1"/>
  <c r="AT52" i="32"/>
  <c r="AR77" i="32"/>
  <c r="AR85" i="32"/>
  <c r="BN84" i="32"/>
  <c r="BW234" i="32"/>
  <c r="BO245" i="32"/>
  <c r="AY251" i="32"/>
  <c r="AT150" i="32"/>
  <c r="AS284" i="32"/>
  <c r="AT77" i="32"/>
  <c r="AY86" i="32"/>
  <c r="AT245" i="32"/>
  <c r="AY259" i="32"/>
  <c r="AY42" i="32"/>
  <c r="AT188" i="32"/>
  <c r="AY237" i="32"/>
  <c r="AS291" i="32"/>
  <c r="AT22" i="32"/>
  <c r="AR220" i="32"/>
  <c r="AT90" i="32"/>
  <c r="AY21" i="32"/>
  <c r="AR53" i="32"/>
  <c r="AR58" i="32" s="1"/>
  <c r="AG164" i="32"/>
  <c r="AS158" i="32"/>
  <c r="AS164" i="32" s="1"/>
  <c r="AT158" i="32"/>
  <c r="AT164" i="32" s="1"/>
  <c r="AG35" i="32"/>
  <c r="AT32" i="32"/>
  <c r="AT35" i="32" s="1"/>
  <c r="AS32" i="32"/>
  <c r="AS35" i="32" s="1"/>
  <c r="AR200" i="32"/>
  <c r="AR205" i="32" s="1"/>
  <c r="AP205" i="32"/>
  <c r="AR78" i="32"/>
  <c r="AR84" i="32" s="1"/>
  <c r="AP84" i="32"/>
  <c r="AP234" i="32"/>
  <c r="AR228" i="32"/>
  <c r="AG256" i="32"/>
  <c r="AT250" i="32"/>
  <c r="AT256" i="32" s="1"/>
  <c r="AS250" i="32"/>
  <c r="AS256" i="32" s="1"/>
  <c r="AR285" i="32"/>
  <c r="AR291" i="32" s="1"/>
  <c r="AR189" i="32"/>
  <c r="AR195" i="32" s="1"/>
  <c r="AS249" i="32"/>
  <c r="AT14" i="32"/>
  <c r="AT17" i="32" s="1"/>
  <c r="AG17" i="32"/>
  <c r="AS14" i="32"/>
  <c r="AS17" i="32" s="1"/>
  <c r="BU263" i="32"/>
  <c r="BS233" i="32"/>
  <c r="BP144" i="32"/>
  <c r="BS104" i="32"/>
  <c r="BO71" i="32"/>
  <c r="AY102" i="32"/>
  <c r="BL102" i="32" s="1"/>
  <c r="AY202" i="32"/>
  <c r="AY161" i="32"/>
  <c r="AS179" i="32"/>
  <c r="AY197" i="32"/>
  <c r="AY133" i="32"/>
  <c r="BL133" i="32" s="1"/>
  <c r="AY72" i="32"/>
  <c r="AS77" i="32"/>
  <c r="AY118" i="32"/>
  <c r="BL118" i="32" s="1"/>
  <c r="AS245" i="32"/>
  <c r="AS171" i="32"/>
  <c r="AS195" i="32"/>
  <c r="AY244" i="32"/>
  <c r="AR271" i="32"/>
  <c r="AR277" i="32" s="1"/>
  <c r="AY292" i="32"/>
  <c r="AY293" i="32" s="1"/>
  <c r="AT293" i="32"/>
  <c r="AT71" i="32"/>
  <c r="AT96" i="32"/>
  <c r="AY20" i="32"/>
  <c r="AR199" i="32"/>
  <c r="AG227" i="32"/>
  <c r="AT221" i="32"/>
  <c r="AT227" i="32" s="1"/>
  <c r="AS221" i="32"/>
  <c r="AS227" i="32" s="1"/>
  <c r="AR145" i="32"/>
  <c r="AR146" i="32" s="1"/>
  <c r="AT125" i="32"/>
  <c r="AT130" i="32" s="1"/>
  <c r="AG130" i="32"/>
  <c r="AS125" i="32"/>
  <c r="AR257" i="32"/>
  <c r="AR263" i="32" s="1"/>
  <c r="AQ263" i="32"/>
  <c r="AR14" i="32"/>
  <c r="AR66" i="32"/>
  <c r="AR71" i="32" s="1"/>
  <c r="AS120" i="32"/>
  <c r="AG39" i="32"/>
  <c r="AT36" i="32"/>
  <c r="AT39" i="32" s="1"/>
  <c r="AS36" i="32"/>
  <c r="AS39" i="32" s="1"/>
  <c r="AP150" i="32"/>
  <c r="AR147" i="32"/>
  <c r="AR150" i="32" s="1"/>
  <c r="AY12" i="32"/>
  <c r="AY13" i="32" s="1"/>
  <c r="AS13" i="32"/>
  <c r="AG216" i="32"/>
  <c r="AS215" i="32"/>
  <c r="AS216" i="32" s="1"/>
  <c r="AT215" i="32"/>
  <c r="AT216" i="32" s="1"/>
  <c r="BQ291" i="32"/>
  <c r="AY98" i="32"/>
  <c r="AT179" i="32"/>
  <c r="AT182" i="32" s="1"/>
  <c r="AY135" i="32"/>
  <c r="BL135" i="32" s="1"/>
  <c r="AT238" i="32"/>
  <c r="AY247" i="32"/>
  <c r="AT277" i="32"/>
  <c r="AT171" i="32"/>
  <c r="AT195" i="32"/>
  <c r="AS71" i="32"/>
  <c r="AS96" i="32"/>
  <c r="AY79" i="32"/>
  <c r="AT178" i="32"/>
  <c r="AG220" i="32"/>
  <c r="AS217" i="32"/>
  <c r="AS220" i="32" s="1"/>
  <c r="AT217" i="32"/>
  <c r="AT220" i="32" s="1"/>
  <c r="AR179" i="32"/>
  <c r="AR182" i="32" s="1"/>
  <c r="AQ182" i="32"/>
  <c r="AR27" i="32"/>
  <c r="AR221" i="32"/>
  <c r="AT131" i="32"/>
  <c r="AT137" i="32" s="1"/>
  <c r="AG137" i="32"/>
  <c r="AS131" i="32"/>
  <c r="AS137" i="32" s="1"/>
  <c r="AR31" i="32"/>
  <c r="AR216" i="32"/>
  <c r="AG31" i="32"/>
  <c r="AS28" i="32"/>
  <c r="AS31" i="32" s="1"/>
  <c r="AT28" i="32"/>
  <c r="AT31" i="32" s="1"/>
  <c r="AY33" i="32"/>
  <c r="BL33" i="32" s="1"/>
  <c r="AY167" i="32"/>
  <c r="AY185" i="32"/>
  <c r="AY232" i="32"/>
  <c r="AT263" i="32"/>
  <c r="AT59" i="32"/>
  <c r="AT65" i="32" s="1"/>
  <c r="AY136" i="32"/>
  <c r="AS157" i="32"/>
  <c r="AY175" i="32"/>
  <c r="AY193" i="32"/>
  <c r="BL193" i="32" s="1"/>
  <c r="AS238" i="32"/>
  <c r="AY149" i="32"/>
  <c r="AS277" i="32"/>
  <c r="AS84" i="32"/>
  <c r="AY212" i="32"/>
  <c r="AY97" i="32"/>
  <c r="AS107" i="32"/>
  <c r="AY153" i="32"/>
  <c r="AY177" i="32"/>
  <c r="AS178" i="32"/>
  <c r="AS264" i="32"/>
  <c r="AS270" i="32" s="1"/>
  <c r="AG270" i="32"/>
  <c r="AT264" i="32"/>
  <c r="AT270" i="32" s="1"/>
  <c r="AR121" i="32"/>
  <c r="AR124" i="32" s="1"/>
  <c r="AP124" i="32"/>
  <c r="AS52" i="32"/>
  <c r="AR18" i="32"/>
  <c r="AR22" i="32" s="1"/>
  <c r="AP171" i="32"/>
  <c r="AR165" i="32"/>
  <c r="AR171" i="32" s="1"/>
  <c r="AP188" i="32"/>
  <c r="AR183" i="32"/>
  <c r="AR188" i="32" s="1"/>
  <c r="AG199" i="32"/>
  <c r="AT196" i="32"/>
  <c r="AT199" i="32" s="1"/>
  <c r="AS196" i="32"/>
  <c r="AS199" i="32" s="1"/>
  <c r="AR131" i="32"/>
  <c r="BW130" i="32"/>
  <c r="BO263" i="32"/>
  <c r="AY92" i="32"/>
  <c r="AY269" i="32"/>
  <c r="BL269" i="32" s="1"/>
  <c r="AY148" i="32"/>
  <c r="AY235" i="32"/>
  <c r="AY231" i="32"/>
  <c r="BL231" i="32" s="1"/>
  <c r="AY68" i="32"/>
  <c r="BW178" i="32"/>
  <c r="BQ182" i="32"/>
  <c r="BX164" i="32"/>
  <c r="CE295" i="32"/>
  <c r="CA18" i="47"/>
  <c r="BQ270" i="32"/>
  <c r="AY56" i="32"/>
  <c r="BL56" i="32" s="1"/>
  <c r="AY50" i="32"/>
  <c r="AY236" i="32"/>
  <c r="AY281" i="32"/>
  <c r="AY100" i="32"/>
  <c r="BL100" i="32" s="1"/>
  <c r="AY272" i="32"/>
  <c r="AY117" i="32"/>
  <c r="AY140" i="32"/>
  <c r="BL140" i="32" s="1"/>
  <c r="AY229" i="32"/>
  <c r="BY295" i="32"/>
  <c r="AY74" i="32"/>
  <c r="BL74" i="32" s="1"/>
  <c r="AY132" i="32"/>
  <c r="BL132" i="32" s="1"/>
  <c r="AY268" i="32"/>
  <c r="AY288" i="32"/>
  <c r="BL288" i="32" s="1"/>
  <c r="AY112" i="32"/>
  <c r="BL112" i="32" s="1"/>
  <c r="AY93" i="32"/>
  <c r="BL93" i="32" s="1"/>
  <c r="AY126" i="32"/>
  <c r="AY255" i="32"/>
  <c r="BS17" i="31"/>
  <c r="AY12" i="31"/>
  <c r="AY72" i="31"/>
  <c r="AY46" i="31"/>
  <c r="AY42" i="31"/>
  <c r="AY21" i="31"/>
  <c r="AY26" i="31"/>
  <c r="AY62" i="31"/>
  <c r="BL62" i="31" s="1"/>
  <c r="AY44" i="31"/>
  <c r="AY51" i="31"/>
  <c r="AY69" i="31"/>
  <c r="AY14" i="31"/>
  <c r="AY36" i="31"/>
  <c r="BL36" i="31" s="1"/>
  <c r="AY13" i="31"/>
  <c r="AY18" i="31"/>
  <c r="AY30" i="31"/>
  <c r="AY22" i="31"/>
  <c r="AY45" i="31"/>
  <c r="BL45" i="31" s="1"/>
  <c r="AY69" i="30"/>
  <c r="AY43" i="30"/>
  <c r="BY102" i="30"/>
  <c r="BV48" i="30"/>
  <c r="AY31" i="30"/>
  <c r="AY37" i="30" s="1"/>
  <c r="BW61" i="30"/>
  <c r="AY57" i="30"/>
  <c r="BL57" i="30" s="1"/>
  <c r="AY41" i="30"/>
  <c r="BL41" i="30" s="1"/>
  <c r="AY56" i="30"/>
  <c r="AY59" i="30"/>
  <c r="AY14" i="30"/>
  <c r="AY58" i="30"/>
  <c r="AY95" i="30"/>
  <c r="BL95" i="30" s="1"/>
  <c r="BP61" i="30"/>
  <c r="BR44" i="30"/>
  <c r="BS68" i="30"/>
  <c r="BS51" i="30"/>
  <c r="AY84" i="30"/>
  <c r="BL84" i="30" s="1"/>
  <c r="BS25" i="30"/>
  <c r="BR110" i="30"/>
  <c r="AY26" i="30"/>
  <c r="AY91" i="30"/>
  <c r="BL91" i="30" s="1"/>
  <c r="AY63" i="30"/>
  <c r="AY87" i="30"/>
  <c r="BL87" i="30" s="1"/>
  <c r="AY46" i="30"/>
  <c r="BL46" i="30" s="1"/>
  <c r="AY64" i="30"/>
  <c r="AY83" i="30"/>
  <c r="BL83" i="30" s="1"/>
  <c r="AY89" i="30"/>
  <c r="BL89" i="30" s="1"/>
  <c r="BW54" i="30"/>
  <c r="BR37" i="30"/>
  <c r="AY98" i="30"/>
  <c r="AY19" i="30"/>
  <c r="AY73" i="30"/>
  <c r="BL73" i="30" s="1"/>
  <c r="BW126" i="29"/>
  <c r="AY182" i="29"/>
  <c r="BL182" i="29" s="1"/>
  <c r="AY70" i="29"/>
  <c r="AY42" i="29"/>
  <c r="BL42" i="29" s="1"/>
  <c r="AY186" i="29"/>
  <c r="BW114" i="29"/>
  <c r="AY92" i="29"/>
  <c r="AY88" i="29"/>
  <c r="AY183" i="29"/>
  <c r="BO168" i="29"/>
  <c r="BO120" i="29"/>
  <c r="AY16" i="29"/>
  <c r="AY82" i="29"/>
  <c r="AY99" i="29"/>
  <c r="AY100" i="29"/>
  <c r="AY137" i="29"/>
  <c r="AY139" i="29"/>
  <c r="AY140" i="29" s="1"/>
  <c r="AY38" i="44"/>
  <c r="AY25" i="44"/>
  <c r="AY14" i="44"/>
  <c r="AY18" i="44"/>
  <c r="AY37" i="44"/>
  <c r="AY109" i="44"/>
  <c r="AY23" i="44"/>
  <c r="AY48" i="44"/>
  <c r="AY62" i="44"/>
  <c r="AY45" i="44"/>
  <c r="AY29" i="44"/>
  <c r="AY12" i="44"/>
  <c r="AY13" i="44" s="1"/>
  <c r="AY114" i="44"/>
  <c r="AY75" i="44"/>
  <c r="AY82" i="44"/>
  <c r="AY212" i="43"/>
  <c r="AY103" i="43"/>
  <c r="AY273" i="43"/>
  <c r="AY411" i="43"/>
  <c r="AY445" i="43"/>
  <c r="AY393" i="43"/>
  <c r="AY418" i="43"/>
  <c r="AY460" i="43"/>
  <c r="AY132" i="43"/>
  <c r="AY217" i="43"/>
  <c r="AY265" i="43"/>
  <c r="AY124" i="43"/>
  <c r="AY97" i="43"/>
  <c r="AY244" i="43"/>
  <c r="AY116" i="44"/>
  <c r="AY72" i="44"/>
  <c r="AY34" i="44"/>
  <c r="AY101" i="44"/>
  <c r="AY108" i="44"/>
  <c r="AY22" i="44"/>
  <c r="AY120" i="44"/>
  <c r="AY122" i="44"/>
  <c r="AY127" i="44"/>
  <c r="AY126" i="44"/>
  <c r="AY51" i="44"/>
  <c r="AY125" i="44"/>
  <c r="AY115" i="44"/>
  <c r="AY117" i="44"/>
  <c r="AY16" i="44"/>
  <c r="BW102" i="29"/>
  <c r="BO44" i="29"/>
  <c r="AY61" i="29"/>
  <c r="AY153" i="29"/>
  <c r="BL153" i="29" s="1"/>
  <c r="BR206" i="29"/>
  <c r="BQ21" i="29"/>
  <c r="AY78" i="29"/>
  <c r="BL78" i="29" s="1"/>
  <c r="AY150" i="29"/>
  <c r="AY73" i="29"/>
  <c r="AY171" i="29"/>
  <c r="AY115" i="29"/>
  <c r="BN75" i="29"/>
  <c r="BP17" i="29"/>
  <c r="AY188" i="29"/>
  <c r="BL188" i="29" s="1"/>
  <c r="AY130" i="29"/>
  <c r="AY178" i="29"/>
  <c r="BS35" i="29"/>
  <c r="AY86" i="29"/>
  <c r="AY83" i="29"/>
  <c r="BL83" i="29" s="1"/>
  <c r="AY180" i="29"/>
  <c r="AY124" i="29"/>
  <c r="BW120" i="29"/>
  <c r="AY95" i="29"/>
  <c r="BL95" i="29" s="1"/>
  <c r="AY129" i="29"/>
  <c r="AY194" i="29"/>
  <c r="BL194" i="29" s="1"/>
  <c r="AY98" i="29"/>
  <c r="BL98" i="29" s="1"/>
  <c r="BP92" i="30"/>
  <c r="AY96" i="30"/>
  <c r="BP85" i="30"/>
  <c r="BX105" i="30"/>
  <c r="AY60" i="30"/>
  <c r="BL60" i="30" s="1"/>
  <c r="BR61" i="30"/>
  <c r="AY79" i="30"/>
  <c r="AY27" i="31"/>
  <c r="BL27" i="31" s="1"/>
  <c r="AM77" i="31"/>
  <c r="BX85" i="31"/>
  <c r="AY47" i="31"/>
  <c r="BX84" i="31"/>
  <c r="AY35" i="31"/>
  <c r="BL35" i="31" s="1"/>
  <c r="BN227" i="32"/>
  <c r="BQ263" i="32"/>
  <c r="BO182" i="32"/>
  <c r="AY289" i="32"/>
  <c r="BL289" i="32" s="1"/>
  <c r="BW238" i="32"/>
  <c r="BP188" i="32"/>
  <c r="BO137" i="32"/>
  <c r="BP96" i="32"/>
  <c r="BR52" i="32"/>
  <c r="BO90" i="32"/>
  <c r="BW71" i="32"/>
  <c r="BW58" i="32"/>
  <c r="BP77" i="32"/>
  <c r="BN43" i="32"/>
  <c r="AY267" i="32"/>
  <c r="BL267" i="32" s="1"/>
  <c r="AY279" i="32"/>
  <c r="AY208" i="32"/>
  <c r="BL208" i="32" s="1"/>
  <c r="BN256" i="32"/>
  <c r="BV245" i="32"/>
  <c r="BQ214" i="32"/>
  <c r="BV113" i="32"/>
  <c r="BO35" i="32"/>
  <c r="AY287" i="32"/>
  <c r="AY103" i="32"/>
  <c r="BL103" i="32" s="1"/>
  <c r="AY242" i="32"/>
  <c r="BO234" i="32"/>
  <c r="BQ130" i="32"/>
  <c r="BN96" i="32"/>
  <c r="BQ65" i="32"/>
  <c r="BP27" i="32"/>
  <c r="BW31" i="32"/>
  <c r="AY274" i="32"/>
  <c r="BL274" i="32" s="1"/>
  <c r="AY54" i="32"/>
  <c r="BL54" i="32" s="1"/>
  <c r="AY169" i="32"/>
  <c r="AY187" i="32"/>
  <c r="AY253" i="32"/>
  <c r="AY183" i="32"/>
  <c r="AY209" i="32"/>
  <c r="BL209" i="32" s="1"/>
  <c r="AY243" i="32"/>
  <c r="AY261" i="32"/>
  <c r="AS18" i="47"/>
  <c r="BC18" i="47"/>
  <c r="AA18" i="47"/>
  <c r="P18" i="47"/>
  <c r="AQ18" i="47"/>
  <c r="AU17" i="47"/>
  <c r="AO17" i="47"/>
  <c r="AX77" i="31"/>
  <c r="BA17" i="47"/>
  <c r="AA17" i="47"/>
  <c r="AB16" i="47"/>
  <c r="AN103" i="30"/>
  <c r="V103" i="30"/>
  <c r="AU16" i="47"/>
  <c r="AT16" i="47"/>
  <c r="BJ103" i="30"/>
  <c r="AG16" i="47"/>
  <c r="AY454" i="43"/>
  <c r="AY91" i="43"/>
  <c r="AY397" i="43"/>
  <c r="AY183" i="43"/>
  <c r="AY317" i="43"/>
  <c r="AY38" i="43"/>
  <c r="AY169" i="43"/>
  <c r="AY305" i="43"/>
  <c r="AY180" i="43"/>
  <c r="AY246" i="43"/>
  <c r="AY165" i="43"/>
  <c r="AY350" i="43"/>
  <c r="AY352" i="43"/>
  <c r="AY448" i="43"/>
  <c r="BQ305" i="32"/>
  <c r="BN263" i="32"/>
  <c r="BO220" i="32"/>
  <c r="BO188" i="32"/>
  <c r="BV301" i="32"/>
  <c r="BP171" i="32"/>
  <c r="BQ137" i="32"/>
  <c r="BW90" i="32"/>
  <c r="BV65" i="32"/>
  <c r="BW27" i="32"/>
  <c r="BQ284" i="32"/>
  <c r="BO284" i="32"/>
  <c r="BO277" i="32"/>
  <c r="BW263" i="32"/>
  <c r="BP263" i="32"/>
  <c r="BN220" i="32"/>
  <c r="BQ205" i="32"/>
  <c r="BW220" i="32"/>
  <c r="BO214" i="32"/>
  <c r="BN164" i="32"/>
  <c r="BP130" i="32"/>
  <c r="BN113" i="32"/>
  <c r="BV71" i="32"/>
  <c r="BR256" i="32"/>
  <c r="BN195" i="32"/>
  <c r="BN157" i="32"/>
  <c r="BN137" i="32"/>
  <c r="BV124" i="32"/>
  <c r="BW305" i="32"/>
  <c r="BX52" i="32"/>
  <c r="BW301" i="32"/>
  <c r="BO157" i="32"/>
  <c r="BO77" i="32"/>
  <c r="BW43" i="32"/>
  <c r="BV277" i="32"/>
  <c r="BW205" i="32"/>
  <c r="BW195" i="32"/>
  <c r="BW199" i="32"/>
  <c r="BP90" i="32"/>
  <c r="BW96" i="32"/>
  <c r="BV31" i="32"/>
  <c r="BN27" i="32"/>
  <c r="BW64" i="31"/>
  <c r="BV19" i="31"/>
  <c r="BV84" i="31"/>
  <c r="BN19" i="31"/>
  <c r="BW73" i="31"/>
  <c r="BN52" i="31"/>
  <c r="BO57" i="31"/>
  <c r="BQ85" i="31"/>
  <c r="BR99" i="30"/>
  <c r="BO48" i="30"/>
  <c r="BQ37" i="30"/>
  <c r="BW110" i="30"/>
  <c r="BN85" i="30"/>
  <c r="BN65" i="30"/>
  <c r="BP28" i="30"/>
  <c r="BQ110" i="30"/>
  <c r="BU111" i="30"/>
  <c r="BQ71" i="29"/>
  <c r="BQ96" i="29"/>
  <c r="BW67" i="29"/>
  <c r="BV138" i="29"/>
  <c r="BN29" i="29"/>
  <c r="BQ148" i="29"/>
  <c r="BP164" i="29"/>
  <c r="BP56" i="29"/>
  <c r="BN185" i="29"/>
  <c r="BV175" i="29"/>
  <c r="BQ36" i="29"/>
  <c r="BV52" i="29"/>
  <c r="BW155" i="29"/>
  <c r="BW138" i="29"/>
  <c r="BQ84" i="29"/>
  <c r="BP29" i="29"/>
  <c r="BN56" i="29"/>
  <c r="BP96" i="29"/>
  <c r="BW148" i="29"/>
  <c r="BQ159" i="29"/>
  <c r="BW168" i="29"/>
  <c r="BW159" i="29"/>
  <c r="BO192" i="29"/>
  <c r="BO114" i="29"/>
  <c r="BS131" i="29"/>
  <c r="BL106" i="29"/>
  <c r="BM46" i="29"/>
  <c r="BM48" i="29" s="1"/>
  <c r="AO200" i="29"/>
  <c r="BM95" i="29"/>
  <c r="BN63" i="29"/>
  <c r="BN44" i="29"/>
  <c r="BN48" i="29"/>
  <c r="AS15" i="47"/>
  <c r="BO149" i="29"/>
  <c r="BO155" i="29" s="1"/>
  <c r="BP207" i="29"/>
  <c r="BW108" i="29"/>
  <c r="BW185" i="29"/>
  <c r="BL111" i="29"/>
  <c r="BM123" i="29"/>
  <c r="BO79" i="29"/>
  <c r="BR132" i="29"/>
  <c r="BV206" i="29"/>
  <c r="BO53" i="29"/>
  <c r="BO56" i="29" s="1"/>
  <c r="BY199" i="29"/>
  <c r="BW192" i="29"/>
  <c r="BO108" i="29"/>
  <c r="BL81" i="29"/>
  <c r="BJ196" i="29"/>
  <c r="BX197" i="29" s="1"/>
  <c r="BT89" i="29"/>
  <c r="BU206" i="29"/>
  <c r="BT93" i="29"/>
  <c r="BN32" i="29"/>
  <c r="BR48" i="29"/>
  <c r="BO132" i="29"/>
  <c r="BI199" i="29"/>
  <c r="BO126" i="29"/>
  <c r="BV148" i="29"/>
  <c r="BO84" i="29"/>
  <c r="BS95" i="29"/>
  <c r="BX13" i="29"/>
  <c r="AA15" i="47"/>
  <c r="BS46" i="29"/>
  <c r="CE198" i="29"/>
  <c r="BL189" i="29"/>
  <c r="BQ164" i="29"/>
  <c r="BX155" i="29"/>
  <c r="BL110" i="29"/>
  <c r="BM131" i="29"/>
  <c r="BO185" i="29"/>
  <c r="AX196" i="29"/>
  <c r="BU197" i="29" s="1"/>
  <c r="BW48" i="29"/>
  <c r="AB15" i="47"/>
  <c r="AG300" i="32"/>
  <c r="BM99" i="32"/>
  <c r="BM53" i="32"/>
  <c r="BL232" i="32"/>
  <c r="BM14" i="32"/>
  <c r="BV264" i="32"/>
  <c r="BV270" i="32" s="1"/>
  <c r="BS287" i="32"/>
  <c r="BM287" i="32"/>
  <c r="BT287" i="32"/>
  <c r="BT266" i="32"/>
  <c r="BM266" i="32"/>
  <c r="BS266" i="32"/>
  <c r="BL290" i="32"/>
  <c r="BM282" i="32"/>
  <c r="BT282" i="32"/>
  <c r="BS282" i="32"/>
  <c r="BM264" i="32"/>
  <c r="BL266" i="32"/>
  <c r="BS252" i="32"/>
  <c r="BT252" i="32"/>
  <c r="BM252" i="32"/>
  <c r="BL254" i="32"/>
  <c r="BO250" i="32"/>
  <c r="BO256" i="32" s="1"/>
  <c r="BS258" i="32"/>
  <c r="BT258" i="32"/>
  <c r="BM258" i="32"/>
  <c r="BO238" i="32"/>
  <c r="BQ234" i="32"/>
  <c r="BM242" i="32"/>
  <c r="BT242" i="32"/>
  <c r="BM232" i="32"/>
  <c r="BT232" i="32"/>
  <c r="BS232" i="32"/>
  <c r="BT223" i="32"/>
  <c r="BM223" i="32"/>
  <c r="BS223" i="32"/>
  <c r="BV250" i="32"/>
  <c r="BV256" i="32" s="1"/>
  <c r="BP215" i="32"/>
  <c r="BP216" i="32" s="1"/>
  <c r="BO215" i="32"/>
  <c r="BO216" i="32" s="1"/>
  <c r="BN245" i="32"/>
  <c r="BM222" i="32"/>
  <c r="BT222" i="32"/>
  <c r="BS222" i="32"/>
  <c r="BO200" i="32"/>
  <c r="BO205" i="32" s="1"/>
  <c r="BL184" i="32"/>
  <c r="BV214" i="32"/>
  <c r="BM161" i="32"/>
  <c r="BT161" i="32"/>
  <c r="BS161" i="32"/>
  <c r="BM202" i="32"/>
  <c r="BT202" i="32"/>
  <c r="BS202" i="32"/>
  <c r="BM165" i="32"/>
  <c r="BT197" i="32"/>
  <c r="BM197" i="32"/>
  <c r="BS197" i="32"/>
  <c r="BV183" i="32"/>
  <c r="BV188" i="32" s="1"/>
  <c r="BT143" i="32"/>
  <c r="BS143" i="32"/>
  <c r="BM143" i="32"/>
  <c r="BS153" i="32"/>
  <c r="BM153" i="32"/>
  <c r="BT153" i="32"/>
  <c r="BX306" i="32"/>
  <c r="BN130" i="32"/>
  <c r="BO109" i="32"/>
  <c r="BP178" i="32"/>
  <c r="AF303" i="32"/>
  <c r="BO101" i="32"/>
  <c r="BO303" i="32" s="1"/>
  <c r="AQ303" i="32"/>
  <c r="BV97" i="32"/>
  <c r="BT92" i="32"/>
  <c r="BS92" i="32"/>
  <c r="BM92" i="32"/>
  <c r="BS75" i="32"/>
  <c r="BM75" i="32"/>
  <c r="BT75" i="32"/>
  <c r="BO92" i="32"/>
  <c r="BO96" i="32" s="1"/>
  <c r="BT86" i="32"/>
  <c r="BS86" i="32"/>
  <c r="BM86" i="32"/>
  <c r="BN71" i="32"/>
  <c r="BR305" i="32"/>
  <c r="BV85" i="32"/>
  <c r="BV90" i="32" s="1"/>
  <c r="BM79" i="32"/>
  <c r="BT79" i="32"/>
  <c r="BS79" i="32"/>
  <c r="BM111" i="32"/>
  <c r="BM113" i="32" s="1"/>
  <c r="BT111" i="32"/>
  <c r="BS111" i="32"/>
  <c r="BK303" i="32"/>
  <c r="BM67" i="32"/>
  <c r="BT67" i="32"/>
  <c r="BS67" i="32"/>
  <c r="BR299" i="32"/>
  <c r="BQ304" i="32"/>
  <c r="BO307" i="32"/>
  <c r="BO13" i="32"/>
  <c r="BM76" i="32"/>
  <c r="BT76" i="32"/>
  <c r="BS76" i="32"/>
  <c r="BM55" i="32"/>
  <c r="BT55" i="32"/>
  <c r="BS55" i="32"/>
  <c r="BS46" i="32"/>
  <c r="BP305" i="32"/>
  <c r="BV46" i="32"/>
  <c r="BM40" i="32"/>
  <c r="BV18" i="32"/>
  <c r="BV22" i="32" s="1"/>
  <c r="V297" i="32"/>
  <c r="BO22" i="32"/>
  <c r="BU298" i="32"/>
  <c r="BU17" i="32"/>
  <c r="BR307" i="32"/>
  <c r="BR13" i="32"/>
  <c r="AO304" i="32"/>
  <c r="BP16" i="32"/>
  <c r="BP304" i="32" s="1"/>
  <c r="BS94" i="32"/>
  <c r="BM94" i="32"/>
  <c r="BT94" i="32"/>
  <c r="BN35" i="32"/>
  <c r="BM16" i="32"/>
  <c r="BN22" i="32"/>
  <c r="BN39" i="32"/>
  <c r="BS24" i="32"/>
  <c r="BM24" i="32"/>
  <c r="BT24" i="32"/>
  <c r="BV278" i="32"/>
  <c r="BV284" i="32" s="1"/>
  <c r="BW291" i="32"/>
  <c r="BM250" i="32"/>
  <c r="BL282" i="32"/>
  <c r="BV291" i="32"/>
  <c r="BW277" i="32"/>
  <c r="BV235" i="32"/>
  <c r="BV238" i="32" s="1"/>
  <c r="BP270" i="32"/>
  <c r="BV263" i="32"/>
  <c r="BM246" i="32"/>
  <c r="BM235" i="32"/>
  <c r="BP228" i="32"/>
  <c r="BP234" i="32" s="1"/>
  <c r="BS247" i="32"/>
  <c r="BM247" i="32"/>
  <c r="BT247" i="32"/>
  <c r="BT240" i="32"/>
  <c r="BM240" i="32"/>
  <c r="BS240" i="32"/>
  <c r="BM268" i="32"/>
  <c r="BT268" i="32"/>
  <c r="BS268" i="32"/>
  <c r="BM251" i="32"/>
  <c r="BS251" i="32"/>
  <c r="BT251" i="32"/>
  <c r="BP247" i="32"/>
  <c r="BP249" i="32" s="1"/>
  <c r="BV221" i="32"/>
  <c r="BV227" i="32" s="1"/>
  <c r="BS224" i="32"/>
  <c r="BM224" i="32"/>
  <c r="BT224" i="32"/>
  <c r="BS230" i="32"/>
  <c r="BM230" i="32"/>
  <c r="BT230" i="32"/>
  <c r="BS212" i="32"/>
  <c r="BM212" i="32"/>
  <c r="BT212" i="32"/>
  <c r="BV165" i="32"/>
  <c r="BV171" i="32" s="1"/>
  <c r="BS206" i="32"/>
  <c r="BP179" i="32"/>
  <c r="BP182" i="32" s="1"/>
  <c r="BS160" i="32"/>
  <c r="BM160" i="32"/>
  <c r="BT160" i="32"/>
  <c r="BL143" i="32"/>
  <c r="BL192" i="32"/>
  <c r="BN188" i="32"/>
  <c r="BM151" i="32"/>
  <c r="BT206" i="32"/>
  <c r="BW157" i="32"/>
  <c r="BS185" i="32"/>
  <c r="BM185" i="32"/>
  <c r="BT185" i="32"/>
  <c r="BW188" i="32"/>
  <c r="BM169" i="32"/>
  <c r="BT169" i="32"/>
  <c r="BK301" i="32"/>
  <c r="BQ306" i="32"/>
  <c r="BM154" i="32"/>
  <c r="BT154" i="32"/>
  <c r="BS154" i="32"/>
  <c r="BV131" i="32"/>
  <c r="BV137" i="32" s="1"/>
  <c r="BM163" i="32"/>
  <c r="BT163" i="32"/>
  <c r="BS163" i="32"/>
  <c r="AE306" i="32"/>
  <c r="BN108" i="32"/>
  <c r="BS140" i="32"/>
  <c r="BM140" i="32"/>
  <c r="BT140" i="32"/>
  <c r="AO306" i="32"/>
  <c r="BP108" i="32"/>
  <c r="BM97" i="32"/>
  <c r="BV72" i="32"/>
  <c r="BV77" i="32" s="1"/>
  <c r="BT102" i="32"/>
  <c r="BS102" i="32"/>
  <c r="BM102" i="32"/>
  <c r="BM91" i="32"/>
  <c r="BV91" i="32"/>
  <c r="BV96" i="32" s="1"/>
  <c r="BM85" i="32"/>
  <c r="BW84" i="32"/>
  <c r="BW120" i="32"/>
  <c r="AO303" i="32"/>
  <c r="BP101" i="32"/>
  <c r="BP303" i="32" s="1"/>
  <c r="BP97" i="32"/>
  <c r="BN87" i="32"/>
  <c r="BN90" i="32" s="1"/>
  <c r="BP46" i="32"/>
  <c r="BP52" i="32" s="1"/>
  <c r="BO39" i="32"/>
  <c r="AQ307" i="32"/>
  <c r="AE304" i="32"/>
  <c r="BS72" i="32"/>
  <c r="BP66" i="32"/>
  <c r="BP71" i="32" s="1"/>
  <c r="AE305" i="32"/>
  <c r="BN50" i="32"/>
  <c r="BN305" i="32" s="1"/>
  <c r="BN28" i="32"/>
  <c r="BN31" i="32" s="1"/>
  <c r="BW65" i="32"/>
  <c r="BP18" i="32"/>
  <c r="BP22" i="32" s="1"/>
  <c r="AX297" i="32"/>
  <c r="BM51" i="32"/>
  <c r="BT51" i="32"/>
  <c r="BS51" i="32"/>
  <c r="BW307" i="32"/>
  <c r="BW13" i="32"/>
  <c r="BS69" i="32"/>
  <c r="BM69" i="32"/>
  <c r="BT69" i="32"/>
  <c r="BP32" i="32"/>
  <c r="BP35" i="32" s="1"/>
  <c r="BP28" i="32"/>
  <c r="BP31" i="32" s="1"/>
  <c r="BL76" i="32"/>
  <c r="BR298" i="32"/>
  <c r="BL287" i="32"/>
  <c r="BW284" i="32"/>
  <c r="BM279" i="32"/>
  <c r="BT279" i="32"/>
  <c r="BW249" i="32"/>
  <c r="BS286" i="32"/>
  <c r="BT286" i="32"/>
  <c r="BM286" i="32"/>
  <c r="BM280" i="32"/>
  <c r="BT280" i="32"/>
  <c r="BS280" i="32"/>
  <c r="BO270" i="32"/>
  <c r="BN271" i="32"/>
  <c r="BN277" i="32" s="1"/>
  <c r="BV246" i="32"/>
  <c r="BV249" i="32" s="1"/>
  <c r="BT260" i="32"/>
  <c r="BS260" i="32"/>
  <c r="BM260" i="32"/>
  <c r="BM255" i="32"/>
  <c r="BT255" i="32"/>
  <c r="BS255" i="32"/>
  <c r="BW227" i="32"/>
  <c r="BP256" i="32"/>
  <c r="BL226" i="32"/>
  <c r="BO221" i="32"/>
  <c r="BO227" i="32" s="1"/>
  <c r="BS209" i="32"/>
  <c r="BM209" i="32"/>
  <c r="BT209" i="32"/>
  <c r="BM236" i="32"/>
  <c r="BS236" i="32"/>
  <c r="BT236" i="32"/>
  <c r="BL222" i="32"/>
  <c r="BP196" i="32"/>
  <c r="BP199" i="32" s="1"/>
  <c r="BQ195" i="32"/>
  <c r="BT211" i="32"/>
  <c r="BM211" i="32"/>
  <c r="BS211" i="32"/>
  <c r="BN207" i="32"/>
  <c r="BN214" i="32" s="1"/>
  <c r="BL197" i="32"/>
  <c r="BL180" i="32"/>
  <c r="BP214" i="32"/>
  <c r="BO199" i="32"/>
  <c r="BM190" i="32"/>
  <c r="BS190" i="32"/>
  <c r="BT190" i="32"/>
  <c r="BT176" i="32"/>
  <c r="BM176" i="32"/>
  <c r="BS176" i="32"/>
  <c r="BS204" i="32"/>
  <c r="BM204" i="32"/>
  <c r="BT204" i="32"/>
  <c r="BS198" i="32"/>
  <c r="BT198" i="32"/>
  <c r="BM198" i="32"/>
  <c r="BL185" i="32"/>
  <c r="BV172" i="32"/>
  <c r="BV178" i="32" s="1"/>
  <c r="BO165" i="32"/>
  <c r="BO171" i="32" s="1"/>
  <c r="BT152" i="32"/>
  <c r="BM152" i="32"/>
  <c r="BS152" i="32"/>
  <c r="BO164" i="32"/>
  <c r="BV138" i="32"/>
  <c r="BV144" i="32" s="1"/>
  <c r="BV125" i="32"/>
  <c r="BV130" i="32" s="1"/>
  <c r="BT110" i="32"/>
  <c r="BW137" i="32"/>
  <c r="BT118" i="32"/>
  <c r="BM118" i="32"/>
  <c r="BS118" i="32"/>
  <c r="BO150" i="32"/>
  <c r="BV114" i="32"/>
  <c r="BV120" i="32" s="1"/>
  <c r="BP110" i="32"/>
  <c r="BP113" i="32" s="1"/>
  <c r="BM105" i="32"/>
  <c r="BT105" i="32"/>
  <c r="BS105" i="32"/>
  <c r="BO65" i="32"/>
  <c r="BM134" i="32"/>
  <c r="BT134" i="32"/>
  <c r="BS134" i="32"/>
  <c r="BM121" i="32"/>
  <c r="AE303" i="32"/>
  <c r="BN101" i="32"/>
  <c r="BN303" i="32" s="1"/>
  <c r="BU120" i="32"/>
  <c r="AF300" i="32"/>
  <c r="BO99" i="32"/>
  <c r="BO300" i="32" s="1"/>
  <c r="BM123" i="32"/>
  <c r="BT123" i="32"/>
  <c r="BS123" i="32"/>
  <c r="BO84" i="32"/>
  <c r="BM70" i="32"/>
  <c r="BT70" i="32"/>
  <c r="BS70" i="32"/>
  <c r="BM133" i="32"/>
  <c r="BT133" i="32"/>
  <c r="BS133" i="32"/>
  <c r="AP301" i="32"/>
  <c r="BL111" i="32"/>
  <c r="BN58" i="32"/>
  <c r="BX298" i="32"/>
  <c r="BX17" i="32"/>
  <c r="BW298" i="32"/>
  <c r="BT88" i="32"/>
  <c r="BS88" i="32"/>
  <c r="BM88" i="32"/>
  <c r="BO44" i="32"/>
  <c r="BO45" i="32" s="1"/>
  <c r="AG304" i="32"/>
  <c r="BM34" i="32"/>
  <c r="BT34" i="32"/>
  <c r="BS34" i="32"/>
  <c r="BV32" i="32"/>
  <c r="BV35" i="32" s="1"/>
  <c r="BM15" i="32"/>
  <c r="BT15" i="32"/>
  <c r="BS15" i="32"/>
  <c r="V294" i="32"/>
  <c r="AH295" i="32" s="1"/>
  <c r="BS81" i="32"/>
  <c r="BM81" i="32"/>
  <c r="BT81" i="32"/>
  <c r="BM60" i="32"/>
  <c r="BT60" i="32"/>
  <c r="BS60" i="32"/>
  <c r="BV44" i="32"/>
  <c r="BV45" i="32" s="1"/>
  <c r="BX305" i="32"/>
  <c r="BQ307" i="32"/>
  <c r="BQ13" i="32"/>
  <c r="BS63" i="32"/>
  <c r="BM63" i="32"/>
  <c r="BT63" i="32"/>
  <c r="BI294" i="32"/>
  <c r="BU299" i="32"/>
  <c r="BN278" i="32"/>
  <c r="BN284" i="32" s="1"/>
  <c r="BM259" i="32"/>
  <c r="BS259" i="32"/>
  <c r="BT259" i="32"/>
  <c r="BN292" i="32"/>
  <c r="BN293" i="32" s="1"/>
  <c r="BN291" i="32"/>
  <c r="BS273" i="32"/>
  <c r="BT273" i="32"/>
  <c r="BM273" i="32"/>
  <c r="BS241" i="32"/>
  <c r="BM241" i="32"/>
  <c r="BT241" i="32"/>
  <c r="BL233" i="32"/>
  <c r="BS244" i="32"/>
  <c r="BT244" i="32"/>
  <c r="BM244" i="32"/>
  <c r="BT228" i="32"/>
  <c r="BS228" i="32"/>
  <c r="BL251" i="32"/>
  <c r="BW245" i="32"/>
  <c r="BT237" i="32"/>
  <c r="BM237" i="32"/>
  <c r="BS237" i="32"/>
  <c r="BP217" i="32"/>
  <c r="BP220" i="32" s="1"/>
  <c r="BM219" i="32"/>
  <c r="BS219" i="32"/>
  <c r="BT219" i="32"/>
  <c r="BV189" i="32"/>
  <c r="BV195" i="32" s="1"/>
  <c r="BP151" i="32"/>
  <c r="BP157" i="32" s="1"/>
  <c r="BM191" i="32"/>
  <c r="BT191" i="32"/>
  <c r="BS191" i="32"/>
  <c r="BM173" i="32"/>
  <c r="BT173" i="32"/>
  <c r="BS173" i="32"/>
  <c r="BL160" i="32"/>
  <c r="BL190" i="32"/>
  <c r="BO172" i="32"/>
  <c r="BO178" i="32" s="1"/>
  <c r="BM149" i="32"/>
  <c r="BT149" i="32"/>
  <c r="BS149" i="32"/>
  <c r="BO138" i="32"/>
  <c r="BO144" i="32" s="1"/>
  <c r="BV109" i="32"/>
  <c r="BM145" i="32"/>
  <c r="BM146" i="32" s="1"/>
  <c r="BX301" i="32"/>
  <c r="BX120" i="32"/>
  <c r="AQ306" i="32"/>
  <c r="BM175" i="32"/>
  <c r="BT175" i="32"/>
  <c r="BS175" i="32"/>
  <c r="BL163" i="32"/>
  <c r="BK300" i="32"/>
  <c r="BV99" i="32"/>
  <c r="BV300" i="32" s="1"/>
  <c r="BV157" i="32"/>
  <c r="BM147" i="32"/>
  <c r="BO114" i="32"/>
  <c r="BM95" i="32"/>
  <c r="BT95" i="32"/>
  <c r="BS95" i="32"/>
  <c r="BL79" i="32"/>
  <c r="BM89" i="32"/>
  <c r="BT89" i="32"/>
  <c r="BS89" i="32"/>
  <c r="BM106" i="32"/>
  <c r="BT106" i="32"/>
  <c r="BS106" i="32"/>
  <c r="BM83" i="32"/>
  <c r="BT83" i="32"/>
  <c r="BS83" i="32"/>
  <c r="BM78" i="32"/>
  <c r="BM132" i="32"/>
  <c r="BT132" i="32"/>
  <c r="BS132" i="32"/>
  <c r="BN120" i="32"/>
  <c r="BS100" i="32"/>
  <c r="BM100" i="32"/>
  <c r="BT100" i="32"/>
  <c r="BP53" i="32"/>
  <c r="BM25" i="32"/>
  <c r="BT25" i="32"/>
  <c r="BS25" i="32"/>
  <c r="BQ298" i="32"/>
  <c r="BT64" i="32"/>
  <c r="BS64" i="32"/>
  <c r="BM64" i="32"/>
  <c r="AF305" i="32"/>
  <c r="BO50" i="32"/>
  <c r="BO305" i="32" s="1"/>
  <c r="AQ305" i="32"/>
  <c r="BT46" i="32"/>
  <c r="AF298" i="32"/>
  <c r="BO14" i="32"/>
  <c r="AF294" i="32"/>
  <c r="BO295" i="32" s="1"/>
  <c r="BN17" i="32"/>
  <c r="AO307" i="32"/>
  <c r="BP12" i="32"/>
  <c r="BL60" i="32"/>
  <c r="BK305" i="32"/>
  <c r="BV50" i="32"/>
  <c r="BV305" i="32" s="1"/>
  <c r="AN297" i="32"/>
  <c r="AM297" i="32"/>
  <c r="BK307" i="32"/>
  <c r="BV12" i="32"/>
  <c r="BT66" i="32"/>
  <c r="BV36" i="32"/>
  <c r="BV39" i="32" s="1"/>
  <c r="BL15" i="32"/>
  <c r="BM18" i="32"/>
  <c r="BS48" i="32"/>
  <c r="BM48" i="32"/>
  <c r="BT48" i="32"/>
  <c r="BS32" i="32"/>
  <c r="BL25" i="32"/>
  <c r="BS261" i="32"/>
  <c r="BT261" i="32"/>
  <c r="BM261" i="32"/>
  <c r="BM248" i="32"/>
  <c r="BT248" i="32"/>
  <c r="BS248" i="32"/>
  <c r="BL244" i="32"/>
  <c r="BT253" i="32"/>
  <c r="BS253" i="32"/>
  <c r="BM253" i="32"/>
  <c r="BM217" i="32"/>
  <c r="BS218" i="32"/>
  <c r="BT218" i="32"/>
  <c r="BM218" i="32"/>
  <c r="BV205" i="32"/>
  <c r="BM213" i="32"/>
  <c r="BS213" i="32"/>
  <c r="BT213" i="32"/>
  <c r="BM210" i="32"/>
  <c r="BS210" i="32"/>
  <c r="BT210" i="32"/>
  <c r="BN179" i="32"/>
  <c r="BN182" i="32" s="1"/>
  <c r="BV147" i="32"/>
  <c r="BV150" i="32" s="1"/>
  <c r="BM189" i="32"/>
  <c r="BL149" i="32"/>
  <c r="BL191" i="32"/>
  <c r="BM183" i="32"/>
  <c r="BS159" i="32"/>
  <c r="BM159" i="32"/>
  <c r="BT159" i="32"/>
  <c r="BN196" i="32"/>
  <c r="BN199" i="32" s="1"/>
  <c r="BW214" i="32"/>
  <c r="BL198" i="32"/>
  <c r="BT187" i="32"/>
  <c r="BS187" i="32"/>
  <c r="BM187" i="32"/>
  <c r="BV158" i="32"/>
  <c r="BV164" i="32" s="1"/>
  <c r="BO125" i="32"/>
  <c r="BO130" i="32" s="1"/>
  <c r="BM131" i="32"/>
  <c r="BM122" i="32"/>
  <c r="BT122" i="32"/>
  <c r="BS122" i="32"/>
  <c r="BS177" i="32"/>
  <c r="BM177" i="32"/>
  <c r="BT177" i="32"/>
  <c r="BS110" i="32"/>
  <c r="BL173" i="32"/>
  <c r="BQ301" i="32"/>
  <c r="BQ120" i="32"/>
  <c r="AF306" i="32"/>
  <c r="AF301" i="32"/>
  <c r="BO115" i="32"/>
  <c r="BO301" i="32" s="1"/>
  <c r="BM168" i="32"/>
  <c r="BT168" i="32"/>
  <c r="BS168" i="32"/>
  <c r="BN138" i="32"/>
  <c r="BN144" i="32" s="1"/>
  <c r="BN301" i="32"/>
  <c r="BN124" i="32"/>
  <c r="BO98" i="32"/>
  <c r="BP78" i="32"/>
  <c r="BP84" i="32" s="1"/>
  <c r="BV53" i="32"/>
  <c r="BV58" i="32" s="1"/>
  <c r="BL123" i="32"/>
  <c r="BL82" i="32"/>
  <c r="BS136" i="32"/>
  <c r="BM136" i="32"/>
  <c r="BT136" i="32"/>
  <c r="BM117" i="32"/>
  <c r="BT117" i="32"/>
  <c r="BS117" i="32"/>
  <c r="BV78" i="32"/>
  <c r="BV84" i="32" s="1"/>
  <c r="BT68" i="32"/>
  <c r="BS68" i="32"/>
  <c r="BM68" i="32"/>
  <c r="BO53" i="32"/>
  <c r="BO58" i="32" s="1"/>
  <c r="BP40" i="32"/>
  <c r="BP43" i="32" s="1"/>
  <c r="W297" i="32"/>
  <c r="AE307" i="32"/>
  <c r="BN12" i="32"/>
  <c r="AF299" i="32"/>
  <c r="BO47" i="32"/>
  <c r="AO298" i="32"/>
  <c r="BP14" i="32"/>
  <c r="AO305" i="32"/>
  <c r="BK299" i="32"/>
  <c r="BV47" i="32"/>
  <c r="BO41" i="32"/>
  <c r="BO43" i="32" s="1"/>
  <c r="BW39" i="32"/>
  <c r="BM30" i="32"/>
  <c r="BT30" i="32"/>
  <c r="BR304" i="32"/>
  <c r="BQ17" i="32"/>
  <c r="BT20" i="32"/>
  <c r="BS20" i="32"/>
  <c r="BM20" i="32"/>
  <c r="BS42" i="32"/>
  <c r="BM42" i="32"/>
  <c r="BT42" i="32"/>
  <c r="BM19" i="32"/>
  <c r="BT19" i="32"/>
  <c r="BS19" i="32"/>
  <c r="BS281" i="32"/>
  <c r="BM281" i="32"/>
  <c r="BT281" i="32"/>
  <c r="BM285" i="32"/>
  <c r="BO285" i="32"/>
  <c r="BO291" i="32" s="1"/>
  <c r="BM272" i="32"/>
  <c r="BT272" i="32"/>
  <c r="BS272" i="32"/>
  <c r="BL272" i="32"/>
  <c r="BT229" i="32"/>
  <c r="BM229" i="32"/>
  <c r="BS229" i="32"/>
  <c r="BP285" i="32"/>
  <c r="BP291" i="32" s="1"/>
  <c r="BP271" i="32"/>
  <c r="BP277" i="32" s="1"/>
  <c r="BM265" i="32"/>
  <c r="BT265" i="32"/>
  <c r="BS265" i="32"/>
  <c r="BW256" i="32"/>
  <c r="BM257" i="32"/>
  <c r="BP280" i="32"/>
  <c r="BP284" i="32" s="1"/>
  <c r="BL252" i="32"/>
  <c r="BO246" i="32"/>
  <c r="BO249" i="32" s="1"/>
  <c r="BP245" i="32"/>
  <c r="BN234" i="32"/>
  <c r="BM276" i="32"/>
  <c r="BT276" i="32"/>
  <c r="BS276" i="32"/>
  <c r="BL268" i="32"/>
  <c r="BT243" i="32"/>
  <c r="BS243" i="32"/>
  <c r="BM243" i="32"/>
  <c r="BP227" i="32"/>
  <c r="BM239" i="32"/>
  <c r="BT225" i="32"/>
  <c r="BS225" i="32"/>
  <c r="BM225" i="32"/>
  <c r="BN205" i="32"/>
  <c r="BR195" i="32"/>
  <c r="BV217" i="32"/>
  <c r="BV220" i="32" s="1"/>
  <c r="BV196" i="32"/>
  <c r="BV199" i="32" s="1"/>
  <c r="BR199" i="32"/>
  <c r="BN178" i="32"/>
  <c r="BN171" i="32"/>
  <c r="BP158" i="32"/>
  <c r="BP164" i="32" s="1"/>
  <c r="BM155" i="32"/>
  <c r="BT155" i="32"/>
  <c r="BS155" i="32"/>
  <c r="BV145" i="32"/>
  <c r="BV146" i="32" s="1"/>
  <c r="BM166" i="32"/>
  <c r="BT166" i="32"/>
  <c r="BS166" i="32"/>
  <c r="BN150" i="32"/>
  <c r="BL202" i="32"/>
  <c r="BL186" i="32"/>
  <c r="BT181" i="32"/>
  <c r="BM181" i="32"/>
  <c r="BS181" i="32"/>
  <c r="BM167" i="32"/>
  <c r="BT167" i="32"/>
  <c r="BS167" i="32"/>
  <c r="BL161" i="32"/>
  <c r="BM158" i="32"/>
  <c r="BP121" i="32"/>
  <c r="BP124" i="32" s="1"/>
  <c r="BM148" i="32"/>
  <c r="BT148" i="32"/>
  <c r="BS148" i="32"/>
  <c r="BX137" i="32"/>
  <c r="BW306" i="32"/>
  <c r="BW109" i="32"/>
  <c r="BT139" i="32"/>
  <c r="BS139" i="32"/>
  <c r="BM139" i="32"/>
  <c r="BR124" i="32"/>
  <c r="BS162" i="32"/>
  <c r="BM162" i="32"/>
  <c r="BT162" i="32"/>
  <c r="AO301" i="32"/>
  <c r="BP115" i="32"/>
  <c r="BQ299" i="32"/>
  <c r="BM126" i="32"/>
  <c r="BT126" i="32"/>
  <c r="BS126" i="32"/>
  <c r="BU107" i="32"/>
  <c r="BN77" i="32"/>
  <c r="BM142" i="32"/>
  <c r="BS142" i="32"/>
  <c r="BT142" i="32"/>
  <c r="BQ107" i="32"/>
  <c r="BL92" i="32"/>
  <c r="BT80" i="32"/>
  <c r="BS80" i="32"/>
  <c r="BM80" i="32"/>
  <c r="BR107" i="32"/>
  <c r="BL86" i="32"/>
  <c r="BV303" i="32"/>
  <c r="BW107" i="32"/>
  <c r="BN59" i="32"/>
  <c r="BN65" i="32" s="1"/>
  <c r="BI297" i="32"/>
  <c r="BK296" i="32" s="1"/>
  <c r="BW52" i="32"/>
  <c r="BX304" i="32"/>
  <c r="AE298" i="32"/>
  <c r="BL55" i="32"/>
  <c r="BW304" i="32"/>
  <c r="BQ71" i="32"/>
  <c r="BU52" i="32"/>
  <c r="BV40" i="32"/>
  <c r="BV43" i="32" s="1"/>
  <c r="BT29" i="32"/>
  <c r="BM29" i="32"/>
  <c r="BS29" i="32"/>
  <c r="AN294" i="32"/>
  <c r="BR295" i="32" s="1"/>
  <c r="BL67" i="32"/>
  <c r="BX299" i="32"/>
  <c r="BO31" i="32"/>
  <c r="BN304" i="32"/>
  <c r="BS57" i="32"/>
  <c r="BM57" i="32"/>
  <c r="BT57" i="32"/>
  <c r="BW299" i="32"/>
  <c r="BS66" i="32"/>
  <c r="BL34" i="32"/>
  <c r="BO23" i="32"/>
  <c r="BO27" i="32" s="1"/>
  <c r="AG298" i="32"/>
  <c r="BK304" i="32"/>
  <c r="BV16" i="32"/>
  <c r="BV304" i="32" s="1"/>
  <c r="BK298" i="32"/>
  <c r="BV14" i="32"/>
  <c r="BS49" i="32"/>
  <c r="BM49" i="32"/>
  <c r="BT49" i="32"/>
  <c r="BM21" i="32"/>
  <c r="BT21" i="32"/>
  <c r="BS21" i="32"/>
  <c r="BM36" i="32"/>
  <c r="BM35" i="32"/>
  <c r="BM38" i="32"/>
  <c r="BT38" i="32"/>
  <c r="BS38" i="32"/>
  <c r="BT37" i="32"/>
  <c r="BS37" i="32"/>
  <c r="BM37" i="32"/>
  <c r="BW17" i="32"/>
  <c r="BM69" i="31"/>
  <c r="BT69" i="31"/>
  <c r="BS69" i="31"/>
  <c r="BP33" i="31"/>
  <c r="BP38" i="31" s="1"/>
  <c r="BT72" i="31"/>
  <c r="BS72" i="31"/>
  <c r="BM72" i="31"/>
  <c r="BV65" i="31"/>
  <c r="BV67" i="31" s="1"/>
  <c r="BN41" i="31"/>
  <c r="BN43" i="31" s="1"/>
  <c r="BO81" i="31"/>
  <c r="BO48" i="31"/>
  <c r="BQ57" i="31"/>
  <c r="BW52" i="31"/>
  <c r="AF86" i="31"/>
  <c r="BO39" i="31"/>
  <c r="BW38" i="31"/>
  <c r="AF79" i="31"/>
  <c r="BO26" i="31"/>
  <c r="CE75" i="31"/>
  <c r="AF85" i="31"/>
  <c r="AQ85" i="31"/>
  <c r="BO30" i="31"/>
  <c r="BO85" i="31" s="1"/>
  <c r="BN20" i="31"/>
  <c r="BN23" i="31" s="1"/>
  <c r="BM29" i="31"/>
  <c r="BT29" i="31"/>
  <c r="BS29" i="31"/>
  <c r="BO33" i="31"/>
  <c r="BO38" i="31" s="1"/>
  <c r="BR87" i="31"/>
  <c r="BR25" i="31"/>
  <c r="AO78" i="31"/>
  <c r="BP16" i="31"/>
  <c r="BP19" i="31" s="1"/>
  <c r="AO84" i="31"/>
  <c r="BP14" i="31"/>
  <c r="BP84" i="31" s="1"/>
  <c r="BO87" i="31"/>
  <c r="BO25" i="31"/>
  <c r="BO18" i="31"/>
  <c r="BO19" i="31" s="1"/>
  <c r="AN74" i="31"/>
  <c r="BV58" i="31"/>
  <c r="BV64" i="31" s="1"/>
  <c r="BM66" i="31"/>
  <c r="BT66" i="31"/>
  <c r="BS66" i="31"/>
  <c r="BV41" i="31"/>
  <c r="BV43" i="31" s="1"/>
  <c r="BO65" i="31"/>
  <c r="BO67" i="31" s="1"/>
  <c r="BK86" i="31"/>
  <c r="BV39" i="31"/>
  <c r="BN33" i="31"/>
  <c r="BN38" i="31" s="1"/>
  <c r="AP79" i="31"/>
  <c r="BW85" i="31"/>
  <c r="BQ64" i="31"/>
  <c r="BV68" i="31"/>
  <c r="BV73" i="31" s="1"/>
  <c r="BM63" i="31"/>
  <c r="BT63" i="31"/>
  <c r="BL47" i="31"/>
  <c r="BM60" i="31"/>
  <c r="BT60" i="31"/>
  <c r="BS60" i="31"/>
  <c r="BP68" i="31"/>
  <c r="BP73" i="31" s="1"/>
  <c r="BT55" i="31"/>
  <c r="BM55" i="31"/>
  <c r="BS55" i="31"/>
  <c r="BR79" i="31"/>
  <c r="BR32" i="31"/>
  <c r="BL37" i="31"/>
  <c r="BY75" i="31"/>
  <c r="AE79" i="31"/>
  <c r="AE86" i="31"/>
  <c r="AE74" i="31"/>
  <c r="BN39" i="31"/>
  <c r="BN87" i="31"/>
  <c r="BN25" i="31"/>
  <c r="BI74" i="31"/>
  <c r="BM36" i="31"/>
  <c r="BS36" i="31"/>
  <c r="BT36" i="31"/>
  <c r="BU78" i="31"/>
  <c r="BU15" i="31"/>
  <c r="AG87" i="31"/>
  <c r="BM24" i="31"/>
  <c r="AE78" i="31"/>
  <c r="BM68" i="31"/>
  <c r="BS49" i="31"/>
  <c r="BM34" i="31"/>
  <c r="BT34" i="31"/>
  <c r="BS34" i="31"/>
  <c r="BK78" i="31"/>
  <c r="BV12" i="31"/>
  <c r="BO20" i="31"/>
  <c r="BO23" i="31" s="1"/>
  <c r="AG79" i="31"/>
  <c r="BM26" i="31"/>
  <c r="AX74" i="31"/>
  <c r="BU75" i="31" s="1"/>
  <c r="AF78" i="31"/>
  <c r="BO12" i="31"/>
  <c r="BL71" i="31"/>
  <c r="BN65" i="31"/>
  <c r="BN67" i="31" s="1"/>
  <c r="BN64" i="31"/>
  <c r="BP49" i="31"/>
  <c r="BP52" i="31" s="1"/>
  <c r="BS59" i="31"/>
  <c r="BT59" i="31"/>
  <c r="BM59" i="31"/>
  <c r="BR81" i="31"/>
  <c r="BR48" i="31"/>
  <c r="BX73" i="31"/>
  <c r="BT49" i="31"/>
  <c r="BW86" i="31"/>
  <c r="BW40" i="31"/>
  <c r="BQ79" i="31"/>
  <c r="BQ32" i="31"/>
  <c r="BW87" i="31"/>
  <c r="BW25" i="31"/>
  <c r="BQ78" i="31"/>
  <c r="BQ15" i="31"/>
  <c r="BW79" i="31"/>
  <c r="BW32" i="31"/>
  <c r="AO85" i="31"/>
  <c r="BP30" i="31"/>
  <c r="BP85" i="31" s="1"/>
  <c r="AO86" i="31"/>
  <c r="BP39" i="31"/>
  <c r="BK79" i="31"/>
  <c r="BV26" i="31"/>
  <c r="BR78" i="31"/>
  <c r="BR15" i="31"/>
  <c r="AM74" i="31"/>
  <c r="BW78" i="31"/>
  <c r="BW15" i="31"/>
  <c r="BK84" i="31"/>
  <c r="BM31" i="31"/>
  <c r="BT31" i="31"/>
  <c r="BS31" i="31"/>
  <c r="BM16" i="31"/>
  <c r="BX78" i="31"/>
  <c r="BX15" i="31"/>
  <c r="BU79" i="31"/>
  <c r="BU32" i="31"/>
  <c r="AP87" i="31"/>
  <c r="BL72" i="31"/>
  <c r="BS46" i="31"/>
  <c r="BM46" i="31"/>
  <c r="BT46" i="31"/>
  <c r="BP57" i="31"/>
  <c r="BM56" i="31"/>
  <c r="BS56" i="31"/>
  <c r="BT56" i="31"/>
  <c r="BK81" i="31"/>
  <c r="BV44" i="31"/>
  <c r="BN73" i="31"/>
  <c r="AQ81" i="31"/>
  <c r="BN53" i="31"/>
  <c r="BN57" i="31" s="1"/>
  <c r="BV49" i="31"/>
  <c r="BV52" i="31" s="1"/>
  <c r="BX81" i="31"/>
  <c r="BX48" i="31"/>
  <c r="BQ86" i="31"/>
  <c r="BQ40" i="31"/>
  <c r="BX79" i="31"/>
  <c r="BX32" i="31"/>
  <c r="BQ87" i="31"/>
  <c r="BQ25" i="31"/>
  <c r="AE85" i="31"/>
  <c r="BN30" i="31"/>
  <c r="BN85" i="31" s="1"/>
  <c r="AN77" i="31"/>
  <c r="BS18" i="31"/>
  <c r="BT18" i="31"/>
  <c r="BM18" i="31"/>
  <c r="BI77" i="31"/>
  <c r="BS28" i="31"/>
  <c r="BM28" i="31"/>
  <c r="BT28" i="31"/>
  <c r="AF84" i="31"/>
  <c r="BO14" i="31"/>
  <c r="BM22" i="31"/>
  <c r="BT22" i="31"/>
  <c r="BS22" i="31"/>
  <c r="W74" i="31"/>
  <c r="AI75" i="31" s="1"/>
  <c r="V74" i="31"/>
  <c r="AH75" i="31" s="1"/>
  <c r="BJ77" i="31"/>
  <c r="BS13" i="31"/>
  <c r="BM13" i="31"/>
  <c r="BT13" i="31"/>
  <c r="BT51" i="31"/>
  <c r="BS51" i="31"/>
  <c r="BM51" i="31"/>
  <c r="BT70" i="31"/>
  <c r="BS70" i="31"/>
  <c r="BM70" i="31"/>
  <c r="BW81" i="31"/>
  <c r="BW48" i="31"/>
  <c r="BO73" i="31"/>
  <c r="BP65" i="31"/>
  <c r="BP67" i="31" s="1"/>
  <c r="BL56" i="31"/>
  <c r="AE81" i="31"/>
  <c r="BN44" i="31"/>
  <c r="BM54" i="31"/>
  <c r="BT54" i="31"/>
  <c r="BS54" i="31"/>
  <c r="BM50" i="31"/>
  <c r="BT50" i="31"/>
  <c r="BS50" i="31"/>
  <c r="BO58" i="31"/>
  <c r="BO64" i="31" s="1"/>
  <c r="AO81" i="31"/>
  <c r="BP44" i="31"/>
  <c r="BV33" i="31"/>
  <c r="BV38" i="31" s="1"/>
  <c r="BK87" i="31"/>
  <c r="BV24" i="31"/>
  <c r="BK85" i="31"/>
  <c r="BV30" i="31"/>
  <c r="BV85" i="31" s="1"/>
  <c r="BP87" i="31"/>
  <c r="BP25" i="31"/>
  <c r="AO79" i="31"/>
  <c r="BM42" i="31"/>
  <c r="BT42" i="31"/>
  <c r="BS42" i="31"/>
  <c r="BX87" i="31"/>
  <c r="BX25" i="31"/>
  <c r="V77" i="31"/>
  <c r="AE84" i="31"/>
  <c r="BN14" i="31"/>
  <c r="BN84" i="31" s="1"/>
  <c r="BP20" i="31"/>
  <c r="BP23" i="31" s="1"/>
  <c r="BQ84" i="31"/>
  <c r="BL31" i="31"/>
  <c r="BL21" i="31"/>
  <c r="BJ74" i="31"/>
  <c r="BX75" i="31" s="1"/>
  <c r="AP78" i="31"/>
  <c r="BM93" i="30"/>
  <c r="BR112" i="30"/>
  <c r="BR30" i="30"/>
  <c r="BV113" i="30"/>
  <c r="BV17" i="30"/>
  <c r="AG111" i="30"/>
  <c r="BM20" i="30"/>
  <c r="BP37" i="30"/>
  <c r="BQ104" i="30"/>
  <c r="BV74" i="30"/>
  <c r="BV75" i="30" s="1"/>
  <c r="BS97" i="30"/>
  <c r="BT97" i="30"/>
  <c r="BM97" i="30"/>
  <c r="BS88" i="30"/>
  <c r="BT88" i="30"/>
  <c r="BM88" i="30"/>
  <c r="BN99" i="30"/>
  <c r="BM69" i="30"/>
  <c r="BT69" i="30"/>
  <c r="BS69" i="30"/>
  <c r="BL68" i="30"/>
  <c r="BV55" i="30"/>
  <c r="BV61" i="30" s="1"/>
  <c r="BR111" i="30"/>
  <c r="BQ44" i="30"/>
  <c r="BK111" i="30"/>
  <c r="BV20" i="30"/>
  <c r="BV111" i="30" s="1"/>
  <c r="BV49" i="30"/>
  <c r="BV54" i="30" s="1"/>
  <c r="BV31" i="30"/>
  <c r="BT73" i="30"/>
  <c r="BS73" i="30"/>
  <c r="BM73" i="30"/>
  <c r="BS53" i="30"/>
  <c r="BM53" i="30"/>
  <c r="BT53" i="30"/>
  <c r="BQ28" i="30"/>
  <c r="CE101" i="30"/>
  <c r="BS59" i="30"/>
  <c r="BM59" i="30"/>
  <c r="BT59" i="30"/>
  <c r="BU37" i="30"/>
  <c r="BX113" i="30"/>
  <c r="BX17" i="30"/>
  <c r="AF107" i="30"/>
  <c r="BO32" i="30"/>
  <c r="BK105" i="30"/>
  <c r="BV18" i="30"/>
  <c r="BW104" i="30"/>
  <c r="BK104" i="30"/>
  <c r="BM63" i="30"/>
  <c r="BT63" i="30"/>
  <c r="BS63" i="30"/>
  <c r="BT46" i="30"/>
  <c r="BS46" i="30"/>
  <c r="BM46" i="30"/>
  <c r="BU105" i="30"/>
  <c r="BM22" i="30"/>
  <c r="BT22" i="30"/>
  <c r="BS22" i="30"/>
  <c r="AO104" i="30"/>
  <c r="BP12" i="30"/>
  <c r="BL19" i="30"/>
  <c r="BV76" i="30"/>
  <c r="BV81" i="30" s="1"/>
  <c r="BQ61" i="30"/>
  <c r="BQ111" i="30"/>
  <c r="V100" i="30"/>
  <c r="AH101" i="30" s="1"/>
  <c r="BV24" i="30"/>
  <c r="BV28" i="30" s="1"/>
  <c r="BN81" i="30"/>
  <c r="BW92" i="30"/>
  <c r="BM76" i="30"/>
  <c r="BO81" i="30"/>
  <c r="BQ54" i="30"/>
  <c r="BO61" i="30"/>
  <c r="BU112" i="30"/>
  <c r="BU30" i="30"/>
  <c r="BV38" i="30"/>
  <c r="BV44" i="30" s="1"/>
  <c r="BJ100" i="30"/>
  <c r="BX101" i="30" s="1"/>
  <c r="BX104" i="30"/>
  <c r="BX15" i="30"/>
  <c r="BY101" i="30"/>
  <c r="BT64" i="30"/>
  <c r="BS64" i="30"/>
  <c r="BM64" i="30"/>
  <c r="BM57" i="30"/>
  <c r="BT57" i="30"/>
  <c r="BS57" i="30"/>
  <c r="BO31" i="30"/>
  <c r="BR113" i="30"/>
  <c r="BR17" i="30"/>
  <c r="BO66" i="30"/>
  <c r="BO71" i="30" s="1"/>
  <c r="BP45" i="30"/>
  <c r="BP48" i="30" s="1"/>
  <c r="BW105" i="30"/>
  <c r="BW23" i="30"/>
  <c r="AM100" i="30"/>
  <c r="BP110" i="30"/>
  <c r="BS74" i="30"/>
  <c r="BM74" i="30"/>
  <c r="BT74" i="30"/>
  <c r="BS39" i="30"/>
  <c r="BM39" i="30"/>
  <c r="BT39" i="30"/>
  <c r="BM50" i="30"/>
  <c r="BT50" i="30"/>
  <c r="BS50" i="30"/>
  <c r="BN45" i="30"/>
  <c r="BN48" i="30" s="1"/>
  <c r="BS21" i="30"/>
  <c r="BM21" i="30"/>
  <c r="BT21" i="30"/>
  <c r="BI100" i="30"/>
  <c r="BT26" i="30"/>
  <c r="BS26" i="30"/>
  <c r="BM26" i="30"/>
  <c r="BO105" i="30"/>
  <c r="W100" i="30"/>
  <c r="AI101" i="30" s="1"/>
  <c r="BV110" i="30"/>
  <c r="AX100" i="30"/>
  <c r="BU101" i="30" s="1"/>
  <c r="BS94" i="30"/>
  <c r="BT94" i="30"/>
  <c r="BM94" i="30"/>
  <c r="BM34" i="30"/>
  <c r="BT34" i="30"/>
  <c r="BS34" i="30"/>
  <c r="AF110" i="30"/>
  <c r="BO14" i="30"/>
  <c r="BO110" i="30" s="1"/>
  <c r="AQ110" i="30"/>
  <c r="BQ99" i="30"/>
  <c r="BQ92" i="30"/>
  <c r="BN92" i="30"/>
  <c r="BV86" i="30"/>
  <c r="BV92" i="30" s="1"/>
  <c r="BL67" i="30"/>
  <c r="BV93" i="30"/>
  <c r="BV99" i="30" s="1"/>
  <c r="BS80" i="30"/>
  <c r="BM80" i="30"/>
  <c r="BT80" i="30"/>
  <c r="BN66" i="30"/>
  <c r="BN71" i="30" s="1"/>
  <c r="AF112" i="30"/>
  <c r="BO29" i="30"/>
  <c r="BM62" i="30"/>
  <c r="BW107" i="30"/>
  <c r="AE112" i="30"/>
  <c r="BN29" i="30"/>
  <c r="AE113" i="30"/>
  <c r="BN16" i="30"/>
  <c r="BR104" i="30"/>
  <c r="BR15" i="30"/>
  <c r="BT58" i="30"/>
  <c r="BS58" i="30"/>
  <c r="BM58" i="30"/>
  <c r="BQ105" i="30"/>
  <c r="BQ23" i="30"/>
  <c r="AF111" i="30"/>
  <c r="BO20" i="30"/>
  <c r="BO111" i="30" s="1"/>
  <c r="AQ111" i="30"/>
  <c r="AO113" i="30"/>
  <c r="BP16" i="30"/>
  <c r="AM103" i="30"/>
  <c r="BM49" i="30"/>
  <c r="AO110" i="30"/>
  <c r="BP75" i="30"/>
  <c r="BM42" i="30"/>
  <c r="BT42" i="30"/>
  <c r="BS42" i="30"/>
  <c r="BS33" i="30"/>
  <c r="BM33" i="30"/>
  <c r="BT33" i="30"/>
  <c r="BI103" i="30"/>
  <c r="W103" i="30"/>
  <c r="BK110" i="30"/>
  <c r="BO44" i="30"/>
  <c r="BX112" i="30"/>
  <c r="BX30" i="30"/>
  <c r="BN28" i="30"/>
  <c r="AX103" i="30"/>
  <c r="BT96" i="30"/>
  <c r="BS96" i="30"/>
  <c r="BM96" i="30"/>
  <c r="BM24" i="30"/>
  <c r="BM82" i="30"/>
  <c r="BM86" i="30"/>
  <c r="BV82" i="30"/>
  <c r="BV85" i="30" s="1"/>
  <c r="BO93" i="30"/>
  <c r="BO99" i="30" s="1"/>
  <c r="BP80" i="30"/>
  <c r="BP81" i="30" s="1"/>
  <c r="BM72" i="30"/>
  <c r="BM77" i="30"/>
  <c r="BT77" i="30"/>
  <c r="BS77" i="30"/>
  <c r="BM56" i="30"/>
  <c r="BT56" i="30"/>
  <c r="BS56" i="30"/>
  <c r="AE105" i="30"/>
  <c r="BN18" i="30"/>
  <c r="BM83" i="30"/>
  <c r="BS83" i="30"/>
  <c r="BT83" i="30"/>
  <c r="BQ107" i="30"/>
  <c r="BO113" i="30"/>
  <c r="BO17" i="30"/>
  <c r="BV71" i="30"/>
  <c r="BO54" i="30"/>
  <c r="BN38" i="30"/>
  <c r="BN44" i="30" s="1"/>
  <c r="BW112" i="30"/>
  <c r="BW30" i="30"/>
  <c r="BN110" i="30"/>
  <c r="BS55" i="30"/>
  <c r="BM43" i="30"/>
  <c r="BT43" i="30"/>
  <c r="BS43" i="30"/>
  <c r="BO65" i="30"/>
  <c r="AG107" i="30"/>
  <c r="BM32" i="30"/>
  <c r="AP111" i="30"/>
  <c r="BU104" i="30"/>
  <c r="BU15" i="30"/>
  <c r="BW37" i="30"/>
  <c r="BL42" i="30"/>
  <c r="BP99" i="30"/>
  <c r="BM78" i="30"/>
  <c r="BT78" i="30"/>
  <c r="BS78" i="30"/>
  <c r="BM36" i="30"/>
  <c r="BT36" i="30"/>
  <c r="BS36" i="30"/>
  <c r="AO111" i="30"/>
  <c r="AE104" i="30"/>
  <c r="BN12" i="30"/>
  <c r="BP66" i="30"/>
  <c r="BP71" i="30" s="1"/>
  <c r="BT79" i="30"/>
  <c r="BS79" i="30"/>
  <c r="BM79" i="30"/>
  <c r="BK112" i="30"/>
  <c r="BK100" i="30"/>
  <c r="BD16" i="47" s="1"/>
  <c r="BV29" i="30"/>
  <c r="BP105" i="30"/>
  <c r="BP23" i="30"/>
  <c r="BT55" i="30"/>
  <c r="BM98" i="30"/>
  <c r="BT98" i="30"/>
  <c r="BS98" i="30"/>
  <c r="BO92" i="30"/>
  <c r="BQ81" i="30"/>
  <c r="BO72" i="30"/>
  <c r="BO75" i="30" s="1"/>
  <c r="BN61" i="30"/>
  <c r="BO82" i="30"/>
  <c r="BO85" i="30" s="1"/>
  <c r="BV62" i="30"/>
  <c r="BV65" i="30" s="1"/>
  <c r="BR107" i="30"/>
  <c r="BT70" i="30"/>
  <c r="BS70" i="30"/>
  <c r="BM70" i="30"/>
  <c r="BS47" i="30"/>
  <c r="BM47" i="30"/>
  <c r="BT47" i="30"/>
  <c r="BK107" i="30"/>
  <c r="BV32" i="30"/>
  <c r="BV107" i="30" s="1"/>
  <c r="BW111" i="30"/>
  <c r="AQ113" i="30"/>
  <c r="BT52" i="30"/>
  <c r="BS52" i="30"/>
  <c r="BM52" i="30"/>
  <c r="BR105" i="30"/>
  <c r="BR23" i="30"/>
  <c r="BP65" i="30"/>
  <c r="BQ112" i="30"/>
  <c r="BQ30" i="30"/>
  <c r="AP110" i="30"/>
  <c r="BM35" i="30"/>
  <c r="BT35" i="30"/>
  <c r="BS35" i="30"/>
  <c r="BM31" i="30"/>
  <c r="BN54" i="30"/>
  <c r="AE107" i="30"/>
  <c r="BN111" i="30"/>
  <c r="BV15" i="30"/>
  <c r="BX23" i="30"/>
  <c r="BU107" i="30"/>
  <c r="AO107" i="30"/>
  <c r="BN37" i="30"/>
  <c r="BS27" i="30"/>
  <c r="BM27" i="30"/>
  <c r="BT27" i="30"/>
  <c r="BL22" i="30"/>
  <c r="AF104" i="30"/>
  <c r="BX37" i="30"/>
  <c r="BM13" i="30"/>
  <c r="BS13" i="30"/>
  <c r="BT13" i="30"/>
  <c r="BV186" i="29"/>
  <c r="BV192" i="29" s="1"/>
  <c r="BM181" i="29"/>
  <c r="BS181" i="29"/>
  <c r="BT181" i="29"/>
  <c r="BT172" i="29"/>
  <c r="BM172" i="29"/>
  <c r="BS172" i="29"/>
  <c r="BT152" i="29"/>
  <c r="BM152" i="29"/>
  <c r="BS152" i="29"/>
  <c r="BP103" i="29"/>
  <c r="BP108" i="29" s="1"/>
  <c r="BV72" i="29"/>
  <c r="BV75" i="29" s="1"/>
  <c r="V199" i="29"/>
  <c r="BM76" i="29"/>
  <c r="AM196" i="29"/>
  <c r="BQ185" i="29"/>
  <c r="BT129" i="29"/>
  <c r="BS129" i="29"/>
  <c r="BM129" i="29"/>
  <c r="AF208" i="29"/>
  <c r="BO139" i="29"/>
  <c r="W199" i="29"/>
  <c r="BT28" i="29"/>
  <c r="BS28" i="29"/>
  <c r="BM28" i="29"/>
  <c r="BM72" i="29"/>
  <c r="BO72" i="29"/>
  <c r="BO75" i="29" s="1"/>
  <c r="BN186" i="29"/>
  <c r="BN192" i="29" s="1"/>
  <c r="BT66" i="29"/>
  <c r="BS66" i="29"/>
  <c r="BM66" i="29"/>
  <c r="BM53" i="29"/>
  <c r="BP49" i="29"/>
  <c r="BP52" i="29" s="1"/>
  <c r="BP30" i="29"/>
  <c r="BP32" i="29" s="1"/>
  <c r="BO22" i="29"/>
  <c r="BO25" i="29" s="1"/>
  <c r="BK200" i="29"/>
  <c r="BV14" i="29"/>
  <c r="BX201" i="29"/>
  <c r="AF200" i="29"/>
  <c r="BS23" i="29"/>
  <c r="BM23" i="29"/>
  <c r="BT23" i="29"/>
  <c r="BW203" i="29"/>
  <c r="BW175" i="29"/>
  <c r="BP185" i="29"/>
  <c r="BP186" i="29"/>
  <c r="BP192" i="29" s="1"/>
  <c r="BW208" i="29"/>
  <c r="BW140" i="29"/>
  <c r="BO141" i="29"/>
  <c r="BO148" i="29" s="1"/>
  <c r="BQ155" i="29"/>
  <c r="BR208" i="29"/>
  <c r="BR140" i="29"/>
  <c r="BO138" i="29"/>
  <c r="BN165" i="29"/>
  <c r="BN168" i="29" s="1"/>
  <c r="BM118" i="29"/>
  <c r="BT118" i="29"/>
  <c r="BS118" i="29"/>
  <c r="BQ201" i="29"/>
  <c r="BQ90" i="29"/>
  <c r="BO57" i="29"/>
  <c r="BO59" i="29" s="1"/>
  <c r="BL93" i="29"/>
  <c r="BT133" i="29"/>
  <c r="BR207" i="29"/>
  <c r="BM143" i="29"/>
  <c r="BT143" i="29"/>
  <c r="BS143" i="29"/>
  <c r="BW132" i="29"/>
  <c r="BV168" i="29"/>
  <c r="BN108" i="29"/>
  <c r="BO97" i="29"/>
  <c r="BO102" i="29" s="1"/>
  <c r="BM64" i="29"/>
  <c r="BS55" i="29"/>
  <c r="BM55" i="29"/>
  <c r="BT55" i="29"/>
  <c r="BS43" i="29"/>
  <c r="BM43" i="29"/>
  <c r="BT43" i="29"/>
  <c r="BM136" i="29"/>
  <c r="BT136" i="29"/>
  <c r="BS136" i="29"/>
  <c r="BM100" i="29"/>
  <c r="BT100" i="29"/>
  <c r="BS100" i="29"/>
  <c r="BM94" i="29"/>
  <c r="BT94" i="29"/>
  <c r="BS94" i="29"/>
  <c r="BM82" i="29"/>
  <c r="BT82" i="29"/>
  <c r="BS82" i="29"/>
  <c r="BV41" i="29"/>
  <c r="BV44" i="29" s="1"/>
  <c r="BO18" i="29"/>
  <c r="BO21" i="29" s="1"/>
  <c r="BQ206" i="29"/>
  <c r="CE197" i="29"/>
  <c r="BP109" i="29"/>
  <c r="BP114" i="29" s="1"/>
  <c r="BO96" i="29"/>
  <c r="BP90" i="29"/>
  <c r="BM65" i="29"/>
  <c r="BT65" i="29"/>
  <c r="BS65" i="29"/>
  <c r="BN18" i="29"/>
  <c r="BN21" i="29" s="1"/>
  <c r="W196" i="29"/>
  <c r="AI197" i="29" s="1"/>
  <c r="AP206" i="29"/>
  <c r="BQ168" i="29"/>
  <c r="BM38" i="29"/>
  <c r="BT38" i="29"/>
  <c r="BS38" i="29"/>
  <c r="BO60" i="29"/>
  <c r="BO63" i="29" s="1"/>
  <c r="BP57" i="29"/>
  <c r="BP59" i="29" s="1"/>
  <c r="AM199" i="29"/>
  <c r="AN196" i="29"/>
  <c r="BR197" i="29" s="1"/>
  <c r="BR209" i="29"/>
  <c r="BR13" i="29"/>
  <c r="AF201" i="29"/>
  <c r="BO85" i="29"/>
  <c r="BM30" i="29"/>
  <c r="BP102" i="29"/>
  <c r="BV60" i="29"/>
  <c r="BV63" i="29" s="1"/>
  <c r="BP68" i="29"/>
  <c r="BP71" i="29" s="1"/>
  <c r="BO49" i="29"/>
  <c r="BO52" i="29" s="1"/>
  <c r="BP33" i="29"/>
  <c r="BP36" i="29" s="1"/>
  <c r="BJ199" i="29"/>
  <c r="BP63" i="29"/>
  <c r="BS183" i="29"/>
  <c r="BT183" i="29"/>
  <c r="BM183" i="29"/>
  <c r="BW164" i="29"/>
  <c r="BN169" i="29"/>
  <c r="BV126" i="29"/>
  <c r="BP149" i="29"/>
  <c r="BP155" i="29" s="1"/>
  <c r="BM142" i="29"/>
  <c r="BT142" i="29"/>
  <c r="BS142" i="29"/>
  <c r="AG208" i="29"/>
  <c r="BM139" i="29"/>
  <c r="BP127" i="29"/>
  <c r="BP132" i="29" s="1"/>
  <c r="BU201" i="29"/>
  <c r="BU90" i="29"/>
  <c r="BR201" i="29"/>
  <c r="BN80" i="29"/>
  <c r="BN84" i="29" s="1"/>
  <c r="BL51" i="29"/>
  <c r="BV22" i="29"/>
  <c r="BV25" i="29" s="1"/>
  <c r="BQ208" i="29"/>
  <c r="BQ140" i="29"/>
  <c r="BT166" i="29"/>
  <c r="BM166" i="29"/>
  <c r="BS166" i="29"/>
  <c r="BM146" i="29"/>
  <c r="BS146" i="29"/>
  <c r="BT146" i="29"/>
  <c r="BM174" i="29"/>
  <c r="BT174" i="29"/>
  <c r="BS174" i="29"/>
  <c r="BM147" i="29"/>
  <c r="BT147" i="29"/>
  <c r="BS147" i="29"/>
  <c r="BT144" i="29"/>
  <c r="BS144" i="29"/>
  <c r="BM144" i="29"/>
  <c r="BV108" i="29"/>
  <c r="BV97" i="29"/>
  <c r="BV102" i="29" s="1"/>
  <c r="BK201" i="29"/>
  <c r="BV85" i="29"/>
  <c r="BM109" i="29"/>
  <c r="BM114" i="29" s="1"/>
  <c r="BV120" i="29"/>
  <c r="BS151" i="29"/>
  <c r="BM151" i="29"/>
  <c r="BT151" i="29"/>
  <c r="BR108" i="29"/>
  <c r="BX206" i="29"/>
  <c r="BV209" i="29"/>
  <c r="BV13" i="29"/>
  <c r="BT45" i="29"/>
  <c r="BT48" i="29" s="1"/>
  <c r="BM62" i="29"/>
  <c r="BT62" i="29"/>
  <c r="BS62" i="29"/>
  <c r="BM77" i="29"/>
  <c r="BT77" i="29"/>
  <c r="BS77" i="29"/>
  <c r="BS61" i="29"/>
  <c r="BT61" i="29"/>
  <c r="BM61" i="29"/>
  <c r="BN37" i="29"/>
  <c r="BN40" i="29" s="1"/>
  <c r="BK206" i="29"/>
  <c r="BY197" i="29"/>
  <c r="AO201" i="29"/>
  <c r="BO67" i="29"/>
  <c r="BU17" i="29"/>
  <c r="BX200" i="29"/>
  <c r="BX17" i="29"/>
  <c r="AE209" i="29"/>
  <c r="BN12" i="29"/>
  <c r="BK207" i="29"/>
  <c r="BV88" i="29"/>
  <c r="BV207" i="29" s="1"/>
  <c r="BS73" i="29"/>
  <c r="BT73" i="29"/>
  <c r="BM73" i="29"/>
  <c r="AF206" i="29"/>
  <c r="BO16" i="29"/>
  <c r="BO206" i="29" s="1"/>
  <c r="AQ206" i="29"/>
  <c r="BL27" i="29"/>
  <c r="BQ209" i="29"/>
  <c r="BQ13" i="29"/>
  <c r="BM20" i="29"/>
  <c r="BT20" i="29"/>
  <c r="BS20" i="29"/>
  <c r="BS19" i="29"/>
  <c r="BM19" i="29"/>
  <c r="BT19" i="29"/>
  <c r="BT24" i="29"/>
  <c r="BS24" i="29"/>
  <c r="BM24" i="29"/>
  <c r="BS173" i="29"/>
  <c r="BM173" i="29"/>
  <c r="BT173" i="29"/>
  <c r="BS157" i="29"/>
  <c r="BT157" i="29"/>
  <c r="BM157" i="29"/>
  <c r="BT150" i="29"/>
  <c r="BS150" i="29"/>
  <c r="BM150" i="29"/>
  <c r="AO203" i="29"/>
  <c r="BP170" i="29"/>
  <c r="BP203" i="29" s="1"/>
  <c r="BN208" i="29"/>
  <c r="BN140" i="29"/>
  <c r="BP121" i="29"/>
  <c r="BP126" i="29" s="1"/>
  <c r="BQ132" i="29"/>
  <c r="AE207" i="29"/>
  <c r="BN88" i="29"/>
  <c r="BV37" i="29"/>
  <c r="BV40" i="29" s="1"/>
  <c r="BM149" i="29"/>
  <c r="AQ207" i="29"/>
  <c r="BO37" i="29"/>
  <c r="BO40" i="29" s="1"/>
  <c r="BP169" i="29"/>
  <c r="BM104" i="29"/>
  <c r="BT104" i="29"/>
  <c r="BS104" i="29"/>
  <c r="BV53" i="29"/>
  <c r="BV56" i="29" s="1"/>
  <c r="BM50" i="29"/>
  <c r="BS50" i="29"/>
  <c r="BT50" i="29"/>
  <c r="BS31" i="29"/>
  <c r="BT31" i="29"/>
  <c r="BM31" i="29"/>
  <c r="BP45" i="29"/>
  <c r="BP48" i="29" s="1"/>
  <c r="BP18" i="29"/>
  <c r="BQ200" i="29"/>
  <c r="BQ17" i="29"/>
  <c r="AO209" i="29"/>
  <c r="BP12" i="29"/>
  <c r="BM154" i="29"/>
  <c r="BT154" i="29"/>
  <c r="BS154" i="29"/>
  <c r="BS180" i="29"/>
  <c r="BL124" i="29"/>
  <c r="BM115" i="29"/>
  <c r="BW201" i="29"/>
  <c r="BW90" i="29"/>
  <c r="BP133" i="29"/>
  <c r="BP138" i="29" s="1"/>
  <c r="BT119" i="29"/>
  <c r="BS119" i="29"/>
  <c r="BM119" i="29"/>
  <c r="BN33" i="29"/>
  <c r="BN36" i="29" s="1"/>
  <c r="AE200" i="29"/>
  <c r="BN14" i="29"/>
  <c r="BO29" i="29"/>
  <c r="BN193" i="29"/>
  <c r="BN195" i="29" s="1"/>
  <c r="BM187" i="29"/>
  <c r="BT187" i="29"/>
  <c r="BS187" i="29"/>
  <c r="BM162" i="29"/>
  <c r="BT162" i="29"/>
  <c r="BS162" i="29"/>
  <c r="BM178" i="29"/>
  <c r="BT178" i="29"/>
  <c r="BS178" i="29"/>
  <c r="BN134" i="29"/>
  <c r="BN138" i="29" s="1"/>
  <c r="BN161" i="29"/>
  <c r="BN164" i="29" s="1"/>
  <c r="BS167" i="29"/>
  <c r="BM167" i="29"/>
  <c r="BT167" i="29"/>
  <c r="BV195" i="29"/>
  <c r="BQ175" i="29"/>
  <c r="BM158" i="29"/>
  <c r="BT158" i="29"/>
  <c r="BS158" i="29"/>
  <c r="BL150" i="29"/>
  <c r="BS145" i="29"/>
  <c r="BT145" i="29"/>
  <c r="BM145" i="29"/>
  <c r="BM171" i="29"/>
  <c r="BS171" i="29"/>
  <c r="BT171" i="29"/>
  <c r="BR126" i="29"/>
  <c r="BT125" i="29"/>
  <c r="BM125" i="29"/>
  <c r="BS125" i="29"/>
  <c r="AO207" i="29"/>
  <c r="BP64" i="29"/>
  <c r="BP67" i="29" s="1"/>
  <c r="BT137" i="29"/>
  <c r="BS137" i="29"/>
  <c r="BM137" i="29"/>
  <c r="BM122" i="29"/>
  <c r="BT122" i="29"/>
  <c r="BS122" i="29"/>
  <c r="BM103" i="29"/>
  <c r="AE201" i="29"/>
  <c r="BN85" i="29"/>
  <c r="BS45" i="29"/>
  <c r="BI196" i="29"/>
  <c r="BP80" i="29"/>
  <c r="BP84" i="29" s="1"/>
  <c r="BM92" i="29"/>
  <c r="BT92" i="29"/>
  <c r="BS92" i="29"/>
  <c r="BO207" i="29"/>
  <c r="BN49" i="29"/>
  <c r="BN52" i="29" s="1"/>
  <c r="BU209" i="29"/>
  <c r="BU13" i="29"/>
  <c r="BP141" i="29"/>
  <c r="BP148" i="29" s="1"/>
  <c r="BM60" i="29"/>
  <c r="BP25" i="29"/>
  <c r="BR200" i="29"/>
  <c r="BR17" i="29"/>
  <c r="BM105" i="29"/>
  <c r="BT105" i="29"/>
  <c r="BS105" i="29"/>
  <c r="BP165" i="29"/>
  <c r="BP168" i="29" s="1"/>
  <c r="BL31" i="29"/>
  <c r="AO206" i="29"/>
  <c r="BT101" i="29"/>
  <c r="BS101" i="29"/>
  <c r="BM101" i="29"/>
  <c r="BW207" i="29"/>
  <c r="BV76" i="29"/>
  <c r="BV79" i="29" s="1"/>
  <c r="BM70" i="29"/>
  <c r="BT70" i="29"/>
  <c r="BS70" i="29"/>
  <c r="BP37" i="29"/>
  <c r="BP40" i="29" s="1"/>
  <c r="BV26" i="29"/>
  <c r="BV29" i="29" s="1"/>
  <c r="BM15" i="29"/>
  <c r="BT15" i="29"/>
  <c r="BS15" i="29"/>
  <c r="BV71" i="29"/>
  <c r="BT191" i="29"/>
  <c r="BM191" i="29"/>
  <c r="BS191" i="29"/>
  <c r="BV160" i="29"/>
  <c r="BV164" i="29" s="1"/>
  <c r="BS163" i="29"/>
  <c r="BT163" i="29"/>
  <c r="BM163" i="29"/>
  <c r="BP115" i="29"/>
  <c r="BP120" i="29" s="1"/>
  <c r="BU200" i="29"/>
  <c r="BM135" i="29"/>
  <c r="BS135" i="29"/>
  <c r="BT135" i="29"/>
  <c r="BK208" i="29"/>
  <c r="BV139" i="29"/>
  <c r="BM121" i="29"/>
  <c r="AO208" i="29"/>
  <c r="BP139" i="29"/>
  <c r="BV149" i="29"/>
  <c r="BV155" i="29" s="1"/>
  <c r="BN114" i="29"/>
  <c r="BN155" i="29"/>
  <c r="BV127" i="29"/>
  <c r="BV132" i="29" s="1"/>
  <c r="BM117" i="29"/>
  <c r="BT117" i="29"/>
  <c r="BS117" i="29"/>
  <c r="BN97" i="29"/>
  <c r="BN102" i="29" s="1"/>
  <c r="BN79" i="29"/>
  <c r="BW206" i="29"/>
  <c r="BM87" i="29"/>
  <c r="BT87" i="29"/>
  <c r="BS87" i="29"/>
  <c r="BP193" i="29"/>
  <c r="BP195" i="29" s="1"/>
  <c r="BV180" i="29"/>
  <c r="BV185" i="29" s="1"/>
  <c r="AE203" i="29"/>
  <c r="BN170" i="29"/>
  <c r="BN203" i="29" s="1"/>
  <c r="BN176" i="29"/>
  <c r="BN179" i="29" s="1"/>
  <c r="BP176" i="29"/>
  <c r="BP179" i="29" s="1"/>
  <c r="BK203" i="29"/>
  <c r="BV156" i="29"/>
  <c r="BV159" i="29" s="1"/>
  <c r="BN126" i="29"/>
  <c r="BO160" i="29"/>
  <c r="BO164" i="29" s="1"/>
  <c r="BS156" i="29"/>
  <c r="BN141" i="29"/>
  <c r="BN148" i="29" s="1"/>
  <c r="BM127" i="29"/>
  <c r="BT180" i="29"/>
  <c r="BL131" i="29"/>
  <c r="BM128" i="29"/>
  <c r="BT128" i="29"/>
  <c r="BS128" i="29"/>
  <c r="BV91" i="29"/>
  <c r="BV96" i="29" s="1"/>
  <c r="AF203" i="29"/>
  <c r="BO170" i="29"/>
  <c r="BO203" i="29" s="1"/>
  <c r="AQ203" i="29"/>
  <c r="BN130" i="29"/>
  <c r="BN132" i="29" s="1"/>
  <c r="BQ207" i="29"/>
  <c r="BM74" i="29"/>
  <c r="BT74" i="29"/>
  <c r="BS74" i="29"/>
  <c r="BL54" i="29"/>
  <c r="AX199" i="29"/>
  <c r="AF209" i="29"/>
  <c r="BO12" i="29"/>
  <c r="BX207" i="29"/>
  <c r="BM69" i="29"/>
  <c r="BT69" i="29"/>
  <c r="BS69" i="29"/>
  <c r="BP206" i="29"/>
  <c r="AN199" i="29"/>
  <c r="BM86" i="29"/>
  <c r="BT86" i="29"/>
  <c r="BS86" i="29"/>
  <c r="BV64" i="29"/>
  <c r="BV67" i="29" s="1"/>
  <c r="BM26" i="29"/>
  <c r="BT99" i="29"/>
  <c r="BS99" i="29"/>
  <c r="BM99" i="29"/>
  <c r="BN91" i="29"/>
  <c r="BN96" i="29" s="1"/>
  <c r="BV84" i="29"/>
  <c r="BN68" i="29"/>
  <c r="BN71" i="29" s="1"/>
  <c r="BM41" i="29"/>
  <c r="BM44" i="29" s="1"/>
  <c r="BW200" i="29"/>
  <c r="BW17" i="29"/>
  <c r="V196" i="29"/>
  <c r="AH197" i="29" s="1"/>
  <c r="BN206" i="29"/>
  <c r="BV36" i="29"/>
  <c r="BV21" i="29"/>
  <c r="AY82" i="30" l="1"/>
  <c r="BS71" i="32"/>
  <c r="AY110" i="32"/>
  <c r="AR178" i="32"/>
  <c r="AY278" i="32"/>
  <c r="AR92" i="30"/>
  <c r="AY80" i="29"/>
  <c r="AY14" i="29"/>
  <c r="AY169" i="29"/>
  <c r="AY91" i="29"/>
  <c r="AY96" i="29" s="1"/>
  <c r="BS133" i="29"/>
  <c r="AY133" i="29"/>
  <c r="AY138" i="29" s="1"/>
  <c r="AY85" i="44"/>
  <c r="AY88" i="44" s="1"/>
  <c r="AY222" i="43"/>
  <c r="AS227" i="43"/>
  <c r="AS233" i="43"/>
  <c r="AT278" i="43"/>
  <c r="AY424" i="43"/>
  <c r="AY430" i="43" s="1"/>
  <c r="AY348" i="43"/>
  <c r="AY353" i="43" s="1"/>
  <c r="AY269" i="43"/>
  <c r="AY274" i="43" s="1"/>
  <c r="AY252" i="43"/>
  <c r="AY258" i="43" s="1"/>
  <c r="BS113" i="32"/>
  <c r="AY188" i="32"/>
  <c r="AY53" i="32"/>
  <c r="AY58" i="32" s="1"/>
  <c r="AY165" i="32"/>
  <c r="AY171" i="32" s="1"/>
  <c r="AY206" i="32"/>
  <c r="AY44" i="32"/>
  <c r="AY45" i="32" s="1"/>
  <c r="AY49" i="30"/>
  <c r="AY54" i="30" s="1"/>
  <c r="AY24" i="30"/>
  <c r="AY28" i="30" s="1"/>
  <c r="BT156" i="29"/>
  <c r="AY18" i="29"/>
  <c r="AY21" i="29" s="1"/>
  <c r="AY64" i="29"/>
  <c r="AY67" i="29" s="1"/>
  <c r="AY156" i="29"/>
  <c r="AY159" i="29" s="1"/>
  <c r="AY56" i="29"/>
  <c r="AS44" i="29"/>
  <c r="AY171" i="43"/>
  <c r="AY176" i="43" s="1"/>
  <c r="AY77" i="43"/>
  <c r="AY80" i="43" s="1"/>
  <c r="AY373" i="43"/>
  <c r="AY376" i="43" s="1"/>
  <c r="BM71" i="32"/>
  <c r="AY246" i="32"/>
  <c r="AY249" i="32" s="1"/>
  <c r="AY200" i="32"/>
  <c r="BO107" i="32"/>
  <c r="BM234" i="32"/>
  <c r="AR284" i="32"/>
  <c r="AS43" i="32"/>
  <c r="BS35" i="32"/>
  <c r="AY145" i="32"/>
  <c r="AY146" i="32" s="1"/>
  <c r="AY19" i="31"/>
  <c r="AY57" i="31"/>
  <c r="AR54" i="30"/>
  <c r="AY76" i="30"/>
  <c r="AY81" i="30" s="1"/>
  <c r="AY29" i="30"/>
  <c r="AY30" i="30" s="1"/>
  <c r="AY193" i="29"/>
  <c r="AY195" i="29" s="1"/>
  <c r="AY49" i="29"/>
  <c r="AY52" i="29" s="1"/>
  <c r="AO296" i="32"/>
  <c r="AY66" i="32"/>
  <c r="AY71" i="32" s="1"/>
  <c r="BT32" i="32"/>
  <c r="BT35" i="32" s="1"/>
  <c r="AF17" i="47"/>
  <c r="BQ75" i="31"/>
  <c r="AO75" i="31"/>
  <c r="BR75" i="31"/>
  <c r="AO102" i="30"/>
  <c r="AY103" i="29"/>
  <c r="AY108" i="29" s="1"/>
  <c r="AY217" i="32"/>
  <c r="AY220" i="32" s="1"/>
  <c r="AO295" i="32"/>
  <c r="AY178" i="32"/>
  <c r="AY78" i="32"/>
  <c r="AY84" i="32" s="1"/>
  <c r="AY43" i="32"/>
  <c r="AY189" i="32"/>
  <c r="AY195" i="32" s="1"/>
  <c r="AY52" i="32"/>
  <c r="AY96" i="32"/>
  <c r="BM77" i="32"/>
  <c r="AY121" i="32"/>
  <c r="AY124" i="32" s="1"/>
  <c r="AY32" i="32"/>
  <c r="AY35" i="32" s="1"/>
  <c r="BB17" i="47"/>
  <c r="BK75" i="31"/>
  <c r="BW75" i="31"/>
  <c r="X17" i="47"/>
  <c r="BN75" i="31"/>
  <c r="AS30" i="30"/>
  <c r="BK102" i="30"/>
  <c r="AY45" i="30"/>
  <c r="AY48" i="30" s="1"/>
  <c r="AY18" i="30"/>
  <c r="AY23" i="30" s="1"/>
  <c r="AY44" i="30"/>
  <c r="AF16" i="47"/>
  <c r="AO101" i="30"/>
  <c r="BQ101" i="30"/>
  <c r="AS52" i="29"/>
  <c r="AY45" i="29"/>
  <c r="AY48" i="29" s="1"/>
  <c r="AY141" i="29"/>
  <c r="AY57" i="29"/>
  <c r="AY59" i="29" s="1"/>
  <c r="BS48" i="29"/>
  <c r="AY120" i="29"/>
  <c r="AY109" i="29"/>
  <c r="AY114" i="29" s="1"/>
  <c r="AF15" i="47"/>
  <c r="AO197" i="29"/>
  <c r="BQ197" i="29"/>
  <c r="AY44" i="29"/>
  <c r="AY59" i="32"/>
  <c r="AY65" i="32" s="1"/>
  <c r="BB18" i="47"/>
  <c r="BK295" i="32"/>
  <c r="BW295" i="32"/>
  <c r="BB16" i="47"/>
  <c r="BK101" i="30"/>
  <c r="BW101" i="30"/>
  <c r="BB15" i="47"/>
  <c r="BK197" i="29"/>
  <c r="BW197" i="29"/>
  <c r="AT376" i="43"/>
  <c r="AY234" i="43"/>
  <c r="AY239" i="43" s="1"/>
  <c r="AY89" i="43"/>
  <c r="AY92" i="43" s="1"/>
  <c r="AY261" i="43"/>
  <c r="AY264" i="43" s="1"/>
  <c r="AY299" i="43"/>
  <c r="AY300" i="43" s="1"/>
  <c r="AY301" i="43"/>
  <c r="AY307" i="43" s="1"/>
  <c r="AY65" i="43"/>
  <c r="AY68" i="43" s="1"/>
  <c r="AY459" i="43"/>
  <c r="AY461" i="43" s="1"/>
  <c r="AS353" i="43"/>
  <c r="AS300" i="43"/>
  <c r="AR49" i="44"/>
  <c r="AY98" i="44"/>
  <c r="AY31" i="43"/>
  <c r="AY339" i="43"/>
  <c r="AY347" i="43" s="1"/>
  <c r="AY61" i="43"/>
  <c r="AY64" i="43" s="1"/>
  <c r="AY462" i="43"/>
  <c r="AY465" i="43" s="1"/>
  <c r="AY177" i="43"/>
  <c r="AY182" i="43" s="1"/>
  <c r="AY40" i="43"/>
  <c r="AY43" i="43" s="1"/>
  <c r="AY452" i="43"/>
  <c r="AY458" i="43" s="1"/>
  <c r="AY190" i="43"/>
  <c r="AY196" i="43" s="1"/>
  <c r="AY377" i="43"/>
  <c r="AY378" i="43" s="1"/>
  <c r="AT31" i="43"/>
  <c r="AY240" i="43"/>
  <c r="AY245" i="43" s="1"/>
  <c r="AY19" i="43"/>
  <c r="AY22" i="43" s="1"/>
  <c r="AY197" i="43"/>
  <c r="AY202" i="43" s="1"/>
  <c r="AY324" i="43"/>
  <c r="AY100" i="43"/>
  <c r="AY372" i="43"/>
  <c r="AY251" i="43"/>
  <c r="AY108" i="43"/>
  <c r="AY111" i="43" s="1"/>
  <c r="AS22" i="43"/>
  <c r="AY112" i="43"/>
  <c r="AY115" i="43" s="1"/>
  <c r="AY233" i="43"/>
  <c r="AY105" i="44"/>
  <c r="AY110" i="44" s="1"/>
  <c r="AY64" i="44"/>
  <c r="AY70" i="44" s="1"/>
  <c r="AY71" i="44"/>
  <c r="AY77" i="44" s="1"/>
  <c r="AY111" i="44"/>
  <c r="AY112" i="44" s="1"/>
  <c r="AY28" i="44"/>
  <c r="AY56" i="44"/>
  <c r="AY84" i="44"/>
  <c r="AY135" i="43"/>
  <c r="AY141" i="43" s="1"/>
  <c r="AY50" i="43"/>
  <c r="AR461" i="43"/>
  <c r="AY208" i="43"/>
  <c r="AY53" i="43"/>
  <c r="AY325" i="43"/>
  <c r="AY326" i="43" s="1"/>
  <c r="AY361" i="43"/>
  <c r="AY365" i="43" s="1"/>
  <c r="AY285" i="43"/>
  <c r="AY127" i="43"/>
  <c r="AR88" i="43"/>
  <c r="AY85" i="43"/>
  <c r="AY88" i="43" s="1"/>
  <c r="AY18" i="43"/>
  <c r="AY72" i="43"/>
  <c r="AY76" i="43" s="1"/>
  <c r="AY315" i="43"/>
  <c r="AY318" i="43" s="1"/>
  <c r="AY69" i="43"/>
  <c r="AY71" i="43" s="1"/>
  <c r="AY268" i="43"/>
  <c r="AY60" i="43"/>
  <c r="AY105" i="43"/>
  <c r="AY107" i="43" s="1"/>
  <c r="BK76" i="31"/>
  <c r="AO76" i="31"/>
  <c r="AO198" i="29"/>
  <c r="BK198" i="29"/>
  <c r="AR159" i="43"/>
  <c r="AY154" i="43"/>
  <c r="AY159" i="43" s="1"/>
  <c r="AY189" i="43"/>
  <c r="AY27" i="43"/>
  <c r="AY101" i="43"/>
  <c r="AY104" i="43" s="1"/>
  <c r="AS104" i="43"/>
  <c r="AY39" i="43"/>
  <c r="AR409" i="43"/>
  <c r="AY403" i="43"/>
  <c r="AY409" i="43" s="1"/>
  <c r="AR290" i="43"/>
  <c r="AY286" i="43"/>
  <c r="AY290" i="43" s="1"/>
  <c r="AR164" i="43"/>
  <c r="AY160" i="43"/>
  <c r="AY164" i="43" s="1"/>
  <c r="AR122" i="43"/>
  <c r="AY119" i="43"/>
  <c r="AY122" i="43" s="1"/>
  <c r="AS314" i="43"/>
  <c r="AY308" i="43"/>
  <c r="AY314" i="43" s="1"/>
  <c r="AS134" i="43"/>
  <c r="AY128" i="43"/>
  <c r="AY134" i="43" s="1"/>
  <c r="AY451" i="43"/>
  <c r="AY148" i="43"/>
  <c r="AY153" i="43" s="1"/>
  <c r="AY291" i="43"/>
  <c r="AY298" i="43" s="1"/>
  <c r="AY410" i="43"/>
  <c r="AY416" i="43" s="1"/>
  <c r="AS416" i="43"/>
  <c r="AR96" i="43"/>
  <c r="AY93" i="43"/>
  <c r="AY96" i="43" s="1"/>
  <c r="AY392" i="43"/>
  <c r="AY395" i="43" s="1"/>
  <c r="AY227" i="43"/>
  <c r="AY209" i="43"/>
  <c r="AY215" i="43" s="1"/>
  <c r="AY386" i="43"/>
  <c r="AY391" i="43" s="1"/>
  <c r="AY147" i="43"/>
  <c r="AY35" i="43"/>
  <c r="AR84" i="43"/>
  <c r="AY81" i="43"/>
  <c r="AY84" i="43" s="1"/>
  <c r="AY331" i="43"/>
  <c r="AY334" i="43" s="1"/>
  <c r="AR47" i="43"/>
  <c r="AY44" i="43"/>
  <c r="AY47" i="43" s="1"/>
  <c r="AY170" i="43"/>
  <c r="AY116" i="43"/>
  <c r="AY118" i="43" s="1"/>
  <c r="AS118" i="43"/>
  <c r="AS402" i="43"/>
  <c r="AY396" i="43"/>
  <c r="AY402" i="43" s="1"/>
  <c r="AY216" i="43"/>
  <c r="AY221" i="43" s="1"/>
  <c r="AY354" i="43"/>
  <c r="AY360" i="43" s="1"/>
  <c r="AR360" i="43"/>
  <c r="AR437" i="43"/>
  <c r="AY431" i="43"/>
  <c r="AY437" i="43" s="1"/>
  <c r="AR444" i="43"/>
  <c r="AY438" i="43"/>
  <c r="AY444" i="43" s="1"/>
  <c r="AY335" i="43"/>
  <c r="AY338" i="43" s="1"/>
  <c r="AY278" i="43"/>
  <c r="AR330" i="43"/>
  <c r="AY327" i="43"/>
  <c r="AY330" i="43" s="1"/>
  <c r="AY379" i="43"/>
  <c r="AY385" i="43" s="1"/>
  <c r="AR260" i="43"/>
  <c r="AY259" i="43"/>
  <c r="AY260" i="43" s="1"/>
  <c r="AY56" i="43"/>
  <c r="AY417" i="43"/>
  <c r="AY423" i="43" s="1"/>
  <c r="AR423" i="43"/>
  <c r="AY35" i="44"/>
  <c r="AY63" i="44"/>
  <c r="AY128" i="44"/>
  <c r="AY113" i="44"/>
  <c r="AY121" i="44" s="1"/>
  <c r="AY19" i="44"/>
  <c r="AY36" i="44"/>
  <c r="AY42" i="44" s="1"/>
  <c r="AY103" i="44"/>
  <c r="AY104" i="44" s="1"/>
  <c r="AY99" i="44"/>
  <c r="AY102" i="44" s="1"/>
  <c r="AS102" i="44"/>
  <c r="AY49" i="44"/>
  <c r="AY192" i="29"/>
  <c r="AY165" i="29"/>
  <c r="AY168" i="29" s="1"/>
  <c r="AY102" i="29"/>
  <c r="AY63" i="29"/>
  <c r="AY175" i="29"/>
  <c r="BM185" i="29"/>
  <c r="AY148" i="29"/>
  <c r="AR40" i="29"/>
  <c r="AY37" i="29"/>
  <c r="AY40" i="29" s="1"/>
  <c r="AY30" i="29"/>
  <c r="AY32" i="29" s="1"/>
  <c r="AR155" i="29"/>
  <c r="AY149" i="29"/>
  <c r="AY155" i="29" s="1"/>
  <c r="AY76" i="29"/>
  <c r="AY79" i="29" s="1"/>
  <c r="AY84" i="29"/>
  <c r="AR75" i="29"/>
  <c r="AY72" i="29"/>
  <c r="AY75" i="29" s="1"/>
  <c r="AY90" i="29"/>
  <c r="AR179" i="29"/>
  <c r="AY176" i="29"/>
  <c r="AY179" i="29" s="1"/>
  <c r="AS29" i="29"/>
  <c r="AY26" i="29"/>
  <c r="AY29" i="29" s="1"/>
  <c r="AR71" i="29"/>
  <c r="AY68" i="29"/>
  <c r="AY71" i="29" s="1"/>
  <c r="AS25" i="29"/>
  <c r="AY22" i="29"/>
  <c r="AY25" i="29" s="1"/>
  <c r="AY33" i="29"/>
  <c r="AY36" i="29" s="1"/>
  <c r="AS36" i="29"/>
  <c r="AY185" i="29"/>
  <c r="AS164" i="29"/>
  <c r="AY160" i="29"/>
  <c r="AY164" i="29" s="1"/>
  <c r="AR126" i="29"/>
  <c r="AY121" i="29"/>
  <c r="AY126" i="29" s="1"/>
  <c r="AY17" i="29"/>
  <c r="AY132" i="29"/>
  <c r="AY12" i="29"/>
  <c r="AY13" i="29" s="1"/>
  <c r="AY62" i="30"/>
  <c r="AY65" i="30" s="1"/>
  <c r="AY85" i="30"/>
  <c r="AY71" i="30"/>
  <c r="BO37" i="30"/>
  <c r="AY93" i="30"/>
  <c r="AY99" i="30" s="1"/>
  <c r="AY75" i="30"/>
  <c r="AY92" i="30"/>
  <c r="AY15" i="30"/>
  <c r="AY16" i="30"/>
  <c r="AY17" i="30" s="1"/>
  <c r="AY55" i="30"/>
  <c r="AY61" i="30" s="1"/>
  <c r="AY52" i="31"/>
  <c r="AY43" i="31"/>
  <c r="AY73" i="31"/>
  <c r="AY48" i="31"/>
  <c r="AY64" i="31"/>
  <c r="AY15" i="31"/>
  <c r="AY23" i="31"/>
  <c r="AY32" i="31"/>
  <c r="AY38" i="31"/>
  <c r="AY14" i="32"/>
  <c r="AY17" i="32" s="1"/>
  <c r="AR17" i="32"/>
  <c r="AY196" i="32"/>
  <c r="AY199" i="32" s="1"/>
  <c r="AS109" i="32"/>
  <c r="AY108" i="32"/>
  <c r="AY109" i="32" s="1"/>
  <c r="AY147" i="32"/>
  <c r="AY150" i="32" s="1"/>
  <c r="AY113" i="32"/>
  <c r="AY107" i="32"/>
  <c r="AY205" i="32"/>
  <c r="AY28" i="32"/>
  <c r="AY31" i="32" s="1"/>
  <c r="AY23" i="32"/>
  <c r="AY27" i="32" s="1"/>
  <c r="AY239" i="32"/>
  <c r="AY245" i="32" s="1"/>
  <c r="AY179" i="32"/>
  <c r="AY182" i="32" s="1"/>
  <c r="AS182" i="32"/>
  <c r="AR90" i="32"/>
  <c r="AY85" i="32"/>
  <c r="AY90" i="32" s="1"/>
  <c r="AY18" i="32"/>
  <c r="AY22" i="32" s="1"/>
  <c r="AY284" i="32"/>
  <c r="AY228" i="32"/>
  <c r="AY234" i="32" s="1"/>
  <c r="AR234" i="32"/>
  <c r="AY36" i="32"/>
  <c r="AY39" i="32" s="1"/>
  <c r="AY151" i="32"/>
  <c r="AY157" i="32" s="1"/>
  <c r="AY271" i="32"/>
  <c r="AY277" i="32" s="1"/>
  <c r="AY285" i="32"/>
  <c r="AY291" i="32" s="1"/>
  <c r="AY138" i="32"/>
  <c r="AY144" i="32" s="1"/>
  <c r="AY238" i="32"/>
  <c r="AR137" i="32"/>
  <c r="AY131" i="32"/>
  <c r="AY137" i="32" s="1"/>
  <c r="AY250" i="32"/>
  <c r="AY256" i="32" s="1"/>
  <c r="AS130" i="32"/>
  <c r="AY125" i="32"/>
  <c r="AY130" i="32" s="1"/>
  <c r="AY77" i="32"/>
  <c r="AY158" i="32"/>
  <c r="AY164" i="32" s="1"/>
  <c r="AY264" i="32"/>
  <c r="AY270" i="32" s="1"/>
  <c r="BM291" i="32"/>
  <c r="AY214" i="32"/>
  <c r="AY215" i="32"/>
  <c r="AY216" i="32" s="1"/>
  <c r="AR227" i="32"/>
  <c r="AY221" i="32"/>
  <c r="AY227" i="32" s="1"/>
  <c r="AY257" i="32"/>
  <c r="AY263" i="32" s="1"/>
  <c r="AR120" i="32"/>
  <c r="AY114" i="32"/>
  <c r="AY120" i="32" s="1"/>
  <c r="BT77" i="32"/>
  <c r="BR77" i="31"/>
  <c r="BU100" i="30"/>
  <c r="BN16" i="47" s="1"/>
  <c r="BW196" i="29"/>
  <c r="BX196" i="29"/>
  <c r="BQ15" i="47" s="1"/>
  <c r="BC15" i="47"/>
  <c r="BO104" i="30"/>
  <c r="BW100" i="30"/>
  <c r="BP79" i="31"/>
  <c r="BM52" i="31"/>
  <c r="BN78" i="31"/>
  <c r="BX294" i="32"/>
  <c r="BQ18" i="47" s="1"/>
  <c r="BM195" i="32"/>
  <c r="BM137" i="32"/>
  <c r="BS77" i="32"/>
  <c r="BT113" i="32"/>
  <c r="AE297" i="32"/>
  <c r="BK297" i="32"/>
  <c r="AG18" i="47"/>
  <c r="AO297" i="32"/>
  <c r="Y18" i="47"/>
  <c r="O18" i="47"/>
  <c r="BC17" i="47"/>
  <c r="O17" i="47"/>
  <c r="AQ17" i="47"/>
  <c r="AG17" i="47"/>
  <c r="P17" i="47"/>
  <c r="AQ16" i="47"/>
  <c r="BC16" i="47"/>
  <c r="O16" i="47"/>
  <c r="P16" i="47"/>
  <c r="BN299" i="32"/>
  <c r="BN298" i="32"/>
  <c r="BM188" i="32"/>
  <c r="BU294" i="32"/>
  <c r="BN18" i="47" s="1"/>
  <c r="BO306" i="32"/>
  <c r="BV299" i="32"/>
  <c r="BO84" i="31"/>
  <c r="BQ100" i="30"/>
  <c r="BM61" i="30"/>
  <c r="BM92" i="30"/>
  <c r="O15" i="47"/>
  <c r="BL143" i="29"/>
  <c r="BL104" i="29"/>
  <c r="BM56" i="29"/>
  <c r="BL43" i="29"/>
  <c r="BL147" i="29"/>
  <c r="BP175" i="29"/>
  <c r="AQ15" i="47"/>
  <c r="BL145" i="29"/>
  <c r="AO199" i="29"/>
  <c r="BL154" i="29"/>
  <c r="BM126" i="29"/>
  <c r="BM159" i="29"/>
  <c r="BS185" i="29"/>
  <c r="BM155" i="29"/>
  <c r="BM32" i="29"/>
  <c r="BL129" i="29"/>
  <c r="BK196" i="29"/>
  <c r="BD15" i="47" s="1"/>
  <c r="BL117" i="29"/>
  <c r="AG15" i="47"/>
  <c r="BL65" i="29"/>
  <c r="P15" i="47"/>
  <c r="BL15" i="29"/>
  <c r="BL178" i="29"/>
  <c r="BL19" i="29"/>
  <c r="BM63" i="29"/>
  <c r="BL38" i="29"/>
  <c r="BL77" i="29"/>
  <c r="BL183" i="32"/>
  <c r="BT36" i="32"/>
  <c r="BT39" i="32" s="1"/>
  <c r="BM172" i="32"/>
  <c r="BM178" i="32" s="1"/>
  <c r="BS239" i="32"/>
  <c r="AG307" i="32"/>
  <c r="BM12" i="32"/>
  <c r="BT131" i="32"/>
  <c r="BT137" i="32" s="1"/>
  <c r="BL162" i="32"/>
  <c r="BT183" i="32"/>
  <c r="BT188" i="32" s="1"/>
  <c r="BK294" i="32"/>
  <c r="BD18" i="47" s="1"/>
  <c r="AF297" i="32"/>
  <c r="BS78" i="32"/>
  <c r="BS84" i="32" s="1"/>
  <c r="BL64" i="32"/>
  <c r="BT121" i="32"/>
  <c r="BT124" i="32" s="1"/>
  <c r="BM221" i="32"/>
  <c r="BM227" i="32" s="1"/>
  <c r="BL247" i="32"/>
  <c r="BL63" i="32"/>
  <c r="BP107" i="32"/>
  <c r="BS97" i="32"/>
  <c r="AP306" i="32"/>
  <c r="BT151" i="32"/>
  <c r="BT157" i="32" s="1"/>
  <c r="BL286" i="32"/>
  <c r="BT165" i="32"/>
  <c r="BT171" i="32" s="1"/>
  <c r="BL210" i="32"/>
  <c r="BM270" i="32"/>
  <c r="BM17" i="32"/>
  <c r="BN52" i="32"/>
  <c r="BT53" i="32"/>
  <c r="BT58" i="32" s="1"/>
  <c r="BL206" i="32"/>
  <c r="BL223" i="32"/>
  <c r="BL75" i="32"/>
  <c r="BM39" i="32"/>
  <c r="BP301" i="32"/>
  <c r="BP120" i="32"/>
  <c r="BT239" i="32"/>
  <c r="BT245" i="32" s="1"/>
  <c r="BS257" i="32"/>
  <c r="BS263" i="32" s="1"/>
  <c r="BS285" i="32"/>
  <c r="BS291" i="32" s="1"/>
  <c r="AQ299" i="32"/>
  <c r="AE294" i="32"/>
  <c r="BM138" i="32"/>
  <c r="BM144" i="32" s="1"/>
  <c r="BT189" i="32"/>
  <c r="BT195" i="32" s="1"/>
  <c r="BL225" i="32"/>
  <c r="BL20" i="32"/>
  <c r="BT18" i="32"/>
  <c r="BT22" i="32" s="1"/>
  <c r="BP58" i="32"/>
  <c r="BP299" i="32"/>
  <c r="BL117" i="32"/>
  <c r="BT78" i="32"/>
  <c r="BT84" i="32" s="1"/>
  <c r="BL148" i="32"/>
  <c r="BS234" i="32"/>
  <c r="BL89" i="32"/>
  <c r="BL95" i="32"/>
  <c r="AP303" i="32"/>
  <c r="BM124" i="32"/>
  <c r="BL175" i="32"/>
  <c r="BM207" i="32"/>
  <c r="BM214" i="32" s="1"/>
  <c r="BL253" i="32"/>
  <c r="BL21" i="32"/>
  <c r="BS85" i="32"/>
  <c r="BS91" i="32"/>
  <c r="BS96" i="32" s="1"/>
  <c r="BT97" i="32"/>
  <c r="BN306" i="32"/>
  <c r="BN109" i="32"/>
  <c r="BL177" i="32"/>
  <c r="BM157" i="32"/>
  <c r="BS235" i="32"/>
  <c r="BS238" i="32" s="1"/>
  <c r="BL261" i="32"/>
  <c r="BL46" i="32"/>
  <c r="BL83" i="32"/>
  <c r="BM171" i="32"/>
  <c r="BL181" i="32"/>
  <c r="BM215" i="32"/>
  <c r="BM216" i="32" s="1"/>
  <c r="BS242" i="32"/>
  <c r="BL242" i="32"/>
  <c r="BT264" i="32"/>
  <c r="BT270" i="32" s="1"/>
  <c r="BO304" i="32"/>
  <c r="BM58" i="32"/>
  <c r="BL80" i="32"/>
  <c r="BM300" i="32"/>
  <c r="BL16" i="32"/>
  <c r="BS36" i="32"/>
  <c r="BS39" i="32" s="1"/>
  <c r="BL166" i="32"/>
  <c r="BM245" i="32"/>
  <c r="BM263" i="32"/>
  <c r="BL281" i="32"/>
  <c r="BT285" i="32"/>
  <c r="BT291" i="32" s="1"/>
  <c r="BT41" i="32"/>
  <c r="BM41" i="32"/>
  <c r="BM43" i="32" s="1"/>
  <c r="BS41" i="32"/>
  <c r="AG299" i="32"/>
  <c r="BM47" i="32"/>
  <c r="AP307" i="32"/>
  <c r="AG301" i="32"/>
  <c r="BM115" i="32"/>
  <c r="BM301" i="32" s="1"/>
  <c r="BM22" i="32"/>
  <c r="BT147" i="32"/>
  <c r="BT150" i="32" s="1"/>
  <c r="BL70" i="32"/>
  <c r="BX297" i="32"/>
  <c r="AQ300" i="32"/>
  <c r="AP299" i="32"/>
  <c r="BM28" i="32"/>
  <c r="BM31" i="32" s="1"/>
  <c r="AG306" i="32"/>
  <c r="BM108" i="32"/>
  <c r="BS169" i="32"/>
  <c r="BL169" i="32"/>
  <c r="BL219" i="32"/>
  <c r="BM249" i="32"/>
  <c r="BT250" i="32"/>
  <c r="BT256" i="32" s="1"/>
  <c r="BU297" i="32"/>
  <c r="BS40" i="32"/>
  <c r="BV107" i="32"/>
  <c r="BS165" i="32"/>
  <c r="BL230" i="32"/>
  <c r="BL240" i="32"/>
  <c r="BL276" i="32"/>
  <c r="BS264" i="32"/>
  <c r="BS270" i="32" s="1"/>
  <c r="BL57" i="32"/>
  <c r="BL237" i="32"/>
  <c r="AS300" i="32"/>
  <c r="BS99" i="32"/>
  <c r="BS300" i="32" s="1"/>
  <c r="AR304" i="32"/>
  <c r="BS158" i="32"/>
  <c r="BS164" i="32" s="1"/>
  <c r="BT257" i="32"/>
  <c r="BT263" i="32" s="1"/>
  <c r="BL37" i="32"/>
  <c r="BO299" i="32"/>
  <c r="BO52" i="32"/>
  <c r="BN307" i="32"/>
  <c r="BN13" i="32"/>
  <c r="AQ301" i="32"/>
  <c r="BS131" i="32"/>
  <c r="BS137" i="32" s="1"/>
  <c r="BM196" i="32"/>
  <c r="BM199" i="32" s="1"/>
  <c r="BS217" i="32"/>
  <c r="BS220" i="32" s="1"/>
  <c r="BP307" i="32"/>
  <c r="BP13" i="32"/>
  <c r="BQ297" i="32"/>
  <c r="BM84" i="32"/>
  <c r="BL126" i="32"/>
  <c r="BL122" i="32"/>
  <c r="BS145" i="32"/>
  <c r="BS146" i="32" s="1"/>
  <c r="BL42" i="32"/>
  <c r="AG303" i="32"/>
  <c r="BM101" i="32"/>
  <c r="BM303" i="32" s="1"/>
  <c r="BL241" i="32"/>
  <c r="BR297" i="32"/>
  <c r="AG305" i="32"/>
  <c r="BM50" i="32"/>
  <c r="BM305" i="32" s="1"/>
  <c r="BT85" i="32"/>
  <c r="BT91" i="32"/>
  <c r="BT96" i="32" s="1"/>
  <c r="BM200" i="32"/>
  <c r="BM205" i="32" s="1"/>
  <c r="BS246" i="32"/>
  <c r="BS249" i="32" s="1"/>
  <c r="BM256" i="32"/>
  <c r="BS16" i="32"/>
  <c r="BL29" i="32"/>
  <c r="BT40" i="32"/>
  <c r="BL154" i="32"/>
  <c r="BL236" i="32"/>
  <c r="BL24" i="32"/>
  <c r="BL167" i="32"/>
  <c r="AQ304" i="32"/>
  <c r="BL243" i="32"/>
  <c r="BL153" i="32"/>
  <c r="AT300" i="32"/>
  <c r="BT99" i="32"/>
  <c r="BT300" i="32" s="1"/>
  <c r="AT298" i="32"/>
  <c r="BM23" i="32"/>
  <c r="BM27" i="32" s="1"/>
  <c r="BM59" i="32"/>
  <c r="BM65" i="32" s="1"/>
  <c r="BM164" i="32"/>
  <c r="BP298" i="32"/>
  <c r="BP17" i="32"/>
  <c r="BM220" i="32"/>
  <c r="BL265" i="32"/>
  <c r="BS18" i="32"/>
  <c r="BS22" i="32" s="1"/>
  <c r="BT71" i="32"/>
  <c r="AO294" i="32"/>
  <c r="AH18" i="47" s="1"/>
  <c r="AQ298" i="32"/>
  <c r="AQ294" i="32"/>
  <c r="AJ18" i="47" s="1"/>
  <c r="BM150" i="32"/>
  <c r="BL139" i="32"/>
  <c r="BT145" i="32"/>
  <c r="BT146" i="32" s="1"/>
  <c r="BV306" i="32"/>
  <c r="BL213" i="32"/>
  <c r="BL248" i="32"/>
  <c r="BM278" i="32"/>
  <c r="BM284" i="32" s="1"/>
  <c r="BM44" i="32"/>
  <c r="BM45" i="32" s="1"/>
  <c r="BL168" i="32"/>
  <c r="BM271" i="32"/>
  <c r="BM277" i="32" s="1"/>
  <c r="BS279" i="32"/>
  <c r="BL279" i="32"/>
  <c r="BL38" i="32"/>
  <c r="BW294" i="32"/>
  <c r="BL81" i="32"/>
  <c r="AP305" i="32"/>
  <c r="BM96" i="32"/>
  <c r="BS151" i="32"/>
  <c r="BS157" i="32" s="1"/>
  <c r="BL259" i="32"/>
  <c r="BM238" i="32"/>
  <c r="BS250" i="32"/>
  <c r="BS256" i="32" s="1"/>
  <c r="BT16" i="32"/>
  <c r="BL187" i="32"/>
  <c r="BL204" i="32"/>
  <c r="BS14" i="32"/>
  <c r="BL152" i="32"/>
  <c r="AP298" i="32"/>
  <c r="BL176" i="32"/>
  <c r="BV298" i="32"/>
  <c r="BV17" i="32"/>
  <c r="BM114" i="32"/>
  <c r="BT98" i="32"/>
  <c r="BS98" i="32"/>
  <c r="BM98" i="32"/>
  <c r="BT158" i="32"/>
  <c r="BT164" i="32" s="1"/>
  <c r="BL49" i="32"/>
  <c r="BS30" i="32"/>
  <c r="BL30" i="32"/>
  <c r="BL68" i="32"/>
  <c r="BM125" i="32"/>
  <c r="BM130" i="32" s="1"/>
  <c r="BS183" i="32"/>
  <c r="BS188" i="32" s="1"/>
  <c r="BS189" i="32"/>
  <c r="BS195" i="32" s="1"/>
  <c r="BM179" i="32"/>
  <c r="BM182" i="32" s="1"/>
  <c r="BT217" i="32"/>
  <c r="BT220" i="32" s="1"/>
  <c r="BL19" i="32"/>
  <c r="BV307" i="32"/>
  <c r="BV13" i="32"/>
  <c r="BO298" i="32"/>
  <c r="BO17" i="32"/>
  <c r="BL136" i="32"/>
  <c r="BL142" i="32"/>
  <c r="BO120" i="32"/>
  <c r="BS147" i="32"/>
  <c r="BS150" i="32" s="1"/>
  <c r="BT234" i="32"/>
  <c r="BM292" i="32"/>
  <c r="BM293" i="32" s="1"/>
  <c r="BQ294" i="32"/>
  <c r="BW297" i="32"/>
  <c r="BS121" i="32"/>
  <c r="BS124" i="32" s="1"/>
  <c r="BL229" i="32"/>
  <c r="BL48" i="32"/>
  <c r="BL88" i="32"/>
  <c r="BS87" i="32"/>
  <c r="BM87" i="32"/>
  <c r="BM90" i="32" s="1"/>
  <c r="BT87" i="32"/>
  <c r="BP306" i="32"/>
  <c r="BP109" i="32"/>
  <c r="BL159" i="32"/>
  <c r="BT235" i="32"/>
  <c r="BT238" i="32" s="1"/>
  <c r="BT246" i="32"/>
  <c r="BT249" i="32" s="1"/>
  <c r="AP304" i="32"/>
  <c r="BR294" i="32"/>
  <c r="BK18" i="47" s="1"/>
  <c r="BV52" i="32"/>
  <c r="BN107" i="32"/>
  <c r="BL105" i="32"/>
  <c r="BL218" i="32"/>
  <c r="BL255" i="32"/>
  <c r="BT14" i="32"/>
  <c r="BL260" i="32"/>
  <c r="BS53" i="32"/>
  <c r="BS58" i="32" s="1"/>
  <c r="BL155" i="32"/>
  <c r="BL224" i="32"/>
  <c r="BL211" i="32"/>
  <c r="BL212" i="32"/>
  <c r="AO74" i="31"/>
  <c r="AH17" i="47" s="1"/>
  <c r="BM58" i="31"/>
  <c r="BM64" i="31" s="1"/>
  <c r="AQ84" i="31"/>
  <c r="AG85" i="31"/>
  <c r="BM30" i="31"/>
  <c r="BM85" i="31" s="1"/>
  <c r="BS16" i="31"/>
  <c r="BS19" i="31" s="1"/>
  <c r="BR74" i="31"/>
  <c r="BP86" i="31"/>
  <c r="BP40" i="31"/>
  <c r="BQ74" i="31"/>
  <c r="BJ17" i="47" s="1"/>
  <c r="BO78" i="31"/>
  <c r="BO15" i="31"/>
  <c r="BM87" i="31"/>
  <c r="BM25" i="31"/>
  <c r="AQ86" i="31"/>
  <c r="BL54" i="31"/>
  <c r="AP85" i="31"/>
  <c r="BQ77" i="31"/>
  <c r="BM65" i="31"/>
  <c r="BM67" i="31" s="1"/>
  <c r="AF74" i="31"/>
  <c r="BO75" i="31" s="1"/>
  <c r="BT26" i="31"/>
  <c r="BV78" i="31"/>
  <c r="BV15" i="31"/>
  <c r="BS52" i="31"/>
  <c r="AE77" i="31"/>
  <c r="AS87" i="31"/>
  <c r="BS24" i="31"/>
  <c r="BL59" i="31"/>
  <c r="BL51" i="31"/>
  <c r="BO79" i="31"/>
  <c r="BO32" i="31"/>
  <c r="BO86" i="31"/>
  <c r="BO40" i="31"/>
  <c r="BL50" i="31"/>
  <c r="BP81" i="31"/>
  <c r="BP48" i="31"/>
  <c r="BT16" i="31"/>
  <c r="BT19" i="31" s="1"/>
  <c r="BV79" i="31"/>
  <c r="BV32" i="31"/>
  <c r="AF77" i="31"/>
  <c r="BK74" i="31"/>
  <c r="BD17" i="47" s="1"/>
  <c r="AP86" i="31"/>
  <c r="BV86" i="31"/>
  <c r="BV40" i="31"/>
  <c r="BP78" i="31"/>
  <c r="BM20" i="31"/>
  <c r="BM23" i="31" s="1"/>
  <c r="AQ79" i="31"/>
  <c r="BN15" i="31"/>
  <c r="AP84" i="31"/>
  <c r="BV87" i="31"/>
  <c r="BV25" i="31"/>
  <c r="AG81" i="31"/>
  <c r="BM44" i="31"/>
  <c r="BM53" i="31"/>
  <c r="BM57" i="31" s="1"/>
  <c r="BV81" i="31"/>
  <c r="BV48" i="31"/>
  <c r="BL13" i="31"/>
  <c r="BM19" i="31"/>
  <c r="BW74" i="31"/>
  <c r="BT52" i="31"/>
  <c r="BL46" i="31"/>
  <c r="BL70" i="31"/>
  <c r="BL22" i="31"/>
  <c r="BK77" i="31"/>
  <c r="BT68" i="31"/>
  <c r="BT73" i="31" s="1"/>
  <c r="BU74" i="31"/>
  <c r="BN17" i="47" s="1"/>
  <c r="BL34" i="31"/>
  <c r="BN86" i="31"/>
  <c r="BN40" i="31"/>
  <c r="BS63" i="31"/>
  <c r="BL63" i="31"/>
  <c r="BL66" i="31"/>
  <c r="AS79" i="31"/>
  <c r="BM33" i="31"/>
  <c r="BM38" i="31" s="1"/>
  <c r="AT79" i="31"/>
  <c r="BL69" i="31"/>
  <c r="AO77" i="31"/>
  <c r="BM41" i="31"/>
  <c r="BM43" i="31" s="1"/>
  <c r="BN79" i="31"/>
  <c r="AG84" i="31"/>
  <c r="BM14" i="31"/>
  <c r="BM84" i="31" s="1"/>
  <c r="BN81" i="31"/>
  <c r="BN48" i="31"/>
  <c r="AR87" i="31"/>
  <c r="BX74" i="31"/>
  <c r="BQ17" i="47" s="1"/>
  <c r="BW77" i="31"/>
  <c r="AQ78" i="31"/>
  <c r="AQ74" i="31"/>
  <c r="AJ17" i="47" s="1"/>
  <c r="BS68" i="31"/>
  <c r="BS73" i="31" s="1"/>
  <c r="AT87" i="31"/>
  <c r="BT24" i="31"/>
  <c r="BU77" i="31"/>
  <c r="BL42" i="31"/>
  <c r="AG86" i="31"/>
  <c r="BM39" i="31"/>
  <c r="AR79" i="31"/>
  <c r="BL18" i="31"/>
  <c r="AP74" i="31"/>
  <c r="BL60" i="31"/>
  <c r="AR78" i="31"/>
  <c r="AP81" i="31"/>
  <c r="BP32" i="31"/>
  <c r="BX77" i="31"/>
  <c r="AG78" i="31"/>
  <c r="AG74" i="31"/>
  <c r="BM12" i="31"/>
  <c r="BS26" i="31"/>
  <c r="BM73" i="31"/>
  <c r="BN32" i="31"/>
  <c r="BP15" i="31"/>
  <c r="BM99" i="30"/>
  <c r="AF103" i="30"/>
  <c r="AG110" i="30"/>
  <c r="BM14" i="30"/>
  <c r="BM110" i="30" s="1"/>
  <c r="BL77" i="30"/>
  <c r="BL43" i="30"/>
  <c r="AE100" i="30"/>
  <c r="BM38" i="30"/>
  <c r="BM44" i="30" s="1"/>
  <c r="AG105" i="30"/>
  <c r="BM18" i="30"/>
  <c r="BS86" i="30"/>
  <c r="BS92" i="30" s="1"/>
  <c r="BT82" i="30"/>
  <c r="BT85" i="30" s="1"/>
  <c r="BT24" i="30"/>
  <c r="BT28" i="30" s="1"/>
  <c r="BP111" i="30"/>
  <c r="BS49" i="30"/>
  <c r="BS54" i="30" s="1"/>
  <c r="BL69" i="30"/>
  <c r="BR100" i="30"/>
  <c r="BM65" i="30"/>
  <c r="BL26" i="30"/>
  <c r="BL78" i="30"/>
  <c r="BS76" i="30"/>
  <c r="BS81" i="30" s="1"/>
  <c r="AO100" i="30"/>
  <c r="AH16" i="47" s="1"/>
  <c r="BL33" i="30"/>
  <c r="BS93" i="30"/>
  <c r="BS99" i="30" s="1"/>
  <c r="BN112" i="30"/>
  <c r="BN30" i="30"/>
  <c r="BL36" i="30"/>
  <c r="BS31" i="30"/>
  <c r="BL59" i="30"/>
  <c r="BL88" i="30"/>
  <c r="BT61" i="30"/>
  <c r="AF100" i="30"/>
  <c r="BO101" i="30" s="1"/>
  <c r="AE103" i="30"/>
  <c r="BS32" i="30"/>
  <c r="AP105" i="30"/>
  <c r="BM85" i="30"/>
  <c r="BM28" i="30"/>
  <c r="BL13" i="30"/>
  <c r="BT49" i="30"/>
  <c r="BT54" i="30" s="1"/>
  <c r="BR103" i="30"/>
  <c r="BL52" i="30"/>
  <c r="BL39" i="30"/>
  <c r="BO23" i="30"/>
  <c r="BM45" i="30"/>
  <c r="BM48" i="30" s="1"/>
  <c r="BL35" i="30"/>
  <c r="BX100" i="30"/>
  <c r="BT76" i="30"/>
  <c r="BT81" i="30" s="1"/>
  <c r="AO103" i="30"/>
  <c r="BK103" i="30"/>
  <c r="AQ107" i="30"/>
  <c r="BQ103" i="30"/>
  <c r="BS24" i="30"/>
  <c r="BS28" i="30" s="1"/>
  <c r="BP113" i="30"/>
  <c r="BP17" i="30"/>
  <c r="BT62" i="30"/>
  <c r="BT65" i="30" s="1"/>
  <c r="BV104" i="30"/>
  <c r="BT32" i="30"/>
  <c r="BN105" i="30"/>
  <c r="BN23" i="30"/>
  <c r="BL79" i="30"/>
  <c r="BS72" i="30"/>
  <c r="BS75" i="30" s="1"/>
  <c r="BT86" i="30"/>
  <c r="BT92" i="30" s="1"/>
  <c r="BL64" i="30"/>
  <c r="BM54" i="30"/>
  <c r="AP113" i="30"/>
  <c r="BL47" i="30"/>
  <c r="BL98" i="30"/>
  <c r="BX103" i="30"/>
  <c r="BM81" i="30"/>
  <c r="BW103" i="30"/>
  <c r="BO107" i="30"/>
  <c r="BT93" i="30"/>
  <c r="BT99" i="30" s="1"/>
  <c r="BS61" i="30"/>
  <c r="BO112" i="30"/>
  <c r="BO30" i="30"/>
  <c r="BP104" i="30"/>
  <c r="BP15" i="30"/>
  <c r="BL63" i="30"/>
  <c r="BT31" i="30"/>
  <c r="AR110" i="30"/>
  <c r="BN104" i="30"/>
  <c r="BN15" i="30"/>
  <c r="BP107" i="30"/>
  <c r="BU103" i="30"/>
  <c r="BL34" i="30"/>
  <c r="BT72" i="30"/>
  <c r="BT75" i="30" s="1"/>
  <c r="BS82" i="30"/>
  <c r="BS85" i="30" s="1"/>
  <c r="BL70" i="30"/>
  <c r="BL27" i="30"/>
  <c r="BN113" i="30"/>
  <c r="BN17" i="30"/>
  <c r="AG112" i="30"/>
  <c r="BM29" i="30"/>
  <c r="AQ104" i="30"/>
  <c r="BL96" i="30"/>
  <c r="BL21" i="30"/>
  <c r="BV105" i="30"/>
  <c r="BV23" i="30"/>
  <c r="BV37" i="30"/>
  <c r="BL80" i="30"/>
  <c r="BM111" i="30"/>
  <c r="AG104" i="30"/>
  <c r="BM12" i="30"/>
  <c r="BL58" i="30"/>
  <c r="AT111" i="30"/>
  <c r="BT20" i="30"/>
  <c r="BT111" i="30" s="1"/>
  <c r="BM37" i="30"/>
  <c r="BL56" i="30"/>
  <c r="BV112" i="30"/>
  <c r="BV30" i="30"/>
  <c r="AP104" i="30"/>
  <c r="AR111" i="30"/>
  <c r="BM75" i="30"/>
  <c r="BL94" i="30"/>
  <c r="BN107" i="30"/>
  <c r="AG113" i="30"/>
  <c r="BM16" i="30"/>
  <c r="AP112" i="30"/>
  <c r="BS62" i="30"/>
  <c r="BS65" i="30" s="1"/>
  <c r="AQ112" i="30"/>
  <c r="BM66" i="30"/>
  <c r="BM71" i="30" s="1"/>
  <c r="AP107" i="30"/>
  <c r="BO15" i="30"/>
  <c r="AS111" i="30"/>
  <c r="BS20" i="30"/>
  <c r="BS111" i="30" s="1"/>
  <c r="AG201" i="29"/>
  <c r="BM85" i="29"/>
  <c r="AQ200" i="29"/>
  <c r="BP201" i="29"/>
  <c r="BL146" i="29"/>
  <c r="BT41" i="29"/>
  <c r="BT44" i="29" s="1"/>
  <c r="BL122" i="29"/>
  <c r="BM141" i="29"/>
  <c r="BM148" i="29" s="1"/>
  <c r="BL163" i="29"/>
  <c r="BS60" i="29"/>
  <c r="BS63" i="29" s="1"/>
  <c r="BL74" i="29"/>
  <c r="AF199" i="29"/>
  <c r="BL128" i="29"/>
  <c r="AG206" i="29"/>
  <c r="BM16" i="29"/>
  <c r="BM206" i="29" s="1"/>
  <c r="BS26" i="29"/>
  <c r="BS29" i="29" s="1"/>
  <c r="BS127" i="29"/>
  <c r="BM97" i="29"/>
  <c r="BM102" i="29" s="1"/>
  <c r="BV208" i="29"/>
  <c r="BV140" i="29"/>
  <c r="BT159" i="29"/>
  <c r="BL20" i="29"/>
  <c r="BT60" i="29"/>
  <c r="BT63" i="29" s="1"/>
  <c r="BS103" i="29"/>
  <c r="BS108" i="29" s="1"/>
  <c r="BS161" i="29"/>
  <c r="BT161" i="29"/>
  <c r="BM161" i="29"/>
  <c r="BM193" i="29"/>
  <c r="BM195" i="29" s="1"/>
  <c r="AG200" i="29"/>
  <c r="BM14" i="29"/>
  <c r="BM33" i="29"/>
  <c r="BM36" i="29" s="1"/>
  <c r="BT115" i="29"/>
  <c r="BT120" i="29" s="1"/>
  <c r="BL55" i="29"/>
  <c r="AE196" i="29"/>
  <c r="BM37" i="29"/>
  <c r="BM40" i="29" s="1"/>
  <c r="AT208" i="29"/>
  <c r="BT139" i="29"/>
  <c r="BN175" i="29"/>
  <c r="BM18" i="29"/>
  <c r="BM21" i="29" s="1"/>
  <c r="BL162" i="29"/>
  <c r="BL144" i="29"/>
  <c r="BM165" i="29"/>
  <c r="BM168" i="29" s="1"/>
  <c r="BL173" i="29"/>
  <c r="BL24" i="29"/>
  <c r="BM186" i="29"/>
  <c r="BM192" i="29" s="1"/>
  <c r="BM75" i="29"/>
  <c r="BS76" i="29"/>
  <c r="BS79" i="29" s="1"/>
  <c r="BL167" i="29"/>
  <c r="BS41" i="29"/>
  <c r="BS44" i="29" s="1"/>
  <c r="BM68" i="29"/>
  <c r="BM71" i="29" s="1"/>
  <c r="BM176" i="29"/>
  <c r="BM179" i="29" s="1"/>
  <c r="BO208" i="29"/>
  <c r="BO140" i="29"/>
  <c r="BP209" i="29"/>
  <c r="BP13" i="29"/>
  <c r="BL187" i="29"/>
  <c r="BL118" i="29"/>
  <c r="BL23" i="29"/>
  <c r="BL135" i="29"/>
  <c r="BT26" i="29"/>
  <c r="BT29" i="29" s="1"/>
  <c r="BM22" i="29"/>
  <c r="BM25" i="29" s="1"/>
  <c r="AQ209" i="29"/>
  <c r="BM130" i="29"/>
  <c r="BM132" i="29" s="1"/>
  <c r="BS130" i="29"/>
  <c r="BT130" i="29"/>
  <c r="BT127" i="29"/>
  <c r="AG203" i="29"/>
  <c r="BM170" i="29"/>
  <c r="BM203" i="29" s="1"/>
  <c r="BL119" i="29"/>
  <c r="BT121" i="29"/>
  <c r="BT126" i="29" s="1"/>
  <c r="BU199" i="29"/>
  <c r="BL50" i="29"/>
  <c r="BR199" i="29"/>
  <c r="AP201" i="29"/>
  <c r="BT103" i="29"/>
  <c r="BT108" i="29" s="1"/>
  <c r="BL157" i="29"/>
  <c r="BL142" i="29"/>
  <c r="AP200" i="29"/>
  <c r="BM120" i="29"/>
  <c r="AG207" i="29"/>
  <c r="BM88" i="29"/>
  <c r="BQ196" i="29"/>
  <c r="BM80" i="29"/>
  <c r="BM84" i="29" s="1"/>
  <c r="BL105" i="29"/>
  <c r="BM208" i="29"/>
  <c r="BM140" i="29"/>
  <c r="BM169" i="29"/>
  <c r="BS30" i="29"/>
  <c r="BR196" i="29"/>
  <c r="BK15" i="47" s="1"/>
  <c r="BL101" i="29"/>
  <c r="BS64" i="29"/>
  <c r="BS67" i="29" s="1"/>
  <c r="BO17" i="29"/>
  <c r="BT76" i="29"/>
  <c r="BT79" i="29" s="1"/>
  <c r="BL69" i="29"/>
  <c r="AO196" i="29"/>
  <c r="AH15" i="47" s="1"/>
  <c r="BO201" i="29"/>
  <c r="BO90" i="29"/>
  <c r="BM160" i="29"/>
  <c r="BT109" i="29"/>
  <c r="BT114" i="29" s="1"/>
  <c r="BK199" i="29"/>
  <c r="BL99" i="29"/>
  <c r="BW199" i="29"/>
  <c r="BM29" i="29"/>
  <c r="BO209" i="29"/>
  <c r="BO13" i="29"/>
  <c r="BL156" i="29"/>
  <c r="BL152" i="29"/>
  <c r="AP203" i="29"/>
  <c r="BS121" i="29"/>
  <c r="BS126" i="29" s="1"/>
  <c r="BN201" i="29"/>
  <c r="BN90" i="29"/>
  <c r="BM108" i="29"/>
  <c r="BN200" i="29"/>
  <c r="BN17" i="29"/>
  <c r="BQ199" i="29"/>
  <c r="BL28" i="29"/>
  <c r="BS149" i="29"/>
  <c r="BS155" i="29" s="1"/>
  <c r="AP207" i="29"/>
  <c r="BL86" i="29"/>
  <c r="BL136" i="29"/>
  <c r="BV201" i="29"/>
  <c r="BV90" i="29"/>
  <c r="BL125" i="29"/>
  <c r="AS208" i="29"/>
  <c r="BS139" i="29"/>
  <c r="BT30" i="29"/>
  <c r="BT32" i="29" s="1"/>
  <c r="BL92" i="29"/>
  <c r="BT64" i="29"/>
  <c r="BT67" i="29" s="1"/>
  <c r="BL181" i="29"/>
  <c r="BS53" i="29"/>
  <c r="BS56" i="29" s="1"/>
  <c r="BL73" i="29"/>
  <c r="BO200" i="29"/>
  <c r="BS72" i="29"/>
  <c r="BS75" i="29" s="1"/>
  <c r="BL62" i="29"/>
  <c r="BM79" i="29"/>
  <c r="BL66" i="29"/>
  <c r="BP208" i="29"/>
  <c r="BP140" i="29"/>
  <c r="BL134" i="29"/>
  <c r="BM134" i="29"/>
  <c r="BM138" i="29" s="1"/>
  <c r="BN209" i="29"/>
  <c r="BN13" i="29"/>
  <c r="BS109" i="29"/>
  <c r="BS114" i="29" s="1"/>
  <c r="BL158" i="29"/>
  <c r="BS115" i="29"/>
  <c r="BS120" i="29" s="1"/>
  <c r="AG209" i="29"/>
  <c r="BM12" i="29"/>
  <c r="BL166" i="29"/>
  <c r="BM91" i="29"/>
  <c r="BM96" i="29" s="1"/>
  <c r="BL94" i="29"/>
  <c r="AF196" i="29"/>
  <c r="BO197" i="29" s="1"/>
  <c r="BT185" i="29"/>
  <c r="BS159" i="29"/>
  <c r="BU196" i="29"/>
  <c r="BN15" i="47" s="1"/>
  <c r="BM49" i="29"/>
  <c r="BM52" i="29" s="1"/>
  <c r="BV203" i="29"/>
  <c r="AE199" i="29"/>
  <c r="BP21" i="29"/>
  <c r="BP200" i="29"/>
  <c r="BT149" i="29"/>
  <c r="BT155" i="29" s="1"/>
  <c r="BN207" i="29"/>
  <c r="BO175" i="29"/>
  <c r="AP209" i="29"/>
  <c r="BX199" i="29"/>
  <c r="BL61" i="29"/>
  <c r="BL174" i="29"/>
  <c r="BL100" i="29"/>
  <c r="AQ201" i="29"/>
  <c r="BL82" i="29"/>
  <c r="BM67" i="29"/>
  <c r="BL151" i="29"/>
  <c r="BM57" i="29"/>
  <c r="BM59" i="29" s="1"/>
  <c r="BL171" i="29"/>
  <c r="BL183" i="29"/>
  <c r="BV200" i="29"/>
  <c r="BV17" i="29"/>
  <c r="BT53" i="29"/>
  <c r="BT56" i="29" s="1"/>
  <c r="BT72" i="29"/>
  <c r="BT75" i="29" s="1"/>
  <c r="AQ208" i="29"/>
  <c r="BL70" i="29"/>
  <c r="BL137" i="29"/>
  <c r="BV295" i="32" l="1"/>
  <c r="BV76" i="31"/>
  <c r="AG76" i="31"/>
  <c r="AG75" i="31"/>
  <c r="AR75" i="31"/>
  <c r="BK17" i="47"/>
  <c r="BP75" i="31"/>
  <c r="BP102" i="30"/>
  <c r="AG198" i="29"/>
  <c r="BV296" i="32"/>
  <c r="BJ18" i="47"/>
  <c r="BP295" i="32"/>
  <c r="BP17" i="47"/>
  <c r="BV75" i="31"/>
  <c r="Z17" i="47"/>
  <c r="BJ16" i="47"/>
  <c r="BP101" i="30"/>
  <c r="AG102" i="30"/>
  <c r="BV197" i="29"/>
  <c r="BP198" i="29"/>
  <c r="BJ15" i="47"/>
  <c r="BP197" i="29"/>
  <c r="X18" i="47"/>
  <c r="AG295" i="32"/>
  <c r="BN295" i="32"/>
  <c r="BP16" i="47"/>
  <c r="BV101" i="30"/>
  <c r="X16" i="47"/>
  <c r="AG101" i="30"/>
  <c r="BN101" i="30"/>
  <c r="BP15" i="47"/>
  <c r="X15" i="47"/>
  <c r="AG197" i="29"/>
  <c r="BN197" i="29"/>
  <c r="BP296" i="32"/>
  <c r="AG296" i="32"/>
  <c r="BP76" i="31"/>
  <c r="BV102" i="30"/>
  <c r="BV198" i="29"/>
  <c r="BP100" i="30"/>
  <c r="BI16" i="47" s="1"/>
  <c r="BM32" i="31"/>
  <c r="BS171" i="32"/>
  <c r="BP74" i="31"/>
  <c r="BI17" i="47" s="1"/>
  <c r="BM164" i="29"/>
  <c r="BT37" i="30"/>
  <c r="BN100" i="30"/>
  <c r="BM107" i="32"/>
  <c r="AP297" i="32"/>
  <c r="BO297" i="32"/>
  <c r="AG297" i="32"/>
  <c r="AP77" i="31"/>
  <c r="Y17" i="47"/>
  <c r="AG77" i="31"/>
  <c r="AQ77" i="31"/>
  <c r="BN77" i="31"/>
  <c r="AI17" i="47"/>
  <c r="Y16" i="47"/>
  <c r="BP18" i="47"/>
  <c r="BN297" i="32"/>
  <c r="BO294" i="32"/>
  <c r="BH18" i="47" s="1"/>
  <c r="BT43" i="32"/>
  <c r="BO103" i="30"/>
  <c r="BV100" i="30"/>
  <c r="BO16" i="47" s="1"/>
  <c r="BK16" i="47"/>
  <c r="BQ16" i="47"/>
  <c r="BS37" i="30"/>
  <c r="BV196" i="29"/>
  <c r="BO15" i="47" s="1"/>
  <c r="BL53" i="29"/>
  <c r="BL56" i="29" s="1"/>
  <c r="BT132" i="29"/>
  <c r="BL159" i="29"/>
  <c r="BS32" i="29"/>
  <c r="Y15" i="47"/>
  <c r="BO199" i="29"/>
  <c r="BP199" i="29"/>
  <c r="BL221" i="32"/>
  <c r="BL227" i="32" s="1"/>
  <c r="BL114" i="32"/>
  <c r="BL228" i="32"/>
  <c r="BL234" i="32" s="1"/>
  <c r="BL97" i="32"/>
  <c r="BL18" i="32"/>
  <c r="BL22" i="32" s="1"/>
  <c r="BT114" i="32"/>
  <c r="AQ297" i="32"/>
  <c r="BP297" i="32"/>
  <c r="BS23" i="32"/>
  <c r="BS27" i="32" s="1"/>
  <c r="BT90" i="32"/>
  <c r="BS196" i="32"/>
  <c r="BS199" i="32" s="1"/>
  <c r="AR301" i="32"/>
  <c r="BM306" i="32"/>
  <c r="BM109" i="32"/>
  <c r="BT28" i="32"/>
  <c r="BT31" i="32" s="1"/>
  <c r="AT299" i="32"/>
  <c r="BT47" i="32"/>
  <c r="BL40" i="32"/>
  <c r="BS207" i="32"/>
  <c r="BS214" i="32" s="1"/>
  <c r="BM307" i="32"/>
  <c r="BM13" i="32"/>
  <c r="BT172" i="32"/>
  <c r="BT178" i="32" s="1"/>
  <c r="BM304" i="32"/>
  <c r="BS125" i="32"/>
  <c r="BS130" i="32" s="1"/>
  <c r="BL235" i="32"/>
  <c r="BL238" i="32" s="1"/>
  <c r="BT271" i="32"/>
  <c r="BT277" i="32" s="1"/>
  <c r="BS44" i="32"/>
  <c r="BS45" i="32" s="1"/>
  <c r="BS278" i="32"/>
  <c r="BS284" i="32" s="1"/>
  <c r="BP294" i="32"/>
  <c r="BI18" i="47" s="1"/>
  <c r="BT196" i="32"/>
  <c r="BT199" i="32" s="1"/>
  <c r="BL36" i="32"/>
  <c r="BL39" i="32" s="1"/>
  <c r="AR300" i="32"/>
  <c r="AS301" i="32"/>
  <c r="BS115" i="32"/>
  <c r="BS301" i="32" s="1"/>
  <c r="AR307" i="32"/>
  <c r="AS299" i="32"/>
  <c r="BS47" i="32"/>
  <c r="BL147" i="32"/>
  <c r="BL150" i="32" s="1"/>
  <c r="BL264" i="32"/>
  <c r="BL270" i="32" s="1"/>
  <c r="AR306" i="32"/>
  <c r="BS221" i="32"/>
  <c r="BS227" i="32" s="1"/>
  <c r="BL257" i="32"/>
  <c r="BL263" i="32" s="1"/>
  <c r="BL145" i="32"/>
  <c r="BL146" i="32" s="1"/>
  <c r="BS292" i="32"/>
  <c r="BS293" i="32" s="1"/>
  <c r="BV294" i="32"/>
  <c r="BO18" i="47" s="1"/>
  <c r="BS179" i="32"/>
  <c r="BS182" i="32" s="1"/>
  <c r="BL189" i="32"/>
  <c r="BL195" i="32" s="1"/>
  <c r="BM120" i="32"/>
  <c r="BS17" i="32"/>
  <c r="BL87" i="32"/>
  <c r="BT44" i="32"/>
  <c r="BT45" i="32" s="1"/>
  <c r="BS59" i="32"/>
  <c r="BS65" i="32" s="1"/>
  <c r="AS304" i="32"/>
  <c r="BS200" i="32"/>
  <c r="BS205" i="32" s="1"/>
  <c r="BN294" i="32"/>
  <c r="BL66" i="32"/>
  <c r="BL71" i="32" s="1"/>
  <c r="AS306" i="32"/>
  <c r="BS108" i="32"/>
  <c r="BS28" i="32"/>
  <c r="BS31" i="32" s="1"/>
  <c r="BL131" i="32"/>
  <c r="BL137" i="32" s="1"/>
  <c r="AT301" i="32"/>
  <c r="BT115" i="32"/>
  <c r="BT301" i="32" s="1"/>
  <c r="BL78" i="32"/>
  <c r="BL84" i="32" s="1"/>
  <c r="AP294" i="32"/>
  <c r="AR295" i="32" s="1"/>
  <c r="BS215" i="32"/>
  <c r="BS216" i="32" s="1"/>
  <c r="BT221" i="32"/>
  <c r="BT227" i="32" s="1"/>
  <c r="BL151" i="32"/>
  <c r="BL157" i="32" s="1"/>
  <c r="BL91" i="32"/>
  <c r="BL96" i="32" s="1"/>
  <c r="BT179" i="32"/>
  <c r="BT182" i="32" s="1"/>
  <c r="BL158" i="32"/>
  <c r="BL164" i="32" s="1"/>
  <c r="BL44" i="32"/>
  <c r="BL45" i="32" s="1"/>
  <c r="BT59" i="32"/>
  <c r="BT65" i="32" s="1"/>
  <c r="BT23" i="32"/>
  <c r="BT27" i="32" s="1"/>
  <c r="BT200" i="32"/>
  <c r="BT205" i="32" s="1"/>
  <c r="BL110" i="32"/>
  <c r="BL113" i="32" s="1"/>
  <c r="AT306" i="32"/>
  <c r="BT108" i="32"/>
  <c r="BT215" i="32"/>
  <c r="BT216" i="32" s="1"/>
  <c r="BS90" i="32"/>
  <c r="BT138" i="32"/>
  <c r="BT144" i="32" s="1"/>
  <c r="AS307" i="32"/>
  <c r="BS12" i="32"/>
  <c r="BS245" i="32"/>
  <c r="BL188" i="32"/>
  <c r="BT292" i="32"/>
  <c r="BT293" i="32" s="1"/>
  <c r="BT125" i="32"/>
  <c r="BT130" i="32" s="1"/>
  <c r="BL121" i="32"/>
  <c r="BL124" i="32" s="1"/>
  <c r="BV297" i="32"/>
  <c r="AS298" i="32"/>
  <c r="AT304" i="32"/>
  <c r="AR305" i="32"/>
  <c r="AR298" i="32"/>
  <c r="AS305" i="32"/>
  <c r="BS50" i="32"/>
  <c r="BS305" i="32" s="1"/>
  <c r="AS303" i="32"/>
  <c r="BS101" i="32"/>
  <c r="BS303" i="32" s="1"/>
  <c r="BS43" i="32"/>
  <c r="BL72" i="32"/>
  <c r="BL77" i="32" s="1"/>
  <c r="BT207" i="32"/>
  <c r="BT214" i="32" s="1"/>
  <c r="BS138" i="32"/>
  <c r="BS144" i="32" s="1"/>
  <c r="BL239" i="32"/>
  <c r="BL245" i="32" s="1"/>
  <c r="AT307" i="32"/>
  <c r="BT12" i="32"/>
  <c r="BS172" i="32"/>
  <c r="BS178" i="32" s="1"/>
  <c r="BT17" i="32"/>
  <c r="BS114" i="32"/>
  <c r="BS271" i="32"/>
  <c r="BS277" i="32" s="1"/>
  <c r="BL217" i="32"/>
  <c r="BL220" i="32" s="1"/>
  <c r="BT278" i="32"/>
  <c r="BT284" i="32" s="1"/>
  <c r="AT305" i="32"/>
  <c r="BT50" i="32"/>
  <c r="BT305" i="32" s="1"/>
  <c r="AT303" i="32"/>
  <c r="BT101" i="32"/>
  <c r="BT303" i="32" s="1"/>
  <c r="BL32" i="32"/>
  <c r="BL35" i="32" s="1"/>
  <c r="BM299" i="32"/>
  <c r="BM52" i="32"/>
  <c r="AY304" i="32"/>
  <c r="AR299" i="32"/>
  <c r="AR303" i="32"/>
  <c r="BL98" i="32"/>
  <c r="BL41" i="32"/>
  <c r="BM298" i="32"/>
  <c r="BL85" i="32"/>
  <c r="AG294" i="32"/>
  <c r="BT53" i="31"/>
  <c r="BT57" i="31" s="1"/>
  <c r="BP77" i="31"/>
  <c r="BS65" i="31"/>
  <c r="BS67" i="31" s="1"/>
  <c r="BL26" i="31"/>
  <c r="BM78" i="31"/>
  <c r="BM15" i="31"/>
  <c r="AR81" i="31"/>
  <c r="AR74" i="31"/>
  <c r="AK17" i="47" s="1"/>
  <c r="BL68" i="31"/>
  <c r="BL73" i="31" s="1"/>
  <c r="BL49" i="31"/>
  <c r="BL52" i="31" s="1"/>
  <c r="AT86" i="31"/>
  <c r="BT39" i="31"/>
  <c r="BL16" i="31"/>
  <c r="BL19" i="31" s="1"/>
  <c r="AS81" i="31"/>
  <c r="BS44" i="31"/>
  <c r="AT85" i="31"/>
  <c r="BT30" i="31"/>
  <c r="BT85" i="31" s="1"/>
  <c r="BS58" i="31"/>
  <c r="BS64" i="31" s="1"/>
  <c r="AT78" i="31"/>
  <c r="BT12" i="31"/>
  <c r="AS86" i="31"/>
  <c r="BS39" i="31"/>
  <c r="BT87" i="31"/>
  <c r="BT25" i="31"/>
  <c r="BS41" i="31"/>
  <c r="BS43" i="31" s="1"/>
  <c r="BT33" i="31"/>
  <c r="BT38" i="31" s="1"/>
  <c r="AR84" i="31"/>
  <c r="BS20" i="31"/>
  <c r="BS23" i="31" s="1"/>
  <c r="BV74" i="31"/>
  <c r="BO17" i="47" s="1"/>
  <c r="BM79" i="31"/>
  <c r="AS78" i="31"/>
  <c r="BS12" i="31"/>
  <c r="BM86" i="31"/>
  <c r="BM40" i="31"/>
  <c r="AS84" i="31"/>
  <c r="BS14" i="31"/>
  <c r="BS84" i="31" s="1"/>
  <c r="BT41" i="31"/>
  <c r="BT43" i="31" s="1"/>
  <c r="BS53" i="31"/>
  <c r="BS57" i="31" s="1"/>
  <c r="AT81" i="31"/>
  <c r="BT44" i="31"/>
  <c r="BT20" i="31"/>
  <c r="BT23" i="31" s="1"/>
  <c r="AR86" i="31"/>
  <c r="BV77" i="31"/>
  <c r="BT65" i="31"/>
  <c r="BT67" i="31" s="1"/>
  <c r="AR85" i="31"/>
  <c r="BO74" i="31"/>
  <c r="BH17" i="47" s="1"/>
  <c r="AS85" i="31"/>
  <c r="BS30" i="31"/>
  <c r="BS85" i="31" s="1"/>
  <c r="BT58" i="31"/>
  <c r="BT64" i="31" s="1"/>
  <c r="AY87" i="31"/>
  <c r="BL24" i="31"/>
  <c r="AT84" i="31"/>
  <c r="BT14" i="31"/>
  <c r="BT84" i="31" s="1"/>
  <c r="BS33" i="31"/>
  <c r="BS38" i="31" s="1"/>
  <c r="BM81" i="31"/>
  <c r="BM48" i="31"/>
  <c r="BN74" i="31"/>
  <c r="BS87" i="31"/>
  <c r="BS25" i="31"/>
  <c r="BO77" i="31"/>
  <c r="BS66" i="30"/>
  <c r="BS71" i="30" s="1"/>
  <c r="AT113" i="30"/>
  <c r="BT16" i="30"/>
  <c r="AR104" i="30"/>
  <c r="BM112" i="30"/>
  <c r="BM30" i="30"/>
  <c r="BL62" i="30"/>
  <c r="BL65" i="30" s="1"/>
  <c r="BL24" i="30"/>
  <c r="BL28" i="30" s="1"/>
  <c r="BT45" i="30"/>
  <c r="BT48" i="30" s="1"/>
  <c r="AT110" i="30"/>
  <c r="BT14" i="30"/>
  <c r="BT110" i="30" s="1"/>
  <c r="BT66" i="30"/>
  <c r="BT71" i="30" s="1"/>
  <c r="AP100" i="30"/>
  <c r="AS104" i="30"/>
  <c r="BS12" i="30"/>
  <c r="AY110" i="30"/>
  <c r="BL14" i="30"/>
  <c r="BL110" i="30" s="1"/>
  <c r="BP103" i="30"/>
  <c r="BO100" i="30"/>
  <c r="BH16" i="47" s="1"/>
  <c r="AR112" i="30"/>
  <c r="BM113" i="30"/>
  <c r="BM17" i="30"/>
  <c r="BL49" i="30"/>
  <c r="BL54" i="30" s="1"/>
  <c r="AP103" i="30"/>
  <c r="BM104" i="30"/>
  <c r="BM15" i="30"/>
  <c r="AQ103" i="30"/>
  <c r="AR113" i="30"/>
  <c r="AS107" i="30"/>
  <c r="BS38" i="30"/>
  <c r="BS44" i="30" s="1"/>
  <c r="AT104" i="30"/>
  <c r="BT12" i="30"/>
  <c r="AS112" i="30"/>
  <c r="BS29" i="30"/>
  <c r="BL55" i="30"/>
  <c r="BL61" i="30" s="1"/>
  <c r="BT107" i="30"/>
  <c r="AS105" i="30"/>
  <c r="BS18" i="30"/>
  <c r="AY111" i="30"/>
  <c r="BL20" i="30"/>
  <c r="BL111" i="30" s="1"/>
  <c r="AG100" i="30"/>
  <c r="AY107" i="30"/>
  <c r="BL32" i="30"/>
  <c r="AT112" i="30"/>
  <c r="BT29" i="30"/>
  <c r="BN103" i="30"/>
  <c r="AT107" i="30"/>
  <c r="AR105" i="30"/>
  <c r="AT105" i="30"/>
  <c r="BT18" i="30"/>
  <c r="BT38" i="30"/>
  <c r="BT44" i="30" s="1"/>
  <c r="AQ100" i="30"/>
  <c r="AJ16" i="47" s="1"/>
  <c r="BL76" i="30"/>
  <c r="BL81" i="30" s="1"/>
  <c r="AS113" i="30"/>
  <c r="BS16" i="30"/>
  <c r="AG103" i="30"/>
  <c r="AR107" i="30"/>
  <c r="BL86" i="30"/>
  <c r="BL92" i="30" s="1"/>
  <c r="BV103" i="30"/>
  <c r="BS45" i="30"/>
  <c r="BS48" i="30" s="1"/>
  <c r="BM105" i="30"/>
  <c r="BM23" i="30"/>
  <c r="BM107" i="30"/>
  <c r="AS110" i="30"/>
  <c r="BS14" i="30"/>
  <c r="BS110" i="30" s="1"/>
  <c r="BS160" i="29"/>
  <c r="BS164" i="29" s="1"/>
  <c r="BT170" i="29"/>
  <c r="BT203" i="29" s="1"/>
  <c r="AT203" i="29"/>
  <c r="BT176" i="29"/>
  <c r="BT179" i="29" s="1"/>
  <c r="AT201" i="29"/>
  <c r="BT85" i="29"/>
  <c r="BS91" i="29"/>
  <c r="BS96" i="29" s="1"/>
  <c r="BL121" i="29"/>
  <c r="BL126" i="29" s="1"/>
  <c r="BS18" i="29"/>
  <c r="BS21" i="29" s="1"/>
  <c r="BL180" i="29"/>
  <c r="BL185" i="29" s="1"/>
  <c r="BT49" i="29"/>
  <c r="BT52" i="29" s="1"/>
  <c r="AG196" i="29"/>
  <c r="BT134" i="29"/>
  <c r="BT138" i="29" s="1"/>
  <c r="BL26" i="29"/>
  <c r="BL29" i="29" s="1"/>
  <c r="BN199" i="29"/>
  <c r="AR203" i="29"/>
  <c r="BT169" i="29"/>
  <c r="BL133" i="29"/>
  <c r="BL138" i="29" s="1"/>
  <c r="BS176" i="29"/>
  <c r="BS179" i="29" s="1"/>
  <c r="AR206" i="29"/>
  <c r="AS200" i="29"/>
  <c r="BS14" i="29"/>
  <c r="BS193" i="29"/>
  <c r="BS195" i="29" s="1"/>
  <c r="BS97" i="29"/>
  <c r="BS132" i="29"/>
  <c r="BT141" i="29"/>
  <c r="BT148" i="29" s="1"/>
  <c r="AS201" i="29"/>
  <c r="BS85" i="29"/>
  <c r="AS209" i="29"/>
  <c r="BS12" i="29"/>
  <c r="BT97" i="29"/>
  <c r="BT102" i="29" s="1"/>
  <c r="BL109" i="29"/>
  <c r="BL114" i="29" s="1"/>
  <c r="AP196" i="29"/>
  <c r="BL127" i="29"/>
  <c r="BN196" i="29"/>
  <c r="BL41" i="29"/>
  <c r="BL44" i="29" s="1"/>
  <c r="AR207" i="29"/>
  <c r="BT160" i="29"/>
  <c r="BT164" i="29" s="1"/>
  <c r="BM175" i="29"/>
  <c r="BS80" i="29"/>
  <c r="BS84" i="29" s="1"/>
  <c r="AS207" i="29"/>
  <c r="BS88" i="29"/>
  <c r="BS207" i="29" s="1"/>
  <c r="AR200" i="29"/>
  <c r="BS22" i="29"/>
  <c r="BS25" i="29" s="1"/>
  <c r="BL76" i="29"/>
  <c r="BL79" i="29" s="1"/>
  <c r="BT68" i="29"/>
  <c r="BT71" i="29" s="1"/>
  <c r="BT186" i="29"/>
  <c r="BT192" i="29" s="1"/>
  <c r="BS165" i="29"/>
  <c r="BS168" i="29" s="1"/>
  <c r="BT37" i="29"/>
  <c r="BT40" i="29" s="1"/>
  <c r="AT200" i="29"/>
  <c r="BT14" i="29"/>
  <c r="BL45" i="29"/>
  <c r="BL48" i="29" s="1"/>
  <c r="AT206" i="29"/>
  <c r="BT16" i="29"/>
  <c r="BT206" i="29" s="1"/>
  <c r="BL22" i="29"/>
  <c r="BL25" i="29" s="1"/>
  <c r="BM209" i="29"/>
  <c r="BM13" i="29"/>
  <c r="AG199" i="29"/>
  <c r="BV199" i="29"/>
  <c r="BS134" i="29"/>
  <c r="BS138" i="29" s="1"/>
  <c r="BL115" i="29"/>
  <c r="BL120" i="29" s="1"/>
  <c r="BS141" i="29"/>
  <c r="BS148" i="29" s="1"/>
  <c r="BS57" i="29"/>
  <c r="BS59" i="29" s="1"/>
  <c r="AR209" i="29"/>
  <c r="BL149" i="29"/>
  <c r="BL155" i="29" s="1"/>
  <c r="BO196" i="29"/>
  <c r="BH15" i="47" s="1"/>
  <c r="BL130" i="29"/>
  <c r="BT80" i="29"/>
  <c r="BT84" i="29" s="1"/>
  <c r="AT207" i="29"/>
  <c r="BT88" i="29"/>
  <c r="BT207" i="29" s="1"/>
  <c r="AP199" i="29"/>
  <c r="BP196" i="29"/>
  <c r="BI15" i="47" s="1"/>
  <c r="BS68" i="29"/>
  <c r="BS71" i="29" s="1"/>
  <c r="BT165" i="29"/>
  <c r="BT168" i="29" s="1"/>
  <c r="BT208" i="29"/>
  <c r="BT140" i="29"/>
  <c r="BS33" i="29"/>
  <c r="BS36" i="29" s="1"/>
  <c r="BM200" i="29"/>
  <c r="BM17" i="29"/>
  <c r="AQ199" i="29"/>
  <c r="AR201" i="29"/>
  <c r="AQ196" i="29"/>
  <c r="AJ15" i="47" s="1"/>
  <c r="BL103" i="29"/>
  <c r="BL108" i="29" s="1"/>
  <c r="BL30" i="29"/>
  <c r="BL32" i="29" s="1"/>
  <c r="BS208" i="29"/>
  <c r="BS140" i="29"/>
  <c r="BT193" i="29"/>
  <c r="BT195" i="29" s="1"/>
  <c r="AS206" i="29"/>
  <c r="BS16" i="29"/>
  <c r="BS206" i="29" s="1"/>
  <c r="AR208" i="29"/>
  <c r="BT57" i="29"/>
  <c r="BT59" i="29" s="1"/>
  <c r="BS49" i="29"/>
  <c r="BS52" i="29" s="1"/>
  <c r="BT91" i="29"/>
  <c r="BT96" i="29" s="1"/>
  <c r="AT209" i="29"/>
  <c r="BT12" i="29"/>
  <c r="BL161" i="29"/>
  <c r="BS169" i="29"/>
  <c r="BM207" i="29"/>
  <c r="AS203" i="29"/>
  <c r="BS170" i="29"/>
  <c r="BS203" i="29" s="1"/>
  <c r="BL64" i="29"/>
  <c r="BL67" i="29" s="1"/>
  <c r="BT22" i="29"/>
  <c r="BT25" i="29" s="1"/>
  <c r="BS186" i="29"/>
  <c r="BS192" i="29" s="1"/>
  <c r="BT18" i="29"/>
  <c r="BT21" i="29" s="1"/>
  <c r="BS37" i="29"/>
  <c r="BS40" i="29" s="1"/>
  <c r="BT33" i="29"/>
  <c r="BT36" i="29" s="1"/>
  <c r="BM201" i="29"/>
  <c r="BM90" i="29"/>
  <c r="BL90" i="32" l="1"/>
  <c r="BM295" i="32"/>
  <c r="BM75" i="31"/>
  <c r="AR296" i="32"/>
  <c r="BM102" i="30"/>
  <c r="AR198" i="29"/>
  <c r="BM198" i="29"/>
  <c r="Z18" i="47"/>
  <c r="Z16" i="47"/>
  <c r="AI16" i="47"/>
  <c r="AR101" i="30"/>
  <c r="BG16" i="47"/>
  <c r="BM101" i="30"/>
  <c r="Z15" i="47"/>
  <c r="AI15" i="47"/>
  <c r="AR197" i="29"/>
  <c r="BG15" i="47"/>
  <c r="BM197" i="29"/>
  <c r="BM296" i="32"/>
  <c r="AR76" i="31"/>
  <c r="BM76" i="31"/>
  <c r="AR102" i="30"/>
  <c r="BT32" i="31"/>
  <c r="BL304" i="32"/>
  <c r="BT304" i="32"/>
  <c r="BT79" i="31"/>
  <c r="BS107" i="30"/>
  <c r="BM297" i="32"/>
  <c r="AI18" i="47"/>
  <c r="AT297" i="32"/>
  <c r="AR297" i="32"/>
  <c r="AR77" i="31"/>
  <c r="BG18" i="47"/>
  <c r="BS120" i="32"/>
  <c r="BG17" i="47"/>
  <c r="BS102" i="29"/>
  <c r="BS107" i="32"/>
  <c r="BL196" i="32"/>
  <c r="BL199" i="32" s="1"/>
  <c r="BL172" i="32"/>
  <c r="BL178" i="32" s="1"/>
  <c r="AY300" i="32"/>
  <c r="BL99" i="32"/>
  <c r="BL300" i="32" s="1"/>
  <c r="BM294" i="32"/>
  <c r="BL43" i="32"/>
  <c r="BL207" i="32"/>
  <c r="BL214" i="32" s="1"/>
  <c r="BL285" i="32"/>
  <c r="BL291" i="32" s="1"/>
  <c r="BL215" i="32"/>
  <c r="BL216" i="32" s="1"/>
  <c r="AY299" i="32"/>
  <c r="BL47" i="32"/>
  <c r="BL53" i="32"/>
  <c r="BL58" i="32" s="1"/>
  <c r="BL250" i="32"/>
  <c r="BL256" i="32" s="1"/>
  <c r="BT298" i="32"/>
  <c r="AT294" i="32"/>
  <c r="BT295" i="32" s="1"/>
  <c r="BT107" i="32"/>
  <c r="BL292" i="32"/>
  <c r="BL293" i="32" s="1"/>
  <c r="AS294" i="32"/>
  <c r="BS295" i="32" s="1"/>
  <c r="BL278" i="32"/>
  <c r="BL284" i="32" s="1"/>
  <c r="AR294" i="32"/>
  <c r="AK18" i="47" s="1"/>
  <c r="BT307" i="32"/>
  <c r="BT13" i="32"/>
  <c r="AS297" i="32"/>
  <c r="BS307" i="32"/>
  <c r="BS13" i="32"/>
  <c r="AY307" i="32"/>
  <c r="BL12" i="32"/>
  <c r="BS304" i="32"/>
  <c r="BL138" i="32"/>
  <c r="BL144" i="32" s="1"/>
  <c r="BL246" i="32"/>
  <c r="BL249" i="32" s="1"/>
  <c r="BL59" i="32"/>
  <c r="BL65" i="32" s="1"/>
  <c r="AY298" i="32"/>
  <c r="BL14" i="32"/>
  <c r="BL23" i="32"/>
  <c r="BL27" i="32" s="1"/>
  <c r="BS306" i="32"/>
  <c r="BS109" i="32"/>
  <c r="AY306" i="32"/>
  <c r="BL108" i="32"/>
  <c r="BL165" i="32"/>
  <c r="BL171" i="32" s="1"/>
  <c r="BL200" i="32"/>
  <c r="BL205" i="32" s="1"/>
  <c r="BL179" i="32"/>
  <c r="BL182" i="32" s="1"/>
  <c r="BT299" i="32"/>
  <c r="BT52" i="32"/>
  <c r="BL28" i="32"/>
  <c r="BL31" i="32" s="1"/>
  <c r="AY303" i="32"/>
  <c r="BL101" i="32"/>
  <c r="BL303" i="32" s="1"/>
  <c r="AY305" i="32"/>
  <c r="BL50" i="32"/>
  <c r="BL305" i="32" s="1"/>
  <c r="BL125" i="32"/>
  <c r="BL130" i="32" s="1"/>
  <c r="BT306" i="32"/>
  <c r="BT109" i="32"/>
  <c r="BS298" i="32"/>
  <c r="BL271" i="32"/>
  <c r="BL277" i="32" s="1"/>
  <c r="BS299" i="32"/>
  <c r="BS52" i="32"/>
  <c r="AY301" i="32"/>
  <c r="BL115" i="32"/>
  <c r="BL301" i="32" s="1"/>
  <c r="BT120" i="32"/>
  <c r="BL87" i="31"/>
  <c r="BL25" i="31"/>
  <c r="AY85" i="31"/>
  <c r="BL30" i="31"/>
  <c r="BL85" i="31" s="1"/>
  <c r="BT81" i="31"/>
  <c r="BT48" i="31"/>
  <c r="AS74" i="31"/>
  <c r="AT77" i="31"/>
  <c r="BS81" i="31"/>
  <c r="BS48" i="31"/>
  <c r="BM74" i="31"/>
  <c r="BL58" i="31"/>
  <c r="BL64" i="31" s="1"/>
  <c r="BS78" i="31"/>
  <c r="BS15" i="31"/>
  <c r="BS86" i="31"/>
  <c r="BS40" i="31"/>
  <c r="BM77" i="31"/>
  <c r="AY86" i="31"/>
  <c r="BL39" i="31"/>
  <c r="AS77" i="31"/>
  <c r="BL20" i="31"/>
  <c r="BL23" i="31" s="1"/>
  <c r="BL65" i="31"/>
  <c r="BL67" i="31" s="1"/>
  <c r="BS32" i="31"/>
  <c r="AY84" i="31"/>
  <c r="BL14" i="31"/>
  <c r="BL84" i="31" s="1"/>
  <c r="BL33" i="31"/>
  <c r="BL38" i="31" s="1"/>
  <c r="BS79" i="31"/>
  <c r="BT78" i="31"/>
  <c r="BT15" i="31"/>
  <c r="AY81" i="31"/>
  <c r="BL44" i="31"/>
  <c r="AY79" i="31"/>
  <c r="BL41" i="31"/>
  <c r="BL43" i="31" s="1"/>
  <c r="BL53" i="31"/>
  <c r="BL57" i="31" s="1"/>
  <c r="AY78" i="31"/>
  <c r="BL12" i="31"/>
  <c r="AT74" i="31"/>
  <c r="BT75" i="31" s="1"/>
  <c r="BT86" i="31"/>
  <c r="BT40" i="31"/>
  <c r="AT100" i="30"/>
  <c r="BT101" i="30" s="1"/>
  <c r="BL93" i="30"/>
  <c r="BL99" i="30" s="1"/>
  <c r="BM100" i="30"/>
  <c r="BL38" i="30"/>
  <c r="BL44" i="30" s="1"/>
  <c r="AR103" i="30"/>
  <c r="BT105" i="30"/>
  <c r="BT23" i="30"/>
  <c r="BL82" i="30"/>
  <c r="BL85" i="30" s="1"/>
  <c r="BS105" i="30"/>
  <c r="BS23" i="30"/>
  <c r="BT104" i="30"/>
  <c r="BT15" i="30"/>
  <c r="BM103" i="30"/>
  <c r="BS104" i="30"/>
  <c r="BS15" i="30"/>
  <c r="BL72" i="30"/>
  <c r="BL75" i="30" s="1"/>
  <c r="AT103" i="30"/>
  <c r="AY112" i="30"/>
  <c r="BL29" i="30"/>
  <c r="AS100" i="30"/>
  <c r="BS101" i="30" s="1"/>
  <c r="BT113" i="30"/>
  <c r="BT17" i="30"/>
  <c r="BL45" i="30"/>
  <c r="BL48" i="30" s="1"/>
  <c r="AY113" i="30"/>
  <c r="BL16" i="30"/>
  <c r="BL66" i="30"/>
  <c r="BL71" i="30" s="1"/>
  <c r="AS103" i="30"/>
  <c r="AY105" i="30"/>
  <c r="BL18" i="30"/>
  <c r="BS112" i="30"/>
  <c r="BS30" i="30"/>
  <c r="AY104" i="30"/>
  <c r="AY100" i="30"/>
  <c r="AR16" i="47" s="1"/>
  <c r="BL12" i="30"/>
  <c r="BS113" i="30"/>
  <c r="BS17" i="30"/>
  <c r="BT112" i="30"/>
  <c r="BT30" i="30"/>
  <c r="BL31" i="30"/>
  <c r="BL37" i="30" s="1"/>
  <c r="AR100" i="30"/>
  <c r="AK16" i="47" s="1"/>
  <c r="AY201" i="29"/>
  <c r="BL85" i="29"/>
  <c r="BT209" i="29"/>
  <c r="BT13" i="29"/>
  <c r="BL60" i="29"/>
  <c r="BL63" i="29" s="1"/>
  <c r="BL57" i="29"/>
  <c r="BL59" i="29" s="1"/>
  <c r="BM199" i="29"/>
  <c r="AR199" i="29"/>
  <c r="BS209" i="29"/>
  <c r="BS13" i="29"/>
  <c r="BL160" i="29"/>
  <c r="BL164" i="29" s="1"/>
  <c r="BM196" i="29"/>
  <c r="AY200" i="29"/>
  <c r="BL14" i="29"/>
  <c r="BL72" i="29"/>
  <c r="BL75" i="29" s="1"/>
  <c r="BL37" i="29"/>
  <c r="BL40" i="29" s="1"/>
  <c r="AS196" i="29"/>
  <c r="BS197" i="29" s="1"/>
  <c r="BS200" i="29"/>
  <c r="BS17" i="29"/>
  <c r="BT175" i="29"/>
  <c r="BL18" i="29"/>
  <c r="BL21" i="29" s="1"/>
  <c r="AY203" i="29"/>
  <c r="BL170" i="29"/>
  <c r="BL203" i="29" s="1"/>
  <c r="BS175" i="29"/>
  <c r="BL33" i="29"/>
  <c r="BL36" i="29" s="1"/>
  <c r="BL169" i="29"/>
  <c r="AR196" i="29"/>
  <c r="AK15" i="47" s="1"/>
  <c r="BL91" i="29"/>
  <c r="BL96" i="29" s="1"/>
  <c r="BT200" i="29"/>
  <c r="BT17" i="29"/>
  <c r="BL80" i="29"/>
  <c r="BL84" i="29" s="1"/>
  <c r="BL193" i="29"/>
  <c r="BL195" i="29" s="1"/>
  <c r="BL132" i="29"/>
  <c r="BL141" i="29"/>
  <c r="BL148" i="29" s="1"/>
  <c r="BL186" i="29"/>
  <c r="BL192" i="29" s="1"/>
  <c r="AY208" i="29"/>
  <c r="BL139" i="29"/>
  <c r="BL176" i="29"/>
  <c r="BL179" i="29" s="1"/>
  <c r="AY206" i="29"/>
  <c r="BL16" i="29"/>
  <c r="BL206" i="29" s="1"/>
  <c r="BL68" i="29"/>
  <c r="BL71" i="29" s="1"/>
  <c r="AT196" i="29"/>
  <c r="BT197" i="29" s="1"/>
  <c r="BL49" i="29"/>
  <c r="BL52" i="29" s="1"/>
  <c r="BL97" i="29"/>
  <c r="BL102" i="29" s="1"/>
  <c r="AY209" i="29"/>
  <c r="BL12" i="29"/>
  <c r="AT199" i="29"/>
  <c r="AY207" i="29"/>
  <c r="BL88" i="29"/>
  <c r="BL207" i="29" s="1"/>
  <c r="BS201" i="29"/>
  <c r="BS90" i="29"/>
  <c r="AS199" i="29"/>
  <c r="BL165" i="29"/>
  <c r="BL168" i="29" s="1"/>
  <c r="BT201" i="29"/>
  <c r="BT90" i="29"/>
  <c r="AY76" i="31" l="1"/>
  <c r="BF17" i="47"/>
  <c r="AL17" i="47"/>
  <c r="BS75" i="31"/>
  <c r="AY75" i="31"/>
  <c r="AY296" i="32"/>
  <c r="BF18" i="47"/>
  <c r="AY295" i="32"/>
  <c r="AY102" i="30"/>
  <c r="AY101" i="30"/>
  <c r="BF16" i="47"/>
  <c r="AY197" i="29"/>
  <c r="AY198" i="29"/>
  <c r="BF15" i="47"/>
  <c r="AY103" i="30"/>
  <c r="BL32" i="31"/>
  <c r="BS297" i="32"/>
  <c r="AM18" i="47"/>
  <c r="AL18" i="47"/>
  <c r="AM17" i="47"/>
  <c r="AM16" i="47"/>
  <c r="AL16" i="47"/>
  <c r="BS74" i="31"/>
  <c r="BL17" i="47" s="1"/>
  <c r="BS103" i="30"/>
  <c r="BT196" i="29"/>
  <c r="BM15" i="47" s="1"/>
  <c r="AL15" i="47"/>
  <c r="AM15" i="47"/>
  <c r="BL307" i="32"/>
  <c r="BL13" i="32"/>
  <c r="BT294" i="32"/>
  <c r="BM18" i="47" s="1"/>
  <c r="BL306" i="32"/>
  <c r="BL109" i="32"/>
  <c r="BL298" i="32"/>
  <c r="BL17" i="32"/>
  <c r="AY294" i="32"/>
  <c r="AR18" i="47" s="1"/>
  <c r="AY297" i="32"/>
  <c r="BS294" i="32"/>
  <c r="BL107" i="32"/>
  <c r="BT297" i="32"/>
  <c r="BL299" i="32"/>
  <c r="BL52" i="32"/>
  <c r="BL120" i="32"/>
  <c r="AY74" i="31"/>
  <c r="AR17" i="47" s="1"/>
  <c r="BT77" i="31"/>
  <c r="BL78" i="31"/>
  <c r="BL15" i="31"/>
  <c r="AY77" i="31"/>
  <c r="BL81" i="31"/>
  <c r="BL48" i="31"/>
  <c r="BL86" i="31"/>
  <c r="BL40" i="31"/>
  <c r="BS77" i="31"/>
  <c r="BT74" i="31"/>
  <c r="BL79" i="31"/>
  <c r="BL104" i="30"/>
  <c r="BL15" i="30"/>
  <c r="BL113" i="30"/>
  <c r="BL17" i="30"/>
  <c r="BT100" i="30"/>
  <c r="BM16" i="47" s="1"/>
  <c r="BL105" i="30"/>
  <c r="BL23" i="30"/>
  <c r="BT103" i="30"/>
  <c r="BL112" i="30"/>
  <c r="BL30" i="30"/>
  <c r="BS100" i="30"/>
  <c r="BL107" i="30"/>
  <c r="AY196" i="29"/>
  <c r="AR15" i="47" s="1"/>
  <c r="BL175" i="29"/>
  <c r="BS199" i="29"/>
  <c r="BL209" i="29"/>
  <c r="BL13" i="29"/>
  <c r="BL200" i="29"/>
  <c r="BL17" i="29"/>
  <c r="BL201" i="29"/>
  <c r="BL90" i="29"/>
  <c r="BL208" i="29"/>
  <c r="BL140" i="29"/>
  <c r="BT199" i="29"/>
  <c r="BS196" i="29"/>
  <c r="AY199" i="29"/>
  <c r="BL75" i="31" l="1"/>
  <c r="BL76" i="31"/>
  <c r="BL101" i="30"/>
  <c r="BL295" i="32"/>
  <c r="BL296" i="32"/>
  <c r="BL102" i="30"/>
  <c r="BL197" i="29"/>
  <c r="BL198" i="29"/>
  <c r="BL18" i="47"/>
  <c r="BM17" i="47"/>
  <c r="BL16" i="47"/>
  <c r="BL196" i="29"/>
  <c r="BE15" i="47" s="1"/>
  <c r="BL15" i="47"/>
  <c r="BL294" i="32"/>
  <c r="BE18" i="47" s="1"/>
  <c r="BL297" i="32"/>
  <c r="BL74" i="31"/>
  <c r="BE17" i="47" s="1"/>
  <c r="BL77" i="31"/>
  <c r="BL100" i="30"/>
  <c r="BE16" i="47" s="1"/>
  <c r="BL103" i="30"/>
  <c r="BL199" i="29"/>
  <c r="C22" i="47" l="1"/>
  <c r="D22" i="47"/>
  <c r="E22" i="47"/>
  <c r="F22" i="47"/>
  <c r="G22" i="47"/>
  <c r="H22" i="47"/>
  <c r="I22" i="47"/>
  <c r="J22" i="47"/>
  <c r="K22" i="47"/>
  <c r="L22" i="47"/>
  <c r="M22" i="47"/>
  <c r="N22" i="47"/>
  <c r="B22" i="47"/>
  <c r="CJ214" i="42"/>
  <c r="CI214" i="42"/>
  <c r="CH214" i="42"/>
  <c r="CG214" i="42"/>
  <c r="CF214" i="42"/>
  <c r="CE214" i="42"/>
  <c r="CD214" i="42"/>
  <c r="CC214" i="42"/>
  <c r="CB214" i="42"/>
  <c r="CA214" i="42"/>
  <c r="BZ214" i="42"/>
  <c r="BY214" i="42"/>
  <c r="BH214" i="42"/>
  <c r="BG214" i="42"/>
  <c r="BF214" i="42"/>
  <c r="BE214" i="42"/>
  <c r="BD214" i="42"/>
  <c r="BC214" i="42"/>
  <c r="BB214" i="42"/>
  <c r="BA214" i="42"/>
  <c r="AZ214" i="42"/>
  <c r="AW214" i="42"/>
  <c r="AV214" i="42"/>
  <c r="AU214" i="42"/>
  <c r="AL214" i="42"/>
  <c r="AK214" i="42"/>
  <c r="AJ214" i="42"/>
  <c r="AI214" i="42"/>
  <c r="AH214" i="42"/>
  <c r="AD214" i="42"/>
  <c r="AC214" i="42"/>
  <c r="AB214" i="42"/>
  <c r="AA214" i="42"/>
  <c r="Z214" i="42"/>
  <c r="Y214" i="42"/>
  <c r="X214" i="42"/>
  <c r="U214" i="42"/>
  <c r="T214" i="42"/>
  <c r="S214" i="42"/>
  <c r="R214" i="42"/>
  <c r="Q214" i="42"/>
  <c r="P214" i="42"/>
  <c r="O214" i="42"/>
  <c r="N214" i="42"/>
  <c r="M214" i="42"/>
  <c r="L214" i="42"/>
  <c r="K214" i="42"/>
  <c r="J214" i="42"/>
  <c r="I214" i="42"/>
  <c r="CJ213" i="42"/>
  <c r="CI213" i="42"/>
  <c r="CH213" i="42"/>
  <c r="CG213" i="42"/>
  <c r="CF213" i="42"/>
  <c r="CE213" i="42"/>
  <c r="CD213" i="42"/>
  <c r="CC213" i="42"/>
  <c r="CB213" i="42"/>
  <c r="CA213" i="42"/>
  <c r="BZ213" i="42"/>
  <c r="BY213" i="42"/>
  <c r="BH213" i="42"/>
  <c r="BG213" i="42"/>
  <c r="BF213" i="42"/>
  <c r="BE213" i="42"/>
  <c r="BD213" i="42"/>
  <c r="BC213" i="42"/>
  <c r="BB213" i="42"/>
  <c r="BA213" i="42"/>
  <c r="AZ213" i="42"/>
  <c r="AW213" i="42"/>
  <c r="AV213" i="42"/>
  <c r="AU213" i="42"/>
  <c r="AL213" i="42"/>
  <c r="AK213" i="42"/>
  <c r="AJ213" i="42"/>
  <c r="AI213" i="42"/>
  <c r="AH213" i="42"/>
  <c r="AD213" i="42"/>
  <c r="AC213" i="42"/>
  <c r="AB213" i="42"/>
  <c r="AA213" i="42"/>
  <c r="Z213" i="42"/>
  <c r="Y213" i="42"/>
  <c r="X213" i="42"/>
  <c r="U213" i="42"/>
  <c r="T213" i="42"/>
  <c r="S213" i="42"/>
  <c r="R213" i="42"/>
  <c r="Q213" i="42"/>
  <c r="P213" i="42"/>
  <c r="O213" i="42"/>
  <c r="N213" i="42"/>
  <c r="M213" i="42"/>
  <c r="L213" i="42"/>
  <c r="K213" i="42"/>
  <c r="J213" i="42"/>
  <c r="I213" i="42"/>
  <c r="CJ212" i="42"/>
  <c r="CI212" i="42"/>
  <c r="CH212" i="42"/>
  <c r="CG212" i="42"/>
  <c r="CF212" i="42"/>
  <c r="CE212" i="42"/>
  <c r="CD212" i="42"/>
  <c r="CC212" i="42"/>
  <c r="CB212" i="42"/>
  <c r="CA212" i="42"/>
  <c r="BZ212" i="42"/>
  <c r="BY212" i="42"/>
  <c r="BH212" i="42"/>
  <c r="BG212" i="42"/>
  <c r="BF212" i="42"/>
  <c r="BE212" i="42"/>
  <c r="BD212" i="42"/>
  <c r="BC212" i="42"/>
  <c r="BB212" i="42"/>
  <c r="BA212" i="42"/>
  <c r="AZ212" i="42"/>
  <c r="AW212" i="42"/>
  <c r="AV212" i="42"/>
  <c r="AU212" i="42"/>
  <c r="AL212" i="42"/>
  <c r="AK212" i="42"/>
  <c r="AJ212" i="42"/>
  <c r="AI212" i="42"/>
  <c r="AH212" i="42"/>
  <c r="AD212" i="42"/>
  <c r="AC212" i="42"/>
  <c r="AB212" i="42"/>
  <c r="AA212" i="42"/>
  <c r="Z212" i="42"/>
  <c r="Y212" i="42"/>
  <c r="X212" i="42"/>
  <c r="U212" i="42"/>
  <c r="T212" i="42"/>
  <c r="S212" i="42"/>
  <c r="R212" i="42"/>
  <c r="Q212" i="42"/>
  <c r="P212" i="42"/>
  <c r="O212" i="42"/>
  <c r="N212" i="42"/>
  <c r="M212" i="42"/>
  <c r="L212" i="42"/>
  <c r="K212" i="42"/>
  <c r="J212" i="42"/>
  <c r="I212" i="42"/>
  <c r="CJ211" i="42"/>
  <c r="CI211" i="42"/>
  <c r="CH211" i="42"/>
  <c r="CG211" i="42"/>
  <c r="CF211" i="42"/>
  <c r="CE211" i="42"/>
  <c r="CD211" i="42"/>
  <c r="CC211" i="42"/>
  <c r="CB211" i="42"/>
  <c r="CA211" i="42"/>
  <c r="BZ211" i="42"/>
  <c r="BY211" i="42"/>
  <c r="BH211" i="42"/>
  <c r="BG211" i="42"/>
  <c r="BF211" i="42"/>
  <c r="BE211" i="42"/>
  <c r="BD211" i="42"/>
  <c r="BC211" i="42"/>
  <c r="BB211" i="42"/>
  <c r="BA211" i="42"/>
  <c r="AZ211" i="42"/>
  <c r="AW211" i="42"/>
  <c r="AV211" i="42"/>
  <c r="AU211" i="42"/>
  <c r="AL211" i="42"/>
  <c r="AK211" i="42"/>
  <c r="AJ211" i="42"/>
  <c r="AI211" i="42"/>
  <c r="AH211" i="42"/>
  <c r="AD211" i="42"/>
  <c r="AC211" i="42"/>
  <c r="AB211" i="42"/>
  <c r="AA211" i="42"/>
  <c r="Z211" i="42"/>
  <c r="Y211" i="42"/>
  <c r="X211" i="42"/>
  <c r="U211" i="42"/>
  <c r="T211" i="42"/>
  <c r="S211" i="42"/>
  <c r="R211" i="42"/>
  <c r="Q211" i="42"/>
  <c r="P211" i="42"/>
  <c r="O211" i="42"/>
  <c r="N211" i="42"/>
  <c r="M211" i="42"/>
  <c r="L211" i="42"/>
  <c r="K211" i="42"/>
  <c r="J211" i="42"/>
  <c r="I211" i="42"/>
  <c r="CJ210" i="42"/>
  <c r="CI210" i="42"/>
  <c r="CH210" i="42"/>
  <c r="CG210" i="42"/>
  <c r="CF210" i="42"/>
  <c r="CE210" i="42"/>
  <c r="CD210" i="42"/>
  <c r="CC210" i="42"/>
  <c r="CB210" i="42"/>
  <c r="CA210" i="42"/>
  <c r="BZ210" i="42"/>
  <c r="BY210" i="42"/>
  <c r="BX210" i="42"/>
  <c r="BW210" i="42"/>
  <c r="BV210" i="42"/>
  <c r="BU210" i="42"/>
  <c r="BT210" i="42"/>
  <c r="BS210" i="42"/>
  <c r="BR210" i="42"/>
  <c r="BQ210" i="42"/>
  <c r="BP210" i="42"/>
  <c r="BO210" i="42"/>
  <c r="BN210" i="42"/>
  <c r="BM210" i="42"/>
  <c r="BL210" i="42"/>
  <c r="BK210" i="42"/>
  <c r="BJ210" i="42"/>
  <c r="BI210" i="42"/>
  <c r="BH210" i="42"/>
  <c r="BG210" i="42"/>
  <c r="BF210" i="42"/>
  <c r="BE210" i="42"/>
  <c r="BD210" i="42"/>
  <c r="BC210" i="42"/>
  <c r="BB210" i="42"/>
  <c r="BA210" i="42"/>
  <c r="AZ210" i="42"/>
  <c r="AY210" i="42"/>
  <c r="AX210" i="42"/>
  <c r="AW210" i="42"/>
  <c r="AV210" i="42"/>
  <c r="AU210" i="42"/>
  <c r="AT210" i="42"/>
  <c r="AS210" i="42"/>
  <c r="AR210" i="42"/>
  <c r="AQ210" i="42"/>
  <c r="AP210" i="42"/>
  <c r="AO210" i="42"/>
  <c r="AN210" i="42"/>
  <c r="AM210" i="42"/>
  <c r="AL210" i="42"/>
  <c r="AK210" i="42"/>
  <c r="AJ210" i="42"/>
  <c r="AI210" i="42"/>
  <c r="AH210" i="42"/>
  <c r="AG210" i="42"/>
  <c r="AF210" i="42"/>
  <c r="AE210" i="42"/>
  <c r="AD210" i="42"/>
  <c r="AC210" i="42"/>
  <c r="AB210" i="42"/>
  <c r="AA210" i="42"/>
  <c r="Z210" i="42"/>
  <c r="Y210" i="42"/>
  <c r="X210" i="42"/>
  <c r="W210" i="42"/>
  <c r="V210" i="42"/>
  <c r="U210" i="42"/>
  <c r="T210" i="42"/>
  <c r="S210" i="42"/>
  <c r="R210" i="42"/>
  <c r="Q210" i="42"/>
  <c r="P210" i="42"/>
  <c r="O210" i="42"/>
  <c r="N210" i="42"/>
  <c r="M210" i="42"/>
  <c r="L210" i="42"/>
  <c r="K210" i="42"/>
  <c r="J210" i="42"/>
  <c r="I210" i="42"/>
  <c r="CJ209" i="42"/>
  <c r="CI209" i="42"/>
  <c r="CH209" i="42"/>
  <c r="CG209" i="42"/>
  <c r="CF209" i="42"/>
  <c r="CE209" i="42"/>
  <c r="CD209" i="42"/>
  <c r="CC209" i="42"/>
  <c r="CB209" i="42"/>
  <c r="CA209" i="42"/>
  <c r="BZ209" i="42"/>
  <c r="BY209" i="42"/>
  <c r="BX209" i="42"/>
  <c r="BW209" i="42"/>
  <c r="BV209" i="42"/>
  <c r="BU209" i="42"/>
  <c r="BT209" i="42"/>
  <c r="BS209" i="42"/>
  <c r="BR209" i="42"/>
  <c r="BQ209" i="42"/>
  <c r="BP209" i="42"/>
  <c r="BO209" i="42"/>
  <c r="BN209" i="42"/>
  <c r="BM209" i="42"/>
  <c r="BL209" i="42"/>
  <c r="BK209" i="42"/>
  <c r="BJ209" i="42"/>
  <c r="BI209" i="42"/>
  <c r="BH209" i="42"/>
  <c r="BG209" i="42"/>
  <c r="BF209" i="42"/>
  <c r="BE209" i="42"/>
  <c r="BD209" i="42"/>
  <c r="BC209" i="42"/>
  <c r="BB209" i="42"/>
  <c r="BA209" i="42"/>
  <c r="AZ209" i="42"/>
  <c r="AY209" i="42"/>
  <c r="AX209" i="42"/>
  <c r="AW209" i="42"/>
  <c r="AV209" i="42"/>
  <c r="AU209" i="42"/>
  <c r="AT209" i="42"/>
  <c r="AS209" i="42"/>
  <c r="AR209" i="42"/>
  <c r="AQ209" i="42"/>
  <c r="AP209" i="42"/>
  <c r="AO209" i="42"/>
  <c r="AN209" i="42"/>
  <c r="AM209" i="42"/>
  <c r="AL209" i="42"/>
  <c r="AK209" i="42"/>
  <c r="AJ209" i="42"/>
  <c r="AI209" i="42"/>
  <c r="AH209" i="42"/>
  <c r="AG209" i="42"/>
  <c r="AF209" i="42"/>
  <c r="AE209" i="42"/>
  <c r="AD209" i="42"/>
  <c r="AC209" i="42"/>
  <c r="AB209" i="42"/>
  <c r="AA209" i="42"/>
  <c r="Z209" i="42"/>
  <c r="Y209" i="42"/>
  <c r="X209" i="42"/>
  <c r="W209" i="42"/>
  <c r="V209" i="42"/>
  <c r="U209" i="42"/>
  <c r="T209" i="42"/>
  <c r="S209" i="42"/>
  <c r="R209" i="42"/>
  <c r="Q209" i="42"/>
  <c r="P209" i="42"/>
  <c r="O209" i="42"/>
  <c r="N209" i="42"/>
  <c r="M209" i="42"/>
  <c r="L209" i="42"/>
  <c r="K209" i="42"/>
  <c r="J209" i="42"/>
  <c r="I209" i="42"/>
  <c r="CJ208" i="42"/>
  <c r="CI208" i="42"/>
  <c r="CH208" i="42"/>
  <c r="CG208" i="42"/>
  <c r="CF208" i="42"/>
  <c r="CE208" i="42"/>
  <c r="CD208" i="42"/>
  <c r="CC208" i="42"/>
  <c r="CB208" i="42"/>
  <c r="CA208" i="42"/>
  <c r="BZ208" i="42"/>
  <c r="BY208" i="42"/>
  <c r="BH208" i="42"/>
  <c r="BG208" i="42"/>
  <c r="BF208" i="42"/>
  <c r="BE208" i="42"/>
  <c r="BD208" i="42"/>
  <c r="BC208" i="42"/>
  <c r="BB208" i="42"/>
  <c r="BA208" i="42"/>
  <c r="AZ208" i="42"/>
  <c r="AW208" i="42"/>
  <c r="AV208" i="42"/>
  <c r="AU208" i="42"/>
  <c r="AL208" i="42"/>
  <c r="AK208" i="42"/>
  <c r="AJ208" i="42"/>
  <c r="AI208" i="42"/>
  <c r="AH208" i="42"/>
  <c r="AD208" i="42"/>
  <c r="AC208" i="42"/>
  <c r="AB208" i="42"/>
  <c r="AA208" i="42"/>
  <c r="Z208" i="42"/>
  <c r="Y208" i="42"/>
  <c r="X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CJ207" i="42"/>
  <c r="CI207" i="42"/>
  <c r="CH207" i="42"/>
  <c r="CG207" i="42"/>
  <c r="CF207" i="42"/>
  <c r="CE207" i="42"/>
  <c r="CD207" i="42"/>
  <c r="CC207" i="42"/>
  <c r="CB207" i="42"/>
  <c r="CA207" i="42"/>
  <c r="BZ207" i="42"/>
  <c r="BY207" i="42"/>
  <c r="BH207" i="42"/>
  <c r="BG207" i="42"/>
  <c r="BF207" i="42"/>
  <c r="BE207" i="42"/>
  <c r="BD207" i="42"/>
  <c r="BC207" i="42"/>
  <c r="BB207" i="42"/>
  <c r="BA207" i="42"/>
  <c r="AZ207" i="42"/>
  <c r="AW207" i="42"/>
  <c r="AV207" i="42"/>
  <c r="AU207" i="42"/>
  <c r="AL207" i="42"/>
  <c r="AK207" i="42"/>
  <c r="AJ207" i="42"/>
  <c r="AI207" i="42"/>
  <c r="AH207" i="42"/>
  <c r="AD207" i="42"/>
  <c r="AC207" i="42"/>
  <c r="AB207" i="42"/>
  <c r="AA207" i="42"/>
  <c r="Z207" i="42"/>
  <c r="Y207" i="42"/>
  <c r="X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CJ206" i="42"/>
  <c r="CI206" i="42"/>
  <c r="CH206" i="42"/>
  <c r="CG206" i="42"/>
  <c r="CF206" i="42"/>
  <c r="CE206" i="42"/>
  <c r="CD206" i="42"/>
  <c r="CC206" i="42"/>
  <c r="CB206" i="42"/>
  <c r="CA206" i="42"/>
  <c r="BZ206" i="42"/>
  <c r="BY206" i="42"/>
  <c r="BH206" i="42"/>
  <c r="BG206" i="42"/>
  <c r="BF206" i="42"/>
  <c r="BE206" i="42"/>
  <c r="BD206" i="42"/>
  <c r="BC206" i="42"/>
  <c r="BB206" i="42"/>
  <c r="BA206" i="42"/>
  <c r="AZ206" i="42"/>
  <c r="AW206" i="42"/>
  <c r="AV206" i="42"/>
  <c r="AU206" i="42"/>
  <c r="AL206" i="42"/>
  <c r="AK206" i="42"/>
  <c r="AJ206" i="42"/>
  <c r="AI206" i="42"/>
  <c r="AH206" i="42"/>
  <c r="AD206" i="42"/>
  <c r="AC206" i="42"/>
  <c r="AB206" i="42"/>
  <c r="AA206" i="42"/>
  <c r="Z206" i="42"/>
  <c r="Y206" i="42"/>
  <c r="X206" i="42"/>
  <c r="U206" i="42"/>
  <c r="T206" i="42"/>
  <c r="S206" i="42"/>
  <c r="R206" i="42"/>
  <c r="Q206" i="42"/>
  <c r="P206" i="42"/>
  <c r="O206" i="42"/>
  <c r="N206" i="42"/>
  <c r="M206" i="42"/>
  <c r="L206" i="42"/>
  <c r="K206" i="42"/>
  <c r="J206" i="42"/>
  <c r="I206" i="42"/>
  <c r="CJ205" i="42"/>
  <c r="CI205" i="42"/>
  <c r="CH205" i="42"/>
  <c r="CG205" i="42"/>
  <c r="CF205" i="42"/>
  <c r="CE205" i="42"/>
  <c r="CD205" i="42"/>
  <c r="CC205" i="42"/>
  <c r="CB205" i="42"/>
  <c r="CA205" i="42"/>
  <c r="BZ205" i="42"/>
  <c r="BY205" i="42"/>
  <c r="BH205" i="42"/>
  <c r="BG205" i="42"/>
  <c r="BF205" i="42"/>
  <c r="BE205" i="42"/>
  <c r="BD205" i="42"/>
  <c r="BC205" i="42"/>
  <c r="BB205" i="42"/>
  <c r="BA205" i="42"/>
  <c r="AZ205" i="42"/>
  <c r="AW205" i="42"/>
  <c r="AV205" i="42"/>
  <c r="AU205" i="42"/>
  <c r="AL205" i="42"/>
  <c r="AK205" i="42"/>
  <c r="AJ205" i="42"/>
  <c r="AI205" i="42"/>
  <c r="AH205" i="42"/>
  <c r="AD205" i="42"/>
  <c r="AC205" i="42"/>
  <c r="AB205" i="42"/>
  <c r="AA205" i="42"/>
  <c r="Z205" i="42"/>
  <c r="Y205" i="42"/>
  <c r="X205" i="42"/>
  <c r="U205" i="42"/>
  <c r="T205" i="42"/>
  <c r="S205" i="42"/>
  <c r="R205" i="42"/>
  <c r="Q205" i="42"/>
  <c r="P205" i="42"/>
  <c r="O205" i="42"/>
  <c r="N205" i="42"/>
  <c r="M205" i="42"/>
  <c r="L205" i="42"/>
  <c r="K205" i="42"/>
  <c r="J205" i="42"/>
  <c r="I205" i="42"/>
  <c r="CJ200" i="42"/>
  <c r="CI200" i="42"/>
  <c r="CH200" i="42"/>
  <c r="CG200" i="42"/>
  <c r="CF200" i="42"/>
  <c r="CE200" i="42"/>
  <c r="CD200" i="42"/>
  <c r="CC200" i="42"/>
  <c r="CB200" i="42"/>
  <c r="CA200" i="42"/>
  <c r="BZ200" i="42"/>
  <c r="BY200" i="42"/>
  <c r="BX199" i="42"/>
  <c r="BW199" i="42"/>
  <c r="BR199" i="42"/>
  <c r="BV199" i="42"/>
  <c r="BU199" i="42"/>
  <c r="BP199" i="42"/>
  <c r="BQ199" i="42"/>
  <c r="BN198" i="42"/>
  <c r="BX198" i="42"/>
  <c r="BU198" i="42"/>
  <c r="BP198" i="42"/>
  <c r="BR198" i="42"/>
  <c r="BQ198" i="42"/>
  <c r="BW197" i="42"/>
  <c r="BV197" i="42"/>
  <c r="BU197" i="42"/>
  <c r="BO197" i="42"/>
  <c r="BN197" i="42"/>
  <c r="BX197" i="42"/>
  <c r="BS197" i="42"/>
  <c r="BR197" i="42"/>
  <c r="BP197" i="42"/>
  <c r="BX196" i="42"/>
  <c r="BU196" i="42"/>
  <c r="BQ196" i="42"/>
  <c r="BO196" i="42"/>
  <c r="BX195" i="42"/>
  <c r="BW195" i="42"/>
  <c r="BV195" i="42"/>
  <c r="BQ195" i="42"/>
  <c r="BU195" i="42"/>
  <c r="BR195" i="42"/>
  <c r="BX194" i="42"/>
  <c r="BW194" i="42"/>
  <c r="BR194" i="42"/>
  <c r="CJ193" i="42"/>
  <c r="CI193" i="42"/>
  <c r="CH193" i="42"/>
  <c r="CG193" i="42"/>
  <c r="CF193" i="42"/>
  <c r="CE193" i="42"/>
  <c r="CD193" i="42"/>
  <c r="CC193" i="42"/>
  <c r="CB193" i="42"/>
  <c r="CA193" i="42"/>
  <c r="BZ193" i="42"/>
  <c r="BY193" i="42"/>
  <c r="BP192" i="42"/>
  <c r="BO192" i="42"/>
  <c r="BX192" i="42"/>
  <c r="BU192" i="42"/>
  <c r="BR192" i="42"/>
  <c r="BQ192" i="42"/>
  <c r="BU191" i="42"/>
  <c r="BO191" i="42"/>
  <c r="BX191" i="42"/>
  <c r="BW191" i="42"/>
  <c r="BR191" i="42"/>
  <c r="BU190" i="42"/>
  <c r="BQ190" i="42"/>
  <c r="BX190" i="42"/>
  <c r="BO190" i="42"/>
  <c r="BW189" i="42"/>
  <c r="BR189" i="42"/>
  <c r="BQ189" i="42"/>
  <c r="BM189" i="42"/>
  <c r="BV189" i="42"/>
  <c r="BU189" i="42"/>
  <c r="BT189" i="42"/>
  <c r="BP189" i="42"/>
  <c r="BS189" i="42"/>
  <c r="BX188" i="42"/>
  <c r="BW188" i="42"/>
  <c r="BN188" i="42"/>
  <c r="BR188" i="42"/>
  <c r="CJ187" i="42"/>
  <c r="CI187" i="42"/>
  <c r="CH187" i="42"/>
  <c r="CG187" i="42"/>
  <c r="CF187" i="42"/>
  <c r="CE187" i="42"/>
  <c r="CD187" i="42"/>
  <c r="CC187" i="42"/>
  <c r="CB187" i="42"/>
  <c r="CA187" i="42"/>
  <c r="BZ187" i="42"/>
  <c r="BY187" i="42"/>
  <c r="BX186" i="42"/>
  <c r="BU186" i="42"/>
  <c r="BQ186" i="42"/>
  <c r="BN186" i="42"/>
  <c r="BU185" i="42"/>
  <c r="BP185" i="42"/>
  <c r="BN185" i="42"/>
  <c r="BM185" i="42"/>
  <c r="BX185" i="42"/>
  <c r="BR185" i="42"/>
  <c r="BQ185" i="42"/>
  <c r="BO185" i="42"/>
  <c r="BW184" i="42"/>
  <c r="BU184" i="42"/>
  <c r="BP184" i="42"/>
  <c r="BN184" i="42"/>
  <c r="BR184" i="42"/>
  <c r="BO184" i="42"/>
  <c r="BX183" i="42"/>
  <c r="BU183" i="42"/>
  <c r="BQ183" i="42"/>
  <c r="BW183" i="42"/>
  <c r="BR183" i="42"/>
  <c r="BO183" i="42"/>
  <c r="BW182" i="42"/>
  <c r="BR182" i="42"/>
  <c r="CJ181" i="42"/>
  <c r="CI181" i="42"/>
  <c r="CH181" i="42"/>
  <c r="CG181" i="42"/>
  <c r="CF181" i="42"/>
  <c r="CE181" i="42"/>
  <c r="CD181" i="42"/>
  <c r="CC181" i="42"/>
  <c r="CB181" i="42"/>
  <c r="CA181" i="42"/>
  <c r="BZ181" i="42"/>
  <c r="BY181" i="42"/>
  <c r="BW180" i="42"/>
  <c r="BO180" i="42"/>
  <c r="BN180" i="42"/>
  <c r="BX180" i="42"/>
  <c r="BV180" i="42"/>
  <c r="BU180" i="42"/>
  <c r="BR180" i="42"/>
  <c r="BX179" i="42"/>
  <c r="BU179" i="42"/>
  <c r="BR179" i="42"/>
  <c r="BO179" i="42"/>
  <c r="BN179" i="42"/>
  <c r="BP179" i="42"/>
  <c r="BW178" i="42"/>
  <c r="BU178" i="42"/>
  <c r="BQ178" i="42"/>
  <c r="BO178" i="42"/>
  <c r="BX178" i="42"/>
  <c r="BV178" i="42"/>
  <c r="BR178" i="42"/>
  <c r="BP178" i="42"/>
  <c r="BT178" i="42"/>
  <c r="BX177" i="42"/>
  <c r="BW177" i="42"/>
  <c r="BV177" i="42"/>
  <c r="BU177" i="42"/>
  <c r="BT177" i="42"/>
  <c r="BR177" i="42"/>
  <c r="BQ177" i="42"/>
  <c r="BM177" i="42"/>
  <c r="BX176" i="42"/>
  <c r="BU176" i="42"/>
  <c r="BQ176" i="42"/>
  <c r="BW176" i="42"/>
  <c r="BR176" i="42"/>
  <c r="BO176" i="42"/>
  <c r="BR175" i="42"/>
  <c r="BP175" i="42"/>
  <c r="BU175" i="42"/>
  <c r="CJ174" i="42"/>
  <c r="CI174" i="42"/>
  <c r="CH174" i="42"/>
  <c r="CG174" i="42"/>
  <c r="CF174" i="42"/>
  <c r="CE174" i="42"/>
  <c r="CD174" i="42"/>
  <c r="CC174" i="42"/>
  <c r="CB174" i="42"/>
  <c r="CA174" i="42"/>
  <c r="BZ174" i="42"/>
  <c r="BY174" i="42"/>
  <c r="BW173" i="42"/>
  <c r="BU173" i="42"/>
  <c r="BR173" i="42"/>
  <c r="BQ173" i="42"/>
  <c r="BO173" i="42"/>
  <c r="BV173" i="42"/>
  <c r="BX173" i="42"/>
  <c r="BN173" i="42"/>
  <c r="BW172" i="42"/>
  <c r="BX172" i="42"/>
  <c r="BU172" i="42"/>
  <c r="BP172" i="42"/>
  <c r="BR172" i="42"/>
  <c r="BQ172" i="42"/>
  <c r="BM172" i="42"/>
  <c r="BN172" i="42"/>
  <c r="BU171" i="42"/>
  <c r="BN171" i="42"/>
  <c r="BX171" i="42"/>
  <c r="BR171" i="42"/>
  <c r="BP171" i="42"/>
  <c r="BO171" i="42"/>
  <c r="BX170" i="42"/>
  <c r="BU170" i="42"/>
  <c r="BR170" i="42"/>
  <c r="BO170" i="42"/>
  <c r="BQ170" i="42"/>
  <c r="BW169" i="42"/>
  <c r="BV169" i="42"/>
  <c r="CJ168" i="42"/>
  <c r="CI168" i="42"/>
  <c r="CH168" i="42"/>
  <c r="CG168" i="42"/>
  <c r="CF168" i="42"/>
  <c r="CE168" i="42"/>
  <c r="CD168" i="42"/>
  <c r="CC168" i="42"/>
  <c r="CB168" i="42"/>
  <c r="CA168" i="42"/>
  <c r="BZ168" i="42"/>
  <c r="BY168" i="42"/>
  <c r="BX167" i="42"/>
  <c r="BQ167" i="42"/>
  <c r="BV167" i="42"/>
  <c r="BW167" i="42"/>
  <c r="BU167" i="42"/>
  <c r="BR167" i="42"/>
  <c r="BP167" i="42"/>
  <c r="BX166" i="42"/>
  <c r="BP166" i="42"/>
  <c r="BQ166" i="42"/>
  <c r="BX165" i="42"/>
  <c r="BU165" i="42"/>
  <c r="BR165" i="42"/>
  <c r="BN165" i="42"/>
  <c r="CJ164" i="42"/>
  <c r="CI164" i="42"/>
  <c r="CH164" i="42"/>
  <c r="CG164" i="42"/>
  <c r="CF164" i="42"/>
  <c r="CE164" i="42"/>
  <c r="CD164" i="42"/>
  <c r="CC164" i="42"/>
  <c r="CB164" i="42"/>
  <c r="CA164" i="42"/>
  <c r="BZ164" i="42"/>
  <c r="BY164" i="42"/>
  <c r="BW163" i="42"/>
  <c r="BV163" i="42"/>
  <c r="BX163" i="42"/>
  <c r="BU163" i="42"/>
  <c r="BP163" i="42"/>
  <c r="BR163" i="42"/>
  <c r="BQ163" i="42"/>
  <c r="BX162" i="42"/>
  <c r="BW162" i="42"/>
  <c r="BV162" i="42"/>
  <c r="BU162" i="42"/>
  <c r="BR162" i="42"/>
  <c r="BP162" i="42"/>
  <c r="BX161" i="42"/>
  <c r="BU161" i="42"/>
  <c r="BP161" i="42"/>
  <c r="BR161" i="42"/>
  <c r="BQ161" i="42"/>
  <c r="BO161" i="42"/>
  <c r="BP160" i="42"/>
  <c r="BW160" i="42"/>
  <c r="BU160" i="42"/>
  <c r="BR160" i="42"/>
  <c r="BQ160" i="42"/>
  <c r="BN160" i="42"/>
  <c r="BW159" i="42"/>
  <c r="BU159" i="42"/>
  <c r="BX159" i="42"/>
  <c r="BR159" i="42"/>
  <c r="CJ158" i="42"/>
  <c r="CI158" i="42"/>
  <c r="CH158" i="42"/>
  <c r="CG158" i="42"/>
  <c r="CF158" i="42"/>
  <c r="CE158" i="42"/>
  <c r="CD158" i="42"/>
  <c r="CC158" i="42"/>
  <c r="CB158" i="42"/>
  <c r="CA158" i="42"/>
  <c r="BZ158" i="42"/>
  <c r="BY158" i="42"/>
  <c r="BW157" i="42"/>
  <c r="BV157" i="42"/>
  <c r="BX157" i="42"/>
  <c r="BP157" i="42"/>
  <c r="BR157" i="42"/>
  <c r="BQ157" i="42"/>
  <c r="BN157" i="42"/>
  <c r="BX156" i="42"/>
  <c r="BW156" i="42"/>
  <c r="BN156" i="42"/>
  <c r="BU156" i="42"/>
  <c r="BR156" i="42"/>
  <c r="BO156" i="42"/>
  <c r="CJ155" i="42"/>
  <c r="CI155" i="42"/>
  <c r="CH155" i="42"/>
  <c r="CG155" i="42"/>
  <c r="CF155" i="42"/>
  <c r="CE155" i="42"/>
  <c r="CD155" i="42"/>
  <c r="CC155" i="42"/>
  <c r="CB155" i="42"/>
  <c r="CA155" i="42"/>
  <c r="BZ155" i="42"/>
  <c r="BY155" i="42"/>
  <c r="BX154" i="42"/>
  <c r="BW154" i="42"/>
  <c r="BU154" i="42"/>
  <c r="BR154" i="42"/>
  <c r="BP154" i="42"/>
  <c r="BN154" i="42"/>
  <c r="BW153" i="42"/>
  <c r="BU153" i="42"/>
  <c r="BV153" i="42"/>
  <c r="BX153" i="42"/>
  <c r="BR153" i="42"/>
  <c r="BO153" i="42"/>
  <c r="BX152" i="42"/>
  <c r="BW152" i="42"/>
  <c r="BU152" i="42"/>
  <c r="BR152" i="42"/>
  <c r="BQ152" i="42"/>
  <c r="BW151" i="42"/>
  <c r="BV151" i="42"/>
  <c r="BX151" i="42"/>
  <c r="BR151" i="42"/>
  <c r="BQ151" i="42"/>
  <c r="CJ150" i="42"/>
  <c r="CI150" i="42"/>
  <c r="CH150" i="42"/>
  <c r="CG150" i="42"/>
  <c r="CF150" i="42"/>
  <c r="CE150" i="42"/>
  <c r="CD150" i="42"/>
  <c r="CC150" i="42"/>
  <c r="CB150" i="42"/>
  <c r="CA150" i="42"/>
  <c r="BZ150" i="42"/>
  <c r="BY150" i="42"/>
  <c r="BU149" i="42"/>
  <c r="BX149" i="42"/>
  <c r="BP149" i="42"/>
  <c r="BQ149" i="42"/>
  <c r="BO149" i="42"/>
  <c r="BP148" i="42"/>
  <c r="BU148" i="42"/>
  <c r="BN148" i="42"/>
  <c r="CJ147" i="42"/>
  <c r="CI147" i="42"/>
  <c r="CH147" i="42"/>
  <c r="CG147" i="42"/>
  <c r="CF147" i="42"/>
  <c r="CE147" i="42"/>
  <c r="CD147" i="42"/>
  <c r="CC147" i="42"/>
  <c r="CB147" i="42"/>
  <c r="CA147" i="42"/>
  <c r="BZ147" i="42"/>
  <c r="BY147" i="42"/>
  <c r="BX146" i="42"/>
  <c r="BW146" i="42"/>
  <c r="BU146" i="42"/>
  <c r="BR146" i="42"/>
  <c r="BQ146" i="42"/>
  <c r="BX145" i="42"/>
  <c r="BW145" i="42"/>
  <c r="BU145" i="42"/>
  <c r="BP145" i="42"/>
  <c r="BR145" i="42"/>
  <c r="BQ145" i="42"/>
  <c r="BN144" i="42"/>
  <c r="BX144" i="42"/>
  <c r="BW144" i="42"/>
  <c r="BU144" i="42"/>
  <c r="BP144" i="42"/>
  <c r="BR144" i="42"/>
  <c r="BQ144" i="42"/>
  <c r="BU143" i="42"/>
  <c r="BX143" i="42"/>
  <c r="BP143" i="42"/>
  <c r="BR143" i="42"/>
  <c r="BQ143" i="42"/>
  <c r="BX142" i="42"/>
  <c r="BW142" i="42"/>
  <c r="BU142" i="42"/>
  <c r="BR142" i="42"/>
  <c r="BP142" i="42"/>
  <c r="BO142" i="42"/>
  <c r="BW141" i="42"/>
  <c r="BQ141" i="42"/>
  <c r="BV141" i="42"/>
  <c r="CJ140" i="42"/>
  <c r="CI140" i="42"/>
  <c r="CH140" i="42"/>
  <c r="CG140" i="42"/>
  <c r="CF140" i="42"/>
  <c r="CE140" i="42"/>
  <c r="CD140" i="42"/>
  <c r="CC140" i="42"/>
  <c r="CB140" i="42"/>
  <c r="CA140" i="42"/>
  <c r="BZ140" i="42"/>
  <c r="BY140" i="42"/>
  <c r="BX139" i="42"/>
  <c r="BV139" i="42"/>
  <c r="BW139" i="42"/>
  <c r="BU139" i="42"/>
  <c r="BP139" i="42"/>
  <c r="BR139" i="42"/>
  <c r="BQ139" i="42"/>
  <c r="BX138" i="42"/>
  <c r="BW138" i="42"/>
  <c r="BU138" i="42"/>
  <c r="BR138" i="42"/>
  <c r="BP138" i="42"/>
  <c r="BU137" i="42"/>
  <c r="BO137" i="42"/>
  <c r="BR137" i="42"/>
  <c r="BN137" i="42"/>
  <c r="CJ136" i="42"/>
  <c r="CI136" i="42"/>
  <c r="CH136" i="42"/>
  <c r="CG136" i="42"/>
  <c r="CF136" i="42"/>
  <c r="CE136" i="42"/>
  <c r="CD136" i="42"/>
  <c r="CC136" i="42"/>
  <c r="CB136" i="42"/>
  <c r="CA136" i="42"/>
  <c r="BZ136" i="42"/>
  <c r="BY136" i="42"/>
  <c r="BW135" i="42"/>
  <c r="BU135" i="42"/>
  <c r="BP135" i="42"/>
  <c r="BR135" i="42"/>
  <c r="BQ135" i="42"/>
  <c r="BX134" i="42"/>
  <c r="BW134" i="42"/>
  <c r="BQ134" i="42"/>
  <c r="BV134" i="42"/>
  <c r="BU134" i="42"/>
  <c r="BR134" i="42"/>
  <c r="BP134" i="42"/>
  <c r="BS134" i="42"/>
  <c r="BX133" i="42"/>
  <c r="BU133" i="42"/>
  <c r="CJ132" i="42"/>
  <c r="CI132" i="42"/>
  <c r="CH132" i="42"/>
  <c r="CG132" i="42"/>
  <c r="CF132" i="42"/>
  <c r="CE132" i="42"/>
  <c r="CD132" i="42"/>
  <c r="CC132" i="42"/>
  <c r="CB132" i="42"/>
  <c r="CA132" i="42"/>
  <c r="BZ132" i="42"/>
  <c r="BY132" i="42"/>
  <c r="BW131" i="42"/>
  <c r="BU131" i="42"/>
  <c r="BQ131" i="42"/>
  <c r="BV131" i="42"/>
  <c r="BX131" i="42"/>
  <c r="BR131" i="42"/>
  <c r="BP131" i="42"/>
  <c r="BO131" i="42"/>
  <c r="BS131" i="42"/>
  <c r="BX130" i="42"/>
  <c r="BU130" i="42"/>
  <c r="BR130" i="42"/>
  <c r="BO130" i="42"/>
  <c r="BQ130" i="42"/>
  <c r="BW129" i="42"/>
  <c r="BU129" i="42"/>
  <c r="BP129" i="42"/>
  <c r="BR129" i="42"/>
  <c r="BQ129" i="42"/>
  <c r="BX128" i="42"/>
  <c r="BW128" i="42"/>
  <c r="BQ128" i="42"/>
  <c r="BV128" i="42"/>
  <c r="BU128" i="42"/>
  <c r="BR128" i="42"/>
  <c r="BP128" i="42"/>
  <c r="BS128" i="42"/>
  <c r="BX127" i="42"/>
  <c r="BU127" i="42"/>
  <c r="BQ127" i="42"/>
  <c r="CJ126" i="42"/>
  <c r="CI126" i="42"/>
  <c r="CH126" i="42"/>
  <c r="CG126" i="42"/>
  <c r="CF126" i="42"/>
  <c r="CE126" i="42"/>
  <c r="CD126" i="42"/>
  <c r="CC126" i="42"/>
  <c r="CB126" i="42"/>
  <c r="CA126" i="42"/>
  <c r="BZ126" i="42"/>
  <c r="BY126" i="42"/>
  <c r="BW125" i="42"/>
  <c r="BU125" i="42"/>
  <c r="BQ125" i="42"/>
  <c r="BV125" i="42"/>
  <c r="BX125" i="42"/>
  <c r="BR125" i="42"/>
  <c r="BP125" i="42"/>
  <c r="BO125" i="42"/>
  <c r="BS125" i="42"/>
  <c r="BX124" i="42"/>
  <c r="BU124" i="42"/>
  <c r="BR124" i="42"/>
  <c r="BO124" i="42"/>
  <c r="BQ124" i="42"/>
  <c r="BW123" i="42"/>
  <c r="BU123" i="42"/>
  <c r="BP123" i="42"/>
  <c r="BR123" i="42"/>
  <c r="BQ123" i="42"/>
  <c r="CJ122" i="42"/>
  <c r="CI122" i="42"/>
  <c r="CH122" i="42"/>
  <c r="CG122" i="42"/>
  <c r="CF122" i="42"/>
  <c r="CE122" i="42"/>
  <c r="CD122" i="42"/>
  <c r="CC122" i="42"/>
  <c r="CB122" i="42"/>
  <c r="CA122" i="42"/>
  <c r="BZ122" i="42"/>
  <c r="BY122" i="42"/>
  <c r="BX121" i="42"/>
  <c r="BU121" i="42"/>
  <c r="BO121" i="42"/>
  <c r="BQ121" i="42"/>
  <c r="BX120" i="42"/>
  <c r="BW120" i="42"/>
  <c r="BU120" i="42"/>
  <c r="BP120" i="42"/>
  <c r="BR120" i="42"/>
  <c r="BQ120" i="42"/>
  <c r="BN120" i="42"/>
  <c r="BW119" i="42"/>
  <c r="BU119" i="42"/>
  <c r="BN119" i="42"/>
  <c r="BV119" i="42"/>
  <c r="BX119" i="42"/>
  <c r="BS119" i="42"/>
  <c r="BR119" i="42"/>
  <c r="BO119" i="42"/>
  <c r="BX118" i="42"/>
  <c r="BU118" i="42"/>
  <c r="BO118" i="42"/>
  <c r="BQ118" i="42"/>
  <c r="BW117" i="42"/>
  <c r="BR117" i="42"/>
  <c r="BQ117" i="42"/>
  <c r="CJ116" i="42"/>
  <c r="CI116" i="42"/>
  <c r="CH116" i="42"/>
  <c r="CG116" i="42"/>
  <c r="CF116" i="42"/>
  <c r="CE116" i="42"/>
  <c r="CD116" i="42"/>
  <c r="CC116" i="42"/>
  <c r="CB116" i="42"/>
  <c r="CA116" i="42"/>
  <c r="BZ116" i="42"/>
  <c r="BY116" i="42"/>
  <c r="BX115" i="42"/>
  <c r="BU115" i="42"/>
  <c r="BO115" i="42"/>
  <c r="BR115" i="42"/>
  <c r="BQ115" i="42"/>
  <c r="BW113" i="42"/>
  <c r="BP113" i="42"/>
  <c r="BR113" i="42"/>
  <c r="BQ113" i="42"/>
  <c r="BN113" i="42"/>
  <c r="CJ112" i="42"/>
  <c r="CI112" i="42"/>
  <c r="CH112" i="42"/>
  <c r="CG112" i="42"/>
  <c r="CF112" i="42"/>
  <c r="CE112" i="42"/>
  <c r="CD112" i="42"/>
  <c r="CC112" i="42"/>
  <c r="CB112" i="42"/>
  <c r="CA112" i="42"/>
  <c r="BZ112" i="42"/>
  <c r="BY112" i="42"/>
  <c r="BX111" i="42"/>
  <c r="BU111" i="42"/>
  <c r="BP111" i="42"/>
  <c r="BQ111" i="42"/>
  <c r="BW110" i="42"/>
  <c r="BU110" i="42"/>
  <c r="BP110" i="42"/>
  <c r="BR110" i="42"/>
  <c r="BQ110" i="42"/>
  <c r="BN110" i="42"/>
  <c r="BM110" i="42"/>
  <c r="BX109" i="42"/>
  <c r="BW109" i="42"/>
  <c r="BV109" i="42"/>
  <c r="BU109" i="42"/>
  <c r="BR109" i="42"/>
  <c r="BO109" i="42"/>
  <c r="BX108" i="42"/>
  <c r="BU108" i="42"/>
  <c r="BP108" i="42"/>
  <c r="BQ108" i="42"/>
  <c r="BO108" i="42"/>
  <c r="BP107" i="42"/>
  <c r="BW107" i="42"/>
  <c r="BU107" i="42"/>
  <c r="BR107" i="42"/>
  <c r="BQ107" i="42"/>
  <c r="BN107" i="42"/>
  <c r="BX106" i="42"/>
  <c r="BW106" i="42"/>
  <c r="BU106" i="42"/>
  <c r="BQ106" i="42"/>
  <c r="BN106" i="42"/>
  <c r="BV106" i="42"/>
  <c r="CJ105" i="42"/>
  <c r="CI105" i="42"/>
  <c r="CH105" i="42"/>
  <c r="CG105" i="42"/>
  <c r="CF105" i="42"/>
  <c r="CE105" i="42"/>
  <c r="CD105" i="42"/>
  <c r="CC105" i="42"/>
  <c r="CB105" i="42"/>
  <c r="CA105" i="42"/>
  <c r="BZ105" i="42"/>
  <c r="BY105" i="42"/>
  <c r="BW104" i="42"/>
  <c r="BV104" i="42"/>
  <c r="BX104" i="42"/>
  <c r="BU104" i="42"/>
  <c r="BP104" i="42"/>
  <c r="BR104" i="42"/>
  <c r="BQ104" i="42"/>
  <c r="BX103" i="42"/>
  <c r="BW103" i="42"/>
  <c r="BV103" i="42"/>
  <c r="BU103" i="42"/>
  <c r="BR103" i="42"/>
  <c r="BP103" i="42"/>
  <c r="BM103" i="42"/>
  <c r="BX102" i="42"/>
  <c r="BR102" i="42"/>
  <c r="BU102" i="42"/>
  <c r="BQ102" i="42"/>
  <c r="BO102" i="42"/>
  <c r="BX101" i="42"/>
  <c r="BO101" i="42"/>
  <c r="BU101" i="42"/>
  <c r="BP101" i="42"/>
  <c r="BQ101" i="42"/>
  <c r="BQ100" i="42"/>
  <c r="BP100" i="42"/>
  <c r="BX100" i="42"/>
  <c r="BU100" i="42"/>
  <c r="BR100" i="42"/>
  <c r="BN100" i="42"/>
  <c r="CJ99" i="42"/>
  <c r="CI99" i="42"/>
  <c r="CH99" i="42"/>
  <c r="CG99" i="42"/>
  <c r="CF99" i="42"/>
  <c r="CE99" i="42"/>
  <c r="CD99" i="42"/>
  <c r="CC99" i="42"/>
  <c r="CB99" i="42"/>
  <c r="CA99" i="42"/>
  <c r="BZ99" i="42"/>
  <c r="BY99" i="42"/>
  <c r="BU98" i="42"/>
  <c r="BR98" i="42"/>
  <c r="BQ98" i="42"/>
  <c r="BX98" i="42"/>
  <c r="BV98" i="42"/>
  <c r="BS98" i="42"/>
  <c r="BP98" i="42"/>
  <c r="BW97" i="42"/>
  <c r="BV97" i="42"/>
  <c r="BR97" i="42"/>
  <c r="BN97" i="42"/>
  <c r="BX97" i="42"/>
  <c r="BU97" i="42"/>
  <c r="BP97" i="42"/>
  <c r="BX96" i="42"/>
  <c r="BU96" i="42"/>
  <c r="BR96" i="42"/>
  <c r="BQ96" i="42"/>
  <c r="BW96" i="42"/>
  <c r="CJ95" i="42"/>
  <c r="CI95" i="42"/>
  <c r="CH95" i="42"/>
  <c r="CG95" i="42"/>
  <c r="CF95" i="42"/>
  <c r="CE95" i="42"/>
  <c r="CD95" i="42"/>
  <c r="CC95" i="42"/>
  <c r="CB95" i="42"/>
  <c r="CA95" i="42"/>
  <c r="BZ95" i="42"/>
  <c r="BY95" i="42"/>
  <c r="BQ94" i="42"/>
  <c r="BN94" i="42"/>
  <c r="BV94" i="42"/>
  <c r="BX94" i="42"/>
  <c r="BW94" i="42"/>
  <c r="BR94" i="42"/>
  <c r="BP94" i="42"/>
  <c r="BT94" i="42"/>
  <c r="BU93" i="42"/>
  <c r="BR93" i="42"/>
  <c r="BQ93" i="42"/>
  <c r="BP93" i="42"/>
  <c r="BO93" i="42"/>
  <c r="BV93" i="42"/>
  <c r="BX93" i="42"/>
  <c r="BW93" i="42"/>
  <c r="BS93" i="42"/>
  <c r="BW92" i="42"/>
  <c r="BU92" i="42"/>
  <c r="BX92" i="42"/>
  <c r="BV92" i="42"/>
  <c r="BP92" i="42"/>
  <c r="BR92" i="42"/>
  <c r="BQ92" i="42"/>
  <c r="BW91" i="42"/>
  <c r="BR91" i="42"/>
  <c r="BQ91" i="42"/>
  <c r="BP91" i="42"/>
  <c r="BV91" i="42"/>
  <c r="BX91" i="42"/>
  <c r="BU91" i="42"/>
  <c r="BX90" i="42"/>
  <c r="BU90" i="42"/>
  <c r="BR90" i="42"/>
  <c r="CJ89" i="42"/>
  <c r="CI89" i="42"/>
  <c r="CH89" i="42"/>
  <c r="CG89" i="42"/>
  <c r="CF89" i="42"/>
  <c r="CE89" i="42"/>
  <c r="CD89" i="42"/>
  <c r="CC89" i="42"/>
  <c r="CB89" i="42"/>
  <c r="CA89" i="42"/>
  <c r="BZ89" i="42"/>
  <c r="BY89" i="42"/>
  <c r="BQ88" i="42"/>
  <c r="BN88" i="42"/>
  <c r="BX88" i="42"/>
  <c r="BW88" i="42"/>
  <c r="BU88" i="42"/>
  <c r="BP88" i="42"/>
  <c r="BR88" i="42"/>
  <c r="BO88" i="42"/>
  <c r="BV87" i="42"/>
  <c r="BU87" i="42"/>
  <c r="BR87" i="42"/>
  <c r="BO87" i="42"/>
  <c r="BX87" i="42"/>
  <c r="BW87" i="42"/>
  <c r="BP87" i="42"/>
  <c r="BU86" i="42"/>
  <c r="BR86" i="42"/>
  <c r="BQ86" i="42"/>
  <c r="BX86" i="42"/>
  <c r="CJ85" i="42"/>
  <c r="CI85" i="42"/>
  <c r="CH85" i="42"/>
  <c r="CG85" i="42"/>
  <c r="CF85" i="42"/>
  <c r="CE85" i="42"/>
  <c r="CD85" i="42"/>
  <c r="CC85" i="42"/>
  <c r="CB85" i="42"/>
  <c r="CA85" i="42"/>
  <c r="BZ85" i="42"/>
  <c r="BY85" i="42"/>
  <c r="BX84" i="42"/>
  <c r="BU84" i="42"/>
  <c r="BQ84" i="42"/>
  <c r="BW84" i="42"/>
  <c r="BP84" i="42"/>
  <c r="BR84" i="42"/>
  <c r="BO84" i="42"/>
  <c r="BR83" i="42"/>
  <c r="BX83" i="42"/>
  <c r="BU83" i="42"/>
  <c r="BT83" i="42"/>
  <c r="BP83" i="42"/>
  <c r="BQ83" i="42"/>
  <c r="BS83" i="42"/>
  <c r="BW82" i="42"/>
  <c r="BX82" i="42"/>
  <c r="BV82" i="42"/>
  <c r="BU82" i="42"/>
  <c r="BR82" i="42"/>
  <c r="BP82" i="42"/>
  <c r="BU81" i="42"/>
  <c r="BQ81" i="42"/>
  <c r="BV81" i="42"/>
  <c r="BX81" i="42"/>
  <c r="BW81" i="42"/>
  <c r="BR81" i="42"/>
  <c r="BN81" i="42"/>
  <c r="BR80" i="42"/>
  <c r="BQ80" i="42"/>
  <c r="BV80" i="42"/>
  <c r="BX80" i="42"/>
  <c r="BW80" i="42"/>
  <c r="BU80" i="42"/>
  <c r="BP80" i="42"/>
  <c r="BW79" i="42"/>
  <c r="BQ79" i="42"/>
  <c r="BM79" i="42"/>
  <c r="BX79" i="42"/>
  <c r="BR79" i="42"/>
  <c r="CJ78" i="42"/>
  <c r="CI78" i="42"/>
  <c r="CH78" i="42"/>
  <c r="CG78" i="42"/>
  <c r="CF78" i="42"/>
  <c r="CE78" i="42"/>
  <c r="CD78" i="42"/>
  <c r="CC78" i="42"/>
  <c r="CB78" i="42"/>
  <c r="CA78" i="42"/>
  <c r="BZ78" i="42"/>
  <c r="BY78" i="42"/>
  <c r="BU77" i="42"/>
  <c r="BU213" i="42" s="1"/>
  <c r="BR77" i="42"/>
  <c r="AN213" i="42"/>
  <c r="AE213" i="42"/>
  <c r="W213" i="42"/>
  <c r="V213" i="42"/>
  <c r="CJ76" i="42"/>
  <c r="CI76" i="42"/>
  <c r="CH76" i="42"/>
  <c r="CG76" i="42"/>
  <c r="CF76" i="42"/>
  <c r="CE76" i="42"/>
  <c r="CD76" i="42"/>
  <c r="CC76" i="42"/>
  <c r="CB76" i="42"/>
  <c r="CA76" i="42"/>
  <c r="BZ76" i="42"/>
  <c r="BY76" i="42"/>
  <c r="BW75" i="42"/>
  <c r="BX75" i="42"/>
  <c r="BU75" i="42"/>
  <c r="BP75" i="42"/>
  <c r="BR75" i="42"/>
  <c r="BQ75" i="42"/>
  <c r="BX74" i="42"/>
  <c r="BW74" i="42"/>
  <c r="BV74" i="42"/>
  <c r="BU74" i="42"/>
  <c r="BR74" i="42"/>
  <c r="BP74" i="42"/>
  <c r="BN74" i="42"/>
  <c r="BX73" i="42"/>
  <c r="BU73" i="42"/>
  <c r="BP73" i="42"/>
  <c r="BQ73" i="42"/>
  <c r="BO73" i="42"/>
  <c r="BP72" i="42"/>
  <c r="BX72" i="42"/>
  <c r="BW72" i="42"/>
  <c r="BU72" i="42"/>
  <c r="BR72" i="42"/>
  <c r="BQ72" i="42"/>
  <c r="BN72" i="42"/>
  <c r="BW71" i="42"/>
  <c r="BU71" i="42"/>
  <c r="BV71" i="42"/>
  <c r="BX71" i="42"/>
  <c r="BS71" i="42"/>
  <c r="BR71" i="42"/>
  <c r="BP71" i="42"/>
  <c r="BO71" i="42"/>
  <c r="BX70" i="42"/>
  <c r="BU70" i="42"/>
  <c r="BW70" i="42"/>
  <c r="CJ69" i="42"/>
  <c r="CI69" i="42"/>
  <c r="CH69" i="42"/>
  <c r="CG69" i="42"/>
  <c r="CF69" i="42"/>
  <c r="CE69" i="42"/>
  <c r="CD69" i="42"/>
  <c r="CC69" i="42"/>
  <c r="CB69" i="42"/>
  <c r="CA69" i="42"/>
  <c r="BZ69" i="42"/>
  <c r="BY69" i="42"/>
  <c r="BX68" i="42"/>
  <c r="BW68" i="42"/>
  <c r="BV68" i="42"/>
  <c r="BU68" i="42"/>
  <c r="BR68" i="42"/>
  <c r="BP68" i="42"/>
  <c r="BN68" i="42"/>
  <c r="BX67" i="42"/>
  <c r="BU67" i="42"/>
  <c r="BO67" i="42"/>
  <c r="BQ67" i="42"/>
  <c r="BP66" i="42"/>
  <c r="BW66" i="42"/>
  <c r="BU66" i="42"/>
  <c r="BR66" i="42"/>
  <c r="BQ66" i="42"/>
  <c r="BN66" i="42"/>
  <c r="BW65" i="42"/>
  <c r="BU65" i="42"/>
  <c r="BX65" i="42"/>
  <c r="BR65" i="42"/>
  <c r="BO65" i="42"/>
  <c r="CJ64" i="42"/>
  <c r="CI64" i="42"/>
  <c r="CH64" i="42"/>
  <c r="CG64" i="42"/>
  <c r="CF64" i="42"/>
  <c r="CE64" i="42"/>
  <c r="CD64" i="42"/>
  <c r="CC64" i="42"/>
  <c r="CB64" i="42"/>
  <c r="CA64" i="42"/>
  <c r="BZ64" i="42"/>
  <c r="BY64" i="42"/>
  <c r="BW63" i="42"/>
  <c r="BX63" i="42"/>
  <c r="BU63" i="42"/>
  <c r="BP63" i="42"/>
  <c r="BR63" i="42"/>
  <c r="BQ63" i="42"/>
  <c r="BX62" i="42"/>
  <c r="BW62" i="42"/>
  <c r="BV62" i="42"/>
  <c r="BU62" i="42"/>
  <c r="BR62" i="42"/>
  <c r="BP62" i="42"/>
  <c r="BX61" i="42"/>
  <c r="BU61" i="42"/>
  <c r="BP61" i="42"/>
  <c r="BQ61" i="42"/>
  <c r="BP60" i="42"/>
  <c r="BW60" i="42"/>
  <c r="BU60" i="42"/>
  <c r="BR60" i="42"/>
  <c r="BQ60" i="42"/>
  <c r="BN60" i="42"/>
  <c r="BW59" i="42"/>
  <c r="BU59" i="42"/>
  <c r="BQ59" i="42"/>
  <c r="BX59" i="42"/>
  <c r="BI208" i="42"/>
  <c r="CJ58" i="42"/>
  <c r="CI58" i="42"/>
  <c r="CH58" i="42"/>
  <c r="CG58" i="42"/>
  <c r="CF58" i="42"/>
  <c r="CE58" i="42"/>
  <c r="CD58" i="42"/>
  <c r="CC58" i="42"/>
  <c r="CB58" i="42"/>
  <c r="CA58" i="42"/>
  <c r="BZ58" i="42"/>
  <c r="BY58" i="42"/>
  <c r="BW57" i="42"/>
  <c r="BV57" i="42"/>
  <c r="BX57" i="42"/>
  <c r="BU57" i="42"/>
  <c r="BP57" i="42"/>
  <c r="BR57" i="42"/>
  <c r="BQ57" i="42"/>
  <c r="BX56" i="42"/>
  <c r="BW56" i="42"/>
  <c r="BV56" i="42"/>
  <c r="BU56" i="42"/>
  <c r="BR56" i="42"/>
  <c r="BP56" i="42"/>
  <c r="BX55" i="42"/>
  <c r="BU55" i="42"/>
  <c r="BP55" i="42"/>
  <c r="BR55" i="42"/>
  <c r="BQ55" i="42"/>
  <c r="BO55" i="42"/>
  <c r="BP54" i="42"/>
  <c r="BW54" i="42"/>
  <c r="BU54" i="42"/>
  <c r="BR54" i="42"/>
  <c r="BQ54" i="42"/>
  <c r="BN54" i="42"/>
  <c r="BU53" i="42"/>
  <c r="BX53" i="42"/>
  <c r="BW53" i="42"/>
  <c r="BR53" i="42"/>
  <c r="CJ52" i="42"/>
  <c r="CI52" i="42"/>
  <c r="CH52" i="42"/>
  <c r="CG52" i="42"/>
  <c r="CF52" i="42"/>
  <c r="CE52" i="42"/>
  <c r="CD52" i="42"/>
  <c r="CC52" i="42"/>
  <c r="CB52" i="42"/>
  <c r="CA52" i="42"/>
  <c r="BZ52" i="42"/>
  <c r="BY52" i="42"/>
  <c r="BW51" i="42"/>
  <c r="BV51" i="42"/>
  <c r="BX51" i="42"/>
  <c r="BU51" i="42"/>
  <c r="BR51" i="42"/>
  <c r="BQ51" i="42"/>
  <c r="BX50" i="42"/>
  <c r="BW50" i="42"/>
  <c r="BV50" i="42"/>
  <c r="BU50" i="42"/>
  <c r="BR50" i="42"/>
  <c r="BP50" i="42"/>
  <c r="BM50" i="42"/>
  <c r="BX49" i="42"/>
  <c r="BR49" i="42"/>
  <c r="BU49" i="42"/>
  <c r="BP49" i="42"/>
  <c r="BQ49" i="42"/>
  <c r="BO49" i="42"/>
  <c r="BX48" i="42"/>
  <c r="BW48" i="42"/>
  <c r="BU48" i="42"/>
  <c r="BP48" i="42"/>
  <c r="BR48" i="42"/>
  <c r="BQ48" i="42"/>
  <c r="BN48" i="42"/>
  <c r="BU47" i="42"/>
  <c r="BX47" i="42"/>
  <c r="CJ46" i="42"/>
  <c r="CI46" i="42"/>
  <c r="CH46" i="42"/>
  <c r="CG46" i="42"/>
  <c r="CF46" i="42"/>
  <c r="CE46" i="42"/>
  <c r="CD46" i="42"/>
  <c r="CC46" i="42"/>
  <c r="CB46" i="42"/>
  <c r="CA46" i="42"/>
  <c r="BZ46" i="42"/>
  <c r="BY46" i="42"/>
  <c r="BW45" i="42"/>
  <c r="BP45" i="42"/>
  <c r="BP214" i="42" s="1"/>
  <c r="BV45" i="42"/>
  <c r="BI214" i="42"/>
  <c r="AN214" i="42"/>
  <c r="BQ45" i="42"/>
  <c r="V214" i="42"/>
  <c r="CJ44" i="42"/>
  <c r="CI44" i="42"/>
  <c r="CH44" i="42"/>
  <c r="CG44" i="42"/>
  <c r="CF44" i="42"/>
  <c r="CE44" i="42"/>
  <c r="CD44" i="42"/>
  <c r="CC44" i="42"/>
  <c r="CB44" i="42"/>
  <c r="CA44" i="42"/>
  <c r="BZ44" i="42"/>
  <c r="BY44" i="42"/>
  <c r="BX43" i="42"/>
  <c r="BR43" i="42"/>
  <c r="BU43" i="42"/>
  <c r="BP43" i="42"/>
  <c r="BQ43" i="42"/>
  <c r="BN43" i="42"/>
  <c r="BN42" i="42"/>
  <c r="BX42" i="42"/>
  <c r="BU42" i="42"/>
  <c r="BP42" i="42"/>
  <c r="BR42" i="42"/>
  <c r="BQ42" i="42"/>
  <c r="BU41" i="42"/>
  <c r="BQ41" i="42"/>
  <c r="BO41" i="42"/>
  <c r="BN41" i="42"/>
  <c r="BR41" i="42"/>
  <c r="BP41" i="42"/>
  <c r="CJ40" i="42"/>
  <c r="CI40" i="42"/>
  <c r="CH40" i="42"/>
  <c r="CG40" i="42"/>
  <c r="CF40" i="42"/>
  <c r="CE40" i="42"/>
  <c r="CD40" i="42"/>
  <c r="CC40" i="42"/>
  <c r="CB40" i="42"/>
  <c r="CA40" i="42"/>
  <c r="BZ40" i="42"/>
  <c r="BY40" i="42"/>
  <c r="BW39" i="42"/>
  <c r="BR39" i="42"/>
  <c r="BX39" i="42"/>
  <c r="BU39" i="42"/>
  <c r="BP39" i="42"/>
  <c r="BQ39" i="42"/>
  <c r="BM39" i="42"/>
  <c r="BX38" i="42"/>
  <c r="BW38" i="42"/>
  <c r="BN38" i="42"/>
  <c r="BV38" i="42"/>
  <c r="BU38" i="42"/>
  <c r="CJ37" i="42"/>
  <c r="CI37" i="42"/>
  <c r="CH37" i="42"/>
  <c r="CG37" i="42"/>
  <c r="CF37" i="42"/>
  <c r="CE37" i="42"/>
  <c r="CD37" i="42"/>
  <c r="CC37" i="42"/>
  <c r="CB37" i="42"/>
  <c r="CA37" i="42"/>
  <c r="BZ37" i="42"/>
  <c r="BY37" i="42"/>
  <c r="BU36" i="42"/>
  <c r="BX36" i="42"/>
  <c r="BP36" i="42"/>
  <c r="BR36" i="42"/>
  <c r="BQ36" i="42"/>
  <c r="BU35" i="42"/>
  <c r="BQ35" i="42"/>
  <c r="BV35" i="42"/>
  <c r="BX35" i="42"/>
  <c r="BW35" i="42"/>
  <c r="BR35" i="42"/>
  <c r="BM35" i="42"/>
  <c r="BO35" i="42"/>
  <c r="BU34" i="42"/>
  <c r="BO34" i="42"/>
  <c r="BP34" i="42"/>
  <c r="CJ33" i="42"/>
  <c r="CI33" i="42"/>
  <c r="CH33" i="42"/>
  <c r="CG33" i="42"/>
  <c r="CF33" i="42"/>
  <c r="CE33" i="42"/>
  <c r="CD33" i="42"/>
  <c r="CC33" i="42"/>
  <c r="CB33" i="42"/>
  <c r="CA33" i="42"/>
  <c r="BZ33" i="42"/>
  <c r="BY33" i="42"/>
  <c r="BW32" i="42"/>
  <c r="BU32" i="42"/>
  <c r="BV32" i="42"/>
  <c r="BX32" i="42"/>
  <c r="BR32" i="42"/>
  <c r="BP32" i="42"/>
  <c r="BN32" i="42"/>
  <c r="BX31" i="42"/>
  <c r="BW31" i="42"/>
  <c r="BU31" i="42"/>
  <c r="BR31" i="42"/>
  <c r="BQ31" i="42"/>
  <c r="BO31" i="42"/>
  <c r="BX30" i="42"/>
  <c r="BW30" i="42"/>
  <c r="BV30" i="42"/>
  <c r="BR30" i="42"/>
  <c r="BQ30" i="42"/>
  <c r="CJ29" i="42"/>
  <c r="CI29" i="42"/>
  <c r="CH29" i="42"/>
  <c r="CG29" i="42"/>
  <c r="CF29" i="42"/>
  <c r="CE29" i="42"/>
  <c r="CD29" i="42"/>
  <c r="CC29" i="42"/>
  <c r="CB29" i="42"/>
  <c r="CA29" i="42"/>
  <c r="BZ29" i="42"/>
  <c r="BY29" i="42"/>
  <c r="BX28" i="42"/>
  <c r="BU28" i="42"/>
  <c r="BW28" i="42"/>
  <c r="BP28" i="42"/>
  <c r="BR28" i="42"/>
  <c r="BQ28" i="42"/>
  <c r="BO28" i="42"/>
  <c r="BN28" i="42"/>
  <c r="BU27" i="42"/>
  <c r="BP27" i="42"/>
  <c r="BX27" i="42"/>
  <c r="BW27" i="42"/>
  <c r="BR27" i="42"/>
  <c r="BQ27" i="42"/>
  <c r="BM27" i="42"/>
  <c r="BO27" i="42"/>
  <c r="BN27" i="42"/>
  <c r="BW26" i="42"/>
  <c r="BU26" i="42"/>
  <c r="BV26" i="42"/>
  <c r="BR26" i="42"/>
  <c r="BQ26" i="42"/>
  <c r="BN26" i="42"/>
  <c r="CJ25" i="42"/>
  <c r="CI25" i="42"/>
  <c r="CH25" i="42"/>
  <c r="CG25" i="42"/>
  <c r="CF25" i="42"/>
  <c r="CE25" i="42"/>
  <c r="CD25" i="42"/>
  <c r="CC25" i="42"/>
  <c r="CB25" i="42"/>
  <c r="CA25" i="42"/>
  <c r="BZ25" i="42"/>
  <c r="BY25" i="42"/>
  <c r="BX24" i="42"/>
  <c r="BW24" i="42"/>
  <c r="BV24" i="42"/>
  <c r="BU24" i="42"/>
  <c r="BP24" i="42"/>
  <c r="BR24" i="42"/>
  <c r="BX23" i="42"/>
  <c r="BW23" i="42"/>
  <c r="BV23" i="42"/>
  <c r="BU23" i="42"/>
  <c r="BP23" i="42"/>
  <c r="BQ23" i="42"/>
  <c r="BN23" i="42"/>
  <c r="BX22" i="42"/>
  <c r="BU22" i="42"/>
  <c r="BR22" i="42"/>
  <c r="BQ22" i="42"/>
  <c r="BN22" i="42"/>
  <c r="CJ21" i="42"/>
  <c r="CI21" i="42"/>
  <c r="CH21" i="42"/>
  <c r="CG21" i="42"/>
  <c r="CF21" i="42"/>
  <c r="CE21" i="42"/>
  <c r="CD21" i="42"/>
  <c r="CC21" i="42"/>
  <c r="CB21" i="42"/>
  <c r="CA21" i="42"/>
  <c r="BZ21" i="42"/>
  <c r="BY21" i="42"/>
  <c r="BW20" i="42"/>
  <c r="BU20" i="42"/>
  <c r="BV20" i="42"/>
  <c r="BX20" i="42"/>
  <c r="BR20" i="42"/>
  <c r="BP20" i="42"/>
  <c r="BN20" i="42"/>
  <c r="BX19" i="42"/>
  <c r="BW19" i="42"/>
  <c r="BU19" i="42"/>
  <c r="BV19" i="42"/>
  <c r="BR19" i="42"/>
  <c r="BQ19" i="42"/>
  <c r="BO19" i="42"/>
  <c r="BX18" i="42"/>
  <c r="BW18" i="42"/>
  <c r="BV18" i="42"/>
  <c r="AX212" i="42"/>
  <c r="BP18" i="42"/>
  <c r="W212" i="42"/>
  <c r="BX17" i="42"/>
  <c r="BW17" i="42"/>
  <c r="BV17" i="42"/>
  <c r="BU17" i="42"/>
  <c r="AN211" i="42"/>
  <c r="V211" i="42"/>
  <c r="BX16" i="42"/>
  <c r="BU16" i="42"/>
  <c r="BW16" i="42"/>
  <c r="BP16" i="42"/>
  <c r="BR16" i="42"/>
  <c r="BQ16" i="42"/>
  <c r="BO16" i="42"/>
  <c r="BP15" i="42"/>
  <c r="BW15" i="42"/>
  <c r="BU15" i="42"/>
  <c r="BR15" i="42"/>
  <c r="BQ15" i="42"/>
  <c r="BN15" i="42"/>
  <c r="BW14" i="42"/>
  <c r="BU14" i="42"/>
  <c r="BX14" i="42"/>
  <c r="AM207" i="42"/>
  <c r="BX13" i="42"/>
  <c r="BU13" i="42"/>
  <c r="BW13" i="42"/>
  <c r="BR13" i="42"/>
  <c r="BQ13" i="42"/>
  <c r="BO13" i="42"/>
  <c r="BW12" i="42"/>
  <c r="BV12" i="42"/>
  <c r="AX205" i="42"/>
  <c r="W205" i="42"/>
  <c r="CJ151" i="41"/>
  <c r="CI151" i="41"/>
  <c r="CH151" i="41"/>
  <c r="CG151" i="41"/>
  <c r="CF151" i="41"/>
  <c r="CE151" i="41"/>
  <c r="CD151" i="41"/>
  <c r="CC151" i="41"/>
  <c r="CB151" i="41"/>
  <c r="CA151" i="41"/>
  <c r="BZ151" i="41"/>
  <c r="BY151" i="41"/>
  <c r="BH151" i="41"/>
  <c r="BG151" i="41"/>
  <c r="BF151" i="41"/>
  <c r="BE151" i="41"/>
  <c r="BD151" i="41"/>
  <c r="BC151" i="41"/>
  <c r="BB151" i="41"/>
  <c r="BA151" i="41"/>
  <c r="AZ151" i="41"/>
  <c r="AW151" i="41"/>
  <c r="AV151" i="41"/>
  <c r="AU151" i="41"/>
  <c r="AL151" i="41"/>
  <c r="AK151" i="41"/>
  <c r="AJ151" i="41"/>
  <c r="AI151" i="41"/>
  <c r="AH151" i="41"/>
  <c r="AD151" i="41"/>
  <c r="AC151" i="41"/>
  <c r="AB151" i="41"/>
  <c r="AA151" i="41"/>
  <c r="Z151" i="41"/>
  <c r="Y151" i="41"/>
  <c r="X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CJ150" i="41"/>
  <c r="CI150" i="41"/>
  <c r="CH150" i="41"/>
  <c r="CG150" i="41"/>
  <c r="CF150" i="41"/>
  <c r="CE150" i="41"/>
  <c r="CD150" i="41"/>
  <c r="CC150" i="41"/>
  <c r="CB150" i="41"/>
  <c r="CA150" i="41"/>
  <c r="BZ150" i="41"/>
  <c r="BY150" i="41"/>
  <c r="BH150" i="41"/>
  <c r="BG150" i="41"/>
  <c r="BF150" i="41"/>
  <c r="BE150" i="41"/>
  <c r="BD150" i="41"/>
  <c r="BC150" i="41"/>
  <c r="BB150" i="41"/>
  <c r="BA150" i="41"/>
  <c r="AZ150" i="41"/>
  <c r="AW150" i="41"/>
  <c r="AV150" i="41"/>
  <c r="AU150" i="41"/>
  <c r="AL150" i="41"/>
  <c r="AK150" i="41"/>
  <c r="AJ150" i="41"/>
  <c r="AI150" i="41"/>
  <c r="AH150" i="41"/>
  <c r="AD150" i="41"/>
  <c r="AC150" i="41"/>
  <c r="AB150" i="41"/>
  <c r="AA150" i="41"/>
  <c r="Z150" i="41"/>
  <c r="Y150" i="41"/>
  <c r="X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CJ149" i="41"/>
  <c r="CI149" i="41"/>
  <c r="CH149" i="41"/>
  <c r="CG149" i="41"/>
  <c r="CF149" i="41"/>
  <c r="CE149" i="41"/>
  <c r="CD149" i="41"/>
  <c r="CC149" i="41"/>
  <c r="CB149" i="41"/>
  <c r="CA149" i="41"/>
  <c r="BZ149" i="41"/>
  <c r="BY149" i="41"/>
  <c r="BH149" i="41"/>
  <c r="BG149" i="41"/>
  <c r="BF149" i="41"/>
  <c r="BE149" i="41"/>
  <c r="BD149" i="41"/>
  <c r="BC149" i="41"/>
  <c r="BB149" i="41"/>
  <c r="BA149" i="41"/>
  <c r="AZ149" i="41"/>
  <c r="AW149" i="41"/>
  <c r="AV149" i="41"/>
  <c r="AU149" i="41"/>
  <c r="AL149" i="41"/>
  <c r="AK149" i="41"/>
  <c r="AJ149" i="41"/>
  <c r="AI149" i="41"/>
  <c r="AH149" i="41"/>
  <c r="AD149" i="41"/>
  <c r="AC149" i="41"/>
  <c r="AB149" i="41"/>
  <c r="AA149" i="41"/>
  <c r="Z149" i="41"/>
  <c r="Y149" i="41"/>
  <c r="X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CJ148" i="41"/>
  <c r="CI148" i="41"/>
  <c r="CH148" i="41"/>
  <c r="CG148" i="41"/>
  <c r="CF148" i="41"/>
  <c r="CE148" i="41"/>
  <c r="CD148" i="41"/>
  <c r="CC148" i="41"/>
  <c r="CB148" i="41"/>
  <c r="CA148" i="41"/>
  <c r="BZ148" i="41"/>
  <c r="BY148" i="41"/>
  <c r="BH148" i="41"/>
  <c r="BG148" i="41"/>
  <c r="BF148" i="41"/>
  <c r="BE148" i="41"/>
  <c r="BD148" i="41"/>
  <c r="BC148" i="41"/>
  <c r="BB148" i="41"/>
  <c r="BA148" i="41"/>
  <c r="AZ148" i="41"/>
  <c r="AW148" i="41"/>
  <c r="AV148" i="41"/>
  <c r="AU148" i="41"/>
  <c r="AL148" i="41"/>
  <c r="AK148" i="41"/>
  <c r="AJ148" i="41"/>
  <c r="AI148" i="41"/>
  <c r="AH148" i="41"/>
  <c r="AD148" i="41"/>
  <c r="AC148" i="41"/>
  <c r="AB148" i="41"/>
  <c r="AA148" i="41"/>
  <c r="Z148" i="41"/>
  <c r="Y148" i="41"/>
  <c r="X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CJ147" i="41"/>
  <c r="CI147" i="41"/>
  <c r="CH147" i="41"/>
  <c r="CG147" i="41"/>
  <c r="CF147" i="41"/>
  <c r="CE147" i="41"/>
  <c r="CD147" i="41"/>
  <c r="CC147" i="41"/>
  <c r="CB147" i="41"/>
  <c r="CA147" i="41"/>
  <c r="BZ147" i="41"/>
  <c r="BY147" i="41"/>
  <c r="BX147" i="41"/>
  <c r="BW147" i="41"/>
  <c r="BV147" i="41"/>
  <c r="BU147" i="41"/>
  <c r="BT147" i="41"/>
  <c r="BS147" i="41"/>
  <c r="BR147" i="41"/>
  <c r="BQ147" i="41"/>
  <c r="BP147" i="41"/>
  <c r="BO147" i="41"/>
  <c r="BN147" i="41"/>
  <c r="BM147" i="41"/>
  <c r="BL147" i="41"/>
  <c r="BK147" i="41"/>
  <c r="BJ147" i="41"/>
  <c r="BI147" i="41"/>
  <c r="BH147" i="41"/>
  <c r="BG147" i="41"/>
  <c r="BF147" i="41"/>
  <c r="BE147" i="41"/>
  <c r="BD147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CJ146" i="41"/>
  <c r="CI146" i="41"/>
  <c r="CH146" i="41"/>
  <c r="CG146" i="41"/>
  <c r="CF146" i="41"/>
  <c r="CE146" i="41"/>
  <c r="CD146" i="41"/>
  <c r="CC146" i="41"/>
  <c r="CB146" i="41"/>
  <c r="CA146" i="41"/>
  <c r="BZ146" i="41"/>
  <c r="BY146" i="41"/>
  <c r="BX146" i="41"/>
  <c r="BW146" i="41"/>
  <c r="BV146" i="41"/>
  <c r="BU146" i="41"/>
  <c r="BT146" i="41"/>
  <c r="BS146" i="41"/>
  <c r="BR146" i="41"/>
  <c r="BQ146" i="41"/>
  <c r="BP146" i="41"/>
  <c r="BO146" i="41"/>
  <c r="BN146" i="41"/>
  <c r="BM146" i="41"/>
  <c r="BL146" i="41"/>
  <c r="BK146" i="41"/>
  <c r="BJ146" i="41"/>
  <c r="BI146" i="41"/>
  <c r="BH146" i="41"/>
  <c r="BG146" i="41"/>
  <c r="BF146" i="41"/>
  <c r="BE146" i="41"/>
  <c r="BD146" i="41"/>
  <c r="BC146" i="41"/>
  <c r="BB146" i="41"/>
  <c r="BA146" i="41"/>
  <c r="AZ146" i="41"/>
  <c r="AY146" i="41"/>
  <c r="AX146" i="41"/>
  <c r="AW146" i="41"/>
  <c r="AV146" i="41"/>
  <c r="AU146" i="41"/>
  <c r="AT146" i="41"/>
  <c r="AS146" i="41"/>
  <c r="AR146" i="41"/>
  <c r="AQ146" i="41"/>
  <c r="AP146" i="41"/>
  <c r="AO146" i="41"/>
  <c r="AN146" i="41"/>
  <c r="AM146" i="41"/>
  <c r="AL146" i="41"/>
  <c r="AK146" i="41"/>
  <c r="AJ146" i="41"/>
  <c r="AI146" i="41"/>
  <c r="AH146" i="41"/>
  <c r="AG146" i="41"/>
  <c r="AF146" i="41"/>
  <c r="AE146" i="41"/>
  <c r="AD146" i="41"/>
  <c r="AC146" i="41"/>
  <c r="AB146" i="41"/>
  <c r="AA146" i="41"/>
  <c r="Z146" i="41"/>
  <c r="Y146" i="41"/>
  <c r="X146" i="41"/>
  <c r="W146" i="41"/>
  <c r="V146" i="41"/>
  <c r="U146" i="41"/>
  <c r="T146" i="41"/>
  <c r="S146" i="41"/>
  <c r="R146" i="41"/>
  <c r="Q146" i="41"/>
  <c r="P146" i="41"/>
  <c r="O146" i="41"/>
  <c r="N146" i="41"/>
  <c r="M146" i="41"/>
  <c r="L146" i="41"/>
  <c r="K146" i="41"/>
  <c r="J146" i="41"/>
  <c r="I146" i="41"/>
  <c r="CJ145" i="41"/>
  <c r="CI145" i="41"/>
  <c r="CH145" i="41"/>
  <c r="CG145" i="41"/>
  <c r="CF145" i="41"/>
  <c r="CE145" i="41"/>
  <c r="CD145" i="41"/>
  <c r="CC145" i="41"/>
  <c r="CB145" i="41"/>
  <c r="CA145" i="41"/>
  <c r="BZ145" i="41"/>
  <c r="BY145" i="41"/>
  <c r="BH145" i="41"/>
  <c r="BG145" i="41"/>
  <c r="BF145" i="41"/>
  <c r="BE145" i="41"/>
  <c r="BD145" i="41"/>
  <c r="BC145" i="41"/>
  <c r="BB145" i="41"/>
  <c r="BA145" i="41"/>
  <c r="AZ145" i="41"/>
  <c r="AW145" i="41"/>
  <c r="AV145" i="41"/>
  <c r="AU145" i="41"/>
  <c r="AL145" i="41"/>
  <c r="AK145" i="41"/>
  <c r="AJ145" i="41"/>
  <c r="AI145" i="41"/>
  <c r="AH145" i="41"/>
  <c r="AD145" i="41"/>
  <c r="AC145" i="41"/>
  <c r="AB145" i="41"/>
  <c r="AA145" i="41"/>
  <c r="Z145" i="41"/>
  <c r="Y145" i="41"/>
  <c r="X145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CJ144" i="41"/>
  <c r="CI144" i="41"/>
  <c r="CH144" i="41"/>
  <c r="CG144" i="41"/>
  <c r="CF144" i="41"/>
  <c r="CE144" i="41"/>
  <c r="CD144" i="41"/>
  <c r="CC144" i="41"/>
  <c r="CB144" i="41"/>
  <c r="CA144" i="41"/>
  <c r="BZ144" i="41"/>
  <c r="BY144" i="41"/>
  <c r="BX144" i="41"/>
  <c r="BW144" i="41"/>
  <c r="BV144" i="41"/>
  <c r="BU144" i="41"/>
  <c r="BT144" i="41"/>
  <c r="BS144" i="41"/>
  <c r="BR144" i="41"/>
  <c r="BQ144" i="41"/>
  <c r="BP144" i="41"/>
  <c r="BO144" i="41"/>
  <c r="BN144" i="41"/>
  <c r="BM144" i="41"/>
  <c r="BL144" i="41"/>
  <c r="BK144" i="41"/>
  <c r="BJ144" i="41"/>
  <c r="BI144" i="41"/>
  <c r="BH144" i="41"/>
  <c r="BG144" i="41"/>
  <c r="BF144" i="41"/>
  <c r="BE144" i="41"/>
  <c r="BD144" i="41"/>
  <c r="BC144" i="41"/>
  <c r="BB144" i="41"/>
  <c r="BA144" i="41"/>
  <c r="AZ144" i="41"/>
  <c r="AY144" i="41"/>
  <c r="AX144" i="41"/>
  <c r="AW144" i="41"/>
  <c r="AV144" i="41"/>
  <c r="AU144" i="41"/>
  <c r="AT144" i="41"/>
  <c r="AS144" i="41"/>
  <c r="AR144" i="41"/>
  <c r="AQ144" i="41"/>
  <c r="AP144" i="41"/>
  <c r="AO144" i="41"/>
  <c r="AN144" i="41"/>
  <c r="AM144" i="41"/>
  <c r="AL144" i="41"/>
  <c r="AK144" i="41"/>
  <c r="AJ144" i="41"/>
  <c r="AI144" i="41"/>
  <c r="AH144" i="41"/>
  <c r="AG144" i="41"/>
  <c r="AF144" i="41"/>
  <c r="AE144" i="41"/>
  <c r="AD144" i="41"/>
  <c r="AC144" i="41"/>
  <c r="AB144" i="41"/>
  <c r="AA144" i="41"/>
  <c r="Z144" i="41"/>
  <c r="Y144" i="41"/>
  <c r="X144" i="41"/>
  <c r="W144" i="41"/>
  <c r="V144" i="41"/>
  <c r="U144" i="41"/>
  <c r="T144" i="41"/>
  <c r="S144" i="41"/>
  <c r="R144" i="41"/>
  <c r="Q144" i="41"/>
  <c r="P144" i="41"/>
  <c r="O144" i="41"/>
  <c r="N144" i="41"/>
  <c r="M144" i="41"/>
  <c r="L144" i="41"/>
  <c r="K144" i="41"/>
  <c r="J144" i="41"/>
  <c r="I144" i="41"/>
  <c r="CJ143" i="41"/>
  <c r="CI143" i="41"/>
  <c r="CH143" i="41"/>
  <c r="CG143" i="41"/>
  <c r="CF143" i="41"/>
  <c r="CE143" i="41"/>
  <c r="CD143" i="41"/>
  <c r="CC143" i="41"/>
  <c r="CB143" i="41"/>
  <c r="CA143" i="41"/>
  <c r="BZ143" i="41"/>
  <c r="BY143" i="41"/>
  <c r="BH143" i="41"/>
  <c r="BG143" i="41"/>
  <c r="BF143" i="41"/>
  <c r="BE143" i="41"/>
  <c r="BD143" i="41"/>
  <c r="BC143" i="41"/>
  <c r="BB143" i="41"/>
  <c r="BA143" i="41"/>
  <c r="AZ143" i="41"/>
  <c r="AW143" i="41"/>
  <c r="AV143" i="41"/>
  <c r="AU143" i="41"/>
  <c r="AL143" i="41"/>
  <c r="AK143" i="41"/>
  <c r="AJ143" i="41"/>
  <c r="AI143" i="41"/>
  <c r="AH143" i="41"/>
  <c r="AD143" i="41"/>
  <c r="AC143" i="41"/>
  <c r="AB143" i="41"/>
  <c r="AA143" i="41"/>
  <c r="Z143" i="41"/>
  <c r="Y143" i="41"/>
  <c r="X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CJ142" i="41"/>
  <c r="CI142" i="41"/>
  <c r="CH142" i="41"/>
  <c r="CG142" i="41"/>
  <c r="CF142" i="41"/>
  <c r="CE142" i="41"/>
  <c r="CD142" i="41"/>
  <c r="CC142" i="41"/>
  <c r="CB142" i="41"/>
  <c r="CA142" i="41"/>
  <c r="BZ142" i="41"/>
  <c r="BH142" i="41"/>
  <c r="BG142" i="41"/>
  <c r="BF142" i="41"/>
  <c r="BE142" i="41"/>
  <c r="BD142" i="41"/>
  <c r="BC142" i="41"/>
  <c r="BB142" i="41"/>
  <c r="BA142" i="41"/>
  <c r="AZ142" i="41"/>
  <c r="AW142" i="41"/>
  <c r="AV142" i="41"/>
  <c r="AU142" i="41"/>
  <c r="AL142" i="41"/>
  <c r="AK142" i="41"/>
  <c r="AJ142" i="41"/>
  <c r="AI142" i="41"/>
  <c r="AH142" i="41"/>
  <c r="AD142" i="41"/>
  <c r="AC142" i="41"/>
  <c r="AB142" i="41"/>
  <c r="AA142" i="41"/>
  <c r="Z142" i="41"/>
  <c r="Y142" i="41"/>
  <c r="X142" i="41"/>
  <c r="U142" i="41"/>
  <c r="T142" i="41"/>
  <c r="S142" i="41"/>
  <c r="R142" i="41"/>
  <c r="Q142" i="41"/>
  <c r="P142" i="41"/>
  <c r="O142" i="41"/>
  <c r="N142" i="41"/>
  <c r="M142" i="41"/>
  <c r="L142" i="41"/>
  <c r="K142" i="41"/>
  <c r="J142" i="41"/>
  <c r="I142" i="41"/>
  <c r="CF141" i="41"/>
  <c r="U138" i="41"/>
  <c r="N21" i="47" s="1"/>
  <c r="T138" i="41"/>
  <c r="S138" i="41"/>
  <c r="L21" i="47" s="1"/>
  <c r="R138" i="41"/>
  <c r="K21" i="47" s="1"/>
  <c r="Q138" i="41"/>
  <c r="J21" i="47" s="1"/>
  <c r="P138" i="41"/>
  <c r="I21" i="47" s="1"/>
  <c r="O138" i="41"/>
  <c r="H21" i="47" s="1"/>
  <c r="N138" i="41"/>
  <c r="M138" i="41"/>
  <c r="F21" i="47" s="1"/>
  <c r="L138" i="41"/>
  <c r="K138" i="41"/>
  <c r="J138" i="41"/>
  <c r="I138" i="41"/>
  <c r="B21" i="47" s="1"/>
  <c r="CJ137" i="41"/>
  <c r="CI137" i="41"/>
  <c r="CH137" i="41"/>
  <c r="CG137" i="41"/>
  <c r="CF137" i="41"/>
  <c r="CE137" i="41"/>
  <c r="CD137" i="41"/>
  <c r="CC137" i="41"/>
  <c r="CB137" i="41"/>
  <c r="CA137" i="41"/>
  <c r="BZ137" i="41"/>
  <c r="BX136" i="41"/>
  <c r="BW136" i="41"/>
  <c r="BQ136" i="41"/>
  <c r="BN136" i="41"/>
  <c r="BV136" i="41"/>
  <c r="BU136" i="41"/>
  <c r="BX135" i="41"/>
  <c r="BN135" i="41"/>
  <c r="BV135" i="41"/>
  <c r="BW135" i="41"/>
  <c r="BU135" i="41"/>
  <c r="BR135" i="41"/>
  <c r="BW134" i="41"/>
  <c r="BU134" i="41"/>
  <c r="BR134" i="41"/>
  <c r="BX133" i="41"/>
  <c r="BR133" i="41"/>
  <c r="BQ133" i="41"/>
  <c r="BV133" i="41"/>
  <c r="BW133" i="41"/>
  <c r="BU133" i="41"/>
  <c r="BX132" i="41"/>
  <c r="BP132" i="41"/>
  <c r="BR132" i="41"/>
  <c r="BQ132" i="41"/>
  <c r="BY131" i="41"/>
  <c r="BY142" i="41" s="1"/>
  <c r="BU131" i="41"/>
  <c r="BR131" i="41"/>
  <c r="BQ131" i="41"/>
  <c r="BX131" i="41"/>
  <c r="CJ130" i="41"/>
  <c r="CI130" i="41"/>
  <c r="CH130" i="41"/>
  <c r="CG130" i="41"/>
  <c r="CF130" i="41"/>
  <c r="CE130" i="41"/>
  <c r="CD130" i="41"/>
  <c r="CC130" i="41"/>
  <c r="CB130" i="41"/>
  <c r="CA130" i="41"/>
  <c r="BZ130" i="41"/>
  <c r="BY130" i="41"/>
  <c r="BW127" i="41"/>
  <c r="BQ127" i="41"/>
  <c r="BU127" i="41"/>
  <c r="BP127" i="41"/>
  <c r="BR127" i="41"/>
  <c r="BX129" i="41"/>
  <c r="BR129" i="41"/>
  <c r="BU129" i="41"/>
  <c r="BX128" i="41"/>
  <c r="BU128" i="41"/>
  <c r="BN128" i="41"/>
  <c r="BR128" i="41"/>
  <c r="BQ128" i="41"/>
  <c r="BW126" i="41"/>
  <c r="BO126" i="41"/>
  <c r="BV126" i="41"/>
  <c r="BX126" i="41"/>
  <c r="BU126" i="41"/>
  <c r="BR126" i="41"/>
  <c r="BN126" i="41"/>
  <c r="BX125" i="41"/>
  <c r="BW125" i="41"/>
  <c r="BU125" i="41"/>
  <c r="BO125" i="41"/>
  <c r="BV125" i="41"/>
  <c r="CJ124" i="41"/>
  <c r="CI124" i="41"/>
  <c r="CH124" i="41"/>
  <c r="CG124" i="41"/>
  <c r="CF124" i="41"/>
  <c r="CE124" i="41"/>
  <c r="CD124" i="41"/>
  <c r="CC124" i="41"/>
  <c r="CB124" i="41"/>
  <c r="CA124" i="41"/>
  <c r="BZ124" i="41"/>
  <c r="BY124" i="41"/>
  <c r="BW123" i="41"/>
  <c r="BR123" i="41"/>
  <c r="BQ123" i="41"/>
  <c r="BU123" i="41"/>
  <c r="BP123" i="41"/>
  <c r="BW122" i="41"/>
  <c r="BR122" i="41"/>
  <c r="BX122" i="41"/>
  <c r="BU122" i="41"/>
  <c r="BP122" i="41"/>
  <c r="BQ122" i="41"/>
  <c r="BN122" i="41"/>
  <c r="BO122" i="41"/>
  <c r="BN121" i="41"/>
  <c r="BX121" i="41"/>
  <c r="BR121" i="41"/>
  <c r="BQ121" i="41"/>
  <c r="CJ120" i="41"/>
  <c r="CI120" i="41"/>
  <c r="CH120" i="41"/>
  <c r="CG120" i="41"/>
  <c r="CF120" i="41"/>
  <c r="CE120" i="41"/>
  <c r="CD120" i="41"/>
  <c r="CC120" i="41"/>
  <c r="CB120" i="41"/>
  <c r="CA120" i="41"/>
  <c r="BZ120" i="41"/>
  <c r="BY120" i="41"/>
  <c r="BX119" i="41"/>
  <c r="BQ119" i="41"/>
  <c r="BU119" i="41"/>
  <c r="BP119" i="41"/>
  <c r="BR119" i="41"/>
  <c r="BO119" i="41"/>
  <c r="BX118" i="41"/>
  <c r="BR118" i="41"/>
  <c r="BU118" i="41"/>
  <c r="BP118" i="41"/>
  <c r="BQ118" i="41"/>
  <c r="BO118" i="41"/>
  <c r="BN117" i="41"/>
  <c r="BX117" i="41"/>
  <c r="BV117" i="41"/>
  <c r="BU117" i="41"/>
  <c r="BR117" i="41"/>
  <c r="BX116" i="41"/>
  <c r="BU116" i="41"/>
  <c r="BR116" i="41"/>
  <c r="BQ116" i="41"/>
  <c r="BV116" i="41"/>
  <c r="BW116" i="41"/>
  <c r="BW115" i="41"/>
  <c r="BO115" i="41"/>
  <c r="BX115" i="41"/>
  <c r="BV115" i="41"/>
  <c r="BU115" i="41"/>
  <c r="BR115" i="41"/>
  <c r="BQ115" i="41"/>
  <c r="BX114" i="41"/>
  <c r="BW114" i="41"/>
  <c r="BR114" i="41"/>
  <c r="BQ114" i="41"/>
  <c r="BN114" i="41"/>
  <c r="BV114" i="41"/>
  <c r="BU114" i="41"/>
  <c r="BP114" i="41"/>
  <c r="BX113" i="41"/>
  <c r="BU113" i="41"/>
  <c r="BR113" i="41"/>
  <c r="BQ113" i="41"/>
  <c r="BW113" i="41"/>
  <c r="CJ112" i="41"/>
  <c r="CI112" i="41"/>
  <c r="CH112" i="41"/>
  <c r="CG112" i="41"/>
  <c r="CF112" i="41"/>
  <c r="CE112" i="41"/>
  <c r="CD112" i="41"/>
  <c r="CC112" i="41"/>
  <c r="CB112" i="41"/>
  <c r="CA112" i="41"/>
  <c r="BZ112" i="41"/>
  <c r="BY112" i="41"/>
  <c r="BW111" i="41"/>
  <c r="BU111" i="41"/>
  <c r="BP111" i="41"/>
  <c r="BM111" i="41"/>
  <c r="BX111" i="41"/>
  <c r="BR111" i="41"/>
  <c r="BO111" i="41"/>
  <c r="BT111" i="41"/>
  <c r="BX110" i="41"/>
  <c r="BU110" i="41"/>
  <c r="BQ110" i="41"/>
  <c r="BO110" i="41"/>
  <c r="BN110" i="41"/>
  <c r="BV110" i="41"/>
  <c r="BW110" i="41"/>
  <c r="BS110" i="41"/>
  <c r="BR110" i="41"/>
  <c r="BW109" i="41"/>
  <c r="BR109" i="41"/>
  <c r="BQ109" i="41"/>
  <c r="BV109" i="41"/>
  <c r="BX109" i="41"/>
  <c r="BU109" i="41"/>
  <c r="BP109" i="41"/>
  <c r="BX108" i="41"/>
  <c r="BW108" i="41"/>
  <c r="BR108" i="41"/>
  <c r="BQ108" i="41"/>
  <c r="BU108" i="41"/>
  <c r="BP108" i="41"/>
  <c r="BX107" i="41"/>
  <c r="BU107" i="41"/>
  <c r="BR107" i="41"/>
  <c r="BQ107" i="41"/>
  <c r="BP107" i="41"/>
  <c r="BX106" i="41"/>
  <c r="CJ105" i="41"/>
  <c r="CI105" i="41"/>
  <c r="CH105" i="41"/>
  <c r="CG105" i="41"/>
  <c r="CF105" i="41"/>
  <c r="CE105" i="41"/>
  <c r="CD105" i="41"/>
  <c r="CC105" i="41"/>
  <c r="CB105" i="41"/>
  <c r="CA105" i="41"/>
  <c r="BZ105" i="41"/>
  <c r="BY105" i="41"/>
  <c r="BW104" i="41"/>
  <c r="BW151" i="41" s="1"/>
  <c r="BU104" i="41"/>
  <c r="BU151" i="41" s="1"/>
  <c r="BR104" i="41"/>
  <c r="BR151" i="41" s="1"/>
  <c r="BJ151" i="41"/>
  <c r="BI151" i="41"/>
  <c r="AX151" i="41"/>
  <c r="AT151" i="41"/>
  <c r="AN151" i="41"/>
  <c r="AF151" i="41"/>
  <c r="W151" i="41"/>
  <c r="V151" i="41"/>
  <c r="BX103" i="41"/>
  <c r="BW103" i="41"/>
  <c r="BO103" i="41"/>
  <c r="BU103" i="41"/>
  <c r="BR103" i="41"/>
  <c r="BT103" i="41"/>
  <c r="BX102" i="41"/>
  <c r="BW102" i="41"/>
  <c r="BV102" i="41"/>
  <c r="BR102" i="41"/>
  <c r="BU102" i="41"/>
  <c r="BX101" i="41"/>
  <c r="BW101" i="41"/>
  <c r="BN101" i="41"/>
  <c r="BM101" i="41"/>
  <c r="BV101" i="41"/>
  <c r="BR101" i="41"/>
  <c r="BO101" i="41"/>
  <c r="BT101" i="41"/>
  <c r="BU100" i="41"/>
  <c r="BX100" i="41"/>
  <c r="BR100" i="41"/>
  <c r="BQ100" i="41"/>
  <c r="BU99" i="41"/>
  <c r="BQ99" i="41"/>
  <c r="BN99" i="41"/>
  <c r="BV99" i="41"/>
  <c r="BX99" i="41"/>
  <c r="BW99" i="41"/>
  <c r="BP99" i="41"/>
  <c r="BR99" i="41"/>
  <c r="BW98" i="41"/>
  <c r="BV98" i="41"/>
  <c r="BU98" i="41"/>
  <c r="BR98" i="41"/>
  <c r="BP98" i="41"/>
  <c r="BO98" i="41"/>
  <c r="CJ97" i="41"/>
  <c r="CI97" i="41"/>
  <c r="CH97" i="41"/>
  <c r="CG97" i="41"/>
  <c r="CF97" i="41"/>
  <c r="CE97" i="41"/>
  <c r="CD97" i="41"/>
  <c r="CC97" i="41"/>
  <c r="CB97" i="41"/>
  <c r="CA97" i="41"/>
  <c r="BZ97" i="41"/>
  <c r="BY97" i="41"/>
  <c r="BW96" i="41"/>
  <c r="BR96" i="41"/>
  <c r="BQ96" i="41"/>
  <c r="BV96" i="41"/>
  <c r="BU96" i="41"/>
  <c r="BP96" i="41"/>
  <c r="BU95" i="41"/>
  <c r="BR95" i="41"/>
  <c r="BQ95" i="41"/>
  <c r="BX95" i="41"/>
  <c r="BW95" i="41"/>
  <c r="BW94" i="41"/>
  <c r="BV94" i="41"/>
  <c r="BO94" i="41"/>
  <c r="BX94" i="41"/>
  <c r="BR94" i="41"/>
  <c r="CJ93" i="41"/>
  <c r="CI93" i="41"/>
  <c r="CH93" i="41"/>
  <c r="CG93" i="41"/>
  <c r="CF93" i="41"/>
  <c r="CE93" i="41"/>
  <c r="CD93" i="41"/>
  <c r="CC93" i="41"/>
  <c r="CB93" i="41"/>
  <c r="CA93" i="41"/>
  <c r="BZ93" i="41"/>
  <c r="BY93" i="41"/>
  <c r="BX92" i="41"/>
  <c r="BV92" i="41"/>
  <c r="BU92" i="41"/>
  <c r="BR92" i="41"/>
  <c r="BN92" i="41"/>
  <c r="BX91" i="41"/>
  <c r="BW91" i="41"/>
  <c r="BU91" i="41"/>
  <c r="BR91" i="41"/>
  <c r="BQ91" i="41"/>
  <c r="BV91" i="41"/>
  <c r="BP91" i="41"/>
  <c r="BO91" i="41"/>
  <c r="BX90" i="41"/>
  <c r="BU90" i="41"/>
  <c r="BP90" i="41"/>
  <c r="BQ90" i="41"/>
  <c r="BW89" i="41"/>
  <c r="BP89" i="41"/>
  <c r="BU89" i="41"/>
  <c r="BR89" i="41"/>
  <c r="BQ89" i="41"/>
  <c r="BX88" i="41"/>
  <c r="BU88" i="41"/>
  <c r="CJ87" i="41"/>
  <c r="CI87" i="41"/>
  <c r="CH87" i="41"/>
  <c r="CG87" i="41"/>
  <c r="CF87" i="41"/>
  <c r="CE87" i="41"/>
  <c r="CD87" i="41"/>
  <c r="CC87" i="41"/>
  <c r="CB87" i="41"/>
  <c r="CA87" i="41"/>
  <c r="BZ87" i="41"/>
  <c r="BY87" i="41"/>
  <c r="BW86" i="41"/>
  <c r="BX86" i="41"/>
  <c r="BU86" i="41"/>
  <c r="BR86" i="41"/>
  <c r="BN86" i="41"/>
  <c r="BX85" i="41"/>
  <c r="BW85" i="41"/>
  <c r="BU85" i="41"/>
  <c r="BQ85" i="41"/>
  <c r="BV85" i="41"/>
  <c r="BR85" i="41"/>
  <c r="BO85" i="41"/>
  <c r="BX84" i="41"/>
  <c r="BU84" i="41"/>
  <c r="BQ84" i="41"/>
  <c r="CJ83" i="41"/>
  <c r="CI83" i="41"/>
  <c r="CH83" i="41"/>
  <c r="CG83" i="41"/>
  <c r="CF83" i="41"/>
  <c r="CE83" i="41"/>
  <c r="CD83" i="41"/>
  <c r="CC83" i="41"/>
  <c r="CB83" i="41"/>
  <c r="CA83" i="41"/>
  <c r="BZ83" i="41"/>
  <c r="BY83" i="41"/>
  <c r="BX82" i="41"/>
  <c r="BU82" i="41"/>
  <c r="BQ82" i="41"/>
  <c r="BO82" i="41"/>
  <c r="BP82" i="41"/>
  <c r="BR82" i="41"/>
  <c r="BT82" i="41"/>
  <c r="BX81" i="41"/>
  <c r="BU81" i="41"/>
  <c r="BO81" i="41"/>
  <c r="BQ81" i="41"/>
  <c r="BW80" i="41"/>
  <c r="BX80" i="41"/>
  <c r="BU80" i="41"/>
  <c r="BR80" i="41"/>
  <c r="BN80" i="41"/>
  <c r="CJ79" i="41"/>
  <c r="CI79" i="41"/>
  <c r="CH79" i="41"/>
  <c r="CG79" i="41"/>
  <c r="CF79" i="41"/>
  <c r="CE79" i="41"/>
  <c r="CD79" i="41"/>
  <c r="CC79" i="41"/>
  <c r="CB79" i="41"/>
  <c r="CA79" i="41"/>
  <c r="BZ79" i="41"/>
  <c r="BY79" i="41"/>
  <c r="BX78" i="41"/>
  <c r="BU78" i="41"/>
  <c r="BV78" i="41"/>
  <c r="BW78" i="41"/>
  <c r="BR78" i="41"/>
  <c r="BP78" i="41"/>
  <c r="BO78" i="41"/>
  <c r="BW77" i="41"/>
  <c r="BR77" i="41"/>
  <c r="BU77" i="41"/>
  <c r="BP77" i="41"/>
  <c r="BQ77" i="41"/>
  <c r="BX76" i="41"/>
  <c r="BU76" i="41"/>
  <c r="BQ76" i="41"/>
  <c r="BN76" i="41"/>
  <c r="BP76" i="41"/>
  <c r="BR76" i="41"/>
  <c r="BX75" i="41"/>
  <c r="BU75" i="41"/>
  <c r="BQ75" i="41"/>
  <c r="BO75" i="41"/>
  <c r="BX74" i="41"/>
  <c r="BR74" i="41"/>
  <c r="BO74" i="41"/>
  <c r="BN74" i="41"/>
  <c r="BW73" i="41"/>
  <c r="BU73" i="41"/>
  <c r="BR73" i="41"/>
  <c r="BQ73" i="41"/>
  <c r="BX73" i="41"/>
  <c r="BO73" i="41"/>
  <c r="CJ72" i="41"/>
  <c r="CI72" i="41"/>
  <c r="CH72" i="41"/>
  <c r="CG72" i="41"/>
  <c r="CF72" i="41"/>
  <c r="CE72" i="41"/>
  <c r="CD72" i="41"/>
  <c r="CC72" i="41"/>
  <c r="CB72" i="41"/>
  <c r="CA72" i="41"/>
  <c r="BZ72" i="41"/>
  <c r="BY72" i="41"/>
  <c r="BW71" i="41"/>
  <c r="BV71" i="41"/>
  <c r="BQ71" i="41"/>
  <c r="BU71" i="41"/>
  <c r="BR71" i="41"/>
  <c r="BX70" i="41"/>
  <c r="BR70" i="41"/>
  <c r="BQ70" i="41"/>
  <c r="BV70" i="41"/>
  <c r="BW70" i="41"/>
  <c r="BU70" i="41"/>
  <c r="BP70" i="41"/>
  <c r="BX69" i="41"/>
  <c r="BU69" i="41"/>
  <c r="BQ69" i="41"/>
  <c r="BW68" i="41"/>
  <c r="BQ68" i="41"/>
  <c r="BX68" i="41"/>
  <c r="BU68" i="41"/>
  <c r="BR68" i="41"/>
  <c r="BP68" i="41"/>
  <c r="BO68" i="41"/>
  <c r="BV67" i="41"/>
  <c r="BU67" i="41"/>
  <c r="BQ67" i="41"/>
  <c r="BO67" i="41"/>
  <c r="BN67" i="41"/>
  <c r="BW67" i="41"/>
  <c r="BR67" i="41"/>
  <c r="BR66" i="41"/>
  <c r="BQ66" i="41"/>
  <c r="BV66" i="41"/>
  <c r="BW66" i="41"/>
  <c r="BU66" i="41"/>
  <c r="CJ65" i="41"/>
  <c r="CI65" i="41"/>
  <c r="CH65" i="41"/>
  <c r="CG65" i="41"/>
  <c r="CF65" i="41"/>
  <c r="CE65" i="41"/>
  <c r="CD65" i="41"/>
  <c r="CC65" i="41"/>
  <c r="CB65" i="41"/>
  <c r="CA65" i="41"/>
  <c r="BZ65" i="41"/>
  <c r="BY65" i="41"/>
  <c r="BX64" i="41"/>
  <c r="BQ64" i="41"/>
  <c r="BU64" i="41"/>
  <c r="BR64" i="41"/>
  <c r="BP64" i="41"/>
  <c r="BX63" i="41"/>
  <c r="BR63" i="41"/>
  <c r="BU63" i="41"/>
  <c r="BP63" i="41"/>
  <c r="BQ63" i="41"/>
  <c r="BW62" i="41"/>
  <c r="BX62" i="41"/>
  <c r="BU62" i="41"/>
  <c r="BR62" i="41"/>
  <c r="BQ62" i="41"/>
  <c r="CJ61" i="41"/>
  <c r="CI61" i="41"/>
  <c r="CH61" i="41"/>
  <c r="CG61" i="41"/>
  <c r="CF61" i="41"/>
  <c r="CE61" i="41"/>
  <c r="CD61" i="41"/>
  <c r="CC61" i="41"/>
  <c r="CB61" i="41"/>
  <c r="CA61" i="41"/>
  <c r="BZ61" i="41"/>
  <c r="BY61" i="41"/>
  <c r="BX60" i="41"/>
  <c r="BU60" i="41"/>
  <c r="BQ60" i="41"/>
  <c r="BV60" i="41"/>
  <c r="BP60" i="41"/>
  <c r="BR60" i="41"/>
  <c r="BO60" i="41"/>
  <c r="BW59" i="41"/>
  <c r="BR59" i="41"/>
  <c r="BX59" i="41"/>
  <c r="BU59" i="41"/>
  <c r="BQ59" i="41"/>
  <c r="CJ58" i="41"/>
  <c r="CI58" i="41"/>
  <c r="CH58" i="41"/>
  <c r="CG58" i="41"/>
  <c r="CF58" i="41"/>
  <c r="CE58" i="41"/>
  <c r="CD58" i="41"/>
  <c r="CC58" i="41"/>
  <c r="CB58" i="41"/>
  <c r="CA58" i="41"/>
  <c r="BZ58" i="41"/>
  <c r="BY58" i="41"/>
  <c r="BX57" i="41"/>
  <c r="BP57" i="41"/>
  <c r="BU57" i="41"/>
  <c r="BR57" i="41"/>
  <c r="BQ57" i="41"/>
  <c r="BO56" i="41"/>
  <c r="BX56" i="41"/>
  <c r="BU56" i="41"/>
  <c r="BP56" i="41"/>
  <c r="BR56" i="41"/>
  <c r="BQ56" i="41"/>
  <c r="BN56" i="41"/>
  <c r="BX55" i="41"/>
  <c r="BU55" i="41"/>
  <c r="BP55" i="41"/>
  <c r="BV55" i="41"/>
  <c r="BR55" i="41"/>
  <c r="BO55" i="41"/>
  <c r="BX54" i="41"/>
  <c r="BR54" i="41"/>
  <c r="BV54" i="41"/>
  <c r="BW54" i="41"/>
  <c r="BU54" i="41"/>
  <c r="BP54" i="41"/>
  <c r="BW53" i="41"/>
  <c r="BU53" i="41"/>
  <c r="BR53" i="41"/>
  <c r="BX52" i="41"/>
  <c r="BW52" i="41"/>
  <c r="BQ52" i="41"/>
  <c r="BV52" i="41"/>
  <c r="BU52" i="41"/>
  <c r="BR52" i="41"/>
  <c r="BO52" i="41"/>
  <c r="BX51" i="41"/>
  <c r="BP51" i="41"/>
  <c r="BR51" i="41"/>
  <c r="BQ51" i="41"/>
  <c r="BO51" i="41"/>
  <c r="CJ50" i="41"/>
  <c r="CI50" i="41"/>
  <c r="CH50" i="41"/>
  <c r="CG50" i="41"/>
  <c r="CF50" i="41"/>
  <c r="CE50" i="41"/>
  <c r="CD50" i="41"/>
  <c r="CC50" i="41"/>
  <c r="CB50" i="41"/>
  <c r="CA50" i="41"/>
  <c r="BZ50" i="41"/>
  <c r="BY50" i="41"/>
  <c r="BW49" i="41"/>
  <c r="BV49" i="41"/>
  <c r="BX49" i="41"/>
  <c r="BU49" i="41"/>
  <c r="BR49" i="41"/>
  <c r="BQ49" i="41"/>
  <c r="BX48" i="41"/>
  <c r="BW48" i="41"/>
  <c r="BU48" i="41"/>
  <c r="BR48" i="41"/>
  <c r="BO48" i="41"/>
  <c r="BV48" i="41"/>
  <c r="BP48" i="41"/>
  <c r="BR47" i="41"/>
  <c r="BX47" i="41"/>
  <c r="BU47" i="41"/>
  <c r="BP47" i="41"/>
  <c r="BQ47" i="41"/>
  <c r="BO47" i="41"/>
  <c r="BW46" i="41"/>
  <c r="BN46" i="41"/>
  <c r="BX46" i="41"/>
  <c r="BU46" i="41"/>
  <c r="BR46" i="41"/>
  <c r="BX45" i="41"/>
  <c r="BQ45" i="41"/>
  <c r="BV45" i="41"/>
  <c r="BU45" i="41"/>
  <c r="BR45" i="41"/>
  <c r="BP45" i="41"/>
  <c r="BO45" i="41"/>
  <c r="BX44" i="41"/>
  <c r="BR44" i="41"/>
  <c r="BP44" i="41"/>
  <c r="CJ43" i="41"/>
  <c r="CI43" i="41"/>
  <c r="CH43" i="41"/>
  <c r="CG43" i="41"/>
  <c r="CF43" i="41"/>
  <c r="CE43" i="41"/>
  <c r="CD43" i="41"/>
  <c r="CC43" i="41"/>
  <c r="CB43" i="41"/>
  <c r="CA43" i="41"/>
  <c r="BZ43" i="41"/>
  <c r="BY43" i="41"/>
  <c r="BX42" i="41"/>
  <c r="BU42" i="41"/>
  <c r="BR42" i="41"/>
  <c r="BQ42" i="41"/>
  <c r="BV42" i="41"/>
  <c r="BW42" i="41"/>
  <c r="BW41" i="41"/>
  <c r="BO41" i="41"/>
  <c r="BX41" i="41"/>
  <c r="BV41" i="41"/>
  <c r="BU41" i="41"/>
  <c r="BR41" i="41"/>
  <c r="BQ41" i="41"/>
  <c r="BW40" i="41"/>
  <c r="BR40" i="41"/>
  <c r="BQ40" i="41"/>
  <c r="BV40" i="41"/>
  <c r="BU40" i="41"/>
  <c r="BP40" i="41"/>
  <c r="BX39" i="41"/>
  <c r="BQ39" i="41"/>
  <c r="BV39" i="41"/>
  <c r="BW39" i="41"/>
  <c r="BU39" i="41"/>
  <c r="BO39" i="41"/>
  <c r="BX38" i="41"/>
  <c r="BR38" i="41"/>
  <c r="BU38" i="41"/>
  <c r="BP38" i="41"/>
  <c r="BQ38" i="41"/>
  <c r="BO38" i="41"/>
  <c r="BN37" i="41"/>
  <c r="BM37" i="41"/>
  <c r="BX37" i="41"/>
  <c r="CJ36" i="41"/>
  <c r="CI36" i="41"/>
  <c r="CH36" i="41"/>
  <c r="CG36" i="41"/>
  <c r="CF36" i="41"/>
  <c r="CE36" i="41"/>
  <c r="CD36" i="41"/>
  <c r="CC36" i="41"/>
  <c r="CB36" i="41"/>
  <c r="CA36" i="41"/>
  <c r="BZ36" i="41"/>
  <c r="BY36" i="41"/>
  <c r="BU35" i="41"/>
  <c r="BO35" i="41"/>
  <c r="BV35" i="41"/>
  <c r="BW35" i="41"/>
  <c r="BR35" i="41"/>
  <c r="BW34" i="41"/>
  <c r="BQ34" i="41"/>
  <c r="BV34" i="41"/>
  <c r="BU34" i="41"/>
  <c r="BR34" i="41"/>
  <c r="BP34" i="41"/>
  <c r="BX33" i="41"/>
  <c r="BV33" i="41"/>
  <c r="BU33" i="41"/>
  <c r="BN33" i="41"/>
  <c r="BX32" i="41"/>
  <c r="BO32" i="41"/>
  <c r="BU32" i="41"/>
  <c r="BP32" i="41"/>
  <c r="BR32" i="41"/>
  <c r="BQ32" i="41"/>
  <c r="BN31" i="41"/>
  <c r="BX30" i="41"/>
  <c r="BW30" i="41"/>
  <c r="BU30" i="41"/>
  <c r="BQ30" i="41"/>
  <c r="BP30" i="41"/>
  <c r="BR30" i="41"/>
  <c r="BO30" i="41"/>
  <c r="CJ29" i="41"/>
  <c r="CI29" i="41"/>
  <c r="CH29" i="41"/>
  <c r="CG29" i="41"/>
  <c r="CF29" i="41"/>
  <c r="CE29" i="41"/>
  <c r="CD29" i="41"/>
  <c r="CC29" i="41"/>
  <c r="CB29" i="41"/>
  <c r="CA29" i="41"/>
  <c r="BZ29" i="41"/>
  <c r="BY29" i="41"/>
  <c r="BW28" i="41"/>
  <c r="BW29" i="41" s="1"/>
  <c r="BJ150" i="41"/>
  <c r="BI150" i="41"/>
  <c r="AN150" i="41"/>
  <c r="CJ27" i="41"/>
  <c r="CI27" i="41"/>
  <c r="CH27" i="41"/>
  <c r="CG27" i="41"/>
  <c r="CF27" i="41"/>
  <c r="CE27" i="41"/>
  <c r="CD27" i="41"/>
  <c r="CC27" i="41"/>
  <c r="CB27" i="41"/>
  <c r="CA27" i="41"/>
  <c r="BZ27" i="41"/>
  <c r="BY27" i="41"/>
  <c r="BW26" i="41"/>
  <c r="BN26" i="41"/>
  <c r="BX26" i="41"/>
  <c r="BU26" i="41"/>
  <c r="BP26" i="41"/>
  <c r="BR26" i="41"/>
  <c r="BQ26" i="41"/>
  <c r="BX25" i="41"/>
  <c r="BU25" i="41"/>
  <c r="BR25" i="41"/>
  <c r="BP25" i="41"/>
  <c r="BO25" i="41"/>
  <c r="BU24" i="41"/>
  <c r="BO24" i="41"/>
  <c r="BX24" i="41"/>
  <c r="BP24" i="41"/>
  <c r="BQ24" i="41"/>
  <c r="BW23" i="41"/>
  <c r="BV23" i="41"/>
  <c r="BU23" i="41"/>
  <c r="BR23" i="41"/>
  <c r="BP23" i="41"/>
  <c r="BS23" i="41"/>
  <c r="BN23" i="41"/>
  <c r="BX22" i="41"/>
  <c r="BW22" i="41"/>
  <c r="BU22" i="41"/>
  <c r="BR22" i="41"/>
  <c r="BQ22" i="41"/>
  <c r="CJ21" i="41"/>
  <c r="CI21" i="41"/>
  <c r="CH21" i="41"/>
  <c r="CG21" i="41"/>
  <c r="CF21" i="41"/>
  <c r="CE21" i="41"/>
  <c r="CD21" i="41"/>
  <c r="CC21" i="41"/>
  <c r="CB21" i="41"/>
  <c r="CA21" i="41"/>
  <c r="BZ21" i="41"/>
  <c r="BY21" i="41"/>
  <c r="BW20" i="41"/>
  <c r="BU20" i="41"/>
  <c r="BP20" i="41"/>
  <c r="BR20" i="41"/>
  <c r="BQ20" i="41"/>
  <c r="BN20" i="41"/>
  <c r="BX19" i="41"/>
  <c r="BU19" i="41"/>
  <c r="BI149" i="41"/>
  <c r="BQ19" i="41"/>
  <c r="BU18" i="41"/>
  <c r="BX18" i="41"/>
  <c r="BP18" i="41"/>
  <c r="BQ18" i="41"/>
  <c r="BO18" i="41"/>
  <c r="BW17" i="41"/>
  <c r="BQ17" i="41"/>
  <c r="BP17" i="41"/>
  <c r="CJ16" i="41"/>
  <c r="CI16" i="41"/>
  <c r="CH16" i="41"/>
  <c r="CG16" i="41"/>
  <c r="CF16" i="41"/>
  <c r="CE16" i="41"/>
  <c r="CD16" i="41"/>
  <c r="CC16" i="41"/>
  <c r="CB16" i="41"/>
  <c r="CA16" i="41"/>
  <c r="BZ16" i="41"/>
  <c r="BY16" i="41"/>
  <c r="BE138" i="41"/>
  <c r="AX21" i="47" s="1"/>
  <c r="BC138" i="41"/>
  <c r="AV21" i="47" s="1"/>
  <c r="AZ138" i="41"/>
  <c r="AJ138" i="41"/>
  <c r="AC21" i="47" s="1"/>
  <c r="AH138" i="41"/>
  <c r="V139" i="41" s="1"/>
  <c r="AD138" i="41"/>
  <c r="W21" i="47" s="1"/>
  <c r="AA138" i="41"/>
  <c r="T21" i="47" s="1"/>
  <c r="X138" i="41"/>
  <c r="Q21" i="47" s="1"/>
  <c r="BX15" i="41"/>
  <c r="AX148" i="41"/>
  <c r="AN148" i="41"/>
  <c r="BW14" i="41"/>
  <c r="BN14" i="41"/>
  <c r="BX14" i="41"/>
  <c r="BU14" i="41"/>
  <c r="BR14" i="41"/>
  <c r="BT14" i="41"/>
  <c r="BX13" i="41"/>
  <c r="BW13" i="41"/>
  <c r="BU13" i="41"/>
  <c r="BR13" i="41"/>
  <c r="BV13" i="41"/>
  <c r="BP13" i="41"/>
  <c r="BU12" i="41"/>
  <c r="BX12" i="41"/>
  <c r="Z141" i="41" l="1"/>
  <c r="CA204" i="42"/>
  <c r="BR33" i="42"/>
  <c r="CJ204" i="42"/>
  <c r="CD204" i="42"/>
  <c r="AA141" i="41"/>
  <c r="CH141" i="41"/>
  <c r="BZ141" i="41"/>
  <c r="CD141" i="41"/>
  <c r="CB141" i="41"/>
  <c r="G21" i="47"/>
  <c r="M139" i="41"/>
  <c r="C21" i="47"/>
  <c r="I139" i="41"/>
  <c r="D21" i="47"/>
  <c r="J139" i="41"/>
  <c r="M21" i="47"/>
  <c r="S139" i="41"/>
  <c r="BB141" i="41"/>
  <c r="AS21" i="47"/>
  <c r="BF141" i="41"/>
  <c r="BU83" i="41"/>
  <c r="BU61" i="41"/>
  <c r="AB141" i="41"/>
  <c r="AW141" i="41"/>
  <c r="BF204" i="42"/>
  <c r="AW204" i="42"/>
  <c r="AB204" i="42"/>
  <c r="P204" i="42"/>
  <c r="N141" i="41"/>
  <c r="T141" i="41"/>
  <c r="CJ141" i="41"/>
  <c r="O141" i="41"/>
  <c r="BE141" i="41"/>
  <c r="S204" i="42"/>
  <c r="BP150" i="42"/>
  <c r="CB204" i="42"/>
  <c r="K204" i="42"/>
  <c r="BW40" i="42"/>
  <c r="BR89" i="42"/>
  <c r="BU99" i="42"/>
  <c r="M204" i="42"/>
  <c r="CH204" i="42"/>
  <c r="Q204" i="42"/>
  <c r="BW33" i="42"/>
  <c r="BQ116" i="42"/>
  <c r="BA204" i="42"/>
  <c r="BG204" i="42"/>
  <c r="AZ204" i="42"/>
  <c r="Z204" i="42"/>
  <c r="CG204" i="42"/>
  <c r="AH204" i="42"/>
  <c r="V203" i="42" s="1"/>
  <c r="BD204" i="42"/>
  <c r="BC204" i="42"/>
  <c r="J204" i="42"/>
  <c r="BX33" i="42"/>
  <c r="BU40" i="42"/>
  <c r="AL141" i="41"/>
  <c r="Y141" i="41"/>
  <c r="AH141" i="41"/>
  <c r="V140" i="41" s="1"/>
  <c r="BD141" i="41"/>
  <c r="CI138" i="41"/>
  <c r="CB21" i="47" s="1"/>
  <c r="BQ124" i="41"/>
  <c r="BY137" i="41"/>
  <c r="AK141" i="41"/>
  <c r="M141" i="41"/>
  <c r="AZ141" i="41"/>
  <c r="P141" i="41"/>
  <c r="I141" i="41"/>
  <c r="BZ138" i="41"/>
  <c r="BS21" i="47" s="1"/>
  <c r="CF138" i="41"/>
  <c r="BY21" i="47" s="1"/>
  <c r="CC141" i="41"/>
  <c r="CI141" i="41"/>
  <c r="AV141" i="41"/>
  <c r="J141" i="41"/>
  <c r="BC141" i="41"/>
  <c r="BH141" i="41"/>
  <c r="CA141" i="41"/>
  <c r="BY140" i="41" s="1"/>
  <c r="CG141" i="41"/>
  <c r="BU87" i="41"/>
  <c r="AJ141" i="41"/>
  <c r="BU72" i="41"/>
  <c r="BA141" i="41"/>
  <c r="BG141" i="41"/>
  <c r="BX87" i="41"/>
  <c r="BR124" i="41"/>
  <c r="AI141" i="41"/>
  <c r="W140" i="41" s="1"/>
  <c r="X141" i="41"/>
  <c r="AD141" i="41"/>
  <c r="AU141" i="41"/>
  <c r="BX25" i="42"/>
  <c r="BU29" i="42"/>
  <c r="BR44" i="42"/>
  <c r="BX76" i="42"/>
  <c r="BU140" i="42"/>
  <c r="BU164" i="42"/>
  <c r="BW29" i="42"/>
  <c r="BR116" i="42"/>
  <c r="BW158" i="42"/>
  <c r="BR99" i="42"/>
  <c r="BQ29" i="42"/>
  <c r="BX40" i="42"/>
  <c r="BQ44" i="42"/>
  <c r="BU89" i="42"/>
  <c r="BR29" i="42"/>
  <c r="BR158" i="42"/>
  <c r="AC204" i="42"/>
  <c r="BB204" i="42"/>
  <c r="BH204" i="42"/>
  <c r="X204" i="42"/>
  <c r="AD204" i="42"/>
  <c r="AU204" i="42"/>
  <c r="AK204" i="42"/>
  <c r="AV204" i="42"/>
  <c r="AI204" i="42"/>
  <c r="W203" i="42" s="1"/>
  <c r="AJ204" i="42"/>
  <c r="BE204" i="42"/>
  <c r="Y204" i="42"/>
  <c r="AA21" i="47"/>
  <c r="BN44" i="42"/>
  <c r="BU69" i="42"/>
  <c r="BU105" i="42"/>
  <c r="BU37" i="42"/>
  <c r="BR58" i="42"/>
  <c r="BU58" i="42"/>
  <c r="BU78" i="42"/>
  <c r="BR85" i="42"/>
  <c r="BX105" i="42"/>
  <c r="BX158" i="42"/>
  <c r="BR164" i="42"/>
  <c r="BR140" i="42"/>
  <c r="BU150" i="42"/>
  <c r="BW155" i="42"/>
  <c r="BX168" i="42"/>
  <c r="BU181" i="42"/>
  <c r="N204" i="42"/>
  <c r="T204" i="42"/>
  <c r="BW97" i="41"/>
  <c r="S141" i="41"/>
  <c r="BQ61" i="41"/>
  <c r="BR61" i="41"/>
  <c r="BX65" i="41"/>
  <c r="E21" i="47"/>
  <c r="BR65" i="41"/>
  <c r="BU93" i="41"/>
  <c r="L141" i="41"/>
  <c r="R141" i="41"/>
  <c r="BX83" i="41"/>
  <c r="AY21" i="47"/>
  <c r="BQ214" i="42"/>
  <c r="BQ46" i="42"/>
  <c r="BN16" i="42"/>
  <c r="AF211" i="42"/>
  <c r="BO17" i="42"/>
  <c r="BU25" i="42"/>
  <c r="BN29" i="42"/>
  <c r="BN31" i="42"/>
  <c r="BP44" i="42"/>
  <c r="BS20" i="42"/>
  <c r="BM20" i="42"/>
  <c r="BT20" i="42"/>
  <c r="BV214" i="42"/>
  <c r="BV46" i="42"/>
  <c r="BM17" i="42"/>
  <c r="BN24" i="42"/>
  <c r="BN25" i="42" s="1"/>
  <c r="BM26" i="42"/>
  <c r="BV31" i="42"/>
  <c r="BV33" i="42" s="1"/>
  <c r="BO24" i="42"/>
  <c r="BS32" i="42"/>
  <c r="BM32" i="42"/>
  <c r="BT32" i="42"/>
  <c r="BW21" i="42"/>
  <c r="BO15" i="42"/>
  <c r="BN19" i="42"/>
  <c r="BO23" i="42"/>
  <c r="BO43" i="42"/>
  <c r="BM91" i="42"/>
  <c r="BT91" i="42"/>
  <c r="BS91" i="42"/>
  <c r="BN13" i="42"/>
  <c r="BN18" i="42"/>
  <c r="BQ14" i="42"/>
  <c r="BN17" i="42"/>
  <c r="BS65" i="42"/>
  <c r="BP13" i="42"/>
  <c r="V207" i="42"/>
  <c r="AN207" i="42"/>
  <c r="BR14" i="42"/>
  <c r="BR207" i="42" s="1"/>
  <c r="BV15" i="42"/>
  <c r="BI211" i="42"/>
  <c r="BP19" i="42"/>
  <c r="BP22" i="42"/>
  <c r="BP25" i="42" s="1"/>
  <c r="BX26" i="42"/>
  <c r="BX29" i="42" s="1"/>
  <c r="BS27" i="42"/>
  <c r="BV27" i="42"/>
  <c r="BP31" i="42"/>
  <c r="BQ34" i="42"/>
  <c r="BQ37" i="42" s="1"/>
  <c r="BX34" i="42"/>
  <c r="BX37" i="42" s="1"/>
  <c r="BP35" i="42"/>
  <c r="BP37" i="42" s="1"/>
  <c r="BT35" i="42"/>
  <c r="BN35" i="42"/>
  <c r="BN36" i="42"/>
  <c r="BQ38" i="42"/>
  <c r="BQ40" i="42" s="1"/>
  <c r="BN39" i="42"/>
  <c r="BN40" i="42" s="1"/>
  <c r="BV39" i="42"/>
  <c r="BV40" i="42" s="1"/>
  <c r="BX41" i="42"/>
  <c r="BX44" i="42" s="1"/>
  <c r="AX214" i="42"/>
  <c r="BU45" i="42"/>
  <c r="AF206" i="42"/>
  <c r="BO47" i="42"/>
  <c r="BN49" i="42"/>
  <c r="BS50" i="42"/>
  <c r="BN57" i="42"/>
  <c r="BX60" i="42"/>
  <c r="BO61" i="42"/>
  <c r="BN63" i="42"/>
  <c r="BM71" i="42"/>
  <c r="BT71" i="42"/>
  <c r="BU79" i="42"/>
  <c r="BU85" i="42" s="1"/>
  <c r="BM83" i="42"/>
  <c r="BP90" i="42"/>
  <c r="BP95" i="42" s="1"/>
  <c r="BO98" i="42"/>
  <c r="BQ20" i="42"/>
  <c r="BQ32" i="42"/>
  <c r="BQ33" i="42" s="1"/>
  <c r="BN34" i="42"/>
  <c r="BW42" i="42"/>
  <c r="BV42" i="42"/>
  <c r="BN47" i="42"/>
  <c r="BX54" i="42"/>
  <c r="BX58" i="42" s="1"/>
  <c r="BX66" i="42"/>
  <c r="BX69" i="42" s="1"/>
  <c r="BO75" i="42"/>
  <c r="BN82" i="42"/>
  <c r="BN101" i="42"/>
  <c r="BX110" i="42"/>
  <c r="BX212" i="42" s="1"/>
  <c r="BV110" i="42"/>
  <c r="BI205" i="42"/>
  <c r="BU12" i="42"/>
  <c r="W207" i="42"/>
  <c r="AX207" i="42"/>
  <c r="BX15" i="42"/>
  <c r="BV16" i="42"/>
  <c r="BJ211" i="42"/>
  <c r="BI212" i="42"/>
  <c r="BU18" i="42"/>
  <c r="BW22" i="42"/>
  <c r="BW25" i="42" s="1"/>
  <c r="BT27" i="42"/>
  <c r="BV28" i="42"/>
  <c r="BU30" i="42"/>
  <c r="BU33" i="42" s="1"/>
  <c r="BR34" i="42"/>
  <c r="BR37" i="42" s="1"/>
  <c r="BO36" i="42"/>
  <c r="BO37" i="42" s="1"/>
  <c r="BR38" i="42"/>
  <c r="BR40" i="42" s="1"/>
  <c r="BO39" i="42"/>
  <c r="BS39" i="42"/>
  <c r="BU44" i="42"/>
  <c r="AM214" i="42"/>
  <c r="AM206" i="42"/>
  <c r="BQ47" i="42"/>
  <c r="BO50" i="42"/>
  <c r="BT50" i="42"/>
  <c r="BP51" i="42"/>
  <c r="BO53" i="42"/>
  <c r="BO57" i="42"/>
  <c r="BO63" i="42"/>
  <c r="BM65" i="42"/>
  <c r="BR70" i="42"/>
  <c r="BO72" i="42"/>
  <c r="BN73" i="42"/>
  <c r="AM213" i="42"/>
  <c r="BQ77" i="42"/>
  <c r="BK213" i="42"/>
  <c r="BV77" i="42"/>
  <c r="BR95" i="42"/>
  <c r="BN92" i="42"/>
  <c r="BU94" i="42"/>
  <c r="BU95" i="42" s="1"/>
  <c r="BM98" i="42"/>
  <c r="BT98" i="42"/>
  <c r="BV100" i="42"/>
  <c r="BP109" i="42"/>
  <c r="BQ109" i="42"/>
  <c r="BQ112" i="42" s="1"/>
  <c r="BW111" i="42"/>
  <c r="BV111" i="42"/>
  <c r="BN129" i="42"/>
  <c r="BO143" i="42"/>
  <c r="AO205" i="42"/>
  <c r="BW207" i="42"/>
  <c r="BS35" i="42"/>
  <c r="BJ205" i="42"/>
  <c r="BP12" i="42"/>
  <c r="AE207" i="42"/>
  <c r="BN14" i="42"/>
  <c r="AM211" i="42"/>
  <c r="BQ17" i="42"/>
  <c r="BJ212" i="42"/>
  <c r="BP30" i="42"/>
  <c r="BP33" i="42" s="1"/>
  <c r="BT39" i="42"/>
  <c r="BM41" i="42"/>
  <c r="BJ214" i="42"/>
  <c r="BX45" i="42"/>
  <c r="BI206" i="42"/>
  <c r="BN50" i="42"/>
  <c r="BN51" i="42"/>
  <c r="BO54" i="42"/>
  <c r="BN55" i="42"/>
  <c r="BL56" i="42"/>
  <c r="BN56" i="42"/>
  <c r="BN62" i="42"/>
  <c r="BO66" i="42"/>
  <c r="BU76" i="42"/>
  <c r="BW73" i="42"/>
  <c r="BW76" i="42" s="1"/>
  <c r="BV73" i="42"/>
  <c r="BO74" i="42"/>
  <c r="BR213" i="42"/>
  <c r="BR78" i="42"/>
  <c r="BX85" i="42"/>
  <c r="BM80" i="42"/>
  <c r="BT80" i="42"/>
  <c r="BS80" i="42"/>
  <c r="BO86" i="42"/>
  <c r="BO89" i="42" s="1"/>
  <c r="BO92" i="42"/>
  <c r="BO96" i="42"/>
  <c r="BX99" i="42"/>
  <c r="BO22" i="42"/>
  <c r="BW34" i="42"/>
  <c r="W214" i="42"/>
  <c r="BL50" i="42"/>
  <c r="BM60" i="42"/>
  <c r="BT60" i="42"/>
  <c r="BS60" i="42"/>
  <c r="BN84" i="42"/>
  <c r="AM205" i="42"/>
  <c r="BQ12" i="42"/>
  <c r="AF207" i="42"/>
  <c r="BI207" i="42"/>
  <c r="BO14" i="42"/>
  <c r="BU207" i="42"/>
  <c r="BR17" i="42"/>
  <c r="AM212" i="42"/>
  <c r="BQ18" i="42"/>
  <c r="BO20" i="42"/>
  <c r="BR23" i="42"/>
  <c r="BR25" i="42" s="1"/>
  <c r="BQ24" i="42"/>
  <c r="BQ25" i="42" s="1"/>
  <c r="BO26" i="42"/>
  <c r="BO29" i="42" s="1"/>
  <c r="BO32" i="42"/>
  <c r="BW36" i="42"/>
  <c r="BV36" i="42"/>
  <c r="BW41" i="42"/>
  <c r="BW43" i="42"/>
  <c r="BV43" i="42"/>
  <c r="AO214" i="42"/>
  <c r="BK214" i="42"/>
  <c r="BW214" i="42"/>
  <c r="BW46" i="42"/>
  <c r="BU52" i="42"/>
  <c r="BW49" i="42"/>
  <c r="BV49" i="42"/>
  <c r="BQ50" i="42"/>
  <c r="BO51" i="42"/>
  <c r="BX52" i="42"/>
  <c r="BV53" i="42"/>
  <c r="BO60" i="42"/>
  <c r="BN61" i="42"/>
  <c r="BV65" i="42"/>
  <c r="BW67" i="42"/>
  <c r="BW69" i="42" s="1"/>
  <c r="BV67" i="42"/>
  <c r="BO68" i="42"/>
  <c r="BN70" i="42"/>
  <c r="BQ71" i="42"/>
  <c r="BM72" i="42"/>
  <c r="BT72" i="42"/>
  <c r="BS72" i="42"/>
  <c r="BX95" i="42"/>
  <c r="BK207" i="42"/>
  <c r="BM56" i="42"/>
  <c r="BT56" i="42"/>
  <c r="BS56" i="42"/>
  <c r="BM62" i="42"/>
  <c r="BT62" i="42"/>
  <c r="BS62" i="42"/>
  <c r="V205" i="42"/>
  <c r="AN205" i="42"/>
  <c r="BR12" i="42"/>
  <c r="BX12" i="42"/>
  <c r="BV13" i="42"/>
  <c r="BJ207" i="42"/>
  <c r="BV14" i="42"/>
  <c r="W211" i="42"/>
  <c r="AX211" i="42"/>
  <c r="V212" i="42"/>
  <c r="AN212" i="42"/>
  <c r="BR18" i="42"/>
  <c r="BP46" i="42"/>
  <c r="BW47" i="42"/>
  <c r="BQ53" i="42"/>
  <c r="BW55" i="42"/>
  <c r="BW58" i="42" s="1"/>
  <c r="BV55" i="42"/>
  <c r="BO56" i="42"/>
  <c r="AM208" i="42"/>
  <c r="BV59" i="42"/>
  <c r="BU64" i="42"/>
  <c r="BW61" i="42"/>
  <c r="BW64" i="42" s="1"/>
  <c r="BV61" i="42"/>
  <c r="BO62" i="42"/>
  <c r="BX64" i="42"/>
  <c r="BQ65" i="42"/>
  <c r="BN75" i="42"/>
  <c r="BO80" i="42"/>
  <c r="BO82" i="42"/>
  <c r="BX89" i="42"/>
  <c r="BN87" i="42"/>
  <c r="BN91" i="42"/>
  <c r="BM93" i="42"/>
  <c r="BT93" i="42"/>
  <c r="BV96" i="42"/>
  <c r="BV99" i="42" s="1"/>
  <c r="BO133" i="42"/>
  <c r="V206" i="42"/>
  <c r="AN206" i="42"/>
  <c r="BR47" i="42"/>
  <c r="BV48" i="42"/>
  <c r="BV54" i="42"/>
  <c r="V208" i="42"/>
  <c r="AN208" i="42"/>
  <c r="BR59" i="42"/>
  <c r="BV60" i="42"/>
  <c r="BV66" i="42"/>
  <c r="BV72" i="42"/>
  <c r="BN79" i="42"/>
  <c r="BV79" i="42"/>
  <c r="BO81" i="42"/>
  <c r="BQ82" i="42"/>
  <c r="BQ85" i="42" s="1"/>
  <c r="BN83" i="42"/>
  <c r="BV84" i="42"/>
  <c r="BV88" i="42"/>
  <c r="BO90" i="42"/>
  <c r="BW90" i="42"/>
  <c r="BW95" i="42" s="1"/>
  <c r="BO94" i="42"/>
  <c r="BO97" i="42"/>
  <c r="BW101" i="42"/>
  <c r="BV101" i="42"/>
  <c r="BP102" i="42"/>
  <c r="BP105" i="42" s="1"/>
  <c r="BS103" i="42"/>
  <c r="BO111" i="42"/>
  <c r="BO120" i="42"/>
  <c r="BW127" i="42"/>
  <c r="W206" i="42"/>
  <c r="AX206" i="42"/>
  <c r="W208" i="42"/>
  <c r="AX208" i="42"/>
  <c r="AX213" i="42"/>
  <c r="BO79" i="42"/>
  <c r="BO83" i="42"/>
  <c r="BQ87" i="42"/>
  <c r="BQ89" i="42" s="1"/>
  <c r="BQ90" i="42"/>
  <c r="BQ95" i="42" s="1"/>
  <c r="BN93" i="42"/>
  <c r="BQ97" i="42"/>
  <c r="BQ99" i="42" s="1"/>
  <c r="BR101" i="42"/>
  <c r="BR105" i="42" s="1"/>
  <c r="BN102" i="42"/>
  <c r="BO103" i="42"/>
  <c r="BL103" i="42"/>
  <c r="BT103" i="42"/>
  <c r="BN104" i="42"/>
  <c r="BW115" i="42"/>
  <c r="BW116" i="42" s="1"/>
  <c r="BV115" i="42"/>
  <c r="BR118" i="42"/>
  <c r="BP119" i="42"/>
  <c r="BQ119" i="42"/>
  <c r="BQ122" i="42" s="1"/>
  <c r="BN53" i="42"/>
  <c r="BQ56" i="42"/>
  <c r="BN59" i="42"/>
  <c r="BR61" i="42"/>
  <c r="BQ62" i="42"/>
  <c r="BQ64" i="42" s="1"/>
  <c r="BN65" i="42"/>
  <c r="BR67" i="42"/>
  <c r="BR69" i="42" s="1"/>
  <c r="BQ68" i="42"/>
  <c r="BO70" i="42"/>
  <c r="BN71" i="42"/>
  <c r="BR73" i="42"/>
  <c r="BQ74" i="42"/>
  <c r="BN77" i="42"/>
  <c r="BL83" i="42"/>
  <c r="BW83" i="42"/>
  <c r="BW85" i="42" s="1"/>
  <c r="BV83" i="42"/>
  <c r="BN86" i="42"/>
  <c r="BP86" i="42"/>
  <c r="BP89" i="42" s="1"/>
  <c r="BW86" i="42"/>
  <c r="BW89" i="42" s="1"/>
  <c r="BV90" i="42"/>
  <c r="BV95" i="42" s="1"/>
  <c r="BP96" i="42"/>
  <c r="BP99" i="42" s="1"/>
  <c r="BN98" i="42"/>
  <c r="BL98" i="42"/>
  <c r="BW98" i="42"/>
  <c r="BW99" i="42" s="1"/>
  <c r="BN103" i="42"/>
  <c r="BO104" i="42"/>
  <c r="BT107" i="42"/>
  <c r="BS107" i="42"/>
  <c r="BW108" i="42"/>
  <c r="BV108" i="42"/>
  <c r="BR111" i="42"/>
  <c r="BP121" i="42"/>
  <c r="BR121" i="42"/>
  <c r="BO127" i="42"/>
  <c r="BN135" i="42"/>
  <c r="BO59" i="42"/>
  <c r="BL60" i="42"/>
  <c r="BV63" i="42"/>
  <c r="BP67" i="42"/>
  <c r="BL72" i="42"/>
  <c r="BV75" i="42"/>
  <c r="AF213" i="42"/>
  <c r="BI213" i="42"/>
  <c r="BW77" i="42"/>
  <c r="BO77" i="42"/>
  <c r="BN80" i="42"/>
  <c r="BO91" i="42"/>
  <c r="BW100" i="42"/>
  <c r="BQ103" i="42"/>
  <c r="BQ105" i="42" s="1"/>
  <c r="BX107" i="42"/>
  <c r="BN109" i="42"/>
  <c r="BU117" i="42"/>
  <c r="BU122" i="42" s="1"/>
  <c r="BW133" i="42"/>
  <c r="BW136" i="42" s="1"/>
  <c r="BN166" i="42"/>
  <c r="BR45" i="42"/>
  <c r="BJ206" i="42"/>
  <c r="BJ208" i="42"/>
  <c r="BQ70" i="42"/>
  <c r="BJ213" i="42"/>
  <c r="BX77" i="42"/>
  <c r="BP81" i="42"/>
  <c r="BS94" i="42"/>
  <c r="BM94" i="42"/>
  <c r="BW102" i="42"/>
  <c r="BV102" i="42"/>
  <c r="BM107" i="42"/>
  <c r="BT110" i="42"/>
  <c r="BS110" i="42"/>
  <c r="BN111" i="42"/>
  <c r="BP106" i="42"/>
  <c r="BP112" i="42" s="1"/>
  <c r="BU112" i="42"/>
  <c r="BN108" i="42"/>
  <c r="BR108" i="42"/>
  <c r="BX113" i="42"/>
  <c r="BX116" i="42" s="1"/>
  <c r="AE211" i="42"/>
  <c r="BP117" i="42"/>
  <c r="BW118" i="42"/>
  <c r="BV118" i="42"/>
  <c r="BW121" i="42"/>
  <c r="BV121" i="42"/>
  <c r="BO123" i="42"/>
  <c r="BO126" i="42" s="1"/>
  <c r="BU126" i="42"/>
  <c r="BN125" i="42"/>
  <c r="BQ132" i="42"/>
  <c r="BN128" i="42"/>
  <c r="BO129" i="42"/>
  <c r="BN131" i="42"/>
  <c r="BN134" i="42"/>
  <c r="BO135" i="42"/>
  <c r="BO139" i="42"/>
  <c r="BM142" i="42"/>
  <c r="BT142" i="42"/>
  <c r="BS142" i="42"/>
  <c r="BP153" i="42"/>
  <c r="BQ153" i="42"/>
  <c r="BN158" i="42"/>
  <c r="BX160" i="42"/>
  <c r="BX164" i="42" s="1"/>
  <c r="BN162" i="42"/>
  <c r="BE201" i="42"/>
  <c r="AX22" i="47" s="1"/>
  <c r="BN117" i="42"/>
  <c r="BM125" i="42"/>
  <c r="BT125" i="42"/>
  <c r="BO128" i="42"/>
  <c r="BL128" i="42"/>
  <c r="BM131" i="42"/>
  <c r="BT131" i="42"/>
  <c r="BO134" i="42"/>
  <c r="BL134" i="42"/>
  <c r="BO145" i="42"/>
  <c r="BU151" i="42"/>
  <c r="BU155" i="42" s="1"/>
  <c r="BQ126" i="42"/>
  <c r="BX123" i="42"/>
  <c r="BX126" i="42" s="1"/>
  <c r="BN124" i="42"/>
  <c r="BM128" i="42"/>
  <c r="BT128" i="42"/>
  <c r="BX129" i="42"/>
  <c r="BX132" i="42" s="1"/>
  <c r="BV129" i="42"/>
  <c r="BN130" i="42"/>
  <c r="BM134" i="42"/>
  <c r="BT134" i="42"/>
  <c r="BX135" i="42"/>
  <c r="BX136" i="42" s="1"/>
  <c r="BV135" i="42"/>
  <c r="BW137" i="42"/>
  <c r="BW140" i="42" s="1"/>
  <c r="BN138" i="42"/>
  <c r="BO141" i="42"/>
  <c r="BN146" i="42"/>
  <c r="BS159" i="42"/>
  <c r="BN161" i="42"/>
  <c r="BM119" i="42"/>
  <c r="BT119" i="42"/>
  <c r="BR126" i="42"/>
  <c r="BR127" i="42"/>
  <c r="BR132" i="42" s="1"/>
  <c r="BN133" i="42"/>
  <c r="BR133" i="42"/>
  <c r="BR136" i="42" s="1"/>
  <c r="BN153" i="42"/>
  <c r="BO107" i="42"/>
  <c r="BO110" i="42"/>
  <c r="BU113" i="42"/>
  <c r="BU116" i="42" s="1"/>
  <c r="BP115" i="42"/>
  <c r="BP116" i="42" s="1"/>
  <c r="BX117" i="42"/>
  <c r="BX122" i="42" s="1"/>
  <c r="AE208" i="42"/>
  <c r="BN121" i="42"/>
  <c r="BW124" i="42"/>
  <c r="BW126" i="42" s="1"/>
  <c r="BV124" i="42"/>
  <c r="BU132" i="42"/>
  <c r="BW130" i="42"/>
  <c r="BV130" i="42"/>
  <c r="BU136" i="42"/>
  <c r="BW143" i="42"/>
  <c r="BW147" i="42" s="1"/>
  <c r="BV143" i="42"/>
  <c r="BO160" i="42"/>
  <c r="BM162" i="42"/>
  <c r="BT162" i="42"/>
  <c r="BS162" i="42"/>
  <c r="BR106" i="42"/>
  <c r="BL110" i="42"/>
  <c r="BP118" i="42"/>
  <c r="BV120" i="42"/>
  <c r="BP130" i="42"/>
  <c r="BP141" i="42"/>
  <c r="BX148" i="42"/>
  <c r="BX150" i="42" s="1"/>
  <c r="BN152" i="42"/>
  <c r="BN163" i="42"/>
  <c r="BS170" i="42"/>
  <c r="BM170" i="42"/>
  <c r="BT170" i="42"/>
  <c r="BQ133" i="42"/>
  <c r="BQ136" i="42" s="1"/>
  <c r="BX155" i="42"/>
  <c r="BO152" i="42"/>
  <c r="BO154" i="42"/>
  <c r="BM159" i="42"/>
  <c r="BO163" i="42"/>
  <c r="BO166" i="42"/>
  <c r="BW166" i="42"/>
  <c r="BV166" i="42"/>
  <c r="BQ169" i="42"/>
  <c r="BZ201" i="42"/>
  <c r="BS22" i="47" s="1"/>
  <c r="BO199" i="42"/>
  <c r="BX175" i="42"/>
  <c r="BX181" i="42" s="1"/>
  <c r="BO186" i="42"/>
  <c r="BO106" i="42"/>
  <c r="BL125" i="42"/>
  <c r="BL131" i="42"/>
  <c r="BN142" i="42"/>
  <c r="BN143" i="42"/>
  <c r="BO146" i="42"/>
  <c r="BN149" i="42"/>
  <c r="BN150" i="42" s="1"/>
  <c r="BR155" i="42"/>
  <c r="BM154" i="42"/>
  <c r="BT154" i="42"/>
  <c r="BS154" i="42"/>
  <c r="BU157" i="42"/>
  <c r="BU211" i="42" s="1"/>
  <c r="BV159" i="42"/>
  <c r="BN192" i="42"/>
  <c r="BO138" i="42"/>
  <c r="BN139" i="42"/>
  <c r="BN141" i="42"/>
  <c r="BO144" i="42"/>
  <c r="BN145" i="42"/>
  <c r="BW149" i="42"/>
  <c r="BV149" i="42"/>
  <c r="BP151" i="42"/>
  <c r="BO157" i="42"/>
  <c r="BO158" i="42" s="1"/>
  <c r="BQ159" i="42"/>
  <c r="BW161" i="42"/>
  <c r="BW164" i="42" s="1"/>
  <c r="BV161" i="42"/>
  <c r="BO162" i="42"/>
  <c r="BL162" i="42"/>
  <c r="BQ165" i="42"/>
  <c r="BQ168" i="42" s="1"/>
  <c r="BR181" i="42"/>
  <c r="BM183" i="42"/>
  <c r="BS183" i="42"/>
  <c r="BT183" i="42"/>
  <c r="BR141" i="42"/>
  <c r="BR147" i="42" s="1"/>
  <c r="BX141" i="42"/>
  <c r="BX147" i="42" s="1"/>
  <c r="BQ142" i="42"/>
  <c r="BP146" i="42"/>
  <c r="BQ148" i="42"/>
  <c r="BQ150" i="42" s="1"/>
  <c r="BW148" i="42"/>
  <c r="BN151" i="42"/>
  <c r="BP152" i="42"/>
  <c r="BV154" i="42"/>
  <c r="BQ154" i="42"/>
  <c r="BV160" i="42"/>
  <c r="BR166" i="42"/>
  <c r="BR168" i="42" s="1"/>
  <c r="BN167" i="42"/>
  <c r="BX169" i="42"/>
  <c r="BX174" i="42" s="1"/>
  <c r="BW170" i="42"/>
  <c r="BV170" i="42"/>
  <c r="BO172" i="42"/>
  <c r="BN177" i="42"/>
  <c r="BS178" i="42"/>
  <c r="BQ180" i="42"/>
  <c r="BP180" i="42"/>
  <c r="Y201" i="42"/>
  <c r="R22" i="47" s="1"/>
  <c r="BQ194" i="42"/>
  <c r="AM201" i="42"/>
  <c r="BV194" i="42"/>
  <c r="BM195" i="42"/>
  <c r="BS195" i="42"/>
  <c r="BT195" i="42"/>
  <c r="BL197" i="42"/>
  <c r="BW198" i="42"/>
  <c r="BV198" i="42"/>
  <c r="BQ137" i="42"/>
  <c r="BR148" i="42"/>
  <c r="BV156" i="42"/>
  <c r="BV158" i="42" s="1"/>
  <c r="BO165" i="42"/>
  <c r="BO167" i="42"/>
  <c r="BQ171" i="42"/>
  <c r="BN175" i="42"/>
  <c r="BW179" i="42"/>
  <c r="BV179" i="42"/>
  <c r="BX182" i="42"/>
  <c r="BT185" i="42"/>
  <c r="BS185" i="42"/>
  <c r="BP191" i="42"/>
  <c r="BQ191" i="42"/>
  <c r="BM196" i="42"/>
  <c r="BS196" i="42"/>
  <c r="BT196" i="42"/>
  <c r="BX137" i="42"/>
  <c r="BX140" i="42" s="1"/>
  <c r="BV138" i="42"/>
  <c r="BQ138" i="42"/>
  <c r="BV144" i="42"/>
  <c r="BR149" i="42"/>
  <c r="BQ156" i="42"/>
  <c r="BQ158" i="42" s="1"/>
  <c r="BN159" i="42"/>
  <c r="BQ162" i="42"/>
  <c r="BW165" i="42"/>
  <c r="BN169" i="42"/>
  <c r="BN170" i="42"/>
  <c r="BT172" i="42"/>
  <c r="BS172" i="42"/>
  <c r="BO175" i="42"/>
  <c r="BQ182" i="42"/>
  <c r="AA201" i="42"/>
  <c r="T22" i="47" s="1"/>
  <c r="BV188" i="42"/>
  <c r="AV201" i="42"/>
  <c r="AO22" i="47" s="1"/>
  <c r="BU141" i="42"/>
  <c r="BU147" i="42" s="1"/>
  <c r="BV145" i="42"/>
  <c r="BO159" i="42"/>
  <c r="BU166" i="42"/>
  <c r="BU168" i="42" s="1"/>
  <c r="BO169" i="42"/>
  <c r="BX184" i="42"/>
  <c r="BV184" i="42"/>
  <c r="V201" i="42"/>
  <c r="AH202" i="42" s="1"/>
  <c r="BR196" i="42"/>
  <c r="BR200" i="42" s="1"/>
  <c r="BV146" i="42"/>
  <c r="BV152" i="42"/>
  <c r="BU169" i="42"/>
  <c r="BU174" i="42" s="1"/>
  <c r="BV171" i="42"/>
  <c r="BW171" i="42"/>
  <c r="BV172" i="42"/>
  <c r="BW175" i="42"/>
  <c r="BP176" i="42"/>
  <c r="BS177" i="42"/>
  <c r="BM178" i="42"/>
  <c r="BV190" i="42"/>
  <c r="AK201" i="42"/>
  <c r="AD22" i="47" s="1"/>
  <c r="AL201" i="42"/>
  <c r="AE22" i="47" s="1"/>
  <c r="CC201" i="42"/>
  <c r="BV22" i="47" s="1"/>
  <c r="BP170" i="42"/>
  <c r="BP173" i="42"/>
  <c r="BV176" i="42"/>
  <c r="BN178" i="42"/>
  <c r="BN182" i="42"/>
  <c r="BV183" i="42"/>
  <c r="BR186" i="42"/>
  <c r="BR187" i="42" s="1"/>
  <c r="BP186" i="42"/>
  <c r="BP190" i="42"/>
  <c r="BN191" i="42"/>
  <c r="BB201" i="42"/>
  <c r="AU22" i="47" s="1"/>
  <c r="BH201" i="42"/>
  <c r="BA22" i="47" s="1"/>
  <c r="CF201" i="42"/>
  <c r="BY22" i="47" s="1"/>
  <c r="BQ197" i="42"/>
  <c r="BO177" i="42"/>
  <c r="AF208" i="42"/>
  <c r="BU182" i="42"/>
  <c r="BU187" i="42" s="1"/>
  <c r="BQ188" i="42"/>
  <c r="BR190" i="42"/>
  <c r="BR193" i="42" s="1"/>
  <c r="BV191" i="42"/>
  <c r="CA201" i="42"/>
  <c r="BT22" i="47" s="1"/>
  <c r="BY201" i="42"/>
  <c r="BR22" i="47" s="1"/>
  <c r="CE201" i="42"/>
  <c r="BX22" i="47" s="1"/>
  <c r="BV196" i="42"/>
  <c r="BW196" i="42"/>
  <c r="BR169" i="42"/>
  <c r="BR174" i="42" s="1"/>
  <c r="CI201" i="42"/>
  <c r="CB22" i="47" s="1"/>
  <c r="BP177" i="42"/>
  <c r="BU188" i="42"/>
  <c r="BU193" i="42" s="1"/>
  <c r="BW190" i="42"/>
  <c r="X201" i="42"/>
  <c r="Q22" i="47" s="1"/>
  <c r="AD201" i="42"/>
  <c r="W22" i="47" s="1"/>
  <c r="U22" i="47"/>
  <c r="BQ179" i="42"/>
  <c r="BP183" i="42"/>
  <c r="BW186" i="42"/>
  <c r="BV186" i="42"/>
  <c r="BX189" i="42"/>
  <c r="BX193" i="42" s="1"/>
  <c r="BP195" i="42"/>
  <c r="BP196" i="42"/>
  <c r="BM197" i="42"/>
  <c r="BT197" i="42"/>
  <c r="BO198" i="42"/>
  <c r="BN199" i="42"/>
  <c r="AA204" i="42"/>
  <c r="BQ175" i="42"/>
  <c r="BN183" i="42"/>
  <c r="BL183" i="42"/>
  <c r="BQ184" i="42"/>
  <c r="BW185" i="42"/>
  <c r="BV185" i="42"/>
  <c r="BW192" i="42"/>
  <c r="BV192" i="42"/>
  <c r="AJ201" i="42"/>
  <c r="AC22" i="47" s="1"/>
  <c r="BC201" i="42"/>
  <c r="AV22" i="47" s="1"/>
  <c r="BN196" i="42"/>
  <c r="BL196" i="42"/>
  <c r="CB201" i="42"/>
  <c r="BU22" i="47" s="1"/>
  <c r="CH201" i="42"/>
  <c r="CA22" i="47" s="1"/>
  <c r="CG201" i="42"/>
  <c r="BZ22" i="47" s="1"/>
  <c r="BN194" i="42"/>
  <c r="BU194" i="42"/>
  <c r="BU200" i="42" s="1"/>
  <c r="BO195" i="42"/>
  <c r="AI201" i="42"/>
  <c r="W202" i="42" s="1"/>
  <c r="BN189" i="42"/>
  <c r="BL189" i="42"/>
  <c r="AP22" i="47"/>
  <c r="BX200" i="42"/>
  <c r="Z201" i="42"/>
  <c r="S22" i="47" s="1"/>
  <c r="BD201" i="42"/>
  <c r="AW22" i="47" s="1"/>
  <c r="BJ201" i="42"/>
  <c r="BX202" i="42" s="1"/>
  <c r="BO189" i="42"/>
  <c r="BN195" i="42"/>
  <c r="AH201" i="42"/>
  <c r="V202" i="42" s="1"/>
  <c r="AL204" i="42"/>
  <c r="CD201" i="42"/>
  <c r="BW22" i="47" s="1"/>
  <c r="CJ201" i="42"/>
  <c r="CC22" i="47" s="1"/>
  <c r="BY204" i="42"/>
  <c r="CE204" i="42"/>
  <c r="I204" i="42"/>
  <c r="O204" i="42"/>
  <c r="U204" i="42"/>
  <c r="CC204" i="42"/>
  <c r="CI204" i="42"/>
  <c r="AC201" i="42"/>
  <c r="V22" i="47" s="1"/>
  <c r="AZ201" i="42"/>
  <c r="AY22" i="47"/>
  <c r="L204" i="42"/>
  <c r="R204" i="42"/>
  <c r="BZ204" i="42"/>
  <c r="CF204" i="42"/>
  <c r="AU201" i="42"/>
  <c r="BA201" i="42"/>
  <c r="BJ202" i="42" s="1"/>
  <c r="BG201" i="42"/>
  <c r="AZ22" i="47" s="1"/>
  <c r="BX16" i="41"/>
  <c r="BN13" i="41"/>
  <c r="AF148" i="41"/>
  <c r="BO15" i="41"/>
  <c r="BS37" i="41"/>
  <c r="W142" i="41"/>
  <c r="BS14" i="41"/>
  <c r="BO20" i="41"/>
  <c r="BO33" i="41"/>
  <c r="BQ37" i="41"/>
  <c r="BQ43" i="41" s="1"/>
  <c r="BO42" i="41"/>
  <c r="AK138" i="41"/>
  <c r="AD21" i="47" s="1"/>
  <c r="W143" i="41"/>
  <c r="BN18" i="41"/>
  <c r="BN24" i="41"/>
  <c r="BW38" i="41"/>
  <c r="BV38" i="41"/>
  <c r="BN40" i="41"/>
  <c r="BW47" i="41"/>
  <c r="BV47" i="41"/>
  <c r="BN48" i="41"/>
  <c r="BN49" i="41"/>
  <c r="BN51" i="41"/>
  <c r="BV53" i="41"/>
  <c r="BX53" i="41"/>
  <c r="BO54" i="41"/>
  <c r="BN60" i="41"/>
  <c r="BP62" i="41"/>
  <c r="BP65" i="41" s="1"/>
  <c r="BN73" i="41"/>
  <c r="BW76" i="41"/>
  <c r="BV76" i="41"/>
  <c r="BO80" i="41"/>
  <c r="BO83" i="41" s="1"/>
  <c r="BW82" i="41"/>
  <c r="BV82" i="41"/>
  <c r="BO100" i="41"/>
  <c r="BO13" i="41"/>
  <c r="V148" i="41"/>
  <c r="BJ148" i="41"/>
  <c r="Y138" i="41"/>
  <c r="R21" i="47" s="1"/>
  <c r="BU149" i="41"/>
  <c r="BV22" i="41"/>
  <c r="BW25" i="41"/>
  <c r="BV25" i="41"/>
  <c r="AM150" i="41"/>
  <c r="BQ28" i="41"/>
  <c r="BQ33" i="41"/>
  <c r="BP33" i="41"/>
  <c r="BO34" i="41"/>
  <c r="BX34" i="41"/>
  <c r="BX40" i="41"/>
  <c r="BX43" i="41" s="1"/>
  <c r="BP41" i="41"/>
  <c r="BT46" i="41"/>
  <c r="BM46" i="41"/>
  <c r="BS46" i="41"/>
  <c r="BQ54" i="41"/>
  <c r="BO63" i="41"/>
  <c r="BO66" i="41"/>
  <c r="BT89" i="41"/>
  <c r="BS89" i="41"/>
  <c r="BM89" i="41"/>
  <c r="BN91" i="41"/>
  <c r="BO128" i="41"/>
  <c r="BM25" i="41"/>
  <c r="BT25" i="41"/>
  <c r="BS25" i="41"/>
  <c r="BO76" i="41"/>
  <c r="BI148" i="41"/>
  <c r="BW15" i="41"/>
  <c r="AX142" i="41"/>
  <c r="BQ13" i="41"/>
  <c r="BP14" i="41"/>
  <c r="BQ14" i="41"/>
  <c r="BB138" i="41"/>
  <c r="AU21" i="47" s="1"/>
  <c r="BV28" i="41"/>
  <c r="BN30" i="41"/>
  <c r="AM145" i="41"/>
  <c r="BQ31" i="41"/>
  <c r="BR33" i="41"/>
  <c r="BN34" i="41"/>
  <c r="BU37" i="41"/>
  <c r="BU43" i="41" s="1"/>
  <c r="BN41" i="41"/>
  <c r="BQ46" i="41"/>
  <c r="BP46" i="41"/>
  <c r="BX58" i="41"/>
  <c r="BP53" i="41"/>
  <c r="BQ53" i="41"/>
  <c r="BV59" i="41"/>
  <c r="BV61" i="41" s="1"/>
  <c r="BV64" i="41"/>
  <c r="BW64" i="41"/>
  <c r="BM66" i="41"/>
  <c r="BN69" i="41"/>
  <c r="BO86" i="41"/>
  <c r="BO113" i="41"/>
  <c r="BN45" i="41"/>
  <c r="BO70" i="41"/>
  <c r="BO90" i="41"/>
  <c r="BR106" i="41"/>
  <c r="BR112" i="41" s="1"/>
  <c r="AN142" i="41"/>
  <c r="BI142" i="41"/>
  <c r="BW12" i="41"/>
  <c r="BR12" i="41"/>
  <c r="BO14" i="41"/>
  <c r="BL14" i="41"/>
  <c r="AV138" i="41"/>
  <c r="AO21" i="47" s="1"/>
  <c r="CC138" i="41"/>
  <c r="BV21" i="47" s="1"/>
  <c r="AM143" i="41"/>
  <c r="BR18" i="41"/>
  <c r="AE149" i="41"/>
  <c r="BN19" i="41"/>
  <c r="BN22" i="41"/>
  <c r="BO23" i="41"/>
  <c r="BQ23" i="41"/>
  <c r="BW24" i="41"/>
  <c r="BV24" i="41"/>
  <c r="BN25" i="41"/>
  <c r="BO26" i="41"/>
  <c r="BV31" i="41"/>
  <c r="BN32" i="41"/>
  <c r="BV37" i="41"/>
  <c r="BV43" i="41" s="1"/>
  <c r="BR39" i="41"/>
  <c r="BN42" i="41"/>
  <c r="BW45" i="41"/>
  <c r="BR58" i="41"/>
  <c r="BN55" i="41"/>
  <c r="BW56" i="41"/>
  <c r="BV56" i="41"/>
  <c r="BO57" i="41"/>
  <c r="BO64" i="41"/>
  <c r="BN71" i="41"/>
  <c r="BP75" i="41"/>
  <c r="BR75" i="41"/>
  <c r="BN81" i="41"/>
  <c r="BP84" i="41"/>
  <c r="BM14" i="41"/>
  <c r="AM149" i="41"/>
  <c r="BM23" i="41"/>
  <c r="BT23" i="41"/>
  <c r="BN38" i="41"/>
  <c r="BN39" i="41"/>
  <c r="BO49" i="41"/>
  <c r="BR15" i="41"/>
  <c r="AO143" i="41"/>
  <c r="BX23" i="41"/>
  <c r="BX27" i="41" s="1"/>
  <c r="W148" i="41"/>
  <c r="BU15" i="41"/>
  <c r="BU16" i="41" s="1"/>
  <c r="BH138" i="41"/>
  <c r="BA21" i="47" s="1"/>
  <c r="AX143" i="41"/>
  <c r="BU17" i="41"/>
  <c r="BQ21" i="41"/>
  <c r="BW19" i="41"/>
  <c r="V142" i="41"/>
  <c r="BJ142" i="41"/>
  <c r="BV14" i="41"/>
  <c r="U21" i="47"/>
  <c r="AP21" i="47"/>
  <c r="CD138" i="41"/>
  <c r="BW21" i="47" s="1"/>
  <c r="CJ138" i="41"/>
  <c r="CC21" i="47" s="1"/>
  <c r="BJ143" i="41"/>
  <c r="BX17" i="41"/>
  <c r="BV17" i="41"/>
  <c r="BW18" i="41"/>
  <c r="BV18" i="41"/>
  <c r="AF149" i="41"/>
  <c r="BO19" i="41"/>
  <c r="BX20" i="41"/>
  <c r="BV20" i="41"/>
  <c r="BU27" i="41"/>
  <c r="AQ149" i="41"/>
  <c r="V150" i="41"/>
  <c r="BR28" i="41"/>
  <c r="BW32" i="41"/>
  <c r="BV32" i="41"/>
  <c r="BQ35" i="41"/>
  <c r="BP35" i="41"/>
  <c r="BP39" i="41"/>
  <c r="BN57" i="41"/>
  <c r="BN64" i="41"/>
  <c r="BN68" i="41"/>
  <c r="BP74" i="41"/>
  <c r="BQ74" i="41"/>
  <c r="BO95" i="41"/>
  <c r="AM142" i="41"/>
  <c r="BQ12" i="41"/>
  <c r="AC138" i="41"/>
  <c r="V21" i="47" s="1"/>
  <c r="AI138" i="41"/>
  <c r="W139" i="41" s="1"/>
  <c r="AU138" i="41"/>
  <c r="BA138" i="41"/>
  <c r="BG138" i="41"/>
  <c r="AZ21" i="47" s="1"/>
  <c r="BY138" i="41"/>
  <c r="BR21" i="47" s="1"/>
  <c r="CE138" i="41"/>
  <c r="BX21" i="47" s="1"/>
  <c r="V143" i="41"/>
  <c r="AN143" i="41"/>
  <c r="BR17" i="41"/>
  <c r="BJ149" i="41"/>
  <c r="W150" i="41"/>
  <c r="AX150" i="41"/>
  <c r="BU28" i="41"/>
  <c r="AX145" i="41"/>
  <c r="BU31" i="41"/>
  <c r="BN35" i="41"/>
  <c r="BO37" i="41"/>
  <c r="BP42" i="41"/>
  <c r="BN44" i="41"/>
  <c r="BU44" i="41"/>
  <c r="BU50" i="41" s="1"/>
  <c r="BQ55" i="41"/>
  <c r="BQ58" i="41" s="1"/>
  <c r="BM67" i="41"/>
  <c r="BT67" i="41"/>
  <c r="BS67" i="41"/>
  <c r="BV68" i="41"/>
  <c r="BN77" i="41"/>
  <c r="BN78" i="41"/>
  <c r="BW84" i="41"/>
  <c r="BW87" i="41" s="1"/>
  <c r="BN85" i="41"/>
  <c r="BN89" i="41"/>
  <c r="BR24" i="41"/>
  <c r="BR27" i="41" s="1"/>
  <c r="BQ25" i="41"/>
  <c r="W145" i="41"/>
  <c r="BW33" i="41"/>
  <c r="BX35" i="41"/>
  <c r="BW37" i="41"/>
  <c r="BO46" i="41"/>
  <c r="BU65" i="41"/>
  <c r="BO77" i="41"/>
  <c r="BO79" i="41" s="1"/>
  <c r="BM102" i="41"/>
  <c r="BT102" i="41"/>
  <c r="BS102" i="41"/>
  <c r="BN116" i="41"/>
  <c r="CA138" i="41"/>
  <c r="CG138" i="41"/>
  <c r="AE143" i="41"/>
  <c r="BN17" i="41"/>
  <c r="V149" i="41"/>
  <c r="AN149" i="41"/>
  <c r="BR19" i="41"/>
  <c r="BO22" i="41"/>
  <c r="BL23" i="41"/>
  <c r="BV26" i="41"/>
  <c r="AF150" i="41"/>
  <c r="BO28" i="41"/>
  <c r="BI145" i="41"/>
  <c r="BW31" i="41"/>
  <c r="BW44" i="41"/>
  <c r="BX50" i="41"/>
  <c r="BV46" i="41"/>
  <c r="BW51" i="41"/>
  <c r="BN52" i="41"/>
  <c r="BO53" i="41"/>
  <c r="BN62" i="41"/>
  <c r="BP71" i="41"/>
  <c r="BU74" i="41"/>
  <c r="BU79" i="41" s="1"/>
  <c r="BV77" i="41"/>
  <c r="BX77" i="41"/>
  <c r="BX79" i="41" s="1"/>
  <c r="BQ80" i="41"/>
  <c r="BQ83" i="41" s="1"/>
  <c r="BP86" i="41"/>
  <c r="BQ86" i="41"/>
  <c r="BQ87" i="41" s="1"/>
  <c r="BW88" i="41"/>
  <c r="BO92" i="41"/>
  <c r="BO99" i="41"/>
  <c r="BU101" i="41"/>
  <c r="BU105" i="41" s="1"/>
  <c r="BQ102" i="41"/>
  <c r="BP102" i="41"/>
  <c r="BT104" i="41"/>
  <c r="BT151" i="41" s="1"/>
  <c r="AM148" i="41"/>
  <c r="BQ15" i="41"/>
  <c r="Z138" i="41"/>
  <c r="S21" i="47" s="1"/>
  <c r="AL138" i="41"/>
  <c r="AE21" i="47" s="1"/>
  <c r="BD138" i="41"/>
  <c r="AW21" i="47" s="1"/>
  <c r="CB138" i="41"/>
  <c r="BU21" i="47" s="1"/>
  <c r="CH138" i="41"/>
  <c r="CA21" i="47" s="1"/>
  <c r="BI143" i="41"/>
  <c r="W149" i="41"/>
  <c r="AX149" i="41"/>
  <c r="BX28" i="41"/>
  <c r="BJ145" i="41"/>
  <c r="BX31" i="41"/>
  <c r="BO40" i="41"/>
  <c r="BR50" i="41"/>
  <c r="BQ48" i="41"/>
  <c r="BP49" i="41"/>
  <c r="BP50" i="41" s="1"/>
  <c r="BP52" i="41"/>
  <c r="BP58" i="41" s="1"/>
  <c r="BN53" i="41"/>
  <c r="BW55" i="41"/>
  <c r="BW57" i="41"/>
  <c r="BW150" i="41" s="1"/>
  <c r="BV57" i="41"/>
  <c r="BX61" i="41"/>
  <c r="BW60" i="41"/>
  <c r="BW61" i="41" s="1"/>
  <c r="BQ65" i="41"/>
  <c r="BQ72" i="41"/>
  <c r="BR69" i="41"/>
  <c r="BR72" i="41" s="1"/>
  <c r="BP69" i="41"/>
  <c r="BN70" i="41"/>
  <c r="BR79" i="41"/>
  <c r="BW74" i="41"/>
  <c r="BV74" i="41"/>
  <c r="BW75" i="41"/>
  <c r="BV75" i="41"/>
  <c r="BP81" i="41"/>
  <c r="BR81" i="41"/>
  <c r="BR83" i="41" s="1"/>
  <c r="BR84" i="41"/>
  <c r="BR87" i="41" s="1"/>
  <c r="BN90" i="41"/>
  <c r="BM98" i="41"/>
  <c r="BP103" i="41"/>
  <c r="BQ103" i="41"/>
  <c r="BN115" i="41"/>
  <c r="BN133" i="41"/>
  <c r="BN134" i="41"/>
  <c r="V145" i="41"/>
  <c r="AN145" i="41"/>
  <c r="BR31" i="41"/>
  <c r="BR37" i="41"/>
  <c r="BQ44" i="41"/>
  <c r="BN54" i="41"/>
  <c r="BN63" i="41"/>
  <c r="BO69" i="41"/>
  <c r="BO71" i="41"/>
  <c r="BW81" i="41"/>
  <c r="BV81" i="41"/>
  <c r="BL82" i="41"/>
  <c r="BN84" i="41"/>
  <c r="BN87" i="41" s="1"/>
  <c r="BR90" i="41"/>
  <c r="BQ92" i="41"/>
  <c r="BP92" i="41"/>
  <c r="BR97" i="41"/>
  <c r="BP94" i="41"/>
  <c r="BN96" i="41"/>
  <c r="BX96" i="41"/>
  <c r="BX97" i="41" s="1"/>
  <c r="AG151" i="41"/>
  <c r="BM104" i="41"/>
  <c r="BM151" i="41" s="1"/>
  <c r="BU106" i="41"/>
  <c r="BU112" i="41" s="1"/>
  <c r="BN107" i="41"/>
  <c r="BX67" i="41"/>
  <c r="BW69" i="41"/>
  <c r="BW72" i="41" s="1"/>
  <c r="BV69" i="41"/>
  <c r="BV72" i="41" s="1"/>
  <c r="BX71" i="41"/>
  <c r="BN88" i="41"/>
  <c r="BW90" i="41"/>
  <c r="BV90" i="41"/>
  <c r="AM151" i="41"/>
  <c r="BQ104" i="41"/>
  <c r="BQ151" i="41" s="1"/>
  <c r="BW106" i="41"/>
  <c r="BO107" i="41"/>
  <c r="BW107" i="41"/>
  <c r="BV107" i="41"/>
  <c r="BN108" i="41"/>
  <c r="BX112" i="41"/>
  <c r="BM110" i="41"/>
  <c r="BT110" i="41"/>
  <c r="BO123" i="41"/>
  <c r="BN127" i="41"/>
  <c r="BO135" i="41"/>
  <c r="BW63" i="41"/>
  <c r="BW65" i="41" s="1"/>
  <c r="BV63" i="41"/>
  <c r="BN66" i="41"/>
  <c r="V138" i="41"/>
  <c r="AH139" i="41" s="1"/>
  <c r="BQ78" i="41"/>
  <c r="BS82" i="41"/>
  <c r="BM82" i="41"/>
  <c r="BV86" i="41"/>
  <c r="BO88" i="41"/>
  <c r="BX89" i="41"/>
  <c r="BX93" i="41" s="1"/>
  <c r="BV89" i="41"/>
  <c r="BN94" i="41"/>
  <c r="BU94" i="41"/>
  <c r="BU97" i="41" s="1"/>
  <c r="BV95" i="41"/>
  <c r="BV97" i="41" s="1"/>
  <c r="BN100" i="41"/>
  <c r="BQ101" i="41"/>
  <c r="BP101" i="41"/>
  <c r="BN102" i="41"/>
  <c r="BK151" i="41"/>
  <c r="BV104" i="41"/>
  <c r="BV151" i="41" s="1"/>
  <c r="BN109" i="41"/>
  <c r="BR120" i="41"/>
  <c r="BQ126" i="41"/>
  <c r="BP126" i="41"/>
  <c r="BU51" i="41"/>
  <c r="BU58" i="41" s="1"/>
  <c r="BX66" i="41"/>
  <c r="BP67" i="41"/>
  <c r="BP73" i="41"/>
  <c r="BN82" i="41"/>
  <c r="BP85" i="41"/>
  <c r="BQ88" i="41"/>
  <c r="BO89" i="41"/>
  <c r="BN95" i="41"/>
  <c r="BM103" i="41"/>
  <c r="BS103" i="41"/>
  <c r="AS151" i="41"/>
  <c r="BS104" i="41"/>
  <c r="BS151" i="41" s="1"/>
  <c r="BV108" i="41"/>
  <c r="BP115" i="41"/>
  <c r="BT117" i="41"/>
  <c r="BS117" i="41"/>
  <c r="BM117" i="41"/>
  <c r="BW129" i="41"/>
  <c r="BV129" i="41"/>
  <c r="BO134" i="41"/>
  <c r="BQ94" i="41"/>
  <c r="BQ97" i="41" s="1"/>
  <c r="BP95" i="41"/>
  <c r="BN98" i="41"/>
  <c r="BQ98" i="41"/>
  <c r="BX98" i="41"/>
  <c r="BV103" i="41"/>
  <c r="BO104" i="41"/>
  <c r="BO151" i="41" s="1"/>
  <c r="BL111" i="41"/>
  <c r="BN111" i="41"/>
  <c r="BO116" i="41"/>
  <c r="BQ117" i="41"/>
  <c r="BQ120" i="41" s="1"/>
  <c r="BP117" i="41"/>
  <c r="BN118" i="41"/>
  <c r="BN119" i="41"/>
  <c r="BP121" i="41"/>
  <c r="BP124" i="41" s="1"/>
  <c r="BX123" i="41"/>
  <c r="BX124" i="41" s="1"/>
  <c r="BV123" i="41"/>
  <c r="BN125" i="41"/>
  <c r="BO129" i="41"/>
  <c r="BW92" i="41"/>
  <c r="BR105" i="41"/>
  <c r="BO109" i="41"/>
  <c r="BS111" i="41"/>
  <c r="BP113" i="41"/>
  <c r="BV113" i="41"/>
  <c r="BU120" i="41"/>
  <c r="BW118" i="41"/>
  <c r="BV118" i="41"/>
  <c r="BV119" i="41"/>
  <c r="BW119" i="41"/>
  <c r="BR88" i="41"/>
  <c r="BP100" i="41"/>
  <c r="BW100" i="41"/>
  <c r="BW105" i="41" s="1"/>
  <c r="BV100" i="41"/>
  <c r="BS101" i="41"/>
  <c r="BO102" i="41"/>
  <c r="BN103" i="41"/>
  <c r="BL103" i="41"/>
  <c r="AE151" i="41"/>
  <c r="BN104" i="41"/>
  <c r="BN151" i="41" s="1"/>
  <c r="AQ151" i="41"/>
  <c r="BX104" i="41"/>
  <c r="BX151" i="41" s="1"/>
  <c r="BO106" i="41"/>
  <c r="BQ111" i="41"/>
  <c r="BX120" i="41"/>
  <c r="BP129" i="41"/>
  <c r="BQ129" i="41"/>
  <c r="BV111" i="41"/>
  <c r="BW121" i="41"/>
  <c r="BW124" i="41" s="1"/>
  <c r="BN132" i="41"/>
  <c r="BO133" i="41"/>
  <c r="BO96" i="41"/>
  <c r="BO108" i="41"/>
  <c r="BP116" i="41"/>
  <c r="BO117" i="41"/>
  <c r="BV122" i="41"/>
  <c r="BV127" i="41"/>
  <c r="BX127" i="41"/>
  <c r="BX130" i="41" s="1"/>
  <c r="BQ134" i="41"/>
  <c r="BP134" i="41"/>
  <c r="BW117" i="41"/>
  <c r="BU121" i="41"/>
  <c r="BU124" i="41" s="1"/>
  <c r="BQ125" i="41"/>
  <c r="BW132" i="41"/>
  <c r="BV132" i="41"/>
  <c r="BV134" i="41"/>
  <c r="BX134" i="41"/>
  <c r="BX137" i="41" s="1"/>
  <c r="BQ135" i="41"/>
  <c r="BP135" i="41"/>
  <c r="BT136" i="41"/>
  <c r="BM136" i="41"/>
  <c r="BS136" i="41"/>
  <c r="BR125" i="41"/>
  <c r="BR130" i="41" s="1"/>
  <c r="BW128" i="41"/>
  <c r="BV128" i="41"/>
  <c r="BO127" i="41"/>
  <c r="BV131" i="41"/>
  <c r="BP110" i="41"/>
  <c r="BO114" i="41"/>
  <c r="BU130" i="41"/>
  <c r="BP128" i="41"/>
  <c r="BO131" i="41"/>
  <c r="BR136" i="41"/>
  <c r="BR137" i="41" s="1"/>
  <c r="BP136" i="41"/>
  <c r="BQ106" i="41"/>
  <c r="BN129" i="41"/>
  <c r="BU132" i="41"/>
  <c r="BU137" i="41" s="1"/>
  <c r="BO136" i="41"/>
  <c r="BL136" i="41"/>
  <c r="BP133" i="41"/>
  <c r="K141" i="41"/>
  <c r="J140" i="41" s="1"/>
  <c r="Q141" i="41"/>
  <c r="BY141" i="41"/>
  <c r="CE141" i="41"/>
  <c r="U141" i="41"/>
  <c r="BW131" i="41"/>
  <c r="AC141" i="41"/>
  <c r="AF22" i="47" l="1"/>
  <c r="BQ202" i="42"/>
  <c r="AS22" i="47"/>
  <c r="BI202" i="42"/>
  <c r="AX202" i="42"/>
  <c r="M140" i="41"/>
  <c r="I140" i="41"/>
  <c r="BW43" i="41"/>
  <c r="AT21" i="47"/>
  <c r="BJ139" i="41"/>
  <c r="BI139" i="41"/>
  <c r="BR43" i="41"/>
  <c r="AX139" i="41"/>
  <c r="S203" i="42"/>
  <c r="I203" i="42"/>
  <c r="M203" i="42"/>
  <c r="BI203" i="42"/>
  <c r="J203" i="42"/>
  <c r="AX203" i="42"/>
  <c r="BJ203" i="42"/>
  <c r="AX140" i="41"/>
  <c r="BI140" i="41"/>
  <c r="BJ140" i="41"/>
  <c r="S140" i="41"/>
  <c r="BW27" i="41"/>
  <c r="BP79" i="41"/>
  <c r="CE140" i="41"/>
  <c r="BQ155" i="42"/>
  <c r="BW187" i="42"/>
  <c r="BO140" i="42"/>
  <c r="BX112" i="42"/>
  <c r="BN58" i="42"/>
  <c r="BR112" i="42"/>
  <c r="BW212" i="42"/>
  <c r="BV155" i="42"/>
  <c r="BN136" i="42"/>
  <c r="BO69" i="42"/>
  <c r="CE203" i="42"/>
  <c r="BN164" i="42"/>
  <c r="BO130" i="41"/>
  <c r="CE139" i="41"/>
  <c r="BZ21" i="47"/>
  <c r="BY139" i="41"/>
  <c r="BT21" i="47"/>
  <c r="BW130" i="41"/>
  <c r="BN27" i="41"/>
  <c r="BW120" i="41"/>
  <c r="BP120" i="41"/>
  <c r="BN130" i="41"/>
  <c r="BP97" i="41"/>
  <c r="BQ36" i="41"/>
  <c r="BW83" i="41"/>
  <c r="BV164" i="42"/>
  <c r="W204" i="42"/>
  <c r="BR150" i="42"/>
  <c r="BQ208" i="42"/>
  <c r="BW122" i="42"/>
  <c r="BV21" i="42"/>
  <c r="BX207" i="42"/>
  <c r="BC22" i="47"/>
  <c r="AT22" i="47"/>
  <c r="AA22" i="47"/>
  <c r="AX204" i="42"/>
  <c r="AB22" i="47"/>
  <c r="O22" i="47"/>
  <c r="AN22" i="47"/>
  <c r="O21" i="47"/>
  <c r="AN21" i="47"/>
  <c r="AB21" i="47"/>
  <c r="V141" i="41"/>
  <c r="BX187" i="42"/>
  <c r="BX201" i="42" s="1"/>
  <c r="BQ22" i="47" s="1"/>
  <c r="BW174" i="42"/>
  <c r="BN112" i="42"/>
  <c r="BP212" i="42"/>
  <c r="BN89" i="42"/>
  <c r="BW44" i="42"/>
  <c r="BP181" i="42"/>
  <c r="BO181" i="42"/>
  <c r="BN174" i="42"/>
  <c r="BN140" i="42"/>
  <c r="BW193" i="42"/>
  <c r="BV200" i="42"/>
  <c r="BX206" i="42"/>
  <c r="BR122" i="42"/>
  <c r="BW211" i="42"/>
  <c r="BW200" i="42"/>
  <c r="BN168" i="42"/>
  <c r="BW112" i="42"/>
  <c r="BN105" i="42"/>
  <c r="BV69" i="42"/>
  <c r="BV29" i="42"/>
  <c r="BV174" i="42"/>
  <c r="BV212" i="42"/>
  <c r="BV211" i="42"/>
  <c r="BR93" i="41"/>
  <c r="BV105" i="41"/>
  <c r="BX105" i="41"/>
  <c r="BN93" i="41"/>
  <c r="BO58" i="41"/>
  <c r="BO149" i="41"/>
  <c r="BX148" i="41"/>
  <c r="BR148" i="41"/>
  <c r="BP87" i="41"/>
  <c r="BQ149" i="41"/>
  <c r="BN36" i="41"/>
  <c r="BO97" i="41"/>
  <c r="BR36" i="41"/>
  <c r="BW143" i="41"/>
  <c r="BW137" i="41"/>
  <c r="BX149" i="41"/>
  <c r="BO43" i="41"/>
  <c r="BN43" i="41"/>
  <c r="BQ27" i="41"/>
  <c r="BQ137" i="41"/>
  <c r="BV130" i="41"/>
  <c r="BQ79" i="41"/>
  <c r="BV145" i="41"/>
  <c r="BM171" i="42"/>
  <c r="BT171" i="42"/>
  <c r="BS171" i="42"/>
  <c r="BV123" i="42"/>
  <c r="BV126" i="42" s="1"/>
  <c r="BX205" i="42"/>
  <c r="BX21" i="42"/>
  <c r="BM73" i="42"/>
  <c r="BT73" i="42"/>
  <c r="BS73" i="42"/>
  <c r="BO42" i="42"/>
  <c r="BO44" i="42" s="1"/>
  <c r="BV34" i="42"/>
  <c r="BV37" i="42" s="1"/>
  <c r="BV22" i="42"/>
  <c r="BV25" i="42" s="1"/>
  <c r="BS101" i="42"/>
  <c r="BM101" i="42"/>
  <c r="BT101" i="42"/>
  <c r="BT63" i="42"/>
  <c r="BS63" i="42"/>
  <c r="BM63" i="42"/>
  <c r="BT57" i="42"/>
  <c r="BS57" i="42"/>
  <c r="BM57" i="42"/>
  <c r="AX201" i="42"/>
  <c r="BU202" i="42" s="1"/>
  <c r="BQ181" i="42"/>
  <c r="BP188" i="42"/>
  <c r="BP193" i="42" s="1"/>
  <c r="BW150" i="42"/>
  <c r="BT157" i="42"/>
  <c r="BS157" i="42"/>
  <c r="BM157" i="42"/>
  <c r="BT139" i="42"/>
  <c r="BS139" i="42"/>
  <c r="BM139" i="42"/>
  <c r="BT192" i="42"/>
  <c r="BS192" i="42"/>
  <c r="BM192" i="42"/>
  <c r="BP159" i="42"/>
  <c r="BP164" i="42" s="1"/>
  <c r="BL107" i="42"/>
  <c r="BO188" i="42"/>
  <c r="BO193" i="42" s="1"/>
  <c r="BP169" i="42"/>
  <c r="BP174" i="42" s="1"/>
  <c r="BT159" i="42"/>
  <c r="BS152" i="42"/>
  <c r="BM152" i="42"/>
  <c r="BT152" i="42"/>
  <c r="BM160" i="42"/>
  <c r="BT160" i="42"/>
  <c r="BM117" i="42"/>
  <c r="BP133" i="42"/>
  <c r="BP136" i="42" s="1"/>
  <c r="BV86" i="42"/>
  <c r="BV89" i="42" s="1"/>
  <c r="AG213" i="42"/>
  <c r="BM77" i="42"/>
  <c r="BV133" i="42"/>
  <c r="BV136" i="42" s="1"/>
  <c r="BW105" i="42"/>
  <c r="BN213" i="42"/>
  <c r="BN78" i="42"/>
  <c r="BL71" i="42"/>
  <c r="BL104" i="42"/>
  <c r="BS102" i="42"/>
  <c r="BT102" i="42"/>
  <c r="BM102" i="42"/>
  <c r="BV127" i="42"/>
  <c r="BV132" i="42" s="1"/>
  <c r="BP70" i="42"/>
  <c r="BP76" i="42" s="1"/>
  <c r="BL91" i="42"/>
  <c r="BL75" i="42"/>
  <c r="BM66" i="42"/>
  <c r="BT66" i="42"/>
  <c r="BK208" i="42"/>
  <c r="BR205" i="42"/>
  <c r="BR21" i="42"/>
  <c r="BX208" i="42"/>
  <c r="BQ212" i="42"/>
  <c r="BQ205" i="42"/>
  <c r="BQ21" i="42"/>
  <c r="BL94" i="42"/>
  <c r="BM55" i="42"/>
  <c r="BT55" i="42"/>
  <c r="BS55" i="42"/>
  <c r="BX214" i="42"/>
  <c r="BX46" i="42"/>
  <c r="BO38" i="42"/>
  <c r="BO40" i="42" s="1"/>
  <c r="BL20" i="42"/>
  <c r="BJ204" i="42"/>
  <c r="BT65" i="42"/>
  <c r="BW208" i="42"/>
  <c r="BU212" i="42"/>
  <c r="BN52" i="42"/>
  <c r="BN37" i="42"/>
  <c r="BM53" i="42"/>
  <c r="BU214" i="42"/>
  <c r="BU46" i="42"/>
  <c r="BM28" i="42"/>
  <c r="BM29" i="42" s="1"/>
  <c r="BT28" i="42"/>
  <c r="BS28" i="42"/>
  <c r="BS17" i="42"/>
  <c r="BL35" i="42"/>
  <c r="BM188" i="42"/>
  <c r="BN190" i="42"/>
  <c r="BN193" i="42" s="1"/>
  <c r="BT163" i="42"/>
  <c r="BS163" i="42"/>
  <c r="BM163" i="42"/>
  <c r="BM153" i="42"/>
  <c r="BT153" i="42"/>
  <c r="BS153" i="42"/>
  <c r="BS146" i="42"/>
  <c r="BM146" i="42"/>
  <c r="BT146" i="42"/>
  <c r="BW213" i="42"/>
  <c r="BW78" i="42"/>
  <c r="BP65" i="42"/>
  <c r="BP69" i="42" s="1"/>
  <c r="BW205" i="42"/>
  <c r="BM84" i="42"/>
  <c r="BT84" i="42"/>
  <c r="BS84" i="42"/>
  <c r="BK211" i="42"/>
  <c r="BV105" i="42"/>
  <c r="BV213" i="42"/>
  <c r="BV78" i="42"/>
  <c r="AO206" i="42"/>
  <c r="BP47" i="42"/>
  <c r="AF205" i="42"/>
  <c r="BO12" i="42"/>
  <c r="BS26" i="42"/>
  <c r="BO182" i="42"/>
  <c r="BO187" i="42" s="1"/>
  <c r="BM191" i="42"/>
  <c r="BT191" i="42"/>
  <c r="BS191" i="42"/>
  <c r="BN187" i="42"/>
  <c r="BV175" i="42"/>
  <c r="BV181" i="42" s="1"/>
  <c r="BV165" i="42"/>
  <c r="BV168" i="42" s="1"/>
  <c r="BV182" i="42"/>
  <c r="BV187" i="42" s="1"/>
  <c r="BY203" i="42"/>
  <c r="BQ193" i="42"/>
  <c r="BO194" i="42"/>
  <c r="BO200" i="42" s="1"/>
  <c r="BS186" i="42"/>
  <c r="BM186" i="42"/>
  <c r="BT186" i="42"/>
  <c r="BW181" i="42"/>
  <c r="BM165" i="42"/>
  <c r="BL160" i="42"/>
  <c r="BM175" i="42"/>
  <c r="BO168" i="42"/>
  <c r="BP194" i="42"/>
  <c r="BP200" i="42" s="1"/>
  <c r="BL177" i="42"/>
  <c r="BN147" i="42"/>
  <c r="BM143" i="42"/>
  <c r="BT143" i="42"/>
  <c r="BS143" i="42"/>
  <c r="BO112" i="42"/>
  <c r="BY202" i="42"/>
  <c r="BO151" i="42"/>
  <c r="BO155" i="42" s="1"/>
  <c r="BP124" i="42"/>
  <c r="BP126" i="42" s="1"/>
  <c r="BM121" i="42"/>
  <c r="BS121" i="42"/>
  <c r="BT121" i="42"/>
  <c r="BV117" i="42"/>
  <c r="BV122" i="42" s="1"/>
  <c r="BM106" i="42"/>
  <c r="BM144" i="42"/>
  <c r="BT144" i="42"/>
  <c r="BS144" i="42"/>
  <c r="BO113" i="42"/>
  <c r="BO116" i="42" s="1"/>
  <c r="BO147" i="42"/>
  <c r="BP127" i="42"/>
  <c r="BP132" i="42" s="1"/>
  <c r="BP122" i="42"/>
  <c r="BS111" i="42"/>
  <c r="BM111" i="42"/>
  <c r="BT111" i="42"/>
  <c r="BQ76" i="42"/>
  <c r="BR214" i="42"/>
  <c r="BR46" i="42"/>
  <c r="BL80" i="42"/>
  <c r="AQ213" i="42"/>
  <c r="AP213" i="42"/>
  <c r="BO76" i="42"/>
  <c r="BL119" i="42"/>
  <c r="BL102" i="42"/>
  <c r="BO85" i="42"/>
  <c r="BW132" i="42"/>
  <c r="AE214" i="42"/>
  <c r="BN45" i="42"/>
  <c r="BM87" i="42"/>
  <c r="BT87" i="42"/>
  <c r="BS87" i="42"/>
  <c r="BQ69" i="42"/>
  <c r="AO208" i="42"/>
  <c r="BP59" i="42"/>
  <c r="BT51" i="42"/>
  <c r="BS51" i="42"/>
  <c r="BM51" i="42"/>
  <c r="BR212" i="42"/>
  <c r="BV207" i="42"/>
  <c r="AN204" i="42"/>
  <c r="BL87" i="42"/>
  <c r="BM61" i="42"/>
  <c r="BT61" i="42"/>
  <c r="BS61" i="42"/>
  <c r="BV58" i="42"/>
  <c r="BK212" i="42"/>
  <c r="BO207" i="42"/>
  <c r="BK205" i="42"/>
  <c r="BL93" i="42"/>
  <c r="BL55" i="42"/>
  <c r="BN207" i="42"/>
  <c r="AO213" i="42"/>
  <c r="BP77" i="42"/>
  <c r="BV41" i="42"/>
  <c r="BV44" i="42" s="1"/>
  <c r="AO207" i="42"/>
  <c r="BP14" i="42"/>
  <c r="BM47" i="42"/>
  <c r="BT36" i="42"/>
  <c r="BM36" i="42"/>
  <c r="BQ207" i="42"/>
  <c r="BT17" i="42"/>
  <c r="BM169" i="42"/>
  <c r="BV113" i="42"/>
  <c r="BV116" i="42" s="1"/>
  <c r="BM59" i="42"/>
  <c r="AQ208" i="42"/>
  <c r="BN64" i="42"/>
  <c r="BT104" i="42"/>
  <c r="BS104" i="42"/>
  <c r="BM104" i="42"/>
  <c r="BM38" i="42"/>
  <c r="BM40" i="42" s="1"/>
  <c r="AF214" i="42"/>
  <c r="BO45" i="42"/>
  <c r="BM16" i="42"/>
  <c r="BT16" i="42"/>
  <c r="BS16" i="42"/>
  <c r="BL195" i="42"/>
  <c r="BN200" i="42"/>
  <c r="W201" i="42"/>
  <c r="AI202" i="42" s="1"/>
  <c r="BM184" i="42"/>
  <c r="BT184" i="42"/>
  <c r="BS184" i="42"/>
  <c r="BT180" i="42"/>
  <c r="BM180" i="42"/>
  <c r="BP156" i="42"/>
  <c r="BP158" i="42" s="1"/>
  <c r="BO164" i="42"/>
  <c r="BP182" i="42"/>
  <c r="BP187" i="42" s="1"/>
  <c r="BQ140" i="42"/>
  <c r="BQ200" i="42"/>
  <c r="BM137" i="42"/>
  <c r="BP165" i="42"/>
  <c r="BP168" i="42" s="1"/>
  <c r="BP155" i="42"/>
  <c r="BT145" i="42"/>
  <c r="BS145" i="42"/>
  <c r="BM145" i="42"/>
  <c r="BM149" i="42"/>
  <c r="BT149" i="42"/>
  <c r="BS149" i="42"/>
  <c r="BQ174" i="42"/>
  <c r="BU158" i="42"/>
  <c r="BP147" i="42"/>
  <c r="BN123" i="42"/>
  <c r="BN126" i="42" s="1"/>
  <c r="BQ147" i="42"/>
  <c r="BL121" i="42"/>
  <c r="BN127" i="42"/>
  <c r="BN132" i="42" s="1"/>
  <c r="BL185" i="42"/>
  <c r="BO100" i="42"/>
  <c r="BO105" i="42" s="1"/>
  <c r="BT79" i="42"/>
  <c r="BV70" i="42"/>
  <c r="BV76" i="42" s="1"/>
  <c r="BM109" i="42"/>
  <c r="BT109" i="42"/>
  <c r="BS109" i="42"/>
  <c r="BT88" i="42"/>
  <c r="BM88" i="42"/>
  <c r="BS88" i="42"/>
  <c r="BV85" i="42"/>
  <c r="BT75" i="42"/>
  <c r="BS75" i="42"/>
  <c r="BM75" i="42"/>
  <c r="BM54" i="42"/>
  <c r="BT54" i="42"/>
  <c r="BS54" i="42"/>
  <c r="BW206" i="42"/>
  <c r="BW52" i="42"/>
  <c r="V204" i="42"/>
  <c r="BM86" i="42"/>
  <c r="BM74" i="42"/>
  <c r="BT74" i="42"/>
  <c r="BS74" i="42"/>
  <c r="BN76" i="42"/>
  <c r="BL61" i="42"/>
  <c r="AM204" i="42"/>
  <c r="AO203" i="42" s="1"/>
  <c r="BW37" i="42"/>
  <c r="BS41" i="42"/>
  <c r="BM34" i="42"/>
  <c r="AP207" i="42"/>
  <c r="AP211" i="42"/>
  <c r="AP206" i="42"/>
  <c r="BN90" i="42"/>
  <c r="BN95" i="42" s="1"/>
  <c r="BP26" i="42"/>
  <c r="BP29" i="42" s="1"/>
  <c r="AF212" i="42"/>
  <c r="BO18" i="42"/>
  <c r="BO212" i="42" s="1"/>
  <c r="AQ212" i="42"/>
  <c r="BT82" i="42"/>
  <c r="BM82" i="42"/>
  <c r="BS82" i="42"/>
  <c r="AE206" i="42"/>
  <c r="BL39" i="42"/>
  <c r="AE205" i="42"/>
  <c r="BN12" i="42"/>
  <c r="BS13" i="42"/>
  <c r="BT13" i="42"/>
  <c r="BM13" i="42"/>
  <c r="BS19" i="42"/>
  <c r="BT19" i="42"/>
  <c r="BM19" i="42"/>
  <c r="AQ211" i="42"/>
  <c r="BM199" i="42"/>
  <c r="BT199" i="42"/>
  <c r="BS199" i="42"/>
  <c r="BM173" i="42"/>
  <c r="BT173" i="42"/>
  <c r="BS173" i="42"/>
  <c r="BV193" i="42"/>
  <c r="BV142" i="42"/>
  <c r="BV147" i="42" s="1"/>
  <c r="BL192" i="42"/>
  <c r="BV137" i="42"/>
  <c r="BV140" i="42" s="1"/>
  <c r="BP53" i="42"/>
  <c r="BP58" i="42" s="1"/>
  <c r="BP38" i="42"/>
  <c r="BP40" i="42" s="1"/>
  <c r="BM22" i="42"/>
  <c r="BI201" i="42"/>
  <c r="BM194" i="42"/>
  <c r="CE202" i="42"/>
  <c r="BL178" i="42"/>
  <c r="BP137" i="42"/>
  <c r="BP140" i="42" s="1"/>
  <c r="BQ187" i="42"/>
  <c r="BL170" i="42"/>
  <c r="BT167" i="42"/>
  <c r="BS167" i="42"/>
  <c r="BM167" i="42"/>
  <c r="BN155" i="42"/>
  <c r="BQ164" i="42"/>
  <c r="BM141" i="42"/>
  <c r="BM147" i="42" s="1"/>
  <c r="BM156" i="42"/>
  <c r="BL163" i="42"/>
  <c r="BV148" i="42"/>
  <c r="BV150" i="42" s="1"/>
  <c r="BM133" i="42"/>
  <c r="BL146" i="42"/>
  <c r="BS130" i="42"/>
  <c r="BM130" i="42"/>
  <c r="BT130" i="42"/>
  <c r="BM108" i="42"/>
  <c r="BS108" i="42"/>
  <c r="BT108" i="42"/>
  <c r="BN96" i="42"/>
  <c r="BN99" i="42" s="1"/>
  <c r="AE201" i="42"/>
  <c r="BX213" i="42"/>
  <c r="BX78" i="42"/>
  <c r="BN67" i="42"/>
  <c r="BN69" i="42" s="1"/>
  <c r="BS166" i="42"/>
  <c r="BM166" i="42"/>
  <c r="BT166" i="42"/>
  <c r="BV107" i="42"/>
  <c r="BV112" i="42" s="1"/>
  <c r="BS79" i="42"/>
  <c r="BL66" i="42"/>
  <c r="BU208" i="42"/>
  <c r="BO132" i="42"/>
  <c r="BT120" i="42"/>
  <c r="BS120" i="42"/>
  <c r="BM120" i="42"/>
  <c r="BN85" i="42"/>
  <c r="BO136" i="42"/>
  <c r="BQ58" i="42"/>
  <c r="BK206" i="42"/>
  <c r="BV47" i="42"/>
  <c r="AG207" i="42"/>
  <c r="BM14" i="42"/>
  <c r="BM97" i="42"/>
  <c r="BT97" i="42"/>
  <c r="BS97" i="42"/>
  <c r="BX211" i="42"/>
  <c r="AQ207" i="42"/>
  <c r="BO25" i="42"/>
  <c r="BL62" i="42"/>
  <c r="BT41" i="42"/>
  <c r="BL32" i="42"/>
  <c r="BS43" i="42"/>
  <c r="BM43" i="42"/>
  <c r="BT43" i="42"/>
  <c r="BT129" i="42"/>
  <c r="BS129" i="42"/>
  <c r="BM129" i="42"/>
  <c r="BQ213" i="42"/>
  <c r="BQ78" i="42"/>
  <c r="BM23" i="42"/>
  <c r="BT23" i="42"/>
  <c r="BS23" i="42"/>
  <c r="BU205" i="42"/>
  <c r="BU21" i="42"/>
  <c r="BL74" i="42"/>
  <c r="BL57" i="42"/>
  <c r="BO48" i="42"/>
  <c r="AE212" i="42"/>
  <c r="BM15" i="42"/>
  <c r="BT15" i="42"/>
  <c r="BS15" i="42"/>
  <c r="BT26" i="42"/>
  <c r="BT24" i="42"/>
  <c r="BS24" i="42"/>
  <c r="BM24" i="42"/>
  <c r="BS31" i="42"/>
  <c r="BT31" i="42"/>
  <c r="BM31" i="42"/>
  <c r="BO211" i="42"/>
  <c r="BM68" i="42"/>
  <c r="BT68" i="42"/>
  <c r="BS68" i="42"/>
  <c r="AO211" i="42"/>
  <c r="BP17" i="42"/>
  <c r="BP211" i="42" s="1"/>
  <c r="BL68" i="42"/>
  <c r="AN201" i="42"/>
  <c r="BR202" i="42" s="1"/>
  <c r="BT198" i="42"/>
  <c r="BM198" i="42"/>
  <c r="BO148" i="42"/>
  <c r="BO150" i="42" s="1"/>
  <c r="BO174" i="42"/>
  <c r="BL154" i="42"/>
  <c r="BW168" i="42"/>
  <c r="BL184" i="42"/>
  <c r="BM179" i="42"/>
  <c r="BT179" i="42"/>
  <c r="BL172" i="42"/>
  <c r="BL139" i="42"/>
  <c r="BL142" i="42"/>
  <c r="BL171" i="42"/>
  <c r="BM151" i="42"/>
  <c r="BN118" i="42"/>
  <c r="BM161" i="42"/>
  <c r="BT161" i="42"/>
  <c r="BS161" i="42"/>
  <c r="BM138" i="42"/>
  <c r="BT138" i="42"/>
  <c r="BS138" i="42"/>
  <c r="BS124" i="42"/>
  <c r="BM124" i="42"/>
  <c r="BT124" i="42"/>
  <c r="BN176" i="42"/>
  <c r="BN181" i="42" s="1"/>
  <c r="BN115" i="42"/>
  <c r="BN116" i="42" s="1"/>
  <c r="BO213" i="42"/>
  <c r="BO78" i="42"/>
  <c r="BO64" i="42"/>
  <c r="BT135" i="42"/>
  <c r="BS135" i="42"/>
  <c r="BM135" i="42"/>
  <c r="BO95" i="42"/>
  <c r="BP79" i="42"/>
  <c r="BP85" i="42" s="1"/>
  <c r="BR208" i="42"/>
  <c r="BR64" i="42"/>
  <c r="BR206" i="42"/>
  <c r="BR52" i="42"/>
  <c r="BV64" i="42"/>
  <c r="AO212" i="42"/>
  <c r="BM81" i="42"/>
  <c r="BM85" i="42" s="1"/>
  <c r="BT81" i="42"/>
  <c r="BS81" i="42"/>
  <c r="BM70" i="42"/>
  <c r="BU206" i="42"/>
  <c r="BL27" i="42"/>
  <c r="BR211" i="42"/>
  <c r="BL84" i="42"/>
  <c r="BO117" i="42"/>
  <c r="BO122" i="42" s="1"/>
  <c r="BO99" i="42"/>
  <c r="BQ211" i="42"/>
  <c r="BM92" i="42"/>
  <c r="BT92" i="42"/>
  <c r="BS92" i="42"/>
  <c r="BR76" i="42"/>
  <c r="BO58" i="42"/>
  <c r="BQ206" i="42"/>
  <c r="BQ52" i="42"/>
  <c r="BO30" i="42"/>
  <c r="BO33" i="42" s="1"/>
  <c r="BI204" i="42"/>
  <c r="BK203" i="42" s="1"/>
  <c r="BS49" i="42"/>
  <c r="BT49" i="42"/>
  <c r="BM49" i="42"/>
  <c r="BN30" i="42"/>
  <c r="BN33" i="42" s="1"/>
  <c r="BS132" i="41"/>
  <c r="BM132" i="41"/>
  <c r="BT132" i="41"/>
  <c r="BL85" i="41"/>
  <c r="BL77" i="41"/>
  <c r="BV120" i="41"/>
  <c r="BN105" i="41"/>
  <c r="BO84" i="41"/>
  <c r="BO87" i="41" s="1"/>
  <c r="BM64" i="41"/>
  <c r="BT64" i="41"/>
  <c r="BS64" i="41"/>
  <c r="BT49" i="41"/>
  <c r="BM49" i="41"/>
  <c r="BS49" i="41"/>
  <c r="BV137" i="41"/>
  <c r="BL132" i="41"/>
  <c r="BS122" i="41"/>
  <c r="BM122" i="41"/>
  <c r="BT122" i="41"/>
  <c r="BT98" i="41"/>
  <c r="BL76" i="41"/>
  <c r="BV62" i="41"/>
  <c r="BV65" i="41" s="1"/>
  <c r="BO62" i="41"/>
  <c r="BO65" i="41" s="1"/>
  <c r="BT68" i="41"/>
  <c r="BM68" i="41"/>
  <c r="BS68" i="41"/>
  <c r="BS57" i="41"/>
  <c r="BM57" i="41"/>
  <c r="BT57" i="41"/>
  <c r="BW149" i="41"/>
  <c r="BK145" i="41"/>
  <c r="BM24" i="41"/>
  <c r="BT24" i="41"/>
  <c r="BS24" i="41"/>
  <c r="BW142" i="41"/>
  <c r="BW16" i="41"/>
  <c r="BK143" i="41"/>
  <c r="BT86" i="41"/>
  <c r="BM86" i="41"/>
  <c r="BS86" i="41"/>
  <c r="BS69" i="41"/>
  <c r="BM69" i="41"/>
  <c r="BT69" i="41"/>
  <c r="AX141" i="41"/>
  <c r="AF142" i="41"/>
  <c r="BO12" i="41"/>
  <c r="BM40" i="41"/>
  <c r="BT40" i="41"/>
  <c r="BS40" i="41"/>
  <c r="BT20" i="41"/>
  <c r="BS20" i="41"/>
  <c r="BM20" i="41"/>
  <c r="BM42" i="41"/>
  <c r="BT42" i="41"/>
  <c r="BS42" i="41"/>
  <c r="W138" i="41"/>
  <c r="AI139" i="41" s="1"/>
  <c r="BV121" i="41"/>
  <c r="BV124" i="41" s="1"/>
  <c r="BO112" i="41"/>
  <c r="BL89" i="41"/>
  <c r="BX72" i="41"/>
  <c r="BM94" i="41"/>
  <c r="BP66" i="41"/>
  <c r="BP72" i="41" s="1"/>
  <c r="BO59" i="41"/>
  <c r="BO61" i="41" s="1"/>
  <c r="BM108" i="41"/>
  <c r="BT108" i="41"/>
  <c r="BS108" i="41"/>
  <c r="AP151" i="41"/>
  <c r="BM133" i="41"/>
  <c r="BT133" i="41"/>
  <c r="BS133" i="41"/>
  <c r="BL100" i="41"/>
  <c r="AF145" i="41"/>
  <c r="BO31" i="41"/>
  <c r="BO105" i="41"/>
  <c r="BW93" i="41"/>
  <c r="BP80" i="41"/>
  <c r="BP83" i="41" s="1"/>
  <c r="BN65" i="41"/>
  <c r="BS52" i="41"/>
  <c r="BT52" i="41"/>
  <c r="BM52" i="41"/>
  <c r="BW145" i="41"/>
  <c r="AQ150" i="41"/>
  <c r="BO27" i="41"/>
  <c r="BN143" i="41"/>
  <c r="BN21" i="41"/>
  <c r="BM116" i="41"/>
  <c r="BT116" i="41"/>
  <c r="BS116" i="41"/>
  <c r="BV73" i="41"/>
  <c r="BV79" i="41" s="1"/>
  <c r="BM85" i="41"/>
  <c r="BT85" i="41"/>
  <c r="BS85" i="41"/>
  <c r="BJ138" i="41"/>
  <c r="BX139" i="41" s="1"/>
  <c r="BK149" i="41"/>
  <c r="BV19" i="41"/>
  <c r="BV149" i="41" s="1"/>
  <c r="AM138" i="41"/>
  <c r="BL49" i="41"/>
  <c r="BV30" i="41"/>
  <c r="BV36" i="41" s="1"/>
  <c r="BM22" i="41"/>
  <c r="AN138" i="41"/>
  <c r="BR139" i="41" s="1"/>
  <c r="BI138" i="41"/>
  <c r="BP106" i="41"/>
  <c r="BP112" i="41" s="1"/>
  <c r="BS66" i="41"/>
  <c r="AO145" i="41"/>
  <c r="BP31" i="41"/>
  <c r="BM55" i="41"/>
  <c r="BS55" i="41"/>
  <c r="BT55" i="41"/>
  <c r="BL24" i="41"/>
  <c r="W141" i="41"/>
  <c r="BQ143" i="41"/>
  <c r="BL13" i="41"/>
  <c r="BS98" i="41"/>
  <c r="BP59" i="41"/>
  <c r="BP61" i="41" s="1"/>
  <c r="BS53" i="41"/>
  <c r="BT53" i="41"/>
  <c r="BM53" i="41"/>
  <c r="BN75" i="41"/>
  <c r="BN145" i="41" s="1"/>
  <c r="BS54" i="41"/>
  <c r="BT54" i="41"/>
  <c r="BM54" i="41"/>
  <c r="AF143" i="41"/>
  <c r="BO17" i="41"/>
  <c r="BP131" i="41"/>
  <c r="BP137" i="41" s="1"/>
  <c r="BT126" i="41"/>
  <c r="BM126" i="41"/>
  <c r="BS126" i="41"/>
  <c r="BP22" i="41"/>
  <c r="BM38" i="41"/>
  <c r="BT38" i="41"/>
  <c r="BQ130" i="41"/>
  <c r="BQ50" i="41"/>
  <c r="BM115" i="41"/>
  <c r="BT115" i="41"/>
  <c r="BS115" i="41"/>
  <c r="BT99" i="41"/>
  <c r="BM99" i="41"/>
  <c r="BS99" i="41"/>
  <c r="BM70" i="41"/>
  <c r="BT70" i="41"/>
  <c r="BS70" i="41"/>
  <c r="BO44" i="41"/>
  <c r="BO50" i="41" s="1"/>
  <c r="BV44" i="41"/>
  <c r="BV50" i="41" s="1"/>
  <c r="BO150" i="41"/>
  <c r="BO29" i="41"/>
  <c r="AP143" i="41"/>
  <c r="BM78" i="41"/>
  <c r="BT78" i="41"/>
  <c r="BS78" i="41"/>
  <c r="BL35" i="41"/>
  <c r="BQ142" i="41"/>
  <c r="BQ16" i="41"/>
  <c r="BR150" i="41"/>
  <c r="BR29" i="41"/>
  <c r="BJ141" i="41"/>
  <c r="BU148" i="41"/>
  <c r="BL67" i="41"/>
  <c r="BM81" i="41"/>
  <c r="BS81" i="41"/>
  <c r="BT81" i="41"/>
  <c r="BT71" i="41"/>
  <c r="BS71" i="41"/>
  <c r="BM71" i="41"/>
  <c r="BS35" i="41"/>
  <c r="BM35" i="41"/>
  <c r="BT35" i="41"/>
  <c r="BL25" i="41"/>
  <c r="BM18" i="41"/>
  <c r="BS18" i="41"/>
  <c r="BT18" i="41"/>
  <c r="BI141" i="41"/>
  <c r="BU142" i="41"/>
  <c r="BT66" i="41"/>
  <c r="BQ145" i="41"/>
  <c r="BV150" i="41"/>
  <c r="BV29" i="41"/>
  <c r="BT39" i="41"/>
  <c r="BS39" i="41"/>
  <c r="BM39" i="41"/>
  <c r="BM91" i="41"/>
  <c r="BS91" i="41"/>
  <c r="BT91" i="41"/>
  <c r="BO72" i="41"/>
  <c r="AO150" i="41"/>
  <c r="BP28" i="41"/>
  <c r="BL48" i="41"/>
  <c r="BL40" i="41"/>
  <c r="BP37" i="41"/>
  <c r="BP43" i="41" s="1"/>
  <c r="BP88" i="41"/>
  <c r="BP93" i="41" s="1"/>
  <c r="BS135" i="41"/>
  <c r="BM135" i="41"/>
  <c r="BT135" i="41"/>
  <c r="BM96" i="41"/>
  <c r="BT96" i="41"/>
  <c r="BS96" i="41"/>
  <c r="BL92" i="41"/>
  <c r="BL133" i="41"/>
  <c r="BX145" i="41"/>
  <c r="BX36" i="41"/>
  <c r="AG149" i="41"/>
  <c r="BM19" i="41"/>
  <c r="BK142" i="41"/>
  <c r="BV12" i="41"/>
  <c r="BO148" i="41"/>
  <c r="BN106" i="41"/>
  <c r="BN112" i="41" s="1"/>
  <c r="BN123" i="41"/>
  <c r="BN124" i="41" s="1"/>
  <c r="BS92" i="41"/>
  <c r="BT92" i="41"/>
  <c r="BM92" i="41"/>
  <c r="BQ105" i="41"/>
  <c r="BN72" i="41"/>
  <c r="BV106" i="41"/>
  <c r="BV112" i="41" s="1"/>
  <c r="BL115" i="41"/>
  <c r="BX150" i="41"/>
  <c r="BX29" i="41"/>
  <c r="BM95" i="41"/>
  <c r="BT95" i="41"/>
  <c r="BS95" i="41"/>
  <c r="BL116" i="41"/>
  <c r="BV84" i="41"/>
  <c r="BV87" i="41" s="1"/>
  <c r="BS77" i="41"/>
  <c r="BM77" i="41"/>
  <c r="BT77" i="41"/>
  <c r="AM141" i="41"/>
  <c r="BL64" i="41"/>
  <c r="AE150" i="41"/>
  <c r="BN28" i="41"/>
  <c r="AO142" i="41"/>
  <c r="BP12" i="41"/>
  <c r="BN83" i="41"/>
  <c r="BM32" i="41"/>
  <c r="BT32" i="41"/>
  <c r="AN141" i="41"/>
  <c r="BM45" i="41"/>
  <c r="BT45" i="41"/>
  <c r="BO120" i="41"/>
  <c r="BL46" i="41"/>
  <c r="BM34" i="41"/>
  <c r="BT34" i="41"/>
  <c r="BS34" i="41"/>
  <c r="BK148" i="41"/>
  <c r="BV15" i="41"/>
  <c r="BV148" i="41" s="1"/>
  <c r="BM51" i="41"/>
  <c r="BQ150" i="41"/>
  <c r="BQ29" i="41"/>
  <c r="BV27" i="41"/>
  <c r="BS100" i="41"/>
  <c r="BM100" i="41"/>
  <c r="BT100" i="41"/>
  <c r="BM80" i="41"/>
  <c r="BN58" i="41"/>
  <c r="BM48" i="41"/>
  <c r="BT48" i="41"/>
  <c r="BS48" i="41"/>
  <c r="BW21" i="41"/>
  <c r="BM13" i="41"/>
  <c r="BS13" i="41"/>
  <c r="BT13" i="41"/>
  <c r="BX142" i="41"/>
  <c r="BN131" i="41"/>
  <c r="BN137" i="41" s="1"/>
  <c r="BL122" i="41"/>
  <c r="BT26" i="41"/>
  <c r="BS26" i="41"/>
  <c r="BM26" i="41"/>
  <c r="AO149" i="41"/>
  <c r="BP19" i="41"/>
  <c r="BT37" i="41"/>
  <c r="BL41" i="41"/>
  <c r="BM30" i="41"/>
  <c r="AX138" i="41"/>
  <c r="BU139" i="41" s="1"/>
  <c r="BN59" i="41"/>
  <c r="BN61" i="41" s="1"/>
  <c r="AE148" i="41"/>
  <c r="BN15" i="41"/>
  <c r="BL86" i="41"/>
  <c r="BL101" i="41"/>
  <c r="BM118" i="41"/>
  <c r="BT118" i="41"/>
  <c r="BQ148" i="41"/>
  <c r="BV88" i="41"/>
  <c r="BV93" i="41" s="1"/>
  <c r="BM62" i="41"/>
  <c r="BS33" i="41"/>
  <c r="BT33" i="41"/>
  <c r="BM33" i="41"/>
  <c r="BL78" i="41"/>
  <c r="BU150" i="41"/>
  <c r="BU29" i="41"/>
  <c r="BS129" i="41"/>
  <c r="BT129" i="41"/>
  <c r="BM129" i="41"/>
  <c r="BL117" i="41"/>
  <c r="BO121" i="41"/>
  <c r="BO124" i="41" s="1"/>
  <c r="BO93" i="41"/>
  <c r="BM114" i="41"/>
  <c r="BT114" i="41"/>
  <c r="BS114" i="41"/>
  <c r="BQ112" i="41"/>
  <c r="BO132" i="41"/>
  <c r="BO137" i="41" s="1"/>
  <c r="BQ93" i="41"/>
  <c r="BV80" i="41"/>
  <c r="BV83" i="41" s="1"/>
  <c r="BL108" i="41"/>
  <c r="AO151" i="41"/>
  <c r="BP104" i="41"/>
  <c r="BP151" i="41" s="1"/>
  <c r="BT107" i="41"/>
  <c r="BM107" i="41"/>
  <c r="BS107" i="41"/>
  <c r="BT56" i="41"/>
  <c r="BM56" i="41"/>
  <c r="BS56" i="41"/>
  <c r="BV51" i="41"/>
  <c r="BV58" i="41" s="1"/>
  <c r="BW50" i="41"/>
  <c r="AP145" i="41"/>
  <c r="BP125" i="41"/>
  <c r="BP130" i="41" s="1"/>
  <c r="BS128" i="41"/>
  <c r="BT128" i="41"/>
  <c r="BM128" i="41"/>
  <c r="BN113" i="41"/>
  <c r="BN120" i="41" s="1"/>
  <c r="BM125" i="41"/>
  <c r="BT119" i="41"/>
  <c r="BM119" i="41"/>
  <c r="BS119" i="41"/>
  <c r="BT74" i="41"/>
  <c r="BS74" i="41"/>
  <c r="BM74" i="41"/>
  <c r="BM109" i="41"/>
  <c r="BT109" i="41"/>
  <c r="BS109" i="41"/>
  <c r="BL102" i="41"/>
  <c r="BN97" i="41"/>
  <c r="BS127" i="41"/>
  <c r="BT127" i="41"/>
  <c r="BM127" i="41"/>
  <c r="BW112" i="41"/>
  <c r="BM88" i="41"/>
  <c r="BT76" i="41"/>
  <c r="BM76" i="41"/>
  <c r="BS76" i="41"/>
  <c r="BR145" i="41"/>
  <c r="BS134" i="41"/>
  <c r="BM134" i="41"/>
  <c r="BT134" i="41"/>
  <c r="BS90" i="41"/>
  <c r="BT90" i="41"/>
  <c r="BM90" i="41"/>
  <c r="BW79" i="41"/>
  <c r="BW58" i="41"/>
  <c r="AE145" i="41"/>
  <c r="BR149" i="41"/>
  <c r="BL110" i="41"/>
  <c r="BU145" i="41"/>
  <c r="BU36" i="41"/>
  <c r="BR143" i="41"/>
  <c r="BR21" i="41"/>
  <c r="BX143" i="41"/>
  <c r="BX21" i="41"/>
  <c r="AE142" i="41"/>
  <c r="BN12" i="41"/>
  <c r="AE138" i="41"/>
  <c r="BU143" i="41"/>
  <c r="BU21" i="41"/>
  <c r="BN149" i="41"/>
  <c r="BR142" i="41"/>
  <c r="BR16" i="41"/>
  <c r="BM41" i="41"/>
  <c r="BT41" i="41"/>
  <c r="BS41" i="41"/>
  <c r="BW36" i="41"/>
  <c r="BK150" i="41"/>
  <c r="BW148" i="41"/>
  <c r="BS63" i="41"/>
  <c r="BT63" i="41"/>
  <c r="BM63" i="41"/>
  <c r="AO148" i="41"/>
  <c r="BP15" i="41"/>
  <c r="BP148" i="41" s="1"/>
  <c r="BM73" i="41"/>
  <c r="BM60" i="41"/>
  <c r="BT60" i="41"/>
  <c r="BS60" i="41"/>
  <c r="BN47" i="41"/>
  <c r="BN50" i="41" s="1"/>
  <c r="AP149" i="41"/>
  <c r="AQ148" i="41"/>
  <c r="BL20" i="41"/>
  <c r="BM89" i="42" l="1"/>
  <c r="X22" i="47"/>
  <c r="BN202" i="42"/>
  <c r="BB22" i="47"/>
  <c r="BK202" i="42"/>
  <c r="BW202" i="42"/>
  <c r="AO202" i="42"/>
  <c r="BB21" i="47"/>
  <c r="BK139" i="41"/>
  <c r="BW139" i="41"/>
  <c r="BV21" i="41"/>
  <c r="BX138" i="41"/>
  <c r="BQ21" i="47" s="1"/>
  <c r="AO140" i="41"/>
  <c r="X21" i="47"/>
  <c r="BN139" i="41"/>
  <c r="AF21" i="47"/>
  <c r="AO139" i="41"/>
  <c r="BQ139" i="41"/>
  <c r="BK140" i="41"/>
  <c r="BM72" i="41"/>
  <c r="BO206" i="42"/>
  <c r="BM158" i="42"/>
  <c r="BT29" i="42"/>
  <c r="AE141" i="41"/>
  <c r="BU138" i="41"/>
  <c r="BN21" i="47" s="1"/>
  <c r="BM130" i="41"/>
  <c r="BM83" i="41"/>
  <c r="BM105" i="41"/>
  <c r="BN79" i="41"/>
  <c r="BN208" i="42"/>
  <c r="AO204" i="42"/>
  <c r="BR201" i="42"/>
  <c r="BK22" i="47" s="1"/>
  <c r="BM174" i="42"/>
  <c r="BP207" i="42"/>
  <c r="AQ22" i="47"/>
  <c r="P22" i="47"/>
  <c r="AG22" i="47"/>
  <c r="AQ21" i="47"/>
  <c r="AG21" i="47"/>
  <c r="P21" i="47"/>
  <c r="BU201" i="42"/>
  <c r="BN22" i="47" s="1"/>
  <c r="BM164" i="42"/>
  <c r="BM155" i="42"/>
  <c r="BW201" i="42"/>
  <c r="BV202" i="42" s="1"/>
  <c r="BN122" i="42"/>
  <c r="BU204" i="42"/>
  <c r="BM200" i="42"/>
  <c r="BM168" i="42"/>
  <c r="BO208" i="42"/>
  <c r="BM136" i="42"/>
  <c r="BM65" i="41"/>
  <c r="BN148" i="41"/>
  <c r="BT43" i="41"/>
  <c r="BM97" i="41"/>
  <c r="BW138" i="41"/>
  <c r="BT105" i="41"/>
  <c r="BC21" i="47"/>
  <c r="BL24" i="42"/>
  <c r="AR212" i="42"/>
  <c r="BM30" i="42"/>
  <c r="BM33" i="42" s="1"/>
  <c r="BV208" i="42"/>
  <c r="BL108" i="42"/>
  <c r="BT176" i="42"/>
  <c r="BS176" i="42"/>
  <c r="BM176" i="42"/>
  <c r="BM181" i="42" s="1"/>
  <c r="AS207" i="42"/>
  <c r="BS14" i="42"/>
  <c r="BT156" i="42"/>
  <c r="BT158" i="42" s="1"/>
  <c r="BL120" i="42"/>
  <c r="BL173" i="42"/>
  <c r="BL199" i="42"/>
  <c r="AP205" i="42"/>
  <c r="AR207" i="42"/>
  <c r="BM37" i="42"/>
  <c r="BS86" i="42"/>
  <c r="BS89" i="42" s="1"/>
  <c r="BL28" i="42"/>
  <c r="BM100" i="42"/>
  <c r="BM105" i="42" s="1"/>
  <c r="BL124" i="42"/>
  <c r="BS180" i="42"/>
  <c r="BL180" i="42"/>
  <c r="BP21" i="42"/>
  <c r="BL15" i="42"/>
  <c r="BS59" i="42"/>
  <c r="BS169" i="42"/>
  <c r="BS174" i="42" s="1"/>
  <c r="BN212" i="42"/>
  <c r="BS47" i="42"/>
  <c r="BL82" i="42"/>
  <c r="BM113" i="42"/>
  <c r="AO201" i="42"/>
  <c r="AH22" i="47" s="1"/>
  <c r="AF201" i="42"/>
  <c r="BO202" i="42" s="1"/>
  <c r="BN211" i="42"/>
  <c r="BP206" i="42"/>
  <c r="BP52" i="42"/>
  <c r="AP212" i="42"/>
  <c r="BL73" i="42"/>
  <c r="AR206" i="42"/>
  <c r="BL43" i="42"/>
  <c r="BM213" i="42"/>
  <c r="BM78" i="42"/>
  <c r="BT117" i="42"/>
  <c r="BL49" i="42"/>
  <c r="BL161" i="42"/>
  <c r="BM67" i="42"/>
  <c r="BM69" i="42" s="1"/>
  <c r="BS67" i="42"/>
  <c r="BS156" i="42"/>
  <c r="BS158" i="42" s="1"/>
  <c r="BR204" i="42"/>
  <c r="AT213" i="42"/>
  <c r="BT77" i="42"/>
  <c r="BS117" i="42"/>
  <c r="BL101" i="42"/>
  <c r="BL129" i="42"/>
  <c r="BT70" i="42"/>
  <c r="BT76" i="42" s="1"/>
  <c r="BM115" i="42"/>
  <c r="BS115" i="42"/>
  <c r="BT115" i="42"/>
  <c r="BL118" i="42"/>
  <c r="BS151" i="42"/>
  <c r="BS155" i="42" s="1"/>
  <c r="BS198" i="42"/>
  <c r="BL198" i="42"/>
  <c r="BL63" i="42"/>
  <c r="AT207" i="42"/>
  <c r="BT14" i="42"/>
  <c r="BT207" i="42" s="1"/>
  <c r="BM96" i="42"/>
  <c r="BM99" i="42" s="1"/>
  <c r="BL153" i="42"/>
  <c r="BL149" i="42"/>
  <c r="BT194" i="42"/>
  <c r="BT200" i="42" s="1"/>
  <c r="BS22" i="42"/>
  <c r="BS25" i="42" s="1"/>
  <c r="BN205" i="42"/>
  <c r="BN21" i="42"/>
  <c r="BT86" i="42"/>
  <c r="BT89" i="42" s="1"/>
  <c r="BL166" i="42"/>
  <c r="BM127" i="42"/>
  <c r="BM132" i="42" s="1"/>
  <c r="BM123" i="42"/>
  <c r="BM126" i="42" s="1"/>
  <c r="BS137" i="42"/>
  <c r="BS140" i="42" s="1"/>
  <c r="BP205" i="42"/>
  <c r="BS38" i="42"/>
  <c r="BS40" i="42" s="1"/>
  <c r="BT59" i="42"/>
  <c r="BT169" i="42"/>
  <c r="BT174" i="42" s="1"/>
  <c r="BT47" i="42"/>
  <c r="BL23" i="42"/>
  <c r="BP208" i="42"/>
  <c r="BP64" i="42"/>
  <c r="AG214" i="42"/>
  <c r="BM45" i="42"/>
  <c r="BT165" i="42"/>
  <c r="BT168" i="42" s="1"/>
  <c r="BT188" i="42"/>
  <c r="BS53" i="42"/>
  <c r="BS58" i="42" s="1"/>
  <c r="BN206" i="42"/>
  <c r="BL144" i="42"/>
  <c r="BL186" i="42"/>
  <c r="BX204" i="42"/>
  <c r="BS85" i="42"/>
  <c r="BL175" i="42"/>
  <c r="AG212" i="42"/>
  <c r="BM18" i="42"/>
  <c r="BM42" i="42"/>
  <c r="BM44" i="42" s="1"/>
  <c r="AG205" i="42"/>
  <c r="BM12" i="42"/>
  <c r="BT137" i="42"/>
  <c r="BT140" i="42" s="1"/>
  <c r="BM64" i="42"/>
  <c r="BL31" i="42"/>
  <c r="BK204" i="42"/>
  <c r="BS106" i="42"/>
  <c r="BS112" i="42" s="1"/>
  <c r="AQ205" i="42"/>
  <c r="BM190" i="42"/>
  <c r="BM193" i="42" s="1"/>
  <c r="BT190" i="42"/>
  <c r="BS190" i="42"/>
  <c r="AG201" i="42"/>
  <c r="BT53" i="42"/>
  <c r="BT58" i="42" s="1"/>
  <c r="BQ204" i="42"/>
  <c r="BP203" i="42" s="1"/>
  <c r="BS66" i="42"/>
  <c r="AP208" i="42"/>
  <c r="BS160" i="42"/>
  <c r="BS164" i="42" s="1"/>
  <c r="BL145" i="42"/>
  <c r="BL138" i="42"/>
  <c r="BL109" i="42"/>
  <c r="BT34" i="42"/>
  <c r="BT37" i="42" s="1"/>
  <c r="BQ201" i="42"/>
  <c r="BS175" i="42"/>
  <c r="BS188" i="42"/>
  <c r="BO52" i="42"/>
  <c r="BM76" i="42"/>
  <c r="BT48" i="42"/>
  <c r="BS48" i="42"/>
  <c r="BM48" i="42"/>
  <c r="BL81" i="42"/>
  <c r="BM207" i="42"/>
  <c r="BS141" i="42"/>
  <c r="BS147" i="42" s="1"/>
  <c r="BT22" i="42"/>
  <c r="BT25" i="42" s="1"/>
  <c r="BS70" i="42"/>
  <c r="BS76" i="42" s="1"/>
  <c r="BS118" i="42"/>
  <c r="BM118" i="42"/>
  <c r="BT118" i="42"/>
  <c r="BM182" i="42"/>
  <c r="BM187" i="42" s="1"/>
  <c r="AG211" i="42"/>
  <c r="BT133" i="42"/>
  <c r="BT136" i="42" s="1"/>
  <c r="BL167" i="42"/>
  <c r="BL157" i="42"/>
  <c r="BS194" i="42"/>
  <c r="BM25" i="42"/>
  <c r="BL41" i="42"/>
  <c r="BM90" i="42"/>
  <c r="BM95" i="42" s="1"/>
  <c r="BL54" i="42"/>
  <c r="BL143" i="42"/>
  <c r="BM140" i="42"/>
  <c r="AQ214" i="42"/>
  <c r="BT38" i="42"/>
  <c r="BT40" i="42" s="1"/>
  <c r="BL191" i="42"/>
  <c r="BS36" i="42"/>
  <c r="BL36" i="42"/>
  <c r="BL51" i="42"/>
  <c r="AP214" i="42"/>
  <c r="AP201" i="42"/>
  <c r="AR213" i="42"/>
  <c r="BL130" i="42"/>
  <c r="BT106" i="42"/>
  <c r="BT112" i="42" s="1"/>
  <c r="BO205" i="42"/>
  <c r="BO21" i="42"/>
  <c r="BW204" i="42"/>
  <c r="BL19" i="42"/>
  <c r="BM58" i="42"/>
  <c r="BL88" i="42"/>
  <c r="BT164" i="42"/>
  <c r="BL111" i="42"/>
  <c r="BS179" i="42"/>
  <c r="BL179" i="42"/>
  <c r="BM148" i="42"/>
  <c r="BM150" i="42" s="1"/>
  <c r="BP213" i="42"/>
  <c r="BP78" i="42"/>
  <c r="BL115" i="42"/>
  <c r="BT151" i="42"/>
  <c r="BT155" i="42" s="1"/>
  <c r="BL152" i="42"/>
  <c r="AQ206" i="42"/>
  <c r="BV206" i="42"/>
  <c r="BV52" i="42"/>
  <c r="BV201" i="42" s="1"/>
  <c r="BO22" i="47" s="1"/>
  <c r="BS133" i="42"/>
  <c r="BS136" i="42" s="1"/>
  <c r="BT141" i="42"/>
  <c r="BT147" i="42" s="1"/>
  <c r="BK201" i="42"/>
  <c r="BD22" i="47" s="1"/>
  <c r="AE204" i="42"/>
  <c r="AR211" i="42"/>
  <c r="BS34" i="42"/>
  <c r="BL97" i="42"/>
  <c r="BT85" i="42"/>
  <c r="BO214" i="42"/>
  <c r="BO46" i="42"/>
  <c r="AG208" i="42"/>
  <c r="AT211" i="42"/>
  <c r="AG206" i="42"/>
  <c r="BN214" i="42"/>
  <c r="BN46" i="42"/>
  <c r="BM112" i="42"/>
  <c r="BT175" i="42"/>
  <c r="BS165" i="42"/>
  <c r="BS168" i="42" s="1"/>
  <c r="BS29" i="42"/>
  <c r="AF204" i="42"/>
  <c r="BL135" i="42"/>
  <c r="BL16" i="42"/>
  <c r="BL13" i="42"/>
  <c r="AS213" i="42"/>
  <c r="BS77" i="42"/>
  <c r="AQ201" i="42"/>
  <c r="AJ22" i="47" s="1"/>
  <c r="BL92" i="42"/>
  <c r="BV205" i="42"/>
  <c r="BL88" i="41"/>
  <c r="BM113" i="41"/>
  <c r="BM120" i="41" s="1"/>
  <c r="BM121" i="41"/>
  <c r="AO138" i="41"/>
  <c r="AH21" i="47" s="1"/>
  <c r="BM43" i="41"/>
  <c r="AR151" i="41"/>
  <c r="AQ142" i="41"/>
  <c r="BL129" i="41"/>
  <c r="BT30" i="41"/>
  <c r="BL114" i="41"/>
  <c r="BM149" i="41"/>
  <c r="AR143" i="41"/>
  <c r="BS38" i="41"/>
  <c r="BS43" i="41" s="1"/>
  <c r="AQ143" i="41"/>
  <c r="BS72" i="41"/>
  <c r="BT22" i="41"/>
  <c r="BT27" i="41" s="1"/>
  <c r="AG145" i="41"/>
  <c r="BM31" i="41"/>
  <c r="AF138" i="41"/>
  <c r="BO139" i="41" s="1"/>
  <c r="BW141" i="41"/>
  <c r="BL42" i="41"/>
  <c r="BN142" i="41"/>
  <c r="BN16" i="41"/>
  <c r="BT88" i="41"/>
  <c r="BT93" i="41" s="1"/>
  <c r="AR145" i="41"/>
  <c r="BL127" i="41"/>
  <c r="BS62" i="41"/>
  <c r="BS65" i="41" s="1"/>
  <c r="AG148" i="41"/>
  <c r="BM15" i="41"/>
  <c r="BM36" i="41"/>
  <c r="BP149" i="41"/>
  <c r="BP21" i="41"/>
  <c r="BL128" i="41"/>
  <c r="BX141" i="41"/>
  <c r="BM58" i="41"/>
  <c r="BK138" i="41"/>
  <c r="BD21" i="47" s="1"/>
  <c r="BL53" i="41"/>
  <c r="BT72" i="41"/>
  <c r="BO143" i="41"/>
  <c r="BO21" i="41"/>
  <c r="BL39" i="41"/>
  <c r="BS22" i="41"/>
  <c r="BS27" i="41" s="1"/>
  <c r="BL71" i="41"/>
  <c r="BO145" i="41"/>
  <c r="BO36" i="41"/>
  <c r="BL126" i="41"/>
  <c r="AF141" i="41"/>
  <c r="BM59" i="41"/>
  <c r="BM61" i="41" s="1"/>
  <c r="BT80" i="41"/>
  <c r="BT83" i="41" s="1"/>
  <c r="AT149" i="41"/>
  <c r="BT19" i="41"/>
  <c r="BT149" i="41" s="1"/>
  <c r="BP150" i="41"/>
  <c r="BP29" i="41"/>
  <c r="BL68" i="41"/>
  <c r="AO141" i="41"/>
  <c r="AG150" i="41"/>
  <c r="BM28" i="41"/>
  <c r="BM123" i="41"/>
  <c r="BT123" i="41"/>
  <c r="BS123" i="41"/>
  <c r="AP148" i="41"/>
  <c r="BL18" i="41"/>
  <c r="BT51" i="41"/>
  <c r="BT58" i="41" s="1"/>
  <c r="BS45" i="41"/>
  <c r="BL45" i="41"/>
  <c r="BS32" i="41"/>
  <c r="BL32" i="41"/>
  <c r="BV143" i="41"/>
  <c r="BV142" i="41"/>
  <c r="BV16" i="41"/>
  <c r="BV138" i="41" s="1"/>
  <c r="BO21" i="47" s="1"/>
  <c r="BU141" i="41"/>
  <c r="BL99" i="41"/>
  <c r="BP27" i="41"/>
  <c r="BP143" i="41"/>
  <c r="BL75" i="41"/>
  <c r="BM27" i="41"/>
  <c r="BL81" i="41"/>
  <c r="AQ145" i="41"/>
  <c r="BL63" i="41"/>
  <c r="BL109" i="41"/>
  <c r="BL34" i="41"/>
  <c r="BS88" i="41"/>
  <c r="BS93" i="41" s="1"/>
  <c r="AP142" i="41"/>
  <c r="BL60" i="41"/>
  <c r="BS47" i="41"/>
  <c r="BT47" i="41"/>
  <c r="BM47" i="41"/>
  <c r="BR138" i="41"/>
  <c r="BK21" i="47" s="1"/>
  <c r="BS73" i="41"/>
  <c r="BL135" i="41"/>
  <c r="BL98" i="41"/>
  <c r="BP105" i="41"/>
  <c r="BT62" i="41"/>
  <c r="BT65" i="41" s="1"/>
  <c r="BS118" i="41"/>
  <c r="BL118" i="41"/>
  <c r="BM131" i="41"/>
  <c r="BM137" i="41" s="1"/>
  <c r="BS80" i="41"/>
  <c r="BS83" i="41" s="1"/>
  <c r="AP150" i="41"/>
  <c r="BL119" i="41"/>
  <c r="BK141" i="41"/>
  <c r="BL55" i="41"/>
  <c r="BM44" i="41"/>
  <c r="BL56" i="41"/>
  <c r="BM75" i="41"/>
  <c r="BM79" i="41" s="1"/>
  <c r="BS75" i="41"/>
  <c r="BT75" i="41"/>
  <c r="BS94" i="41"/>
  <c r="BS97" i="41" s="1"/>
  <c r="BL91" i="41"/>
  <c r="BL38" i="41"/>
  <c r="BL26" i="41"/>
  <c r="BL19" i="41"/>
  <c r="BQ141" i="41"/>
  <c r="BS105" i="41"/>
  <c r="AR149" i="41"/>
  <c r="BM93" i="41"/>
  <c r="BT125" i="41"/>
  <c r="BT130" i="41" s="1"/>
  <c r="BR141" i="41"/>
  <c r="BL95" i="41"/>
  <c r="BL134" i="41"/>
  <c r="BL52" i="41"/>
  <c r="BT73" i="41"/>
  <c r="AG142" i="41"/>
  <c r="AG138" i="41"/>
  <c r="BM12" i="41"/>
  <c r="BM84" i="41"/>
  <c r="BM87" i="41" s="1"/>
  <c r="BS125" i="41"/>
  <c r="BS130" i="41" s="1"/>
  <c r="BL74" i="41"/>
  <c r="BS30" i="41"/>
  <c r="BL69" i="41"/>
  <c r="BS51" i="41"/>
  <c r="BS58" i="41" s="1"/>
  <c r="BP142" i="41"/>
  <c r="BP16" i="41"/>
  <c r="BN150" i="41"/>
  <c r="BN29" i="41"/>
  <c r="BM106" i="41"/>
  <c r="BM112" i="41" s="1"/>
  <c r="AS149" i="41"/>
  <c r="BS19" i="41"/>
  <c r="BQ138" i="41"/>
  <c r="BL90" i="41"/>
  <c r="AG143" i="41"/>
  <c r="BM17" i="41"/>
  <c r="BP145" i="41"/>
  <c r="BP36" i="41"/>
  <c r="BL70" i="41"/>
  <c r="BL96" i="41"/>
  <c r="BT94" i="41"/>
  <c r="BT97" i="41" s="1"/>
  <c r="BL33" i="41"/>
  <c r="BO142" i="41"/>
  <c r="BO16" i="41"/>
  <c r="BL54" i="41"/>
  <c r="BL107" i="41"/>
  <c r="BL57" i="41"/>
  <c r="BV203" i="42" l="1"/>
  <c r="BP202" i="42"/>
  <c r="AG202" i="42"/>
  <c r="AI22" i="47"/>
  <c r="AR202" i="42"/>
  <c r="Z22" i="47"/>
  <c r="BP21" i="47"/>
  <c r="BV139" i="41"/>
  <c r="Z21" i="47"/>
  <c r="AG140" i="41"/>
  <c r="BS79" i="41"/>
  <c r="AG139" i="41"/>
  <c r="BJ21" i="47"/>
  <c r="BP139" i="41"/>
  <c r="AG203" i="42"/>
  <c r="BP140" i="41"/>
  <c r="BV140" i="41"/>
  <c r="BS149" i="41"/>
  <c r="BT211" i="42"/>
  <c r="BP201" i="42"/>
  <c r="BI22" i="47" s="1"/>
  <c r="BS200" i="42"/>
  <c r="BN201" i="42"/>
  <c r="BM50" i="41"/>
  <c r="BM124" i="41"/>
  <c r="BO201" i="42"/>
  <c r="BH22" i="47" s="1"/>
  <c r="BS69" i="42"/>
  <c r="BM206" i="42"/>
  <c r="Y22" i="47"/>
  <c r="Y21" i="47"/>
  <c r="BM211" i="42"/>
  <c r="BV204" i="42"/>
  <c r="BT193" i="42"/>
  <c r="BS122" i="42"/>
  <c r="BP22" i="47"/>
  <c r="BT122" i="42"/>
  <c r="BJ22" i="47"/>
  <c r="BS211" i="42"/>
  <c r="BM208" i="42"/>
  <c r="BP141" i="41"/>
  <c r="BO138" i="41"/>
  <c r="BH21" i="47" s="1"/>
  <c r="BT79" i="41"/>
  <c r="BM148" i="41"/>
  <c r="BL182" i="42"/>
  <c r="BL187" i="42" s="1"/>
  <c r="BO204" i="42"/>
  <c r="AS212" i="42"/>
  <c r="BS18" i="42"/>
  <c r="BS212" i="42" s="1"/>
  <c r="AT214" i="42"/>
  <c r="BT45" i="42"/>
  <c r="BT52" i="42"/>
  <c r="BT123" i="42"/>
  <c r="BT126" i="42" s="1"/>
  <c r="BT213" i="42"/>
  <c r="BT78" i="42"/>
  <c r="BL65" i="42"/>
  <c r="BS207" i="42"/>
  <c r="BT30" i="42"/>
  <c r="BT33" i="42" s="1"/>
  <c r="BM122" i="42"/>
  <c r="BT181" i="42"/>
  <c r="BL188" i="42"/>
  <c r="BL190" i="42"/>
  <c r="AS201" i="42"/>
  <c r="BS182" i="42"/>
  <c r="BS187" i="42" s="1"/>
  <c r="BS181" i="42"/>
  <c r="AQ204" i="42"/>
  <c r="BL100" i="42"/>
  <c r="BL105" i="42" s="1"/>
  <c r="BM205" i="42"/>
  <c r="BM21" i="42"/>
  <c r="AT212" i="42"/>
  <c r="BT18" i="42"/>
  <c r="BL59" i="42"/>
  <c r="AS211" i="42"/>
  <c r="BT64" i="42"/>
  <c r="BT127" i="42"/>
  <c r="BT132" i="42" s="1"/>
  <c r="BL47" i="42"/>
  <c r="AS206" i="42"/>
  <c r="AS208" i="42"/>
  <c r="BS100" i="42"/>
  <c r="BS105" i="42" s="1"/>
  <c r="AP204" i="42"/>
  <c r="AS205" i="42"/>
  <c r="BS12" i="42"/>
  <c r="BS42" i="42"/>
  <c r="BS44" i="42" s="1"/>
  <c r="AT206" i="42"/>
  <c r="AT208" i="42"/>
  <c r="BT67" i="42"/>
  <c r="BT69" i="42" s="1"/>
  <c r="BM116" i="42"/>
  <c r="BL106" i="42"/>
  <c r="BL112" i="42" s="1"/>
  <c r="BL151" i="42"/>
  <c r="BL155" i="42" s="1"/>
  <c r="BS213" i="42"/>
  <c r="BS78" i="42"/>
  <c r="BL159" i="42"/>
  <c r="BL164" i="42" s="1"/>
  <c r="AR214" i="42"/>
  <c r="BS90" i="42"/>
  <c r="BS95" i="42" s="1"/>
  <c r="BL22" i="42"/>
  <c r="BL25" i="42" s="1"/>
  <c r="BL34" i="42"/>
  <c r="BL37" i="42" s="1"/>
  <c r="AT205" i="42"/>
  <c r="BT12" i="42"/>
  <c r="BT42" i="42"/>
  <c r="BT44" i="42" s="1"/>
  <c r="AR208" i="42"/>
  <c r="BS127" i="42"/>
  <c r="BS132" i="42" s="1"/>
  <c r="BN204" i="42"/>
  <c r="BM203" i="42" s="1"/>
  <c r="BL113" i="42"/>
  <c r="BL116" i="42" s="1"/>
  <c r="BT100" i="42"/>
  <c r="BT105" i="42" s="1"/>
  <c r="AY207" i="42"/>
  <c r="BL14" i="42"/>
  <c r="BL26" i="42"/>
  <c r="BL29" i="42" s="1"/>
  <c r="BT182" i="42"/>
  <c r="BT187" i="42" s="1"/>
  <c r="AT201" i="42"/>
  <c r="BT202" i="42" s="1"/>
  <c r="BS37" i="42"/>
  <c r="BL137" i="42"/>
  <c r="BL140" i="42" s="1"/>
  <c r="BM52" i="42"/>
  <c r="BL53" i="42"/>
  <c r="BL58" i="42" s="1"/>
  <c r="BS96" i="42"/>
  <c r="BS99" i="42" s="1"/>
  <c r="BL48" i="42"/>
  <c r="BS113" i="42"/>
  <c r="BS116" i="42" s="1"/>
  <c r="BS30" i="42"/>
  <c r="BS33" i="42" s="1"/>
  <c r="BL70" i="42"/>
  <c r="BL76" i="42" s="1"/>
  <c r="BL79" i="42"/>
  <c r="BL85" i="42" s="1"/>
  <c r="BS148" i="42"/>
  <c r="BS150" i="42" s="1"/>
  <c r="BL133" i="42"/>
  <c r="BL136" i="42" s="1"/>
  <c r="BL86" i="42"/>
  <c r="BL89" i="42" s="1"/>
  <c r="BT148" i="42"/>
  <c r="BT150" i="42" s="1"/>
  <c r="BT90" i="42"/>
  <c r="BT95" i="42" s="1"/>
  <c r="AG204" i="42"/>
  <c r="BL141" i="42"/>
  <c r="BL147" i="42" s="1"/>
  <c r="AS214" i="42"/>
  <c r="BS45" i="42"/>
  <c r="BL165" i="42"/>
  <c r="BL168" i="42" s="1"/>
  <c r="AY211" i="42"/>
  <c r="BL17" i="42"/>
  <c r="BL211" i="42" s="1"/>
  <c r="AY213" i="42"/>
  <c r="BL77" i="42"/>
  <c r="BS193" i="42"/>
  <c r="BM212" i="42"/>
  <c r="BM214" i="42"/>
  <c r="BM46" i="42"/>
  <c r="BP204" i="42"/>
  <c r="BS123" i="42"/>
  <c r="BS126" i="42" s="1"/>
  <c r="BT96" i="42"/>
  <c r="BT99" i="42" s="1"/>
  <c r="BL156" i="42"/>
  <c r="BL158" i="42" s="1"/>
  <c r="BT113" i="42"/>
  <c r="BT116" i="42" s="1"/>
  <c r="BS52" i="42"/>
  <c r="BS64" i="42"/>
  <c r="AR205" i="42"/>
  <c r="BL67" i="42"/>
  <c r="BL169" i="42"/>
  <c r="BL174" i="42" s="1"/>
  <c r="BL125" i="41"/>
  <c r="BL130" i="41" s="1"/>
  <c r="AQ138" i="41"/>
  <c r="AJ21" i="47" s="1"/>
  <c r="AS143" i="41"/>
  <c r="BS17" i="41"/>
  <c r="BT84" i="41"/>
  <c r="BT87" i="41" s="1"/>
  <c r="AQ141" i="41"/>
  <c r="BL66" i="41"/>
  <c r="BL72" i="41" s="1"/>
  <c r="AS142" i="41"/>
  <c r="BS12" i="41"/>
  <c r="BO141" i="41"/>
  <c r="BM143" i="41"/>
  <c r="BM21" i="41"/>
  <c r="AG141" i="41"/>
  <c r="BT44" i="41"/>
  <c r="BT50" i="41" s="1"/>
  <c r="BL80" i="41"/>
  <c r="BL83" i="41" s="1"/>
  <c r="BV141" i="41"/>
  <c r="AT148" i="41"/>
  <c r="BT15" i="41"/>
  <c r="BT148" i="41" s="1"/>
  <c r="AY151" i="41"/>
  <c r="BL104" i="41"/>
  <c r="BL151" i="41" s="1"/>
  <c r="BS121" i="41"/>
  <c r="BS124" i="41" s="1"/>
  <c r="BT113" i="41"/>
  <c r="BT120" i="41" s="1"/>
  <c r="BS84" i="41"/>
  <c r="BS87" i="41" s="1"/>
  <c r="BL37" i="41"/>
  <c r="BL43" i="41" s="1"/>
  <c r="BL47" i="41"/>
  <c r="BL22" i="41"/>
  <c r="BL27" i="41" s="1"/>
  <c r="BT131" i="41"/>
  <c r="BT137" i="41" s="1"/>
  <c r="AR142" i="41"/>
  <c r="AS150" i="41"/>
  <c r="BS28" i="41"/>
  <c r="AS148" i="41"/>
  <c r="BS15" i="41"/>
  <c r="BS148" i="41" s="1"/>
  <c r="AS145" i="41"/>
  <c r="BS31" i="41"/>
  <c r="BS145" i="41" s="1"/>
  <c r="AT142" i="41"/>
  <c r="BT12" i="41"/>
  <c r="AY149" i="41"/>
  <c r="BS44" i="41"/>
  <c r="BS50" i="41" s="1"/>
  <c r="AR150" i="41"/>
  <c r="AP138" i="41"/>
  <c r="AT150" i="41"/>
  <c r="BT28" i="41"/>
  <c r="BN138" i="41"/>
  <c r="BM139" i="41" s="1"/>
  <c r="BM145" i="41"/>
  <c r="BT121" i="41"/>
  <c r="BT124" i="41" s="1"/>
  <c r="BS106" i="41"/>
  <c r="BS112" i="41" s="1"/>
  <c r="BT59" i="41"/>
  <c r="BT61" i="41" s="1"/>
  <c r="AY145" i="41"/>
  <c r="BL31" i="41"/>
  <c r="AT143" i="41"/>
  <c r="BT17" i="41"/>
  <c r="BL149" i="41"/>
  <c r="AR148" i="41"/>
  <c r="BT106" i="41"/>
  <c r="BT112" i="41" s="1"/>
  <c r="BP138" i="41"/>
  <c r="BI21" i="47" s="1"/>
  <c r="BM142" i="41"/>
  <c r="BM16" i="41"/>
  <c r="BS131" i="41"/>
  <c r="BS137" i="41" s="1"/>
  <c r="AP141" i="41"/>
  <c r="BL30" i="41"/>
  <c r="BL51" i="41"/>
  <c r="BL58" i="41" s="1"/>
  <c r="BM150" i="41"/>
  <c r="BM29" i="41"/>
  <c r="BS59" i="41"/>
  <c r="BS61" i="41" s="1"/>
  <c r="BL73" i="41"/>
  <c r="BL79" i="41" s="1"/>
  <c r="BL94" i="41"/>
  <c r="BL97" i="41" s="1"/>
  <c r="BN141" i="41"/>
  <c r="AT145" i="41"/>
  <c r="BT31" i="41"/>
  <c r="BT145" i="41" s="1"/>
  <c r="BL123" i="41"/>
  <c r="BS113" i="41"/>
  <c r="BS120" i="41" s="1"/>
  <c r="BL93" i="41"/>
  <c r="AR203" i="42" l="1"/>
  <c r="AY202" i="42"/>
  <c r="BG22" i="47"/>
  <c r="BM202" i="42"/>
  <c r="AL22" i="47"/>
  <c r="BS202" i="42"/>
  <c r="AR139" i="41"/>
  <c r="AR140" i="41"/>
  <c r="BM140" i="41"/>
  <c r="BS208" i="42"/>
  <c r="AR204" i="42"/>
  <c r="BL207" i="42"/>
  <c r="BL145" i="41"/>
  <c r="BM201" i="42"/>
  <c r="AM22" i="47"/>
  <c r="AT204" i="42"/>
  <c r="AI21" i="47"/>
  <c r="BT212" i="42"/>
  <c r="BL193" i="42"/>
  <c r="BM138" i="41"/>
  <c r="BG21" i="47"/>
  <c r="BL64" i="42"/>
  <c r="BL90" i="42"/>
  <c r="BL95" i="42" s="1"/>
  <c r="BL117" i="42"/>
  <c r="BL122" i="42" s="1"/>
  <c r="AY205" i="42"/>
  <c r="BL12" i="42"/>
  <c r="BS206" i="42"/>
  <c r="BL38" i="42"/>
  <c r="BL40" i="42" s="1"/>
  <c r="BL52" i="42"/>
  <c r="BM204" i="42"/>
  <c r="BL176" i="42"/>
  <c r="BL181" i="42" s="1"/>
  <c r="AR201" i="42"/>
  <c r="AK22" i="47" s="1"/>
  <c r="AY212" i="42"/>
  <c r="BL18" i="42"/>
  <c r="BL212" i="42" s="1"/>
  <c r="AY214" i="42"/>
  <c r="BL45" i="42"/>
  <c r="BS205" i="42"/>
  <c r="BS21" i="42"/>
  <c r="BT206" i="42"/>
  <c r="BL213" i="42"/>
  <c r="BL78" i="42"/>
  <c r="BL42" i="42"/>
  <c r="BL44" i="42" s="1"/>
  <c r="BL194" i="42"/>
  <c r="BL200" i="42" s="1"/>
  <c r="AS204" i="42"/>
  <c r="AY206" i="42"/>
  <c r="AY208" i="42"/>
  <c r="BL123" i="42"/>
  <c r="BL126" i="42" s="1"/>
  <c r="BS214" i="42"/>
  <c r="BS46" i="42"/>
  <c r="BT205" i="42"/>
  <c r="BT21" i="42"/>
  <c r="BT208" i="42"/>
  <c r="BT214" i="42"/>
  <c r="BT46" i="42"/>
  <c r="BL96" i="42"/>
  <c r="BL99" i="42" s="1"/>
  <c r="BL127" i="42"/>
  <c r="BL132" i="42" s="1"/>
  <c r="BL148" i="42"/>
  <c r="BL150" i="42" s="1"/>
  <c r="BL30" i="42"/>
  <c r="BL33" i="42" s="1"/>
  <c r="BL69" i="42"/>
  <c r="BL84" i="41"/>
  <c r="BL87" i="41" s="1"/>
  <c r="BL59" i="41"/>
  <c r="BL61" i="41" s="1"/>
  <c r="BL106" i="41"/>
  <c r="BL112" i="41" s="1"/>
  <c r="BL36" i="41"/>
  <c r="BL62" i="41"/>
  <c r="BL65" i="41" s="1"/>
  <c r="AY150" i="41"/>
  <c r="BL28" i="41"/>
  <c r="AT138" i="41"/>
  <c r="BT139" i="41" s="1"/>
  <c r="AY142" i="41"/>
  <c r="BL12" i="41"/>
  <c r="AS138" i="41"/>
  <c r="BL105" i="41"/>
  <c r="BL121" i="41"/>
  <c r="BL124" i="41" s="1"/>
  <c r="BM141" i="41"/>
  <c r="BT143" i="41"/>
  <c r="BT21" i="41"/>
  <c r="BT142" i="41"/>
  <c r="BT16" i="41"/>
  <c r="BS150" i="41"/>
  <c r="BS29" i="41"/>
  <c r="AR138" i="41"/>
  <c r="AK21" i="47" s="1"/>
  <c r="BL131" i="41"/>
  <c r="BL137" i="41" s="1"/>
  <c r="BS142" i="41"/>
  <c r="BS16" i="41"/>
  <c r="BS36" i="41"/>
  <c r="BT36" i="41"/>
  <c r="BT150" i="41"/>
  <c r="BT29" i="41"/>
  <c r="AT141" i="41"/>
  <c r="AR141" i="41"/>
  <c r="BL44" i="41"/>
  <c r="BL50" i="41" s="1"/>
  <c r="AS141" i="41"/>
  <c r="BS143" i="41"/>
  <c r="BS21" i="41"/>
  <c r="AY148" i="41"/>
  <c r="BL15" i="41"/>
  <c r="BL148" i="41" s="1"/>
  <c r="AY143" i="41"/>
  <c r="BL17" i="41"/>
  <c r="BL113" i="41"/>
  <c r="BL120" i="41" s="1"/>
  <c r="AY203" i="42" l="1"/>
  <c r="BF22" i="47"/>
  <c r="AY140" i="41"/>
  <c r="BF21" i="47"/>
  <c r="AL21" i="47"/>
  <c r="BS139" i="41"/>
  <c r="AY139" i="41"/>
  <c r="AM21" i="47"/>
  <c r="BS141" i="41"/>
  <c r="BT204" i="42"/>
  <c r="BS201" i="42"/>
  <c r="BT201" i="42"/>
  <c r="BM22" i="47" s="1"/>
  <c r="BL206" i="42"/>
  <c r="BS204" i="42"/>
  <c r="AY204" i="42"/>
  <c r="BL208" i="42"/>
  <c r="BL214" i="42"/>
  <c r="BL46" i="42"/>
  <c r="AY201" i="42"/>
  <c r="AR22" i="47" s="1"/>
  <c r="BL205" i="42"/>
  <c r="BL21" i="42"/>
  <c r="BS138" i="41"/>
  <c r="BL21" i="47" s="1"/>
  <c r="AY138" i="41"/>
  <c r="AR21" i="47" s="1"/>
  <c r="BT138" i="41"/>
  <c r="BM21" i="47" s="1"/>
  <c r="AY141" i="41"/>
  <c r="BL142" i="41"/>
  <c r="BL16" i="41"/>
  <c r="BL143" i="41"/>
  <c r="BL21" i="41"/>
  <c r="BT141" i="41"/>
  <c r="BL150" i="41"/>
  <c r="BL29" i="41"/>
  <c r="BL203" i="42" l="1"/>
  <c r="BL202" i="42"/>
  <c r="BL139" i="41"/>
  <c r="BL140" i="41"/>
  <c r="BL22" i="47"/>
  <c r="BL201" i="42"/>
  <c r="BE22" i="47" s="1"/>
  <c r="BL138" i="41"/>
  <c r="BE21" i="47" s="1"/>
  <c r="BL141" i="41"/>
  <c r="BL204" i="42"/>
  <c r="CJ179" i="40" l="1"/>
  <c r="CI179" i="40"/>
  <c r="CH179" i="40"/>
  <c r="CG179" i="40"/>
  <c r="CF179" i="40"/>
  <c r="CE179" i="40"/>
  <c r="CD179" i="40"/>
  <c r="CC179" i="40"/>
  <c r="CB179" i="40"/>
  <c r="CA179" i="40"/>
  <c r="BZ179" i="40"/>
  <c r="BY179" i="40"/>
  <c r="BH179" i="40"/>
  <c r="BG179" i="40"/>
  <c r="BF179" i="40"/>
  <c r="BE179" i="40"/>
  <c r="BD179" i="40"/>
  <c r="BC179" i="40"/>
  <c r="BB179" i="40"/>
  <c r="BA179" i="40"/>
  <c r="AZ179" i="40"/>
  <c r="AW179" i="40"/>
  <c r="AV179" i="40"/>
  <c r="AU179" i="40"/>
  <c r="AL179" i="40"/>
  <c r="AK179" i="40"/>
  <c r="AJ179" i="40"/>
  <c r="AI179" i="40"/>
  <c r="AH179" i="40"/>
  <c r="AD179" i="40"/>
  <c r="AC179" i="40"/>
  <c r="AB179" i="40"/>
  <c r="AA179" i="40"/>
  <c r="Z179" i="40"/>
  <c r="Y179" i="40"/>
  <c r="X179" i="40"/>
  <c r="U179" i="40"/>
  <c r="T179" i="40"/>
  <c r="S179" i="40"/>
  <c r="R179" i="40"/>
  <c r="Q179" i="40"/>
  <c r="P179" i="40"/>
  <c r="O179" i="40"/>
  <c r="N179" i="40"/>
  <c r="M179" i="40"/>
  <c r="L179" i="40"/>
  <c r="K179" i="40"/>
  <c r="J179" i="40"/>
  <c r="I179" i="40"/>
  <c r="CJ178" i="40"/>
  <c r="CI178" i="40"/>
  <c r="CH178" i="40"/>
  <c r="CG178" i="40"/>
  <c r="CF178" i="40"/>
  <c r="CE178" i="40"/>
  <c r="CD178" i="40"/>
  <c r="CC178" i="40"/>
  <c r="CB178" i="40"/>
  <c r="CA178" i="40"/>
  <c r="BZ178" i="40"/>
  <c r="BY178" i="40"/>
  <c r="BH178" i="40"/>
  <c r="BG178" i="40"/>
  <c r="BF178" i="40"/>
  <c r="BE178" i="40"/>
  <c r="BD178" i="40"/>
  <c r="BC178" i="40"/>
  <c r="BB178" i="40"/>
  <c r="BA178" i="40"/>
  <c r="AZ178" i="40"/>
  <c r="AW178" i="40"/>
  <c r="AV178" i="40"/>
  <c r="AU178" i="40"/>
  <c r="AL178" i="40"/>
  <c r="AK178" i="40"/>
  <c r="AJ178" i="40"/>
  <c r="AI178" i="40"/>
  <c r="AH178" i="40"/>
  <c r="AD178" i="40"/>
  <c r="AC178" i="40"/>
  <c r="AB178" i="40"/>
  <c r="AA178" i="40"/>
  <c r="Z178" i="40"/>
  <c r="Y178" i="40"/>
  <c r="X178" i="40"/>
  <c r="U178" i="40"/>
  <c r="T178" i="40"/>
  <c r="S178" i="40"/>
  <c r="R178" i="40"/>
  <c r="Q178" i="40"/>
  <c r="P178" i="40"/>
  <c r="O178" i="40"/>
  <c r="N178" i="40"/>
  <c r="M178" i="40"/>
  <c r="L178" i="40"/>
  <c r="K178" i="40"/>
  <c r="J178" i="40"/>
  <c r="I178" i="40"/>
  <c r="CJ177" i="40"/>
  <c r="CI177" i="40"/>
  <c r="CH177" i="40"/>
  <c r="CG177" i="40"/>
  <c r="CF177" i="40"/>
  <c r="CE177" i="40"/>
  <c r="CD177" i="40"/>
  <c r="CC177" i="40"/>
  <c r="CB177" i="40"/>
  <c r="CA177" i="40"/>
  <c r="BZ177" i="40"/>
  <c r="BY177" i="40"/>
  <c r="BH177" i="40"/>
  <c r="BG177" i="40"/>
  <c r="BF177" i="40"/>
  <c r="BE177" i="40"/>
  <c r="BD177" i="40"/>
  <c r="BC177" i="40"/>
  <c r="BB177" i="40"/>
  <c r="BA177" i="40"/>
  <c r="AZ177" i="40"/>
  <c r="AW177" i="40"/>
  <c r="AV177" i="40"/>
  <c r="AU177" i="40"/>
  <c r="AL177" i="40"/>
  <c r="AK177" i="40"/>
  <c r="AJ177" i="40"/>
  <c r="AI177" i="40"/>
  <c r="AH177" i="40"/>
  <c r="AD177" i="40"/>
  <c r="AC177" i="40"/>
  <c r="AB177" i="40"/>
  <c r="AA177" i="40"/>
  <c r="Z177" i="40"/>
  <c r="Y177" i="40"/>
  <c r="X177" i="40"/>
  <c r="U177" i="40"/>
  <c r="T177" i="40"/>
  <c r="S177" i="40"/>
  <c r="R177" i="40"/>
  <c r="Q177" i="40"/>
  <c r="P177" i="40"/>
  <c r="O177" i="40"/>
  <c r="N177" i="40"/>
  <c r="M177" i="40"/>
  <c r="L177" i="40"/>
  <c r="K177" i="40"/>
  <c r="J177" i="40"/>
  <c r="I177" i="40"/>
  <c r="CJ176" i="40"/>
  <c r="CI176" i="40"/>
  <c r="CH176" i="40"/>
  <c r="CG176" i="40"/>
  <c r="CF176" i="40"/>
  <c r="CE176" i="40"/>
  <c r="CD176" i="40"/>
  <c r="CC176" i="40"/>
  <c r="CB176" i="40"/>
  <c r="CA176" i="40"/>
  <c r="BZ176" i="40"/>
  <c r="BY176" i="40"/>
  <c r="BH176" i="40"/>
  <c r="BG176" i="40"/>
  <c r="BF176" i="40"/>
  <c r="BE176" i="40"/>
  <c r="BD176" i="40"/>
  <c r="BC176" i="40"/>
  <c r="BB176" i="40"/>
  <c r="BA176" i="40"/>
  <c r="AZ176" i="40"/>
  <c r="AW176" i="40"/>
  <c r="AV176" i="40"/>
  <c r="AU176" i="40"/>
  <c r="AL176" i="40"/>
  <c r="AK176" i="40"/>
  <c r="AJ176" i="40"/>
  <c r="AI176" i="40"/>
  <c r="AH176" i="40"/>
  <c r="AD176" i="40"/>
  <c r="AC176" i="40"/>
  <c r="AB176" i="40"/>
  <c r="AA176" i="40"/>
  <c r="Z176" i="40"/>
  <c r="Y176" i="40"/>
  <c r="X176" i="40"/>
  <c r="U176" i="40"/>
  <c r="T176" i="40"/>
  <c r="S176" i="40"/>
  <c r="R176" i="40"/>
  <c r="Q176" i="40"/>
  <c r="P176" i="40"/>
  <c r="O176" i="40"/>
  <c r="N176" i="40"/>
  <c r="M176" i="40"/>
  <c r="L176" i="40"/>
  <c r="K176" i="40"/>
  <c r="J176" i="40"/>
  <c r="I176" i="40"/>
  <c r="CJ175" i="40"/>
  <c r="CI175" i="40"/>
  <c r="CH175" i="40"/>
  <c r="CG175" i="40"/>
  <c r="CF175" i="40"/>
  <c r="CE175" i="40"/>
  <c r="CD175" i="40"/>
  <c r="CC175" i="40"/>
  <c r="CB175" i="40"/>
  <c r="CA175" i="40"/>
  <c r="BZ175" i="40"/>
  <c r="BY175" i="40"/>
  <c r="BX175" i="40"/>
  <c r="BW175" i="40"/>
  <c r="BV175" i="40"/>
  <c r="BU175" i="40"/>
  <c r="BT175" i="40"/>
  <c r="BS175" i="40"/>
  <c r="BR175" i="40"/>
  <c r="BQ175" i="40"/>
  <c r="BP175" i="40"/>
  <c r="BO175" i="40"/>
  <c r="BN175" i="40"/>
  <c r="BM175" i="40"/>
  <c r="BL175" i="40"/>
  <c r="BK175" i="40"/>
  <c r="BJ175" i="40"/>
  <c r="BI175" i="40"/>
  <c r="BH175" i="40"/>
  <c r="BG175" i="40"/>
  <c r="BF175" i="40"/>
  <c r="BE175" i="40"/>
  <c r="BD175" i="40"/>
  <c r="BC175" i="40"/>
  <c r="BB175" i="40"/>
  <c r="BA175" i="40"/>
  <c r="AZ175" i="40"/>
  <c r="AY175" i="40"/>
  <c r="AX175" i="40"/>
  <c r="AW175" i="40"/>
  <c r="AV175" i="40"/>
  <c r="AU175" i="40"/>
  <c r="AT175" i="40"/>
  <c r="AS175" i="40"/>
  <c r="AR175" i="40"/>
  <c r="AQ175" i="40"/>
  <c r="AP175" i="40"/>
  <c r="AO175" i="40"/>
  <c r="AN175" i="40"/>
  <c r="AM175" i="40"/>
  <c r="AL175" i="40"/>
  <c r="AK175" i="40"/>
  <c r="AJ175" i="40"/>
  <c r="AI175" i="40"/>
  <c r="AH175" i="40"/>
  <c r="AG175" i="40"/>
  <c r="AF175" i="40"/>
  <c r="AE175" i="40"/>
  <c r="AD175" i="40"/>
  <c r="AC175" i="40"/>
  <c r="AB175" i="40"/>
  <c r="AA175" i="40"/>
  <c r="Z175" i="40"/>
  <c r="Y175" i="40"/>
  <c r="X175" i="40"/>
  <c r="W175" i="40"/>
  <c r="V175" i="40"/>
  <c r="U175" i="40"/>
  <c r="T175" i="40"/>
  <c r="S175" i="40"/>
  <c r="R175" i="40"/>
  <c r="Q175" i="40"/>
  <c r="P175" i="40"/>
  <c r="O175" i="40"/>
  <c r="N175" i="40"/>
  <c r="M175" i="40"/>
  <c r="L175" i="40"/>
  <c r="K175" i="40"/>
  <c r="J175" i="40"/>
  <c r="I175" i="40"/>
  <c r="CJ174" i="40"/>
  <c r="CI174" i="40"/>
  <c r="CH174" i="40"/>
  <c r="CG174" i="40"/>
  <c r="CF174" i="40"/>
  <c r="CE174" i="40"/>
  <c r="CD174" i="40"/>
  <c r="CC174" i="40"/>
  <c r="CB174" i="40"/>
  <c r="CA174" i="40"/>
  <c r="BZ174" i="40"/>
  <c r="BY174" i="40"/>
  <c r="BH174" i="40"/>
  <c r="BG174" i="40"/>
  <c r="BF174" i="40"/>
  <c r="BE174" i="40"/>
  <c r="BD174" i="40"/>
  <c r="BC174" i="40"/>
  <c r="BB174" i="40"/>
  <c r="BA174" i="40"/>
  <c r="AZ174" i="40"/>
  <c r="AW174" i="40"/>
  <c r="AV174" i="40"/>
  <c r="AU174" i="40"/>
  <c r="AL174" i="40"/>
  <c r="AK174" i="40"/>
  <c r="AJ174" i="40"/>
  <c r="AI174" i="40"/>
  <c r="AH174" i="40"/>
  <c r="AD174" i="40"/>
  <c r="AC174" i="40"/>
  <c r="AB174" i="40"/>
  <c r="AA174" i="40"/>
  <c r="Z174" i="40"/>
  <c r="Y174" i="40"/>
  <c r="X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CJ173" i="40"/>
  <c r="CI173" i="40"/>
  <c r="CH173" i="40"/>
  <c r="CG173" i="40"/>
  <c r="CF173" i="40"/>
  <c r="CE173" i="40"/>
  <c r="CD173" i="40"/>
  <c r="CC173" i="40"/>
  <c r="CB173" i="40"/>
  <c r="CA173" i="40"/>
  <c r="BZ173" i="40"/>
  <c r="BZ169" i="40" s="1"/>
  <c r="BY173" i="40"/>
  <c r="BH173" i="40"/>
  <c r="BG173" i="40"/>
  <c r="BF173" i="40"/>
  <c r="BE173" i="40"/>
  <c r="BD173" i="40"/>
  <c r="BC173" i="40"/>
  <c r="BB173" i="40"/>
  <c r="BA173" i="40"/>
  <c r="AZ173" i="40"/>
  <c r="AW173" i="40"/>
  <c r="AV173" i="40"/>
  <c r="AU173" i="40"/>
  <c r="AL173" i="40"/>
  <c r="AK173" i="40"/>
  <c r="AJ173" i="40"/>
  <c r="AI173" i="40"/>
  <c r="AH173" i="40"/>
  <c r="AD173" i="40"/>
  <c r="AC173" i="40"/>
  <c r="AB173" i="40"/>
  <c r="AA173" i="40"/>
  <c r="Z173" i="40"/>
  <c r="Y173" i="40"/>
  <c r="X173" i="40"/>
  <c r="U173" i="40"/>
  <c r="T173" i="40"/>
  <c r="S173" i="40"/>
  <c r="R173" i="40"/>
  <c r="Q173" i="40"/>
  <c r="P173" i="40"/>
  <c r="O173" i="40"/>
  <c r="N173" i="40"/>
  <c r="M173" i="40"/>
  <c r="L173" i="40"/>
  <c r="K173" i="40"/>
  <c r="J173" i="40"/>
  <c r="I173" i="40"/>
  <c r="CJ172" i="40"/>
  <c r="CI172" i="40"/>
  <c r="CH172" i="40"/>
  <c r="CG172" i="40"/>
  <c r="CF172" i="40"/>
  <c r="CE172" i="40"/>
  <c r="CD172" i="40"/>
  <c r="CC172" i="40"/>
  <c r="CB172" i="40"/>
  <c r="CA172" i="40"/>
  <c r="BZ172" i="40"/>
  <c r="BY172" i="40"/>
  <c r="BH172" i="40"/>
  <c r="BG172" i="40"/>
  <c r="BF172" i="40"/>
  <c r="BE172" i="40"/>
  <c r="BD172" i="40"/>
  <c r="BC172" i="40"/>
  <c r="BB172" i="40"/>
  <c r="BA172" i="40"/>
  <c r="AZ172" i="40"/>
  <c r="AW172" i="40"/>
  <c r="AV172" i="40"/>
  <c r="AU172" i="40"/>
  <c r="AL172" i="40"/>
  <c r="AK172" i="40"/>
  <c r="AJ172" i="40"/>
  <c r="AI172" i="40"/>
  <c r="AH172" i="40"/>
  <c r="AD172" i="40"/>
  <c r="AC172" i="40"/>
  <c r="AB172" i="40"/>
  <c r="AA172" i="40"/>
  <c r="Z172" i="40"/>
  <c r="Y172" i="40"/>
  <c r="X172" i="40"/>
  <c r="U172" i="40"/>
  <c r="T172" i="40"/>
  <c r="S172" i="40"/>
  <c r="R172" i="40"/>
  <c r="Q172" i="40"/>
  <c r="P172" i="40"/>
  <c r="O172" i="40"/>
  <c r="N172" i="40"/>
  <c r="M172" i="40"/>
  <c r="L172" i="40"/>
  <c r="K172" i="40"/>
  <c r="J172" i="40"/>
  <c r="I172" i="40"/>
  <c r="CJ171" i="40"/>
  <c r="CI171" i="40"/>
  <c r="CH171" i="40"/>
  <c r="CG171" i="40"/>
  <c r="CF171" i="40"/>
  <c r="CE171" i="40"/>
  <c r="CD171" i="40"/>
  <c r="CC171" i="40"/>
  <c r="CB171" i="40"/>
  <c r="CA171" i="40"/>
  <c r="BZ171" i="40"/>
  <c r="BY171" i="40"/>
  <c r="BH171" i="40"/>
  <c r="BG171" i="40"/>
  <c r="BF171" i="40"/>
  <c r="BE171" i="40"/>
  <c r="BD171" i="40"/>
  <c r="BC171" i="40"/>
  <c r="BB171" i="40"/>
  <c r="BA171" i="40"/>
  <c r="AZ171" i="40"/>
  <c r="AW171" i="40"/>
  <c r="AV171" i="40"/>
  <c r="AU171" i="40"/>
  <c r="AL171" i="40"/>
  <c r="AK171" i="40"/>
  <c r="AJ171" i="40"/>
  <c r="AI171" i="40"/>
  <c r="AH171" i="40"/>
  <c r="AD171" i="40"/>
  <c r="AC171" i="40"/>
  <c r="AB171" i="40"/>
  <c r="AA171" i="40"/>
  <c r="Z171" i="40"/>
  <c r="Y171" i="40"/>
  <c r="X171" i="40"/>
  <c r="U171" i="40"/>
  <c r="T171" i="40"/>
  <c r="S171" i="40"/>
  <c r="R171" i="40"/>
  <c r="Q171" i="40"/>
  <c r="P171" i="40"/>
  <c r="O171" i="40"/>
  <c r="N171" i="40"/>
  <c r="M171" i="40"/>
  <c r="L171" i="40"/>
  <c r="K171" i="40"/>
  <c r="J171" i="40"/>
  <c r="I171" i="40"/>
  <c r="CJ170" i="40"/>
  <c r="CI170" i="40"/>
  <c r="CH170" i="40"/>
  <c r="CG170" i="40"/>
  <c r="CF170" i="40"/>
  <c r="CE170" i="40"/>
  <c r="CD170" i="40"/>
  <c r="CC170" i="40"/>
  <c r="CB170" i="40"/>
  <c r="CA170" i="40"/>
  <c r="BZ170" i="40"/>
  <c r="BY170" i="40"/>
  <c r="BH170" i="40"/>
  <c r="BG170" i="40"/>
  <c r="BF170" i="40"/>
  <c r="BE170" i="40"/>
  <c r="BD170" i="40"/>
  <c r="BC170" i="40"/>
  <c r="BB170" i="40"/>
  <c r="BA170" i="40"/>
  <c r="AZ170" i="40"/>
  <c r="AW170" i="40"/>
  <c r="AV170" i="40"/>
  <c r="AU170" i="40"/>
  <c r="AL170" i="40"/>
  <c r="AK170" i="40"/>
  <c r="AJ170" i="40"/>
  <c r="AI170" i="40"/>
  <c r="AH170" i="40"/>
  <c r="AD170" i="40"/>
  <c r="AC170" i="40"/>
  <c r="AB170" i="40"/>
  <c r="AA170" i="40"/>
  <c r="Z170" i="40"/>
  <c r="Y170" i="40"/>
  <c r="X170" i="40"/>
  <c r="U170" i="40"/>
  <c r="T170" i="40"/>
  <c r="T169" i="40" s="1"/>
  <c r="S170" i="40"/>
  <c r="R170" i="40"/>
  <c r="Q170" i="40"/>
  <c r="P170" i="40"/>
  <c r="O170" i="40"/>
  <c r="N170" i="40"/>
  <c r="N169" i="40" s="1"/>
  <c r="M170" i="40"/>
  <c r="L170" i="40"/>
  <c r="K170" i="40"/>
  <c r="J170" i="40"/>
  <c r="I170" i="40"/>
  <c r="CH169" i="40"/>
  <c r="U166" i="40"/>
  <c r="N20" i="47" s="1"/>
  <c r="T166" i="40"/>
  <c r="M20" i="47" s="1"/>
  <c r="S166" i="40"/>
  <c r="L20" i="47" s="1"/>
  <c r="R166" i="40"/>
  <c r="K20" i="47" s="1"/>
  <c r="Q166" i="40"/>
  <c r="J20" i="47" s="1"/>
  <c r="P166" i="40"/>
  <c r="I20" i="47" s="1"/>
  <c r="O166" i="40"/>
  <c r="H20" i="47" s="1"/>
  <c r="N166" i="40"/>
  <c r="G20" i="47" s="1"/>
  <c r="M166" i="40"/>
  <c r="F20" i="47" s="1"/>
  <c r="L166" i="40"/>
  <c r="E20" i="47" s="1"/>
  <c r="K166" i="40"/>
  <c r="D20" i="47" s="1"/>
  <c r="J166" i="40"/>
  <c r="I166" i="40"/>
  <c r="B20" i="47" s="1"/>
  <c r="CJ165" i="40"/>
  <c r="CI165" i="40"/>
  <c r="CH165" i="40"/>
  <c r="CG165" i="40"/>
  <c r="CF165" i="40"/>
  <c r="CE165" i="40"/>
  <c r="CD165" i="40"/>
  <c r="CC165" i="40"/>
  <c r="CB165" i="40"/>
  <c r="CA165" i="40"/>
  <c r="BZ165" i="40"/>
  <c r="BY165" i="40"/>
  <c r="BU164" i="40"/>
  <c r="BX164" i="40"/>
  <c r="BR164" i="40"/>
  <c r="BN164" i="40"/>
  <c r="BT164" i="40"/>
  <c r="BX163" i="40"/>
  <c r="BW163" i="40"/>
  <c r="BU163" i="40"/>
  <c r="BR163" i="40"/>
  <c r="BV163" i="40"/>
  <c r="BP163" i="40"/>
  <c r="BO163" i="40"/>
  <c r="BW162" i="40"/>
  <c r="BQ162" i="40"/>
  <c r="BX162" i="40"/>
  <c r="BU162" i="40"/>
  <c r="BR162" i="40"/>
  <c r="CJ161" i="40"/>
  <c r="CI161" i="40"/>
  <c r="CH161" i="40"/>
  <c r="CG161" i="40"/>
  <c r="CF161" i="40"/>
  <c r="CE161" i="40"/>
  <c r="CD161" i="40"/>
  <c r="CC161" i="40"/>
  <c r="CB161" i="40"/>
  <c r="CA161" i="40"/>
  <c r="BZ161" i="40"/>
  <c r="BY161" i="40"/>
  <c r="BX160" i="40"/>
  <c r="BU160" i="40"/>
  <c r="BQ160" i="40"/>
  <c r="BV160" i="40"/>
  <c r="BW160" i="40"/>
  <c r="BR160" i="40"/>
  <c r="BP160" i="40"/>
  <c r="BO160" i="40"/>
  <c r="BX159" i="40"/>
  <c r="BU159" i="40"/>
  <c r="BR159" i="40"/>
  <c r="BP159" i="40"/>
  <c r="BW159" i="40"/>
  <c r="BQ159" i="40"/>
  <c r="BO159" i="40"/>
  <c r="BU158" i="40"/>
  <c r="BQ158" i="40"/>
  <c r="BX158" i="40"/>
  <c r="BV158" i="40"/>
  <c r="BR158" i="40"/>
  <c r="BP158" i="40"/>
  <c r="BN158" i="40"/>
  <c r="BW157" i="40"/>
  <c r="BU157" i="40"/>
  <c r="BR157" i="40"/>
  <c r="BN157" i="40"/>
  <c r="BO157" i="40"/>
  <c r="BX156" i="40"/>
  <c r="BU156" i="40"/>
  <c r="BQ156" i="40"/>
  <c r="BR156" i="40"/>
  <c r="CJ155" i="40"/>
  <c r="CI155" i="40"/>
  <c r="CH155" i="40"/>
  <c r="CG155" i="40"/>
  <c r="CF155" i="40"/>
  <c r="CE155" i="40"/>
  <c r="CD155" i="40"/>
  <c r="CC155" i="40"/>
  <c r="CB155" i="40"/>
  <c r="CA155" i="40"/>
  <c r="BZ155" i="40"/>
  <c r="BY155" i="40"/>
  <c r="BX154" i="40"/>
  <c r="BW154" i="40"/>
  <c r="BU154" i="40"/>
  <c r="BV154" i="40"/>
  <c r="BR154" i="40"/>
  <c r="BX153" i="40"/>
  <c r="BU153" i="40"/>
  <c r="BO153" i="40"/>
  <c r="BQ153" i="40"/>
  <c r="BW152" i="40"/>
  <c r="BU152" i="40"/>
  <c r="BN152" i="40"/>
  <c r="BR152" i="40"/>
  <c r="BQ152" i="40"/>
  <c r="CJ151" i="40"/>
  <c r="CI151" i="40"/>
  <c r="CH151" i="40"/>
  <c r="CG151" i="40"/>
  <c r="CF151" i="40"/>
  <c r="CE151" i="40"/>
  <c r="CD151" i="40"/>
  <c r="CC151" i="40"/>
  <c r="CB151" i="40"/>
  <c r="CA151" i="40"/>
  <c r="BZ151" i="40"/>
  <c r="BY151" i="40"/>
  <c r="BU150" i="40"/>
  <c r="BX150" i="40"/>
  <c r="BR150" i="40"/>
  <c r="BN150" i="40"/>
  <c r="BW149" i="40"/>
  <c r="BU149" i="40"/>
  <c r="BQ149" i="40"/>
  <c r="BV149" i="40"/>
  <c r="BX149" i="40"/>
  <c r="BR149" i="40"/>
  <c r="BO149" i="40"/>
  <c r="BW148" i="40"/>
  <c r="BP148" i="40"/>
  <c r="BV148" i="40"/>
  <c r="BX148" i="40"/>
  <c r="BU148" i="40"/>
  <c r="BR148" i="40"/>
  <c r="BQ148" i="40"/>
  <c r="BX147" i="40"/>
  <c r="BW147" i="40"/>
  <c r="BR147" i="40"/>
  <c r="BQ147" i="40"/>
  <c r="BV147" i="40"/>
  <c r="BU147" i="40"/>
  <c r="BP147" i="40"/>
  <c r="BN147" i="40"/>
  <c r="BX146" i="40"/>
  <c r="BU146" i="40"/>
  <c r="BW146" i="40"/>
  <c r="BO146" i="40"/>
  <c r="BX145" i="40"/>
  <c r="BR145" i="40"/>
  <c r="BU145" i="40"/>
  <c r="BP145" i="40"/>
  <c r="BO145" i="40"/>
  <c r="CJ144" i="40"/>
  <c r="CI144" i="40"/>
  <c r="CH144" i="40"/>
  <c r="CG144" i="40"/>
  <c r="CF144" i="40"/>
  <c r="CE144" i="40"/>
  <c r="CD144" i="40"/>
  <c r="CC144" i="40"/>
  <c r="CB144" i="40"/>
  <c r="CA144" i="40"/>
  <c r="BZ144" i="40"/>
  <c r="BY144" i="40"/>
  <c r="BX143" i="40"/>
  <c r="BW143" i="40"/>
  <c r="BU143" i="40"/>
  <c r="BQ143" i="40"/>
  <c r="BV143" i="40"/>
  <c r="BR143" i="40"/>
  <c r="BO143" i="40"/>
  <c r="BQ142" i="40"/>
  <c r="BN142" i="40"/>
  <c r="BX142" i="40"/>
  <c r="BW142" i="40"/>
  <c r="BU142" i="40"/>
  <c r="BR142" i="40"/>
  <c r="BP142" i="40"/>
  <c r="BO142" i="40"/>
  <c r="BV141" i="40"/>
  <c r="BU141" i="40"/>
  <c r="BR141" i="40"/>
  <c r="BQ141" i="40"/>
  <c r="BO141" i="40"/>
  <c r="BX141" i="40"/>
  <c r="BW141" i="40"/>
  <c r="BQ140" i="40"/>
  <c r="BX140" i="40"/>
  <c r="BV140" i="40"/>
  <c r="BU140" i="40"/>
  <c r="BS140" i="40"/>
  <c r="BP140" i="40"/>
  <c r="BR140" i="40"/>
  <c r="BW139" i="40"/>
  <c r="BV139" i="40"/>
  <c r="BR139" i="40"/>
  <c r="BQ139" i="40"/>
  <c r="BN139" i="40"/>
  <c r="BX139" i="40"/>
  <c r="BU139" i="40"/>
  <c r="BP139" i="40"/>
  <c r="BX138" i="40"/>
  <c r="BU138" i="40"/>
  <c r="BR138" i="40"/>
  <c r="BQ138" i="40"/>
  <c r="BV138" i="40"/>
  <c r="BP138" i="40"/>
  <c r="CJ137" i="40"/>
  <c r="CI137" i="40"/>
  <c r="CH137" i="40"/>
  <c r="CG137" i="40"/>
  <c r="CF137" i="40"/>
  <c r="CE137" i="40"/>
  <c r="CD137" i="40"/>
  <c r="CC137" i="40"/>
  <c r="CB137" i="40"/>
  <c r="CA137" i="40"/>
  <c r="BZ137" i="40"/>
  <c r="BY137" i="40"/>
  <c r="BX136" i="40"/>
  <c r="BU136" i="40"/>
  <c r="BR136" i="40"/>
  <c r="BW136" i="40"/>
  <c r="BQ136" i="40"/>
  <c r="BO136" i="40"/>
  <c r="BX135" i="40"/>
  <c r="BW135" i="40"/>
  <c r="BU135" i="40"/>
  <c r="BP135" i="40"/>
  <c r="BR135" i="40"/>
  <c r="BQ135" i="40"/>
  <c r="BW134" i="40"/>
  <c r="BV134" i="40"/>
  <c r="BX134" i="40"/>
  <c r="BU134" i="40"/>
  <c r="BR134" i="40"/>
  <c r="BP134" i="40"/>
  <c r="BN134" i="40"/>
  <c r="BX133" i="40"/>
  <c r="BU133" i="40"/>
  <c r="BR133" i="40"/>
  <c r="BP133" i="40"/>
  <c r="BO133" i="40"/>
  <c r="BP132" i="40"/>
  <c r="BX132" i="40"/>
  <c r="BW132" i="40"/>
  <c r="BU132" i="40"/>
  <c r="BR132" i="40"/>
  <c r="BQ132" i="40"/>
  <c r="BW131" i="40"/>
  <c r="BQ131" i="40"/>
  <c r="CJ130" i="40"/>
  <c r="CI130" i="40"/>
  <c r="CH130" i="40"/>
  <c r="CG130" i="40"/>
  <c r="CF130" i="40"/>
  <c r="CE130" i="40"/>
  <c r="CD130" i="40"/>
  <c r="CC130" i="40"/>
  <c r="CB130" i="40"/>
  <c r="CA130" i="40"/>
  <c r="BZ130" i="40"/>
  <c r="BY130" i="40"/>
  <c r="BX129" i="40"/>
  <c r="BW129" i="40"/>
  <c r="BU129" i="40"/>
  <c r="BP129" i="40"/>
  <c r="BR129" i="40"/>
  <c r="BQ129" i="40"/>
  <c r="BW128" i="40"/>
  <c r="BR128" i="40"/>
  <c r="BN128" i="40"/>
  <c r="CJ127" i="40"/>
  <c r="CI127" i="40"/>
  <c r="CH127" i="40"/>
  <c r="CG127" i="40"/>
  <c r="CF127" i="40"/>
  <c r="CE127" i="40"/>
  <c r="CD127" i="40"/>
  <c r="CC127" i="40"/>
  <c r="CB127" i="40"/>
  <c r="CA127" i="40"/>
  <c r="BZ127" i="40"/>
  <c r="BY127" i="40"/>
  <c r="BM126" i="40"/>
  <c r="BX126" i="40"/>
  <c r="BU126" i="40"/>
  <c r="BR126" i="40"/>
  <c r="BQ126" i="40"/>
  <c r="BW125" i="40"/>
  <c r="BN125" i="40"/>
  <c r="BR125" i="40"/>
  <c r="CJ124" i="40"/>
  <c r="CI124" i="40"/>
  <c r="CH124" i="40"/>
  <c r="CG124" i="40"/>
  <c r="CF124" i="40"/>
  <c r="CE124" i="40"/>
  <c r="CD124" i="40"/>
  <c r="CC124" i="40"/>
  <c r="CB124" i="40"/>
  <c r="CA124" i="40"/>
  <c r="BZ124" i="40"/>
  <c r="BY124" i="40"/>
  <c r="BU123" i="40"/>
  <c r="BR123" i="40"/>
  <c r="BX123" i="40"/>
  <c r="BV123" i="40"/>
  <c r="BW122" i="40"/>
  <c r="BR122" i="40"/>
  <c r="BV122" i="40"/>
  <c r="BX122" i="40"/>
  <c r="BU122" i="40"/>
  <c r="BP122" i="40"/>
  <c r="BX121" i="40"/>
  <c r="BU121" i="40"/>
  <c r="BR121" i="40"/>
  <c r="BV121" i="40"/>
  <c r="BR120" i="40"/>
  <c r="BO120" i="40"/>
  <c r="BX120" i="40"/>
  <c r="BU120" i="40"/>
  <c r="BP120" i="40"/>
  <c r="BQ120" i="40"/>
  <c r="BQ119" i="40"/>
  <c r="BN119" i="40"/>
  <c r="BX119" i="40"/>
  <c r="BU119" i="40"/>
  <c r="BR119" i="40"/>
  <c r="CJ118" i="40"/>
  <c r="CI118" i="40"/>
  <c r="CH118" i="40"/>
  <c r="CG118" i="40"/>
  <c r="CF118" i="40"/>
  <c r="CE118" i="40"/>
  <c r="CD118" i="40"/>
  <c r="CC118" i="40"/>
  <c r="CB118" i="40"/>
  <c r="CA118" i="40"/>
  <c r="BZ118" i="40"/>
  <c r="BY118" i="40"/>
  <c r="BQ117" i="40"/>
  <c r="BX117" i="40"/>
  <c r="BV117" i="40"/>
  <c r="BU117" i="40"/>
  <c r="BP117" i="40"/>
  <c r="BR117" i="40"/>
  <c r="BX116" i="40"/>
  <c r="BW116" i="40"/>
  <c r="BU116" i="40"/>
  <c r="BQ116" i="40"/>
  <c r="BW115" i="40"/>
  <c r="BR115" i="40"/>
  <c r="CJ114" i="40"/>
  <c r="CI114" i="40"/>
  <c r="CH114" i="40"/>
  <c r="CG114" i="40"/>
  <c r="CF114" i="40"/>
  <c r="CE114" i="40"/>
  <c r="CD114" i="40"/>
  <c r="CC114" i="40"/>
  <c r="CB114" i="40"/>
  <c r="CA114" i="40"/>
  <c r="BZ114" i="40"/>
  <c r="BY114" i="40"/>
  <c r="BU113" i="40"/>
  <c r="BX113" i="40"/>
  <c r="BV113" i="40"/>
  <c r="BR113" i="40"/>
  <c r="BW112" i="40"/>
  <c r="BR112" i="40"/>
  <c r="BP112" i="40"/>
  <c r="BV112" i="40"/>
  <c r="BX112" i="40"/>
  <c r="BU112" i="40"/>
  <c r="BX111" i="40"/>
  <c r="BU111" i="40"/>
  <c r="BR111" i="40"/>
  <c r="CJ110" i="40"/>
  <c r="CI110" i="40"/>
  <c r="CH110" i="40"/>
  <c r="CG110" i="40"/>
  <c r="CF110" i="40"/>
  <c r="CE110" i="40"/>
  <c r="CD110" i="40"/>
  <c r="CC110" i="40"/>
  <c r="CB110" i="40"/>
  <c r="CA110" i="40"/>
  <c r="BZ110" i="40"/>
  <c r="BY110" i="40"/>
  <c r="BQ109" i="40"/>
  <c r="BQ110" i="40" s="1"/>
  <c r="BN109" i="40"/>
  <c r="BN110" i="40" s="1"/>
  <c r="BX109" i="40"/>
  <c r="BX110" i="40" s="1"/>
  <c r="BU109" i="40"/>
  <c r="BU110" i="40" s="1"/>
  <c r="BR109" i="40"/>
  <c r="BR110" i="40" s="1"/>
  <c r="CJ108" i="40"/>
  <c r="CI108" i="40"/>
  <c r="CH108" i="40"/>
  <c r="CG108" i="40"/>
  <c r="CF108" i="40"/>
  <c r="CE108" i="40"/>
  <c r="CD108" i="40"/>
  <c r="CC108" i="40"/>
  <c r="CB108" i="40"/>
  <c r="CA108" i="40"/>
  <c r="BZ108" i="40"/>
  <c r="BY108" i="40"/>
  <c r="BW107" i="40"/>
  <c r="BU107" i="40"/>
  <c r="BR107" i="40"/>
  <c r="BX107" i="40"/>
  <c r="BV107" i="40"/>
  <c r="BP107" i="40"/>
  <c r="BQ107" i="40"/>
  <c r="BO107" i="40"/>
  <c r="BW106" i="40"/>
  <c r="BR106" i="40"/>
  <c r="BQ106" i="40"/>
  <c r="BV106" i="40"/>
  <c r="BX106" i="40"/>
  <c r="BU106" i="40"/>
  <c r="BP106" i="40"/>
  <c r="BX105" i="40"/>
  <c r="BU105" i="40"/>
  <c r="BR105" i="40"/>
  <c r="BQ105" i="40"/>
  <c r="BV105" i="40"/>
  <c r="BW105" i="40"/>
  <c r="BP105" i="40"/>
  <c r="BO105" i="40"/>
  <c r="BR104" i="40"/>
  <c r="BX104" i="40"/>
  <c r="BU104" i="40"/>
  <c r="BP104" i="40"/>
  <c r="BQ104" i="40"/>
  <c r="BO104" i="40"/>
  <c r="BQ103" i="40"/>
  <c r="BN103" i="40"/>
  <c r="BX103" i="40"/>
  <c r="BR103" i="40"/>
  <c r="CJ102" i="40"/>
  <c r="CI102" i="40"/>
  <c r="CH102" i="40"/>
  <c r="CG102" i="40"/>
  <c r="CF102" i="40"/>
  <c r="CE102" i="40"/>
  <c r="CD102" i="40"/>
  <c r="CC102" i="40"/>
  <c r="CB102" i="40"/>
  <c r="CA102" i="40"/>
  <c r="BZ102" i="40"/>
  <c r="BY102" i="40"/>
  <c r="BQ101" i="40"/>
  <c r="BV101" i="40"/>
  <c r="BW101" i="40"/>
  <c r="BU101" i="40"/>
  <c r="BR101" i="40"/>
  <c r="BP101" i="40"/>
  <c r="BW100" i="40"/>
  <c r="BQ100" i="40"/>
  <c r="BX100" i="40"/>
  <c r="BU100" i="40"/>
  <c r="BR100" i="40"/>
  <c r="BP100" i="40"/>
  <c r="BX99" i="40"/>
  <c r="BQ99" i="40"/>
  <c r="BN99" i="40"/>
  <c r="CJ98" i="40"/>
  <c r="CI98" i="40"/>
  <c r="CH98" i="40"/>
  <c r="CG98" i="40"/>
  <c r="CF98" i="40"/>
  <c r="CE98" i="40"/>
  <c r="CD98" i="40"/>
  <c r="CC98" i="40"/>
  <c r="CB98" i="40"/>
  <c r="CA98" i="40"/>
  <c r="BZ98" i="40"/>
  <c r="BY98" i="40"/>
  <c r="BW97" i="40"/>
  <c r="BX97" i="40"/>
  <c r="BV97" i="40"/>
  <c r="BU97" i="40"/>
  <c r="BR97" i="40"/>
  <c r="BP97" i="40"/>
  <c r="BU96" i="40"/>
  <c r="BQ96" i="40"/>
  <c r="BX96" i="40"/>
  <c r="BV96" i="40"/>
  <c r="BO96" i="40"/>
  <c r="BN96" i="40"/>
  <c r="BU95" i="40"/>
  <c r="BR95" i="40"/>
  <c r="BV95" i="40"/>
  <c r="BX95" i="40"/>
  <c r="BW95" i="40"/>
  <c r="BQ95" i="40"/>
  <c r="BW94" i="40"/>
  <c r="BQ94" i="40"/>
  <c r="BV94" i="40"/>
  <c r="BU94" i="40"/>
  <c r="BR94" i="40"/>
  <c r="BX93" i="40"/>
  <c r="BQ93" i="40"/>
  <c r="BW93" i="40"/>
  <c r="BU93" i="40"/>
  <c r="CJ92" i="40"/>
  <c r="CI92" i="40"/>
  <c r="CH92" i="40"/>
  <c r="CG92" i="40"/>
  <c r="CF92" i="40"/>
  <c r="CE92" i="40"/>
  <c r="CD92" i="40"/>
  <c r="CC92" i="40"/>
  <c r="CB92" i="40"/>
  <c r="CA92" i="40"/>
  <c r="BZ92" i="40"/>
  <c r="BY92" i="40"/>
  <c r="BW91" i="40"/>
  <c r="BV91" i="40"/>
  <c r="BX91" i="40"/>
  <c r="BU91" i="40"/>
  <c r="BS91" i="40"/>
  <c r="BR91" i="40"/>
  <c r="BP91" i="40"/>
  <c r="BX90" i="40"/>
  <c r="BU90" i="40"/>
  <c r="BW90" i="40"/>
  <c r="BQ90" i="40"/>
  <c r="BO90" i="40"/>
  <c r="BX89" i="40"/>
  <c r="BW89" i="40"/>
  <c r="BR89" i="40"/>
  <c r="BQ89" i="40"/>
  <c r="CJ88" i="40"/>
  <c r="CI88" i="40"/>
  <c r="CH88" i="40"/>
  <c r="CG88" i="40"/>
  <c r="CF88" i="40"/>
  <c r="CE88" i="40"/>
  <c r="CD88" i="40"/>
  <c r="CC88" i="40"/>
  <c r="CB88" i="40"/>
  <c r="CA88" i="40"/>
  <c r="BZ88" i="40"/>
  <c r="BY88" i="40"/>
  <c r="BX87" i="40"/>
  <c r="BU87" i="40"/>
  <c r="BO87" i="40"/>
  <c r="BR87" i="40"/>
  <c r="BP87" i="40"/>
  <c r="BX86" i="40"/>
  <c r="BW86" i="40"/>
  <c r="BU86" i="40"/>
  <c r="BP86" i="40"/>
  <c r="BQ86" i="40"/>
  <c r="BW85" i="40"/>
  <c r="BV85" i="40"/>
  <c r="BX85" i="40"/>
  <c r="BU85" i="40"/>
  <c r="BR85" i="40"/>
  <c r="BP85" i="40"/>
  <c r="BX84" i="40"/>
  <c r="BU84" i="40"/>
  <c r="BW84" i="40"/>
  <c r="BR84" i="40"/>
  <c r="BQ84" i="40"/>
  <c r="BO84" i="40"/>
  <c r="BX83" i="40"/>
  <c r="BW83" i="40"/>
  <c r="BP83" i="40"/>
  <c r="BR83" i="40"/>
  <c r="BQ83" i="40"/>
  <c r="BW82" i="40"/>
  <c r="BN82" i="40"/>
  <c r="BX82" i="40"/>
  <c r="BU82" i="40"/>
  <c r="CJ81" i="40"/>
  <c r="CI81" i="40"/>
  <c r="CH81" i="40"/>
  <c r="CG81" i="40"/>
  <c r="CF81" i="40"/>
  <c r="CE81" i="40"/>
  <c r="CD81" i="40"/>
  <c r="CC81" i="40"/>
  <c r="CB81" i="40"/>
  <c r="CA81" i="40"/>
  <c r="BZ81" i="40"/>
  <c r="BY81" i="40"/>
  <c r="BX80" i="40"/>
  <c r="BW80" i="40"/>
  <c r="BU80" i="40"/>
  <c r="BQ80" i="40"/>
  <c r="BW79" i="40"/>
  <c r="BT79" i="40"/>
  <c r="BV79" i="40"/>
  <c r="BX79" i="40"/>
  <c r="BU79" i="40"/>
  <c r="BP79" i="40"/>
  <c r="BR79" i="40"/>
  <c r="BQ79" i="40"/>
  <c r="BX78" i="40"/>
  <c r="BU78" i="40"/>
  <c r="BR78" i="40"/>
  <c r="BQ78" i="40"/>
  <c r="BO78" i="40"/>
  <c r="BU77" i="40"/>
  <c r="BX77" i="40"/>
  <c r="BP77" i="40"/>
  <c r="BR77" i="40"/>
  <c r="BQ77" i="40"/>
  <c r="BW76" i="40"/>
  <c r="BP76" i="40"/>
  <c r="BX76" i="40"/>
  <c r="BU76" i="40"/>
  <c r="BR76" i="40"/>
  <c r="BN76" i="40"/>
  <c r="BX75" i="40"/>
  <c r="BU75" i="40"/>
  <c r="BQ75" i="40"/>
  <c r="CJ74" i="40"/>
  <c r="CI74" i="40"/>
  <c r="CH74" i="40"/>
  <c r="CG74" i="40"/>
  <c r="CF74" i="40"/>
  <c r="CE74" i="40"/>
  <c r="CD74" i="40"/>
  <c r="CC74" i="40"/>
  <c r="CB74" i="40"/>
  <c r="CA74" i="40"/>
  <c r="BZ74" i="40"/>
  <c r="BY74" i="40"/>
  <c r="BW73" i="40"/>
  <c r="BN73" i="40"/>
  <c r="BX73" i="40"/>
  <c r="BV73" i="40"/>
  <c r="BU73" i="40"/>
  <c r="BR73" i="40"/>
  <c r="BQ73" i="40"/>
  <c r="BX72" i="40"/>
  <c r="BU72" i="40"/>
  <c r="BR72" i="40"/>
  <c r="BQ72" i="40"/>
  <c r="BO72" i="40"/>
  <c r="BU71" i="40"/>
  <c r="BQ71" i="40"/>
  <c r="BX71" i="40"/>
  <c r="BP71" i="40"/>
  <c r="BR71" i="40"/>
  <c r="BO71" i="40"/>
  <c r="BW70" i="40"/>
  <c r="BR70" i="40"/>
  <c r="BQ70" i="40"/>
  <c r="BV70" i="40"/>
  <c r="BX70" i="40"/>
  <c r="BU70" i="40"/>
  <c r="BP70" i="40"/>
  <c r="BX69" i="40"/>
  <c r="BU69" i="40"/>
  <c r="BR69" i="40"/>
  <c r="BQ69" i="40"/>
  <c r="BN69" i="40"/>
  <c r="BV69" i="40"/>
  <c r="BW69" i="40"/>
  <c r="BP69" i="40"/>
  <c r="BR68" i="40"/>
  <c r="CJ67" i="40"/>
  <c r="CI67" i="40"/>
  <c r="CH67" i="40"/>
  <c r="CG67" i="40"/>
  <c r="CF67" i="40"/>
  <c r="CE67" i="40"/>
  <c r="CD67" i="40"/>
  <c r="CC67" i="40"/>
  <c r="CB67" i="40"/>
  <c r="CA67" i="40"/>
  <c r="BZ67" i="40"/>
  <c r="BY67" i="40"/>
  <c r="BU66" i="40"/>
  <c r="BR66" i="40"/>
  <c r="BP66" i="40"/>
  <c r="BO66" i="40"/>
  <c r="BX66" i="40"/>
  <c r="BV66" i="40"/>
  <c r="BU65" i="40"/>
  <c r="BR65" i="40"/>
  <c r="BX65" i="40"/>
  <c r="BV65" i="40"/>
  <c r="BW64" i="40"/>
  <c r="BR64" i="40"/>
  <c r="BP64" i="40"/>
  <c r="BV64" i="40"/>
  <c r="BX64" i="40"/>
  <c r="BU64" i="40"/>
  <c r="BX63" i="40"/>
  <c r="BU63" i="40"/>
  <c r="BR63" i="40"/>
  <c r="BV63" i="40"/>
  <c r="BR62" i="40"/>
  <c r="BU62" i="40"/>
  <c r="BP62" i="40"/>
  <c r="BQ62" i="40"/>
  <c r="BQ61" i="40"/>
  <c r="BN61" i="40"/>
  <c r="BX61" i="40"/>
  <c r="BW61" i="40"/>
  <c r="BP61" i="40"/>
  <c r="CJ60" i="40"/>
  <c r="CI60" i="40"/>
  <c r="CH60" i="40"/>
  <c r="CG60" i="40"/>
  <c r="CF60" i="40"/>
  <c r="CE60" i="40"/>
  <c r="CD60" i="40"/>
  <c r="CC60" i="40"/>
  <c r="CB60" i="40"/>
  <c r="CA60" i="40"/>
  <c r="BZ60" i="40"/>
  <c r="BY60" i="40"/>
  <c r="BQ59" i="40"/>
  <c r="BX59" i="40"/>
  <c r="BV59" i="40"/>
  <c r="BU59" i="40"/>
  <c r="BS59" i="40"/>
  <c r="BP59" i="40"/>
  <c r="BR59" i="40"/>
  <c r="BW58" i="40"/>
  <c r="BV58" i="40"/>
  <c r="BR58" i="40"/>
  <c r="BQ58" i="40"/>
  <c r="BX58" i="40"/>
  <c r="BU58" i="40"/>
  <c r="BP58" i="40"/>
  <c r="BN58" i="40"/>
  <c r="BX57" i="40"/>
  <c r="BU57" i="40"/>
  <c r="BR57" i="40"/>
  <c r="BQ57" i="40"/>
  <c r="BV57" i="40"/>
  <c r="BW57" i="40"/>
  <c r="BP57" i="40"/>
  <c r="BU56" i="40"/>
  <c r="BX56" i="40"/>
  <c r="BQ56" i="40"/>
  <c r="BQ55" i="40"/>
  <c r="BP54" i="40"/>
  <c r="BW54" i="40"/>
  <c r="BU54" i="40"/>
  <c r="BQ54" i="40"/>
  <c r="CJ53" i="40"/>
  <c r="CI53" i="40"/>
  <c r="CH53" i="40"/>
  <c r="CG53" i="40"/>
  <c r="CF53" i="40"/>
  <c r="CE53" i="40"/>
  <c r="CD53" i="40"/>
  <c r="CC53" i="40"/>
  <c r="CB53" i="40"/>
  <c r="CA53" i="40"/>
  <c r="BZ53" i="40"/>
  <c r="BY53" i="40"/>
  <c r="BX52" i="40"/>
  <c r="BU52" i="40"/>
  <c r="BJ178" i="40"/>
  <c r="BI178" i="40"/>
  <c r="AX178" i="40"/>
  <c r="AM178" i="40"/>
  <c r="W178" i="40"/>
  <c r="CJ51" i="40"/>
  <c r="CI51" i="40"/>
  <c r="CH51" i="40"/>
  <c r="CG51" i="40"/>
  <c r="CF51" i="40"/>
  <c r="CE51" i="40"/>
  <c r="CD51" i="40"/>
  <c r="CC51" i="40"/>
  <c r="CB51" i="40"/>
  <c r="CA51" i="40"/>
  <c r="BZ51" i="40"/>
  <c r="BY51" i="40"/>
  <c r="BX50" i="40"/>
  <c r="BW50" i="40"/>
  <c r="BN50" i="40"/>
  <c r="BV50" i="40"/>
  <c r="BU50" i="40"/>
  <c r="BR50" i="40"/>
  <c r="BP50" i="40"/>
  <c r="BX49" i="40"/>
  <c r="BU49" i="40"/>
  <c r="BR49" i="40"/>
  <c r="BP49" i="40"/>
  <c r="BQ49" i="40"/>
  <c r="BO49" i="40"/>
  <c r="BX48" i="40"/>
  <c r="BW48" i="40"/>
  <c r="BU48" i="40"/>
  <c r="BP48" i="40"/>
  <c r="BR48" i="40"/>
  <c r="BQ48" i="40"/>
  <c r="BN48" i="40"/>
  <c r="BW47" i="40"/>
  <c r="BU47" i="40"/>
  <c r="BQ47" i="40"/>
  <c r="BN47" i="40"/>
  <c r="BV47" i="40"/>
  <c r="BX47" i="40"/>
  <c r="BS47" i="40"/>
  <c r="BR47" i="40"/>
  <c r="BP47" i="40"/>
  <c r="BO47" i="40"/>
  <c r="BX46" i="40"/>
  <c r="BU46" i="40"/>
  <c r="BR46" i="40"/>
  <c r="BQ46" i="40"/>
  <c r="BO46" i="40"/>
  <c r="BW45" i="40"/>
  <c r="BU45" i="40"/>
  <c r="CJ44" i="40"/>
  <c r="CI44" i="40"/>
  <c r="CH44" i="40"/>
  <c r="CG44" i="40"/>
  <c r="CF44" i="40"/>
  <c r="CE44" i="40"/>
  <c r="CD44" i="40"/>
  <c r="CC44" i="40"/>
  <c r="CB44" i="40"/>
  <c r="CA44" i="40"/>
  <c r="BZ44" i="40"/>
  <c r="BY44" i="40"/>
  <c r="BX43" i="40"/>
  <c r="BU43" i="40"/>
  <c r="BP43" i="40"/>
  <c r="BQ43" i="40"/>
  <c r="BO43" i="40"/>
  <c r="BX42" i="40"/>
  <c r="BW42" i="40"/>
  <c r="BU42" i="40"/>
  <c r="BP42" i="40"/>
  <c r="BR42" i="40"/>
  <c r="BQ42" i="40"/>
  <c r="BN42" i="40"/>
  <c r="BW41" i="40"/>
  <c r="BU41" i="40"/>
  <c r="BN41" i="40"/>
  <c r="BV41" i="40"/>
  <c r="BX41" i="40"/>
  <c r="BS41" i="40"/>
  <c r="BR41" i="40"/>
  <c r="BP41" i="40"/>
  <c r="BO41" i="40"/>
  <c r="BU40" i="40"/>
  <c r="BR40" i="40"/>
  <c r="BO40" i="40"/>
  <c r="BX40" i="40"/>
  <c r="BQ40" i="40"/>
  <c r="BW39" i="40"/>
  <c r="BR39" i="40"/>
  <c r="CJ38" i="40"/>
  <c r="CI38" i="40"/>
  <c r="CH38" i="40"/>
  <c r="CG38" i="40"/>
  <c r="CF38" i="40"/>
  <c r="CE38" i="40"/>
  <c r="CD38" i="40"/>
  <c r="CC38" i="40"/>
  <c r="CB38" i="40"/>
  <c r="CA38" i="40"/>
  <c r="BZ38" i="40"/>
  <c r="BY38" i="40"/>
  <c r="BX37" i="40"/>
  <c r="BR37" i="40"/>
  <c r="BU37" i="40"/>
  <c r="BP37" i="40"/>
  <c r="BQ37" i="40"/>
  <c r="BO37" i="40"/>
  <c r="BX36" i="40"/>
  <c r="BW36" i="40"/>
  <c r="BU36" i="40"/>
  <c r="BP36" i="40"/>
  <c r="BR36" i="40"/>
  <c r="BQ36" i="40"/>
  <c r="BW35" i="40"/>
  <c r="BU35" i="40"/>
  <c r="BV35" i="40"/>
  <c r="BX35" i="40"/>
  <c r="BR35" i="40"/>
  <c r="BQ35" i="40"/>
  <c r="BU34" i="40"/>
  <c r="BQ34" i="40"/>
  <c r="BX34" i="40"/>
  <c r="BW34" i="40"/>
  <c r="BR34" i="40"/>
  <c r="BV33" i="40"/>
  <c r="BQ33" i="40"/>
  <c r="BO33" i="40"/>
  <c r="AN172" i="40"/>
  <c r="AM172" i="40"/>
  <c r="CJ32" i="40"/>
  <c r="CI32" i="40"/>
  <c r="CH32" i="40"/>
  <c r="CG32" i="40"/>
  <c r="CF32" i="40"/>
  <c r="CE32" i="40"/>
  <c r="CD32" i="40"/>
  <c r="CC32" i="40"/>
  <c r="CB32" i="40"/>
  <c r="CA32" i="40"/>
  <c r="BZ32" i="40"/>
  <c r="BY32" i="40"/>
  <c r="BX31" i="40"/>
  <c r="BU31" i="40"/>
  <c r="BR31" i="40"/>
  <c r="BV31" i="40"/>
  <c r="BQ31" i="40"/>
  <c r="BX30" i="40"/>
  <c r="BR30" i="40"/>
  <c r="W177" i="40"/>
  <c r="BQ29" i="40"/>
  <c r="BN29" i="40"/>
  <c r="BV29" i="40"/>
  <c r="BX29" i="40"/>
  <c r="BW29" i="40"/>
  <c r="BU29" i="40"/>
  <c r="BP29" i="40"/>
  <c r="BR29" i="40"/>
  <c r="BU28" i="40"/>
  <c r="BU174" i="40" s="1"/>
  <c r="BR28" i="40"/>
  <c r="BR174" i="40" s="1"/>
  <c r="BO28" i="40"/>
  <c r="BO174" i="40" s="1"/>
  <c r="BJ174" i="40"/>
  <c r="BI174" i="40"/>
  <c r="AX174" i="40"/>
  <c r="AQ174" i="40"/>
  <c r="AN174" i="40"/>
  <c r="BQ28" i="40"/>
  <c r="BQ174" i="40" s="1"/>
  <c r="AF174" i="40"/>
  <c r="AE174" i="40"/>
  <c r="W174" i="40"/>
  <c r="V174" i="40"/>
  <c r="BU27" i="40"/>
  <c r="BR27" i="40"/>
  <c r="BV27" i="40"/>
  <c r="BW27" i="40"/>
  <c r="BQ27" i="40"/>
  <c r="BW26" i="40"/>
  <c r="BV26" i="40"/>
  <c r="AN171" i="40"/>
  <c r="BQ26" i="40"/>
  <c r="CJ25" i="40"/>
  <c r="CI25" i="40"/>
  <c r="CH25" i="40"/>
  <c r="CG25" i="40"/>
  <c r="CF25" i="40"/>
  <c r="CE25" i="40"/>
  <c r="CD25" i="40"/>
  <c r="CC25" i="40"/>
  <c r="CB25" i="40"/>
  <c r="CA25" i="40"/>
  <c r="BZ25" i="40"/>
  <c r="BY25" i="40"/>
  <c r="BP24" i="40"/>
  <c r="BX24" i="40"/>
  <c r="BI179" i="40"/>
  <c r="AO179" i="40"/>
  <c r="AN179" i="40"/>
  <c r="AM179" i="40"/>
  <c r="AE179" i="40"/>
  <c r="W179" i="40"/>
  <c r="V179" i="40"/>
  <c r="CJ23" i="40"/>
  <c r="CI23" i="40"/>
  <c r="CH23" i="40"/>
  <c r="CG23" i="40"/>
  <c r="CF23" i="40"/>
  <c r="CE23" i="40"/>
  <c r="CD23" i="40"/>
  <c r="CC23" i="40"/>
  <c r="CB23" i="40"/>
  <c r="CA23" i="40"/>
  <c r="BZ23" i="40"/>
  <c r="BY23" i="40"/>
  <c r="BX22" i="40"/>
  <c r="BU22" i="40"/>
  <c r="BW22" i="40"/>
  <c r="BR22" i="40"/>
  <c r="BQ22" i="40"/>
  <c r="BO22" i="40"/>
  <c r="BW21" i="40"/>
  <c r="BX21" i="40"/>
  <c r="BU21" i="40"/>
  <c r="BP21" i="40"/>
  <c r="BR21" i="40"/>
  <c r="BQ21" i="40"/>
  <c r="BX20" i="40"/>
  <c r="BW20" i="40"/>
  <c r="BV20" i="40"/>
  <c r="BR20" i="40"/>
  <c r="BN20" i="40"/>
  <c r="CJ19" i="40"/>
  <c r="CI19" i="40"/>
  <c r="CH19" i="40"/>
  <c r="CG19" i="40"/>
  <c r="CF19" i="40"/>
  <c r="CE19" i="40"/>
  <c r="CD19" i="40"/>
  <c r="CC19" i="40"/>
  <c r="CB19" i="40"/>
  <c r="CA19" i="40"/>
  <c r="BZ19" i="40"/>
  <c r="BY19" i="40"/>
  <c r="BP18" i="40"/>
  <c r="BX18" i="40"/>
  <c r="BW18" i="40"/>
  <c r="BU18" i="40"/>
  <c r="BR18" i="40"/>
  <c r="BQ18" i="40"/>
  <c r="BN18" i="40"/>
  <c r="BW17" i="40"/>
  <c r="BU17" i="40"/>
  <c r="BV17" i="40"/>
  <c r="BX17" i="40"/>
  <c r="BR17" i="40"/>
  <c r="BQ17" i="40"/>
  <c r="BO17" i="40"/>
  <c r="BX16" i="40"/>
  <c r="BU16" i="40"/>
  <c r="BW16" i="40"/>
  <c r="BQ16" i="40"/>
  <c r="BO16" i="40"/>
  <c r="CJ15" i="40"/>
  <c r="CI15" i="40"/>
  <c r="CH15" i="40"/>
  <c r="CG15" i="40"/>
  <c r="CF15" i="40"/>
  <c r="CE15" i="40"/>
  <c r="CD15" i="40"/>
  <c r="CC15" i="40"/>
  <c r="CB15" i="40"/>
  <c r="CA15" i="40"/>
  <c r="BZ15" i="40"/>
  <c r="BY15" i="40"/>
  <c r="BX14" i="40"/>
  <c r="BW14" i="40"/>
  <c r="BV14" i="40"/>
  <c r="BU14" i="40"/>
  <c r="AM176" i="40"/>
  <c r="BN14" i="40"/>
  <c r="BX13" i="40"/>
  <c r="BU13" i="40"/>
  <c r="BW13" i="40"/>
  <c r="BQ13" i="40"/>
  <c r="BP12" i="40"/>
  <c r="CJ137" i="39"/>
  <c r="CI137" i="39"/>
  <c r="CH137" i="39"/>
  <c r="CG137" i="39"/>
  <c r="CF137" i="39"/>
  <c r="CE137" i="39"/>
  <c r="CD137" i="39"/>
  <c r="CC137" i="39"/>
  <c r="CB137" i="39"/>
  <c r="CA137" i="39"/>
  <c r="BZ137" i="39"/>
  <c r="BY137" i="39"/>
  <c r="BH137" i="39"/>
  <c r="BG137" i="39"/>
  <c r="BF137" i="39"/>
  <c r="BE137" i="39"/>
  <c r="BD137" i="39"/>
  <c r="BC137" i="39"/>
  <c r="BB137" i="39"/>
  <c r="BA137" i="39"/>
  <c r="AZ137" i="39"/>
  <c r="AW137" i="39"/>
  <c r="AV137" i="39"/>
  <c r="AU137" i="39"/>
  <c r="AL137" i="39"/>
  <c r="AK137" i="39"/>
  <c r="AJ137" i="39"/>
  <c r="AI137" i="39"/>
  <c r="AH137" i="39"/>
  <c r="AD137" i="39"/>
  <c r="AC137" i="39"/>
  <c r="AB137" i="39"/>
  <c r="AA137" i="39"/>
  <c r="Z137" i="39"/>
  <c r="Y137" i="39"/>
  <c r="X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CJ136" i="39"/>
  <c r="CI136" i="39"/>
  <c r="CH136" i="39"/>
  <c r="CG136" i="39"/>
  <c r="CF136" i="39"/>
  <c r="CE136" i="39"/>
  <c r="CD136" i="39"/>
  <c r="CC136" i="39"/>
  <c r="CB136" i="39"/>
  <c r="CA136" i="39"/>
  <c r="BZ136" i="39"/>
  <c r="BY136" i="39"/>
  <c r="BH136" i="39"/>
  <c r="BG136" i="39"/>
  <c r="BF136" i="39"/>
  <c r="BE136" i="39"/>
  <c r="BD136" i="39"/>
  <c r="BC136" i="39"/>
  <c r="BB136" i="39"/>
  <c r="BA136" i="39"/>
  <c r="AZ136" i="39"/>
  <c r="AW136" i="39"/>
  <c r="AV136" i="39"/>
  <c r="AU136" i="39"/>
  <c r="AL136" i="39"/>
  <c r="AK136" i="39"/>
  <c r="AJ136" i="39"/>
  <c r="AI136" i="39"/>
  <c r="AH136" i="39"/>
  <c r="AD136" i="39"/>
  <c r="AC136" i="39"/>
  <c r="AB136" i="39"/>
  <c r="AA136" i="39"/>
  <c r="Z136" i="39"/>
  <c r="Y136" i="39"/>
  <c r="X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CJ135" i="39"/>
  <c r="CI135" i="39"/>
  <c r="CH135" i="39"/>
  <c r="CG135" i="39"/>
  <c r="CF135" i="39"/>
  <c r="CE135" i="39"/>
  <c r="CD135" i="39"/>
  <c r="CC135" i="39"/>
  <c r="CB135" i="39"/>
  <c r="CA135" i="39"/>
  <c r="BZ135" i="39"/>
  <c r="BY135" i="39"/>
  <c r="BH135" i="39"/>
  <c r="BG135" i="39"/>
  <c r="BF135" i="39"/>
  <c r="BE135" i="39"/>
  <c r="BD135" i="39"/>
  <c r="BC135" i="39"/>
  <c r="BB135" i="39"/>
  <c r="BA135" i="39"/>
  <c r="AZ135" i="39"/>
  <c r="AW135" i="39"/>
  <c r="AV135" i="39"/>
  <c r="AU135" i="39"/>
  <c r="AL135" i="39"/>
  <c r="AK135" i="39"/>
  <c r="AJ135" i="39"/>
  <c r="AI135" i="39"/>
  <c r="AH135" i="39"/>
  <c r="AD135" i="39"/>
  <c r="AC135" i="39"/>
  <c r="AB135" i="39"/>
  <c r="AA135" i="39"/>
  <c r="Z135" i="39"/>
  <c r="Y135" i="39"/>
  <c r="X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CJ134" i="39"/>
  <c r="CI134" i="39"/>
  <c r="CH134" i="39"/>
  <c r="CG134" i="39"/>
  <c r="CF134" i="39"/>
  <c r="CE134" i="39"/>
  <c r="CD134" i="39"/>
  <c r="CC134" i="39"/>
  <c r="CB134" i="39"/>
  <c r="CA134" i="39"/>
  <c r="BZ134" i="39"/>
  <c r="BY134" i="39"/>
  <c r="BH134" i="39"/>
  <c r="BG134" i="39"/>
  <c r="BF134" i="39"/>
  <c r="BE134" i="39"/>
  <c r="BD134" i="39"/>
  <c r="BC134" i="39"/>
  <c r="BB134" i="39"/>
  <c r="BA134" i="39"/>
  <c r="AZ134" i="39"/>
  <c r="AW134" i="39"/>
  <c r="AV134" i="39"/>
  <c r="AU134" i="39"/>
  <c r="AL134" i="39"/>
  <c r="AK134" i="39"/>
  <c r="AJ134" i="39"/>
  <c r="AI134" i="39"/>
  <c r="AH134" i="39"/>
  <c r="AD134" i="39"/>
  <c r="AC134" i="39"/>
  <c r="AB134" i="39"/>
  <c r="AA134" i="39"/>
  <c r="Z134" i="39"/>
  <c r="Y134" i="39"/>
  <c r="X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CJ133" i="39"/>
  <c r="CI133" i="39"/>
  <c r="CH133" i="39"/>
  <c r="CG133" i="39"/>
  <c r="CF133" i="39"/>
  <c r="CE133" i="39"/>
  <c r="CD133" i="39"/>
  <c r="CC133" i="39"/>
  <c r="CB133" i="39"/>
  <c r="CA133" i="39"/>
  <c r="BZ133" i="39"/>
  <c r="BY133" i="39"/>
  <c r="BX133" i="39"/>
  <c r="BW133" i="39"/>
  <c r="BV133" i="39"/>
  <c r="BU133" i="39"/>
  <c r="BT133" i="39"/>
  <c r="BS133" i="39"/>
  <c r="BR133" i="39"/>
  <c r="BQ133" i="39"/>
  <c r="BP133" i="39"/>
  <c r="BO133" i="39"/>
  <c r="BN133" i="39"/>
  <c r="BM133" i="39"/>
  <c r="BL133" i="39"/>
  <c r="BK133" i="39"/>
  <c r="BJ133" i="39"/>
  <c r="BI133" i="39"/>
  <c r="BH133" i="39"/>
  <c r="BG133" i="39"/>
  <c r="BF133" i="39"/>
  <c r="BE133" i="39"/>
  <c r="BD133" i="39"/>
  <c r="BC133" i="39"/>
  <c r="BB133" i="39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CJ132" i="39"/>
  <c r="CI132" i="39"/>
  <c r="CH132" i="39"/>
  <c r="CG132" i="39"/>
  <c r="CF132" i="39"/>
  <c r="CF127" i="39" s="1"/>
  <c r="CE132" i="39"/>
  <c r="CD132" i="39"/>
  <c r="CC132" i="39"/>
  <c r="CB132" i="39"/>
  <c r="CA132" i="39"/>
  <c r="BZ132" i="39"/>
  <c r="BY132" i="39"/>
  <c r="BX132" i="39"/>
  <c r="BW132" i="39"/>
  <c r="BV132" i="39"/>
  <c r="BU132" i="39"/>
  <c r="BT132" i="39"/>
  <c r="BS132" i="39"/>
  <c r="BR132" i="39"/>
  <c r="BQ132" i="39"/>
  <c r="BP132" i="39"/>
  <c r="BO132" i="39"/>
  <c r="BN132" i="39"/>
  <c r="BM132" i="39"/>
  <c r="BL132" i="39"/>
  <c r="BK132" i="39"/>
  <c r="BJ132" i="39"/>
  <c r="BI132" i="39"/>
  <c r="BH132" i="39"/>
  <c r="BG132" i="39"/>
  <c r="BF132" i="39"/>
  <c r="BE132" i="39"/>
  <c r="BD132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CJ131" i="39"/>
  <c r="CI131" i="39"/>
  <c r="CH131" i="39"/>
  <c r="CG131" i="39"/>
  <c r="CF131" i="39"/>
  <c r="CE131" i="39"/>
  <c r="CD131" i="39"/>
  <c r="CC131" i="39"/>
  <c r="CB131" i="39"/>
  <c r="CA131" i="39"/>
  <c r="BZ131" i="39"/>
  <c r="BY131" i="39"/>
  <c r="BH131" i="39"/>
  <c r="BG131" i="39"/>
  <c r="BF131" i="39"/>
  <c r="BE131" i="39"/>
  <c r="BD131" i="39"/>
  <c r="BC131" i="39"/>
  <c r="BB131" i="39"/>
  <c r="BA131" i="39"/>
  <c r="AZ131" i="39"/>
  <c r="AW131" i="39"/>
  <c r="AV131" i="39"/>
  <c r="AU131" i="39"/>
  <c r="AL131" i="39"/>
  <c r="AK131" i="39"/>
  <c r="AJ131" i="39"/>
  <c r="AI131" i="39"/>
  <c r="AH131" i="39"/>
  <c r="AD131" i="39"/>
  <c r="AC131" i="39"/>
  <c r="AB131" i="39"/>
  <c r="AA131" i="39"/>
  <c r="Z131" i="39"/>
  <c r="Y131" i="39"/>
  <c r="X131" i="39"/>
  <c r="U131" i="39"/>
  <c r="T131" i="39"/>
  <c r="S131" i="39"/>
  <c r="S127" i="39" s="1"/>
  <c r="R131" i="39"/>
  <c r="Q131" i="39"/>
  <c r="P131" i="39"/>
  <c r="O131" i="39"/>
  <c r="N131" i="39"/>
  <c r="M131" i="39"/>
  <c r="L131" i="39"/>
  <c r="K131" i="39"/>
  <c r="J131" i="39"/>
  <c r="I131" i="39"/>
  <c r="CJ130" i="39"/>
  <c r="CI130" i="39"/>
  <c r="CI127" i="39" s="1"/>
  <c r="CH130" i="39"/>
  <c r="CG130" i="39"/>
  <c r="CF130" i="39"/>
  <c r="CE130" i="39"/>
  <c r="CD130" i="39"/>
  <c r="CC130" i="39"/>
  <c r="CB130" i="39"/>
  <c r="CA130" i="39"/>
  <c r="BZ130" i="39"/>
  <c r="BY130" i="39"/>
  <c r="BH130" i="39"/>
  <c r="BG130" i="39"/>
  <c r="BF130" i="39"/>
  <c r="BE130" i="39"/>
  <c r="BD130" i="39"/>
  <c r="BC130" i="39"/>
  <c r="BB130" i="39"/>
  <c r="BA130" i="39"/>
  <c r="AZ130" i="39"/>
  <c r="AW130" i="39"/>
  <c r="AV130" i="39"/>
  <c r="AU130" i="39"/>
  <c r="AL130" i="39"/>
  <c r="AK130" i="39"/>
  <c r="AJ130" i="39"/>
  <c r="AI130" i="39"/>
  <c r="AH130" i="39"/>
  <c r="AD130" i="39"/>
  <c r="AC130" i="39"/>
  <c r="AB130" i="39"/>
  <c r="AA130" i="39"/>
  <c r="Z130" i="39"/>
  <c r="Y130" i="39"/>
  <c r="X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CJ129" i="39"/>
  <c r="CI129" i="39"/>
  <c r="CH129" i="39"/>
  <c r="CG129" i="39"/>
  <c r="CF129" i="39"/>
  <c r="CE129" i="39"/>
  <c r="CD129" i="39"/>
  <c r="CC129" i="39"/>
  <c r="CB129" i="39"/>
  <c r="CA129" i="39"/>
  <c r="BZ129" i="39"/>
  <c r="BY129" i="39"/>
  <c r="BH129" i="39"/>
  <c r="BG129" i="39"/>
  <c r="BF129" i="39"/>
  <c r="BE129" i="39"/>
  <c r="BD129" i="39"/>
  <c r="BC129" i="39"/>
  <c r="BB129" i="39"/>
  <c r="BA129" i="39"/>
  <c r="AZ129" i="39"/>
  <c r="AW129" i="39"/>
  <c r="AV129" i="39"/>
  <c r="AU129" i="39"/>
  <c r="AL129" i="39"/>
  <c r="AK129" i="39"/>
  <c r="AJ129" i="39"/>
  <c r="AI129" i="39"/>
  <c r="AH129" i="39"/>
  <c r="AD129" i="39"/>
  <c r="AC129" i="39"/>
  <c r="AB129" i="39"/>
  <c r="AA129" i="39"/>
  <c r="Z129" i="39"/>
  <c r="Y129" i="39"/>
  <c r="X129" i="39"/>
  <c r="U129" i="39"/>
  <c r="U127" i="39" s="1"/>
  <c r="T129" i="39"/>
  <c r="S129" i="39"/>
  <c r="R129" i="39"/>
  <c r="Q129" i="39"/>
  <c r="P129" i="39"/>
  <c r="O129" i="39"/>
  <c r="O127" i="39" s="1"/>
  <c r="N129" i="39"/>
  <c r="M129" i="39"/>
  <c r="L129" i="39"/>
  <c r="K129" i="39"/>
  <c r="J129" i="39"/>
  <c r="I129" i="39"/>
  <c r="I127" i="39" s="1"/>
  <c r="CJ128" i="39"/>
  <c r="CI128" i="39"/>
  <c r="CH128" i="39"/>
  <c r="CG128" i="39"/>
  <c r="CG127" i="39" s="1"/>
  <c r="CF128" i="39"/>
  <c r="CE128" i="39"/>
  <c r="CE127" i="39" s="1"/>
  <c r="CD128" i="39"/>
  <c r="CC128" i="39"/>
  <c r="CB128" i="39"/>
  <c r="CA128" i="39"/>
  <c r="CA127" i="39" s="1"/>
  <c r="BZ128" i="39"/>
  <c r="BY128" i="39"/>
  <c r="BY127" i="39" s="1"/>
  <c r="BH128" i="39"/>
  <c r="BG128" i="39"/>
  <c r="BF128" i="39"/>
  <c r="BE128" i="39"/>
  <c r="BD128" i="39"/>
  <c r="BC128" i="39"/>
  <c r="BB128" i="39"/>
  <c r="BA128" i="39"/>
  <c r="AZ128" i="39"/>
  <c r="AW128" i="39"/>
  <c r="AV128" i="39"/>
  <c r="AU128" i="39"/>
  <c r="AL128" i="39"/>
  <c r="AK128" i="39"/>
  <c r="AJ128" i="39"/>
  <c r="AI128" i="39"/>
  <c r="AH128" i="39"/>
  <c r="AD128" i="39"/>
  <c r="AC128" i="39"/>
  <c r="AB128" i="39"/>
  <c r="AA128" i="39"/>
  <c r="Z128" i="39"/>
  <c r="Y128" i="39"/>
  <c r="X128" i="39"/>
  <c r="U128" i="39"/>
  <c r="T128" i="39"/>
  <c r="S128" i="39"/>
  <c r="R128" i="39"/>
  <c r="Q128" i="39"/>
  <c r="P128" i="39"/>
  <c r="P127" i="39" s="1"/>
  <c r="O128" i="39"/>
  <c r="N128" i="39"/>
  <c r="M128" i="39"/>
  <c r="L128" i="39"/>
  <c r="K128" i="39"/>
  <c r="J128" i="39"/>
  <c r="J127" i="39" s="1"/>
  <c r="I128" i="39"/>
  <c r="CC127" i="39"/>
  <c r="U124" i="39"/>
  <c r="N19" i="47" s="1"/>
  <c r="T124" i="39"/>
  <c r="M19" i="47" s="1"/>
  <c r="S124" i="39"/>
  <c r="L19" i="47" s="1"/>
  <c r="R124" i="39"/>
  <c r="K19" i="47" s="1"/>
  <c r="Q124" i="39"/>
  <c r="P124" i="39"/>
  <c r="I19" i="47" s="1"/>
  <c r="O124" i="39"/>
  <c r="H19" i="47" s="1"/>
  <c r="N124" i="39"/>
  <c r="M124" i="39"/>
  <c r="F19" i="47" s="1"/>
  <c r="L124" i="39"/>
  <c r="E19" i="47" s="1"/>
  <c r="K124" i="39"/>
  <c r="D19" i="47" s="1"/>
  <c r="J124" i="39"/>
  <c r="C19" i="47" s="1"/>
  <c r="I124" i="39"/>
  <c r="B19" i="47" s="1"/>
  <c r="CJ123" i="39"/>
  <c r="CI123" i="39"/>
  <c r="CH123" i="39"/>
  <c r="CG123" i="39"/>
  <c r="CF123" i="39"/>
  <c r="CE123" i="39"/>
  <c r="CD123" i="39"/>
  <c r="CC123" i="39"/>
  <c r="CB123" i="39"/>
  <c r="CA123" i="39"/>
  <c r="BZ123" i="39"/>
  <c r="BY123" i="39"/>
  <c r="BX122" i="39"/>
  <c r="BW122" i="39"/>
  <c r="BU122" i="39"/>
  <c r="BP122" i="39"/>
  <c r="BR122" i="39"/>
  <c r="BQ122" i="39"/>
  <c r="BU121" i="39"/>
  <c r="BO121" i="39"/>
  <c r="BX121" i="39"/>
  <c r="BR121" i="39"/>
  <c r="BP121" i="39"/>
  <c r="BN121" i="39"/>
  <c r="BU120" i="39"/>
  <c r="BO120" i="39"/>
  <c r="BW120" i="39"/>
  <c r="BR120" i="39"/>
  <c r="BX119" i="39"/>
  <c r="BR119" i="39"/>
  <c r="BQ119" i="39"/>
  <c r="BO119" i="39"/>
  <c r="BP119" i="39"/>
  <c r="CJ118" i="39"/>
  <c r="CI118" i="39"/>
  <c r="CH118" i="39"/>
  <c r="CG118" i="39"/>
  <c r="CF118" i="39"/>
  <c r="CE118" i="39"/>
  <c r="CD118" i="39"/>
  <c r="CC118" i="39"/>
  <c r="CB118" i="39"/>
  <c r="CA118" i="39"/>
  <c r="BZ118" i="39"/>
  <c r="BY118" i="39"/>
  <c r="BX117" i="39"/>
  <c r="BU117" i="39"/>
  <c r="BQ117" i="39"/>
  <c r="BV117" i="39"/>
  <c r="BR117" i="39"/>
  <c r="BX116" i="39"/>
  <c r="BW116" i="39"/>
  <c r="BR116" i="39"/>
  <c r="BX115" i="39"/>
  <c r="BW115" i="39"/>
  <c r="BQ115" i="39"/>
  <c r="BN115" i="39"/>
  <c r="BV115" i="39"/>
  <c r="BU115" i="39"/>
  <c r="CJ114" i="39"/>
  <c r="CI114" i="39"/>
  <c r="CH114" i="39"/>
  <c r="CG114" i="39"/>
  <c r="CF114" i="39"/>
  <c r="CE114" i="39"/>
  <c r="CD114" i="39"/>
  <c r="CC114" i="39"/>
  <c r="CB114" i="39"/>
  <c r="CA114" i="39"/>
  <c r="BZ114" i="39"/>
  <c r="BY114" i="39"/>
  <c r="BU113" i="39"/>
  <c r="BN113" i="39"/>
  <c r="BX113" i="39"/>
  <c r="BP113" i="39"/>
  <c r="BR113" i="39"/>
  <c r="BQ113" i="39"/>
  <c r="BU112" i="39"/>
  <c r="BQ112" i="39"/>
  <c r="BP112" i="39"/>
  <c r="BN112" i="39"/>
  <c r="BX112" i="39"/>
  <c r="BR112" i="39"/>
  <c r="BW111" i="39"/>
  <c r="BU111" i="39"/>
  <c r="BR111" i="39"/>
  <c r="BQ111" i="39"/>
  <c r="BX111" i="39"/>
  <c r="BO111" i="39"/>
  <c r="BX110" i="39"/>
  <c r="BW110" i="39"/>
  <c r="BQ110" i="39"/>
  <c r="BV110" i="39"/>
  <c r="BU110" i="39"/>
  <c r="BR110" i="39"/>
  <c r="BX109" i="39"/>
  <c r="BW109" i="39"/>
  <c r="BR109" i="39"/>
  <c r="BQ109" i="39"/>
  <c r="BV109" i="39"/>
  <c r="BU109" i="39"/>
  <c r="BP109" i="39"/>
  <c r="BX108" i="39"/>
  <c r="BO108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W106" i="39"/>
  <c r="BQ106" i="39"/>
  <c r="BN106" i="39"/>
  <c r="BX106" i="39"/>
  <c r="BV106" i="39"/>
  <c r="BU106" i="39"/>
  <c r="BR106" i="39"/>
  <c r="BP106" i="39"/>
  <c r="BU105" i="39"/>
  <c r="BR105" i="39"/>
  <c r="BQ105" i="39"/>
  <c r="BO105" i="39"/>
  <c r="BV105" i="39"/>
  <c r="BX105" i="39"/>
  <c r="BW105" i="39"/>
  <c r="BN105" i="39"/>
  <c r="BR104" i="39"/>
  <c r="BV104" i="39"/>
  <c r="BX104" i="39"/>
  <c r="BW104" i="39"/>
  <c r="BU104" i="39"/>
  <c r="BP104" i="39"/>
  <c r="BQ104" i="39"/>
  <c r="BW103" i="39"/>
  <c r="BV103" i="39"/>
  <c r="BQ103" i="39"/>
  <c r="BX103" i="39"/>
  <c r="BU103" i="39"/>
  <c r="BP103" i="39"/>
  <c r="BR103" i="39"/>
  <c r="BX102" i="39"/>
  <c r="BU102" i="39"/>
  <c r="BQ102" i="39"/>
  <c r="BW101" i="39"/>
  <c r="BN101" i="39"/>
  <c r="CJ100" i="39"/>
  <c r="CI100" i="39"/>
  <c r="CH100" i="39"/>
  <c r="CG100" i="39"/>
  <c r="CF100" i="39"/>
  <c r="CE100" i="39"/>
  <c r="CD100" i="39"/>
  <c r="CC100" i="39"/>
  <c r="CB100" i="39"/>
  <c r="CA100" i="39"/>
  <c r="BZ100" i="39"/>
  <c r="BY100" i="39"/>
  <c r="BR99" i="39"/>
  <c r="BX99" i="39"/>
  <c r="BU99" i="39"/>
  <c r="BP99" i="39"/>
  <c r="BQ99" i="39"/>
  <c r="BW98" i="39"/>
  <c r="BN98" i="39"/>
  <c r="BU98" i="39"/>
  <c r="BR98" i="39"/>
  <c r="BX97" i="39"/>
  <c r="BW97" i="39"/>
  <c r="BU97" i="39"/>
  <c r="BR97" i="39"/>
  <c r="BO97" i="39"/>
  <c r="BV97" i="39"/>
  <c r="BX96" i="39"/>
  <c r="BU96" i="39"/>
  <c r="BQ96" i="39"/>
  <c r="BW95" i="39"/>
  <c r="BX95" i="39"/>
  <c r="BU95" i="39"/>
  <c r="BR95" i="39"/>
  <c r="BX94" i="39"/>
  <c r="BW94" i="39"/>
  <c r="BU94" i="39"/>
  <c r="BR94" i="39"/>
  <c r="BO94" i="39"/>
  <c r="CJ93" i="39"/>
  <c r="CI93" i="39"/>
  <c r="CH93" i="39"/>
  <c r="CG93" i="39"/>
  <c r="CF93" i="39"/>
  <c r="CE93" i="39"/>
  <c r="CD93" i="39"/>
  <c r="CC93" i="39"/>
  <c r="CB93" i="39"/>
  <c r="CA93" i="39"/>
  <c r="BZ93" i="39"/>
  <c r="BY93" i="39"/>
  <c r="BW92" i="39"/>
  <c r="BV92" i="39"/>
  <c r="BQ92" i="39"/>
  <c r="BN92" i="39"/>
  <c r="BX92" i="39"/>
  <c r="BU92" i="39"/>
  <c r="BP92" i="39"/>
  <c r="BR92" i="39"/>
  <c r="BM92" i="39"/>
  <c r="BX91" i="39"/>
  <c r="BU91" i="39"/>
  <c r="BN91" i="39"/>
  <c r="BV91" i="39"/>
  <c r="BR91" i="39"/>
  <c r="BP91" i="39"/>
  <c r="BU90" i="39"/>
  <c r="BP90" i="39"/>
  <c r="BX90" i="39"/>
  <c r="BR90" i="39"/>
  <c r="BQ90" i="39"/>
  <c r="BW89" i="39"/>
  <c r="BQ89" i="39"/>
  <c r="BU89" i="39"/>
  <c r="BP89" i="39"/>
  <c r="BR89" i="39"/>
  <c r="BN89" i="39"/>
  <c r="BX88" i="39"/>
  <c r="BU88" i="39"/>
  <c r="BR88" i="39"/>
  <c r="BQ88" i="39"/>
  <c r="BX87" i="39"/>
  <c r="CJ86" i="39"/>
  <c r="CI86" i="39"/>
  <c r="CH86" i="39"/>
  <c r="CG86" i="39"/>
  <c r="CF86" i="39"/>
  <c r="CE86" i="39"/>
  <c r="CD86" i="39"/>
  <c r="CC86" i="39"/>
  <c r="CB86" i="39"/>
  <c r="CA86" i="39"/>
  <c r="BZ86" i="39"/>
  <c r="BY86" i="39"/>
  <c r="BX85" i="39"/>
  <c r="BU85" i="39"/>
  <c r="BQ85" i="39"/>
  <c r="BR85" i="39"/>
  <c r="BO85" i="39"/>
  <c r="BX84" i="39"/>
  <c r="BU84" i="39"/>
  <c r="BO84" i="39"/>
  <c r="BQ84" i="39"/>
  <c r="BW83" i="39"/>
  <c r="BV83" i="39"/>
  <c r="BQ83" i="39"/>
  <c r="BN83" i="39"/>
  <c r="BX83" i="39"/>
  <c r="BU83" i="39"/>
  <c r="BP83" i="39"/>
  <c r="BR83" i="39"/>
  <c r="BX82" i="39"/>
  <c r="BU82" i="39"/>
  <c r="BQ82" i="39"/>
  <c r="BV82" i="39"/>
  <c r="BW82" i="39"/>
  <c r="BR82" i="39"/>
  <c r="BO82" i="39"/>
  <c r="BN82" i="39"/>
  <c r="BX81" i="39"/>
  <c r="BU81" i="39"/>
  <c r="BW81" i="39"/>
  <c r="BR81" i="39"/>
  <c r="BQ81" i="39"/>
  <c r="BX80" i="39"/>
  <c r="BW80" i="39"/>
  <c r="BQ80" i="39"/>
  <c r="CJ79" i="39"/>
  <c r="CI79" i="39"/>
  <c r="CH79" i="39"/>
  <c r="CG79" i="39"/>
  <c r="CF79" i="39"/>
  <c r="CE79" i="39"/>
  <c r="CD79" i="39"/>
  <c r="CC79" i="39"/>
  <c r="CB79" i="39"/>
  <c r="CA79" i="39"/>
  <c r="BZ79" i="39"/>
  <c r="BY79" i="39"/>
  <c r="BW78" i="39"/>
  <c r="BV78" i="39"/>
  <c r="BX78" i="39"/>
  <c r="BU78" i="39"/>
  <c r="BR78" i="39"/>
  <c r="BN78" i="39"/>
  <c r="BU77" i="39"/>
  <c r="BQ77" i="39"/>
  <c r="BX77" i="39"/>
  <c r="BW77" i="39"/>
  <c r="BR77" i="39"/>
  <c r="BW76" i="39"/>
  <c r="BU76" i="39"/>
  <c r="BO76" i="39"/>
  <c r="BV76" i="39"/>
  <c r="BX76" i="39"/>
  <c r="BQ76" i="39"/>
  <c r="BX75" i="39"/>
  <c r="BW75" i="39"/>
  <c r="BQ75" i="39"/>
  <c r="BV75" i="39"/>
  <c r="BR75" i="39"/>
  <c r="BN75" i="39"/>
  <c r="BX74" i="39"/>
  <c r="BU74" i="39"/>
  <c r="BQ74" i="39"/>
  <c r="BP74" i="39"/>
  <c r="BX73" i="39"/>
  <c r="BR73" i="39"/>
  <c r="BU73" i="39"/>
  <c r="BP73" i="39"/>
  <c r="BN73" i="39"/>
  <c r="CJ72" i="39"/>
  <c r="CI72" i="39"/>
  <c r="CH72" i="39"/>
  <c r="CG72" i="39"/>
  <c r="CF72" i="39"/>
  <c r="CE72" i="39"/>
  <c r="CD72" i="39"/>
  <c r="CC72" i="39"/>
  <c r="CB72" i="39"/>
  <c r="CA72" i="39"/>
  <c r="BZ72" i="39"/>
  <c r="BY72" i="39"/>
  <c r="BX71" i="39"/>
  <c r="BU71" i="39"/>
  <c r="BQ71" i="39"/>
  <c r="BO71" i="39"/>
  <c r="BR71" i="39"/>
  <c r="BW70" i="39"/>
  <c r="BV70" i="39"/>
  <c r="BR70" i="39"/>
  <c r="BO70" i="39"/>
  <c r="BX70" i="39"/>
  <c r="BU70" i="39"/>
  <c r="BP70" i="39"/>
  <c r="BQ70" i="39"/>
  <c r="BX69" i="39"/>
  <c r="BW69" i="39"/>
  <c r="BV69" i="39"/>
  <c r="BQ69" i="39"/>
  <c r="BU69" i="39"/>
  <c r="BP69" i="39"/>
  <c r="BR69" i="39"/>
  <c r="BX68" i="39"/>
  <c r="BQ68" i="39"/>
  <c r="BV68" i="39"/>
  <c r="BW68" i="39"/>
  <c r="BU68" i="39"/>
  <c r="BP68" i="39"/>
  <c r="BR68" i="39"/>
  <c r="BX67" i="39"/>
  <c r="BU67" i="39"/>
  <c r="BQ67" i="39"/>
  <c r="BO67" i="39"/>
  <c r="BW66" i="39"/>
  <c r="BU66" i="39"/>
  <c r="BQ66" i="39"/>
  <c r="BN66" i="39"/>
  <c r="BP66" i="39"/>
  <c r="BO66" i="39"/>
  <c r="CJ65" i="39"/>
  <c r="CI65" i="39"/>
  <c r="CH65" i="39"/>
  <c r="CG65" i="39"/>
  <c r="CF65" i="39"/>
  <c r="CE65" i="39"/>
  <c r="CD65" i="39"/>
  <c r="CC65" i="39"/>
  <c r="CB65" i="39"/>
  <c r="CA65" i="39"/>
  <c r="BZ65" i="39"/>
  <c r="BY65" i="39"/>
  <c r="BU64" i="39"/>
  <c r="BQ64" i="39"/>
  <c r="BN64" i="39"/>
  <c r="BW64" i="39"/>
  <c r="BR64" i="39"/>
  <c r="BP64" i="39"/>
  <c r="BV63" i="39"/>
  <c r="BU63" i="39"/>
  <c r="BR63" i="39"/>
  <c r="BQ63" i="39"/>
  <c r="BO63" i="39"/>
  <c r="BX63" i="39"/>
  <c r="BW63" i="39"/>
  <c r="BS63" i="39"/>
  <c r="BN63" i="39"/>
  <c r="BU62" i="39"/>
  <c r="BO62" i="39"/>
  <c r="BX62" i="39"/>
  <c r="BV62" i="39"/>
  <c r="BP62" i="39"/>
  <c r="BR62" i="39"/>
  <c r="BQ62" i="39"/>
  <c r="BW61" i="39"/>
  <c r="BR61" i="39"/>
  <c r="BQ61" i="39"/>
  <c r="BV61" i="39"/>
  <c r="BX61" i="39"/>
  <c r="BU61" i="39"/>
  <c r="BP61" i="39"/>
  <c r="BX60" i="39"/>
  <c r="BU60" i="39"/>
  <c r="BR60" i="39"/>
  <c r="BV60" i="39"/>
  <c r="BW60" i="39"/>
  <c r="BP60" i="39"/>
  <c r="BQ60" i="39"/>
  <c r="BN59" i="39"/>
  <c r="BX59" i="39"/>
  <c r="CJ58" i="39"/>
  <c r="CI58" i="39"/>
  <c r="CH58" i="39"/>
  <c r="CG58" i="39"/>
  <c r="CF58" i="39"/>
  <c r="CE58" i="39"/>
  <c r="CD58" i="39"/>
  <c r="CC58" i="39"/>
  <c r="CB58" i="39"/>
  <c r="CA58" i="39"/>
  <c r="BZ58" i="39"/>
  <c r="BY58" i="39"/>
  <c r="BU57" i="39"/>
  <c r="BU58" i="39" s="1"/>
  <c r="BO57" i="39"/>
  <c r="BO58" i="39" s="1"/>
  <c r="BX57" i="39"/>
  <c r="BX58" i="39" s="1"/>
  <c r="CJ56" i="39"/>
  <c r="CI56" i="39"/>
  <c r="CH56" i="39"/>
  <c r="CG56" i="39"/>
  <c r="CF56" i="39"/>
  <c r="CE56" i="39"/>
  <c r="CD56" i="39"/>
  <c r="CC56" i="39"/>
  <c r="CB56" i="39"/>
  <c r="CA56" i="39"/>
  <c r="BZ56" i="39"/>
  <c r="BY56" i="39"/>
  <c r="BW55" i="39"/>
  <c r="BV55" i="39"/>
  <c r="BR55" i="39"/>
  <c r="BQ55" i="39"/>
  <c r="BX55" i="39"/>
  <c r="BU55" i="39"/>
  <c r="BP55" i="39"/>
  <c r="BX54" i="39"/>
  <c r="BU54" i="39"/>
  <c r="BR54" i="39"/>
  <c r="BV54" i="39"/>
  <c r="BW54" i="39"/>
  <c r="BQ54" i="39"/>
  <c r="BN53" i="39"/>
  <c r="BU53" i="39"/>
  <c r="BQ53" i="39"/>
  <c r="BQ52" i="39"/>
  <c r="BN52" i="39"/>
  <c r="BX52" i="39"/>
  <c r="BW52" i="39"/>
  <c r="BR52" i="39"/>
  <c r="BW51" i="39"/>
  <c r="BU51" i="39"/>
  <c r="BR51" i="39"/>
  <c r="BQ51" i="39"/>
  <c r="BO51" i="39"/>
  <c r="BX51" i="39"/>
  <c r="BN51" i="39"/>
  <c r="CJ50" i="39"/>
  <c r="CI50" i="39"/>
  <c r="CH50" i="39"/>
  <c r="CG50" i="39"/>
  <c r="CF50" i="39"/>
  <c r="CE50" i="39"/>
  <c r="CD50" i="39"/>
  <c r="CC50" i="39"/>
  <c r="CB50" i="39"/>
  <c r="CA50" i="39"/>
  <c r="BZ50" i="39"/>
  <c r="BY50" i="39"/>
  <c r="BW49" i="39"/>
  <c r="BR49" i="39"/>
  <c r="BQ49" i="39"/>
  <c r="BX49" i="39"/>
  <c r="BU49" i="39"/>
  <c r="BP49" i="39"/>
  <c r="BQ48" i="39"/>
  <c r="BX48" i="39"/>
  <c r="BW48" i="39"/>
  <c r="BU48" i="39"/>
  <c r="BP48" i="39"/>
  <c r="BR48" i="39"/>
  <c r="BN48" i="39"/>
  <c r="BU47" i="39"/>
  <c r="BR47" i="39"/>
  <c r="CJ46" i="39"/>
  <c r="CI46" i="39"/>
  <c r="CH46" i="39"/>
  <c r="CG46" i="39"/>
  <c r="CF46" i="39"/>
  <c r="CE46" i="39"/>
  <c r="CD46" i="39"/>
  <c r="CC46" i="39"/>
  <c r="CB46" i="39"/>
  <c r="CA46" i="39"/>
  <c r="BZ46" i="39"/>
  <c r="BY46" i="39"/>
  <c r="BW45" i="39"/>
  <c r="BW46" i="39" s="1"/>
  <c r="BQ45" i="39"/>
  <c r="BQ46" i="39" s="1"/>
  <c r="BU45" i="39"/>
  <c r="BU46" i="39" s="1"/>
  <c r="BR45" i="39"/>
  <c r="BR46" i="39" s="1"/>
  <c r="CJ44" i="39"/>
  <c r="CI44" i="39"/>
  <c r="CH44" i="39"/>
  <c r="CG44" i="39"/>
  <c r="CF44" i="39"/>
  <c r="CE44" i="39"/>
  <c r="CD44" i="39"/>
  <c r="CC44" i="39"/>
  <c r="CB44" i="39"/>
  <c r="CA44" i="39"/>
  <c r="BZ44" i="39"/>
  <c r="BY44" i="39"/>
  <c r="BX43" i="39"/>
  <c r="BX136" i="39" s="1"/>
  <c r="BU43" i="39"/>
  <c r="BR43" i="39"/>
  <c r="BJ136" i="39"/>
  <c r="AN136" i="39"/>
  <c r="W136" i="39"/>
  <c r="CJ42" i="39"/>
  <c r="CI42" i="39"/>
  <c r="CH42" i="39"/>
  <c r="CG42" i="39"/>
  <c r="CF42" i="39"/>
  <c r="CE42" i="39"/>
  <c r="CD42" i="39"/>
  <c r="CC42" i="39"/>
  <c r="CB42" i="39"/>
  <c r="CA42" i="39"/>
  <c r="BZ42" i="39"/>
  <c r="BY42" i="39"/>
  <c r="BU41" i="39"/>
  <c r="BQ41" i="39"/>
  <c r="BP41" i="39"/>
  <c r="BX41" i="39"/>
  <c r="BR41" i="39"/>
  <c r="BO41" i="39"/>
  <c r="BN41" i="39"/>
  <c r="BU40" i="39"/>
  <c r="BQ40" i="39"/>
  <c r="BX40" i="39"/>
  <c r="BR40" i="39"/>
  <c r="BO40" i="39"/>
  <c r="BX39" i="39"/>
  <c r="BW39" i="39"/>
  <c r="BU39" i="39"/>
  <c r="BR39" i="39"/>
  <c r="BP39" i="39"/>
  <c r="BX38" i="39"/>
  <c r="BW38" i="39"/>
  <c r="BV38" i="39"/>
  <c r="BU38" i="39"/>
  <c r="BR38" i="39"/>
  <c r="BX37" i="39"/>
  <c r="BU37" i="39"/>
  <c r="W130" i="39"/>
  <c r="CJ36" i="39"/>
  <c r="CI36" i="39"/>
  <c r="CH36" i="39"/>
  <c r="CG36" i="39"/>
  <c r="CF36" i="39"/>
  <c r="CE36" i="39"/>
  <c r="CD36" i="39"/>
  <c r="CC36" i="39"/>
  <c r="CB36" i="39"/>
  <c r="CA36" i="39"/>
  <c r="BZ36" i="39"/>
  <c r="BY36" i="39"/>
  <c r="BU35" i="39"/>
  <c r="BQ35" i="39"/>
  <c r="BX35" i="39"/>
  <c r="BW35" i="39"/>
  <c r="BR35" i="39"/>
  <c r="BP35" i="39"/>
  <c r="BO35" i="39"/>
  <c r="BW34" i="39"/>
  <c r="BU34" i="39"/>
  <c r="BR34" i="39"/>
  <c r="BX34" i="39"/>
  <c r="BM34" i="39"/>
  <c r="BQ33" i="39"/>
  <c r="BO33" i="39"/>
  <c r="BX33" i="39"/>
  <c r="BU33" i="39"/>
  <c r="BP33" i="39"/>
  <c r="BR33" i="39"/>
  <c r="BW32" i="39"/>
  <c r="BR32" i="39"/>
  <c r="BU32" i="39"/>
  <c r="BS32" i="39"/>
  <c r="BP32" i="39"/>
  <c r="BM32" i="39"/>
  <c r="BX31" i="39"/>
  <c r="BW31" i="39"/>
  <c r="BU31" i="39"/>
  <c r="BQ31" i="39"/>
  <c r="CJ30" i="39"/>
  <c r="CI30" i="39"/>
  <c r="CH30" i="39"/>
  <c r="CG30" i="39"/>
  <c r="CF30" i="39"/>
  <c r="CE30" i="39"/>
  <c r="CD30" i="39"/>
  <c r="CC30" i="39"/>
  <c r="CB30" i="39"/>
  <c r="CA30" i="39"/>
  <c r="BZ30" i="39"/>
  <c r="BY30" i="39"/>
  <c r="BX29" i="39"/>
  <c r="BW29" i="39"/>
  <c r="BU29" i="39"/>
  <c r="BR29" i="39"/>
  <c r="BP29" i="39"/>
  <c r="BO29" i="39"/>
  <c r="BN29" i="39"/>
  <c r="BX28" i="39"/>
  <c r="BU28" i="39"/>
  <c r="BR28" i="39"/>
  <c r="BQ28" i="39"/>
  <c r="BN28" i="39"/>
  <c r="BV28" i="39"/>
  <c r="BP28" i="39"/>
  <c r="BU27" i="39"/>
  <c r="BQ27" i="39"/>
  <c r="BO27" i="39"/>
  <c r="BN27" i="39"/>
  <c r="BX27" i="39"/>
  <c r="BW27" i="39"/>
  <c r="BR27" i="39"/>
  <c r="BP27" i="39"/>
  <c r="BW26" i="39"/>
  <c r="BU26" i="39"/>
  <c r="BR26" i="39"/>
  <c r="BV26" i="39"/>
  <c r="BP26" i="39"/>
  <c r="BO26" i="39"/>
  <c r="BX25" i="39"/>
  <c r="BW25" i="39"/>
  <c r="BQ25" i="39"/>
  <c r="CJ24" i="39"/>
  <c r="CI24" i="39"/>
  <c r="CH24" i="39"/>
  <c r="CG24" i="39"/>
  <c r="CF24" i="39"/>
  <c r="CE24" i="39"/>
  <c r="CD24" i="39"/>
  <c r="CC24" i="39"/>
  <c r="CB24" i="39"/>
  <c r="CA24" i="39"/>
  <c r="BZ24" i="39"/>
  <c r="BY24" i="39"/>
  <c r="BX23" i="39"/>
  <c r="BU23" i="39"/>
  <c r="BO23" i="39"/>
  <c r="BR23" i="39"/>
  <c r="BQ23" i="39"/>
  <c r="BU22" i="39"/>
  <c r="BP22" i="39"/>
  <c r="BN22" i="39"/>
  <c r="BU21" i="39"/>
  <c r="BQ21" i="39"/>
  <c r="BP21" i="39"/>
  <c r="BN21" i="39"/>
  <c r="BX21" i="39"/>
  <c r="BV21" i="39"/>
  <c r="BR21" i="39"/>
  <c r="BO21" i="39"/>
  <c r="BW20" i="39"/>
  <c r="BU20" i="39"/>
  <c r="BQ20" i="39"/>
  <c r="BO20" i="39"/>
  <c r="BV20" i="39"/>
  <c r="BX20" i="39"/>
  <c r="BR20" i="39"/>
  <c r="BM20" i="39"/>
  <c r="BW19" i="39"/>
  <c r="BR19" i="39"/>
  <c r="BX19" i="39"/>
  <c r="BP19" i="39"/>
  <c r="AN129" i="39"/>
  <c r="AM129" i="39"/>
  <c r="V129" i="39"/>
  <c r="CJ18" i="39"/>
  <c r="CI18" i="39"/>
  <c r="CH18" i="39"/>
  <c r="CG18" i="39"/>
  <c r="CF18" i="39"/>
  <c r="CE18" i="39"/>
  <c r="CD18" i="39"/>
  <c r="CC18" i="39"/>
  <c r="CB18" i="39"/>
  <c r="CA18" i="39"/>
  <c r="BZ18" i="39"/>
  <c r="BY18" i="39"/>
  <c r="BJ134" i="39"/>
  <c r="AX134" i="39"/>
  <c r="AN134" i="39"/>
  <c r="AF134" i="39"/>
  <c r="W134" i="39"/>
  <c r="V134" i="39"/>
  <c r="BQ16" i="39"/>
  <c r="BN16" i="39"/>
  <c r="BX16" i="39"/>
  <c r="BW16" i="39"/>
  <c r="BU16" i="39"/>
  <c r="BP16" i="39"/>
  <c r="BR16" i="39"/>
  <c r="BO16" i="39"/>
  <c r="BV15" i="39"/>
  <c r="BU15" i="39"/>
  <c r="BR15" i="39"/>
  <c r="BO15" i="39"/>
  <c r="BX15" i="39"/>
  <c r="BW15" i="39"/>
  <c r="BP15" i="39"/>
  <c r="BQ14" i="39"/>
  <c r="BX14" i="39"/>
  <c r="BI128" i="39"/>
  <c r="BU14" i="39"/>
  <c r="AN128" i="39"/>
  <c r="W128" i="39"/>
  <c r="CJ13" i="39"/>
  <c r="CI13" i="39"/>
  <c r="CH13" i="39"/>
  <c r="CG13" i="39"/>
  <c r="CF13" i="39"/>
  <c r="CE13" i="39"/>
  <c r="CD13" i="39"/>
  <c r="CC13" i="39"/>
  <c r="CB13" i="39"/>
  <c r="CA13" i="39"/>
  <c r="BZ13" i="39"/>
  <c r="BY13" i="39"/>
  <c r="BX12" i="39"/>
  <c r="BQ12" i="39"/>
  <c r="AX137" i="39"/>
  <c r="AN137" i="39"/>
  <c r="AM137" i="39"/>
  <c r="W137" i="39"/>
  <c r="V137" i="39"/>
  <c r="BW130" i="40" l="1"/>
  <c r="BR23" i="40"/>
  <c r="AK169" i="40"/>
  <c r="BF127" i="39"/>
  <c r="AW127" i="39"/>
  <c r="AB127" i="39"/>
  <c r="BF169" i="40"/>
  <c r="AW169" i="40"/>
  <c r="AB169" i="40"/>
  <c r="M168" i="40"/>
  <c r="K127" i="39"/>
  <c r="Q127" i="39"/>
  <c r="I126" i="39" s="1"/>
  <c r="M127" i="39"/>
  <c r="AK127" i="39"/>
  <c r="BA127" i="39"/>
  <c r="BG127" i="39"/>
  <c r="BR50" i="39"/>
  <c r="BX23" i="40"/>
  <c r="BX124" i="40"/>
  <c r="BQ60" i="40"/>
  <c r="BR124" i="40"/>
  <c r="M169" i="40"/>
  <c r="S169" i="40"/>
  <c r="CB169" i="40"/>
  <c r="CA169" i="40"/>
  <c r="CG169" i="40"/>
  <c r="CF169" i="40"/>
  <c r="J169" i="40"/>
  <c r="CD169" i="40"/>
  <c r="CJ169" i="40"/>
  <c r="AD169" i="40"/>
  <c r="BH169" i="40"/>
  <c r="AJ169" i="40"/>
  <c r="AZ169" i="40"/>
  <c r="Z169" i="40"/>
  <c r="Y169" i="40"/>
  <c r="BD169" i="40"/>
  <c r="CC169" i="40"/>
  <c r="BY168" i="40" s="1"/>
  <c r="CI169" i="40"/>
  <c r="P169" i="40"/>
  <c r="BQ108" i="40"/>
  <c r="BU114" i="40"/>
  <c r="K169" i="40"/>
  <c r="AH169" i="40"/>
  <c r="V168" i="40" s="1"/>
  <c r="AV169" i="40"/>
  <c r="X169" i="40"/>
  <c r="AL169" i="40"/>
  <c r="BB169" i="40"/>
  <c r="BQ102" i="40"/>
  <c r="BX165" i="40"/>
  <c r="L169" i="40"/>
  <c r="R169" i="40"/>
  <c r="AI127" i="39"/>
  <c r="W126" i="39" s="1"/>
  <c r="BE127" i="39"/>
  <c r="AA127" i="39"/>
  <c r="AJ127" i="39"/>
  <c r="CH127" i="39"/>
  <c r="BC127" i="39"/>
  <c r="AU127" i="39"/>
  <c r="CD127" i="39"/>
  <c r="Y127" i="39"/>
  <c r="AH127" i="39"/>
  <c r="V126" i="39" s="1"/>
  <c r="AV127" i="39"/>
  <c r="BX86" i="39"/>
  <c r="AC127" i="39"/>
  <c r="BQ137" i="39"/>
  <c r="BU100" i="39"/>
  <c r="BU51" i="40"/>
  <c r="BR130" i="40"/>
  <c r="BU176" i="40"/>
  <c r="BR74" i="40"/>
  <c r="BX88" i="40"/>
  <c r="BR114" i="40"/>
  <c r="BU155" i="40"/>
  <c r="BR165" i="40"/>
  <c r="BU144" i="40"/>
  <c r="BU161" i="40"/>
  <c r="BU124" i="40"/>
  <c r="BX151" i="40"/>
  <c r="AI169" i="40"/>
  <c r="W168" i="40" s="1"/>
  <c r="BX177" i="40"/>
  <c r="BC169" i="40"/>
  <c r="X127" i="39"/>
  <c r="AD127" i="39"/>
  <c r="BB127" i="39"/>
  <c r="BH127" i="39"/>
  <c r="AZ127" i="39"/>
  <c r="BU19" i="40"/>
  <c r="C20" i="47"/>
  <c r="BX114" i="40"/>
  <c r="BW23" i="40"/>
  <c r="I169" i="40"/>
  <c r="O169" i="40"/>
  <c r="U169" i="40"/>
  <c r="S168" i="40" s="1"/>
  <c r="Q169" i="40"/>
  <c r="BX114" i="39"/>
  <c r="J19" i="47"/>
  <c r="BQ86" i="39"/>
  <c r="BR123" i="39"/>
  <c r="BX44" i="39"/>
  <c r="BU72" i="39"/>
  <c r="BQ56" i="39"/>
  <c r="G19" i="47"/>
  <c r="L127" i="39"/>
  <c r="R127" i="39"/>
  <c r="BJ170" i="40"/>
  <c r="BN13" i="40"/>
  <c r="BN26" i="40"/>
  <c r="BN36" i="40"/>
  <c r="BQ19" i="40"/>
  <c r="BX19" i="40"/>
  <c r="BN21" i="40"/>
  <c r="BM70" i="40"/>
  <c r="BT70" i="40"/>
  <c r="BS70" i="40"/>
  <c r="BO21" i="40"/>
  <c r="AE177" i="40"/>
  <c r="BN30" i="40"/>
  <c r="BO35" i="40"/>
  <c r="BO18" i="40"/>
  <c r="BO19" i="40" s="1"/>
  <c r="BO29" i="40"/>
  <c r="BN34" i="40"/>
  <c r="BP13" i="40"/>
  <c r="BW19" i="40"/>
  <c r="BM17" i="40"/>
  <c r="BS17" i="40"/>
  <c r="BT17" i="40"/>
  <c r="BP20" i="40"/>
  <c r="BN22" i="40"/>
  <c r="BN31" i="40"/>
  <c r="BP39" i="40"/>
  <c r="AF176" i="40"/>
  <c r="BO14" i="40"/>
  <c r="BX179" i="40"/>
  <c r="BX25" i="40"/>
  <c r="BO27" i="40"/>
  <c r="BO31" i="40"/>
  <c r="BQ38" i="40"/>
  <c r="AX172" i="40"/>
  <c r="BT48" i="40"/>
  <c r="BS48" i="40"/>
  <c r="BO61" i="40"/>
  <c r="BT94" i="40"/>
  <c r="BS94" i="40"/>
  <c r="BM94" i="40"/>
  <c r="BN104" i="40"/>
  <c r="AM170" i="40"/>
  <c r="BQ12" i="40"/>
  <c r="BW12" i="40"/>
  <c r="BI176" i="40"/>
  <c r="BV18" i="40"/>
  <c r="BU20" i="40"/>
  <c r="BU23" i="40" s="1"/>
  <c r="BP22" i="40"/>
  <c r="BQ24" i="40"/>
  <c r="BW24" i="40"/>
  <c r="BJ171" i="40"/>
  <c r="BX26" i="40"/>
  <c r="BX28" i="40"/>
  <c r="BX174" i="40" s="1"/>
  <c r="BI177" i="40"/>
  <c r="BW30" i="40"/>
  <c r="BP30" i="40"/>
  <c r="V172" i="40"/>
  <c r="BI172" i="40"/>
  <c r="BW33" i="40"/>
  <c r="BV34" i="40"/>
  <c r="BP35" i="40"/>
  <c r="BO36" i="40"/>
  <c r="BN37" i="40"/>
  <c r="BU39" i="40"/>
  <c r="BU44" i="40" s="1"/>
  <c r="BQ39" i="40"/>
  <c r="BM41" i="40"/>
  <c r="BT41" i="40"/>
  <c r="BQ41" i="40"/>
  <c r="BX54" i="40"/>
  <c r="BO59" i="40"/>
  <c r="BP68" i="40"/>
  <c r="BN71" i="40"/>
  <c r="BW72" i="40"/>
  <c r="BV72" i="40"/>
  <c r="BO73" i="40"/>
  <c r="BV75" i="40"/>
  <c r="BW87" i="40"/>
  <c r="BW88" i="40" s="1"/>
  <c r="BV87" i="40"/>
  <c r="BO93" i="40"/>
  <c r="BU103" i="40"/>
  <c r="BU108" i="40" s="1"/>
  <c r="BO42" i="40"/>
  <c r="AF173" i="40"/>
  <c r="BO55" i="40"/>
  <c r="BU83" i="40"/>
  <c r="BU88" i="40" s="1"/>
  <c r="V170" i="40"/>
  <c r="AN170" i="40"/>
  <c r="BR12" i="40"/>
  <c r="BX12" i="40"/>
  <c r="BV13" i="40"/>
  <c r="BJ176" i="40"/>
  <c r="BP17" i="40"/>
  <c r="BR24" i="40"/>
  <c r="BR26" i="40"/>
  <c r="BN27" i="40"/>
  <c r="BP27" i="40"/>
  <c r="BJ177" i="40"/>
  <c r="BP31" i="40"/>
  <c r="W172" i="40"/>
  <c r="BJ172" i="40"/>
  <c r="BX33" i="40"/>
  <c r="BP34" i="40"/>
  <c r="BN43" i="40"/>
  <c r="BR43" i="40"/>
  <c r="BP45" i="40"/>
  <c r="BW46" i="40"/>
  <c r="BV46" i="40"/>
  <c r="BM48" i="40"/>
  <c r="BW49" i="40"/>
  <c r="BV49" i="40"/>
  <c r="BO57" i="40"/>
  <c r="BM59" i="40"/>
  <c r="BT59" i="40"/>
  <c r="BN62" i="40"/>
  <c r="BN63" i="40"/>
  <c r="BW71" i="40"/>
  <c r="BV71" i="40"/>
  <c r="BT77" i="40"/>
  <c r="BS77" i="40"/>
  <c r="BM77" i="40"/>
  <c r="BN97" i="40"/>
  <c r="BQ123" i="40"/>
  <c r="BP123" i="40"/>
  <c r="BO13" i="40"/>
  <c r="BR16" i="40"/>
  <c r="BR19" i="40" s="1"/>
  <c r="W171" i="40"/>
  <c r="BX45" i="40"/>
  <c r="BX51" i="40" s="1"/>
  <c r="BX53" i="40"/>
  <c r="BJ173" i="40"/>
  <c r="BX55" i="40"/>
  <c r="BN72" i="40"/>
  <c r="BN78" i="40"/>
  <c r="W170" i="40"/>
  <c r="AX170" i="40"/>
  <c r="BR13" i="40"/>
  <c r="BQ14" i="40"/>
  <c r="BN17" i="40"/>
  <c r="BQ20" i="40"/>
  <c r="BQ23" i="40" s="1"/>
  <c r="AX179" i="40"/>
  <c r="AM171" i="40"/>
  <c r="BX27" i="40"/>
  <c r="AM174" i="40"/>
  <c r="BW31" i="40"/>
  <c r="BR33" i="40"/>
  <c r="BX39" i="40"/>
  <c r="BX44" i="40" s="1"/>
  <c r="BW40" i="40"/>
  <c r="BV40" i="40"/>
  <c r="BO63" i="40"/>
  <c r="BN64" i="40"/>
  <c r="BN68" i="40"/>
  <c r="BP75" i="40"/>
  <c r="BJ179" i="40"/>
  <c r="BN46" i="40"/>
  <c r="BN49" i="40"/>
  <c r="V178" i="40"/>
  <c r="BR56" i="40"/>
  <c r="BP56" i="40"/>
  <c r="BN12" i="40"/>
  <c r="V176" i="40"/>
  <c r="AN176" i="40"/>
  <c r="BR14" i="40"/>
  <c r="BR176" i="40" s="1"/>
  <c r="BN24" i="40"/>
  <c r="AX171" i="40"/>
  <c r="BU26" i="40"/>
  <c r="BN28" i="40"/>
  <c r="BN174" i="40" s="1"/>
  <c r="BO34" i="40"/>
  <c r="BW37" i="40"/>
  <c r="BV37" i="40"/>
  <c r="BW43" i="40"/>
  <c r="BV43" i="40"/>
  <c r="BO45" i="40"/>
  <c r="BO48" i="40"/>
  <c r="BO50" i="40"/>
  <c r="BQ50" i="40"/>
  <c r="AN178" i="40"/>
  <c r="BR52" i="40"/>
  <c r="BN56" i="40"/>
  <c r="BV61" i="40"/>
  <c r="BQ63" i="40"/>
  <c r="BP63" i="40"/>
  <c r="BO64" i="40"/>
  <c r="BO65" i="40"/>
  <c r="BN66" i="40"/>
  <c r="BW66" i="40"/>
  <c r="BM76" i="40"/>
  <c r="BT76" i="40"/>
  <c r="BS76" i="40"/>
  <c r="BO77" i="40"/>
  <c r="BR80" i="40"/>
  <c r="BP80" i="40"/>
  <c r="AE176" i="40"/>
  <c r="BP25" i="40"/>
  <c r="BW28" i="40"/>
  <c r="BW174" i="40" s="1"/>
  <c r="BN57" i="40"/>
  <c r="BI170" i="40"/>
  <c r="BU12" i="40"/>
  <c r="W176" i="40"/>
  <c r="AX176" i="40"/>
  <c r="BV22" i="40"/>
  <c r="BU24" i="40"/>
  <c r="V171" i="40"/>
  <c r="V177" i="40"/>
  <c r="AN177" i="40"/>
  <c r="AX177" i="40"/>
  <c r="BU30" i="40"/>
  <c r="BU177" i="40" s="1"/>
  <c r="BU33" i="40"/>
  <c r="BN35" i="40"/>
  <c r="BN39" i="40"/>
  <c r="BM47" i="40"/>
  <c r="BT47" i="40"/>
  <c r="BO62" i="40"/>
  <c r="BQ65" i="40"/>
  <c r="BP65" i="40"/>
  <c r="BO68" i="40"/>
  <c r="BX68" i="40"/>
  <c r="BX74" i="40" s="1"/>
  <c r="BN70" i="40"/>
  <c r="BU81" i="40"/>
  <c r="BN86" i="40"/>
  <c r="BP89" i="40"/>
  <c r="BI171" i="40"/>
  <c r="AM177" i="40"/>
  <c r="BQ30" i="40"/>
  <c r="BQ32" i="40" s="1"/>
  <c r="BV36" i="40"/>
  <c r="BP40" i="40"/>
  <c r="BV42" i="40"/>
  <c r="BP46" i="40"/>
  <c r="BV48" i="40"/>
  <c r="BO56" i="40"/>
  <c r="BO58" i="40"/>
  <c r="BW62" i="40"/>
  <c r="BV62" i="40"/>
  <c r="BX62" i="40"/>
  <c r="BX67" i="40" s="1"/>
  <c r="BQ64" i="40"/>
  <c r="BQ66" i="40"/>
  <c r="BO69" i="40"/>
  <c r="BW75" i="40"/>
  <c r="BQ76" i="40"/>
  <c r="BQ81" i="40" s="1"/>
  <c r="BN83" i="40"/>
  <c r="BO85" i="40"/>
  <c r="BO86" i="40"/>
  <c r="BU89" i="40"/>
  <c r="BU92" i="40" s="1"/>
  <c r="BN93" i="40"/>
  <c r="BP94" i="40"/>
  <c r="BO95" i="40"/>
  <c r="BU99" i="40"/>
  <c r="BU102" i="40" s="1"/>
  <c r="BV103" i="40"/>
  <c r="BR54" i="40"/>
  <c r="AM173" i="40"/>
  <c r="BW56" i="40"/>
  <c r="BV56" i="40"/>
  <c r="BU61" i="40"/>
  <c r="BU67" i="40" s="1"/>
  <c r="BN65" i="40"/>
  <c r="BW65" i="40"/>
  <c r="BX81" i="40"/>
  <c r="BO79" i="40"/>
  <c r="BS79" i="40"/>
  <c r="BM79" i="40"/>
  <c r="BN80" i="40"/>
  <c r="BO83" i="40"/>
  <c r="BM85" i="40"/>
  <c r="BT85" i="40"/>
  <c r="BN89" i="40"/>
  <c r="BW92" i="40"/>
  <c r="BO91" i="40"/>
  <c r="BX108" i="40"/>
  <c r="BN111" i="40"/>
  <c r="BO52" i="40"/>
  <c r="V173" i="40"/>
  <c r="AX173" i="40"/>
  <c r="BU55" i="40"/>
  <c r="BU60" i="40" s="1"/>
  <c r="BN59" i="40"/>
  <c r="BL59" i="40"/>
  <c r="BW59" i="40"/>
  <c r="BW63" i="40"/>
  <c r="BU68" i="40"/>
  <c r="BU74" i="40" s="1"/>
  <c r="BW77" i="40"/>
  <c r="BV77" i="40"/>
  <c r="BN79" i="40"/>
  <c r="BO80" i="40"/>
  <c r="BP82" i="40"/>
  <c r="BX92" i="40"/>
  <c r="BM91" i="40"/>
  <c r="BT91" i="40"/>
  <c r="BR96" i="40"/>
  <c r="BO101" i="40"/>
  <c r="BN106" i="40"/>
  <c r="BP109" i="40"/>
  <c r="BP110" i="40" s="1"/>
  <c r="BN112" i="40"/>
  <c r="BQ115" i="40"/>
  <c r="BQ118" i="40" s="1"/>
  <c r="BQ45" i="40"/>
  <c r="BL47" i="40"/>
  <c r="BL48" i="40"/>
  <c r="BU53" i="40"/>
  <c r="AE170" i="40"/>
  <c r="W173" i="40"/>
  <c r="BO70" i="40"/>
  <c r="BR75" i="40"/>
  <c r="BO76" i="40"/>
  <c r="BL76" i="40"/>
  <c r="BV76" i="40"/>
  <c r="BW78" i="40"/>
  <c r="BV78" i="40"/>
  <c r="BQ85" i="40"/>
  <c r="BR90" i="40"/>
  <c r="BR92" i="40" s="1"/>
  <c r="BN100" i="40"/>
  <c r="BV100" i="40"/>
  <c r="BP103" i="40"/>
  <c r="BP108" i="40" s="1"/>
  <c r="BN105" i="40"/>
  <c r="BN107" i="40"/>
  <c r="BQ111" i="40"/>
  <c r="BO112" i="40"/>
  <c r="BO113" i="40"/>
  <c r="BR45" i="40"/>
  <c r="BR51" i="40" s="1"/>
  <c r="BQ52" i="40"/>
  <c r="BW52" i="40"/>
  <c r="BI173" i="40"/>
  <c r="BW55" i="40"/>
  <c r="BW68" i="40"/>
  <c r="BP73" i="40"/>
  <c r="BN77" i="40"/>
  <c r="BN84" i="40"/>
  <c r="BS85" i="40"/>
  <c r="BN87" i="40"/>
  <c r="BQ91" i="40"/>
  <c r="BQ92" i="40" s="1"/>
  <c r="BU98" i="40"/>
  <c r="BM95" i="40"/>
  <c r="BT95" i="40"/>
  <c r="BS95" i="40"/>
  <c r="BO97" i="40"/>
  <c r="BR99" i="40"/>
  <c r="BR102" i="40" s="1"/>
  <c r="BR108" i="40"/>
  <c r="BQ113" i="40"/>
  <c r="BP113" i="40"/>
  <c r="AN173" i="40"/>
  <c r="BR55" i="40"/>
  <c r="BR61" i="40"/>
  <c r="BR67" i="40" s="1"/>
  <c r="BQ68" i="40"/>
  <c r="BQ74" i="40" s="1"/>
  <c r="BP72" i="40"/>
  <c r="BP78" i="40"/>
  <c r="BV80" i="40"/>
  <c r="BP84" i="40"/>
  <c r="BV86" i="40"/>
  <c r="BP90" i="40"/>
  <c r="BR93" i="40"/>
  <c r="BN94" i="40"/>
  <c r="BQ97" i="40"/>
  <c r="BQ98" i="40" s="1"/>
  <c r="BN101" i="40"/>
  <c r="BO103" i="40"/>
  <c r="BW109" i="40"/>
  <c r="BW110" i="40" s="1"/>
  <c r="BQ112" i="40"/>
  <c r="BW113" i="40"/>
  <c r="BR86" i="40"/>
  <c r="BQ87" i="40"/>
  <c r="BO94" i="40"/>
  <c r="BL94" i="40"/>
  <c r="BW96" i="40"/>
  <c r="BW98" i="40" s="1"/>
  <c r="BW99" i="40"/>
  <c r="BW102" i="40" s="1"/>
  <c r="BX101" i="40"/>
  <c r="BX102" i="40" s="1"/>
  <c r="BW103" i="40"/>
  <c r="BN113" i="40"/>
  <c r="BR116" i="40"/>
  <c r="BR118" i="40" s="1"/>
  <c r="BN117" i="40"/>
  <c r="BQ82" i="40"/>
  <c r="BN85" i="40"/>
  <c r="BL91" i="40"/>
  <c r="BN91" i="40"/>
  <c r="BX94" i="40"/>
  <c r="BX98" i="40" s="1"/>
  <c r="BW111" i="40"/>
  <c r="BV115" i="40"/>
  <c r="BP116" i="40"/>
  <c r="BO117" i="40"/>
  <c r="BN121" i="40"/>
  <c r="BS126" i="40"/>
  <c r="BT126" i="40"/>
  <c r="BP146" i="40"/>
  <c r="BW150" i="40"/>
  <c r="BV150" i="40"/>
  <c r="BR82" i="40"/>
  <c r="BV83" i="40"/>
  <c r="BN95" i="40"/>
  <c r="BL95" i="40"/>
  <c r="BP95" i="40"/>
  <c r="BO106" i="40"/>
  <c r="BW117" i="40"/>
  <c r="BW118" i="40" s="1"/>
  <c r="BO121" i="40"/>
  <c r="BN122" i="40"/>
  <c r="BV84" i="40"/>
  <c r="BV90" i="40"/>
  <c r="BP96" i="40"/>
  <c r="BO100" i="40"/>
  <c r="BW104" i="40"/>
  <c r="BV104" i="40"/>
  <c r="BU115" i="40"/>
  <c r="BU118" i="40" s="1"/>
  <c r="BN115" i="40"/>
  <c r="BO116" i="40"/>
  <c r="BV119" i="40"/>
  <c r="BQ121" i="40"/>
  <c r="BP121" i="40"/>
  <c r="BO122" i="40"/>
  <c r="BO123" i="40"/>
  <c r="BX125" i="40"/>
  <c r="BX127" i="40" s="1"/>
  <c r="BO126" i="40"/>
  <c r="BX115" i="40"/>
  <c r="BX118" i="40" s="1"/>
  <c r="BV116" i="40"/>
  <c r="BW120" i="40"/>
  <c r="BV120" i="40"/>
  <c r="BQ122" i="40"/>
  <c r="BU151" i="40"/>
  <c r="BO148" i="40"/>
  <c r="BO154" i="40"/>
  <c r="BB166" i="40"/>
  <c r="AU20" i="47" s="1"/>
  <c r="BH166" i="40"/>
  <c r="BA20" i="47" s="1"/>
  <c r="BN123" i="40"/>
  <c r="BW123" i="40"/>
  <c r="BN132" i="40"/>
  <c r="BN133" i="40"/>
  <c r="BN136" i="40"/>
  <c r="BR144" i="40"/>
  <c r="BN143" i="40"/>
  <c r="BW121" i="40"/>
  <c r="BU125" i="40"/>
  <c r="BU127" i="40" s="1"/>
  <c r="BW126" i="40"/>
  <c r="BW127" i="40" s="1"/>
  <c r="BV126" i="40"/>
  <c r="BO131" i="40"/>
  <c r="BO132" i="40"/>
  <c r="BW133" i="40"/>
  <c r="BW137" i="40" s="1"/>
  <c r="BV133" i="40"/>
  <c r="BO134" i="40"/>
  <c r="BP150" i="40"/>
  <c r="BQ150" i="40"/>
  <c r="BP119" i="40"/>
  <c r="BW119" i="40"/>
  <c r="BR127" i="40"/>
  <c r="BN126" i="40"/>
  <c r="BN127" i="40" s="1"/>
  <c r="BP126" i="40"/>
  <c r="BN129" i="40"/>
  <c r="BN130" i="40" s="1"/>
  <c r="BN135" i="40"/>
  <c r="BO138" i="40"/>
  <c r="BN141" i="40"/>
  <c r="BN146" i="40"/>
  <c r="BN153" i="40"/>
  <c r="BQ125" i="40"/>
  <c r="BQ127" i="40" s="1"/>
  <c r="BO129" i="40"/>
  <c r="BP131" i="40"/>
  <c r="BV131" i="40"/>
  <c r="BO135" i="40"/>
  <c r="BM140" i="40"/>
  <c r="BT140" i="40"/>
  <c r="BN149" i="40"/>
  <c r="X166" i="40"/>
  <c r="Q20" i="47" s="1"/>
  <c r="BU128" i="40"/>
  <c r="BU130" i="40" s="1"/>
  <c r="BR131" i="40"/>
  <c r="BR137" i="40" s="1"/>
  <c r="BX131" i="40"/>
  <c r="BX137" i="40" s="1"/>
  <c r="BV132" i="40"/>
  <c r="BP136" i="40"/>
  <c r="BO139" i="40"/>
  <c r="BV142" i="40"/>
  <c r="BV144" i="40" s="1"/>
  <c r="CI166" i="40"/>
  <c r="CB20" i="47" s="1"/>
  <c r="BN154" i="40"/>
  <c r="AN166" i="40"/>
  <c r="BR167" i="40" s="1"/>
  <c r="BP157" i="40"/>
  <c r="BQ157" i="40"/>
  <c r="BQ161" i="40" s="1"/>
  <c r="BQ164" i="40"/>
  <c r="BP164" i="40"/>
  <c r="CD166" i="40"/>
  <c r="BW20" i="47" s="1"/>
  <c r="CJ166" i="40"/>
  <c r="CC20" i="47" s="1"/>
  <c r="BV128" i="40"/>
  <c r="BQ133" i="40"/>
  <c r="BO140" i="40"/>
  <c r="BQ154" i="40"/>
  <c r="BQ155" i="40" s="1"/>
  <c r="BP154" i="40"/>
  <c r="BW156" i="40"/>
  <c r="BV157" i="40"/>
  <c r="BX157" i="40"/>
  <c r="BX161" i="40" s="1"/>
  <c r="BQ128" i="40"/>
  <c r="BQ130" i="40" s="1"/>
  <c r="BN131" i="40"/>
  <c r="BQ134" i="40"/>
  <c r="BN140" i="40"/>
  <c r="BL140" i="40"/>
  <c r="BW140" i="40"/>
  <c r="BW145" i="40"/>
  <c r="BQ146" i="40"/>
  <c r="BO147" i="40"/>
  <c r="BO150" i="40"/>
  <c r="BW153" i="40"/>
  <c r="BW155" i="40" s="1"/>
  <c r="BV153" i="40"/>
  <c r="Z166" i="40"/>
  <c r="S20" i="47" s="1"/>
  <c r="BU165" i="40"/>
  <c r="BX128" i="40"/>
  <c r="BX130" i="40" s="1"/>
  <c r="BV129" i="40"/>
  <c r="BU131" i="40"/>
  <c r="BU137" i="40" s="1"/>
  <c r="BV135" i="40"/>
  <c r="BW138" i="40"/>
  <c r="BP141" i="40"/>
  <c r="BR146" i="40"/>
  <c r="BR151" i="40" s="1"/>
  <c r="BN148" i="40"/>
  <c r="BC166" i="40"/>
  <c r="AV20" i="47" s="1"/>
  <c r="BX152" i="40"/>
  <c r="BX155" i="40" s="1"/>
  <c r="BR161" i="40"/>
  <c r="BM163" i="40"/>
  <c r="BS163" i="40"/>
  <c r="BT163" i="40"/>
  <c r="BV164" i="40"/>
  <c r="BW164" i="40"/>
  <c r="BW165" i="40" s="1"/>
  <c r="AJ166" i="40"/>
  <c r="AC20" i="47" s="1"/>
  <c r="BV136" i="40"/>
  <c r="BQ144" i="40"/>
  <c r="BX144" i="40"/>
  <c r="BN145" i="40"/>
  <c r="BP153" i="40"/>
  <c r="BR153" i="40"/>
  <c r="BR155" i="40" s="1"/>
  <c r="BN159" i="40"/>
  <c r="BP143" i="40"/>
  <c r="BV146" i="40"/>
  <c r="BP162" i="40"/>
  <c r="BV162" i="40"/>
  <c r="U20" i="47"/>
  <c r="AK166" i="40"/>
  <c r="AD20" i="47" s="1"/>
  <c r="AV166" i="40"/>
  <c r="AO20" i="47" s="1"/>
  <c r="BN162" i="40"/>
  <c r="BN163" i="40"/>
  <c r="V166" i="40"/>
  <c r="AH167" i="40" s="1"/>
  <c r="AL166" i="40"/>
  <c r="AE20" i="47" s="1"/>
  <c r="CA166" i="40"/>
  <c r="BT20" i="47" s="1"/>
  <c r="BW158" i="40"/>
  <c r="BE166" i="40"/>
  <c r="AX20" i="47" s="1"/>
  <c r="BZ166" i="40"/>
  <c r="CF166" i="40"/>
  <c r="BY20" i="47" s="1"/>
  <c r="BO162" i="40"/>
  <c r="BO165" i="40" s="1"/>
  <c r="BM164" i="40"/>
  <c r="AD166" i="40"/>
  <c r="W20" i="47" s="1"/>
  <c r="AX166" i="40"/>
  <c r="BU167" i="40" s="1"/>
  <c r="AA166" i="40"/>
  <c r="T20" i="47" s="1"/>
  <c r="CG166" i="40"/>
  <c r="BZ20" i="47" s="1"/>
  <c r="BS164" i="40"/>
  <c r="BO164" i="40"/>
  <c r="AH166" i="40"/>
  <c r="V167" i="40" s="1"/>
  <c r="AZ166" i="40"/>
  <c r="AY20" i="47"/>
  <c r="CB166" i="40"/>
  <c r="BU20" i="47" s="1"/>
  <c r="CH166" i="40"/>
  <c r="CA20" i="47" s="1"/>
  <c r="BP149" i="40"/>
  <c r="BO158" i="40"/>
  <c r="CC166" i="40"/>
  <c r="BV20" i="47" s="1"/>
  <c r="BQ145" i="40"/>
  <c r="BI166" i="40"/>
  <c r="Y166" i="40"/>
  <c r="R20" i="47" s="1"/>
  <c r="AP20" i="47"/>
  <c r="BD166" i="40"/>
  <c r="AW20" i="47" s="1"/>
  <c r="BN160" i="40"/>
  <c r="BQ163" i="40"/>
  <c r="BY169" i="40"/>
  <c r="CE169" i="40"/>
  <c r="BE169" i="40"/>
  <c r="BV159" i="40"/>
  <c r="BY166" i="40"/>
  <c r="BR20" i="47" s="1"/>
  <c r="CE166" i="40"/>
  <c r="BX20" i="47" s="1"/>
  <c r="AC169" i="40"/>
  <c r="BA169" i="40"/>
  <c r="BJ168" i="40" s="1"/>
  <c r="BG169" i="40"/>
  <c r="BL164" i="40"/>
  <c r="AC166" i="40"/>
  <c r="V20" i="47" s="1"/>
  <c r="AI166" i="40"/>
  <c r="W167" i="40" s="1"/>
  <c r="AU166" i="40"/>
  <c r="BA166" i="40"/>
  <c r="BG166" i="40"/>
  <c r="AZ20" i="47" s="1"/>
  <c r="AU169" i="40"/>
  <c r="AA169" i="40"/>
  <c r="BP25" i="39"/>
  <c r="BM27" i="39"/>
  <c r="BT27" i="39"/>
  <c r="BS27" i="39"/>
  <c r="BO28" i="39"/>
  <c r="BN15" i="39"/>
  <c r="BV12" i="39"/>
  <c r="BL27" i="39"/>
  <c r="BU17" i="39"/>
  <c r="BU134" i="39" s="1"/>
  <c r="AE129" i="39"/>
  <c r="BN19" i="39"/>
  <c r="BT20" i="39"/>
  <c r="BM21" i="39"/>
  <c r="BT21" i="39"/>
  <c r="BS21" i="39"/>
  <c r="AN131" i="39"/>
  <c r="BN26" i="39"/>
  <c r="BN33" i="39"/>
  <c r="AF130" i="39"/>
  <c r="BO37" i="39"/>
  <c r="BQ38" i="39"/>
  <c r="BP38" i="39"/>
  <c r="BW40" i="39"/>
  <c r="BV40" i="39"/>
  <c r="V136" i="39"/>
  <c r="BI136" i="39"/>
  <c r="BW43" i="39"/>
  <c r="BO53" i="39"/>
  <c r="BN71" i="39"/>
  <c r="BR12" i="39"/>
  <c r="AM128" i="39"/>
  <c r="BV16" i="39"/>
  <c r="BO17" i="39"/>
  <c r="BP20" i="39"/>
  <c r="BW21" i="39"/>
  <c r="AX135" i="39"/>
  <c r="BP23" i="39"/>
  <c r="BW23" i="39"/>
  <c r="BV23" i="39"/>
  <c r="BJ131" i="39"/>
  <c r="BR25" i="39"/>
  <c r="BV29" i="39"/>
  <c r="BV31" i="39"/>
  <c r="BL32" i="39"/>
  <c r="BN32" i="39"/>
  <c r="BT32" i="39"/>
  <c r="BQ32" i="39"/>
  <c r="BV33" i="39"/>
  <c r="BW33" i="39"/>
  <c r="BW36" i="39" s="1"/>
  <c r="BP34" i="39"/>
  <c r="BQ34" i="39"/>
  <c r="BU50" i="39"/>
  <c r="BN54" i="39"/>
  <c r="BM104" i="39"/>
  <c r="BT104" i="39"/>
  <c r="BS104" i="39"/>
  <c r="BQ116" i="39"/>
  <c r="BP116" i="39"/>
  <c r="BQ13" i="39"/>
  <c r="BX13" i="39"/>
  <c r="AX128" i="39"/>
  <c r="BQ15" i="39"/>
  <c r="BI134" i="39"/>
  <c r="BW17" i="39"/>
  <c r="BX17" i="39"/>
  <c r="AX129" i="39"/>
  <c r="BU19" i="39"/>
  <c r="V131" i="39"/>
  <c r="BV27" i="39"/>
  <c r="BR31" i="39"/>
  <c r="BR36" i="39" s="1"/>
  <c r="BU36" i="39"/>
  <c r="BQ39" i="39"/>
  <c r="BR44" i="39"/>
  <c r="BX45" i="39"/>
  <c r="BX46" i="39" s="1"/>
  <c r="BK137" i="39"/>
  <c r="BO52" i="39"/>
  <c r="BR53" i="39"/>
  <c r="BP53" i="39"/>
  <c r="BM55" i="39"/>
  <c r="BT55" i="39"/>
  <c r="BS55" i="39"/>
  <c r="BN62" i="39"/>
  <c r="V128" i="39"/>
  <c r="BP14" i="39"/>
  <c r="BW14" i="39"/>
  <c r="BR17" i="39"/>
  <c r="BQ19" i="39"/>
  <c r="BN20" i="39"/>
  <c r="BL20" i="39"/>
  <c r="W135" i="39"/>
  <c r="BI135" i="39"/>
  <c r="BW22" i="39"/>
  <c r="W131" i="39"/>
  <c r="BV25" i="39"/>
  <c r="BW28" i="39"/>
  <c r="BW30" i="39" s="1"/>
  <c r="BN34" i="39"/>
  <c r="BV34" i="39"/>
  <c r="BV35" i="39"/>
  <c r="BW41" i="39"/>
  <c r="BV41" i="39"/>
  <c r="BJ129" i="39"/>
  <c r="AE135" i="39"/>
  <c r="BJ135" i="39"/>
  <c r="BX22" i="39"/>
  <c r="BX24" i="39" s="1"/>
  <c r="BX26" i="39"/>
  <c r="BX30" i="39" s="1"/>
  <c r="BQ29" i="39"/>
  <c r="BS34" i="39"/>
  <c r="BP43" i="39"/>
  <c r="BW47" i="39"/>
  <c r="BW50" i="39" s="1"/>
  <c r="BN49" i="39"/>
  <c r="BN67" i="39"/>
  <c r="AE137" i="39"/>
  <c r="BN12" i="39"/>
  <c r="BU12" i="39"/>
  <c r="BJ128" i="39"/>
  <c r="BI137" i="39"/>
  <c r="BW12" i="39"/>
  <c r="BR14" i="39"/>
  <c r="W129" i="39"/>
  <c r="BS20" i="39"/>
  <c r="BU135" i="39"/>
  <c r="BN23" i="39"/>
  <c r="AM131" i="39"/>
  <c r="AX131" i="39"/>
  <c r="BU25" i="39"/>
  <c r="BQ26" i="39"/>
  <c r="BV32" i="39"/>
  <c r="BX32" i="39"/>
  <c r="BX129" i="39" s="1"/>
  <c r="BO34" i="39"/>
  <c r="BT34" i="39"/>
  <c r="BN35" i="39"/>
  <c r="AE130" i="39"/>
  <c r="BN37" i="39"/>
  <c r="AP130" i="39"/>
  <c r="BN38" i="39"/>
  <c r="BN40" i="39"/>
  <c r="BU52" i="39"/>
  <c r="BU56" i="39" s="1"/>
  <c r="BX53" i="39"/>
  <c r="BX56" i="39" s="1"/>
  <c r="BT69" i="39"/>
  <c r="BS69" i="39"/>
  <c r="BM69" i="39"/>
  <c r="BU75" i="39"/>
  <c r="BU79" i="39" s="1"/>
  <c r="BV51" i="39"/>
  <c r="BR59" i="39"/>
  <c r="BR65" i="39" s="1"/>
  <c r="BN61" i="39"/>
  <c r="BS66" i="39"/>
  <c r="BN68" i="39"/>
  <c r="BN94" i="39"/>
  <c r="BU130" i="39"/>
  <c r="BN45" i="39"/>
  <c r="BN46" i="39" s="1"/>
  <c r="BO54" i="39"/>
  <c r="BO55" i="39"/>
  <c r="BN55" i="39"/>
  <c r="BN57" i="39"/>
  <c r="BN58" i="39" s="1"/>
  <c r="BU59" i="39"/>
  <c r="BU65" i="39" s="1"/>
  <c r="BM66" i="39"/>
  <c r="BN70" i="39"/>
  <c r="BX79" i="39"/>
  <c r="BT75" i="39"/>
  <c r="BS75" i="39"/>
  <c r="BM75" i="39"/>
  <c r="BN77" i="39"/>
  <c r="BN85" i="39"/>
  <c r="BW112" i="39"/>
  <c r="BV112" i="39"/>
  <c r="AX130" i="39"/>
  <c r="BX130" i="39"/>
  <c r="BX42" i="39"/>
  <c r="BN39" i="39"/>
  <c r="BV39" i="39"/>
  <c r="BU136" i="39"/>
  <c r="BU44" i="39"/>
  <c r="BP45" i="39"/>
  <c r="BP46" i="39" s="1"/>
  <c r="BN47" i="39"/>
  <c r="BV49" i="39"/>
  <c r="BV52" i="39"/>
  <c r="BY124" i="39"/>
  <c r="BR19" i="47" s="1"/>
  <c r="BN60" i="39"/>
  <c r="BM63" i="39"/>
  <c r="BT63" i="39"/>
  <c r="BR67" i="39"/>
  <c r="BO68" i="39"/>
  <c r="BW71" i="39"/>
  <c r="BV71" i="39"/>
  <c r="BM80" i="39"/>
  <c r="BN97" i="39"/>
  <c r="BN122" i="39"/>
  <c r="AM135" i="39"/>
  <c r="BQ22" i="39"/>
  <c r="AN130" i="39"/>
  <c r="BO39" i="39"/>
  <c r="BU42" i="39"/>
  <c r="AX136" i="39"/>
  <c r="BO47" i="39"/>
  <c r="BQ57" i="39"/>
  <c r="BQ58" i="39" s="1"/>
  <c r="BW57" i="39"/>
  <c r="BW58" i="39" s="1"/>
  <c r="BW62" i="39"/>
  <c r="BO64" i="39"/>
  <c r="BX64" i="39"/>
  <c r="BX65" i="39" s="1"/>
  <c r="BV64" i="39"/>
  <c r="BX66" i="39"/>
  <c r="BX72" i="39" s="1"/>
  <c r="BN69" i="39"/>
  <c r="BO77" i="39"/>
  <c r="BJ137" i="39"/>
  <c r="AM134" i="39"/>
  <c r="BQ17" i="39"/>
  <c r="BI129" i="39"/>
  <c r="V135" i="39"/>
  <c r="AN135" i="39"/>
  <c r="BR22" i="39"/>
  <c r="BR24" i="39" s="1"/>
  <c r="BI131" i="39"/>
  <c r="BO32" i="39"/>
  <c r="V130" i="39"/>
  <c r="BI130" i="39"/>
  <c r="BW37" i="39"/>
  <c r="BR37" i="39"/>
  <c r="BO38" i="39"/>
  <c r="BP40" i="39"/>
  <c r="BP47" i="39"/>
  <c r="BP50" i="39" s="1"/>
  <c r="BQ47" i="39"/>
  <c r="BQ50" i="39" s="1"/>
  <c r="BR56" i="39"/>
  <c r="BP54" i="39"/>
  <c r="BO59" i="39"/>
  <c r="BO60" i="39"/>
  <c r="BO73" i="39"/>
  <c r="BN74" i="39"/>
  <c r="BV74" i="39"/>
  <c r="BW74" i="39"/>
  <c r="BP76" i="39"/>
  <c r="BR76" i="39"/>
  <c r="BT78" i="39"/>
  <c r="BS78" i="39"/>
  <c r="BM78" i="39"/>
  <c r="BJ130" i="39"/>
  <c r="BX47" i="39"/>
  <c r="BX50" i="39" s="1"/>
  <c r="BV48" i="39"/>
  <c r="BP52" i="39"/>
  <c r="BP63" i="39"/>
  <c r="BW67" i="39"/>
  <c r="BV67" i="39"/>
  <c r="BO69" i="39"/>
  <c r="BP75" i="39"/>
  <c r="BV77" i="39"/>
  <c r="BP78" i="39"/>
  <c r="BQ78" i="39"/>
  <c r="BV81" i="39"/>
  <c r="BW87" i="39"/>
  <c r="BO88" i="39"/>
  <c r="BX101" i="39"/>
  <c r="BX107" i="39" s="1"/>
  <c r="BR115" i="39"/>
  <c r="BR118" i="39" s="1"/>
  <c r="AA124" i="39"/>
  <c r="T19" i="47" s="1"/>
  <c r="AM130" i="39"/>
  <c r="BQ37" i="39"/>
  <c r="AM136" i="39"/>
  <c r="BQ43" i="39"/>
  <c r="BO49" i="39"/>
  <c r="BR57" i="39"/>
  <c r="BR58" i="39" s="1"/>
  <c r="BQ72" i="39"/>
  <c r="BR74" i="39"/>
  <c r="BO74" i="39"/>
  <c r="BR80" i="39"/>
  <c r="BP84" i="39"/>
  <c r="BR84" i="39"/>
  <c r="BO89" i="39"/>
  <c r="Z124" i="39"/>
  <c r="S19" i="47" s="1"/>
  <c r="BV94" i="39"/>
  <c r="BN99" i="39"/>
  <c r="BU108" i="39"/>
  <c r="BU114" i="39" s="1"/>
  <c r="BN109" i="39"/>
  <c r="BN110" i="39"/>
  <c r="CB124" i="39"/>
  <c r="BU19" i="47" s="1"/>
  <c r="BO81" i="39"/>
  <c r="BT83" i="39"/>
  <c r="BM83" i="39"/>
  <c r="BS83" i="39"/>
  <c r="BO90" i="39"/>
  <c r="BO96" i="39"/>
  <c r="BP97" i="39"/>
  <c r="BQ97" i="39"/>
  <c r="BQ101" i="39"/>
  <c r="BQ107" i="39" s="1"/>
  <c r="BR102" i="39"/>
  <c r="BR129" i="39" s="1"/>
  <c r="BP102" i="39"/>
  <c r="BD124" i="39"/>
  <c r="AW19" i="47" s="1"/>
  <c r="AL124" i="39"/>
  <c r="AE19" i="47" s="1"/>
  <c r="BO61" i="39"/>
  <c r="BO75" i="39"/>
  <c r="BL75" i="39"/>
  <c r="BO78" i="39"/>
  <c r="BL78" i="39"/>
  <c r="BO80" i="39"/>
  <c r="BT95" i="39"/>
  <c r="BM95" i="39"/>
  <c r="BS95" i="39"/>
  <c r="BN104" i="39"/>
  <c r="BW53" i="39"/>
  <c r="BW56" i="39" s="1"/>
  <c r="BV53" i="39"/>
  <c r="BW59" i="39"/>
  <c r="BW73" i="39"/>
  <c r="BN76" i="39"/>
  <c r="BN80" i="39"/>
  <c r="BP82" i="39"/>
  <c r="BN84" i="39"/>
  <c r="BR87" i="39"/>
  <c r="BR93" i="39" s="1"/>
  <c r="BT92" i="39"/>
  <c r="BS92" i="39"/>
  <c r="BN95" i="39"/>
  <c r="BP96" i="39"/>
  <c r="BR96" i="39"/>
  <c r="BR100" i="39" s="1"/>
  <c r="BU101" i="39"/>
  <c r="BU107" i="39" s="1"/>
  <c r="BN103" i="39"/>
  <c r="BO106" i="39"/>
  <c r="BQ59" i="39"/>
  <c r="BQ65" i="39" s="1"/>
  <c r="BP71" i="39"/>
  <c r="BN81" i="39"/>
  <c r="BP81" i="39"/>
  <c r="BV88" i="39"/>
  <c r="BW88" i="39"/>
  <c r="BX89" i="39"/>
  <c r="BX93" i="39" s="1"/>
  <c r="BV89" i="39"/>
  <c r="BO91" i="39"/>
  <c r="BW91" i="39"/>
  <c r="BW96" i="39"/>
  <c r="BV96" i="39"/>
  <c r="CI124" i="39"/>
  <c r="CB19" i="47" s="1"/>
  <c r="BO102" i="39"/>
  <c r="BW102" i="39"/>
  <c r="BW129" i="39" s="1"/>
  <c r="BV102" i="39"/>
  <c r="BO113" i="39"/>
  <c r="BA124" i="39"/>
  <c r="BG124" i="39"/>
  <c r="AZ19" i="47" s="1"/>
  <c r="BW84" i="39"/>
  <c r="BV84" i="39"/>
  <c r="BV85" i="39"/>
  <c r="BW85" i="39"/>
  <c r="BU87" i="39"/>
  <c r="BU93" i="39" s="1"/>
  <c r="BO95" i="39"/>
  <c r="BO98" i="39"/>
  <c r="BN111" i="39"/>
  <c r="BT113" i="39"/>
  <c r="BS113" i="39"/>
  <c r="BM113" i="39"/>
  <c r="BE124" i="39"/>
  <c r="AX19" i="47" s="1"/>
  <c r="AN124" i="39"/>
  <c r="BR125" i="39" s="1"/>
  <c r="AC124" i="39"/>
  <c r="V19" i="47" s="1"/>
  <c r="BO87" i="39"/>
  <c r="BN88" i="39"/>
  <c r="BQ95" i="39"/>
  <c r="BP95" i="39"/>
  <c r="BQ98" i="39"/>
  <c r="BP98" i="39"/>
  <c r="BX98" i="39"/>
  <c r="BX100" i="39" s="1"/>
  <c r="BV98" i="39"/>
  <c r="BM105" i="39"/>
  <c r="BT105" i="39"/>
  <c r="BS105" i="39"/>
  <c r="BR108" i="39"/>
  <c r="BR114" i="39" s="1"/>
  <c r="BM112" i="39"/>
  <c r="BT112" i="39"/>
  <c r="BS112" i="39"/>
  <c r="BQ118" i="39"/>
  <c r="BU119" i="39"/>
  <c r="BU123" i="39" s="1"/>
  <c r="AV124" i="39"/>
  <c r="AO19" i="47" s="1"/>
  <c r="BP77" i="39"/>
  <c r="BU80" i="39"/>
  <c r="BU86" i="39" s="1"/>
  <c r="BM91" i="39"/>
  <c r="BS91" i="39"/>
  <c r="BT91" i="39"/>
  <c r="BQ91" i="39"/>
  <c r="BQ94" i="39"/>
  <c r="BV95" i="39"/>
  <c r="BO99" i="39"/>
  <c r="BW99" i="39"/>
  <c r="BV99" i="39"/>
  <c r="BM119" i="39"/>
  <c r="AI124" i="39"/>
  <c r="W125" i="39" s="1"/>
  <c r="BR66" i="39"/>
  <c r="BR72" i="39" s="1"/>
  <c r="BQ73" i="39"/>
  <c r="BQ79" i="39" s="1"/>
  <c r="BO83" i="39"/>
  <c r="BL83" i="39"/>
  <c r="BP85" i="39"/>
  <c r="BP88" i="39"/>
  <c r="BW90" i="39"/>
  <c r="BV90" i="39"/>
  <c r="BO92" i="39"/>
  <c r="BN96" i="39"/>
  <c r="BX118" i="39"/>
  <c r="BO117" i="39"/>
  <c r="BW117" i="39"/>
  <c r="BW118" i="39" s="1"/>
  <c r="CE124" i="39"/>
  <c r="BX19" i="47" s="1"/>
  <c r="BX120" i="39"/>
  <c r="BX123" i="39" s="1"/>
  <c r="BV120" i="39"/>
  <c r="AJ124" i="39"/>
  <c r="AC19" i="47" s="1"/>
  <c r="BN90" i="39"/>
  <c r="BO104" i="39"/>
  <c r="BP110" i="39"/>
  <c r="BV111" i="39"/>
  <c r="BO112" i="39"/>
  <c r="BL112" i="39"/>
  <c r="BN116" i="39"/>
  <c r="BU116" i="39"/>
  <c r="BU118" i="39" s="1"/>
  <c r="CH124" i="39"/>
  <c r="CA19" i="47" s="1"/>
  <c r="BW119" i="39"/>
  <c r="X124" i="39"/>
  <c r="Q19" i="47" s="1"/>
  <c r="AD124" i="39"/>
  <c r="W19" i="47" s="1"/>
  <c r="CJ127" i="39"/>
  <c r="BN87" i="39"/>
  <c r="BW113" i="39"/>
  <c r="BV113" i="39"/>
  <c r="BQ121" i="39"/>
  <c r="AU124" i="39"/>
  <c r="AX125" i="39" s="1"/>
  <c r="BC124" i="39"/>
  <c r="AV19" i="47" s="1"/>
  <c r="BR101" i="39"/>
  <c r="BR107" i="39" s="1"/>
  <c r="BP105" i="39"/>
  <c r="BQ108" i="39"/>
  <c r="BQ114" i="39" s="1"/>
  <c r="BN117" i="39"/>
  <c r="CC124" i="39"/>
  <c r="BV19" i="47" s="1"/>
  <c r="BN120" i="39"/>
  <c r="BO122" i="39"/>
  <c r="BO123" i="39" s="1"/>
  <c r="BB124" i="39"/>
  <c r="AU19" i="47" s="1"/>
  <c r="BH124" i="39"/>
  <c r="BA19" i="47" s="1"/>
  <c r="CD124" i="39"/>
  <c r="BW19" i="47" s="1"/>
  <c r="CJ124" i="39"/>
  <c r="CC19" i="47" s="1"/>
  <c r="N127" i="39"/>
  <c r="M126" i="39" s="1"/>
  <c r="T127" i="39"/>
  <c r="S126" i="39" s="1"/>
  <c r="BZ127" i="39"/>
  <c r="AL127" i="39"/>
  <c r="BQ87" i="39"/>
  <c r="BO103" i="39"/>
  <c r="BW108" i="39"/>
  <c r="BO109" i="39"/>
  <c r="BP111" i="39"/>
  <c r="BO116" i="39"/>
  <c r="U19" i="47"/>
  <c r="AK124" i="39"/>
  <c r="AD19" i="47" s="1"/>
  <c r="CA124" i="39"/>
  <c r="BT19" i="47" s="1"/>
  <c r="CG124" i="39"/>
  <c r="BZ19" i="47" s="1"/>
  <c r="CE126" i="39"/>
  <c r="W124" i="39"/>
  <c r="AI125" i="39" s="1"/>
  <c r="BP117" i="39"/>
  <c r="BN119" i="39"/>
  <c r="BP120" i="39"/>
  <c r="BP123" i="39" s="1"/>
  <c r="BQ120" i="39"/>
  <c r="BW121" i="39"/>
  <c r="BV121" i="39"/>
  <c r="BD127" i="39"/>
  <c r="Y124" i="39"/>
  <c r="R19" i="47" s="1"/>
  <c r="AP19" i="47"/>
  <c r="AH124" i="39"/>
  <c r="V125" i="39" s="1"/>
  <c r="AZ124" i="39"/>
  <c r="AY19" i="47"/>
  <c r="BZ124" i="39"/>
  <c r="BS19" i="47" s="1"/>
  <c r="CF124" i="39"/>
  <c r="Z127" i="39"/>
  <c r="CB127" i="39"/>
  <c r="BV122" i="39"/>
  <c r="BJ167" i="40" l="1"/>
  <c r="BW167" i="40"/>
  <c r="AS20" i="47"/>
  <c r="BI167" i="40"/>
  <c r="BP124" i="40"/>
  <c r="AN20" i="47"/>
  <c r="AX167" i="40"/>
  <c r="BQ51" i="40"/>
  <c r="BI125" i="39"/>
  <c r="AT19" i="47"/>
  <c r="BJ125" i="39"/>
  <c r="BQ36" i="39"/>
  <c r="AX126" i="39"/>
  <c r="AX168" i="40"/>
  <c r="BI168" i="40"/>
  <c r="I168" i="40"/>
  <c r="J168" i="40"/>
  <c r="BI126" i="39"/>
  <c r="J126" i="39"/>
  <c r="BJ126" i="39"/>
  <c r="BW72" i="39"/>
  <c r="CE168" i="40"/>
  <c r="BQ165" i="40"/>
  <c r="BQ151" i="40"/>
  <c r="BN151" i="40"/>
  <c r="BW51" i="40"/>
  <c r="BY167" i="40"/>
  <c r="BS20" i="47"/>
  <c r="BW176" i="40"/>
  <c r="W169" i="40"/>
  <c r="BN102" i="40"/>
  <c r="BP137" i="40"/>
  <c r="BN65" i="39"/>
  <c r="CE125" i="39"/>
  <c r="BY19" i="47"/>
  <c r="BP24" i="39"/>
  <c r="BY126" i="39"/>
  <c r="BW100" i="39"/>
  <c r="W127" i="39"/>
  <c r="BW86" i="39"/>
  <c r="BP79" i="39"/>
  <c r="BN123" i="39"/>
  <c r="BW107" i="39"/>
  <c r="BO56" i="39"/>
  <c r="BQ131" i="39"/>
  <c r="BN108" i="40"/>
  <c r="BP67" i="40"/>
  <c r="BN74" i="40"/>
  <c r="BN155" i="40"/>
  <c r="BP151" i="40"/>
  <c r="BW67" i="40"/>
  <c r="BQ137" i="40"/>
  <c r="BV38" i="40"/>
  <c r="BO38" i="40"/>
  <c r="BN165" i="40"/>
  <c r="BW161" i="40"/>
  <c r="BQ67" i="40"/>
  <c r="BW32" i="40"/>
  <c r="BW44" i="40"/>
  <c r="BN23" i="40"/>
  <c r="AQ20" i="47"/>
  <c r="AT20" i="47"/>
  <c r="BB20" i="47"/>
  <c r="O20" i="47"/>
  <c r="AB20" i="47"/>
  <c r="AA20" i="47"/>
  <c r="AG20" i="47"/>
  <c r="AN127" i="39"/>
  <c r="AA19" i="47"/>
  <c r="AN19" i="47"/>
  <c r="AS19" i="47"/>
  <c r="P19" i="47"/>
  <c r="AG19" i="47"/>
  <c r="AB19" i="47"/>
  <c r="BI127" i="39"/>
  <c r="BP144" i="40"/>
  <c r="BQ88" i="40"/>
  <c r="BW108" i="40"/>
  <c r="BO108" i="40"/>
  <c r="BW74" i="40"/>
  <c r="BV176" i="40"/>
  <c r="BP165" i="40"/>
  <c r="BW144" i="40"/>
  <c r="BQ114" i="40"/>
  <c r="BW124" i="40"/>
  <c r="BV118" i="40"/>
  <c r="BR177" i="40"/>
  <c r="BN176" i="40"/>
  <c r="BO151" i="40"/>
  <c r="BN67" i="40"/>
  <c r="BQ44" i="40"/>
  <c r="BQ124" i="40"/>
  <c r="BW114" i="39"/>
  <c r="BN118" i="39"/>
  <c r="BR86" i="39"/>
  <c r="BO72" i="39"/>
  <c r="BN50" i="39"/>
  <c r="BX131" i="39"/>
  <c r="BN135" i="39"/>
  <c r="BN56" i="39"/>
  <c r="BQ30" i="39"/>
  <c r="BQ18" i="39"/>
  <c r="BW131" i="39"/>
  <c r="BW65" i="39"/>
  <c r="BX134" i="39"/>
  <c r="BP135" i="39"/>
  <c r="BU18" i="39"/>
  <c r="BQ93" i="39"/>
  <c r="BQ123" i="39"/>
  <c r="BR135" i="39"/>
  <c r="BO100" i="39"/>
  <c r="BR79" i="39"/>
  <c r="BX36" i="39"/>
  <c r="BR134" i="39"/>
  <c r="BR136" i="39"/>
  <c r="BW24" i="39"/>
  <c r="BN72" i="39"/>
  <c r="BJ169" i="40"/>
  <c r="BM152" i="40"/>
  <c r="BM39" i="40"/>
  <c r="AG177" i="40"/>
  <c r="BM30" i="40"/>
  <c r="BM20" i="40"/>
  <c r="BP156" i="40"/>
  <c r="BP161" i="40" s="1"/>
  <c r="BN15" i="40"/>
  <c r="BX173" i="40"/>
  <c r="AF171" i="40"/>
  <c r="BO26" i="40"/>
  <c r="AG176" i="40"/>
  <c r="BM14" i="40"/>
  <c r="BM69" i="40"/>
  <c r="BT69" i="40"/>
  <c r="BS69" i="40"/>
  <c r="BQ173" i="40"/>
  <c r="AE172" i="40"/>
  <c r="BN33" i="40"/>
  <c r="BP16" i="40"/>
  <c r="BO176" i="40"/>
  <c r="BM34" i="40"/>
  <c r="BT34" i="40"/>
  <c r="BS34" i="40"/>
  <c r="BL160" i="40"/>
  <c r="AM166" i="40"/>
  <c r="BM157" i="40"/>
  <c r="BS157" i="40"/>
  <c r="BT157" i="40"/>
  <c r="W166" i="40"/>
  <c r="AI167" i="40" s="1"/>
  <c r="BM162" i="40"/>
  <c r="BM165" i="40" s="1"/>
  <c r="BM145" i="40"/>
  <c r="BP128" i="40"/>
  <c r="BP130" i="40" s="1"/>
  <c r="BN137" i="40"/>
  <c r="BV137" i="40"/>
  <c r="BL153" i="40"/>
  <c r="BM132" i="40"/>
  <c r="BT132" i="40"/>
  <c r="BS132" i="40"/>
  <c r="BS113" i="40"/>
  <c r="BM113" i="40"/>
  <c r="BT113" i="40"/>
  <c r="BO125" i="40"/>
  <c r="BO127" i="40" s="1"/>
  <c r="BV109" i="40"/>
  <c r="BV110" i="40" s="1"/>
  <c r="BL85" i="40"/>
  <c r="BM96" i="40"/>
  <c r="BT96" i="40"/>
  <c r="BS96" i="40"/>
  <c r="BN75" i="40"/>
  <c r="BN81" i="40" s="1"/>
  <c r="BM105" i="40"/>
  <c r="BT105" i="40"/>
  <c r="BS105" i="40"/>
  <c r="BM80" i="40"/>
  <c r="BS80" i="40"/>
  <c r="BT80" i="40"/>
  <c r="BR81" i="40"/>
  <c r="AO173" i="40"/>
  <c r="BP55" i="40"/>
  <c r="BP88" i="40"/>
  <c r="BU178" i="40"/>
  <c r="BV108" i="40"/>
  <c r="BL83" i="40"/>
  <c r="BW81" i="40"/>
  <c r="BM86" i="40"/>
  <c r="BT86" i="40"/>
  <c r="BS86" i="40"/>
  <c r="BM50" i="40"/>
  <c r="BT50" i="40"/>
  <c r="BS50" i="40"/>
  <c r="AO171" i="40"/>
  <c r="BP26" i="40"/>
  <c r="BI169" i="40"/>
  <c r="BP179" i="40"/>
  <c r="BM66" i="40"/>
  <c r="BT66" i="40"/>
  <c r="BS66" i="40"/>
  <c r="BU171" i="40"/>
  <c r="BU32" i="40"/>
  <c r="BS46" i="40"/>
  <c r="BM46" i="40"/>
  <c r="BT46" i="40"/>
  <c r="BP81" i="40"/>
  <c r="BM64" i="40"/>
  <c r="BT64" i="40"/>
  <c r="BS64" i="40"/>
  <c r="AQ173" i="40"/>
  <c r="BQ176" i="40"/>
  <c r="BL97" i="40"/>
  <c r="BM43" i="40"/>
  <c r="BS43" i="40"/>
  <c r="BT43" i="40"/>
  <c r="BX172" i="40"/>
  <c r="BX38" i="40"/>
  <c r="BS37" i="40"/>
  <c r="BT37" i="40"/>
  <c r="BM37" i="40"/>
  <c r="BX171" i="40"/>
  <c r="BX32" i="40"/>
  <c r="BS104" i="40"/>
  <c r="BM104" i="40"/>
  <c r="BT104" i="40"/>
  <c r="BS31" i="40"/>
  <c r="BT31" i="40"/>
  <c r="BM31" i="40"/>
  <c r="BP23" i="40"/>
  <c r="BM18" i="40"/>
  <c r="BT18" i="40"/>
  <c r="BS18" i="40"/>
  <c r="AP177" i="40"/>
  <c r="BQ171" i="40"/>
  <c r="BV125" i="40"/>
  <c r="BV89" i="40"/>
  <c r="BV92" i="40" s="1"/>
  <c r="BM100" i="40"/>
  <c r="BT100" i="40"/>
  <c r="BS100" i="40"/>
  <c r="BM112" i="40"/>
  <c r="BT112" i="40"/>
  <c r="BS112" i="40"/>
  <c r="BP115" i="40"/>
  <c r="BP118" i="40" s="1"/>
  <c r="BT160" i="40"/>
  <c r="BS160" i="40"/>
  <c r="BM160" i="40"/>
  <c r="CE167" i="40"/>
  <c r="BL163" i="40"/>
  <c r="BV152" i="40"/>
  <c r="BV155" i="40" s="1"/>
  <c r="BV156" i="40"/>
  <c r="BV161" i="40" s="1"/>
  <c r="BT142" i="40"/>
  <c r="BM142" i="40"/>
  <c r="BS142" i="40"/>
  <c r="BM149" i="40"/>
  <c r="BT149" i="40"/>
  <c r="BS149" i="40"/>
  <c r="BM131" i="40"/>
  <c r="BO152" i="40"/>
  <c r="BO155" i="40" s="1"/>
  <c r="BL132" i="40"/>
  <c r="BV111" i="40"/>
  <c r="BV114" i="40" s="1"/>
  <c r="BM117" i="40"/>
  <c r="BT117" i="40"/>
  <c r="BS117" i="40"/>
  <c r="BR88" i="40"/>
  <c r="BL113" i="40"/>
  <c r="BM87" i="40"/>
  <c r="BT87" i="40"/>
  <c r="BS87" i="40"/>
  <c r="BS84" i="40"/>
  <c r="BM84" i="40"/>
  <c r="BT84" i="40"/>
  <c r="BW173" i="40"/>
  <c r="BW178" i="40"/>
  <c r="BW53" i="40"/>
  <c r="BM107" i="40"/>
  <c r="BT107" i="40"/>
  <c r="BS107" i="40"/>
  <c r="BO53" i="40"/>
  <c r="BN114" i="40"/>
  <c r="BM89" i="40"/>
  <c r="BN88" i="40"/>
  <c r="BQ177" i="40"/>
  <c r="BL86" i="40"/>
  <c r="BL70" i="40"/>
  <c r="BL41" i="40"/>
  <c r="AF170" i="40"/>
  <c r="BO12" i="40"/>
  <c r="BO51" i="40"/>
  <c r="BX176" i="40"/>
  <c r="BM49" i="40"/>
  <c r="BS49" i="40"/>
  <c r="BT49" i="40"/>
  <c r="BR44" i="40"/>
  <c r="AF172" i="40"/>
  <c r="BL17" i="40"/>
  <c r="BK176" i="40"/>
  <c r="BT97" i="40"/>
  <c r="BM97" i="40"/>
  <c r="BS97" i="40"/>
  <c r="BO75" i="40"/>
  <c r="BO81" i="40" s="1"/>
  <c r="BM61" i="40"/>
  <c r="BS56" i="40"/>
  <c r="BM56" i="40"/>
  <c r="BT56" i="40"/>
  <c r="BQ172" i="40"/>
  <c r="BX170" i="40"/>
  <c r="BX15" i="40"/>
  <c r="BO173" i="40"/>
  <c r="BW171" i="40"/>
  <c r="BT71" i="40"/>
  <c r="BM71" i="40"/>
  <c r="BS71" i="40"/>
  <c r="BP74" i="40"/>
  <c r="BX60" i="40"/>
  <c r="BW172" i="40"/>
  <c r="BW38" i="40"/>
  <c r="BP177" i="40"/>
  <c r="BW170" i="40"/>
  <c r="BW15" i="40"/>
  <c r="BS27" i="40"/>
  <c r="BT27" i="40"/>
  <c r="BM27" i="40"/>
  <c r="BL34" i="40"/>
  <c r="BW60" i="40"/>
  <c r="BN32" i="40"/>
  <c r="BM128" i="40"/>
  <c r="BM115" i="40"/>
  <c r="BS65" i="40"/>
  <c r="BM65" i="40"/>
  <c r="BT65" i="40"/>
  <c r="BM93" i="40"/>
  <c r="BV39" i="40"/>
  <c r="AP179" i="40"/>
  <c r="AE178" i="40"/>
  <c r="BN52" i="40"/>
  <c r="BM58" i="40"/>
  <c r="BT58" i="40"/>
  <c r="BS58" i="40"/>
  <c r="AE166" i="40"/>
  <c r="BN156" i="40"/>
  <c r="BN161" i="40" s="1"/>
  <c r="BL149" i="40"/>
  <c r="BP125" i="40"/>
  <c r="BP127" i="40" s="1"/>
  <c r="BM141" i="40"/>
  <c r="BT141" i="40"/>
  <c r="BS141" i="40"/>
  <c r="BL129" i="40"/>
  <c r="BL126" i="40"/>
  <c r="BO137" i="40"/>
  <c r="BO111" i="40"/>
  <c r="BO114" i="40" s="1"/>
  <c r="BM122" i="40"/>
  <c r="BT122" i="40"/>
  <c r="BS122" i="40"/>
  <c r="BN116" i="40"/>
  <c r="BN118" i="40" s="1"/>
  <c r="BO109" i="40"/>
  <c r="BO110" i="40" s="1"/>
  <c r="BL87" i="40"/>
  <c r="BV68" i="40"/>
  <c r="BV74" i="40" s="1"/>
  <c r="BQ178" i="40"/>
  <c r="BQ53" i="40"/>
  <c r="BN54" i="40"/>
  <c r="BM101" i="40"/>
  <c r="BT101" i="40"/>
  <c r="BS101" i="40"/>
  <c r="BU173" i="40"/>
  <c r="BN98" i="40"/>
  <c r="BT83" i="40"/>
  <c r="BS83" i="40"/>
  <c r="BM83" i="40"/>
  <c r="BT73" i="40"/>
  <c r="BM73" i="40"/>
  <c r="BS73" i="40"/>
  <c r="BN45" i="40"/>
  <c r="BN51" i="40" s="1"/>
  <c r="BU179" i="40"/>
  <c r="BU25" i="40"/>
  <c r="BL66" i="40"/>
  <c r="BV21" i="40"/>
  <c r="BV23" i="40" s="1"/>
  <c r="BM68" i="40"/>
  <c r="BS78" i="40"/>
  <c r="BM78" i="40"/>
  <c r="BT78" i="40"/>
  <c r="BX178" i="40"/>
  <c r="BS63" i="40"/>
  <c r="BM63" i="40"/>
  <c r="BT63" i="40"/>
  <c r="AF177" i="40"/>
  <c r="BO30" i="40"/>
  <c r="BO177" i="40" s="1"/>
  <c r="AQ177" i="40"/>
  <c r="BR171" i="40"/>
  <c r="BR32" i="40"/>
  <c r="BR170" i="40"/>
  <c r="BR15" i="40"/>
  <c r="AP176" i="40"/>
  <c r="BO98" i="40"/>
  <c r="BV81" i="40"/>
  <c r="BK177" i="40"/>
  <c r="BV30" i="40"/>
  <c r="BV177" i="40" s="1"/>
  <c r="BW179" i="40"/>
  <c r="BW25" i="40"/>
  <c r="BO20" i="40"/>
  <c r="BO23" i="40" s="1"/>
  <c r="BQ170" i="40"/>
  <c r="BQ15" i="40"/>
  <c r="BL104" i="40"/>
  <c r="BO67" i="40"/>
  <c r="BP44" i="40"/>
  <c r="BN177" i="40"/>
  <c r="BM13" i="40"/>
  <c r="BT13" i="40"/>
  <c r="BS13" i="40"/>
  <c r="BO156" i="40"/>
  <c r="BO161" i="40" s="1"/>
  <c r="BM134" i="40"/>
  <c r="BT134" i="40"/>
  <c r="BS134" i="40"/>
  <c r="BO99" i="40"/>
  <c r="BO102" i="40" s="1"/>
  <c r="BP99" i="40"/>
  <c r="BP102" i="40" s="1"/>
  <c r="BL105" i="40"/>
  <c r="BO74" i="40"/>
  <c r="BT158" i="40"/>
  <c r="BM158" i="40"/>
  <c r="BS158" i="40"/>
  <c r="BP152" i="40"/>
  <c r="BP155" i="40" s="1"/>
  <c r="BM159" i="40"/>
  <c r="BS159" i="40"/>
  <c r="BT159" i="40"/>
  <c r="BT150" i="40"/>
  <c r="BS150" i="40"/>
  <c r="BM150" i="40"/>
  <c r="BS148" i="40"/>
  <c r="BT148" i="40"/>
  <c r="BM148" i="40"/>
  <c r="BV145" i="40"/>
  <c r="BV151" i="40" s="1"/>
  <c r="BV130" i="40"/>
  <c r="BT154" i="40"/>
  <c r="BM154" i="40"/>
  <c r="BS154" i="40"/>
  <c r="BO128" i="40"/>
  <c r="BO130" i="40" s="1"/>
  <c r="BM139" i="40"/>
  <c r="BT139" i="40"/>
  <c r="BS139" i="40"/>
  <c r="BS123" i="40"/>
  <c r="BT123" i="40"/>
  <c r="BM123" i="40"/>
  <c r="BS136" i="40"/>
  <c r="BM136" i="40"/>
  <c r="BT136" i="40"/>
  <c r="BM103" i="40"/>
  <c r="BP93" i="40"/>
  <c r="BP98" i="40" s="1"/>
  <c r="BV82" i="40"/>
  <c r="BV88" i="40" s="1"/>
  <c r="BR98" i="40"/>
  <c r="BO82" i="40"/>
  <c r="BO88" i="40" s="1"/>
  <c r="BR173" i="40"/>
  <c r="BL77" i="40"/>
  <c r="AE173" i="40"/>
  <c r="BN55" i="40"/>
  <c r="BN173" i="40" s="1"/>
  <c r="BK178" i="40"/>
  <c r="BV52" i="40"/>
  <c r="AF178" i="40"/>
  <c r="BL65" i="40"/>
  <c r="BR60" i="40"/>
  <c r="BN40" i="40"/>
  <c r="BU172" i="40"/>
  <c r="BU38" i="40"/>
  <c r="AF179" i="40"/>
  <c r="BO24" i="40"/>
  <c r="AO176" i="40"/>
  <c r="BP14" i="40"/>
  <c r="BR178" i="40"/>
  <c r="BR53" i="40"/>
  <c r="BT35" i="40"/>
  <c r="BM35" i="40"/>
  <c r="BS35" i="40"/>
  <c r="AX169" i="40"/>
  <c r="BS72" i="40"/>
  <c r="BM72" i="40"/>
  <c r="BT72" i="40"/>
  <c r="BV45" i="40"/>
  <c r="BV51" i="40" s="1"/>
  <c r="BT42" i="40"/>
  <c r="BS42" i="40"/>
  <c r="BM42" i="40"/>
  <c r="BK174" i="40"/>
  <c r="BV28" i="40"/>
  <c r="BK171" i="40"/>
  <c r="BN16" i="40"/>
  <c r="BN19" i="40" s="1"/>
  <c r="AN169" i="40"/>
  <c r="BW177" i="40"/>
  <c r="BQ179" i="40"/>
  <c r="BQ25" i="40"/>
  <c r="BK170" i="40"/>
  <c r="BV12" i="40"/>
  <c r="AO177" i="40"/>
  <c r="BT29" i="40"/>
  <c r="BM29" i="40"/>
  <c r="BS29" i="40"/>
  <c r="AE171" i="40"/>
  <c r="BM153" i="40"/>
  <c r="BS153" i="40"/>
  <c r="BT153" i="40"/>
  <c r="BN120" i="40"/>
  <c r="BN124" i="40" s="1"/>
  <c r="BL80" i="40"/>
  <c r="AO178" i="40"/>
  <c r="BP52" i="40"/>
  <c r="BV16" i="40"/>
  <c r="BV19" i="40" s="1"/>
  <c r="BU170" i="40"/>
  <c r="BU15" i="40"/>
  <c r="BO39" i="40"/>
  <c r="BO44" i="40" s="1"/>
  <c r="BK172" i="40"/>
  <c r="BJ166" i="40"/>
  <c r="BX167" i="40" s="1"/>
  <c r="BV165" i="40"/>
  <c r="BT147" i="40"/>
  <c r="BS147" i="40"/>
  <c r="BM147" i="40"/>
  <c r="BN138" i="40"/>
  <c r="BN144" i="40" s="1"/>
  <c r="BL148" i="40"/>
  <c r="BW151" i="40"/>
  <c r="BO119" i="40"/>
  <c r="BO124" i="40" s="1"/>
  <c r="BS146" i="40"/>
  <c r="BM146" i="40"/>
  <c r="BT146" i="40"/>
  <c r="BO144" i="40"/>
  <c r="BT135" i="40"/>
  <c r="BS135" i="40"/>
  <c r="BM135" i="40"/>
  <c r="BT129" i="40"/>
  <c r="BS129" i="40"/>
  <c r="BM129" i="40"/>
  <c r="BM143" i="40"/>
  <c r="BT143" i="40"/>
  <c r="BS143" i="40"/>
  <c r="BM133" i="40"/>
  <c r="BT133" i="40"/>
  <c r="BS133" i="40"/>
  <c r="BV124" i="40"/>
  <c r="BO115" i="40"/>
  <c r="BO118" i="40" s="1"/>
  <c r="BV99" i="40"/>
  <c r="BV102" i="40" s="1"/>
  <c r="BS121" i="40"/>
  <c r="BM121" i="40"/>
  <c r="BT121" i="40"/>
  <c r="BW114" i="40"/>
  <c r="BV93" i="40"/>
  <c r="BV98" i="40" s="1"/>
  <c r="BM106" i="40"/>
  <c r="BT106" i="40"/>
  <c r="BS106" i="40"/>
  <c r="BO54" i="40"/>
  <c r="BO60" i="40" s="1"/>
  <c r="BP111" i="40"/>
  <c r="BP114" i="40" s="1"/>
  <c r="BO89" i="40"/>
  <c r="BO92" i="40" s="1"/>
  <c r="BL79" i="40"/>
  <c r="BV54" i="40"/>
  <c r="BP92" i="40"/>
  <c r="BK173" i="40"/>
  <c r="BV55" i="40"/>
  <c r="BV173" i="40" s="1"/>
  <c r="AP174" i="40"/>
  <c r="BM57" i="40"/>
  <c r="BT57" i="40"/>
  <c r="BS57" i="40"/>
  <c r="BV67" i="40"/>
  <c r="BN179" i="40"/>
  <c r="BN25" i="40"/>
  <c r="BL18" i="40"/>
  <c r="BN90" i="40"/>
  <c r="BN92" i="40" s="1"/>
  <c r="BR172" i="40"/>
  <c r="BR38" i="40"/>
  <c r="AO174" i="40"/>
  <c r="BP28" i="40"/>
  <c r="BP174" i="40" s="1"/>
  <c r="AO170" i="40"/>
  <c r="BS62" i="40"/>
  <c r="BM62" i="40"/>
  <c r="BT62" i="40"/>
  <c r="BL50" i="40"/>
  <c r="BP51" i="40"/>
  <c r="AG174" i="40"/>
  <c r="BM28" i="40"/>
  <c r="BM174" i="40" s="1"/>
  <c r="BR179" i="40"/>
  <c r="BR25" i="40"/>
  <c r="V169" i="40"/>
  <c r="BL69" i="40"/>
  <c r="AO172" i="40"/>
  <c r="BP33" i="40"/>
  <c r="BK179" i="40"/>
  <c r="BV24" i="40"/>
  <c r="AM169" i="40"/>
  <c r="AO168" i="40" s="1"/>
  <c r="AQ176" i="40"/>
  <c r="BS22" i="40"/>
  <c r="BT22" i="40"/>
  <c r="BM22" i="40"/>
  <c r="BT21" i="40"/>
  <c r="BS21" i="40"/>
  <c r="BM21" i="40"/>
  <c r="BT36" i="40"/>
  <c r="BS36" i="40"/>
  <c r="BM36" i="40"/>
  <c r="BM45" i="39"/>
  <c r="BM46" i="39" s="1"/>
  <c r="BM110" i="39"/>
  <c r="BT110" i="39"/>
  <c r="BS110" i="39"/>
  <c r="BL66" i="39"/>
  <c r="BM19" i="39"/>
  <c r="BS90" i="39"/>
  <c r="BT90" i="39"/>
  <c r="BM90" i="39"/>
  <c r="BV116" i="39"/>
  <c r="BV118" i="39" s="1"/>
  <c r="BM115" i="39"/>
  <c r="BM81" i="39"/>
  <c r="BT81" i="39"/>
  <c r="BS81" i="39"/>
  <c r="BT109" i="39"/>
  <c r="BS109" i="39"/>
  <c r="BM109" i="39"/>
  <c r="BM73" i="39"/>
  <c r="BS70" i="39"/>
  <c r="BT70" i="39"/>
  <c r="BM70" i="39"/>
  <c r="BR130" i="39"/>
  <c r="BR42" i="39"/>
  <c r="BS38" i="39"/>
  <c r="BM38" i="39"/>
  <c r="BT38" i="39"/>
  <c r="BN137" i="39"/>
  <c r="BN13" i="39"/>
  <c r="AQ130" i="39"/>
  <c r="AE128" i="39"/>
  <c r="BN14" i="39"/>
  <c r="BM62" i="39"/>
  <c r="BT62" i="39"/>
  <c r="BS62" i="39"/>
  <c r="BR131" i="39"/>
  <c r="BR30" i="39"/>
  <c r="AO134" i="39"/>
  <c r="BP17" i="39"/>
  <c r="BP134" i="39" s="1"/>
  <c r="AF137" i="39"/>
  <c r="BO12" i="39"/>
  <c r="AE136" i="39"/>
  <c r="BN43" i="39"/>
  <c r="BV13" i="39"/>
  <c r="AO131" i="39"/>
  <c r="BY125" i="39"/>
  <c r="AM124" i="39"/>
  <c r="V124" i="39"/>
  <c r="AH125" i="39" s="1"/>
  <c r="BL117" i="39"/>
  <c r="BW123" i="39"/>
  <c r="BL92" i="39"/>
  <c r="AX124" i="39"/>
  <c r="BU125" i="39" s="1"/>
  <c r="BO101" i="39"/>
  <c r="BO107" i="39" s="1"/>
  <c r="BM87" i="39"/>
  <c r="BM120" i="39"/>
  <c r="BT120" i="39"/>
  <c r="BS120" i="39"/>
  <c r="BL113" i="39"/>
  <c r="BV80" i="39"/>
  <c r="BV86" i="39" s="1"/>
  <c r="BV100" i="39"/>
  <c r="BP80" i="39"/>
  <c r="BP86" i="39" s="1"/>
  <c r="BP115" i="39"/>
  <c r="BP118" i="39" s="1"/>
  <c r="BK130" i="39"/>
  <c r="BV37" i="39"/>
  <c r="BM41" i="39"/>
  <c r="BT41" i="39"/>
  <c r="BM97" i="39"/>
  <c r="BT97" i="39"/>
  <c r="BS97" i="39"/>
  <c r="BL60" i="39"/>
  <c r="BM47" i="39"/>
  <c r="AF136" i="39"/>
  <c r="BO43" i="39"/>
  <c r="BM77" i="39"/>
  <c r="BT77" i="39"/>
  <c r="BS77" i="39"/>
  <c r="BL55" i="39"/>
  <c r="BM40" i="39"/>
  <c r="BT40" i="39"/>
  <c r="BS40" i="39"/>
  <c r="BU131" i="39"/>
  <c r="BU30" i="39"/>
  <c r="BR128" i="39"/>
  <c r="BR18" i="39"/>
  <c r="AO137" i="39"/>
  <c r="BP12" i="39"/>
  <c r="BT67" i="39"/>
  <c r="BM67" i="39"/>
  <c r="BP31" i="39"/>
  <c r="BV30" i="39"/>
  <c r="BW135" i="39"/>
  <c r="AQ134" i="39"/>
  <c r="V127" i="39"/>
  <c r="BK134" i="39"/>
  <c r="BV17" i="39"/>
  <c r="BV134" i="39" s="1"/>
  <c r="AX127" i="39"/>
  <c r="BV36" i="39"/>
  <c r="BM71" i="39"/>
  <c r="BT71" i="39"/>
  <c r="BS71" i="39"/>
  <c r="BP101" i="39"/>
  <c r="BP107" i="39" s="1"/>
  <c r="BQ135" i="39"/>
  <c r="BL97" i="39"/>
  <c r="BV57" i="39"/>
  <c r="BV58" i="39" s="1"/>
  <c r="BM26" i="39"/>
  <c r="BT26" i="39"/>
  <c r="BS26" i="39"/>
  <c r="BO115" i="39"/>
  <c r="BO118" i="39" s="1"/>
  <c r="BI124" i="39"/>
  <c r="BN93" i="39"/>
  <c r="BM116" i="39"/>
  <c r="BT116" i="39"/>
  <c r="BS116" i="39"/>
  <c r="BS119" i="39"/>
  <c r="BN102" i="39"/>
  <c r="BN107" i="39" s="1"/>
  <c r="BO93" i="39"/>
  <c r="BT103" i="39"/>
  <c r="BM103" i="39"/>
  <c r="BS103" i="39"/>
  <c r="BP87" i="39"/>
  <c r="BP93" i="39" s="1"/>
  <c r="BN86" i="39"/>
  <c r="BV73" i="39"/>
  <c r="BV79" i="39" s="1"/>
  <c r="BQ136" i="39"/>
  <c r="BQ44" i="39"/>
  <c r="BL95" i="39"/>
  <c r="BV87" i="39"/>
  <c r="BV93" i="39" s="1"/>
  <c r="BP51" i="39"/>
  <c r="BP56" i="39" s="1"/>
  <c r="BN79" i="39"/>
  <c r="BO65" i="39"/>
  <c r="BW130" i="39"/>
  <c r="BW42" i="39"/>
  <c r="BL69" i="39"/>
  <c r="BO48" i="39"/>
  <c r="BO50" i="39" s="1"/>
  <c r="BT122" i="39"/>
  <c r="BS122" i="39"/>
  <c r="BM122" i="39"/>
  <c r="BM60" i="39"/>
  <c r="BT60" i="39"/>
  <c r="BS60" i="39"/>
  <c r="BL77" i="39"/>
  <c r="BL70" i="39"/>
  <c r="BS53" i="39"/>
  <c r="BM53" i="39"/>
  <c r="BT53" i="39"/>
  <c r="BV56" i="39"/>
  <c r="BL40" i="39"/>
  <c r="BN130" i="39"/>
  <c r="BN42" i="39"/>
  <c r="BN31" i="39"/>
  <c r="BN36" i="39" s="1"/>
  <c r="AF135" i="39"/>
  <c r="AQ135" i="39"/>
  <c r="BO22" i="39"/>
  <c r="BO135" i="39" s="1"/>
  <c r="BK128" i="39"/>
  <c r="BV14" i="39"/>
  <c r="AP137" i="39"/>
  <c r="BX135" i="39"/>
  <c r="AF131" i="39"/>
  <c r="BO25" i="39"/>
  <c r="BQ129" i="39"/>
  <c r="BQ24" i="39"/>
  <c r="BW128" i="39"/>
  <c r="BW18" i="39"/>
  <c r="BV45" i="39"/>
  <c r="BV46" i="39" s="1"/>
  <c r="BU129" i="39"/>
  <c r="BU24" i="39"/>
  <c r="BW134" i="39"/>
  <c r="BM54" i="39"/>
  <c r="BT54" i="39"/>
  <c r="BS54" i="39"/>
  <c r="BT16" i="39"/>
  <c r="BM16" i="39"/>
  <c r="BS16" i="39"/>
  <c r="BO31" i="39"/>
  <c r="BO36" i="39" s="1"/>
  <c r="AF124" i="39"/>
  <c r="BO125" i="39" s="1"/>
  <c r="BM15" i="39"/>
  <c r="BT15" i="39"/>
  <c r="BS15" i="39"/>
  <c r="BP108" i="39"/>
  <c r="BP114" i="39" s="1"/>
  <c r="BM121" i="39"/>
  <c r="BT121" i="39"/>
  <c r="BS121" i="39"/>
  <c r="BN108" i="39"/>
  <c r="BN114" i="39" s="1"/>
  <c r="BL116" i="39"/>
  <c r="BT119" i="39"/>
  <c r="BS84" i="39"/>
  <c r="BM84" i="39"/>
  <c r="BT84" i="39"/>
  <c r="BW79" i="39"/>
  <c r="BL104" i="39"/>
  <c r="BS99" i="39"/>
  <c r="BT99" i="39"/>
  <c r="BM99" i="39"/>
  <c r="BT89" i="39"/>
  <c r="BS89" i="39"/>
  <c r="BM89" i="39"/>
  <c r="BW93" i="39"/>
  <c r="BM39" i="39"/>
  <c r="BT39" i="39"/>
  <c r="BS39" i="39"/>
  <c r="BQ134" i="39"/>
  <c r="BS80" i="39"/>
  <c r="BM59" i="39"/>
  <c r="BM51" i="39"/>
  <c r="BL39" i="39"/>
  <c r="BL53" i="39"/>
  <c r="BL68" i="39"/>
  <c r="AG130" i="39"/>
  <c r="BM37" i="39"/>
  <c r="AF128" i="39"/>
  <c r="BO14" i="39"/>
  <c r="BT49" i="39"/>
  <c r="BS49" i="39"/>
  <c r="BM49" i="39"/>
  <c r="AO129" i="39"/>
  <c r="AO135" i="39"/>
  <c r="BP18" i="39"/>
  <c r="BT52" i="39"/>
  <c r="BM52" i="39"/>
  <c r="BS52" i="39"/>
  <c r="BK131" i="39"/>
  <c r="AM127" i="39"/>
  <c r="BK136" i="39"/>
  <c r="BV43" i="39"/>
  <c r="BO130" i="39"/>
  <c r="BO42" i="39"/>
  <c r="BX137" i="39"/>
  <c r="BV108" i="39"/>
  <c r="BV114" i="39" s="1"/>
  <c r="BM88" i="39"/>
  <c r="BS88" i="39"/>
  <c r="BT88" i="39"/>
  <c r="BT64" i="39"/>
  <c r="BM64" i="39"/>
  <c r="BS64" i="39"/>
  <c r="BV47" i="39"/>
  <c r="BV50" i="39" s="1"/>
  <c r="BK135" i="39"/>
  <c r="BV22" i="39"/>
  <c r="BV135" i="39" s="1"/>
  <c r="BO110" i="39"/>
  <c r="BO114" i="39" s="1"/>
  <c r="BL110" i="39"/>
  <c r="BQ100" i="39"/>
  <c r="BL91" i="39"/>
  <c r="BT106" i="39"/>
  <c r="BM106" i="39"/>
  <c r="BS106" i="39"/>
  <c r="BL103" i="39"/>
  <c r="BS76" i="39"/>
  <c r="BM76" i="39"/>
  <c r="BT76" i="39"/>
  <c r="BL109" i="39"/>
  <c r="BQ130" i="39"/>
  <c r="BQ42" i="39"/>
  <c r="BV101" i="39"/>
  <c r="BV107" i="39" s="1"/>
  <c r="BS74" i="39"/>
  <c r="BT74" i="39"/>
  <c r="BM74" i="39"/>
  <c r="AO130" i="39"/>
  <c r="BP37" i="39"/>
  <c r="BO45" i="39"/>
  <c r="BO46" i="39" s="1"/>
  <c r="BM85" i="39"/>
  <c r="BS85" i="39"/>
  <c r="BT85" i="39"/>
  <c r="BM57" i="39"/>
  <c r="BM58" i="39" s="1"/>
  <c r="BN100" i="39"/>
  <c r="BM68" i="39"/>
  <c r="BM72" i="39" s="1"/>
  <c r="BS68" i="39"/>
  <c r="BT68" i="39"/>
  <c r="BK129" i="39"/>
  <c r="BV19" i="39"/>
  <c r="BJ127" i="39"/>
  <c r="BP44" i="39"/>
  <c r="AP135" i="39"/>
  <c r="BL34" i="39"/>
  <c r="BT29" i="39"/>
  <c r="BS29" i="39"/>
  <c r="BM29" i="39"/>
  <c r="AE131" i="39"/>
  <c r="BN25" i="39"/>
  <c r="AE134" i="39"/>
  <c r="BN17" i="39"/>
  <c r="BN134" i="39" s="1"/>
  <c r="BW136" i="39"/>
  <c r="BW44" i="39"/>
  <c r="BL26" i="39"/>
  <c r="BN24" i="39"/>
  <c r="BU128" i="39"/>
  <c r="BX18" i="39"/>
  <c r="BV119" i="39"/>
  <c r="BV123" i="39" s="1"/>
  <c r="BP94" i="39"/>
  <c r="BP100" i="39" s="1"/>
  <c r="BL111" i="39"/>
  <c r="BT66" i="39"/>
  <c r="BM94" i="39"/>
  <c r="BP59" i="39"/>
  <c r="BP65" i="39" s="1"/>
  <c r="BJ124" i="39"/>
  <c r="BX125" i="39" s="1"/>
  <c r="AE124" i="39"/>
  <c r="BM117" i="39"/>
  <c r="BT117" i="39"/>
  <c r="BS117" i="39"/>
  <c r="BM111" i="39"/>
  <c r="BS111" i="39"/>
  <c r="BT111" i="39"/>
  <c r="BT98" i="39"/>
  <c r="BM98" i="39"/>
  <c r="BS98" i="39"/>
  <c r="BL105" i="39"/>
  <c r="BL76" i="39"/>
  <c r="BV59" i="39"/>
  <c r="BV65" i="39" s="1"/>
  <c r="BO86" i="39"/>
  <c r="BS96" i="39"/>
  <c r="BT96" i="39"/>
  <c r="BM96" i="39"/>
  <c r="BM82" i="39"/>
  <c r="BT82" i="39"/>
  <c r="BS82" i="39"/>
  <c r="BO79" i="39"/>
  <c r="BV66" i="39"/>
  <c r="BV72" i="39" s="1"/>
  <c r="BP57" i="39"/>
  <c r="BP58" i="39" s="1"/>
  <c r="BT80" i="39"/>
  <c r="BP67" i="39"/>
  <c r="BP72" i="39" s="1"/>
  <c r="BM61" i="39"/>
  <c r="BT61" i="39"/>
  <c r="BS61" i="39"/>
  <c r="BM35" i="39"/>
  <c r="BT35" i="39"/>
  <c r="BS35" i="39"/>
  <c r="AF129" i="39"/>
  <c r="BO19" i="39"/>
  <c r="BW137" i="39"/>
  <c r="BW13" i="39"/>
  <c r="BU137" i="39"/>
  <c r="BU13" i="39"/>
  <c r="BL49" i="39"/>
  <c r="AO136" i="39"/>
  <c r="BQ128" i="39"/>
  <c r="BS23" i="39"/>
  <c r="BM23" i="39"/>
  <c r="BT23" i="39"/>
  <c r="AO128" i="39"/>
  <c r="BL63" i="39"/>
  <c r="BO134" i="39"/>
  <c r="BR137" i="39"/>
  <c r="BR13" i="39"/>
  <c r="BM33" i="39"/>
  <c r="BT33" i="39"/>
  <c r="BS33" i="39"/>
  <c r="BL21" i="39"/>
  <c r="BM28" i="39"/>
  <c r="BT28" i="39"/>
  <c r="BS28" i="39"/>
  <c r="BP30" i="39"/>
  <c r="BX128" i="39"/>
  <c r="BK167" i="40" l="1"/>
  <c r="X20" i="47"/>
  <c r="BN167" i="40"/>
  <c r="AF20" i="47"/>
  <c r="BQ167" i="40"/>
  <c r="AO167" i="40"/>
  <c r="BB19" i="47"/>
  <c r="BW125" i="39"/>
  <c r="BK125" i="39"/>
  <c r="AF19" i="47"/>
  <c r="AO125" i="39"/>
  <c r="BQ125" i="39"/>
  <c r="X19" i="47"/>
  <c r="BN125" i="39"/>
  <c r="AG125" i="39"/>
  <c r="BK168" i="40"/>
  <c r="AO126" i="39"/>
  <c r="BK126" i="39"/>
  <c r="BN171" i="40"/>
  <c r="BX124" i="39"/>
  <c r="BQ19" i="47" s="1"/>
  <c r="BM123" i="39"/>
  <c r="BQ124" i="39"/>
  <c r="BT86" i="39"/>
  <c r="BV131" i="39"/>
  <c r="AE169" i="40"/>
  <c r="AO169" i="40"/>
  <c r="BK166" i="40"/>
  <c r="BD20" i="47" s="1"/>
  <c r="P20" i="47"/>
  <c r="BC19" i="47"/>
  <c r="AQ19" i="47"/>
  <c r="O19" i="47"/>
  <c r="BU124" i="39"/>
  <c r="BN19" i="47" s="1"/>
  <c r="Y19" i="47"/>
  <c r="BR166" i="40"/>
  <c r="BK20" i="47" s="1"/>
  <c r="BO178" i="40"/>
  <c r="BM108" i="40"/>
  <c r="BQ166" i="40"/>
  <c r="BW166" i="40"/>
  <c r="BU166" i="40"/>
  <c r="BN20" i="47" s="1"/>
  <c r="BX166" i="40"/>
  <c r="BQ20" i="47" s="1"/>
  <c r="BN44" i="40"/>
  <c r="BM23" i="40"/>
  <c r="BM86" i="39"/>
  <c r="BM56" i="39"/>
  <c r="BV137" i="39"/>
  <c r="BR124" i="39"/>
  <c r="BK19" i="47" s="1"/>
  <c r="BX169" i="40"/>
  <c r="BC20" i="47"/>
  <c r="BL36" i="40"/>
  <c r="BT61" i="40"/>
  <c r="BT67" i="40" s="1"/>
  <c r="BP171" i="40"/>
  <c r="BP32" i="40"/>
  <c r="AQ172" i="40"/>
  <c r="BT145" i="40"/>
  <c r="BT151" i="40" s="1"/>
  <c r="BS162" i="40"/>
  <c r="BS165" i="40" s="1"/>
  <c r="BL64" i="40"/>
  <c r="AR174" i="40"/>
  <c r="BV60" i="40"/>
  <c r="BM111" i="40"/>
  <c r="BM114" i="40" s="1"/>
  <c r="BM138" i="40"/>
  <c r="BM144" i="40" s="1"/>
  <c r="BL157" i="40"/>
  <c r="AR170" i="40"/>
  <c r="BM82" i="40"/>
  <c r="BM88" i="40" s="1"/>
  <c r="BL121" i="40"/>
  <c r="BT103" i="40"/>
  <c r="BT108" i="40" s="1"/>
  <c r="BL150" i="40"/>
  <c r="BL21" i="40"/>
  <c r="AR176" i="40"/>
  <c r="BT68" i="40"/>
  <c r="BT74" i="40" s="1"/>
  <c r="AQ178" i="40"/>
  <c r="BM54" i="40"/>
  <c r="BS116" i="40"/>
  <c r="BT116" i="40"/>
  <c r="BM116" i="40"/>
  <c r="BM118" i="40" s="1"/>
  <c r="BL135" i="40"/>
  <c r="BL139" i="40"/>
  <c r="BM156" i="40"/>
  <c r="BM161" i="40" s="1"/>
  <c r="AG178" i="40"/>
  <c r="BM52" i="40"/>
  <c r="BV44" i="40"/>
  <c r="BV171" i="40"/>
  <c r="BT115" i="40"/>
  <c r="BL29" i="40"/>
  <c r="BL63" i="40"/>
  <c r="AG170" i="40"/>
  <c r="BM12" i="40"/>
  <c r="BS131" i="40"/>
  <c r="BS137" i="40" s="1"/>
  <c r="BL133" i="40"/>
  <c r="BP173" i="40"/>
  <c r="BP60" i="40"/>
  <c r="BM151" i="40"/>
  <c r="BT162" i="40"/>
  <c r="BT165" i="40" s="1"/>
  <c r="AG172" i="40"/>
  <c r="BM33" i="40"/>
  <c r="BL122" i="40"/>
  <c r="AT177" i="40"/>
  <c r="BT30" i="40"/>
  <c r="BT177" i="40" s="1"/>
  <c r="BK169" i="40"/>
  <c r="AG173" i="40"/>
  <c r="BM55" i="40"/>
  <c r="BM173" i="40" s="1"/>
  <c r="BL143" i="40"/>
  <c r="BL42" i="40"/>
  <c r="BN178" i="40"/>
  <c r="BN53" i="40"/>
  <c r="BW169" i="40"/>
  <c r="BL141" i="40"/>
  <c r="BM176" i="40"/>
  <c r="BS39" i="40"/>
  <c r="BP172" i="40"/>
  <c r="BP38" i="40"/>
  <c r="BL90" i="40"/>
  <c r="BS120" i="40"/>
  <c r="BM120" i="40"/>
  <c r="BT120" i="40"/>
  <c r="BL13" i="40"/>
  <c r="AG179" i="40"/>
  <c r="BM24" i="40"/>
  <c r="BS40" i="40"/>
  <c r="BM40" i="40"/>
  <c r="BM44" i="40" s="1"/>
  <c r="BT40" i="40"/>
  <c r="AP173" i="40"/>
  <c r="BL146" i="40"/>
  <c r="AF166" i="40"/>
  <c r="BO167" i="40" s="1"/>
  <c r="BQ169" i="40"/>
  <c r="BM74" i="40"/>
  <c r="BL116" i="40"/>
  <c r="BS128" i="40"/>
  <c r="BS130" i="40" s="1"/>
  <c r="BL78" i="40"/>
  <c r="BS89" i="40"/>
  <c r="BL100" i="40"/>
  <c r="BL136" i="40"/>
  <c r="BL84" i="40"/>
  <c r="BL27" i="40"/>
  <c r="BL56" i="40"/>
  <c r="BS145" i="40"/>
  <c r="BS151" i="40" s="1"/>
  <c r="BL31" i="40"/>
  <c r="AP172" i="40"/>
  <c r="BN170" i="40"/>
  <c r="BL96" i="40"/>
  <c r="BM177" i="40"/>
  <c r="BT39" i="40"/>
  <c r="BO172" i="40"/>
  <c r="AS174" i="40"/>
  <c r="BS28" i="40"/>
  <c r="BS174" i="40" s="1"/>
  <c r="BP178" i="40"/>
  <c r="BP53" i="40"/>
  <c r="BT128" i="40"/>
  <c r="BT130" i="40" s="1"/>
  <c r="BT89" i="40"/>
  <c r="BT131" i="40"/>
  <c r="BT137" i="40" s="1"/>
  <c r="BN172" i="40"/>
  <c r="BN38" i="40"/>
  <c r="AQ171" i="40"/>
  <c r="AS177" i="40"/>
  <c r="BS30" i="40"/>
  <c r="BS177" i="40" s="1"/>
  <c r="AT174" i="40"/>
  <c r="BT28" i="40"/>
  <c r="BT174" i="40" s="1"/>
  <c r="BS90" i="40"/>
  <c r="BM90" i="40"/>
  <c r="BM92" i="40" s="1"/>
  <c r="BT90" i="40"/>
  <c r="BM99" i="40"/>
  <c r="BM102" i="40" s="1"/>
  <c r="BM119" i="40"/>
  <c r="BV170" i="40"/>
  <c r="BV15" i="40"/>
  <c r="BL62" i="40"/>
  <c r="BL57" i="40"/>
  <c r="BO179" i="40"/>
  <c r="BO25" i="40"/>
  <c r="BV178" i="40"/>
  <c r="BV53" i="40"/>
  <c r="BL101" i="40"/>
  <c r="BL154" i="40"/>
  <c r="BL71" i="40"/>
  <c r="BR169" i="40"/>
  <c r="BN60" i="40"/>
  <c r="BM109" i="40"/>
  <c r="BM110" i="40" s="1"/>
  <c r="AP166" i="40"/>
  <c r="BT93" i="40"/>
  <c r="BT98" i="40" s="1"/>
  <c r="BM130" i="40"/>
  <c r="BL37" i="40"/>
  <c r="BS61" i="40"/>
  <c r="BS67" i="40" s="1"/>
  <c r="BO170" i="40"/>
  <c r="BO15" i="40"/>
  <c r="BM137" i="40"/>
  <c r="BM125" i="40"/>
  <c r="BM127" i="40" s="1"/>
  <c r="AO166" i="40"/>
  <c r="AH20" i="47" s="1"/>
  <c r="AG171" i="40"/>
  <c r="BM26" i="40"/>
  <c r="BL112" i="40"/>
  <c r="AS176" i="40"/>
  <c r="BS14" i="40"/>
  <c r="BS176" i="40" s="1"/>
  <c r="BO171" i="40"/>
  <c r="BO32" i="40"/>
  <c r="BS20" i="40"/>
  <c r="BS23" i="40" s="1"/>
  <c r="BM155" i="40"/>
  <c r="BM16" i="40"/>
  <c r="BM19" i="40" s="1"/>
  <c r="AQ179" i="40"/>
  <c r="BL22" i="40"/>
  <c r="BS68" i="40"/>
  <c r="BS74" i="40" s="1"/>
  <c r="AR179" i="40"/>
  <c r="BS93" i="40"/>
  <c r="BS98" i="40" s="1"/>
  <c r="AQ170" i="40"/>
  <c r="AP170" i="40"/>
  <c r="BL147" i="40"/>
  <c r="BS152" i="40"/>
  <c r="BS155" i="40" s="1"/>
  <c r="BV179" i="40"/>
  <c r="BV25" i="40"/>
  <c r="BL58" i="40"/>
  <c r="BL46" i="40"/>
  <c r="BL73" i="40"/>
  <c r="BL106" i="40"/>
  <c r="BL134" i="40"/>
  <c r="BL159" i="40"/>
  <c r="BU169" i="40"/>
  <c r="BV174" i="40"/>
  <c r="BV32" i="40"/>
  <c r="BP176" i="40"/>
  <c r="BP15" i="40"/>
  <c r="BS103" i="40"/>
  <c r="BS108" i="40" s="1"/>
  <c r="BL158" i="40"/>
  <c r="BL49" i="40"/>
  <c r="BM45" i="40"/>
  <c r="BM51" i="40" s="1"/>
  <c r="BL107" i="40"/>
  <c r="BL117" i="40"/>
  <c r="AP178" i="40"/>
  <c r="BM98" i="40"/>
  <c r="BS115" i="40"/>
  <c r="BL43" i="40"/>
  <c r="BM67" i="40"/>
  <c r="AF169" i="40"/>
  <c r="AQ166" i="40"/>
  <c r="AJ20" i="47" s="1"/>
  <c r="BL142" i="40"/>
  <c r="BV127" i="40"/>
  <c r="BV172" i="40"/>
  <c r="AP171" i="40"/>
  <c r="BM75" i="40"/>
  <c r="BM81" i="40" s="1"/>
  <c r="BL123" i="40"/>
  <c r="BP19" i="40"/>
  <c r="BP170" i="40"/>
  <c r="AT176" i="40"/>
  <c r="BT14" i="40"/>
  <c r="BT176" i="40" s="1"/>
  <c r="BL72" i="40"/>
  <c r="BL35" i="40"/>
  <c r="BT20" i="40"/>
  <c r="BT23" i="40" s="1"/>
  <c r="BT152" i="40"/>
  <c r="BT155" i="40" s="1"/>
  <c r="BL47" i="39"/>
  <c r="AE127" i="39"/>
  <c r="BM79" i="39"/>
  <c r="BS115" i="39"/>
  <c r="BS118" i="39" s="1"/>
  <c r="AG131" i="39"/>
  <c r="BM25" i="39"/>
  <c r="BL71" i="39"/>
  <c r="AT130" i="39"/>
  <c r="BT37" i="39"/>
  <c r="BS86" i="39"/>
  <c r="BL74" i="39"/>
  <c r="AG137" i="39"/>
  <c r="BM12" i="39"/>
  <c r="BP137" i="39"/>
  <c r="BP13" i="39"/>
  <c r="BL51" i="39"/>
  <c r="AR130" i="39"/>
  <c r="AQ129" i="39"/>
  <c r="BT94" i="39"/>
  <c r="BT100" i="39" s="1"/>
  <c r="BL82" i="39"/>
  <c r="BK127" i="39"/>
  <c r="BL85" i="39"/>
  <c r="BL81" i="39"/>
  <c r="BL62" i="39"/>
  <c r="BL33" i="39"/>
  <c r="BS73" i="39"/>
  <c r="BS79" i="39" s="1"/>
  <c r="BS19" i="39"/>
  <c r="BO129" i="39"/>
  <c r="BO24" i="39"/>
  <c r="BL38" i="39"/>
  <c r="BL120" i="39"/>
  <c r="BL28" i="39"/>
  <c r="AP131" i="39"/>
  <c r="BP136" i="39"/>
  <c r="BS57" i="39"/>
  <c r="BS58" i="39" s="1"/>
  <c r="BL99" i="39"/>
  <c r="AP129" i="39"/>
  <c r="BP128" i="39"/>
  <c r="BO128" i="39"/>
  <c r="BO18" i="39"/>
  <c r="BT59" i="39"/>
  <c r="BT65" i="39" s="1"/>
  <c r="BL122" i="39"/>
  <c r="AQ131" i="39"/>
  <c r="AG135" i="39"/>
  <c r="BM22" i="39"/>
  <c r="BM135" i="39" s="1"/>
  <c r="BS123" i="39"/>
  <c r="BL23" i="39"/>
  <c r="BP36" i="39"/>
  <c r="BP129" i="39"/>
  <c r="BV130" i="39"/>
  <c r="BV42" i="39"/>
  <c r="BM101" i="39"/>
  <c r="BL96" i="39"/>
  <c r="AP136" i="39"/>
  <c r="AT129" i="39"/>
  <c r="BT19" i="39"/>
  <c r="BL52" i="39"/>
  <c r="BS45" i="39"/>
  <c r="BS46" i="39" s="1"/>
  <c r="BS94" i="39"/>
  <c r="BS100" i="39" s="1"/>
  <c r="BO136" i="39"/>
  <c r="BO44" i="39"/>
  <c r="BS87" i="39"/>
  <c r="BS93" i="39" s="1"/>
  <c r="BL35" i="39"/>
  <c r="AP124" i="39"/>
  <c r="BU127" i="39"/>
  <c r="BN131" i="39"/>
  <c r="BN30" i="39"/>
  <c r="AQ128" i="39"/>
  <c r="AS130" i="39"/>
  <c r="BS37" i="39"/>
  <c r="BM65" i="39"/>
  <c r="BO131" i="39"/>
  <c r="BO30" i="39"/>
  <c r="BM31" i="39"/>
  <c r="BM36" i="39" s="1"/>
  <c r="BL15" i="39"/>
  <c r="BL54" i="39"/>
  <c r="BW124" i="39"/>
  <c r="BV125" i="39" s="1"/>
  <c r="BN136" i="39"/>
  <c r="BN44" i="39"/>
  <c r="AQ137" i="39"/>
  <c r="AG128" i="39"/>
  <c r="BM14" i="39"/>
  <c r="BT115" i="39"/>
  <c r="BT118" i="39" s="1"/>
  <c r="BL89" i="39"/>
  <c r="BL98" i="39"/>
  <c r="BT45" i="39"/>
  <c r="BT46" i="39" s="1"/>
  <c r="BT57" i="39"/>
  <c r="BT58" i="39" s="1"/>
  <c r="BS51" i="39"/>
  <c r="BS56" i="39" s="1"/>
  <c r="BS59" i="39"/>
  <c r="BS65" i="39" s="1"/>
  <c r="BM108" i="39"/>
  <c r="BM114" i="39" s="1"/>
  <c r="BT48" i="39"/>
  <c r="BS48" i="39"/>
  <c r="BM48" i="39"/>
  <c r="BM50" i="39" s="1"/>
  <c r="BL121" i="39"/>
  <c r="BR127" i="39"/>
  <c r="BS47" i="39"/>
  <c r="BM93" i="39"/>
  <c r="AG136" i="39"/>
  <c r="BM43" i="39"/>
  <c r="AP128" i="39"/>
  <c r="BL61" i="39"/>
  <c r="BL29" i="39"/>
  <c r="BV136" i="39"/>
  <c r="BV44" i="39"/>
  <c r="BM130" i="39"/>
  <c r="BM42" i="39"/>
  <c r="BX127" i="39"/>
  <c r="BM100" i="39"/>
  <c r="BL88" i="39"/>
  <c r="BL106" i="39"/>
  <c r="AR137" i="39"/>
  <c r="BQ127" i="39"/>
  <c r="BL90" i="39"/>
  <c r="BT72" i="39"/>
  <c r="AP134" i="39"/>
  <c r="BV129" i="39"/>
  <c r="BV24" i="39"/>
  <c r="BP130" i="39"/>
  <c r="BP42" i="39"/>
  <c r="BP131" i="39"/>
  <c r="AO127" i="39"/>
  <c r="AO124" i="39"/>
  <c r="AH19" i="47" s="1"/>
  <c r="BK124" i="39"/>
  <c r="BD19" i="47" s="1"/>
  <c r="BN129" i="39"/>
  <c r="AG134" i="39"/>
  <c r="BM17" i="39"/>
  <c r="BM134" i="39" s="1"/>
  <c r="AR135" i="39"/>
  <c r="BL84" i="39"/>
  <c r="AF127" i="39"/>
  <c r="BT51" i="39"/>
  <c r="BT56" i="39" s="1"/>
  <c r="BT123" i="39"/>
  <c r="BW127" i="39"/>
  <c r="BV126" i="39" s="1"/>
  <c r="BV128" i="39"/>
  <c r="BV18" i="39"/>
  <c r="BL64" i="39"/>
  <c r="BS102" i="39"/>
  <c r="BT102" i="39"/>
  <c r="BM102" i="39"/>
  <c r="BM129" i="39" s="1"/>
  <c r="BS67" i="39"/>
  <c r="BS72" i="39" s="1"/>
  <c r="AQ136" i="39"/>
  <c r="BT47" i="39"/>
  <c r="BS41" i="39"/>
  <c r="BL41" i="39"/>
  <c r="BT87" i="39"/>
  <c r="BT93" i="39" s="1"/>
  <c r="BO137" i="39"/>
  <c r="BO13" i="39"/>
  <c r="BN128" i="39"/>
  <c r="BN18" i="39"/>
  <c r="BT73" i="39"/>
  <c r="BT79" i="39" s="1"/>
  <c r="BM118" i="39"/>
  <c r="AG129" i="39"/>
  <c r="BL80" i="39"/>
  <c r="BL16" i="39"/>
  <c r="BV168" i="40" l="1"/>
  <c r="AR167" i="40"/>
  <c r="BV167" i="40"/>
  <c r="BJ20" i="47"/>
  <c r="BP167" i="40"/>
  <c r="BP168" i="40"/>
  <c r="BS118" i="40"/>
  <c r="AG167" i="40"/>
  <c r="BJ19" i="47"/>
  <c r="BP125" i="39"/>
  <c r="AI19" i="47"/>
  <c r="AG168" i="40"/>
  <c r="BP126" i="39"/>
  <c r="AG126" i="39"/>
  <c r="BV124" i="39"/>
  <c r="BO19" i="47" s="1"/>
  <c r="BN166" i="40"/>
  <c r="BT118" i="40"/>
  <c r="BM124" i="40"/>
  <c r="BS50" i="39"/>
  <c r="BM24" i="39"/>
  <c r="BT50" i="39"/>
  <c r="BM107" i="39"/>
  <c r="BP169" i="40"/>
  <c r="AI20" i="47"/>
  <c r="Y20" i="47"/>
  <c r="AG166" i="40"/>
  <c r="BO166" i="40"/>
  <c r="BH20" i="47" s="1"/>
  <c r="AQ127" i="39"/>
  <c r="AG124" i="39"/>
  <c r="AQ124" i="39"/>
  <c r="AJ19" i="47" s="1"/>
  <c r="BT44" i="40"/>
  <c r="BP166" i="40"/>
  <c r="BI20" i="47" s="1"/>
  <c r="BP20" i="47"/>
  <c r="BV166" i="40"/>
  <c r="BO20" i="47" s="1"/>
  <c r="BS92" i="40"/>
  <c r="BT92" i="40"/>
  <c r="BP124" i="39"/>
  <c r="BI19" i="47" s="1"/>
  <c r="BP19" i="47"/>
  <c r="BO124" i="39"/>
  <c r="BH19" i="47" s="1"/>
  <c r="BL93" i="40"/>
  <c r="BL98" i="40" s="1"/>
  <c r="BT16" i="40"/>
  <c r="BT19" i="40" s="1"/>
  <c r="BS111" i="40"/>
  <c r="BS114" i="40" s="1"/>
  <c r="BL61" i="40"/>
  <c r="BL67" i="40" s="1"/>
  <c r="BL68" i="40"/>
  <c r="BL74" i="40" s="1"/>
  <c r="AG169" i="40"/>
  <c r="BT156" i="40"/>
  <c r="BT161" i="40" s="1"/>
  <c r="BS82" i="40"/>
  <c r="BS88" i="40" s="1"/>
  <c r="AY179" i="40"/>
  <c r="BL24" i="40"/>
  <c r="BS45" i="40"/>
  <c r="BS51" i="40" s="1"/>
  <c r="BL40" i="40"/>
  <c r="BS16" i="40"/>
  <c r="BS19" i="40" s="1"/>
  <c r="AS171" i="40"/>
  <c r="BS26" i="40"/>
  <c r="BS125" i="40"/>
  <c r="BS127" i="40" s="1"/>
  <c r="BN169" i="40"/>
  <c r="AS179" i="40"/>
  <c r="BS24" i="40"/>
  <c r="AS172" i="40"/>
  <c r="BS33" i="40"/>
  <c r="AQ169" i="40"/>
  <c r="BT99" i="40"/>
  <c r="BT102" i="40" s="1"/>
  <c r="BL103" i="40"/>
  <c r="BL108" i="40" s="1"/>
  <c r="AT173" i="40"/>
  <c r="BT55" i="40"/>
  <c r="BT173" i="40" s="1"/>
  <c r="BL145" i="40"/>
  <c r="BL151" i="40" s="1"/>
  <c r="BL115" i="40"/>
  <c r="BL118" i="40" s="1"/>
  <c r="AT171" i="40"/>
  <c r="BT26" i="40"/>
  <c r="BO169" i="40"/>
  <c r="BT109" i="40"/>
  <c r="BT110" i="40" s="1"/>
  <c r="BT119" i="40"/>
  <c r="BT124" i="40" s="1"/>
  <c r="AR172" i="40"/>
  <c r="BL131" i="40"/>
  <c r="BL137" i="40" s="1"/>
  <c r="AR173" i="40"/>
  <c r="AT179" i="40"/>
  <c r="BT24" i="40"/>
  <c r="BS44" i="40"/>
  <c r="AT172" i="40"/>
  <c r="BT33" i="40"/>
  <c r="AS170" i="40"/>
  <c r="BS12" i="40"/>
  <c r="AT178" i="40"/>
  <c r="BT52" i="40"/>
  <c r="AS166" i="40"/>
  <c r="BS156" i="40"/>
  <c r="BS161" i="40" s="1"/>
  <c r="BT82" i="40"/>
  <c r="BT88" i="40" s="1"/>
  <c r="BL120" i="40"/>
  <c r="AY174" i="40"/>
  <c r="BL28" i="40"/>
  <c r="BL174" i="40" s="1"/>
  <c r="BS75" i="40"/>
  <c r="BS81" i="40" s="1"/>
  <c r="AR178" i="40"/>
  <c r="BM60" i="40"/>
  <c r="BT75" i="40"/>
  <c r="BT81" i="40" s="1"/>
  <c r="BS109" i="40"/>
  <c r="BS110" i="40" s="1"/>
  <c r="BT45" i="40"/>
  <c r="BT51" i="40" s="1"/>
  <c r="BL162" i="40"/>
  <c r="BL165" i="40" s="1"/>
  <c r="BT125" i="40"/>
  <c r="BT127" i="40" s="1"/>
  <c r="AR171" i="40"/>
  <c r="BM172" i="40"/>
  <c r="BM38" i="40"/>
  <c r="AT170" i="40"/>
  <c r="BT12" i="40"/>
  <c r="BM178" i="40"/>
  <c r="BM53" i="40"/>
  <c r="BS54" i="40"/>
  <c r="BS138" i="40"/>
  <c r="BS144" i="40" s="1"/>
  <c r="BT111" i="40"/>
  <c r="BT114" i="40" s="1"/>
  <c r="AR166" i="40"/>
  <c r="AK20" i="47" s="1"/>
  <c r="BS119" i="40"/>
  <c r="BS124" i="40" s="1"/>
  <c r="BS99" i="40"/>
  <c r="BS102" i="40" s="1"/>
  <c r="AP169" i="40"/>
  <c r="AR168" i="40" s="1"/>
  <c r="BM171" i="40"/>
  <c r="BM32" i="40"/>
  <c r="BV169" i="40"/>
  <c r="BM179" i="40"/>
  <c r="BM25" i="40"/>
  <c r="AS173" i="40"/>
  <c r="BS55" i="40"/>
  <c r="BS173" i="40" s="1"/>
  <c r="AR177" i="40"/>
  <c r="BM170" i="40"/>
  <c r="BM15" i="40"/>
  <c r="AS178" i="40"/>
  <c r="BS52" i="40"/>
  <c r="BT54" i="40"/>
  <c r="AY176" i="40"/>
  <c r="BL14" i="40"/>
  <c r="BL176" i="40" s="1"/>
  <c r="BT138" i="40"/>
  <c r="BT144" i="40" s="1"/>
  <c r="BL101" i="39"/>
  <c r="AY135" i="39"/>
  <c r="BL22" i="39"/>
  <c r="BL135" i="39" s="1"/>
  <c r="AR136" i="39"/>
  <c r="AS129" i="39"/>
  <c r="AY130" i="39"/>
  <c r="BL37" i="39"/>
  <c r="AS131" i="39"/>
  <c r="BS25" i="39"/>
  <c r="BL57" i="39"/>
  <c r="BL58" i="39" s="1"/>
  <c r="BL86" i="39"/>
  <c r="BN127" i="39"/>
  <c r="BM126" i="39" s="1"/>
  <c r="AR134" i="39"/>
  <c r="AT136" i="39"/>
  <c r="BT43" i="39"/>
  <c r="BT101" i="39"/>
  <c r="BT107" i="39" s="1"/>
  <c r="BO127" i="39"/>
  <c r="AS137" i="39"/>
  <c r="BS12" i="39"/>
  <c r="AT131" i="39"/>
  <c r="BT25" i="39"/>
  <c r="BM136" i="39"/>
  <c r="BM44" i="39"/>
  <c r="AG127" i="39"/>
  <c r="BS31" i="39"/>
  <c r="BS36" i="39" s="1"/>
  <c r="BS130" i="39"/>
  <c r="BS42" i="39"/>
  <c r="BP127" i="39"/>
  <c r="BL102" i="39"/>
  <c r="AT137" i="39"/>
  <c r="BT12" i="39"/>
  <c r="BT130" i="39"/>
  <c r="BT42" i="39"/>
  <c r="BM131" i="39"/>
  <c r="BM30" i="39"/>
  <c r="BL87" i="39"/>
  <c r="BL93" i="39" s="1"/>
  <c r="AT134" i="39"/>
  <c r="BT17" i="39"/>
  <c r="BT134" i="39" s="1"/>
  <c r="BV127" i="39"/>
  <c r="BL12" i="39"/>
  <c r="AS136" i="39"/>
  <c r="BS43" i="39"/>
  <c r="AS124" i="39"/>
  <c r="BS108" i="39"/>
  <c r="BS114" i="39" s="1"/>
  <c r="BT31" i="39"/>
  <c r="BT36" i="39" s="1"/>
  <c r="BL67" i="39"/>
  <c r="BL72" i="39" s="1"/>
  <c r="BL56" i="39"/>
  <c r="BM137" i="39"/>
  <c r="BM13" i="39"/>
  <c r="BM128" i="39"/>
  <c r="BM18" i="39"/>
  <c r="AR128" i="39"/>
  <c r="AS135" i="39"/>
  <c r="BS22" i="39"/>
  <c r="BS135" i="39" s="1"/>
  <c r="BL119" i="39"/>
  <c r="BL123" i="39" s="1"/>
  <c r="AR131" i="39"/>
  <c r="AR129" i="39"/>
  <c r="AR124" i="39"/>
  <c r="AK19" i="47" s="1"/>
  <c r="BL59" i="39"/>
  <c r="BL65" i="39" s="1"/>
  <c r="AS134" i="39"/>
  <c r="BS17" i="39"/>
  <c r="BS134" i="39" s="1"/>
  <c r="BT108" i="39"/>
  <c r="BT114" i="39" s="1"/>
  <c r="AS128" i="39"/>
  <c r="BS14" i="39"/>
  <c r="BL94" i="39"/>
  <c r="BL100" i="39" s="1"/>
  <c r="AP127" i="39"/>
  <c r="AR126" i="39" s="1"/>
  <c r="AT128" i="39"/>
  <c r="BT14" i="39"/>
  <c r="BN124" i="39"/>
  <c r="BM125" i="39" s="1"/>
  <c r="BL73" i="39"/>
  <c r="BL79" i="39" s="1"/>
  <c r="BS101" i="39"/>
  <c r="BS107" i="39" s="1"/>
  <c r="AT135" i="39"/>
  <c r="BT22" i="39"/>
  <c r="BT135" i="39" s="1"/>
  <c r="Z20" i="47" l="1"/>
  <c r="BM167" i="40"/>
  <c r="AL20" i="47"/>
  <c r="BS167" i="40"/>
  <c r="BG20" i="47"/>
  <c r="Z19" i="47"/>
  <c r="AL19" i="47"/>
  <c r="BS125" i="39"/>
  <c r="AR125" i="39"/>
  <c r="BM168" i="40"/>
  <c r="BS129" i="39"/>
  <c r="AR169" i="40"/>
  <c r="AT166" i="40"/>
  <c r="BT167" i="40" s="1"/>
  <c r="BM166" i="40"/>
  <c r="AS169" i="40"/>
  <c r="AT124" i="39"/>
  <c r="BT125" i="39" s="1"/>
  <c r="BM124" i="39"/>
  <c r="BS24" i="39"/>
  <c r="BT24" i="39"/>
  <c r="BG19" i="47"/>
  <c r="BL128" i="40"/>
  <c r="BL130" i="40" s="1"/>
  <c r="BT179" i="40"/>
  <c r="BT25" i="40"/>
  <c r="AY172" i="40"/>
  <c r="BL33" i="40"/>
  <c r="BL45" i="40"/>
  <c r="BL51" i="40" s="1"/>
  <c r="BL39" i="40"/>
  <c r="BL44" i="40" s="1"/>
  <c r="BL125" i="40"/>
  <c r="BL127" i="40" s="1"/>
  <c r="BM169" i="40"/>
  <c r="BL16" i="40"/>
  <c r="BL19" i="40" s="1"/>
  <c r="BS178" i="40"/>
  <c r="BS53" i="40"/>
  <c r="BL119" i="40"/>
  <c r="BL124" i="40" s="1"/>
  <c r="AT169" i="40"/>
  <c r="BL111" i="40"/>
  <c r="BL114" i="40" s="1"/>
  <c r="BL156" i="40"/>
  <c r="BL161" i="40" s="1"/>
  <c r="BS60" i="40"/>
  <c r="AY170" i="40"/>
  <c r="BL12" i="40"/>
  <c r="BT178" i="40"/>
  <c r="BT53" i="40"/>
  <c r="BT172" i="40"/>
  <c r="BT38" i="40"/>
  <c r="AY173" i="40"/>
  <c r="BL55" i="40"/>
  <c r="BL173" i="40" s="1"/>
  <c r="BL89" i="40"/>
  <c r="BL92" i="40" s="1"/>
  <c r="BL152" i="40"/>
  <c r="BL155" i="40" s="1"/>
  <c r="BL20" i="40"/>
  <c r="BL23" i="40" s="1"/>
  <c r="AY178" i="40"/>
  <c r="BL52" i="40"/>
  <c r="BS179" i="40"/>
  <c r="BS25" i="40"/>
  <c r="BT60" i="40"/>
  <c r="BL30" i="40"/>
  <c r="BL177" i="40" s="1"/>
  <c r="AY177" i="40"/>
  <c r="BL99" i="40"/>
  <c r="BL102" i="40" s="1"/>
  <c r="BL75" i="40"/>
  <c r="BL81" i="40" s="1"/>
  <c r="BS170" i="40"/>
  <c r="BS15" i="40"/>
  <c r="AY171" i="40"/>
  <c r="BL26" i="40"/>
  <c r="BL82" i="40"/>
  <c r="BL88" i="40" s="1"/>
  <c r="BS172" i="40"/>
  <c r="BS38" i="40"/>
  <c r="BL25" i="40"/>
  <c r="AY166" i="40"/>
  <c r="AR20" i="47" s="1"/>
  <c r="BL138" i="40"/>
  <c r="BL144" i="40" s="1"/>
  <c r="BL109" i="40"/>
  <c r="BL110" i="40" s="1"/>
  <c r="BT170" i="40"/>
  <c r="BT15" i="40"/>
  <c r="BL54" i="40"/>
  <c r="BT171" i="40"/>
  <c r="BT32" i="40"/>
  <c r="BS171" i="40"/>
  <c r="BS32" i="40"/>
  <c r="AY129" i="39"/>
  <c r="BL19" i="39"/>
  <c r="BT128" i="39"/>
  <c r="BT18" i="39"/>
  <c r="BL31" i="39"/>
  <c r="BL36" i="39" s="1"/>
  <c r="BL45" i="39"/>
  <c r="BL46" i="39" s="1"/>
  <c r="BT136" i="39"/>
  <c r="BT44" i="39"/>
  <c r="BL130" i="39"/>
  <c r="BL42" i="39"/>
  <c r="BL48" i="39"/>
  <c r="BL50" i="39" s="1"/>
  <c r="BT131" i="39"/>
  <c r="BT30" i="39"/>
  <c r="BL108" i="39"/>
  <c r="BL114" i="39" s="1"/>
  <c r="AS127" i="39"/>
  <c r="BM127" i="39"/>
  <c r="BL13" i="39"/>
  <c r="AY131" i="39"/>
  <c r="BL25" i="39"/>
  <c r="AY128" i="39"/>
  <c r="BL14" i="39"/>
  <c r="BL115" i="39"/>
  <c r="BL118" i="39" s="1"/>
  <c r="AY137" i="39"/>
  <c r="BT137" i="39"/>
  <c r="BT13" i="39"/>
  <c r="AY134" i="39"/>
  <c r="BL17" i="39"/>
  <c r="BL134" i="39" s="1"/>
  <c r="BS131" i="39"/>
  <c r="BS30" i="39"/>
  <c r="BL107" i="39"/>
  <c r="AR127" i="39"/>
  <c r="BT129" i="39"/>
  <c r="BS136" i="39"/>
  <c r="BS44" i="39"/>
  <c r="BS137" i="39"/>
  <c r="BS13" i="39"/>
  <c r="AY136" i="39"/>
  <c r="BL43" i="39"/>
  <c r="AY124" i="39"/>
  <c r="AR19" i="47" s="1"/>
  <c r="AT127" i="39"/>
  <c r="BS128" i="39"/>
  <c r="BS18" i="39"/>
  <c r="AY168" i="40" l="1"/>
  <c r="BF20" i="47"/>
  <c r="AY167" i="40"/>
  <c r="BF19" i="47"/>
  <c r="AY126" i="39"/>
  <c r="AY125" i="39"/>
  <c r="BS127" i="39"/>
  <c r="BL60" i="40"/>
  <c r="BT169" i="40"/>
  <c r="AM20" i="47"/>
  <c r="AY127" i="39"/>
  <c r="BS124" i="39"/>
  <c r="BL19" i="47" s="1"/>
  <c r="AM19" i="47"/>
  <c r="BS166" i="40"/>
  <c r="BL20" i="47" s="1"/>
  <c r="BT166" i="40"/>
  <c r="BM20" i="47" s="1"/>
  <c r="BL178" i="40"/>
  <c r="BL53" i="40"/>
  <c r="AY169" i="40"/>
  <c r="BS169" i="40"/>
  <c r="BL170" i="40"/>
  <c r="BL15" i="40"/>
  <c r="BL179" i="40"/>
  <c r="BL171" i="40"/>
  <c r="BL32" i="40"/>
  <c r="BL172" i="40"/>
  <c r="BL38" i="40"/>
  <c r="BL129" i="39"/>
  <c r="BL24" i="39"/>
  <c r="BL136" i="39"/>
  <c r="BL44" i="39"/>
  <c r="BL131" i="39"/>
  <c r="BL30" i="39"/>
  <c r="BL128" i="39"/>
  <c r="BL18" i="39"/>
  <c r="BT124" i="39"/>
  <c r="BL137" i="39"/>
  <c r="BT127" i="39"/>
  <c r="BL168" i="40" l="1"/>
  <c r="BL167" i="40"/>
  <c r="BL126" i="39"/>
  <c r="BL125" i="39"/>
  <c r="BL166" i="40"/>
  <c r="BE20" i="47" s="1"/>
  <c r="BM19" i="47"/>
  <c r="BL124" i="39"/>
  <c r="BE19" i="47" s="1"/>
  <c r="BL127" i="39"/>
  <c r="BL169" i="40"/>
  <c r="CH452" i="43" l="1"/>
  <c r="CG452" i="43"/>
  <c r="CH445" i="43"/>
  <c r="CG445" i="43"/>
  <c r="CH438" i="43"/>
  <c r="CG438" i="43"/>
  <c r="CH431" i="43"/>
  <c r="CG431" i="43"/>
  <c r="CH424" i="43"/>
  <c r="CG424" i="43"/>
  <c r="CH417" i="43"/>
  <c r="CG417" i="43"/>
  <c r="CH410" i="43"/>
  <c r="CG410" i="43"/>
  <c r="CH379" i="43"/>
  <c r="CG379" i="43"/>
  <c r="CH366" i="43"/>
  <c r="CG366" i="43"/>
  <c r="CH339" i="43"/>
  <c r="CG339" i="43"/>
  <c r="CH308" i="43"/>
  <c r="CG308" i="43"/>
  <c r="CH301" i="43"/>
  <c r="CG301" i="43"/>
  <c r="CH279" i="43"/>
  <c r="CG279" i="43"/>
  <c r="CH183" i="43"/>
  <c r="CG183" i="43"/>
  <c r="CE14" i="43"/>
  <c r="CE15" i="43"/>
  <c r="CE16" i="43"/>
  <c r="CE17" i="43"/>
  <c r="CE19" i="43"/>
  <c r="CE20" i="43"/>
  <c r="CE21" i="43"/>
  <c r="CE23" i="43"/>
  <c r="CE24" i="43"/>
  <c r="CE25" i="43"/>
  <c r="CE26" i="43"/>
  <c r="CE28" i="43"/>
  <c r="CE29" i="43"/>
  <c r="CE30" i="43"/>
  <c r="CE32" i="43"/>
  <c r="CE33" i="43"/>
  <c r="CE34" i="43"/>
  <c r="CE36" i="43"/>
  <c r="CE37" i="43"/>
  <c r="CE38" i="43"/>
  <c r="CE40" i="43"/>
  <c r="CE42" i="43"/>
  <c r="CE44" i="43"/>
  <c r="CE45" i="43"/>
  <c r="CE46" i="43"/>
  <c r="CE48" i="43"/>
  <c r="CE49" i="43"/>
  <c r="CE51" i="43"/>
  <c r="CE52" i="43"/>
  <c r="CE54" i="43"/>
  <c r="CE55" i="43"/>
  <c r="CE57" i="43"/>
  <c r="CE58" i="43"/>
  <c r="CE59" i="43"/>
  <c r="CE61" i="43"/>
  <c r="CE62" i="43"/>
  <c r="CE63" i="43"/>
  <c r="CE65" i="43"/>
  <c r="CE66" i="43"/>
  <c r="CE67" i="43"/>
  <c r="CE69" i="43"/>
  <c r="CE70" i="43"/>
  <c r="CE72" i="43"/>
  <c r="CE73" i="43"/>
  <c r="CE74" i="43"/>
  <c r="CE75" i="43"/>
  <c r="CE77" i="43"/>
  <c r="CE78" i="43"/>
  <c r="CE79" i="43"/>
  <c r="CE81" i="43"/>
  <c r="CE82" i="43"/>
  <c r="CE83" i="43"/>
  <c r="CE85" i="43"/>
  <c r="CE86" i="43"/>
  <c r="CE87" i="43"/>
  <c r="CE89" i="43"/>
  <c r="CE90" i="43"/>
  <c r="CE91" i="43"/>
  <c r="CE93" i="43"/>
  <c r="CE94" i="43"/>
  <c r="CE95" i="43"/>
  <c r="CE97" i="43"/>
  <c r="CE98" i="43"/>
  <c r="CE99" i="43"/>
  <c r="CE101" i="43"/>
  <c r="CE102" i="43"/>
  <c r="CE103" i="43"/>
  <c r="CE105" i="43"/>
  <c r="CE106" i="43"/>
  <c r="CE108" i="43"/>
  <c r="CE109" i="43"/>
  <c r="CE110" i="43"/>
  <c r="CE112" i="43"/>
  <c r="CE113" i="43"/>
  <c r="CE114" i="43"/>
  <c r="CE116" i="43"/>
  <c r="CE117" i="43"/>
  <c r="CE119" i="43"/>
  <c r="CE120" i="43"/>
  <c r="CE121" i="43"/>
  <c r="CE123" i="43"/>
  <c r="CE124" i="43"/>
  <c r="CE125" i="43"/>
  <c r="CE126" i="43"/>
  <c r="CE129" i="43"/>
  <c r="CE130" i="43"/>
  <c r="CE131" i="43"/>
  <c r="CE132" i="43"/>
  <c r="CE133" i="43"/>
  <c r="CE135" i="43"/>
  <c r="CE136" i="43"/>
  <c r="CE137" i="43"/>
  <c r="CE138" i="43"/>
  <c r="CE139" i="43"/>
  <c r="CE140" i="43"/>
  <c r="CE142" i="43"/>
  <c r="CE143" i="43"/>
  <c r="CE144" i="43"/>
  <c r="CE145" i="43"/>
  <c r="CE146" i="43"/>
  <c r="CE148" i="43"/>
  <c r="CE149" i="43"/>
  <c r="CE150" i="43"/>
  <c r="CE151" i="43"/>
  <c r="CE152" i="43"/>
  <c r="CE154" i="43"/>
  <c r="CE155" i="43"/>
  <c r="CE156" i="43"/>
  <c r="CE157" i="43"/>
  <c r="CE158" i="43"/>
  <c r="CE160" i="43"/>
  <c r="CE161" i="43"/>
  <c r="CE162" i="43"/>
  <c r="CE163" i="43"/>
  <c r="CE165" i="43"/>
  <c r="CE166" i="43"/>
  <c r="CE167" i="43"/>
  <c r="CE168" i="43"/>
  <c r="CE169" i="43"/>
  <c r="CE171" i="43"/>
  <c r="CE172" i="43"/>
  <c r="CE173" i="43"/>
  <c r="CE174" i="43"/>
  <c r="CE175" i="43"/>
  <c r="CE177" i="43"/>
  <c r="CE178" i="43"/>
  <c r="CE179" i="43"/>
  <c r="CE180" i="43"/>
  <c r="CE181" i="43"/>
  <c r="CE184" i="43"/>
  <c r="CE185" i="43"/>
  <c r="CE186" i="43"/>
  <c r="CE187" i="43"/>
  <c r="CE188" i="43"/>
  <c r="CE190" i="43"/>
  <c r="CE191" i="43"/>
  <c r="CE192" i="43"/>
  <c r="CE193" i="43"/>
  <c r="CE194" i="43"/>
  <c r="CE195" i="43"/>
  <c r="CE197" i="43"/>
  <c r="CE198" i="43"/>
  <c r="CE199" i="43"/>
  <c r="CE200" i="43"/>
  <c r="CE201" i="43"/>
  <c r="CE203" i="43"/>
  <c r="CE204" i="43"/>
  <c r="CE205" i="43"/>
  <c r="CE206" i="43"/>
  <c r="CE207" i="43"/>
  <c r="CE209" i="43"/>
  <c r="CE210" i="43"/>
  <c r="CE211" i="43"/>
  <c r="CE212" i="43"/>
  <c r="CE213" i="43"/>
  <c r="CE214" i="43"/>
  <c r="CE216" i="43"/>
  <c r="CE217" i="43"/>
  <c r="CE218" i="43"/>
  <c r="CE219" i="43"/>
  <c r="CE220" i="43"/>
  <c r="CE222" i="43"/>
  <c r="CE223" i="43"/>
  <c r="CE224" i="43"/>
  <c r="CE225" i="43"/>
  <c r="CE226" i="43"/>
  <c r="CE228" i="43"/>
  <c r="CE229" i="43"/>
  <c r="CE230" i="43"/>
  <c r="CE231" i="43"/>
  <c r="CE232" i="43"/>
  <c r="CE234" i="43"/>
  <c r="CE235" i="43"/>
  <c r="CE236" i="43"/>
  <c r="CE237" i="43"/>
  <c r="CE238" i="43"/>
  <c r="CE240" i="43"/>
  <c r="CE241" i="43"/>
  <c r="CE242" i="43"/>
  <c r="CE243" i="43"/>
  <c r="CE244" i="43"/>
  <c r="CE246" i="43"/>
  <c r="CE247" i="43"/>
  <c r="CE248" i="43"/>
  <c r="CE249" i="43"/>
  <c r="CE250" i="43"/>
  <c r="CE252" i="43"/>
  <c r="CE253" i="43"/>
  <c r="CE254" i="43"/>
  <c r="CE255" i="43"/>
  <c r="CE256" i="43"/>
  <c r="CE257" i="43"/>
  <c r="CE259" i="43"/>
  <c r="CE261" i="43"/>
  <c r="CE262" i="43"/>
  <c r="CE263" i="43"/>
  <c r="CE265" i="43"/>
  <c r="CE266" i="43"/>
  <c r="CE267" i="43"/>
  <c r="CE269" i="43"/>
  <c r="CE270" i="43"/>
  <c r="CE271" i="43"/>
  <c r="CE272" i="43"/>
  <c r="CE273" i="43"/>
  <c r="CE275" i="43"/>
  <c r="CE276" i="43"/>
  <c r="CE277" i="43"/>
  <c r="CE280" i="43"/>
  <c r="CE281" i="43"/>
  <c r="CE282" i="43"/>
  <c r="CE283" i="43"/>
  <c r="CE284" i="43"/>
  <c r="CE286" i="43"/>
  <c r="CE287" i="43"/>
  <c r="CE288" i="43"/>
  <c r="CE289" i="43"/>
  <c r="CE291" i="43"/>
  <c r="CE292" i="43"/>
  <c r="CE293" i="43"/>
  <c r="CE294" i="43"/>
  <c r="CE295" i="43"/>
  <c r="CE296" i="43"/>
  <c r="CE297" i="43"/>
  <c r="CE299" i="43"/>
  <c r="CE300" i="43" s="1"/>
  <c r="CE302" i="43"/>
  <c r="CE303" i="43"/>
  <c r="CE304" i="43"/>
  <c r="CE305" i="43"/>
  <c r="CE306" i="43"/>
  <c r="CE309" i="43"/>
  <c r="CE310" i="43"/>
  <c r="CE311" i="43"/>
  <c r="CE312" i="43"/>
  <c r="CE313" i="43"/>
  <c r="CE315" i="43"/>
  <c r="CE316" i="43"/>
  <c r="CE317" i="43"/>
  <c r="CE319" i="43"/>
  <c r="CE320" i="43"/>
  <c r="CE321" i="43"/>
  <c r="CE322" i="43"/>
  <c r="CE323" i="43"/>
  <c r="CE325" i="43"/>
  <c r="CE327" i="43"/>
  <c r="CE328" i="43"/>
  <c r="CE329" i="43"/>
  <c r="CE331" i="43"/>
  <c r="CE332" i="43"/>
  <c r="CE333" i="43"/>
  <c r="CE335" i="43"/>
  <c r="CE336" i="43"/>
  <c r="CE337" i="43"/>
  <c r="CE340" i="43"/>
  <c r="CE341" i="43"/>
  <c r="CE342" i="43"/>
  <c r="CE343" i="43"/>
  <c r="CE344" i="43"/>
  <c r="CE345" i="43"/>
  <c r="CE346" i="43"/>
  <c r="CE348" i="43"/>
  <c r="CE349" i="43"/>
  <c r="CE350" i="43"/>
  <c r="CE351" i="43"/>
  <c r="CE352" i="43"/>
  <c r="CE354" i="43"/>
  <c r="CE355" i="43"/>
  <c r="CE356" i="43"/>
  <c r="CE357" i="43"/>
  <c r="CE358" i="43"/>
  <c r="CE359" i="43"/>
  <c r="CE361" i="43"/>
  <c r="CE362" i="43"/>
  <c r="CE363" i="43"/>
  <c r="CE364" i="43"/>
  <c r="CE367" i="43"/>
  <c r="CE368" i="43"/>
  <c r="CE369" i="43"/>
  <c r="CE370" i="43"/>
  <c r="CE371" i="43"/>
  <c r="CE373" i="43"/>
  <c r="CE374" i="43"/>
  <c r="CE375" i="43"/>
  <c r="CE377" i="43"/>
  <c r="CE380" i="43"/>
  <c r="CE381" i="43"/>
  <c r="CE382" i="43"/>
  <c r="CE383" i="43"/>
  <c r="CE384" i="43"/>
  <c r="CE386" i="43"/>
  <c r="CE387" i="43"/>
  <c r="CE388" i="43"/>
  <c r="CE389" i="43"/>
  <c r="CE390" i="43"/>
  <c r="CE392" i="43"/>
  <c r="CE393" i="43"/>
  <c r="CE394" i="43"/>
  <c r="CE396" i="43"/>
  <c r="CE397" i="43"/>
  <c r="CE398" i="43"/>
  <c r="CE399" i="43"/>
  <c r="CE400" i="43"/>
  <c r="CE401" i="43"/>
  <c r="CE403" i="43"/>
  <c r="CE404" i="43"/>
  <c r="CE405" i="43"/>
  <c r="CE406" i="43"/>
  <c r="CE407" i="43"/>
  <c r="CE408" i="43"/>
  <c r="CE411" i="43"/>
  <c r="CE412" i="43"/>
  <c r="CE413" i="43"/>
  <c r="CE414" i="43"/>
  <c r="CE415" i="43"/>
  <c r="CE418" i="43"/>
  <c r="CE419" i="43"/>
  <c r="CE420" i="43"/>
  <c r="CE421" i="43"/>
  <c r="CE422" i="43"/>
  <c r="CE425" i="43"/>
  <c r="CE426" i="43"/>
  <c r="CE427" i="43"/>
  <c r="CE428" i="43"/>
  <c r="CE429" i="43"/>
  <c r="CE432" i="43"/>
  <c r="CE433" i="43"/>
  <c r="CE434" i="43"/>
  <c r="CE435" i="43"/>
  <c r="CE436" i="43"/>
  <c r="CE439" i="43"/>
  <c r="CE440" i="43"/>
  <c r="CE441" i="43"/>
  <c r="CE442" i="43"/>
  <c r="CE443" i="43"/>
  <c r="CE446" i="43"/>
  <c r="CE447" i="43"/>
  <c r="CE448" i="43"/>
  <c r="CE449" i="43"/>
  <c r="CE450" i="43"/>
  <c r="CE453" i="43"/>
  <c r="CE454" i="43"/>
  <c r="CE455" i="43"/>
  <c r="CE456" i="43"/>
  <c r="CE457" i="43"/>
  <c r="CE459" i="43"/>
  <c r="CE460" i="43"/>
  <c r="CE462" i="43"/>
  <c r="CE463" i="43"/>
  <c r="CE464" i="43"/>
  <c r="CE12" i="43"/>
  <c r="CH128" i="43"/>
  <c r="CG128" i="43"/>
  <c r="CE118" i="43" l="1"/>
  <c r="CE461" i="43"/>
  <c r="CE365" i="43"/>
  <c r="CE378" i="43"/>
  <c r="CE395" i="43"/>
  <c r="CE326" i="43"/>
  <c r="CE279" i="43"/>
  <c r="CE410" i="43"/>
  <c r="CE227" i="43"/>
  <c r="CE141" i="43"/>
  <c r="CE104" i="43"/>
  <c r="CE183" i="43"/>
  <c r="CE379" i="43"/>
  <c r="CE445" i="43"/>
  <c r="CE268" i="43"/>
  <c r="CE176" i="43"/>
  <c r="CE147" i="43"/>
  <c r="CE122" i="43"/>
  <c r="CE88" i="43"/>
  <c r="CE56" i="43"/>
  <c r="CE39" i="43"/>
  <c r="CE31" i="43"/>
  <c r="CE308" i="43"/>
  <c r="CE424" i="43"/>
  <c r="CE465" i="43"/>
  <c r="CE290" i="43"/>
  <c r="CE251" i="43"/>
  <c r="CE245" i="43"/>
  <c r="CE202" i="43"/>
  <c r="CE196" i="43"/>
  <c r="CE164" i="43"/>
  <c r="CE127" i="43"/>
  <c r="CE92" i="43"/>
  <c r="CE68" i="43"/>
  <c r="CE50" i="43"/>
  <c r="CE43" i="43"/>
  <c r="CE35" i="43"/>
  <c r="CE27" i="43"/>
  <c r="CE409" i="43"/>
  <c r="CE13" i="43"/>
  <c r="CE353" i="43"/>
  <c r="CE274" i="43"/>
  <c r="CE208" i="43"/>
  <c r="CE402" i="43"/>
  <c r="CE391" i="43"/>
  <c r="CE264" i="43"/>
  <c r="CE107" i="43"/>
  <c r="CE100" i="43"/>
  <c r="CE84" i="43"/>
  <c r="CE60" i="43"/>
  <c r="CE360" i="43"/>
  <c r="CE334" i="43"/>
  <c r="CE318" i="43"/>
  <c r="CE298" i="43"/>
  <c r="CE278" i="43"/>
  <c r="CE260" i="43"/>
  <c r="CE258" i="43"/>
  <c r="CE239" i="43"/>
  <c r="CE221" i="43"/>
  <c r="CE215" i="43"/>
  <c r="CE170" i="43"/>
  <c r="CE115" i="43"/>
  <c r="CE76" i="43"/>
  <c r="CE64" i="43"/>
  <c r="CE18" i="43"/>
  <c r="CE80" i="43"/>
  <c r="CE233" i="43"/>
  <c r="CE182" i="43"/>
  <c r="CE153" i="43"/>
  <c r="CE96" i="43"/>
  <c r="CE71" i="43"/>
  <c r="CE47" i="43"/>
  <c r="CE22" i="43"/>
  <c r="CE376" i="43"/>
  <c r="CE338" i="43"/>
  <c r="CE330" i="43"/>
  <c r="CE324" i="43"/>
  <c r="CE159" i="43"/>
  <c r="CE111" i="43"/>
  <c r="CE53" i="43"/>
  <c r="CE301" i="43"/>
  <c r="CE366" i="43"/>
  <c r="CE417" i="43"/>
  <c r="CE438" i="43"/>
  <c r="CE339" i="43"/>
  <c r="CE431" i="43"/>
  <c r="CE452" i="43"/>
  <c r="CE128" i="43"/>
  <c r="CE285" i="43" l="1"/>
  <c r="CE416" i="43"/>
  <c r="CE307" i="43"/>
  <c r="CE347" i="43"/>
  <c r="CE189" i="43"/>
  <c r="CE372" i="43"/>
  <c r="CE444" i="43"/>
  <c r="CE314" i="43"/>
  <c r="CE134" i="43"/>
  <c r="CE458" i="43"/>
  <c r="CE385" i="43"/>
  <c r="CE437" i="43"/>
  <c r="CE430" i="43"/>
  <c r="CE423" i="43"/>
  <c r="CE451" i="43"/>
  <c r="CI133" i="44" l="1"/>
  <c r="CI134" i="44"/>
  <c r="CI135" i="44"/>
  <c r="CI136" i="44"/>
  <c r="CI137" i="44"/>
  <c r="CI138" i="44"/>
  <c r="CI139" i="44"/>
  <c r="CI140" i="44"/>
  <c r="CI141" i="44"/>
  <c r="CI142" i="44"/>
  <c r="CJ128" i="44"/>
  <c r="CI128" i="44"/>
  <c r="CH128" i="44"/>
  <c r="CG128" i="44"/>
  <c r="CF128" i="44"/>
  <c r="CE128" i="44"/>
  <c r="CJ121" i="44"/>
  <c r="CI121" i="44"/>
  <c r="CH121" i="44"/>
  <c r="CG121" i="44"/>
  <c r="CF121" i="44"/>
  <c r="CE121" i="44"/>
  <c r="CJ112" i="44"/>
  <c r="CI112" i="44"/>
  <c r="CH112" i="44"/>
  <c r="CG112" i="44"/>
  <c r="CF112" i="44"/>
  <c r="CE112" i="44"/>
  <c r="CJ110" i="44"/>
  <c r="CI110" i="44"/>
  <c r="CH110" i="44"/>
  <c r="CG110" i="44"/>
  <c r="CF110" i="44"/>
  <c r="CE110" i="44"/>
  <c r="CJ104" i="44"/>
  <c r="CI104" i="44"/>
  <c r="CH104" i="44"/>
  <c r="CG104" i="44"/>
  <c r="CF104" i="44"/>
  <c r="CE104" i="44"/>
  <c r="CJ102" i="44"/>
  <c r="CI102" i="44"/>
  <c r="CH102" i="44"/>
  <c r="CG102" i="44"/>
  <c r="CF102" i="44"/>
  <c r="CE102" i="44"/>
  <c r="CJ98" i="44"/>
  <c r="CI98" i="44"/>
  <c r="CH98" i="44"/>
  <c r="CG98" i="44"/>
  <c r="CF98" i="44"/>
  <c r="CE98" i="44"/>
  <c r="CJ92" i="44"/>
  <c r="CI92" i="44"/>
  <c r="CH92" i="44"/>
  <c r="CG92" i="44"/>
  <c r="CF92" i="44"/>
  <c r="CE92" i="44"/>
  <c r="CJ88" i="44"/>
  <c r="CI88" i="44"/>
  <c r="CH88" i="44"/>
  <c r="CG88" i="44"/>
  <c r="CF88" i="44"/>
  <c r="CE88" i="44"/>
  <c r="CJ84" i="44"/>
  <c r="CI84" i="44"/>
  <c r="CH84" i="44"/>
  <c r="CG84" i="44"/>
  <c r="CF84" i="44"/>
  <c r="CE84" i="44"/>
  <c r="CJ77" i="44"/>
  <c r="CI77" i="44"/>
  <c r="CH77" i="44"/>
  <c r="CG77" i="44"/>
  <c r="CF77" i="44"/>
  <c r="CE77" i="44"/>
  <c r="CJ70" i="44"/>
  <c r="CI70" i="44"/>
  <c r="CH70" i="44"/>
  <c r="CG70" i="44"/>
  <c r="CF70" i="44"/>
  <c r="CE70" i="44"/>
  <c r="CJ63" i="44"/>
  <c r="CI63" i="44"/>
  <c r="CH63" i="44"/>
  <c r="CG63" i="44"/>
  <c r="CF63" i="44"/>
  <c r="CE63" i="44"/>
  <c r="CJ56" i="44"/>
  <c r="CI56" i="44"/>
  <c r="CH56" i="44"/>
  <c r="CG56" i="44"/>
  <c r="CF56" i="44"/>
  <c r="CE56" i="44"/>
  <c r="CJ49" i="44"/>
  <c r="CI49" i="44"/>
  <c r="CH49" i="44"/>
  <c r="CG49" i="44"/>
  <c r="CF49" i="44"/>
  <c r="CE49" i="44"/>
  <c r="CJ42" i="44"/>
  <c r="CI42" i="44"/>
  <c r="CH42" i="44"/>
  <c r="CG42" i="44"/>
  <c r="CF42" i="44"/>
  <c r="CE42" i="44"/>
  <c r="CJ35" i="44"/>
  <c r="CI35" i="44"/>
  <c r="CH35" i="44"/>
  <c r="CG35" i="44"/>
  <c r="CF35" i="44"/>
  <c r="CE35" i="44"/>
  <c r="CJ28" i="44"/>
  <c r="CI28" i="44"/>
  <c r="CH28" i="44"/>
  <c r="CG28" i="44"/>
  <c r="CF28" i="44"/>
  <c r="CE28" i="44"/>
  <c r="CJ19" i="44"/>
  <c r="CI19" i="44"/>
  <c r="CH19" i="44"/>
  <c r="CG19" i="44"/>
  <c r="CF19" i="44"/>
  <c r="CE19" i="44"/>
  <c r="CJ13" i="44"/>
  <c r="CI13" i="44"/>
  <c r="CH13" i="44"/>
  <c r="CG13" i="44"/>
  <c r="CF13" i="44"/>
  <c r="CE13" i="44"/>
  <c r="CI470" i="43"/>
  <c r="CB27" i="47" s="1"/>
  <c r="CI471" i="43"/>
  <c r="CI472" i="43"/>
  <c r="CI473" i="43"/>
  <c r="CB30" i="47" s="1"/>
  <c r="CI474" i="43"/>
  <c r="CB31" i="47" s="1"/>
  <c r="CI475" i="43"/>
  <c r="CI476" i="43"/>
  <c r="CI477" i="43"/>
  <c r="CB34" i="47" s="1"/>
  <c r="CI478" i="43"/>
  <c r="CI479" i="43"/>
  <c r="CJ465" i="43"/>
  <c r="CI465" i="43"/>
  <c r="CH465" i="43"/>
  <c r="CG465" i="43"/>
  <c r="CF465" i="43"/>
  <c r="CJ461" i="43"/>
  <c r="CI461" i="43"/>
  <c r="CH461" i="43"/>
  <c r="CG461" i="43"/>
  <c r="CF461" i="43"/>
  <c r="CJ458" i="43"/>
  <c r="CI458" i="43"/>
  <c r="CH458" i="43"/>
  <c r="CG458" i="43"/>
  <c r="CF458" i="43"/>
  <c r="CJ451" i="43"/>
  <c r="CI451" i="43"/>
  <c r="CH451" i="43"/>
  <c r="CG451" i="43"/>
  <c r="CF451" i="43"/>
  <c r="CJ444" i="43"/>
  <c r="CI444" i="43"/>
  <c r="CH444" i="43"/>
  <c r="CG444" i="43"/>
  <c r="CF444" i="43"/>
  <c r="CJ437" i="43"/>
  <c r="CI437" i="43"/>
  <c r="CH437" i="43"/>
  <c r="CG437" i="43"/>
  <c r="CF437" i="43"/>
  <c r="CJ430" i="43"/>
  <c r="CI430" i="43"/>
  <c r="CH430" i="43"/>
  <c r="CG430" i="43"/>
  <c r="CF430" i="43"/>
  <c r="CJ423" i="43"/>
  <c r="CI423" i="43"/>
  <c r="CH423" i="43"/>
  <c r="CG423" i="43"/>
  <c r="CF423" i="43"/>
  <c r="CJ416" i="43"/>
  <c r="CI416" i="43"/>
  <c r="CH416" i="43"/>
  <c r="CG416" i="43"/>
  <c r="CF416" i="43"/>
  <c r="CJ409" i="43"/>
  <c r="CI409" i="43"/>
  <c r="CH409" i="43"/>
  <c r="CG409" i="43"/>
  <c r="CF409" i="43"/>
  <c r="CJ402" i="43"/>
  <c r="CI402" i="43"/>
  <c r="CH402" i="43"/>
  <c r="CG402" i="43"/>
  <c r="CF402" i="43"/>
  <c r="CJ395" i="43"/>
  <c r="CI395" i="43"/>
  <c r="CH395" i="43"/>
  <c r="CG395" i="43"/>
  <c r="CF395" i="43"/>
  <c r="CJ391" i="43"/>
  <c r="CI391" i="43"/>
  <c r="CH391" i="43"/>
  <c r="CG391" i="43"/>
  <c r="CF391" i="43"/>
  <c r="CJ385" i="43"/>
  <c r="CI385" i="43"/>
  <c r="CH385" i="43"/>
  <c r="CG385" i="43"/>
  <c r="CF385" i="43"/>
  <c r="CJ378" i="43"/>
  <c r="CI378" i="43"/>
  <c r="CH378" i="43"/>
  <c r="CG378" i="43"/>
  <c r="CF378" i="43"/>
  <c r="CJ376" i="43"/>
  <c r="CI376" i="43"/>
  <c r="CH376" i="43"/>
  <c r="CG376" i="43"/>
  <c r="CF376" i="43"/>
  <c r="CJ372" i="43"/>
  <c r="CI372" i="43"/>
  <c r="CH372" i="43"/>
  <c r="CG372" i="43"/>
  <c r="CF372" i="43"/>
  <c r="CJ365" i="43"/>
  <c r="CI365" i="43"/>
  <c r="CH365" i="43"/>
  <c r="CG365" i="43"/>
  <c r="CF365" i="43"/>
  <c r="CJ360" i="43"/>
  <c r="CI360" i="43"/>
  <c r="CH360" i="43"/>
  <c r="CG360" i="43"/>
  <c r="CF360" i="43"/>
  <c r="CJ353" i="43"/>
  <c r="CI353" i="43"/>
  <c r="CH353" i="43"/>
  <c r="CG353" i="43"/>
  <c r="CF353" i="43"/>
  <c r="CJ347" i="43"/>
  <c r="CI347" i="43"/>
  <c r="CH347" i="43"/>
  <c r="CG347" i="43"/>
  <c r="CF347" i="43"/>
  <c r="CJ338" i="43"/>
  <c r="CI338" i="43"/>
  <c r="CH338" i="43"/>
  <c r="CG338" i="43"/>
  <c r="CF338" i="43"/>
  <c r="CJ334" i="43"/>
  <c r="CI334" i="43"/>
  <c r="CH334" i="43"/>
  <c r="CG334" i="43"/>
  <c r="CF334" i="43"/>
  <c r="CJ330" i="43"/>
  <c r="CI330" i="43"/>
  <c r="CH330" i="43"/>
  <c r="CG330" i="43"/>
  <c r="CF330" i="43"/>
  <c r="CJ326" i="43"/>
  <c r="CI326" i="43"/>
  <c r="CH326" i="43"/>
  <c r="CG326" i="43"/>
  <c r="CF326" i="43"/>
  <c r="CJ324" i="43"/>
  <c r="CI324" i="43"/>
  <c r="CH324" i="43"/>
  <c r="CG324" i="43"/>
  <c r="CF324" i="43"/>
  <c r="CJ318" i="43"/>
  <c r="CI318" i="43"/>
  <c r="CH318" i="43"/>
  <c r="CG318" i="43"/>
  <c r="CF318" i="43"/>
  <c r="CJ314" i="43"/>
  <c r="CI314" i="43"/>
  <c r="CH314" i="43"/>
  <c r="CG314" i="43"/>
  <c r="CF314" i="43"/>
  <c r="CJ307" i="43"/>
  <c r="CI307" i="43"/>
  <c r="CH307" i="43"/>
  <c r="CG307" i="43"/>
  <c r="CF307" i="43"/>
  <c r="CJ300" i="43"/>
  <c r="CI300" i="43"/>
  <c r="CH300" i="43"/>
  <c r="CG300" i="43"/>
  <c r="CF300" i="43"/>
  <c r="CJ298" i="43"/>
  <c r="CI298" i="43"/>
  <c r="CH298" i="43"/>
  <c r="CG298" i="43"/>
  <c r="CF298" i="43"/>
  <c r="CJ290" i="43"/>
  <c r="CI290" i="43"/>
  <c r="CH290" i="43"/>
  <c r="CG290" i="43"/>
  <c r="CF290" i="43"/>
  <c r="CJ285" i="43"/>
  <c r="CI285" i="43"/>
  <c r="CH285" i="43"/>
  <c r="CG285" i="43"/>
  <c r="CF285" i="43"/>
  <c r="CJ278" i="43"/>
  <c r="CI278" i="43"/>
  <c r="CH278" i="43"/>
  <c r="CG278" i="43"/>
  <c r="CF278" i="43"/>
  <c r="CJ274" i="43"/>
  <c r="CI274" i="43"/>
  <c r="CH274" i="43"/>
  <c r="CG274" i="43"/>
  <c r="CF274" i="43"/>
  <c r="CJ268" i="43"/>
  <c r="CI268" i="43"/>
  <c r="CH268" i="43"/>
  <c r="CG268" i="43"/>
  <c r="CF268" i="43"/>
  <c r="CJ264" i="43"/>
  <c r="CI264" i="43"/>
  <c r="CH264" i="43"/>
  <c r="CG264" i="43"/>
  <c r="CF264" i="43"/>
  <c r="CJ260" i="43"/>
  <c r="CI260" i="43"/>
  <c r="CH260" i="43"/>
  <c r="CG260" i="43"/>
  <c r="CF260" i="43"/>
  <c r="CJ258" i="43"/>
  <c r="CI258" i="43"/>
  <c r="CH258" i="43"/>
  <c r="CG258" i="43"/>
  <c r="CF258" i="43"/>
  <c r="CJ251" i="43"/>
  <c r="CI251" i="43"/>
  <c r="CH251" i="43"/>
  <c r="CG251" i="43"/>
  <c r="CF251" i="43"/>
  <c r="CJ245" i="43"/>
  <c r="CI245" i="43"/>
  <c r="CH245" i="43"/>
  <c r="CG245" i="43"/>
  <c r="CF245" i="43"/>
  <c r="CJ239" i="43"/>
  <c r="CI239" i="43"/>
  <c r="CH239" i="43"/>
  <c r="CG239" i="43"/>
  <c r="CF239" i="43"/>
  <c r="CJ233" i="43"/>
  <c r="CI233" i="43"/>
  <c r="CH233" i="43"/>
  <c r="CG233" i="43"/>
  <c r="CF233" i="43"/>
  <c r="CJ227" i="43"/>
  <c r="CI227" i="43"/>
  <c r="CH227" i="43"/>
  <c r="CG227" i="43"/>
  <c r="CF227" i="43"/>
  <c r="CJ221" i="43"/>
  <c r="CI221" i="43"/>
  <c r="CH221" i="43"/>
  <c r="CG221" i="43"/>
  <c r="CF221" i="43"/>
  <c r="CJ215" i="43"/>
  <c r="CI215" i="43"/>
  <c r="CH215" i="43"/>
  <c r="CG215" i="43"/>
  <c r="CF215" i="43"/>
  <c r="CJ208" i="43"/>
  <c r="CI208" i="43"/>
  <c r="CH208" i="43"/>
  <c r="CG208" i="43"/>
  <c r="CF208" i="43"/>
  <c r="CJ202" i="43"/>
  <c r="CI202" i="43"/>
  <c r="CH202" i="43"/>
  <c r="CG202" i="43"/>
  <c r="CF202" i="43"/>
  <c r="CJ196" i="43"/>
  <c r="CI196" i="43"/>
  <c r="CH196" i="43"/>
  <c r="CG196" i="43"/>
  <c r="CF196" i="43"/>
  <c r="CJ189" i="43"/>
  <c r="CI189" i="43"/>
  <c r="CH189" i="43"/>
  <c r="CG189" i="43"/>
  <c r="CF189" i="43"/>
  <c r="CJ182" i="43"/>
  <c r="CI182" i="43"/>
  <c r="CH182" i="43"/>
  <c r="CG182" i="43"/>
  <c r="CF182" i="43"/>
  <c r="CJ176" i="43"/>
  <c r="CI176" i="43"/>
  <c r="CH176" i="43"/>
  <c r="CG176" i="43"/>
  <c r="CF176" i="43"/>
  <c r="CJ170" i="43"/>
  <c r="CI170" i="43"/>
  <c r="CH170" i="43"/>
  <c r="CG170" i="43"/>
  <c r="CF170" i="43"/>
  <c r="CJ164" i="43"/>
  <c r="CI164" i="43"/>
  <c r="CH164" i="43"/>
  <c r="CG164" i="43"/>
  <c r="CF164" i="43"/>
  <c r="CJ159" i="43"/>
  <c r="CI159" i="43"/>
  <c r="CH159" i="43"/>
  <c r="CG159" i="43"/>
  <c r="CF159" i="43"/>
  <c r="CJ153" i="43"/>
  <c r="CI153" i="43"/>
  <c r="CH153" i="43"/>
  <c r="CG153" i="43"/>
  <c r="CF153" i="43"/>
  <c r="CJ147" i="43"/>
  <c r="CI147" i="43"/>
  <c r="CH147" i="43"/>
  <c r="CG147" i="43"/>
  <c r="CF147" i="43"/>
  <c r="CJ141" i="43"/>
  <c r="CI141" i="43"/>
  <c r="CH141" i="43"/>
  <c r="CG141" i="43"/>
  <c r="CF141" i="43"/>
  <c r="CJ134" i="43"/>
  <c r="CI134" i="43"/>
  <c r="CH134" i="43"/>
  <c r="CG134" i="43"/>
  <c r="CF134" i="43"/>
  <c r="CJ127" i="43"/>
  <c r="CI127" i="43"/>
  <c r="CH127" i="43"/>
  <c r="CG127" i="43"/>
  <c r="CF127" i="43"/>
  <c r="CJ122" i="43"/>
  <c r="CI122" i="43"/>
  <c r="CH122" i="43"/>
  <c r="CG122" i="43"/>
  <c r="CF122" i="43"/>
  <c r="CJ118" i="43"/>
  <c r="CI118" i="43"/>
  <c r="CH118" i="43"/>
  <c r="CG118" i="43"/>
  <c r="CF118" i="43"/>
  <c r="CJ115" i="43"/>
  <c r="CI115" i="43"/>
  <c r="CH115" i="43"/>
  <c r="CG115" i="43"/>
  <c r="CF115" i="43"/>
  <c r="CJ111" i="43"/>
  <c r="CI111" i="43"/>
  <c r="CH111" i="43"/>
  <c r="CG111" i="43"/>
  <c r="CF111" i="43"/>
  <c r="CJ107" i="43"/>
  <c r="CI107" i="43"/>
  <c r="CH107" i="43"/>
  <c r="CG107" i="43"/>
  <c r="CF107" i="43"/>
  <c r="CJ104" i="43"/>
  <c r="CI104" i="43"/>
  <c r="CH104" i="43"/>
  <c r="CG104" i="43"/>
  <c r="CF104" i="43"/>
  <c r="CJ100" i="43"/>
  <c r="CI100" i="43"/>
  <c r="CH100" i="43"/>
  <c r="CG100" i="43"/>
  <c r="CF100" i="43"/>
  <c r="CJ96" i="43"/>
  <c r="CI96" i="43"/>
  <c r="CH96" i="43"/>
  <c r="CG96" i="43"/>
  <c r="CF96" i="43"/>
  <c r="CJ92" i="43"/>
  <c r="CI92" i="43"/>
  <c r="CH92" i="43"/>
  <c r="CG92" i="43"/>
  <c r="CF92" i="43"/>
  <c r="CJ88" i="43"/>
  <c r="CI88" i="43"/>
  <c r="CH88" i="43"/>
  <c r="CG88" i="43"/>
  <c r="CF88" i="43"/>
  <c r="CJ84" i="43"/>
  <c r="CI84" i="43"/>
  <c r="CH84" i="43"/>
  <c r="CG84" i="43"/>
  <c r="CF84" i="43"/>
  <c r="CJ80" i="43"/>
  <c r="CI80" i="43"/>
  <c r="CH80" i="43"/>
  <c r="CG80" i="43"/>
  <c r="CF80" i="43"/>
  <c r="CJ76" i="43"/>
  <c r="CI76" i="43"/>
  <c r="CH76" i="43"/>
  <c r="CG76" i="43"/>
  <c r="CF76" i="43"/>
  <c r="CJ71" i="43"/>
  <c r="CI71" i="43"/>
  <c r="CH71" i="43"/>
  <c r="CG71" i="43"/>
  <c r="CF71" i="43"/>
  <c r="CJ68" i="43"/>
  <c r="CI68" i="43"/>
  <c r="CH68" i="43"/>
  <c r="CG68" i="43"/>
  <c r="CF68" i="43"/>
  <c r="CJ64" i="43"/>
  <c r="CI64" i="43"/>
  <c r="CH64" i="43"/>
  <c r="CG64" i="43"/>
  <c r="CF64" i="43"/>
  <c r="CJ60" i="43"/>
  <c r="CI60" i="43"/>
  <c r="CH60" i="43"/>
  <c r="CG60" i="43"/>
  <c r="CF60" i="43"/>
  <c r="CJ56" i="43"/>
  <c r="CI56" i="43"/>
  <c r="CH56" i="43"/>
  <c r="CG56" i="43"/>
  <c r="CF56" i="43"/>
  <c r="CJ53" i="43"/>
  <c r="CI53" i="43"/>
  <c r="CH53" i="43"/>
  <c r="CG53" i="43"/>
  <c r="CF53" i="43"/>
  <c r="CJ50" i="43"/>
  <c r="CI50" i="43"/>
  <c r="CH50" i="43"/>
  <c r="CG50" i="43"/>
  <c r="CF50" i="43"/>
  <c r="CJ47" i="43"/>
  <c r="CI47" i="43"/>
  <c r="CH47" i="43"/>
  <c r="CG47" i="43"/>
  <c r="CF47" i="43"/>
  <c r="CJ43" i="43"/>
  <c r="CI43" i="43"/>
  <c r="CH43" i="43"/>
  <c r="CG43" i="43"/>
  <c r="CF43" i="43"/>
  <c r="CJ39" i="43"/>
  <c r="CI39" i="43"/>
  <c r="CH39" i="43"/>
  <c r="CG39" i="43"/>
  <c r="CF39" i="43"/>
  <c r="CJ35" i="43"/>
  <c r="CI35" i="43"/>
  <c r="CH35" i="43"/>
  <c r="CG35" i="43"/>
  <c r="CF35" i="43"/>
  <c r="CJ31" i="43"/>
  <c r="CI31" i="43"/>
  <c r="CH31" i="43"/>
  <c r="CG31" i="43"/>
  <c r="CF31" i="43"/>
  <c r="CJ27" i="43"/>
  <c r="CI27" i="43"/>
  <c r="CH27" i="43"/>
  <c r="CG27" i="43"/>
  <c r="CF27" i="43"/>
  <c r="CJ22" i="43"/>
  <c r="CI22" i="43"/>
  <c r="CH22" i="43"/>
  <c r="CG22" i="43"/>
  <c r="CF22" i="43"/>
  <c r="CJ18" i="43"/>
  <c r="CI18" i="43"/>
  <c r="CH18" i="43"/>
  <c r="CG18" i="43"/>
  <c r="CF18" i="43"/>
  <c r="CJ13" i="43"/>
  <c r="CI13" i="43"/>
  <c r="CH13" i="43"/>
  <c r="CG13" i="43"/>
  <c r="CF13" i="43"/>
  <c r="CB36" i="47" l="1"/>
  <c r="CB28" i="47"/>
  <c r="CB33" i="47"/>
  <c r="CB32" i="47"/>
  <c r="CB35" i="47"/>
  <c r="CB29" i="47"/>
  <c r="CI469" i="43"/>
  <c r="CI132" i="44"/>
  <c r="BJ12" i="43" l="1"/>
  <c r="BJ13" i="43" s="1"/>
  <c r="AV142" i="44"/>
  <c r="AV141" i="44"/>
  <c r="AV140" i="44"/>
  <c r="AV139" i="44"/>
  <c r="AV138" i="44"/>
  <c r="AV137" i="44"/>
  <c r="AV136" i="44"/>
  <c r="AV135" i="44"/>
  <c r="AV134" i="44"/>
  <c r="AV133" i="44"/>
  <c r="AV479" i="43"/>
  <c r="AO36" i="47" s="1"/>
  <c r="AV478" i="43"/>
  <c r="AV477" i="43"/>
  <c r="AV476" i="43"/>
  <c r="AV475" i="43"/>
  <c r="AV474" i="43"/>
  <c r="AV473" i="43"/>
  <c r="AV472" i="43"/>
  <c r="AV471" i="43"/>
  <c r="AV470" i="43"/>
  <c r="AX12" i="43"/>
  <c r="AX13" i="43" s="1"/>
  <c r="BF142" i="44"/>
  <c r="BF141" i="44"/>
  <c r="BF140" i="44"/>
  <c r="BF139" i="44"/>
  <c r="BF138" i="44"/>
  <c r="BF137" i="44"/>
  <c r="BF136" i="44"/>
  <c r="BF135" i="44"/>
  <c r="BF134" i="44"/>
  <c r="BF133" i="44"/>
  <c r="BF470" i="43"/>
  <c r="BF471" i="43"/>
  <c r="BF472" i="43"/>
  <c r="BF473" i="43"/>
  <c r="BF474" i="43"/>
  <c r="BF475" i="43"/>
  <c r="BF476" i="43"/>
  <c r="BF477" i="43"/>
  <c r="BF478" i="43"/>
  <c r="BF479" i="43"/>
  <c r="AB142" i="44"/>
  <c r="AB141" i="44"/>
  <c r="AB140" i="44"/>
  <c r="AB139" i="44"/>
  <c r="AB138" i="44"/>
  <c r="AB137" i="44"/>
  <c r="AB136" i="44"/>
  <c r="AB135" i="44"/>
  <c r="AB134" i="44"/>
  <c r="AB133" i="44"/>
  <c r="AB470" i="43"/>
  <c r="AB471" i="43"/>
  <c r="AB472" i="43"/>
  <c r="AB473" i="43"/>
  <c r="AB474" i="43"/>
  <c r="AB475" i="43"/>
  <c r="AB476" i="43"/>
  <c r="AB477" i="43"/>
  <c r="U34" i="47" s="1"/>
  <c r="AB478" i="43"/>
  <c r="AB479" i="43"/>
  <c r="AY30" i="47" l="1"/>
  <c r="AO30" i="47"/>
  <c r="AY36" i="47"/>
  <c r="U33" i="47"/>
  <c r="AB132" i="44"/>
  <c r="BF132" i="44"/>
  <c r="AO28" i="47"/>
  <c r="AO34" i="47"/>
  <c r="AB469" i="43"/>
  <c r="BF469" i="43"/>
  <c r="U32" i="47"/>
  <c r="AY33" i="47"/>
  <c r="AO27" i="47"/>
  <c r="AO33" i="47"/>
  <c r="AY32" i="47"/>
  <c r="AY31" i="47"/>
  <c r="U28" i="47"/>
  <c r="U35" i="47"/>
  <c r="U29" i="47"/>
  <c r="AO29" i="47"/>
  <c r="AO35" i="47"/>
  <c r="AY35" i="47"/>
  <c r="AO31" i="47"/>
  <c r="AY34" i="47"/>
  <c r="AO32" i="47"/>
  <c r="U36" i="47"/>
  <c r="AY28" i="47"/>
  <c r="U31" i="47"/>
  <c r="AY27" i="47"/>
  <c r="U30" i="47"/>
  <c r="U27" i="47"/>
  <c r="AY29" i="47"/>
  <c r="AV132" i="44"/>
  <c r="AV129" i="44"/>
  <c r="AO14" i="47" s="1"/>
  <c r="AV469" i="43"/>
  <c r="AV466" i="43"/>
  <c r="AO13" i="47" s="1"/>
  <c r="U14" i="47"/>
  <c r="AY14" i="47"/>
  <c r="AY13" i="47"/>
  <c r="U13" i="47"/>
  <c r="U23" i="47" l="1"/>
  <c r="BY24" i="47" s="1"/>
  <c r="AY23" i="47"/>
  <c r="AY26" i="47"/>
  <c r="U26" i="47"/>
  <c r="CJ142" i="44"/>
  <c r="CH142" i="44"/>
  <c r="CG142" i="44"/>
  <c r="CF142" i="44"/>
  <c r="CE142" i="44"/>
  <c r="CJ141" i="44"/>
  <c r="CH141" i="44"/>
  <c r="CG141" i="44"/>
  <c r="CF141" i="44"/>
  <c r="CE141" i="44"/>
  <c r="CJ140" i="44"/>
  <c r="CH140" i="44"/>
  <c r="CG140" i="44"/>
  <c r="CF140" i="44"/>
  <c r="CE140" i="44"/>
  <c r="CJ139" i="44"/>
  <c r="CH139" i="44"/>
  <c r="CG139" i="44"/>
  <c r="CF139" i="44"/>
  <c r="CE139" i="44"/>
  <c r="CJ138" i="44"/>
  <c r="CH138" i="44"/>
  <c r="CG138" i="44"/>
  <c r="CF138" i="44"/>
  <c r="CE138" i="44"/>
  <c r="CJ137" i="44"/>
  <c r="CH137" i="44"/>
  <c r="CG137" i="44"/>
  <c r="CF137" i="44"/>
  <c r="CE137" i="44"/>
  <c r="CJ136" i="44"/>
  <c r="CH136" i="44"/>
  <c r="CG136" i="44"/>
  <c r="CF136" i="44"/>
  <c r="CE136" i="44"/>
  <c r="CJ135" i="44"/>
  <c r="CH135" i="44"/>
  <c r="CG135" i="44"/>
  <c r="CF135" i="44"/>
  <c r="CE135" i="44"/>
  <c r="CJ134" i="44"/>
  <c r="CH134" i="44"/>
  <c r="CG134" i="44"/>
  <c r="CF134" i="44"/>
  <c r="CE134" i="44"/>
  <c r="CJ133" i="44"/>
  <c r="CH133" i="44"/>
  <c r="CG133" i="44"/>
  <c r="CF133" i="44"/>
  <c r="CE133" i="44"/>
  <c r="CC24" i="47" l="1"/>
  <c r="CJ132" i="44"/>
  <c r="CH132" i="44"/>
  <c r="CG132" i="44"/>
  <c r="CB26" i="47"/>
  <c r="CF132" i="44"/>
  <c r="CJ129" i="44"/>
  <c r="CC14" i="47" s="1"/>
  <c r="CE132" i="44"/>
  <c r="CE129" i="44"/>
  <c r="BX14" i="47" s="1"/>
  <c r="CF129" i="44"/>
  <c r="CI129" i="44"/>
  <c r="CB14" i="47" s="1"/>
  <c r="CG129" i="44"/>
  <c r="BZ14" i="47" s="1"/>
  <c r="CH129" i="44"/>
  <c r="CA14" i="47" s="1"/>
  <c r="CI466" i="43"/>
  <c r="CJ479" i="43"/>
  <c r="CC36" i="47" s="1"/>
  <c r="CH479" i="43"/>
  <c r="CA36" i="47" s="1"/>
  <c r="CG479" i="43"/>
  <c r="BZ36" i="47" s="1"/>
  <c r="CF479" i="43"/>
  <c r="BY36" i="47" s="1"/>
  <c r="CE479" i="43"/>
  <c r="BX36" i="47" s="1"/>
  <c r="CJ478" i="43"/>
  <c r="CC35" i="47" s="1"/>
  <c r="CH478" i="43"/>
  <c r="CA35" i="47" s="1"/>
  <c r="CG478" i="43"/>
  <c r="BZ35" i="47" s="1"/>
  <c r="CF478" i="43"/>
  <c r="BY35" i="47" s="1"/>
  <c r="CE478" i="43"/>
  <c r="BX35" i="47" s="1"/>
  <c r="CJ477" i="43"/>
  <c r="CC34" i="47" s="1"/>
  <c r="CH477" i="43"/>
  <c r="CA34" i="47" s="1"/>
  <c r="CG477" i="43"/>
  <c r="BZ34" i="47" s="1"/>
  <c r="CF477" i="43"/>
  <c r="BY34" i="47" s="1"/>
  <c r="CE477" i="43"/>
  <c r="BX34" i="47" s="1"/>
  <c r="CJ476" i="43"/>
  <c r="CC33" i="47" s="1"/>
  <c r="CH476" i="43"/>
  <c r="CA33" i="47" s="1"/>
  <c r="CG476" i="43"/>
  <c r="BZ33" i="47" s="1"/>
  <c r="CF476" i="43"/>
  <c r="BY33" i="47" s="1"/>
  <c r="CE476" i="43"/>
  <c r="BX33" i="47" s="1"/>
  <c r="CJ475" i="43"/>
  <c r="CC32" i="47" s="1"/>
  <c r="CH475" i="43"/>
  <c r="CA32" i="47" s="1"/>
  <c r="CG475" i="43"/>
  <c r="BZ32" i="47" s="1"/>
  <c r="CF475" i="43"/>
  <c r="BY32" i="47" s="1"/>
  <c r="CE475" i="43"/>
  <c r="BX32" i="47" s="1"/>
  <c r="CJ474" i="43"/>
  <c r="CC31" i="47" s="1"/>
  <c r="CH474" i="43"/>
  <c r="CA31" i="47" s="1"/>
  <c r="CG474" i="43"/>
  <c r="BZ31" i="47" s="1"/>
  <c r="CF474" i="43"/>
  <c r="BY31" i="47" s="1"/>
  <c r="CE474" i="43"/>
  <c r="BX31" i="47" s="1"/>
  <c r="CJ473" i="43"/>
  <c r="CC30" i="47" s="1"/>
  <c r="CH473" i="43"/>
  <c r="CA30" i="47" s="1"/>
  <c r="CG473" i="43"/>
  <c r="BZ30" i="47" s="1"/>
  <c r="CF473" i="43"/>
  <c r="BY30" i="47" s="1"/>
  <c r="CE473" i="43"/>
  <c r="BX30" i="47" s="1"/>
  <c r="CJ472" i="43"/>
  <c r="CC29" i="47" s="1"/>
  <c r="CH472" i="43"/>
  <c r="CA29" i="47" s="1"/>
  <c r="CG472" i="43"/>
  <c r="BZ29" i="47" s="1"/>
  <c r="CF472" i="43"/>
  <c r="BY29" i="47" s="1"/>
  <c r="CE472" i="43"/>
  <c r="BX29" i="47" s="1"/>
  <c r="CJ471" i="43"/>
  <c r="CC28" i="47" s="1"/>
  <c r="CH471" i="43"/>
  <c r="CA28" i="47" s="1"/>
  <c r="CG471" i="43"/>
  <c r="BZ28" i="47" s="1"/>
  <c r="CF471" i="43"/>
  <c r="BY28" i="47" s="1"/>
  <c r="CE471" i="43"/>
  <c r="BX28" i="47" s="1"/>
  <c r="CJ470" i="43"/>
  <c r="CC27" i="47" s="1"/>
  <c r="CH470" i="43"/>
  <c r="CA27" i="47" s="1"/>
  <c r="CG470" i="43"/>
  <c r="BZ27" i="47" s="1"/>
  <c r="CF470" i="43"/>
  <c r="BY27" i="47" s="1"/>
  <c r="CE470" i="43"/>
  <c r="BX27" i="47" s="1"/>
  <c r="CE131" i="44" l="1"/>
  <c r="BY14" i="47"/>
  <c r="CE130" i="44"/>
  <c r="CB13" i="47"/>
  <c r="CB23" i="47" s="1"/>
  <c r="CJ469" i="43"/>
  <c r="CG469" i="43"/>
  <c r="CH469" i="43"/>
  <c r="CF469" i="43"/>
  <c r="CE466" i="43"/>
  <c r="CF466" i="43"/>
  <c r="CG466" i="43"/>
  <c r="CH466" i="43"/>
  <c r="CJ466" i="43"/>
  <c r="CE469" i="43"/>
  <c r="CA26" i="47" l="1"/>
  <c r="BX26" i="47"/>
  <c r="BY26" i="47"/>
  <c r="BZ26" i="47"/>
  <c r="CC26" i="47"/>
  <c r="CA13" i="47"/>
  <c r="CA23" i="47" s="1"/>
  <c r="BZ13" i="47"/>
  <c r="BZ23" i="47" s="1"/>
  <c r="BX13" i="47"/>
  <c r="BX23" i="47" s="1"/>
  <c r="CE468" i="43"/>
  <c r="CC13" i="47"/>
  <c r="CC23" i="47" s="1"/>
  <c r="BY13" i="47"/>
  <c r="BY23" i="47" s="1"/>
  <c r="CE467" i="43"/>
  <c r="BD470" i="43"/>
  <c r="BD471" i="43"/>
  <c r="BD472" i="43"/>
  <c r="BD473" i="43"/>
  <c r="BD474" i="43"/>
  <c r="BD475" i="43"/>
  <c r="BD476" i="43"/>
  <c r="BD477" i="43"/>
  <c r="BD478" i="43"/>
  <c r="BD479" i="43"/>
  <c r="AW470" i="43"/>
  <c r="AW471" i="43"/>
  <c r="AW472" i="43"/>
  <c r="AW473" i="43"/>
  <c r="AW474" i="43"/>
  <c r="AW475" i="43"/>
  <c r="AW476" i="43"/>
  <c r="AW477" i="43"/>
  <c r="AW478" i="43"/>
  <c r="AW479" i="43"/>
  <c r="AA470" i="43"/>
  <c r="AA471" i="43"/>
  <c r="AA472" i="43"/>
  <c r="AA473" i="43"/>
  <c r="AA474" i="43"/>
  <c r="AA475" i="43"/>
  <c r="AA476" i="43"/>
  <c r="AA477" i="43"/>
  <c r="AA478" i="43"/>
  <c r="AA479" i="43"/>
  <c r="AW469" i="43" l="1"/>
  <c r="BX25" i="47"/>
  <c r="BX24" i="47"/>
  <c r="BD466" i="43"/>
  <c r="AW13" i="47" s="1"/>
  <c r="AP13" i="47"/>
  <c r="AA466" i="43"/>
  <c r="T13" i="47" s="1"/>
  <c r="BD469" i="43"/>
  <c r="AA469" i="43"/>
  <c r="X466" i="43" l="1"/>
  <c r="Q13" i="47" s="1"/>
  <c r="BX82" i="43" l="1"/>
  <c r="BW82" i="43"/>
  <c r="BU82" i="43"/>
  <c r="BR82" i="43"/>
  <c r="BQ82" i="43"/>
  <c r="BO82" i="43"/>
  <c r="BN82" i="43"/>
  <c r="Y466" i="43" l="1"/>
  <c r="R13" i="47" s="1"/>
  <c r="BT82" i="43"/>
  <c r="BP82" i="43"/>
  <c r="BV82" i="43"/>
  <c r="BS82" i="43" l="1"/>
  <c r="BM82" i="43"/>
  <c r="BL82" i="43" l="1"/>
  <c r="BO30" i="44" l="1"/>
  <c r="BO36" i="44"/>
  <c r="BO48" i="44"/>
  <c r="BO54" i="44"/>
  <c r="BO66" i="44"/>
  <c r="BO72" i="44"/>
  <c r="BO90" i="44"/>
  <c r="BO96" i="44"/>
  <c r="BO114" i="44"/>
  <c r="BO120" i="44"/>
  <c r="BO126" i="44"/>
  <c r="BO16" i="43"/>
  <c r="BO17" i="43"/>
  <c r="BO21" i="43"/>
  <c r="BO24" i="43"/>
  <c r="BO26" i="43"/>
  <c r="BO29" i="43"/>
  <c r="BO33" i="43"/>
  <c r="BO34" i="43"/>
  <c r="BO37" i="43"/>
  <c r="BO42" i="43"/>
  <c r="BO46" i="43"/>
  <c r="BO49" i="43"/>
  <c r="BO52" i="43"/>
  <c r="BO55" i="43"/>
  <c r="BO59" i="43"/>
  <c r="BO63" i="43"/>
  <c r="BO67" i="43"/>
  <c r="BO78" i="43"/>
  <c r="BO79" i="43"/>
  <c r="BO86" i="43"/>
  <c r="BO90" i="43"/>
  <c r="BO94" i="43"/>
  <c r="BO95" i="43"/>
  <c r="BO102" i="43"/>
  <c r="BO103" i="43"/>
  <c r="BO109" i="43"/>
  <c r="BO110" i="43"/>
  <c r="BO113" i="43"/>
  <c r="BO120" i="43"/>
  <c r="BO121" i="43"/>
  <c r="BO125" i="43"/>
  <c r="BO129" i="43"/>
  <c r="BO131" i="43"/>
  <c r="BO132" i="43"/>
  <c r="BO133" i="43"/>
  <c r="BO136" i="43"/>
  <c r="BO137" i="43"/>
  <c r="BO138" i="43"/>
  <c r="BO139" i="43"/>
  <c r="BO140" i="43"/>
  <c r="BO143" i="43"/>
  <c r="BO146" i="43"/>
  <c r="BO149" i="43"/>
  <c r="BO150" i="43"/>
  <c r="BO152" i="43"/>
  <c r="BO155" i="43"/>
  <c r="BO156" i="43"/>
  <c r="BO157" i="43"/>
  <c r="BO161" i="43"/>
  <c r="BO163" i="43"/>
  <c r="BO167" i="43"/>
  <c r="BO168" i="43"/>
  <c r="BO169" i="43"/>
  <c r="BO172" i="43"/>
  <c r="BO173" i="43"/>
  <c r="BO174" i="43"/>
  <c r="BO175" i="43"/>
  <c r="BO179" i="43"/>
  <c r="BO181" i="43"/>
  <c r="BO191" i="43"/>
  <c r="BO192" i="43"/>
  <c r="BO212" i="43"/>
  <c r="BO224" i="43"/>
  <c r="BO230" i="43"/>
  <c r="BO242" i="43"/>
  <c r="BO287" i="43"/>
  <c r="BO288" i="43"/>
  <c r="BO294" i="43"/>
  <c r="BO303" i="43"/>
  <c r="BO312" i="43"/>
  <c r="BO313" i="43"/>
  <c r="BO329" i="43"/>
  <c r="BO332" i="43"/>
  <c r="BO333" i="43"/>
  <c r="BO336" i="43"/>
  <c r="BO337" i="43"/>
  <c r="BO341" i="43"/>
  <c r="BO342" i="43"/>
  <c r="BO343" i="43"/>
  <c r="BO359" i="43"/>
  <c r="BO369" i="43"/>
  <c r="BO371" i="43"/>
  <c r="BO380" i="43"/>
  <c r="BO383" i="43"/>
  <c r="BO384" i="43"/>
  <c r="BO389" i="43"/>
  <c r="BO390" i="43"/>
  <c r="BO397" i="43"/>
  <c r="BO401" i="43"/>
  <c r="BO411" i="43"/>
  <c r="BO414" i="43"/>
  <c r="BO415" i="43"/>
  <c r="BO418" i="43"/>
  <c r="BO419" i="43"/>
  <c r="BO420" i="43"/>
  <c r="BO427" i="43"/>
  <c r="BO428" i="43"/>
  <c r="BO432" i="43"/>
  <c r="BO439" i="43"/>
  <c r="BO440" i="43"/>
  <c r="BO441" i="43"/>
  <c r="BO446" i="43"/>
  <c r="BO448" i="43"/>
  <c r="BO450" i="43"/>
  <c r="BO453" i="43"/>
  <c r="BO455" i="43"/>
  <c r="BO456" i="43"/>
  <c r="BO457" i="43"/>
  <c r="BO463" i="43"/>
  <c r="BO464" i="43"/>
  <c r="W12" i="43"/>
  <c r="W13" i="43" s="1"/>
  <c r="BX127" i="44"/>
  <c r="BW127" i="44"/>
  <c r="BU127" i="44"/>
  <c r="BR127" i="44"/>
  <c r="BQ127" i="44"/>
  <c r="BO127" i="44"/>
  <c r="BX126" i="44"/>
  <c r="BW126" i="44"/>
  <c r="BU126" i="44"/>
  <c r="BR126" i="44"/>
  <c r="BQ126" i="44"/>
  <c r="BX125" i="44"/>
  <c r="BW125" i="44"/>
  <c r="BU125" i="44"/>
  <c r="BR125" i="44"/>
  <c r="BQ125" i="44"/>
  <c r="BO125" i="44"/>
  <c r="BX124" i="44"/>
  <c r="BW124" i="44"/>
  <c r="BU124" i="44"/>
  <c r="BR124" i="44"/>
  <c r="BQ124" i="44"/>
  <c r="BO124" i="44"/>
  <c r="BX123" i="44"/>
  <c r="BW123" i="44"/>
  <c r="BU123" i="44"/>
  <c r="BR123" i="44"/>
  <c r="BQ123" i="44"/>
  <c r="BO123" i="44"/>
  <c r="BW122" i="44"/>
  <c r="BX120" i="44"/>
  <c r="BW120" i="44"/>
  <c r="BU120" i="44"/>
  <c r="BR120" i="44"/>
  <c r="BQ120" i="44"/>
  <c r="BX119" i="44"/>
  <c r="BW119" i="44"/>
  <c r="BU119" i="44"/>
  <c r="BR119" i="44"/>
  <c r="BQ119" i="44"/>
  <c r="BO119" i="44"/>
  <c r="BX118" i="44"/>
  <c r="BW118" i="44"/>
  <c r="BU118" i="44"/>
  <c r="BR118" i="44"/>
  <c r="BQ118" i="44"/>
  <c r="BO118" i="44"/>
  <c r="BX117" i="44"/>
  <c r="BW117" i="44"/>
  <c r="BU117" i="44"/>
  <c r="BR117" i="44"/>
  <c r="BQ117" i="44"/>
  <c r="BO117" i="44"/>
  <c r="BX116" i="44"/>
  <c r="BW116" i="44"/>
  <c r="BU116" i="44"/>
  <c r="BR116" i="44"/>
  <c r="BQ116" i="44"/>
  <c r="BO116" i="44"/>
  <c r="BX115" i="44"/>
  <c r="BW115" i="44"/>
  <c r="BU115" i="44"/>
  <c r="BR115" i="44"/>
  <c r="BQ115" i="44"/>
  <c r="BO115" i="44"/>
  <c r="BX114" i="44"/>
  <c r="BW114" i="44"/>
  <c r="BU114" i="44"/>
  <c r="BR114" i="44"/>
  <c r="BQ114" i="44"/>
  <c r="BQ113" i="44"/>
  <c r="BU111" i="44"/>
  <c r="BU112" i="44" s="1"/>
  <c r="BX109" i="44"/>
  <c r="BW109" i="44"/>
  <c r="BU109" i="44"/>
  <c r="BR109" i="44"/>
  <c r="BO109" i="44"/>
  <c r="BX108" i="44"/>
  <c r="BW108" i="44"/>
  <c r="BU108" i="44"/>
  <c r="BR108" i="44"/>
  <c r="BO108" i="44"/>
  <c r="BX107" i="44"/>
  <c r="BW107" i="44"/>
  <c r="BU107" i="44"/>
  <c r="BR107" i="44"/>
  <c r="BO107" i="44"/>
  <c r="BX106" i="44"/>
  <c r="BW106" i="44"/>
  <c r="BU106" i="44"/>
  <c r="BR106" i="44"/>
  <c r="BO106" i="44"/>
  <c r="BW105" i="44"/>
  <c r="BQ103" i="44"/>
  <c r="BQ104" i="44" s="1"/>
  <c r="BX101" i="44"/>
  <c r="BW101" i="44"/>
  <c r="BU101" i="44"/>
  <c r="BR101" i="44"/>
  <c r="BQ101" i="44"/>
  <c r="BO101" i="44"/>
  <c r="BN101" i="44"/>
  <c r="BX100" i="44"/>
  <c r="BW100" i="44"/>
  <c r="BU100" i="44"/>
  <c r="BR100" i="44"/>
  <c r="BO100" i="44"/>
  <c r="BU99" i="44"/>
  <c r="BW97" i="44"/>
  <c r="BU97" i="44"/>
  <c r="BR97" i="44"/>
  <c r="BQ97" i="44"/>
  <c r="BO97" i="44"/>
  <c r="BX96" i="44"/>
  <c r="BV96" i="44"/>
  <c r="BU96" i="44"/>
  <c r="BR96" i="44"/>
  <c r="BX95" i="44"/>
  <c r="BW95" i="44"/>
  <c r="BU95" i="44"/>
  <c r="BR95" i="44"/>
  <c r="BQ95" i="44"/>
  <c r="BO95" i="44"/>
  <c r="BX94" i="44"/>
  <c r="BW94" i="44"/>
  <c r="BU94" i="44"/>
  <c r="BR94" i="44"/>
  <c r="BO94" i="44"/>
  <c r="BW93" i="44"/>
  <c r="BX91" i="44"/>
  <c r="BU91" i="44"/>
  <c r="BR91" i="44"/>
  <c r="BO91" i="44"/>
  <c r="BX90" i="44"/>
  <c r="BW90" i="44"/>
  <c r="BU90" i="44"/>
  <c r="BR90" i="44"/>
  <c r="BQ90" i="44"/>
  <c r="BQ89" i="44"/>
  <c r="BX87" i="44"/>
  <c r="BU87" i="44"/>
  <c r="BR87" i="44"/>
  <c r="BQ87" i="44"/>
  <c r="BO87" i="44"/>
  <c r="BW86" i="44"/>
  <c r="BU86" i="44"/>
  <c r="BR86" i="44"/>
  <c r="BQ86" i="44"/>
  <c r="BO86" i="44"/>
  <c r="BU85" i="44"/>
  <c r="BX83" i="44"/>
  <c r="BV83" i="44"/>
  <c r="BU83" i="44"/>
  <c r="BR83" i="44"/>
  <c r="BQ83" i="44"/>
  <c r="BO83" i="44"/>
  <c r="BX82" i="44"/>
  <c r="BW82" i="44"/>
  <c r="BU82" i="44"/>
  <c r="BR82" i="44"/>
  <c r="BQ82" i="44"/>
  <c r="BO82" i="44"/>
  <c r="BW81" i="44"/>
  <c r="BU81" i="44"/>
  <c r="BR81" i="44"/>
  <c r="BQ81" i="44"/>
  <c r="BO81" i="44"/>
  <c r="BX80" i="44"/>
  <c r="BU80" i="44"/>
  <c r="BR80" i="44"/>
  <c r="BO80" i="44"/>
  <c r="BX79" i="44"/>
  <c r="BW79" i="44"/>
  <c r="BU79" i="44"/>
  <c r="BR79" i="44"/>
  <c r="BO79" i="44"/>
  <c r="BR78" i="44"/>
  <c r="BX76" i="44"/>
  <c r="BW76" i="44"/>
  <c r="BU76" i="44"/>
  <c r="BR76" i="44"/>
  <c r="BO76" i="44"/>
  <c r="BX75" i="44"/>
  <c r="BW75" i="44"/>
  <c r="BU75" i="44"/>
  <c r="BR75" i="44"/>
  <c r="BO75" i="44"/>
  <c r="BX74" i="44"/>
  <c r="BW74" i="44"/>
  <c r="BU74" i="44"/>
  <c r="BR74" i="44"/>
  <c r="BO74" i="44"/>
  <c r="BX73" i="44"/>
  <c r="BW73" i="44"/>
  <c r="BU73" i="44"/>
  <c r="BR73" i="44"/>
  <c r="BO73" i="44"/>
  <c r="BX72" i="44"/>
  <c r="BU72" i="44"/>
  <c r="BR72" i="44"/>
  <c r="BX69" i="44"/>
  <c r="BW69" i="44"/>
  <c r="BU69" i="44"/>
  <c r="BR69" i="44"/>
  <c r="BP69" i="44"/>
  <c r="BO69" i="44"/>
  <c r="BX68" i="44"/>
  <c r="BW68" i="44"/>
  <c r="BU68" i="44"/>
  <c r="BR68" i="44"/>
  <c r="BO68" i="44"/>
  <c r="BX67" i="44"/>
  <c r="BV67" i="44"/>
  <c r="BU67" i="44"/>
  <c r="BR67" i="44"/>
  <c r="BO67" i="44"/>
  <c r="BX66" i="44"/>
  <c r="BW66" i="44"/>
  <c r="BU66" i="44"/>
  <c r="BR66" i="44"/>
  <c r="BX65" i="44"/>
  <c r="BU65" i="44"/>
  <c r="BR65" i="44"/>
  <c r="BO65" i="44"/>
  <c r="BU64" i="44"/>
  <c r="BX62" i="44"/>
  <c r="BV62" i="44"/>
  <c r="BU62" i="44"/>
  <c r="BR62" i="44"/>
  <c r="BQ62" i="44"/>
  <c r="BO62" i="44"/>
  <c r="BX61" i="44"/>
  <c r="BU61" i="44"/>
  <c r="BR61" i="44"/>
  <c r="BO61" i="44"/>
  <c r="BX60" i="44"/>
  <c r="BU60" i="44"/>
  <c r="BR60" i="44"/>
  <c r="BQ60" i="44"/>
  <c r="BO60" i="44"/>
  <c r="BX59" i="44"/>
  <c r="BW59" i="44"/>
  <c r="BU59" i="44"/>
  <c r="BR59" i="44"/>
  <c r="BO59" i="44"/>
  <c r="BX58" i="44"/>
  <c r="BW58" i="44"/>
  <c r="BU58" i="44"/>
  <c r="BR58" i="44"/>
  <c r="BO58" i="44"/>
  <c r="BX55" i="44"/>
  <c r="BW55" i="44"/>
  <c r="BU55" i="44"/>
  <c r="BR55" i="44"/>
  <c r="BQ55" i="44"/>
  <c r="BO55" i="44"/>
  <c r="BX54" i="44"/>
  <c r="BW54" i="44"/>
  <c r="BU54" i="44"/>
  <c r="BR54" i="44"/>
  <c r="BX53" i="44"/>
  <c r="BU53" i="44"/>
  <c r="BR53" i="44"/>
  <c r="BQ53" i="44"/>
  <c r="BO53" i="44"/>
  <c r="BW52" i="44"/>
  <c r="BU52" i="44"/>
  <c r="BR52" i="44"/>
  <c r="BQ52" i="44"/>
  <c r="BO52" i="44"/>
  <c r="BW51" i="44"/>
  <c r="BU51" i="44"/>
  <c r="BR51" i="44"/>
  <c r="BQ51" i="44"/>
  <c r="BO51" i="44"/>
  <c r="BX48" i="44"/>
  <c r="BW48" i="44"/>
  <c r="BU48" i="44"/>
  <c r="BR48" i="44"/>
  <c r="BQ48" i="44"/>
  <c r="BW47" i="44"/>
  <c r="BU47" i="44"/>
  <c r="BR47" i="44"/>
  <c r="BO47" i="44"/>
  <c r="BX46" i="44"/>
  <c r="BW46" i="44"/>
  <c r="BU46" i="44"/>
  <c r="BR46" i="44"/>
  <c r="BQ46" i="44"/>
  <c r="BO46" i="44"/>
  <c r="BW45" i="44"/>
  <c r="BU45" i="44"/>
  <c r="BR45" i="44"/>
  <c r="BO45" i="44"/>
  <c r="BX44" i="44"/>
  <c r="BW44" i="44"/>
  <c r="BU44" i="44"/>
  <c r="BR44" i="44"/>
  <c r="BO44" i="44"/>
  <c r="BU43" i="44"/>
  <c r="BX41" i="44"/>
  <c r="BW41" i="44"/>
  <c r="BU41" i="44"/>
  <c r="BR41" i="44"/>
  <c r="BQ41" i="44"/>
  <c r="BX40" i="44"/>
  <c r="BU40" i="44"/>
  <c r="BR40" i="44"/>
  <c r="BQ40" i="44"/>
  <c r="BX39" i="44"/>
  <c r="BU39" i="44"/>
  <c r="BR39" i="44"/>
  <c r="BX38" i="44"/>
  <c r="BU38" i="44"/>
  <c r="BR38" i="44"/>
  <c r="BO38" i="44"/>
  <c r="BX37" i="44"/>
  <c r="BU37" i="44"/>
  <c r="BR37" i="44"/>
  <c r="BO37" i="44"/>
  <c r="BU36" i="44"/>
  <c r="BX34" i="44"/>
  <c r="BU34" i="44"/>
  <c r="BR34" i="44"/>
  <c r="BX33" i="44"/>
  <c r="BR33" i="44"/>
  <c r="BX32" i="44"/>
  <c r="BU32" i="44"/>
  <c r="BR32" i="44"/>
  <c r="BO32" i="44"/>
  <c r="BX31" i="44"/>
  <c r="BU31" i="44"/>
  <c r="BR31" i="44"/>
  <c r="BX30" i="44"/>
  <c r="BU30" i="44"/>
  <c r="BR30" i="44"/>
  <c r="BX29" i="44"/>
  <c r="BU29" i="44"/>
  <c r="BR29" i="44"/>
  <c r="BX27" i="44"/>
  <c r="BU27" i="44"/>
  <c r="BR27" i="44"/>
  <c r="BX26" i="44"/>
  <c r="BU26" i="44"/>
  <c r="BR26" i="44"/>
  <c r="BP26" i="44"/>
  <c r="BO26" i="44"/>
  <c r="BX25" i="44"/>
  <c r="BU25" i="44"/>
  <c r="BR25" i="44"/>
  <c r="BX24" i="44"/>
  <c r="BU24" i="44"/>
  <c r="BR24" i="44"/>
  <c r="BX23" i="44"/>
  <c r="BU23" i="44"/>
  <c r="BR23" i="44"/>
  <c r="BX22" i="44"/>
  <c r="BU22" i="44"/>
  <c r="BR22" i="44"/>
  <c r="BX21" i="44"/>
  <c r="BU21" i="44"/>
  <c r="BR21" i="44"/>
  <c r="BX20" i="44"/>
  <c r="BU20" i="44"/>
  <c r="BR20" i="44"/>
  <c r="BO20" i="44"/>
  <c r="BX18" i="44"/>
  <c r="BU18" i="44"/>
  <c r="BR18" i="44"/>
  <c r="BP18" i="44"/>
  <c r="BX17" i="44"/>
  <c r="BU17" i="44"/>
  <c r="BR17" i="44"/>
  <c r="BX16" i="44"/>
  <c r="BU16" i="44"/>
  <c r="BR16" i="44"/>
  <c r="BX15" i="44"/>
  <c r="BU15" i="44"/>
  <c r="BR15" i="44"/>
  <c r="BW14" i="44"/>
  <c r="BU14" i="44"/>
  <c r="BR14" i="44"/>
  <c r="BQ14" i="44"/>
  <c r="BX464" i="43"/>
  <c r="BU464" i="43"/>
  <c r="BR464" i="43"/>
  <c r="BQ464" i="43"/>
  <c r="BX463" i="43"/>
  <c r="BW463" i="43"/>
  <c r="BU463" i="43"/>
  <c r="BR463" i="43"/>
  <c r="BQ463" i="43"/>
  <c r="BX460" i="43"/>
  <c r="BW460" i="43"/>
  <c r="BU460" i="43"/>
  <c r="BR460" i="43"/>
  <c r="BX457" i="43"/>
  <c r="BW457" i="43"/>
  <c r="BU457" i="43"/>
  <c r="BR457" i="43"/>
  <c r="BQ457" i="43"/>
  <c r="BX456" i="43"/>
  <c r="BU456" i="43"/>
  <c r="BR456" i="43"/>
  <c r="BX455" i="43"/>
  <c r="BU455" i="43"/>
  <c r="BR455" i="43"/>
  <c r="BQ455" i="43"/>
  <c r="BX454" i="43"/>
  <c r="BU454" i="43"/>
  <c r="BR454" i="43"/>
  <c r="BO454" i="43"/>
  <c r="BX453" i="43"/>
  <c r="BW453" i="43"/>
  <c r="BU453" i="43"/>
  <c r="BR453" i="43"/>
  <c r="BQ453" i="43"/>
  <c r="BU452" i="43"/>
  <c r="BX450" i="43"/>
  <c r="BU450" i="43"/>
  <c r="BQ450" i="43"/>
  <c r="BX449" i="43"/>
  <c r="BU449" i="43"/>
  <c r="BR449" i="43"/>
  <c r="BW448" i="43"/>
  <c r="BU448" i="43"/>
  <c r="BR448" i="43"/>
  <c r="BX447" i="43"/>
  <c r="BW447" i="43"/>
  <c r="BU447" i="43"/>
  <c r="BR447" i="43"/>
  <c r="BO447" i="43"/>
  <c r="BW446" i="43"/>
  <c r="BU446" i="43"/>
  <c r="BR446" i="43"/>
  <c r="BQ446" i="43"/>
  <c r="BW443" i="43"/>
  <c r="BU443" i="43"/>
  <c r="BR443" i="43"/>
  <c r="BQ443" i="43"/>
  <c r="BO443" i="43"/>
  <c r="BW442" i="43"/>
  <c r="BU442" i="43"/>
  <c r="BR442" i="43"/>
  <c r="BQ442" i="43"/>
  <c r="BO442" i="43"/>
  <c r="BX441" i="43"/>
  <c r="BW441" i="43"/>
  <c r="BU441" i="43"/>
  <c r="BR441" i="43"/>
  <c r="BW440" i="43"/>
  <c r="BU440" i="43"/>
  <c r="BR440" i="43"/>
  <c r="BW439" i="43"/>
  <c r="BU439" i="43"/>
  <c r="BR439" i="43"/>
  <c r="BQ439" i="43"/>
  <c r="BX436" i="43"/>
  <c r="BW436" i="43"/>
  <c r="BU436" i="43"/>
  <c r="BR436" i="43"/>
  <c r="BQ436" i="43"/>
  <c r="BO436" i="43"/>
  <c r="BX435" i="43"/>
  <c r="BW435" i="43"/>
  <c r="BU435" i="43"/>
  <c r="BR435" i="43"/>
  <c r="BO435" i="43"/>
  <c r="BW434" i="43"/>
  <c r="BU434" i="43"/>
  <c r="BR434" i="43"/>
  <c r="BX433" i="43"/>
  <c r="BU433" i="43"/>
  <c r="BR433" i="43"/>
  <c r="BQ433" i="43"/>
  <c r="BX432" i="43"/>
  <c r="BU432" i="43"/>
  <c r="BR432" i="43"/>
  <c r="BX429" i="43"/>
  <c r="BW429" i="43"/>
  <c r="BU429" i="43"/>
  <c r="BR429" i="43"/>
  <c r="BQ429" i="43"/>
  <c r="BX428" i="43"/>
  <c r="BU428" i="43"/>
  <c r="BR428" i="43"/>
  <c r="BQ428" i="43"/>
  <c r="BX427" i="43"/>
  <c r="BU427" i="43"/>
  <c r="BR427" i="43"/>
  <c r="BQ427" i="43"/>
  <c r="BX426" i="43"/>
  <c r="BW426" i="43"/>
  <c r="BU426" i="43"/>
  <c r="BR426" i="43"/>
  <c r="BX425" i="43"/>
  <c r="BW425" i="43"/>
  <c r="BU425" i="43"/>
  <c r="BR425" i="43"/>
  <c r="BQ425" i="43"/>
  <c r="BX422" i="43"/>
  <c r="BU422" i="43"/>
  <c r="BR422" i="43"/>
  <c r="BQ422" i="43"/>
  <c r="BX421" i="43"/>
  <c r="BW421" i="43"/>
  <c r="BU421" i="43"/>
  <c r="BR421" i="43"/>
  <c r="BO421" i="43"/>
  <c r="BX420" i="43"/>
  <c r="BU420" i="43"/>
  <c r="BR420" i="43"/>
  <c r="BN420" i="43"/>
  <c r="BX419" i="43"/>
  <c r="BU419" i="43"/>
  <c r="BR419" i="43"/>
  <c r="BQ419" i="43"/>
  <c r="BX418" i="43"/>
  <c r="BU418" i="43"/>
  <c r="BQ418" i="43"/>
  <c r="BW417" i="43"/>
  <c r="BX415" i="43"/>
  <c r="BW415" i="43"/>
  <c r="BU415" i="43"/>
  <c r="BR415" i="43"/>
  <c r="BX414" i="43"/>
  <c r="BU414" i="43"/>
  <c r="BR414" i="43"/>
  <c r="BN414" i="43"/>
  <c r="BX413" i="43"/>
  <c r="BU413" i="43"/>
  <c r="BR413" i="43"/>
  <c r="BQ413" i="43"/>
  <c r="BX412" i="43"/>
  <c r="BU412" i="43"/>
  <c r="BQ412" i="43"/>
  <c r="BO412" i="43"/>
  <c r="BX411" i="43"/>
  <c r="BU411" i="43"/>
  <c r="BR411" i="43"/>
  <c r="BN411" i="43"/>
  <c r="BX408" i="43"/>
  <c r="BU408" i="43"/>
  <c r="BR408" i="43"/>
  <c r="BQ408" i="43"/>
  <c r="BN408" i="43"/>
  <c r="BX407" i="43"/>
  <c r="BU407" i="43"/>
  <c r="BR407" i="43"/>
  <c r="BQ407" i="43"/>
  <c r="BO407" i="43"/>
  <c r="BX406" i="43"/>
  <c r="BU406" i="43"/>
  <c r="BR406" i="43"/>
  <c r="BX405" i="43"/>
  <c r="BU405" i="43"/>
  <c r="BR405" i="43"/>
  <c r="BO405" i="43"/>
  <c r="BX404" i="43"/>
  <c r="BW404" i="43"/>
  <c r="BU404" i="43"/>
  <c r="BR404" i="43"/>
  <c r="BQ404" i="43"/>
  <c r="BX401" i="43"/>
  <c r="BV401" i="43"/>
  <c r="BU401" i="43"/>
  <c r="BR401" i="43"/>
  <c r="BX400" i="43"/>
  <c r="BW400" i="43"/>
  <c r="BU400" i="43"/>
  <c r="BR400" i="43"/>
  <c r="BX399" i="43"/>
  <c r="BW399" i="43"/>
  <c r="BU399" i="43"/>
  <c r="BR399" i="43"/>
  <c r="BQ399" i="43"/>
  <c r="BX398" i="43"/>
  <c r="BU398" i="43"/>
  <c r="BR398" i="43"/>
  <c r="BQ398" i="43"/>
  <c r="BX397" i="43"/>
  <c r="BU397" i="43"/>
  <c r="BR397" i="43"/>
  <c r="BX394" i="43"/>
  <c r="BW394" i="43"/>
  <c r="BU394" i="43"/>
  <c r="BR394" i="43"/>
  <c r="BO394" i="43"/>
  <c r="BX393" i="43"/>
  <c r="BW393" i="43"/>
  <c r="BU393" i="43"/>
  <c r="BR393" i="43"/>
  <c r="BQ393" i="43"/>
  <c r="BW390" i="43"/>
  <c r="BU390" i="43"/>
  <c r="BX389" i="43"/>
  <c r="BU389" i="43"/>
  <c r="BR389" i="43"/>
  <c r="BX388" i="43"/>
  <c r="BW388" i="43"/>
  <c r="BU388" i="43"/>
  <c r="BR388" i="43"/>
  <c r="BX387" i="43"/>
  <c r="BW387" i="43"/>
  <c r="BU387" i="43"/>
  <c r="BR387" i="43"/>
  <c r="BQ387" i="43"/>
  <c r="BW384" i="43"/>
  <c r="BU384" i="43"/>
  <c r="BQ384" i="43"/>
  <c r="BX383" i="43"/>
  <c r="BU383" i="43"/>
  <c r="BR383" i="43"/>
  <c r="BX382" i="43"/>
  <c r="BW382" i="43"/>
  <c r="BU382" i="43"/>
  <c r="BR382" i="43"/>
  <c r="BX381" i="43"/>
  <c r="BW381" i="43"/>
  <c r="BU381" i="43"/>
  <c r="BR381" i="43"/>
  <c r="BQ381" i="43"/>
  <c r="BO381" i="43"/>
  <c r="BX380" i="43"/>
  <c r="BW380" i="43"/>
  <c r="BU380" i="43"/>
  <c r="BR380" i="43"/>
  <c r="BQ380" i="43"/>
  <c r="BX375" i="43"/>
  <c r="BU375" i="43"/>
  <c r="BR375" i="43"/>
  <c r="BQ375" i="43"/>
  <c r="BX374" i="43"/>
  <c r="BU374" i="43"/>
  <c r="BR374" i="43"/>
  <c r="BQ374" i="43"/>
  <c r="BX371" i="43"/>
  <c r="BU371" i="43"/>
  <c r="BR371" i="43"/>
  <c r="BX370" i="43"/>
  <c r="BU370" i="43"/>
  <c r="BR370" i="43"/>
  <c r="BO370" i="43"/>
  <c r="BX369" i="43"/>
  <c r="BU369" i="43"/>
  <c r="BR369" i="43"/>
  <c r="BX368" i="43"/>
  <c r="BU368" i="43"/>
  <c r="BR368" i="43"/>
  <c r="BX367" i="43"/>
  <c r="BU367" i="43"/>
  <c r="BR367" i="43"/>
  <c r="BX364" i="43"/>
  <c r="BU364" i="43"/>
  <c r="BR364" i="43"/>
  <c r="BX363" i="43"/>
  <c r="BU363" i="43"/>
  <c r="BR363" i="43"/>
  <c r="BX362" i="43"/>
  <c r="BU362" i="43"/>
  <c r="BR362" i="43"/>
  <c r="BU361" i="43"/>
  <c r="BX359" i="43"/>
  <c r="BU359" i="43"/>
  <c r="BR359" i="43"/>
  <c r="BX358" i="43"/>
  <c r="BU358" i="43"/>
  <c r="BQ358" i="43"/>
  <c r="BX357" i="43"/>
  <c r="BU357" i="43"/>
  <c r="BR357" i="43"/>
  <c r="BX356" i="43"/>
  <c r="BU356" i="43"/>
  <c r="BR356" i="43"/>
  <c r="BX355" i="43"/>
  <c r="BU355" i="43"/>
  <c r="BR355" i="43"/>
  <c r="BX352" i="43"/>
  <c r="BU352" i="43"/>
  <c r="BR352" i="43"/>
  <c r="BX351" i="43"/>
  <c r="BU351" i="43"/>
  <c r="BR351" i="43"/>
  <c r="BX350" i="43"/>
  <c r="BU350" i="43"/>
  <c r="BR350" i="43"/>
  <c r="BX349" i="43"/>
  <c r="BU349" i="43"/>
  <c r="BR349" i="43"/>
  <c r="BX346" i="43"/>
  <c r="BU346" i="43"/>
  <c r="BR346" i="43"/>
  <c r="BX345" i="43"/>
  <c r="BU345" i="43"/>
  <c r="BR345" i="43"/>
  <c r="BX344" i="43"/>
  <c r="BU344" i="43"/>
  <c r="BR344" i="43"/>
  <c r="BX343" i="43"/>
  <c r="BW343" i="43"/>
  <c r="BU343" i="43"/>
  <c r="BR343" i="43"/>
  <c r="BQ343" i="43"/>
  <c r="BX342" i="43"/>
  <c r="BW342" i="43"/>
  <c r="BU342" i="43"/>
  <c r="BR342" i="43"/>
  <c r="BQ342" i="43"/>
  <c r="BX341" i="43"/>
  <c r="BW341" i="43"/>
  <c r="BU341" i="43"/>
  <c r="BR341" i="43"/>
  <c r="BQ341" i="43"/>
  <c r="BX340" i="43"/>
  <c r="BW340" i="43"/>
  <c r="BU340" i="43"/>
  <c r="BR340" i="43"/>
  <c r="BQ340" i="43"/>
  <c r="BO340" i="43"/>
  <c r="BX337" i="43"/>
  <c r="BW337" i="43"/>
  <c r="BU337" i="43"/>
  <c r="BR337" i="43"/>
  <c r="BQ337" i="43"/>
  <c r="BX336" i="43"/>
  <c r="BW336" i="43"/>
  <c r="BU336" i="43"/>
  <c r="BR336" i="43"/>
  <c r="BQ336" i="43"/>
  <c r="BX333" i="43"/>
  <c r="BW333" i="43"/>
  <c r="BU333" i="43"/>
  <c r="BR333" i="43"/>
  <c r="BQ333" i="43"/>
  <c r="BX332" i="43"/>
  <c r="BW332" i="43"/>
  <c r="BU332" i="43"/>
  <c r="BR332" i="43"/>
  <c r="BQ332" i="43"/>
  <c r="BX329" i="43"/>
  <c r="BW329" i="43"/>
  <c r="BU329" i="43"/>
  <c r="BR329" i="43"/>
  <c r="BQ329" i="43"/>
  <c r="BX328" i="43"/>
  <c r="BW328" i="43"/>
  <c r="BU328" i="43"/>
  <c r="BR328" i="43"/>
  <c r="BQ328" i="43"/>
  <c r="BX323" i="43"/>
  <c r="BU323" i="43"/>
  <c r="BQ323" i="43"/>
  <c r="BX322" i="43"/>
  <c r="BU322" i="43"/>
  <c r="BR322" i="43"/>
  <c r="BQ322" i="43"/>
  <c r="BO322" i="43"/>
  <c r="BX321" i="43"/>
  <c r="BU321" i="43"/>
  <c r="BR321" i="43"/>
  <c r="BQ321" i="43"/>
  <c r="BX320" i="43"/>
  <c r="BU320" i="43"/>
  <c r="BQ320" i="43"/>
  <c r="BX317" i="43"/>
  <c r="BU317" i="43"/>
  <c r="BR317" i="43"/>
  <c r="BQ317" i="43"/>
  <c r="BX316" i="43"/>
  <c r="BU316" i="43"/>
  <c r="BQ316" i="43"/>
  <c r="BO316" i="43"/>
  <c r="BX313" i="43"/>
  <c r="BU313" i="43"/>
  <c r="BR313" i="43"/>
  <c r="BQ313" i="43"/>
  <c r="BX312" i="43"/>
  <c r="BU312" i="43"/>
  <c r="BR312" i="43"/>
  <c r="BQ312" i="43"/>
  <c r="BX311" i="43"/>
  <c r="BU311" i="43"/>
  <c r="BR311" i="43"/>
  <c r="BQ311" i="43"/>
  <c r="BX310" i="43"/>
  <c r="BU310" i="43"/>
  <c r="BR310" i="43"/>
  <c r="BQ310" i="43"/>
  <c r="BX309" i="43"/>
  <c r="BU309" i="43"/>
  <c r="BQ309" i="43"/>
  <c r="BO309" i="43"/>
  <c r="BX306" i="43"/>
  <c r="BU306" i="43"/>
  <c r="BR306" i="43"/>
  <c r="BQ306" i="43"/>
  <c r="BX305" i="43"/>
  <c r="BU305" i="43"/>
  <c r="BQ305" i="43"/>
  <c r="BX304" i="43"/>
  <c r="BU304" i="43"/>
  <c r="BQ304" i="43"/>
  <c r="BX303" i="43"/>
  <c r="BU303" i="43"/>
  <c r="BQ303" i="43"/>
  <c r="BX302" i="43"/>
  <c r="BU302" i="43"/>
  <c r="BQ302" i="43"/>
  <c r="BX297" i="43"/>
  <c r="BU297" i="43"/>
  <c r="BR297" i="43"/>
  <c r="BX296" i="43"/>
  <c r="BU296" i="43"/>
  <c r="BR296" i="43"/>
  <c r="BX295" i="43"/>
  <c r="BU295" i="43"/>
  <c r="BR295" i="43"/>
  <c r="BX294" i="43"/>
  <c r="BU294" i="43"/>
  <c r="BR294" i="43"/>
  <c r="BX293" i="43"/>
  <c r="BU293" i="43"/>
  <c r="BR293" i="43"/>
  <c r="BX292" i="43"/>
  <c r="BU292" i="43"/>
  <c r="BR292" i="43"/>
  <c r="BX289" i="43"/>
  <c r="BU289" i="43"/>
  <c r="BR289" i="43"/>
  <c r="BP289" i="43"/>
  <c r="BX288" i="43"/>
  <c r="BU288" i="43"/>
  <c r="BR288" i="43"/>
  <c r="BX287" i="43"/>
  <c r="BU287" i="43"/>
  <c r="BR287" i="43"/>
  <c r="BX284" i="43"/>
  <c r="BU284" i="43"/>
  <c r="BR284" i="43"/>
  <c r="BX283" i="43"/>
  <c r="BU283" i="43"/>
  <c r="BR283" i="43"/>
  <c r="BX282" i="43"/>
  <c r="BU282" i="43"/>
  <c r="BR282" i="43"/>
  <c r="BX281" i="43"/>
  <c r="BU281" i="43"/>
  <c r="BR281" i="43"/>
  <c r="BX280" i="43"/>
  <c r="BU280" i="43"/>
  <c r="BR280" i="43"/>
  <c r="BX277" i="43"/>
  <c r="BU277" i="43"/>
  <c r="BR277" i="43"/>
  <c r="BX276" i="43"/>
  <c r="BU276" i="43"/>
  <c r="BQ276" i="43"/>
  <c r="BX273" i="43"/>
  <c r="BU273" i="43"/>
  <c r="BQ273" i="43"/>
  <c r="BX272" i="43"/>
  <c r="BU272" i="43"/>
  <c r="BR272" i="43"/>
  <c r="BQ272" i="43"/>
  <c r="BX271" i="43"/>
  <c r="BU271" i="43"/>
  <c r="BR271" i="43"/>
  <c r="BX270" i="43"/>
  <c r="BU270" i="43"/>
  <c r="BR270" i="43"/>
  <c r="BX267" i="43"/>
  <c r="BU267" i="43"/>
  <c r="BR267" i="43"/>
  <c r="BX266" i="43"/>
  <c r="BU266" i="43"/>
  <c r="BR266" i="43"/>
  <c r="BX263" i="43"/>
  <c r="BU263" i="43"/>
  <c r="BQ263" i="43"/>
  <c r="BX262" i="43"/>
  <c r="BU262" i="43"/>
  <c r="BR262" i="43"/>
  <c r="BQ262" i="43"/>
  <c r="BX257" i="43"/>
  <c r="BU257" i="43"/>
  <c r="BR257" i="43"/>
  <c r="BQ257" i="43"/>
  <c r="BX256" i="43"/>
  <c r="BU256" i="43"/>
  <c r="BQ256" i="43"/>
  <c r="BX255" i="43"/>
  <c r="BU255" i="43"/>
  <c r="BR255" i="43"/>
  <c r="BQ255" i="43"/>
  <c r="BX254" i="43"/>
  <c r="BU254" i="43"/>
  <c r="BR254" i="43"/>
  <c r="BX253" i="43"/>
  <c r="BU253" i="43"/>
  <c r="BR253" i="43"/>
  <c r="BX250" i="43"/>
  <c r="BU250" i="43"/>
  <c r="BR250" i="43"/>
  <c r="BQ250" i="43"/>
  <c r="BX249" i="43"/>
  <c r="BU249" i="43"/>
  <c r="BR249" i="43"/>
  <c r="BQ249" i="43"/>
  <c r="BX248" i="43"/>
  <c r="BU248" i="43"/>
  <c r="BR248" i="43"/>
  <c r="BQ248" i="43"/>
  <c r="BX247" i="43"/>
  <c r="BU247" i="43"/>
  <c r="BR247" i="43"/>
  <c r="BX244" i="43"/>
  <c r="BU244" i="43"/>
  <c r="BR244" i="43"/>
  <c r="BX243" i="43"/>
  <c r="BU243" i="43"/>
  <c r="BR243" i="43"/>
  <c r="BX242" i="43"/>
  <c r="BU242" i="43"/>
  <c r="BR242" i="43"/>
  <c r="BX241" i="43"/>
  <c r="BU241" i="43"/>
  <c r="BR241" i="43"/>
  <c r="BX238" i="43"/>
  <c r="BU238" i="43"/>
  <c r="BR238" i="43"/>
  <c r="BX237" i="43"/>
  <c r="BU237" i="43"/>
  <c r="BR237" i="43"/>
  <c r="BX236" i="43"/>
  <c r="BU236" i="43"/>
  <c r="BR236" i="43"/>
  <c r="BX235" i="43"/>
  <c r="BU235" i="43"/>
  <c r="BR235" i="43"/>
  <c r="BX232" i="43"/>
  <c r="BU232" i="43"/>
  <c r="BR232" i="43"/>
  <c r="BX231" i="43"/>
  <c r="BU231" i="43"/>
  <c r="BR231" i="43"/>
  <c r="BX230" i="43"/>
  <c r="BU230" i="43"/>
  <c r="BR230" i="43"/>
  <c r="BX229" i="43"/>
  <c r="BU229" i="43"/>
  <c r="BR229" i="43"/>
  <c r="BX226" i="43"/>
  <c r="BU226" i="43"/>
  <c r="BR226" i="43"/>
  <c r="BX225" i="43"/>
  <c r="BU225" i="43"/>
  <c r="BR225" i="43"/>
  <c r="BX224" i="43"/>
  <c r="BU224" i="43"/>
  <c r="BR224" i="43"/>
  <c r="BX223" i="43"/>
  <c r="BU223" i="43"/>
  <c r="BR223" i="43"/>
  <c r="BX220" i="43"/>
  <c r="BU220" i="43"/>
  <c r="BR220" i="43"/>
  <c r="BX219" i="43"/>
  <c r="BU219" i="43"/>
  <c r="BR219" i="43"/>
  <c r="BX218" i="43"/>
  <c r="BU218" i="43"/>
  <c r="BR218" i="43"/>
  <c r="BX217" i="43"/>
  <c r="BU217" i="43"/>
  <c r="BR217" i="43"/>
  <c r="BX214" i="43"/>
  <c r="BU214" i="43"/>
  <c r="BR214" i="43"/>
  <c r="BX213" i="43"/>
  <c r="BU213" i="43"/>
  <c r="BR213" i="43"/>
  <c r="BX212" i="43"/>
  <c r="BU212" i="43"/>
  <c r="BR212" i="43"/>
  <c r="BX211" i="43"/>
  <c r="BU211" i="43"/>
  <c r="BR211" i="43"/>
  <c r="BX210" i="43"/>
  <c r="BU210" i="43"/>
  <c r="BR210" i="43"/>
  <c r="BX207" i="43"/>
  <c r="BU207" i="43"/>
  <c r="BR207" i="43"/>
  <c r="BX206" i="43"/>
  <c r="BU206" i="43"/>
  <c r="BR206" i="43"/>
  <c r="BX205" i="43"/>
  <c r="BU205" i="43"/>
  <c r="BR205" i="43"/>
  <c r="BX204" i="43"/>
  <c r="BU204" i="43"/>
  <c r="BR204" i="43"/>
  <c r="BX201" i="43"/>
  <c r="BU201" i="43"/>
  <c r="BR201" i="43"/>
  <c r="BX200" i="43"/>
  <c r="BU200" i="43"/>
  <c r="BR200" i="43"/>
  <c r="BX199" i="43"/>
  <c r="BU199" i="43"/>
  <c r="BR199" i="43"/>
  <c r="BX198" i="43"/>
  <c r="BU198" i="43"/>
  <c r="BR198" i="43"/>
  <c r="BQ198" i="43"/>
  <c r="BX195" i="43"/>
  <c r="BU195" i="43"/>
  <c r="BR195" i="43"/>
  <c r="BX194" i="43"/>
  <c r="BU194" i="43"/>
  <c r="BR194" i="43"/>
  <c r="BX193" i="43"/>
  <c r="BU193" i="43"/>
  <c r="BR193" i="43"/>
  <c r="BX192" i="43"/>
  <c r="BU192" i="43"/>
  <c r="BR192" i="43"/>
  <c r="BQ192" i="43"/>
  <c r="BX191" i="43"/>
  <c r="BU191" i="43"/>
  <c r="BR191" i="43"/>
  <c r="BX188" i="43"/>
  <c r="BU188" i="43"/>
  <c r="BR188" i="43"/>
  <c r="BX187" i="43"/>
  <c r="BU187" i="43"/>
  <c r="BR187" i="43"/>
  <c r="BX186" i="43"/>
  <c r="BU186" i="43"/>
  <c r="BR186" i="43"/>
  <c r="BX185" i="43"/>
  <c r="BU185" i="43"/>
  <c r="BR185" i="43"/>
  <c r="BX184" i="43"/>
  <c r="BU184" i="43"/>
  <c r="BR184" i="43"/>
  <c r="BX181" i="43"/>
  <c r="BU181" i="43"/>
  <c r="BR181" i="43"/>
  <c r="BX180" i="43"/>
  <c r="BU180" i="43"/>
  <c r="BR180" i="43"/>
  <c r="BX179" i="43"/>
  <c r="BU179" i="43"/>
  <c r="BR179" i="43"/>
  <c r="BQ179" i="43"/>
  <c r="BX178" i="43"/>
  <c r="BU178" i="43"/>
  <c r="BR178" i="43"/>
  <c r="BO178" i="43"/>
  <c r="BX175" i="43"/>
  <c r="BW175" i="43"/>
  <c r="BU175" i="43"/>
  <c r="BR175" i="43"/>
  <c r="BQ175" i="43"/>
  <c r="BX174" i="43"/>
  <c r="BW174" i="43"/>
  <c r="BU174" i="43"/>
  <c r="BR174" i="43"/>
  <c r="BX173" i="43"/>
  <c r="BU173" i="43"/>
  <c r="BR173" i="43"/>
  <c r="BQ173" i="43"/>
  <c r="BX172" i="43"/>
  <c r="BU172" i="43"/>
  <c r="BR172" i="43"/>
  <c r="BX171" i="43"/>
  <c r="BW171" i="43"/>
  <c r="BX169" i="43"/>
  <c r="BW169" i="43"/>
  <c r="BU169" i="43"/>
  <c r="BR169" i="43"/>
  <c r="BQ169" i="43"/>
  <c r="BX168" i="43"/>
  <c r="BW168" i="43"/>
  <c r="BU168" i="43"/>
  <c r="BR168" i="43"/>
  <c r="BX167" i="43"/>
  <c r="BU167" i="43"/>
  <c r="BR167" i="43"/>
  <c r="BQ167" i="43"/>
  <c r="BX166" i="43"/>
  <c r="BU166" i="43"/>
  <c r="BR166" i="43"/>
  <c r="BO166" i="43"/>
  <c r="BW165" i="43"/>
  <c r="BX163" i="43"/>
  <c r="BU163" i="43"/>
  <c r="BR163" i="43"/>
  <c r="BQ163" i="43"/>
  <c r="BX162" i="43"/>
  <c r="BU162" i="43"/>
  <c r="BR162" i="43"/>
  <c r="BO162" i="43"/>
  <c r="BX161" i="43"/>
  <c r="BU161" i="43"/>
  <c r="BR161" i="43"/>
  <c r="BQ161" i="43"/>
  <c r="BX158" i="43"/>
  <c r="BU158" i="43"/>
  <c r="BR158" i="43"/>
  <c r="BO158" i="43"/>
  <c r="BX157" i="43"/>
  <c r="BU157" i="43"/>
  <c r="BR157" i="43"/>
  <c r="BQ157" i="43"/>
  <c r="BX156" i="43"/>
  <c r="BW156" i="43"/>
  <c r="BU156" i="43"/>
  <c r="BR156" i="43"/>
  <c r="BX155" i="43"/>
  <c r="BU155" i="43"/>
  <c r="BR155" i="43"/>
  <c r="BQ155" i="43"/>
  <c r="BX154" i="43"/>
  <c r="BX152" i="43"/>
  <c r="BW152" i="43"/>
  <c r="BU152" i="43"/>
  <c r="BR152" i="43"/>
  <c r="BX151" i="43"/>
  <c r="BW151" i="43"/>
  <c r="BU151" i="43"/>
  <c r="BR151" i="43"/>
  <c r="BQ151" i="43"/>
  <c r="BO151" i="43"/>
  <c r="BX150" i="43"/>
  <c r="BW150" i="43"/>
  <c r="BU150" i="43"/>
  <c r="BR150" i="43"/>
  <c r="BX149" i="43"/>
  <c r="BU149" i="43"/>
  <c r="BR149" i="43"/>
  <c r="BQ149" i="43"/>
  <c r="BX146" i="43"/>
  <c r="BW146" i="43"/>
  <c r="BU146" i="43"/>
  <c r="BR146" i="43"/>
  <c r="BX145" i="43"/>
  <c r="BW145" i="43"/>
  <c r="BU145" i="43"/>
  <c r="BR145" i="43"/>
  <c r="BQ145" i="43"/>
  <c r="BO145" i="43"/>
  <c r="BX144" i="43"/>
  <c r="BU144" i="43"/>
  <c r="BR144" i="43"/>
  <c r="BO144" i="43"/>
  <c r="BX143" i="43"/>
  <c r="BU143" i="43"/>
  <c r="BR143" i="43"/>
  <c r="BQ143" i="43"/>
  <c r="BX142" i="43"/>
  <c r="BW142" i="43"/>
  <c r="BX140" i="43"/>
  <c r="BU140" i="43"/>
  <c r="BR140" i="43"/>
  <c r="BQ140" i="43"/>
  <c r="BX139" i="43"/>
  <c r="BU139" i="43"/>
  <c r="BR139" i="43"/>
  <c r="BQ139" i="43"/>
  <c r="BX138" i="43"/>
  <c r="BU138" i="43"/>
  <c r="BR138" i="43"/>
  <c r="BQ138" i="43"/>
  <c r="BX137" i="43"/>
  <c r="BU137" i="43"/>
  <c r="BR137" i="43"/>
  <c r="BQ137" i="43"/>
  <c r="BW136" i="43"/>
  <c r="BU136" i="43"/>
  <c r="BR136" i="43"/>
  <c r="BQ136" i="43"/>
  <c r="BX133" i="43"/>
  <c r="BU133" i="43"/>
  <c r="BR133" i="43"/>
  <c r="BX132" i="43"/>
  <c r="BW132" i="43"/>
  <c r="BU132" i="43"/>
  <c r="BR132" i="43"/>
  <c r="BQ132" i="43"/>
  <c r="BW131" i="43"/>
  <c r="BU131" i="43"/>
  <c r="BR131" i="43"/>
  <c r="BX130" i="43"/>
  <c r="BW130" i="43"/>
  <c r="BU130" i="43"/>
  <c r="BR130" i="43"/>
  <c r="BQ130" i="43"/>
  <c r="BO130" i="43"/>
  <c r="BX129" i="43"/>
  <c r="BW129" i="43"/>
  <c r="BU129" i="43"/>
  <c r="BR129" i="43"/>
  <c r="BX126" i="43"/>
  <c r="BU126" i="43"/>
  <c r="BR126" i="43"/>
  <c r="BX125" i="43"/>
  <c r="BW125" i="43"/>
  <c r="BU125" i="43"/>
  <c r="BR125" i="43"/>
  <c r="BQ125" i="43"/>
  <c r="BX124" i="43"/>
  <c r="BW124" i="43"/>
  <c r="BU124" i="43"/>
  <c r="BR124" i="43"/>
  <c r="BQ124" i="43"/>
  <c r="BO124" i="43"/>
  <c r="BX121" i="43"/>
  <c r="BW121" i="43"/>
  <c r="BU121" i="43"/>
  <c r="BR121" i="43"/>
  <c r="BQ121" i="43"/>
  <c r="BX120" i="43"/>
  <c r="BW120" i="43"/>
  <c r="BU120" i="43"/>
  <c r="BR120" i="43"/>
  <c r="BQ120" i="43"/>
  <c r="BX117" i="43"/>
  <c r="BW117" i="43"/>
  <c r="BU117" i="43"/>
  <c r="BR117" i="43"/>
  <c r="BO117" i="43"/>
  <c r="BX114" i="43"/>
  <c r="BW114" i="43"/>
  <c r="BU114" i="43"/>
  <c r="BR114" i="43"/>
  <c r="BO114" i="43"/>
  <c r="BX113" i="43"/>
  <c r="BW113" i="43"/>
  <c r="BU113" i="43"/>
  <c r="BR113" i="43"/>
  <c r="BQ113" i="43"/>
  <c r="BX110" i="43"/>
  <c r="BW110" i="43"/>
  <c r="BU110" i="43"/>
  <c r="BR110" i="43"/>
  <c r="BQ110" i="43"/>
  <c r="BX109" i="43"/>
  <c r="BW109" i="43"/>
  <c r="BU109" i="43"/>
  <c r="BR109" i="43"/>
  <c r="BQ109" i="43"/>
  <c r="BX106" i="43"/>
  <c r="BW106" i="43"/>
  <c r="BU106" i="43"/>
  <c r="BR106" i="43"/>
  <c r="BO106" i="43"/>
  <c r="BX103" i="43"/>
  <c r="BW103" i="43"/>
  <c r="BU103" i="43"/>
  <c r="BQ103" i="43"/>
  <c r="BX102" i="43"/>
  <c r="BW102" i="43"/>
  <c r="BU102" i="43"/>
  <c r="BR102" i="43"/>
  <c r="BQ102" i="43"/>
  <c r="BX99" i="43"/>
  <c r="BW99" i="43"/>
  <c r="BU99" i="43"/>
  <c r="BR99" i="43"/>
  <c r="BQ99" i="43"/>
  <c r="BO99" i="43"/>
  <c r="BX98" i="43"/>
  <c r="BW98" i="43"/>
  <c r="BU98" i="43"/>
  <c r="BR98" i="43"/>
  <c r="BQ98" i="43"/>
  <c r="BO98" i="43"/>
  <c r="BX95" i="43"/>
  <c r="BW95" i="43"/>
  <c r="BU95" i="43"/>
  <c r="BR95" i="43"/>
  <c r="BQ95" i="43"/>
  <c r="BX94" i="43"/>
  <c r="BW94" i="43"/>
  <c r="BU94" i="43"/>
  <c r="BR94" i="43"/>
  <c r="BU93" i="43"/>
  <c r="BX91" i="43"/>
  <c r="BW91" i="43"/>
  <c r="BU91" i="43"/>
  <c r="BQ91" i="43"/>
  <c r="BO91" i="43"/>
  <c r="BW90" i="43"/>
  <c r="BU90" i="43"/>
  <c r="BR90" i="43"/>
  <c r="BQ90" i="43"/>
  <c r="BX87" i="43"/>
  <c r="BW87" i="43"/>
  <c r="BU87" i="43"/>
  <c r="BR87" i="43"/>
  <c r="BQ87" i="43"/>
  <c r="BO87" i="43"/>
  <c r="BX86" i="43"/>
  <c r="BW86" i="43"/>
  <c r="BU86" i="43"/>
  <c r="BR86" i="43"/>
  <c r="BQ86" i="43"/>
  <c r="BX83" i="43"/>
  <c r="BW83" i="43"/>
  <c r="BU83" i="43"/>
  <c r="BR83" i="43"/>
  <c r="BQ83" i="43"/>
  <c r="BO83" i="43"/>
  <c r="BX79" i="43"/>
  <c r="BW79" i="43"/>
  <c r="BU79" i="43"/>
  <c r="BR79" i="43"/>
  <c r="BX78" i="43"/>
  <c r="BW78" i="43"/>
  <c r="BU78" i="43"/>
  <c r="BR78" i="43"/>
  <c r="BQ78" i="43"/>
  <c r="BX75" i="43"/>
  <c r="BW75" i="43"/>
  <c r="BU75" i="43"/>
  <c r="BR75" i="43"/>
  <c r="BQ75" i="43"/>
  <c r="BO75" i="43"/>
  <c r="BX74" i="43"/>
  <c r="BW74" i="43"/>
  <c r="BU74" i="43"/>
  <c r="BR74" i="43"/>
  <c r="BO74" i="43"/>
  <c r="BX73" i="43"/>
  <c r="BW73" i="43"/>
  <c r="BU73" i="43"/>
  <c r="BR73" i="43"/>
  <c r="BQ73" i="43"/>
  <c r="BO73" i="43"/>
  <c r="BX70" i="43"/>
  <c r="BW70" i="43"/>
  <c r="BU70" i="43"/>
  <c r="BR70" i="43"/>
  <c r="BQ70" i="43"/>
  <c r="BO70" i="43"/>
  <c r="BX67" i="43"/>
  <c r="BW67" i="43"/>
  <c r="BU67" i="43"/>
  <c r="BR67" i="43"/>
  <c r="BX66" i="43"/>
  <c r="BW66" i="43"/>
  <c r="BU66" i="43"/>
  <c r="BR66" i="43"/>
  <c r="BQ66" i="43"/>
  <c r="BO66" i="43"/>
  <c r="BX63" i="43"/>
  <c r="BU63" i="43"/>
  <c r="BR63" i="43"/>
  <c r="BQ63" i="43"/>
  <c r="BX62" i="43"/>
  <c r="BW62" i="43"/>
  <c r="BU62" i="43"/>
  <c r="BR62" i="43"/>
  <c r="BQ62" i="43"/>
  <c r="BO62" i="43"/>
  <c r="BX59" i="43"/>
  <c r="BW59" i="43"/>
  <c r="BU59" i="43"/>
  <c r="BR59" i="43"/>
  <c r="BQ59" i="43"/>
  <c r="BX58" i="43"/>
  <c r="BU58" i="43"/>
  <c r="BR58" i="43"/>
  <c r="BQ58" i="43"/>
  <c r="BO58" i="43"/>
  <c r="BX57" i="43"/>
  <c r="BX55" i="43"/>
  <c r="BU55" i="43"/>
  <c r="BR55" i="43"/>
  <c r="BQ55" i="43"/>
  <c r="BU54" i="43"/>
  <c r="BX52" i="43"/>
  <c r="BU52" i="43"/>
  <c r="BR52" i="43"/>
  <c r="BX49" i="43"/>
  <c r="BW49" i="43"/>
  <c r="BU49" i="43"/>
  <c r="BR49" i="43"/>
  <c r="BQ49" i="43"/>
  <c r="BX46" i="43"/>
  <c r="BU46" i="43"/>
  <c r="BR46" i="43"/>
  <c r="BQ46" i="43"/>
  <c r="BX45" i="43"/>
  <c r="BU45" i="43"/>
  <c r="BR45" i="43"/>
  <c r="BQ45" i="43"/>
  <c r="BO45" i="43"/>
  <c r="BX42" i="43"/>
  <c r="BW42" i="43"/>
  <c r="BU42" i="43"/>
  <c r="BR42" i="43"/>
  <c r="BQ42" i="43"/>
  <c r="BX38" i="43"/>
  <c r="BU38" i="43"/>
  <c r="BR38" i="43"/>
  <c r="BO38" i="43"/>
  <c r="BW37" i="43"/>
  <c r="BU37" i="43"/>
  <c r="BR37" i="43"/>
  <c r="BQ37" i="43"/>
  <c r="BU36" i="43"/>
  <c r="BX34" i="43"/>
  <c r="BW34" i="43"/>
  <c r="BU34" i="43"/>
  <c r="BR34" i="43"/>
  <c r="BX33" i="43"/>
  <c r="BU33" i="43"/>
  <c r="BR33" i="43"/>
  <c r="BQ33" i="43"/>
  <c r="BX32" i="43"/>
  <c r="BU32" i="43"/>
  <c r="BX30" i="43"/>
  <c r="BU30" i="43"/>
  <c r="BR30" i="43"/>
  <c r="BQ30" i="43"/>
  <c r="BO30" i="43"/>
  <c r="BX29" i="43"/>
  <c r="BW29" i="43"/>
  <c r="BU29" i="43"/>
  <c r="BR29" i="43"/>
  <c r="BQ29" i="43"/>
  <c r="BX26" i="43"/>
  <c r="BU26" i="43"/>
  <c r="BR26" i="43"/>
  <c r="BQ26" i="43"/>
  <c r="BX25" i="43"/>
  <c r="BU25" i="43"/>
  <c r="BR25" i="43"/>
  <c r="BQ25" i="43"/>
  <c r="BO25" i="43"/>
  <c r="BX24" i="43"/>
  <c r="BU24" i="43"/>
  <c r="BR24" i="43"/>
  <c r="BU23" i="43"/>
  <c r="BX21" i="43"/>
  <c r="BW21" i="43"/>
  <c r="BU21" i="43"/>
  <c r="BR21" i="43"/>
  <c r="BX20" i="43"/>
  <c r="BU20" i="43"/>
  <c r="BR20" i="43"/>
  <c r="BQ20" i="43"/>
  <c r="BO20" i="43"/>
  <c r="BU19" i="43"/>
  <c r="BQ19" i="43"/>
  <c r="BX17" i="43"/>
  <c r="BW17" i="43"/>
  <c r="BU17" i="43"/>
  <c r="BR17" i="43"/>
  <c r="BX16" i="43"/>
  <c r="BW16" i="43"/>
  <c r="BU16" i="43"/>
  <c r="BR16" i="43"/>
  <c r="BX15" i="43"/>
  <c r="BW15" i="43"/>
  <c r="BU15" i="43"/>
  <c r="BR15" i="43"/>
  <c r="BO15" i="43"/>
  <c r="BX12" i="44"/>
  <c r="BX13" i="44" s="1"/>
  <c r="BW12" i="44"/>
  <c r="BW13" i="44" s="1"/>
  <c r="BU12" i="44"/>
  <c r="BU13" i="44" s="1"/>
  <c r="BR12" i="44"/>
  <c r="BR13" i="44" s="1"/>
  <c r="BQ12" i="44"/>
  <c r="BQ13" i="44" s="1"/>
  <c r="BO12" i="44"/>
  <c r="BO13" i="44" s="1"/>
  <c r="BI12" i="43"/>
  <c r="BI13" i="43" s="1"/>
  <c r="AM12" i="43"/>
  <c r="AM13" i="43" s="1"/>
  <c r="BW12" i="43" l="1"/>
  <c r="AF12" i="43"/>
  <c r="AF13" i="43" s="1"/>
  <c r="BU19" i="44"/>
  <c r="BV422" i="43"/>
  <c r="BV456" i="43"/>
  <c r="BO388" i="43"/>
  <c r="BO154" i="43"/>
  <c r="BO159" i="43" s="1"/>
  <c r="BO93" i="43"/>
  <c r="BO96" i="43" s="1"/>
  <c r="BO262" i="43"/>
  <c r="BV420" i="43"/>
  <c r="BV450" i="43"/>
  <c r="BP33" i="44"/>
  <c r="BP21" i="44"/>
  <c r="BP29" i="44"/>
  <c r="BP38" i="44"/>
  <c r="BU102" i="44"/>
  <c r="BP39" i="44"/>
  <c r="BP67" i="44"/>
  <c r="BP107" i="44"/>
  <c r="BV81" i="44"/>
  <c r="BV60" i="44"/>
  <c r="BV53" i="44"/>
  <c r="BV61" i="44"/>
  <c r="BV80" i="44"/>
  <c r="BP16" i="44"/>
  <c r="BP23" i="44"/>
  <c r="BP24" i="44"/>
  <c r="BP32" i="44"/>
  <c r="BP59" i="44"/>
  <c r="BP108" i="44"/>
  <c r="BP37" i="44"/>
  <c r="BP296" i="43"/>
  <c r="BP344" i="43"/>
  <c r="BV54" i="43"/>
  <c r="BP390" i="43"/>
  <c r="BS435" i="43"/>
  <c r="BT306" i="43"/>
  <c r="BP405" i="43"/>
  <c r="BM407" i="43"/>
  <c r="BV464" i="43"/>
  <c r="BT340" i="43"/>
  <c r="BM375" i="43"/>
  <c r="BS398" i="43"/>
  <c r="BM441" i="43"/>
  <c r="BP367" i="43"/>
  <c r="BP193" i="43"/>
  <c r="BP362" i="43"/>
  <c r="BP377" i="43"/>
  <c r="BP378" i="43" s="1"/>
  <c r="BP420" i="43"/>
  <c r="BV24" i="43"/>
  <c r="BM238" i="43"/>
  <c r="BP214" i="43"/>
  <c r="BU27" i="43"/>
  <c r="BP34" i="43"/>
  <c r="BP231" i="43"/>
  <c r="BP238" i="43"/>
  <c r="BP235" i="43"/>
  <c r="BM257" i="43"/>
  <c r="BT303" i="43"/>
  <c r="BM217" i="43"/>
  <c r="BV25" i="43"/>
  <c r="BX60" i="43"/>
  <c r="BT73" i="43"/>
  <c r="BP204" i="43"/>
  <c r="BP211" i="43"/>
  <c r="BT220" i="43"/>
  <c r="BP225" i="43"/>
  <c r="BV412" i="43"/>
  <c r="BV454" i="43"/>
  <c r="BM460" i="43"/>
  <c r="BP77" i="43"/>
  <c r="BP201" i="43"/>
  <c r="BP242" i="43"/>
  <c r="BP280" i="43"/>
  <c r="BP352" i="43"/>
  <c r="BM447" i="43"/>
  <c r="BV157" i="43"/>
  <c r="BT163" i="43"/>
  <c r="BT276" i="43"/>
  <c r="BT328" i="43"/>
  <c r="BV448" i="43"/>
  <c r="BX35" i="43"/>
  <c r="BV132" i="43"/>
  <c r="BV139" i="43"/>
  <c r="BP184" i="43"/>
  <c r="BP191" i="43"/>
  <c r="BM255" i="43"/>
  <c r="BP261" i="43"/>
  <c r="BP356" i="43"/>
  <c r="BP38" i="43"/>
  <c r="BV55" i="43"/>
  <c r="BM120" i="43"/>
  <c r="BV133" i="43"/>
  <c r="BV140" i="43"/>
  <c r="BP370" i="43"/>
  <c r="BV411" i="43"/>
  <c r="BP414" i="43"/>
  <c r="BP449" i="43"/>
  <c r="BV383" i="43"/>
  <c r="BP394" i="43"/>
  <c r="BV398" i="43"/>
  <c r="BP262" i="43"/>
  <c r="BP276" i="43"/>
  <c r="BP358" i="43"/>
  <c r="BM405" i="43"/>
  <c r="BV37" i="43"/>
  <c r="BP199" i="43"/>
  <c r="BP206" i="43"/>
  <c r="BP226" i="43"/>
  <c r="BP232" i="43"/>
  <c r="BP244" i="43"/>
  <c r="BM253" i="43"/>
  <c r="BM267" i="43"/>
  <c r="BP284" i="43"/>
  <c r="BP292" i="43"/>
  <c r="BP297" i="43"/>
  <c r="BT329" i="43"/>
  <c r="BT336" i="43"/>
  <c r="BT342" i="43"/>
  <c r="BP346" i="43"/>
  <c r="BV414" i="43"/>
  <c r="BV165" i="43"/>
  <c r="BM229" i="43"/>
  <c r="BT288" i="43"/>
  <c r="BP293" i="43"/>
  <c r="BM294" i="43"/>
  <c r="BT343" i="43"/>
  <c r="BP17" i="43"/>
  <c r="BV20" i="43"/>
  <c r="BV49" i="43"/>
  <c r="BP72" i="43"/>
  <c r="BM83" i="43"/>
  <c r="BM91" i="43"/>
  <c r="BM99" i="43"/>
  <c r="BM124" i="43"/>
  <c r="BV137" i="43"/>
  <c r="BV166" i="43"/>
  <c r="BP174" i="43"/>
  <c r="BP187" i="43"/>
  <c r="BV28" i="43"/>
  <c r="BP52" i="43"/>
  <c r="BM67" i="43"/>
  <c r="BM109" i="43"/>
  <c r="BM125" i="43"/>
  <c r="BV143" i="43"/>
  <c r="BP188" i="43"/>
  <c r="BM191" i="43"/>
  <c r="BP195" i="43"/>
  <c r="BM205" i="43"/>
  <c r="BP224" i="43"/>
  <c r="BM249" i="43"/>
  <c r="BP294" i="43"/>
  <c r="BP350" i="43"/>
  <c r="BV418" i="43"/>
  <c r="BU42" i="44"/>
  <c r="BU39" i="43"/>
  <c r="BR35" i="44"/>
  <c r="BP31" i="44"/>
  <c r="BT90" i="44"/>
  <c r="BW96" i="44"/>
  <c r="BW98" i="44" s="1"/>
  <c r="BW110" i="44"/>
  <c r="BP20" i="44"/>
  <c r="BU49" i="44"/>
  <c r="BP45" i="44"/>
  <c r="BR28" i="44"/>
  <c r="BX35" i="44"/>
  <c r="BU88" i="44"/>
  <c r="BW128" i="44"/>
  <c r="BR19" i="44"/>
  <c r="BP15" i="44"/>
  <c r="BU28" i="44"/>
  <c r="BP22" i="44"/>
  <c r="BP34" i="44"/>
  <c r="BP47" i="44"/>
  <c r="BP54" i="44"/>
  <c r="BV65" i="44"/>
  <c r="BV72" i="44"/>
  <c r="BQ121" i="44"/>
  <c r="BV127" i="44"/>
  <c r="BP15" i="43"/>
  <c r="BP21" i="43"/>
  <c r="BV30" i="43"/>
  <c r="BW139" i="43"/>
  <c r="BV384" i="43"/>
  <c r="BP389" i="43"/>
  <c r="BO254" i="43"/>
  <c r="BP304" i="43"/>
  <c r="BU35" i="43"/>
  <c r="BV34" i="43"/>
  <c r="BX51" i="43"/>
  <c r="BX53" i="43" s="1"/>
  <c r="BP217" i="43"/>
  <c r="BM418" i="43"/>
  <c r="BP427" i="43"/>
  <c r="BW24" i="43"/>
  <c r="BV42" i="43"/>
  <c r="BP113" i="43"/>
  <c r="BU458" i="43"/>
  <c r="BP24" i="43"/>
  <c r="BM95" i="43"/>
  <c r="BV138" i="43"/>
  <c r="BV152" i="43"/>
  <c r="BV161" i="43"/>
  <c r="BP168" i="43"/>
  <c r="BV174" i="43"/>
  <c r="BP185" i="43"/>
  <c r="BP219" i="43"/>
  <c r="BM226" i="43"/>
  <c r="BT273" i="43"/>
  <c r="BM297" i="43"/>
  <c r="BP364" i="43"/>
  <c r="BV397" i="43"/>
  <c r="BP400" i="43"/>
  <c r="BP428" i="43"/>
  <c r="BT450" i="43"/>
  <c r="BP453" i="43"/>
  <c r="BX28" i="44"/>
  <c r="BV57" i="44"/>
  <c r="BO64" i="44"/>
  <c r="BO70" i="44" s="1"/>
  <c r="BU89" i="44"/>
  <c r="BU92" i="44" s="1"/>
  <c r="BU93" i="44"/>
  <c r="BU98" i="44" s="1"/>
  <c r="BO103" i="44"/>
  <c r="BO104" i="44" s="1"/>
  <c r="BW43" i="44"/>
  <c r="BW49" i="44" s="1"/>
  <c r="BR50" i="44"/>
  <c r="BR56" i="44" s="1"/>
  <c r="BO57" i="44"/>
  <c r="BO63" i="44" s="1"/>
  <c r="BX57" i="44"/>
  <c r="BX63" i="44" s="1"/>
  <c r="BP62" i="44"/>
  <c r="BU71" i="44"/>
  <c r="BU77" i="44" s="1"/>
  <c r="BO78" i="44"/>
  <c r="BO84" i="44" s="1"/>
  <c r="BR84" i="44"/>
  <c r="BR85" i="44"/>
  <c r="BR88" i="44" s="1"/>
  <c r="BV95" i="44"/>
  <c r="BO99" i="44"/>
  <c r="BO102" i="44" s="1"/>
  <c r="BX105" i="44"/>
  <c r="BX110" i="44" s="1"/>
  <c r="BR113" i="44"/>
  <c r="BR121" i="44" s="1"/>
  <c r="BV125" i="44"/>
  <c r="BQ85" i="44"/>
  <c r="BQ88" i="44" s="1"/>
  <c r="BR36" i="44"/>
  <c r="BR42" i="44" s="1"/>
  <c r="BX43" i="44"/>
  <c r="BU50" i="44"/>
  <c r="BU56" i="44" s="1"/>
  <c r="BQ57" i="44"/>
  <c r="BW57" i="44"/>
  <c r="BR64" i="44"/>
  <c r="BR70" i="44" s="1"/>
  <c r="BW65" i="44"/>
  <c r="BW71" i="44"/>
  <c r="BV82" i="44"/>
  <c r="BN89" i="44"/>
  <c r="BX89" i="44"/>
  <c r="BX92" i="44" s="1"/>
  <c r="BQ99" i="44"/>
  <c r="BR103" i="44"/>
  <c r="BR104" i="44" s="1"/>
  <c r="BO105" i="44"/>
  <c r="BO110" i="44" s="1"/>
  <c r="BW111" i="44"/>
  <c r="BW112" i="44" s="1"/>
  <c r="BU113" i="44"/>
  <c r="BU121" i="44" s="1"/>
  <c r="BP118" i="44"/>
  <c r="BX122" i="44"/>
  <c r="BX128" i="44" s="1"/>
  <c r="BX99" i="44"/>
  <c r="BX102" i="44" s="1"/>
  <c r="BX14" i="44"/>
  <c r="BX19" i="44" s="1"/>
  <c r="BU33" i="44"/>
  <c r="BU35" i="44" s="1"/>
  <c r="BO43" i="44"/>
  <c r="BO49" i="44" s="1"/>
  <c r="BW50" i="44"/>
  <c r="BW53" i="44"/>
  <c r="BR57" i="44"/>
  <c r="BR63" i="44" s="1"/>
  <c r="BU70" i="44"/>
  <c r="BX71" i="44"/>
  <c r="BX77" i="44" s="1"/>
  <c r="BO89" i="44"/>
  <c r="BO92" i="44" s="1"/>
  <c r="BO93" i="44"/>
  <c r="BO98" i="44" s="1"/>
  <c r="BR99" i="44"/>
  <c r="BR102" i="44" s="1"/>
  <c r="BU103" i="44"/>
  <c r="BU104" i="44" s="1"/>
  <c r="BX111" i="44"/>
  <c r="BX112" i="44" s="1"/>
  <c r="BW113" i="44"/>
  <c r="BW121" i="44" s="1"/>
  <c r="BP114" i="44"/>
  <c r="BO122" i="44"/>
  <c r="BO128" i="44" s="1"/>
  <c r="BP125" i="44"/>
  <c r="BR71" i="44"/>
  <c r="BR77" i="44" s="1"/>
  <c r="BX50" i="44"/>
  <c r="BP60" i="44"/>
  <c r="BO71" i="44"/>
  <c r="BO77" i="44" s="1"/>
  <c r="BU78" i="44"/>
  <c r="BU84" i="44" s="1"/>
  <c r="BV79" i="44"/>
  <c r="BX85" i="44"/>
  <c r="BW103" i="44"/>
  <c r="BW104" i="44" s="1"/>
  <c r="BR105" i="44"/>
  <c r="BR110" i="44" s="1"/>
  <c r="BO111" i="44"/>
  <c r="BO112" i="44" s="1"/>
  <c r="BX113" i="44"/>
  <c r="BX121" i="44" s="1"/>
  <c r="BQ122" i="44"/>
  <c r="BQ128" i="44" s="1"/>
  <c r="BX78" i="44"/>
  <c r="BR111" i="44"/>
  <c r="BR112" i="44" s="1"/>
  <c r="BU122" i="44"/>
  <c r="BU128" i="44" s="1"/>
  <c r="BP25" i="44"/>
  <c r="BP30" i="44"/>
  <c r="BX36" i="44"/>
  <c r="BX42" i="44" s="1"/>
  <c r="BV40" i="44"/>
  <c r="BR43" i="44"/>
  <c r="BR49" i="44" s="1"/>
  <c r="BP44" i="44"/>
  <c r="BO50" i="44"/>
  <c r="BO56" i="44" s="1"/>
  <c r="BU57" i="44"/>
  <c r="BU63" i="44" s="1"/>
  <c r="BP58" i="44"/>
  <c r="BV59" i="44"/>
  <c r="BX64" i="44"/>
  <c r="BX70" i="44" s="1"/>
  <c r="BW67" i="44"/>
  <c r="BV73" i="44"/>
  <c r="BP75" i="44"/>
  <c r="BP79" i="44"/>
  <c r="BO85" i="44"/>
  <c r="BO88" i="44" s="1"/>
  <c r="BV86" i="44"/>
  <c r="BV87" i="44"/>
  <c r="BR89" i="44"/>
  <c r="BR92" i="44" s="1"/>
  <c r="BV91" i="44"/>
  <c r="BR93" i="44"/>
  <c r="BR98" i="44" s="1"/>
  <c r="BP96" i="44"/>
  <c r="BW99" i="44"/>
  <c r="BW102" i="44" s="1"/>
  <c r="BU105" i="44"/>
  <c r="BU110" i="44" s="1"/>
  <c r="BP106" i="44"/>
  <c r="BV107" i="44"/>
  <c r="BO113" i="44"/>
  <c r="BO121" i="44" s="1"/>
  <c r="BR122" i="44"/>
  <c r="BR128" i="44" s="1"/>
  <c r="BU22" i="43"/>
  <c r="BR65" i="43"/>
  <c r="BR68" i="43" s="1"/>
  <c r="BU89" i="43"/>
  <c r="BU92" i="43" s="1"/>
  <c r="BU108" i="43"/>
  <c r="BU111" i="43" s="1"/>
  <c r="BW112" i="43"/>
  <c r="BW115" i="43" s="1"/>
  <c r="BX123" i="43"/>
  <c r="BX127" i="43" s="1"/>
  <c r="BQ128" i="43"/>
  <c r="BO135" i="43"/>
  <c r="BO141" i="43" s="1"/>
  <c r="BU148" i="43"/>
  <c r="BU153" i="43" s="1"/>
  <c r="BU154" i="43"/>
  <c r="BU159" i="43" s="1"/>
  <c r="BX14" i="43"/>
  <c r="BX18" i="43" s="1"/>
  <c r="BX23" i="43"/>
  <c r="BX27" i="43" s="1"/>
  <c r="BO28" i="43"/>
  <c r="BO31" i="43" s="1"/>
  <c r="BW30" i="43"/>
  <c r="BX36" i="43"/>
  <c r="BX37" i="43"/>
  <c r="BR40" i="43"/>
  <c r="BR43" i="43" s="1"/>
  <c r="BW48" i="43"/>
  <c r="BW50" i="43" s="1"/>
  <c r="BQ54" i="43"/>
  <c r="BQ56" i="43" s="1"/>
  <c r="BU56" i="43"/>
  <c r="BQ57" i="43"/>
  <c r="BQ60" i="43" s="1"/>
  <c r="BU65" i="43"/>
  <c r="BU68" i="43" s="1"/>
  <c r="BR69" i="43"/>
  <c r="BR71" i="43" s="1"/>
  <c r="BW72" i="43"/>
  <c r="BW76" i="43" s="1"/>
  <c r="BW77" i="43"/>
  <c r="BW80" i="43" s="1"/>
  <c r="BO81" i="43"/>
  <c r="BO84" i="43" s="1"/>
  <c r="BU85" i="43"/>
  <c r="BU88" i="43" s="1"/>
  <c r="BW89" i="43"/>
  <c r="BW92" i="43" s="1"/>
  <c r="BQ93" i="43"/>
  <c r="BR97" i="43"/>
  <c r="BR100" i="43" s="1"/>
  <c r="BU101" i="43"/>
  <c r="BU104" i="43" s="1"/>
  <c r="BO105" i="43"/>
  <c r="BO107" i="43" s="1"/>
  <c r="BW108" i="43"/>
  <c r="BW111" i="43" s="1"/>
  <c r="BX112" i="43"/>
  <c r="BX115" i="43" s="1"/>
  <c r="BQ116" i="43"/>
  <c r="BU119" i="43"/>
  <c r="BU122" i="43" s="1"/>
  <c r="BO123" i="43"/>
  <c r="BR128" i="43"/>
  <c r="BR134" i="43" s="1"/>
  <c r="BQ135" i="43"/>
  <c r="BQ141" i="43" s="1"/>
  <c r="BR142" i="43"/>
  <c r="BR147" i="43" s="1"/>
  <c r="BX147" i="43"/>
  <c r="BX160" i="43"/>
  <c r="BX164" i="43" s="1"/>
  <c r="BO165" i="43"/>
  <c r="BO170" i="43" s="1"/>
  <c r="BQ171" i="43"/>
  <c r="BX176" i="43"/>
  <c r="BU177" i="43"/>
  <c r="BU182" i="43" s="1"/>
  <c r="BR190" i="43"/>
  <c r="BR196" i="43" s="1"/>
  <c r="BP192" i="43"/>
  <c r="BU228" i="43"/>
  <c r="BU233" i="43" s="1"/>
  <c r="BX286" i="43"/>
  <c r="BX290" i="43" s="1"/>
  <c r="BU301" i="43"/>
  <c r="BU307" i="43" s="1"/>
  <c r="BX325" i="43"/>
  <c r="BX326" i="43" s="1"/>
  <c r="BU339" i="43"/>
  <c r="BU347" i="43" s="1"/>
  <c r="BQ379" i="43"/>
  <c r="BU417" i="43"/>
  <c r="BU423" i="43" s="1"/>
  <c r="BR459" i="43"/>
  <c r="BR461" i="43" s="1"/>
  <c r="BO462" i="43"/>
  <c r="BO465" i="43" s="1"/>
  <c r="BO19" i="43"/>
  <c r="BO22" i="43" s="1"/>
  <c r="BU77" i="43"/>
  <c r="BU80" i="43" s="1"/>
  <c r="BX81" i="43"/>
  <c r="BX84" i="43" s="1"/>
  <c r="BQ97" i="43"/>
  <c r="BQ100" i="43" s="1"/>
  <c r="BO310" i="43"/>
  <c r="BU327" i="43"/>
  <c r="BU330" i="43" s="1"/>
  <c r="BO14" i="43"/>
  <c r="BO18" i="43" s="1"/>
  <c r="BR19" i="43"/>
  <c r="BR22" i="43" s="1"/>
  <c r="BO23" i="43"/>
  <c r="BO27" i="43" s="1"/>
  <c r="BW25" i="43"/>
  <c r="BO36" i="43"/>
  <c r="BO39" i="43" s="1"/>
  <c r="BU40" i="43"/>
  <c r="BU43" i="43" s="1"/>
  <c r="BX48" i="43"/>
  <c r="BX50" i="43" s="1"/>
  <c r="BR54" i="43"/>
  <c r="BR56" i="43" s="1"/>
  <c r="BR57" i="43"/>
  <c r="BR60" i="43" s="1"/>
  <c r="BW65" i="43"/>
  <c r="BW68" i="43" s="1"/>
  <c r="BU69" i="43"/>
  <c r="BU71" i="43" s="1"/>
  <c r="BO72" i="43"/>
  <c r="BO76" i="43" s="1"/>
  <c r="BX72" i="43"/>
  <c r="BX76" i="43" s="1"/>
  <c r="BO77" i="43"/>
  <c r="BO80" i="43" s="1"/>
  <c r="BX77" i="43"/>
  <c r="BX80" i="43" s="1"/>
  <c r="BQ81" i="43"/>
  <c r="BQ84" i="43" s="1"/>
  <c r="BW85" i="43"/>
  <c r="BW88" i="43" s="1"/>
  <c r="BO89" i="43"/>
  <c r="BO92" i="43" s="1"/>
  <c r="BX89" i="43"/>
  <c r="BR93" i="43"/>
  <c r="BR96" i="43" s="1"/>
  <c r="BU97" i="43"/>
  <c r="BU100" i="43" s="1"/>
  <c r="BW101" i="43"/>
  <c r="BW104" i="43" s="1"/>
  <c r="BQ105" i="43"/>
  <c r="BX108" i="43"/>
  <c r="BX111" i="43" s="1"/>
  <c r="BO112" i="43"/>
  <c r="BO115" i="43" s="1"/>
  <c r="BR116" i="43"/>
  <c r="BR118" i="43" s="1"/>
  <c r="BV117" i="43"/>
  <c r="BW119" i="43"/>
  <c r="BW122" i="43" s="1"/>
  <c r="BU128" i="43"/>
  <c r="BU134" i="43" s="1"/>
  <c r="BR135" i="43"/>
  <c r="BR141" i="43" s="1"/>
  <c r="BU142" i="43"/>
  <c r="BU147" i="43" s="1"/>
  <c r="BO160" i="43"/>
  <c r="BO164" i="43" s="1"/>
  <c r="BW160" i="43"/>
  <c r="BQ165" i="43"/>
  <c r="BR171" i="43"/>
  <c r="BR176" i="43" s="1"/>
  <c r="BV175" i="43"/>
  <c r="BX183" i="43"/>
  <c r="BX189" i="43" s="1"/>
  <c r="BU190" i="43"/>
  <c r="BU196" i="43" s="1"/>
  <c r="BX203" i="43"/>
  <c r="BX208" i="43" s="1"/>
  <c r="BX209" i="43"/>
  <c r="BX215" i="43" s="1"/>
  <c r="BX216" i="43"/>
  <c r="BX221" i="43" s="1"/>
  <c r="BU315" i="43"/>
  <c r="BU318" i="43" s="1"/>
  <c r="BU335" i="43"/>
  <c r="BU338" i="43" s="1"/>
  <c r="BU365" i="43"/>
  <c r="BQ373" i="43"/>
  <c r="BQ376" i="43" s="1"/>
  <c r="BU392" i="43"/>
  <c r="BU395" i="43" s="1"/>
  <c r="BO396" i="43"/>
  <c r="BU44" i="43"/>
  <c r="BU47" i="43" s="1"/>
  <c r="BO54" i="43"/>
  <c r="BO56" i="43" s="1"/>
  <c r="BX105" i="43"/>
  <c r="BX107" i="43" s="1"/>
  <c r="BO171" i="43"/>
  <c r="BO176" i="43" s="1"/>
  <c r="BR197" i="43"/>
  <c r="BR202" i="43" s="1"/>
  <c r="BO400" i="43"/>
  <c r="BR28" i="43"/>
  <c r="BR31" i="43" s="1"/>
  <c r="BV29" i="43"/>
  <c r="BO32" i="43"/>
  <c r="BO35" i="43" s="1"/>
  <c r="BW36" i="43"/>
  <c r="BW40" i="43"/>
  <c r="BW43" i="43" s="1"/>
  <c r="BO44" i="43"/>
  <c r="BO47" i="43" s="1"/>
  <c r="BW44" i="43"/>
  <c r="BO48" i="43"/>
  <c r="BO50" i="43" s="1"/>
  <c r="BO51" i="43"/>
  <c r="BO53" i="43" s="1"/>
  <c r="BU57" i="43"/>
  <c r="BU60" i="43" s="1"/>
  <c r="BX61" i="43"/>
  <c r="BX64" i="43" s="1"/>
  <c r="BX65" i="43"/>
  <c r="BX68" i="43" s="1"/>
  <c r="BW69" i="43"/>
  <c r="BW71" i="43" s="1"/>
  <c r="BP70" i="43"/>
  <c r="BQ72" i="43"/>
  <c r="BP75" i="43"/>
  <c r="BQ77" i="43"/>
  <c r="BN85" i="43"/>
  <c r="BX85" i="43"/>
  <c r="BX88" i="43" s="1"/>
  <c r="BP87" i="43"/>
  <c r="BQ89" i="43"/>
  <c r="BQ92" i="43" s="1"/>
  <c r="BT90" i="43"/>
  <c r="BW97" i="43"/>
  <c r="BW100" i="43" s="1"/>
  <c r="BP98" i="43"/>
  <c r="BX101" i="43"/>
  <c r="BX104" i="43" s="1"/>
  <c r="BR105" i="43"/>
  <c r="BR107" i="43" s="1"/>
  <c r="BO108" i="43"/>
  <c r="BO111" i="43" s="1"/>
  <c r="BP110" i="43"/>
  <c r="BQ112" i="43"/>
  <c r="BX119" i="43"/>
  <c r="BX122" i="43" s="1"/>
  <c r="BR123" i="43"/>
  <c r="BR127" i="43" s="1"/>
  <c r="BW133" i="43"/>
  <c r="BU135" i="43"/>
  <c r="BU141" i="43" s="1"/>
  <c r="BW138" i="43"/>
  <c r="BO148" i="43"/>
  <c r="BO153" i="43" s="1"/>
  <c r="BW148" i="43"/>
  <c r="BV151" i="43"/>
  <c r="BX159" i="43"/>
  <c r="BW157" i="43"/>
  <c r="BR165" i="43"/>
  <c r="BR170" i="43" s="1"/>
  <c r="BU171" i="43"/>
  <c r="BU176" i="43" s="1"/>
  <c r="BU183" i="43"/>
  <c r="BU189" i="43" s="1"/>
  <c r="BN197" i="43"/>
  <c r="BX197" i="43"/>
  <c r="BX202" i="43" s="1"/>
  <c r="BO209" i="43"/>
  <c r="BU240" i="43"/>
  <c r="BU245" i="43" s="1"/>
  <c r="BQ254" i="43"/>
  <c r="BP254" i="43"/>
  <c r="BX275" i="43"/>
  <c r="BX278" i="43" s="1"/>
  <c r="BX308" i="43"/>
  <c r="BX314" i="43" s="1"/>
  <c r="BU331" i="43"/>
  <c r="BU334" i="43" s="1"/>
  <c r="BU386" i="43"/>
  <c r="BU391" i="43" s="1"/>
  <c r="BW424" i="43"/>
  <c r="BQ445" i="43"/>
  <c r="BX28" i="43"/>
  <c r="BX31" i="43" s="1"/>
  <c r="BQ40" i="43"/>
  <c r="BQ43" i="43" s="1"/>
  <c r="BU51" i="43"/>
  <c r="BU53" i="43" s="1"/>
  <c r="BO57" i="43"/>
  <c r="BO60" i="43" s="1"/>
  <c r="BU72" i="43"/>
  <c r="BU76" i="43" s="1"/>
  <c r="BR101" i="43"/>
  <c r="BX116" i="43"/>
  <c r="BX118" i="43" s="1"/>
  <c r="BX165" i="43"/>
  <c r="BX170" i="43" s="1"/>
  <c r="BR177" i="43"/>
  <c r="BR182" i="43" s="1"/>
  <c r="BO206" i="43"/>
  <c r="BX366" i="43"/>
  <c r="BX372" i="43" s="1"/>
  <c r="BU410" i="43"/>
  <c r="BU416" i="43" s="1"/>
  <c r="BX462" i="43"/>
  <c r="BX465" i="43" s="1"/>
  <c r="BR14" i="43"/>
  <c r="BR18" i="43" s="1"/>
  <c r="BR23" i="43"/>
  <c r="BR27" i="43" s="1"/>
  <c r="BU28" i="43"/>
  <c r="BU31" i="43" s="1"/>
  <c r="BQ32" i="43"/>
  <c r="BR36" i="43"/>
  <c r="BR39" i="43" s="1"/>
  <c r="BX40" i="43"/>
  <c r="BX43" i="43" s="1"/>
  <c r="BQ44" i="43"/>
  <c r="BQ47" i="43" s="1"/>
  <c r="BX44" i="43"/>
  <c r="BX47" i="43" s="1"/>
  <c r="BU48" i="43"/>
  <c r="BU50" i="43" s="1"/>
  <c r="BQ51" i="43"/>
  <c r="BW54" i="43"/>
  <c r="BW55" i="43"/>
  <c r="BO61" i="43"/>
  <c r="BO64" i="43" s="1"/>
  <c r="BU61" i="43"/>
  <c r="BU64" i="43" s="1"/>
  <c r="BO65" i="43"/>
  <c r="BO68" i="43" s="1"/>
  <c r="BP66" i="43"/>
  <c r="BX69" i="43"/>
  <c r="BX71" i="43" s="1"/>
  <c r="BR72" i="43"/>
  <c r="BR76" i="43" s="1"/>
  <c r="BM74" i="43"/>
  <c r="BR77" i="43"/>
  <c r="BR80" i="43" s="1"/>
  <c r="BU81" i="43"/>
  <c r="BU84" i="43" s="1"/>
  <c r="BO85" i="43"/>
  <c r="BO88" i="43" s="1"/>
  <c r="BR89" i="43"/>
  <c r="BU96" i="43"/>
  <c r="BX97" i="43"/>
  <c r="BX100" i="43" s="1"/>
  <c r="BO101" i="43"/>
  <c r="BO104" i="43" s="1"/>
  <c r="BU105" i="43"/>
  <c r="BU107" i="43" s="1"/>
  <c r="BQ108" i="43"/>
  <c r="BQ111" i="43" s="1"/>
  <c r="BR112" i="43"/>
  <c r="BR115" i="43" s="1"/>
  <c r="BU116" i="43"/>
  <c r="BU118" i="43" s="1"/>
  <c r="BO119" i="43"/>
  <c r="BO122" i="43" s="1"/>
  <c r="BU123" i="43"/>
  <c r="BU127" i="43" s="1"/>
  <c r="BX128" i="43"/>
  <c r="BW135" i="43"/>
  <c r="BX148" i="43"/>
  <c r="BX153" i="43" s="1"/>
  <c r="BR160" i="43"/>
  <c r="BR164" i="43" s="1"/>
  <c r="BU165" i="43"/>
  <c r="BU170" i="43" s="1"/>
  <c r="BW166" i="43"/>
  <c r="BV169" i="43"/>
  <c r="BO177" i="43"/>
  <c r="BW177" i="43"/>
  <c r="BX190" i="43"/>
  <c r="BX196" i="43" s="1"/>
  <c r="BU265" i="43"/>
  <c r="BU268" i="43" s="1"/>
  <c r="BR354" i="43"/>
  <c r="BR403" i="43"/>
  <c r="BR409" i="43" s="1"/>
  <c r="BO433" i="43"/>
  <c r="BR61" i="43"/>
  <c r="BR64" i="43" s="1"/>
  <c r="BR85" i="43"/>
  <c r="BR88" i="43" s="1"/>
  <c r="BX93" i="43"/>
  <c r="BX96" i="43" s="1"/>
  <c r="BO116" i="43"/>
  <c r="BO118" i="43" s="1"/>
  <c r="BR119" i="43"/>
  <c r="BR122" i="43" s="1"/>
  <c r="BU14" i="43"/>
  <c r="BU18" i="43" s="1"/>
  <c r="BP16" i="43"/>
  <c r="BX19" i="43"/>
  <c r="BX22" i="43" s="1"/>
  <c r="BV21" i="43"/>
  <c r="BW28" i="43"/>
  <c r="BR32" i="43"/>
  <c r="BR35" i="43" s="1"/>
  <c r="BO40" i="43"/>
  <c r="BO43" i="43" s="1"/>
  <c r="BR44" i="43"/>
  <c r="BR47" i="43" s="1"/>
  <c r="BR48" i="43"/>
  <c r="BR50" i="43" s="1"/>
  <c r="BR51" i="43"/>
  <c r="BR53" i="43" s="1"/>
  <c r="BX54" i="43"/>
  <c r="BX56" i="43" s="1"/>
  <c r="BQ61" i="43"/>
  <c r="BQ64" i="43" s="1"/>
  <c r="BW61" i="43"/>
  <c r="BQ65" i="43"/>
  <c r="BO69" i="43"/>
  <c r="BO71" i="43" s="1"/>
  <c r="BM70" i="43"/>
  <c r="BS75" i="43"/>
  <c r="BM79" i="43"/>
  <c r="BW81" i="43"/>
  <c r="BW84" i="43" s="1"/>
  <c r="BQ85" i="43"/>
  <c r="BQ88" i="43" s="1"/>
  <c r="BM87" i="43"/>
  <c r="BW93" i="43"/>
  <c r="BW96" i="43" s="1"/>
  <c r="BO97" i="43"/>
  <c r="BO100" i="43" s="1"/>
  <c r="BM103" i="43"/>
  <c r="BW105" i="43"/>
  <c r="BW107" i="43" s="1"/>
  <c r="BU112" i="43"/>
  <c r="BU115" i="43" s="1"/>
  <c r="BW116" i="43"/>
  <c r="BW118" i="43" s="1"/>
  <c r="BT121" i="43"/>
  <c r="BW123" i="43"/>
  <c r="BP126" i="43"/>
  <c r="BO128" i="43"/>
  <c r="BO134" i="43" s="1"/>
  <c r="BW128" i="43"/>
  <c r="BV129" i="43"/>
  <c r="BO142" i="43"/>
  <c r="BO147" i="43" s="1"/>
  <c r="BR148" i="43"/>
  <c r="BR153" i="43" s="1"/>
  <c r="BR154" i="43"/>
  <c r="BR159" i="43" s="1"/>
  <c r="BU160" i="43"/>
  <c r="BU164" i="43" s="1"/>
  <c r="BW161" i="43"/>
  <c r="BP166" i="43"/>
  <c r="BQ177" i="43"/>
  <c r="BX177" i="43"/>
  <c r="BX182" i="43" s="1"/>
  <c r="BP180" i="43"/>
  <c r="BM181" i="43"/>
  <c r="BR183" i="43"/>
  <c r="BR189" i="43" s="1"/>
  <c r="BO190" i="43"/>
  <c r="BR203" i="43"/>
  <c r="BR208" i="43" s="1"/>
  <c r="BO205" i="43"/>
  <c r="BO218" i="43"/>
  <c r="BN291" i="43"/>
  <c r="BO321" i="43"/>
  <c r="BR348" i="43"/>
  <c r="BR353" i="43" s="1"/>
  <c r="BP383" i="43"/>
  <c r="BQ383" i="43"/>
  <c r="BU438" i="43"/>
  <c r="BU444" i="43" s="1"/>
  <c r="BR452" i="43"/>
  <c r="BR458" i="43" s="1"/>
  <c r="BR216" i="43"/>
  <c r="BR221" i="43" s="1"/>
  <c r="BU222" i="43"/>
  <c r="BU227" i="43" s="1"/>
  <c r="BO240" i="43"/>
  <c r="BO246" i="43"/>
  <c r="BX246" i="43"/>
  <c r="BX251" i="43" s="1"/>
  <c r="BP248" i="43"/>
  <c r="BR261" i="43"/>
  <c r="BQ269" i="43"/>
  <c r="BR286" i="43"/>
  <c r="BR290" i="43" s="1"/>
  <c r="BR291" i="43"/>
  <c r="BR298" i="43" s="1"/>
  <c r="BO315" i="43"/>
  <c r="BQ319" i="43"/>
  <c r="BQ324" i="43" s="1"/>
  <c r="BR325" i="43"/>
  <c r="BR326" i="43" s="1"/>
  <c r="BO327" i="43"/>
  <c r="BO331" i="43"/>
  <c r="BO334" i="43" s="1"/>
  <c r="BO335" i="43"/>
  <c r="BO338" i="43" s="1"/>
  <c r="BO339" i="43"/>
  <c r="BX348" i="43"/>
  <c r="BX353" i="43" s="1"/>
  <c r="BX354" i="43"/>
  <c r="BX360" i="43" s="1"/>
  <c r="BR366" i="43"/>
  <c r="BR372" i="43" s="1"/>
  <c r="BO377" i="43"/>
  <c r="BO378" i="43" s="1"/>
  <c r="BX377" i="43"/>
  <c r="BX378" i="43" s="1"/>
  <c r="BU396" i="43"/>
  <c r="BU402" i="43" s="1"/>
  <c r="BO417" i="43"/>
  <c r="BQ424" i="43"/>
  <c r="BR431" i="43"/>
  <c r="BR437" i="43" s="1"/>
  <c r="BO438" i="43"/>
  <c r="BO444" i="43" s="1"/>
  <c r="BW445" i="43"/>
  <c r="BX452" i="43"/>
  <c r="BX458" i="43" s="1"/>
  <c r="BW454" i="43"/>
  <c r="BX459" i="43"/>
  <c r="BX461" i="43" s="1"/>
  <c r="BR462" i="43"/>
  <c r="BR465" i="43" s="1"/>
  <c r="BU216" i="43"/>
  <c r="BU221" i="43" s="1"/>
  <c r="BX234" i="43"/>
  <c r="BX239" i="43" s="1"/>
  <c r="BQ240" i="43"/>
  <c r="BR252" i="43"/>
  <c r="BX259" i="43"/>
  <c r="BX260" i="43" s="1"/>
  <c r="BR269" i="43"/>
  <c r="BO270" i="43"/>
  <c r="BP272" i="43"/>
  <c r="BN279" i="43"/>
  <c r="BX279" i="43"/>
  <c r="BX285" i="43" s="1"/>
  <c r="BU286" i="43"/>
  <c r="BU290" i="43" s="1"/>
  <c r="BR299" i="43"/>
  <c r="BR300" i="43" s="1"/>
  <c r="BQ301" i="43"/>
  <c r="BQ307" i="43" s="1"/>
  <c r="BQ315" i="43"/>
  <c r="BQ318" i="43" s="1"/>
  <c r="BR319" i="43"/>
  <c r="BU325" i="43"/>
  <c r="BU326" i="43" s="1"/>
  <c r="BQ327" i="43"/>
  <c r="BQ330" i="43" s="1"/>
  <c r="BQ331" i="43"/>
  <c r="BQ334" i="43" s="1"/>
  <c r="BQ335" i="43"/>
  <c r="BQ338" i="43" s="1"/>
  <c r="BQ339" i="43"/>
  <c r="BX373" i="43"/>
  <c r="BX376" i="43" s="1"/>
  <c r="BQ377" i="43"/>
  <c r="BQ378" i="43" s="1"/>
  <c r="BX379" i="43"/>
  <c r="BP380" i="43"/>
  <c r="BQ386" i="43"/>
  <c r="BQ392" i="43"/>
  <c r="BW396" i="43"/>
  <c r="BP401" i="43"/>
  <c r="BO403" i="43"/>
  <c r="BX403" i="43"/>
  <c r="BX409" i="43" s="1"/>
  <c r="BQ410" i="43"/>
  <c r="BW411" i="43"/>
  <c r="BR424" i="43"/>
  <c r="BR430" i="43" s="1"/>
  <c r="BU462" i="43"/>
  <c r="BU465" i="43" s="1"/>
  <c r="BW464" i="43"/>
  <c r="BT199" i="43"/>
  <c r="BP220" i="43"/>
  <c r="BX222" i="43"/>
  <c r="BX227" i="43" s="1"/>
  <c r="BR228" i="43"/>
  <c r="BR233" i="43" s="1"/>
  <c r="BM235" i="43"/>
  <c r="BR240" i="43"/>
  <c r="BR245" i="43" s="1"/>
  <c r="BO243" i="43"/>
  <c r="BR246" i="43"/>
  <c r="BR251" i="43" s="1"/>
  <c r="BU252" i="43"/>
  <c r="BU258" i="43" s="1"/>
  <c r="BP257" i="43"/>
  <c r="BU261" i="43"/>
  <c r="BU264" i="43" s="1"/>
  <c r="BR265" i="43"/>
  <c r="BR268" i="43" s="1"/>
  <c r="BP288" i="43"/>
  <c r="BU291" i="43"/>
  <c r="BU298" i="43" s="1"/>
  <c r="BP295" i="43"/>
  <c r="BU299" i="43"/>
  <c r="BU300" i="43" s="1"/>
  <c r="BR315" i="43"/>
  <c r="BU319" i="43"/>
  <c r="BU324" i="43" s="1"/>
  <c r="BR327" i="43"/>
  <c r="BR330" i="43" s="1"/>
  <c r="BR331" i="43"/>
  <c r="BR334" i="43" s="1"/>
  <c r="BS333" i="43"/>
  <c r="BR335" i="43"/>
  <c r="BR338" i="43" s="1"/>
  <c r="BT337" i="43"/>
  <c r="BR339" i="43"/>
  <c r="BR347" i="43" s="1"/>
  <c r="BP359" i="43"/>
  <c r="BP363" i="43"/>
  <c r="BP368" i="43"/>
  <c r="BP371" i="43"/>
  <c r="BR377" i="43"/>
  <c r="BR378" i="43" s="1"/>
  <c r="BO379" i="43"/>
  <c r="BP382" i="43"/>
  <c r="BR386" i="43"/>
  <c r="BV389" i="43"/>
  <c r="BR392" i="43"/>
  <c r="BR395" i="43" s="1"/>
  <c r="BM404" i="43"/>
  <c r="BV408" i="43"/>
  <c r="BR410" i="43"/>
  <c r="BR417" i="43"/>
  <c r="BU424" i="43"/>
  <c r="BU430" i="43" s="1"/>
  <c r="BP426" i="43"/>
  <c r="BS427" i="43"/>
  <c r="BV427" i="43"/>
  <c r="BU431" i="43"/>
  <c r="BU437" i="43" s="1"/>
  <c r="BR438" i="43"/>
  <c r="BR444" i="43" s="1"/>
  <c r="BO445" i="43"/>
  <c r="BR445" i="43"/>
  <c r="BP457" i="43"/>
  <c r="BQ459" i="43"/>
  <c r="BW462" i="43"/>
  <c r="BP463" i="43"/>
  <c r="BU197" i="43"/>
  <c r="BU202" i="43" s="1"/>
  <c r="BU203" i="43"/>
  <c r="BU208" i="43" s="1"/>
  <c r="BR234" i="43"/>
  <c r="BR239" i="43" s="1"/>
  <c r="BU246" i="43"/>
  <c r="BU251" i="43" s="1"/>
  <c r="BP249" i="43"/>
  <c r="BX252" i="43"/>
  <c r="BX258" i="43" s="1"/>
  <c r="BP255" i="43"/>
  <c r="BR259" i="43"/>
  <c r="BR260" i="43" s="1"/>
  <c r="BX261" i="43"/>
  <c r="BX264" i="43" s="1"/>
  <c r="BX269" i="43"/>
  <c r="BX274" i="43" s="1"/>
  <c r="BU275" i="43"/>
  <c r="BU278" i="43" s="1"/>
  <c r="BR279" i="43"/>
  <c r="BR285" i="43" s="1"/>
  <c r="BO291" i="43"/>
  <c r="BX291" i="43"/>
  <c r="BX298" i="43" s="1"/>
  <c r="BX299" i="43"/>
  <c r="BX300" i="43" s="1"/>
  <c r="BP303" i="43"/>
  <c r="BR308" i="43"/>
  <c r="BX319" i="43"/>
  <c r="BX324" i="43" s="1"/>
  <c r="BO325" i="43"/>
  <c r="BO326" i="43" s="1"/>
  <c r="BW331" i="43"/>
  <c r="BW334" i="43" s="1"/>
  <c r="BW335" i="43"/>
  <c r="BW338" i="43" s="1"/>
  <c r="BW339" i="43"/>
  <c r="BU348" i="43"/>
  <c r="BU353" i="43" s="1"/>
  <c r="BU354" i="43"/>
  <c r="BU360" i="43" s="1"/>
  <c r="BX361" i="43"/>
  <c r="BX365" i="43" s="1"/>
  <c r="BU366" i="43"/>
  <c r="BU372" i="43" s="1"/>
  <c r="BR373" i="43"/>
  <c r="BR376" i="43" s="1"/>
  <c r="BU377" i="43"/>
  <c r="BU378" i="43" s="1"/>
  <c r="BR379" i="43"/>
  <c r="BP388" i="43"/>
  <c r="BV390" i="43"/>
  <c r="BQ396" i="43"/>
  <c r="BX424" i="43"/>
  <c r="BX430" i="43" s="1"/>
  <c r="BO431" i="43"/>
  <c r="BX431" i="43"/>
  <c r="BW438" i="43"/>
  <c r="BW444" i="43" s="1"/>
  <c r="BV442" i="43"/>
  <c r="BU459" i="43"/>
  <c r="BU461" i="43" s="1"/>
  <c r="BP200" i="43"/>
  <c r="BR209" i="43"/>
  <c r="BR215" i="43" s="1"/>
  <c r="BU209" i="43"/>
  <c r="BU215" i="43" s="1"/>
  <c r="BR222" i="43"/>
  <c r="BR227" i="43" s="1"/>
  <c r="BX228" i="43"/>
  <c r="BX233" i="43" s="1"/>
  <c r="BU234" i="43"/>
  <c r="BU239" i="43" s="1"/>
  <c r="BX240" i="43"/>
  <c r="BX245" i="43" s="1"/>
  <c r="BO252" i="43"/>
  <c r="BU259" i="43"/>
  <c r="BU260" i="43" s="1"/>
  <c r="BQ261" i="43"/>
  <c r="BQ264" i="43" s="1"/>
  <c r="BN265" i="43"/>
  <c r="BX265" i="43"/>
  <c r="BX268" i="43" s="1"/>
  <c r="BU269" i="43"/>
  <c r="BU274" i="43" s="1"/>
  <c r="BQ275" i="43"/>
  <c r="BU279" i="43"/>
  <c r="BU285" i="43" s="1"/>
  <c r="BX301" i="43"/>
  <c r="BX307" i="43" s="1"/>
  <c r="BM305" i="43"/>
  <c r="BO305" i="43"/>
  <c r="BQ308" i="43"/>
  <c r="BQ314" i="43" s="1"/>
  <c r="BU308" i="43"/>
  <c r="BU314" i="43" s="1"/>
  <c r="BX315" i="43"/>
  <c r="BX318" i="43" s="1"/>
  <c r="BO319" i="43"/>
  <c r="BQ325" i="43"/>
  <c r="BQ326" i="43" s="1"/>
  <c r="BX327" i="43"/>
  <c r="BX330" i="43" s="1"/>
  <c r="BX331" i="43"/>
  <c r="BX334" i="43" s="1"/>
  <c r="BX335" i="43"/>
  <c r="BX338" i="43" s="1"/>
  <c r="BN339" i="43"/>
  <c r="BX339" i="43"/>
  <c r="BX347" i="43" s="1"/>
  <c r="BR361" i="43"/>
  <c r="BR365" i="43" s="1"/>
  <c r="BU373" i="43"/>
  <c r="BU376" i="43" s="1"/>
  <c r="BU379" i="43"/>
  <c r="BU385" i="43" s="1"/>
  <c r="BN386" i="43"/>
  <c r="BX386" i="43"/>
  <c r="BX392" i="43"/>
  <c r="BX395" i="43" s="1"/>
  <c r="BU403" i="43"/>
  <c r="BU409" i="43" s="1"/>
  <c r="BX410" i="43"/>
  <c r="BX416" i="43" s="1"/>
  <c r="BX417" i="43"/>
  <c r="BX423" i="43" s="1"/>
  <c r="BS425" i="43"/>
  <c r="BV428" i="43"/>
  <c r="BX442" i="43"/>
  <c r="BU445" i="43"/>
  <c r="BU451" i="43" s="1"/>
  <c r="BW459" i="43"/>
  <c r="BW461" i="43" s="1"/>
  <c r="BT54" i="44"/>
  <c r="BT82" i="44"/>
  <c r="BN82" i="44"/>
  <c r="BT86" i="44"/>
  <c r="BN86" i="44"/>
  <c r="BN108" i="44"/>
  <c r="BS87" i="44"/>
  <c r="BN87" i="44"/>
  <c r="BN95" i="44"/>
  <c r="BT95" i="44"/>
  <c r="BN81" i="44"/>
  <c r="BT81" i="44"/>
  <c r="BT83" i="44"/>
  <c r="BN83" i="44"/>
  <c r="BN85" i="44"/>
  <c r="BT100" i="44"/>
  <c r="BN100" i="44"/>
  <c r="BN107" i="44"/>
  <c r="BS107" i="44"/>
  <c r="BS91" i="44"/>
  <c r="BN91" i="44"/>
  <c r="BO16" i="44"/>
  <c r="BO39" i="44"/>
  <c r="BX81" i="44"/>
  <c r="BW85" i="44"/>
  <c r="BX86" i="44"/>
  <c r="BQ93" i="44"/>
  <c r="BO22" i="44"/>
  <c r="BS48" i="44"/>
  <c r="BP53" i="44"/>
  <c r="BW60" i="44"/>
  <c r="BW61" i="44"/>
  <c r="BW62" i="44"/>
  <c r="BW64" i="44"/>
  <c r="BW72" i="44"/>
  <c r="BV76" i="44"/>
  <c r="BW80" i="44"/>
  <c r="BW89" i="44"/>
  <c r="BV90" i="44"/>
  <c r="BW91" i="44"/>
  <c r="BV106" i="44"/>
  <c r="BP117" i="44"/>
  <c r="BP120" i="44"/>
  <c r="BP123" i="44"/>
  <c r="BV124" i="44"/>
  <c r="BO15" i="44"/>
  <c r="BO18" i="44"/>
  <c r="BO25" i="44"/>
  <c r="BV41" i="44"/>
  <c r="BN48" i="44"/>
  <c r="BV55" i="44"/>
  <c r="BV58" i="44"/>
  <c r="BV66" i="44"/>
  <c r="BV68" i="44"/>
  <c r="BV69" i="44"/>
  <c r="BV74" i="44"/>
  <c r="BW78" i="44"/>
  <c r="BN90" i="44"/>
  <c r="BV100" i="44"/>
  <c r="BT101" i="44"/>
  <c r="BV101" i="44"/>
  <c r="BM105" i="44"/>
  <c r="BP115" i="44"/>
  <c r="BV116" i="44"/>
  <c r="BV126" i="44"/>
  <c r="BP127" i="44"/>
  <c r="BO21" i="44"/>
  <c r="BO24" i="44"/>
  <c r="BO31" i="44"/>
  <c r="BO34" i="44"/>
  <c r="BV44" i="44"/>
  <c r="BQ47" i="44"/>
  <c r="BP51" i="44"/>
  <c r="BP52" i="44"/>
  <c r="BQ58" i="44"/>
  <c r="BV75" i="44"/>
  <c r="BW83" i="44"/>
  <c r="BW87" i="44"/>
  <c r="BP124" i="44"/>
  <c r="BO27" i="44"/>
  <c r="BP48" i="44"/>
  <c r="BV54" i="44"/>
  <c r="BP55" i="44"/>
  <c r="BV94" i="44"/>
  <c r="BQ96" i="44"/>
  <c r="BV109" i="44"/>
  <c r="BP116" i="44"/>
  <c r="BP126" i="44"/>
  <c r="BP17" i="44"/>
  <c r="BP27" i="44"/>
  <c r="BO33" i="44"/>
  <c r="BO40" i="44"/>
  <c r="BP46" i="44"/>
  <c r="BP61" i="44"/>
  <c r="BP65" i="44"/>
  <c r="BP73" i="44"/>
  <c r="BN94" i="44"/>
  <c r="BP109" i="44"/>
  <c r="BP119" i="44"/>
  <c r="BW46" i="43"/>
  <c r="BV46" i="43"/>
  <c r="BQ106" i="43"/>
  <c r="BP106" i="43"/>
  <c r="BX135" i="43"/>
  <c r="BV17" i="43"/>
  <c r="BQ21" i="43"/>
  <c r="BQ22" i="43" s="1"/>
  <c r="BW33" i="43"/>
  <c r="BV33" i="43"/>
  <c r="BV59" i="43"/>
  <c r="BQ69" i="43"/>
  <c r="BQ71" i="43" s="1"/>
  <c r="BT86" i="43"/>
  <c r="BQ101" i="43"/>
  <c r="BQ104" i="43" s="1"/>
  <c r="BX136" i="43"/>
  <c r="BV136" i="43"/>
  <c r="BW155" i="43"/>
  <c r="BV155" i="43"/>
  <c r="BO392" i="43"/>
  <c r="BP460" i="43"/>
  <c r="BQ460" i="43"/>
  <c r="BW38" i="43"/>
  <c r="BV38" i="43"/>
  <c r="BW52" i="43"/>
  <c r="BV52" i="43"/>
  <c r="BW57" i="43"/>
  <c r="BQ79" i="43"/>
  <c r="BP79" i="43"/>
  <c r="BX90" i="43"/>
  <c r="BV90" i="43"/>
  <c r="BW163" i="43"/>
  <c r="BV163" i="43"/>
  <c r="BO344" i="43"/>
  <c r="BV15" i="43"/>
  <c r="BW26" i="43"/>
  <c r="BV26" i="43"/>
  <c r="BW63" i="43"/>
  <c r="BV63" i="43"/>
  <c r="BQ94" i="43"/>
  <c r="BP94" i="43"/>
  <c r="BR108" i="43"/>
  <c r="BR111" i="43" s="1"/>
  <c r="BQ117" i="43"/>
  <c r="BP117" i="43"/>
  <c r="BW179" i="43"/>
  <c r="BV179" i="43"/>
  <c r="BR91" i="43"/>
  <c r="BP91" i="43"/>
  <c r="BQ119" i="43"/>
  <c r="BQ122" i="43" s="1"/>
  <c r="BP20" i="43"/>
  <c r="BW45" i="43"/>
  <c r="BV45" i="43"/>
  <c r="BW58" i="43"/>
  <c r="BV58" i="43"/>
  <c r="BQ67" i="43"/>
  <c r="BP67" i="43"/>
  <c r="BQ74" i="43"/>
  <c r="BP74" i="43"/>
  <c r="BR103" i="43"/>
  <c r="BP103" i="43"/>
  <c r="BQ123" i="43"/>
  <c r="BW126" i="43"/>
  <c r="BV126" i="43"/>
  <c r="BX131" i="43"/>
  <c r="BV131" i="43"/>
  <c r="BW14" i="43"/>
  <c r="BW18" i="43" s="1"/>
  <c r="BW51" i="43"/>
  <c r="BV16" i="43"/>
  <c r="BW32" i="43"/>
  <c r="BM66" i="43"/>
  <c r="BM78" i="43"/>
  <c r="BR81" i="43"/>
  <c r="BR84" i="43" s="1"/>
  <c r="BQ114" i="43"/>
  <c r="BP114" i="43"/>
  <c r="BR309" i="43"/>
  <c r="BW149" i="43"/>
  <c r="BV149" i="43"/>
  <c r="BW172" i="43"/>
  <c r="BV172" i="43"/>
  <c r="BO198" i="43"/>
  <c r="BQ205" i="43"/>
  <c r="BP205" i="43"/>
  <c r="BQ247" i="43"/>
  <c r="BP247" i="43"/>
  <c r="BQ267" i="43"/>
  <c r="BP267" i="43"/>
  <c r="BM281" i="43"/>
  <c r="BO281" i="43"/>
  <c r="BN422" i="43"/>
  <c r="BQ15" i="43"/>
  <c r="BQ16" i="43"/>
  <c r="BW19" i="43"/>
  <c r="BW20" i="43"/>
  <c r="BW23" i="43"/>
  <c r="BW137" i="43"/>
  <c r="BW162" i="43"/>
  <c r="BV162" i="43"/>
  <c r="BO187" i="43"/>
  <c r="BO195" i="43"/>
  <c r="BO199" i="43"/>
  <c r="BO225" i="43"/>
  <c r="BO266" i="43"/>
  <c r="BO275" i="43"/>
  <c r="BP86" i="43"/>
  <c r="BP90" i="43"/>
  <c r="BP99" i="43"/>
  <c r="BP121" i="43"/>
  <c r="BP125" i="43"/>
  <c r="BV130" i="43"/>
  <c r="BV145" i="43"/>
  <c r="BW158" i="43"/>
  <c r="BV158" i="43"/>
  <c r="BV168" i="43"/>
  <c r="BW173" i="43"/>
  <c r="BV173" i="43"/>
  <c r="BS204" i="43"/>
  <c r="BO204" i="43"/>
  <c r="BO228" i="43"/>
  <c r="BQ252" i="43"/>
  <c r="BR256" i="43"/>
  <c r="BP256" i="43"/>
  <c r="BQ266" i="43"/>
  <c r="BP266" i="43"/>
  <c r="BO354" i="43"/>
  <c r="BV62" i="43"/>
  <c r="BP78" i="43"/>
  <c r="BP83" i="43"/>
  <c r="BP102" i="43"/>
  <c r="BP109" i="43"/>
  <c r="BW140" i="43"/>
  <c r="BW143" i="43"/>
  <c r="BW154" i="43"/>
  <c r="BV156" i="43"/>
  <c r="BW178" i="43"/>
  <c r="BV178" i="43"/>
  <c r="BM184" i="43"/>
  <c r="BP73" i="43"/>
  <c r="BP95" i="43"/>
  <c r="BP120" i="43"/>
  <c r="BP124" i="43"/>
  <c r="BW144" i="43"/>
  <c r="BV144" i="43"/>
  <c r="BV146" i="43"/>
  <c r="BV150" i="43"/>
  <c r="BW167" i="43"/>
  <c r="BV167" i="43"/>
  <c r="BO184" i="43"/>
  <c r="BM185" i="43"/>
  <c r="BM188" i="43"/>
  <c r="BO193" i="43"/>
  <c r="BM201" i="43"/>
  <c r="BO201" i="43"/>
  <c r="BP223" i="43"/>
  <c r="BO236" i="43"/>
  <c r="BP250" i="43"/>
  <c r="BR263" i="43"/>
  <c r="BP263" i="43"/>
  <c r="BQ271" i="43"/>
  <c r="BP271" i="43"/>
  <c r="BS284" i="43"/>
  <c r="BO284" i="43"/>
  <c r="BT332" i="43"/>
  <c r="BT341" i="43"/>
  <c r="BO216" i="43"/>
  <c r="BO219" i="43"/>
  <c r="BO222" i="43"/>
  <c r="BQ253" i="43"/>
  <c r="BP253" i="43"/>
  <c r="BO297" i="43"/>
  <c r="BT302" i="43"/>
  <c r="BO302" i="43"/>
  <c r="BO348" i="43"/>
  <c r="BO429" i="43"/>
  <c r="BQ434" i="43"/>
  <c r="BP434" i="43"/>
  <c r="BO210" i="43"/>
  <c r="BO213" i="43"/>
  <c r="BP243" i="43"/>
  <c r="BO248" i="43"/>
  <c r="BQ259" i="43"/>
  <c r="BQ260" i="43" s="1"/>
  <c r="BO272" i="43"/>
  <c r="BO279" i="43"/>
  <c r="BO282" i="43"/>
  <c r="BO356" i="43"/>
  <c r="BP172" i="43"/>
  <c r="BP181" i="43"/>
  <c r="BP198" i="43"/>
  <c r="BO207" i="43"/>
  <c r="BP210" i="43"/>
  <c r="BP213" i="43"/>
  <c r="BP218" i="43"/>
  <c r="BO231" i="43"/>
  <c r="BO234" i="43"/>
  <c r="BP237" i="43"/>
  <c r="BM263" i="43"/>
  <c r="BS282" i="43"/>
  <c r="BO299" i="43"/>
  <c r="BO300" i="43" s="1"/>
  <c r="BP305" i="43"/>
  <c r="BO363" i="43"/>
  <c r="BP186" i="43"/>
  <c r="BP194" i="43"/>
  <c r="BP207" i="43"/>
  <c r="BP212" i="43"/>
  <c r="BN240" i="43"/>
  <c r="BS247" i="43"/>
  <c r="BQ265" i="43"/>
  <c r="BQ270" i="43"/>
  <c r="BP270" i="43"/>
  <c r="BM271" i="43"/>
  <c r="BP287" i="43"/>
  <c r="BO350" i="43"/>
  <c r="BP229" i="43"/>
  <c r="BP236" i="43"/>
  <c r="BP273" i="43"/>
  <c r="BP281" i="43"/>
  <c r="BP282" i="43"/>
  <c r="BM296" i="43"/>
  <c r="BP302" i="43"/>
  <c r="BP320" i="43"/>
  <c r="BP323" i="43"/>
  <c r="BW406" i="43"/>
  <c r="BV406" i="43"/>
  <c r="BM293" i="43"/>
  <c r="BO296" i="43"/>
  <c r="BS407" i="43"/>
  <c r="BO293" i="43"/>
  <c r="BO345" i="43"/>
  <c r="BO351" i="43"/>
  <c r="BO357" i="43"/>
  <c r="BQ390" i="43"/>
  <c r="BP230" i="43"/>
  <c r="BO237" i="43"/>
  <c r="BP241" i="43"/>
  <c r="BO250" i="43"/>
  <c r="BO256" i="43"/>
  <c r="BP283" i="43"/>
  <c r="BT287" i="43"/>
  <c r="BP345" i="43"/>
  <c r="BP349" i="43"/>
  <c r="BP351" i="43"/>
  <c r="BP355" i="43"/>
  <c r="BP357" i="43"/>
  <c r="BO361" i="43"/>
  <c r="BO382" i="43"/>
  <c r="BO386" i="43"/>
  <c r="BT426" i="43"/>
  <c r="BM426" i="43"/>
  <c r="BQ440" i="43"/>
  <c r="BP440" i="43"/>
  <c r="BP381" i="43"/>
  <c r="BQ382" i="43"/>
  <c r="BW412" i="43"/>
  <c r="BV415" i="43"/>
  <c r="BW418" i="43"/>
  <c r="BV421" i="43"/>
  <c r="BW427" i="43"/>
  <c r="BP446" i="43"/>
  <c r="BW452" i="43"/>
  <c r="BW456" i="43"/>
  <c r="BV463" i="43"/>
  <c r="BP464" i="43"/>
  <c r="BO375" i="43"/>
  <c r="BW383" i="43"/>
  <c r="BQ389" i="43"/>
  <c r="BQ394" i="43"/>
  <c r="BO404" i="43"/>
  <c r="BV435" i="43"/>
  <c r="BX445" i="43"/>
  <c r="BO449" i="43"/>
  <c r="BO364" i="43"/>
  <c r="BO367" i="43"/>
  <c r="BP375" i="43"/>
  <c r="BQ388" i="43"/>
  <c r="BV393" i="43"/>
  <c r="BO398" i="43"/>
  <c r="BQ401" i="43"/>
  <c r="BO406" i="43"/>
  <c r="BW408" i="43"/>
  <c r="BW414" i="43"/>
  <c r="BW420" i="43"/>
  <c r="BO425" i="43"/>
  <c r="BV436" i="43"/>
  <c r="BV447" i="43"/>
  <c r="BQ449" i="43"/>
  <c r="BQ462" i="43"/>
  <c r="BQ465" i="43" s="1"/>
  <c r="BO373" i="43"/>
  <c r="BP374" i="43"/>
  <c r="BV387" i="43"/>
  <c r="BQ400" i="43"/>
  <c r="BQ426" i="43"/>
  <c r="BP439" i="43"/>
  <c r="BV441" i="43"/>
  <c r="BP450" i="43"/>
  <c r="BO366" i="43"/>
  <c r="BP369" i="43"/>
  <c r="BV399" i="43"/>
  <c r="BP408" i="43"/>
  <c r="BP433" i="43"/>
  <c r="BX438" i="43"/>
  <c r="BP443" i="43"/>
  <c r="BX448" i="43"/>
  <c r="BV453" i="43"/>
  <c r="BV457" i="43"/>
  <c r="BW34" i="44"/>
  <c r="BV34" i="44"/>
  <c r="BQ50" i="44"/>
  <c r="BN55" i="44"/>
  <c r="BO14" i="44"/>
  <c r="BN15" i="44"/>
  <c r="BW15" i="44"/>
  <c r="BV15" i="44"/>
  <c r="BO17" i="44"/>
  <c r="BN21" i="44"/>
  <c r="BW21" i="44"/>
  <c r="BV21" i="44"/>
  <c r="BO23" i="44"/>
  <c r="BN27" i="44"/>
  <c r="BW27" i="44"/>
  <c r="BV27" i="44"/>
  <c r="BO29" i="44"/>
  <c r="BN33" i="44"/>
  <c r="BW33" i="44"/>
  <c r="BV33" i="44"/>
  <c r="BN39" i="44"/>
  <c r="BW39" i="44"/>
  <c r="BV39" i="44"/>
  <c r="BN46" i="44"/>
  <c r="BN22" i="44"/>
  <c r="BN34" i="44"/>
  <c r="BN47" i="44"/>
  <c r="BN20" i="44"/>
  <c r="BW20" i="44"/>
  <c r="BN26" i="44"/>
  <c r="BW26" i="44"/>
  <c r="BV26" i="44"/>
  <c r="BN32" i="44"/>
  <c r="BW32" i="44"/>
  <c r="BV32" i="44"/>
  <c r="BN38" i="44"/>
  <c r="BW38" i="44"/>
  <c r="BV38" i="44"/>
  <c r="BM40" i="44"/>
  <c r="BT40" i="44"/>
  <c r="BO41" i="44"/>
  <c r="BX47" i="44"/>
  <c r="BV47" i="44"/>
  <c r="BN72" i="44"/>
  <c r="BQ76" i="44"/>
  <c r="BP76" i="44"/>
  <c r="BN16" i="44"/>
  <c r="BN25" i="44"/>
  <c r="BW25" i="44"/>
  <c r="BV25" i="44"/>
  <c r="BN31" i="44"/>
  <c r="BW31" i="44"/>
  <c r="BV31" i="44"/>
  <c r="BN37" i="44"/>
  <c r="BW37" i="44"/>
  <c r="BV37" i="44"/>
  <c r="BN45" i="44"/>
  <c r="BW16" i="44"/>
  <c r="BV16" i="44"/>
  <c r="BW22" i="44"/>
  <c r="BV22" i="44"/>
  <c r="BX52" i="44"/>
  <c r="BV52" i="44"/>
  <c r="BN18" i="44"/>
  <c r="BW18" i="44"/>
  <c r="BV18" i="44"/>
  <c r="BN24" i="44"/>
  <c r="BW24" i="44"/>
  <c r="BV24" i="44"/>
  <c r="BN30" i="44"/>
  <c r="BW30" i="44"/>
  <c r="BV30" i="44"/>
  <c r="BN36" i="44"/>
  <c r="BW36" i="44"/>
  <c r="BN44" i="44"/>
  <c r="BN51" i="44"/>
  <c r="BN66" i="44"/>
  <c r="BN78" i="44"/>
  <c r="BN14" i="44"/>
  <c r="BN17" i="44"/>
  <c r="BW17" i="44"/>
  <c r="BV17" i="44"/>
  <c r="BN23" i="44"/>
  <c r="BW23" i="44"/>
  <c r="BV23" i="44"/>
  <c r="BN29" i="44"/>
  <c r="BW29" i="44"/>
  <c r="BS40" i="44"/>
  <c r="BQ45" i="44"/>
  <c r="BM87" i="44"/>
  <c r="BQ43" i="44"/>
  <c r="BN61" i="44"/>
  <c r="BN65" i="44"/>
  <c r="BQ15" i="44"/>
  <c r="BQ16" i="44"/>
  <c r="BQ17" i="44"/>
  <c r="BQ18" i="44"/>
  <c r="BQ20" i="44"/>
  <c r="BQ21" i="44"/>
  <c r="BQ22" i="44"/>
  <c r="BQ23" i="44"/>
  <c r="BQ24" i="44"/>
  <c r="BQ25" i="44"/>
  <c r="BQ26" i="44"/>
  <c r="BQ27" i="44"/>
  <c r="BQ29" i="44"/>
  <c r="BQ30" i="44"/>
  <c r="BQ31" i="44"/>
  <c r="BQ32" i="44"/>
  <c r="BQ33" i="44"/>
  <c r="BQ34" i="44"/>
  <c r="BQ36" i="44"/>
  <c r="BQ37" i="44"/>
  <c r="BQ38" i="44"/>
  <c r="BQ39" i="44"/>
  <c r="BX45" i="44"/>
  <c r="BV45" i="44"/>
  <c r="BT52" i="44"/>
  <c r="BM52" i="44"/>
  <c r="BS52" i="44"/>
  <c r="BN52" i="44"/>
  <c r="BN53" i="44"/>
  <c r="BN54" i="44"/>
  <c r="BN59" i="44"/>
  <c r="BN60" i="44"/>
  <c r="BQ66" i="44"/>
  <c r="BP66" i="44"/>
  <c r="BN67" i="44"/>
  <c r="BN68" i="44"/>
  <c r="BQ72" i="44"/>
  <c r="BP72" i="44"/>
  <c r="BN74" i="44"/>
  <c r="BQ78" i="44"/>
  <c r="BN79" i="44"/>
  <c r="BN80" i="44"/>
  <c r="BT91" i="44"/>
  <c r="BN93" i="44"/>
  <c r="BP40" i="44"/>
  <c r="BW40" i="44"/>
  <c r="BQ54" i="44"/>
  <c r="BN73" i="44"/>
  <c r="BM90" i="44"/>
  <c r="BS90" i="44"/>
  <c r="BN40" i="44"/>
  <c r="BP41" i="44"/>
  <c r="BQ44" i="44"/>
  <c r="BV46" i="44"/>
  <c r="BV48" i="44"/>
  <c r="BQ64" i="44"/>
  <c r="BQ68" i="44"/>
  <c r="BP68" i="44"/>
  <c r="BQ74" i="44"/>
  <c r="BP74" i="44"/>
  <c r="BN75" i="44"/>
  <c r="BN76" i="44"/>
  <c r="BQ80" i="44"/>
  <c r="BP80" i="44"/>
  <c r="BM83" i="44"/>
  <c r="BM89" i="44"/>
  <c r="BN41" i="44"/>
  <c r="BX51" i="44"/>
  <c r="BV51" i="44"/>
  <c r="BN57" i="44"/>
  <c r="BQ59" i="44"/>
  <c r="BN69" i="44"/>
  <c r="BM82" i="44"/>
  <c r="BS82" i="44"/>
  <c r="BN58" i="44"/>
  <c r="BN62" i="44"/>
  <c r="BX103" i="44"/>
  <c r="BX104" i="44" s="1"/>
  <c r="BQ61" i="44"/>
  <c r="BQ65" i="44"/>
  <c r="BQ67" i="44"/>
  <c r="BQ69" i="44"/>
  <c r="BQ71" i="44"/>
  <c r="BQ73" i="44"/>
  <c r="BQ75" i="44"/>
  <c r="BQ79" i="44"/>
  <c r="BP81" i="44"/>
  <c r="BP82" i="44"/>
  <c r="BP83" i="44"/>
  <c r="BP86" i="44"/>
  <c r="BP87" i="44"/>
  <c r="BP90" i="44"/>
  <c r="BP91" i="44"/>
  <c r="BQ91" i="44"/>
  <c r="BQ92" i="44" s="1"/>
  <c r="BQ94" i="44"/>
  <c r="BP94" i="44"/>
  <c r="BN96" i="44"/>
  <c r="BQ100" i="44"/>
  <c r="BP100" i="44"/>
  <c r="BN97" i="44"/>
  <c r="BN109" i="44"/>
  <c r="BN122" i="44"/>
  <c r="BX97" i="44"/>
  <c r="BV97" i="44"/>
  <c r="BN106" i="44"/>
  <c r="BX93" i="44"/>
  <c r="BT94" i="44"/>
  <c r="BM94" i="44"/>
  <c r="BS94" i="44"/>
  <c r="BM108" i="44"/>
  <c r="BT108" i="44"/>
  <c r="BS108" i="44"/>
  <c r="BP95" i="44"/>
  <c r="BP101" i="44"/>
  <c r="BQ105" i="44"/>
  <c r="BQ108" i="44"/>
  <c r="BQ111" i="44"/>
  <c r="BQ112" i="44" s="1"/>
  <c r="BQ106" i="44"/>
  <c r="BQ109" i="44"/>
  <c r="BN114" i="44"/>
  <c r="BN118" i="44"/>
  <c r="BV108" i="44"/>
  <c r="BP97" i="44"/>
  <c r="BQ107" i="44"/>
  <c r="BN119" i="44"/>
  <c r="BN115" i="44"/>
  <c r="BN125" i="44"/>
  <c r="BN126" i="44"/>
  <c r="BN127" i="44"/>
  <c r="BN124" i="44"/>
  <c r="BN117" i="44"/>
  <c r="BN120" i="44"/>
  <c r="BN123" i="44"/>
  <c r="BN113" i="44"/>
  <c r="BN116" i="44"/>
  <c r="BV114" i="44"/>
  <c r="BV115" i="44"/>
  <c r="BV117" i="44"/>
  <c r="BV118" i="44"/>
  <c r="BV119" i="44"/>
  <c r="BV120" i="44"/>
  <c r="BV123" i="44"/>
  <c r="BQ23" i="43"/>
  <c r="BN29" i="43"/>
  <c r="BQ17" i="43"/>
  <c r="BN20" i="43"/>
  <c r="BN34" i="43"/>
  <c r="BN59" i="43"/>
  <c r="BN102" i="43"/>
  <c r="BN15" i="43"/>
  <c r="BN21" i="43"/>
  <c r="BN33" i="43"/>
  <c r="BN46" i="43"/>
  <c r="BN52" i="43"/>
  <c r="BN58" i="43"/>
  <c r="BN63" i="43"/>
  <c r="BN105" i="43"/>
  <c r="BN126" i="43"/>
  <c r="BN16" i="43"/>
  <c r="BN26" i="43"/>
  <c r="BN38" i="43"/>
  <c r="BN45" i="43"/>
  <c r="BN98" i="43"/>
  <c r="BN110" i="43"/>
  <c r="BN113" i="43"/>
  <c r="BN116" i="43"/>
  <c r="BQ14" i="43"/>
  <c r="BN17" i="43"/>
  <c r="BN25" i="43"/>
  <c r="BN37" i="43"/>
  <c r="BN62" i="43"/>
  <c r="BN42" i="43"/>
  <c r="BN24" i="43"/>
  <c r="BN30" i="43"/>
  <c r="BN36" i="43"/>
  <c r="BN49" i="43"/>
  <c r="BN55" i="43"/>
  <c r="BN94" i="43"/>
  <c r="BN106" i="43"/>
  <c r="BN114" i="43"/>
  <c r="BN117" i="43"/>
  <c r="BQ24" i="43"/>
  <c r="BQ28" i="43"/>
  <c r="BQ31" i="43" s="1"/>
  <c r="BQ34" i="43"/>
  <c r="BQ36" i="43"/>
  <c r="BQ38" i="43"/>
  <c r="BQ48" i="43"/>
  <c r="BQ50" i="43" s="1"/>
  <c r="BQ52" i="43"/>
  <c r="BN172" i="43"/>
  <c r="BW188" i="43"/>
  <c r="BV188" i="43"/>
  <c r="BO244" i="43"/>
  <c r="BP25" i="43"/>
  <c r="BP26" i="43"/>
  <c r="BP29" i="43"/>
  <c r="BP30" i="43"/>
  <c r="BP33" i="43"/>
  <c r="BP37" i="43"/>
  <c r="BP42" i="43"/>
  <c r="BP45" i="43"/>
  <c r="BP46" i="43"/>
  <c r="BP49" i="43"/>
  <c r="BP55" i="43"/>
  <c r="BP58" i="43"/>
  <c r="BP59" i="43"/>
  <c r="BP62" i="43"/>
  <c r="BP63" i="43"/>
  <c r="BN66" i="43"/>
  <c r="BN70" i="43"/>
  <c r="BN74" i="43"/>
  <c r="BN78" i="43"/>
  <c r="BN83" i="43"/>
  <c r="BN87" i="43"/>
  <c r="BN120" i="43"/>
  <c r="BN124" i="43"/>
  <c r="BN133" i="43"/>
  <c r="BP146" i="43"/>
  <c r="BQ146" i="43"/>
  <c r="BQ148" i="43"/>
  <c r="BN200" i="43"/>
  <c r="BO232" i="43"/>
  <c r="BN90" i="43"/>
  <c r="BN178" i="43"/>
  <c r="BP448" i="43"/>
  <c r="BQ448" i="43"/>
  <c r="BO223" i="43"/>
  <c r="BN91" i="43"/>
  <c r="BN95" i="43"/>
  <c r="BN99" i="43"/>
  <c r="BN103" i="43"/>
  <c r="BT120" i="43"/>
  <c r="BS120" i="43"/>
  <c r="BS124" i="43"/>
  <c r="BN131" i="43"/>
  <c r="BP150" i="43"/>
  <c r="BQ150" i="43"/>
  <c r="BP152" i="43"/>
  <c r="BQ152" i="43"/>
  <c r="BN195" i="43"/>
  <c r="BO200" i="43"/>
  <c r="BN218" i="43"/>
  <c r="BW238" i="43"/>
  <c r="BV238" i="43"/>
  <c r="BN168" i="43"/>
  <c r="BO214" i="43"/>
  <c r="BW232" i="43"/>
  <c r="BV232" i="43"/>
  <c r="BM241" i="43"/>
  <c r="BT241" i="43"/>
  <c r="BS241" i="43"/>
  <c r="BN137" i="43"/>
  <c r="BQ142" i="43"/>
  <c r="BP144" i="43"/>
  <c r="BQ144" i="43"/>
  <c r="BW191" i="43"/>
  <c r="BV191" i="43"/>
  <c r="BM211" i="43"/>
  <c r="BT211" i="43"/>
  <c r="BS211" i="43"/>
  <c r="BT103" i="43"/>
  <c r="BS103" i="43"/>
  <c r="BN109" i="43"/>
  <c r="BN129" i="43"/>
  <c r="BQ154" i="43"/>
  <c r="BW214" i="43"/>
  <c r="BV214" i="43"/>
  <c r="BS125" i="43"/>
  <c r="BN174" i="43"/>
  <c r="BN139" i="43"/>
  <c r="BN166" i="43"/>
  <c r="BN67" i="43"/>
  <c r="BN73" i="43"/>
  <c r="BN75" i="43"/>
  <c r="BN79" i="43"/>
  <c r="BN81" i="43"/>
  <c r="BN86" i="43"/>
  <c r="BN121" i="43"/>
  <c r="BN125" i="43"/>
  <c r="BP156" i="43"/>
  <c r="BQ156" i="43"/>
  <c r="BP158" i="43"/>
  <c r="BQ158" i="43"/>
  <c r="BQ160" i="43"/>
  <c r="BP162" i="43"/>
  <c r="BQ162" i="43"/>
  <c r="BO180" i="43"/>
  <c r="BW194" i="43"/>
  <c r="BV194" i="43"/>
  <c r="BW223" i="43"/>
  <c r="BV223" i="43"/>
  <c r="BW235" i="43"/>
  <c r="BV235" i="43"/>
  <c r="BO126" i="43"/>
  <c r="BQ126" i="43"/>
  <c r="BP129" i="43"/>
  <c r="BP131" i="43"/>
  <c r="BP133" i="43"/>
  <c r="BP137" i="43"/>
  <c r="BP139" i="43"/>
  <c r="BN143" i="43"/>
  <c r="BN145" i="43"/>
  <c r="BN149" i="43"/>
  <c r="BN151" i="43"/>
  <c r="BN155" i="43"/>
  <c r="BN157" i="43"/>
  <c r="BN161" i="43"/>
  <c r="BP178" i="43"/>
  <c r="BO183" i="43"/>
  <c r="BN186" i="43"/>
  <c r="BO194" i="43"/>
  <c r="BN198" i="43"/>
  <c r="BO203" i="43"/>
  <c r="BW217" i="43"/>
  <c r="BV217" i="43"/>
  <c r="BW226" i="43"/>
  <c r="BV226" i="43"/>
  <c r="BO235" i="43"/>
  <c r="BO238" i="43"/>
  <c r="BW276" i="43"/>
  <c r="BV276" i="43"/>
  <c r="BO289" i="43"/>
  <c r="BW297" i="43"/>
  <c r="BV297" i="43"/>
  <c r="BN130" i="43"/>
  <c r="BN132" i="43"/>
  <c r="BN136" i="43"/>
  <c r="BN138" i="43"/>
  <c r="BN140" i="43"/>
  <c r="BN167" i="43"/>
  <c r="BN169" i="43"/>
  <c r="BN173" i="43"/>
  <c r="BN175" i="43"/>
  <c r="BN179" i="43"/>
  <c r="BO186" i="43"/>
  <c r="BW197" i="43"/>
  <c r="BW199" i="43"/>
  <c r="BV199" i="43"/>
  <c r="BN212" i="43"/>
  <c r="BO217" i="43"/>
  <c r="BO226" i="43"/>
  <c r="BN230" i="43"/>
  <c r="BO286" i="43"/>
  <c r="BV66" i="43"/>
  <c r="BV67" i="43"/>
  <c r="BV70" i="43"/>
  <c r="BV73" i="43"/>
  <c r="BV74" i="43"/>
  <c r="BV75" i="43"/>
  <c r="BV78" i="43"/>
  <c r="BV79" i="43"/>
  <c r="BV83" i="43"/>
  <c r="BV86" i="43"/>
  <c r="BV87" i="43"/>
  <c r="BV91" i="43"/>
  <c r="BV94" i="43"/>
  <c r="BV95" i="43"/>
  <c r="BV98" i="43"/>
  <c r="BV99" i="43"/>
  <c r="BV102" i="43"/>
  <c r="BV103" i="43"/>
  <c r="BV106" i="43"/>
  <c r="BV109" i="43"/>
  <c r="BV110" i="43"/>
  <c r="BV113" i="43"/>
  <c r="BV114" i="43"/>
  <c r="BV120" i="43"/>
  <c r="BV121" i="43"/>
  <c r="BV124" i="43"/>
  <c r="BV125" i="43"/>
  <c r="BP143" i="43"/>
  <c r="BP145" i="43"/>
  <c r="BP149" i="43"/>
  <c r="BP151" i="43"/>
  <c r="BP155" i="43"/>
  <c r="BP157" i="43"/>
  <c r="BP161" i="43"/>
  <c r="BN192" i="43"/>
  <c r="BO197" i="43"/>
  <c r="BW211" i="43"/>
  <c r="BV211" i="43"/>
  <c r="BW220" i="43"/>
  <c r="BV220" i="43"/>
  <c r="BW229" i="43"/>
  <c r="BV229" i="43"/>
  <c r="BW273" i="43"/>
  <c r="BV273" i="43"/>
  <c r="BQ129" i="43"/>
  <c r="BP130" i="43"/>
  <c r="BQ131" i="43"/>
  <c r="BP132" i="43"/>
  <c r="BQ133" i="43"/>
  <c r="BP136" i="43"/>
  <c r="BP138" i="43"/>
  <c r="BP140" i="43"/>
  <c r="BN144" i="43"/>
  <c r="BN146" i="43"/>
  <c r="BN150" i="43"/>
  <c r="BN152" i="43"/>
  <c r="BN156" i="43"/>
  <c r="BN158" i="43"/>
  <c r="BN162" i="43"/>
  <c r="BP163" i="43"/>
  <c r="BQ166" i="43"/>
  <c r="BP167" i="43"/>
  <c r="BQ168" i="43"/>
  <c r="BP169" i="43"/>
  <c r="BQ172" i="43"/>
  <c r="BP173" i="43"/>
  <c r="BQ174" i="43"/>
  <c r="BP175" i="43"/>
  <c r="BQ178" i="43"/>
  <c r="BP179" i="43"/>
  <c r="BN180" i="43"/>
  <c r="BW185" i="43"/>
  <c r="BV185" i="43"/>
  <c r="BW205" i="43"/>
  <c r="BV205" i="43"/>
  <c r="BN206" i="43"/>
  <c r="BO211" i="43"/>
  <c r="BO220" i="43"/>
  <c r="BN224" i="43"/>
  <c r="BO229" i="43"/>
  <c r="BN236" i="43"/>
  <c r="BW244" i="43"/>
  <c r="BV244" i="43"/>
  <c r="BW180" i="43"/>
  <c r="BV180" i="43"/>
  <c r="BN181" i="43"/>
  <c r="BW183" i="43"/>
  <c r="BN184" i="43"/>
  <c r="BO185" i="43"/>
  <c r="BW186" i="43"/>
  <c r="BV186" i="43"/>
  <c r="BN187" i="43"/>
  <c r="BO188" i="43"/>
  <c r="BN190" i="43"/>
  <c r="BW200" i="43"/>
  <c r="BV200" i="43"/>
  <c r="BN201" i="43"/>
  <c r="BW203" i="43"/>
  <c r="BN204" i="43"/>
  <c r="BN242" i="43"/>
  <c r="BO247" i="43"/>
  <c r="BO249" i="43"/>
  <c r="BO253" i="43"/>
  <c r="BO255" i="43"/>
  <c r="BO257" i="43"/>
  <c r="BO259" i="43"/>
  <c r="BO260" i="43" s="1"/>
  <c r="BO261" i="43"/>
  <c r="BO263" i="43"/>
  <c r="BO265" i="43"/>
  <c r="BO267" i="43"/>
  <c r="BO269" i="43"/>
  <c r="BO271" i="43"/>
  <c r="BO273" i="43"/>
  <c r="BO276" i="43"/>
  <c r="BW279" i="43"/>
  <c r="BN163" i="43"/>
  <c r="BW192" i="43"/>
  <c r="BV192" i="43"/>
  <c r="BN193" i="43"/>
  <c r="BW195" i="43"/>
  <c r="BV195" i="43"/>
  <c r="BW206" i="43"/>
  <c r="BV206" i="43"/>
  <c r="BN207" i="43"/>
  <c r="BW209" i="43"/>
  <c r="BN210" i="43"/>
  <c r="BW212" i="43"/>
  <c r="BV212" i="43"/>
  <c r="BN213" i="43"/>
  <c r="BW218" i="43"/>
  <c r="BV218" i="43"/>
  <c r="BN219" i="43"/>
  <c r="BN222" i="43"/>
  <c r="BW224" i="43"/>
  <c r="BV224" i="43"/>
  <c r="BN225" i="43"/>
  <c r="BW230" i="43"/>
  <c r="BV230" i="43"/>
  <c r="BN231" i="43"/>
  <c r="BW236" i="43"/>
  <c r="BV236" i="43"/>
  <c r="BN237" i="43"/>
  <c r="BT247" i="43"/>
  <c r="BS257" i="43"/>
  <c r="BM276" i="43"/>
  <c r="BW282" i="43"/>
  <c r="BV282" i="43"/>
  <c r="BW181" i="43"/>
  <c r="BV181" i="43"/>
  <c r="BW184" i="43"/>
  <c r="BV184" i="43"/>
  <c r="BN185" i="43"/>
  <c r="BM187" i="43"/>
  <c r="BT187" i="43"/>
  <c r="BS187" i="43"/>
  <c r="BW187" i="43"/>
  <c r="BV187" i="43"/>
  <c r="BN188" i="43"/>
  <c r="BW190" i="43"/>
  <c r="BN191" i="43"/>
  <c r="BW198" i="43"/>
  <c r="BV198" i="43"/>
  <c r="BN199" i="43"/>
  <c r="BW201" i="43"/>
  <c r="BV201" i="43"/>
  <c r="BW204" i="43"/>
  <c r="BV204" i="43"/>
  <c r="BN205" i="43"/>
  <c r="BW241" i="43"/>
  <c r="BV241" i="43"/>
  <c r="BN292" i="43"/>
  <c r="BN304" i="43"/>
  <c r="BW193" i="43"/>
  <c r="BV193" i="43"/>
  <c r="BN194" i="43"/>
  <c r="BW207" i="43"/>
  <c r="BV207" i="43"/>
  <c r="BW210" i="43"/>
  <c r="BV210" i="43"/>
  <c r="BN211" i="43"/>
  <c r="BW213" i="43"/>
  <c r="BV213" i="43"/>
  <c r="BN214" i="43"/>
  <c r="BW216" i="43"/>
  <c r="BN217" i="43"/>
  <c r="BW219" i="43"/>
  <c r="BV219" i="43"/>
  <c r="BN220" i="43"/>
  <c r="BW222" i="43"/>
  <c r="BN223" i="43"/>
  <c r="BW225" i="43"/>
  <c r="BV225" i="43"/>
  <c r="BN226" i="43"/>
  <c r="BW228" i="43"/>
  <c r="BN229" i="43"/>
  <c r="BW231" i="43"/>
  <c r="BV231" i="43"/>
  <c r="BN232" i="43"/>
  <c r="BW234" i="43"/>
  <c r="BN235" i="43"/>
  <c r="BW237" i="43"/>
  <c r="BV237" i="43"/>
  <c r="BN238" i="43"/>
  <c r="BO241" i="43"/>
  <c r="BN277" i="43"/>
  <c r="BN289" i="43"/>
  <c r="BO304" i="43"/>
  <c r="BQ180" i="43"/>
  <c r="BQ181" i="43"/>
  <c r="BQ183" i="43"/>
  <c r="BQ184" i="43"/>
  <c r="BQ185" i="43"/>
  <c r="BQ186" i="43"/>
  <c r="BQ187" i="43"/>
  <c r="BQ188" i="43"/>
  <c r="BQ190" i="43"/>
  <c r="BQ191" i="43"/>
  <c r="BQ193" i="43"/>
  <c r="BQ194" i="43"/>
  <c r="BQ195" i="43"/>
  <c r="BQ197" i="43"/>
  <c r="BQ199" i="43"/>
  <c r="BQ200" i="43"/>
  <c r="BQ201" i="43"/>
  <c r="BQ203" i="43"/>
  <c r="BQ204" i="43"/>
  <c r="BQ206" i="43"/>
  <c r="BQ207" i="43"/>
  <c r="BQ209" i="43"/>
  <c r="BQ210" i="43"/>
  <c r="BQ211" i="43"/>
  <c r="BQ212" i="43"/>
  <c r="BQ213" i="43"/>
  <c r="BQ214" i="43"/>
  <c r="BQ216" i="43"/>
  <c r="BQ217" i="43"/>
  <c r="BQ218" i="43"/>
  <c r="BQ219" i="43"/>
  <c r="BQ220" i="43"/>
  <c r="BQ222" i="43"/>
  <c r="BQ223" i="43"/>
  <c r="BQ224" i="43"/>
  <c r="BQ225" i="43"/>
  <c r="BQ226" i="43"/>
  <c r="BQ228" i="43"/>
  <c r="BQ229" i="43"/>
  <c r="BQ230" i="43"/>
  <c r="BQ231" i="43"/>
  <c r="BQ232" i="43"/>
  <c r="BQ234" i="43"/>
  <c r="BQ235" i="43"/>
  <c r="BQ236" i="43"/>
  <c r="BQ237" i="43"/>
  <c r="BQ238" i="43"/>
  <c r="BW247" i="43"/>
  <c r="BV247" i="43"/>
  <c r="BN248" i="43"/>
  <c r="BW249" i="43"/>
  <c r="BV249" i="43"/>
  <c r="BN250" i="43"/>
  <c r="BW253" i="43"/>
  <c r="BV253" i="43"/>
  <c r="BN254" i="43"/>
  <c r="BW255" i="43"/>
  <c r="BV255" i="43"/>
  <c r="BN256" i="43"/>
  <c r="BW257" i="43"/>
  <c r="BV257" i="43"/>
  <c r="BW259" i="43"/>
  <c r="BW260" i="43" s="1"/>
  <c r="BW261" i="43"/>
  <c r="BN262" i="43"/>
  <c r="BW263" i="43"/>
  <c r="BV263" i="43"/>
  <c r="BW265" i="43"/>
  <c r="BN266" i="43"/>
  <c r="BW267" i="43"/>
  <c r="BV267" i="43"/>
  <c r="BW269" i="43"/>
  <c r="BN270" i="43"/>
  <c r="BW271" i="43"/>
  <c r="BV271" i="43"/>
  <c r="BN272" i="43"/>
  <c r="BO277" i="43"/>
  <c r="BT282" i="43"/>
  <c r="BO292" i="43"/>
  <c r="BN295" i="43"/>
  <c r="BW303" i="43"/>
  <c r="BV303" i="43"/>
  <c r="BN312" i="43"/>
  <c r="BW320" i="43"/>
  <c r="BV320" i="43"/>
  <c r="BW242" i="43"/>
  <c r="BV242" i="43"/>
  <c r="BN243" i="43"/>
  <c r="BN280" i="43"/>
  <c r="BW288" i="43"/>
  <c r="BV288" i="43"/>
  <c r="BO295" i="43"/>
  <c r="BW311" i="43"/>
  <c r="BV311" i="43"/>
  <c r="BO280" i="43"/>
  <c r="BN283" i="43"/>
  <c r="BM288" i="43"/>
  <c r="BW291" i="43"/>
  <c r="BN301" i="43"/>
  <c r="BW240" i="43"/>
  <c r="BN241" i="43"/>
  <c r="BW243" i="43"/>
  <c r="BV243" i="43"/>
  <c r="BN244" i="43"/>
  <c r="BW246" i="43"/>
  <c r="BN247" i="43"/>
  <c r="BW248" i="43"/>
  <c r="BV248" i="43"/>
  <c r="BN249" i="43"/>
  <c r="BW250" i="43"/>
  <c r="BV250" i="43"/>
  <c r="BW252" i="43"/>
  <c r="BN253" i="43"/>
  <c r="BW254" i="43"/>
  <c r="BV254" i="43"/>
  <c r="BN255" i="43"/>
  <c r="BW256" i="43"/>
  <c r="BV256" i="43"/>
  <c r="BN257" i="43"/>
  <c r="BN259" i="43"/>
  <c r="BN260" i="43" s="1"/>
  <c r="BW262" i="43"/>
  <c r="BV262" i="43"/>
  <c r="BN263" i="43"/>
  <c r="BW266" i="43"/>
  <c r="BV266" i="43"/>
  <c r="BN267" i="43"/>
  <c r="BW270" i="43"/>
  <c r="BV270" i="43"/>
  <c r="BN271" i="43"/>
  <c r="BW272" i="43"/>
  <c r="BV272" i="43"/>
  <c r="BN273" i="43"/>
  <c r="BW275" i="43"/>
  <c r="BN276" i="43"/>
  <c r="BO283" i="43"/>
  <c r="BW294" i="43"/>
  <c r="BV294" i="43"/>
  <c r="BO301" i="43"/>
  <c r="BP316" i="43"/>
  <c r="BR316" i="43"/>
  <c r="BQ241" i="43"/>
  <c r="BQ242" i="43"/>
  <c r="BQ243" i="43"/>
  <c r="BQ244" i="43"/>
  <c r="BQ246" i="43"/>
  <c r="BP277" i="43"/>
  <c r="BQ277" i="43"/>
  <c r="BW277" i="43"/>
  <c r="BV277" i="43"/>
  <c r="BW280" i="43"/>
  <c r="BV280" i="43"/>
  <c r="BN281" i="43"/>
  <c r="BW283" i="43"/>
  <c r="BV283" i="43"/>
  <c r="BN284" i="43"/>
  <c r="BW286" i="43"/>
  <c r="BN287" i="43"/>
  <c r="BW289" i="43"/>
  <c r="BV289" i="43"/>
  <c r="BW292" i="43"/>
  <c r="BV292" i="43"/>
  <c r="BN293" i="43"/>
  <c r="BW295" i="43"/>
  <c r="BV295" i="43"/>
  <c r="BN296" i="43"/>
  <c r="BW301" i="43"/>
  <c r="BN302" i="43"/>
  <c r="BW304" i="43"/>
  <c r="BV304" i="43"/>
  <c r="BN305" i="43"/>
  <c r="BN309" i="43"/>
  <c r="BN320" i="43"/>
  <c r="BW361" i="43"/>
  <c r="BO362" i="43"/>
  <c r="BR273" i="43"/>
  <c r="BR275" i="43"/>
  <c r="BR276" i="43"/>
  <c r="BW308" i="43"/>
  <c r="BO311" i="43"/>
  <c r="BW317" i="43"/>
  <c r="BV317" i="43"/>
  <c r="BO320" i="43"/>
  <c r="BW323" i="43"/>
  <c r="BV323" i="43"/>
  <c r="BW281" i="43"/>
  <c r="BV281" i="43"/>
  <c r="BN282" i="43"/>
  <c r="BW284" i="43"/>
  <c r="BV284" i="43"/>
  <c r="BW287" i="43"/>
  <c r="BV287" i="43"/>
  <c r="BN288" i="43"/>
  <c r="BW293" i="43"/>
  <c r="BV293" i="43"/>
  <c r="BN294" i="43"/>
  <c r="BW296" i="43"/>
  <c r="BV296" i="43"/>
  <c r="BN297" i="43"/>
  <c r="BW299" i="43"/>
  <c r="BW300" i="43" s="1"/>
  <c r="BW302" i="43"/>
  <c r="BV302" i="43"/>
  <c r="BN303" i="43"/>
  <c r="BW305" i="43"/>
  <c r="BV305" i="43"/>
  <c r="BN306" i="43"/>
  <c r="BN323" i="43"/>
  <c r="BO306" i="43"/>
  <c r="BO308" i="43"/>
  <c r="BO317" i="43"/>
  <c r="BO323" i="43"/>
  <c r="BQ279" i="43"/>
  <c r="BQ280" i="43"/>
  <c r="BQ281" i="43"/>
  <c r="BQ282" i="43"/>
  <c r="BQ283" i="43"/>
  <c r="BQ284" i="43"/>
  <c r="BQ286" i="43"/>
  <c r="BQ287" i="43"/>
  <c r="BQ288" i="43"/>
  <c r="BQ289" i="43"/>
  <c r="BQ291" i="43"/>
  <c r="BQ292" i="43"/>
  <c r="BQ293" i="43"/>
  <c r="BQ294" i="43"/>
  <c r="BQ295" i="43"/>
  <c r="BQ296" i="43"/>
  <c r="BQ297" i="43"/>
  <c r="BQ299" i="43"/>
  <c r="BQ300" i="43" s="1"/>
  <c r="BW306" i="43"/>
  <c r="BV306" i="43"/>
  <c r="BW309" i="43"/>
  <c r="BV309" i="43"/>
  <c r="BW312" i="43"/>
  <c r="BV312" i="43"/>
  <c r="BW315" i="43"/>
  <c r="BN321" i="43"/>
  <c r="BO328" i="43"/>
  <c r="BM341" i="43"/>
  <c r="BO349" i="43"/>
  <c r="BO355" i="43"/>
  <c r="BW367" i="43"/>
  <c r="BV367" i="43"/>
  <c r="BO368" i="43"/>
  <c r="BR301" i="43"/>
  <c r="BR302" i="43"/>
  <c r="BR303" i="43"/>
  <c r="BR304" i="43"/>
  <c r="BR305" i="43"/>
  <c r="BN310" i="43"/>
  <c r="BN313" i="43"/>
  <c r="BN316" i="43"/>
  <c r="BW321" i="43"/>
  <c r="BV321" i="43"/>
  <c r="BN367" i="43"/>
  <c r="BW373" i="43"/>
  <c r="BW310" i="43"/>
  <c r="BV310" i="43"/>
  <c r="BW313" i="43"/>
  <c r="BV313" i="43"/>
  <c r="BW316" i="43"/>
  <c r="BV316" i="43"/>
  <c r="BN322" i="43"/>
  <c r="BN325" i="43"/>
  <c r="BN326" i="43" s="1"/>
  <c r="BN311" i="43"/>
  <c r="BN317" i="43"/>
  <c r="BW319" i="43"/>
  <c r="BR320" i="43"/>
  <c r="BW322" i="43"/>
  <c r="BV322" i="43"/>
  <c r="BR323" i="43"/>
  <c r="BW325" i="43"/>
  <c r="BW326" i="43" s="1"/>
  <c r="BW327" i="43"/>
  <c r="BW330" i="43" s="1"/>
  <c r="BO346" i="43"/>
  <c r="BO352" i="43"/>
  <c r="BO358" i="43"/>
  <c r="BP306" i="43"/>
  <c r="BP309" i="43"/>
  <c r="BP310" i="43"/>
  <c r="BP311" i="43"/>
  <c r="BP312" i="43"/>
  <c r="BP313" i="43"/>
  <c r="BP317" i="43"/>
  <c r="BP321" i="43"/>
  <c r="BP322" i="43"/>
  <c r="BP328" i="43"/>
  <c r="BP329" i="43"/>
  <c r="BP332" i="43"/>
  <c r="BP333" i="43"/>
  <c r="BP336" i="43"/>
  <c r="BP337" i="43"/>
  <c r="BP340" i="43"/>
  <c r="BP341" i="43"/>
  <c r="BP342" i="43"/>
  <c r="BP343" i="43"/>
  <c r="BN345" i="43"/>
  <c r="BW345" i="43"/>
  <c r="BV345" i="43"/>
  <c r="BN348" i="43"/>
  <c r="BW348" i="43"/>
  <c r="BN351" i="43"/>
  <c r="BW351" i="43"/>
  <c r="BV351" i="43"/>
  <c r="BW354" i="43"/>
  <c r="BN357" i="43"/>
  <c r="BW357" i="43"/>
  <c r="BV357" i="43"/>
  <c r="BW366" i="43"/>
  <c r="BM393" i="43"/>
  <c r="BT393" i="43"/>
  <c r="BS393" i="43"/>
  <c r="BN328" i="43"/>
  <c r="BN329" i="43"/>
  <c r="BN332" i="43"/>
  <c r="BN333" i="43"/>
  <c r="BN336" i="43"/>
  <c r="BN337" i="43"/>
  <c r="BN340" i="43"/>
  <c r="BN341" i="43"/>
  <c r="BN342" i="43"/>
  <c r="BN343" i="43"/>
  <c r="BN371" i="43"/>
  <c r="BW371" i="43"/>
  <c r="BV371" i="43"/>
  <c r="BN421" i="43"/>
  <c r="BN344" i="43"/>
  <c r="BW344" i="43"/>
  <c r="BV344" i="43"/>
  <c r="BN350" i="43"/>
  <c r="BW350" i="43"/>
  <c r="BV350" i="43"/>
  <c r="BN356" i="43"/>
  <c r="BW356" i="43"/>
  <c r="BV356" i="43"/>
  <c r="BN359" i="43"/>
  <c r="BW359" i="43"/>
  <c r="BV359" i="43"/>
  <c r="BN364" i="43"/>
  <c r="BW364" i="43"/>
  <c r="BV364" i="43"/>
  <c r="BN370" i="43"/>
  <c r="BW370" i="43"/>
  <c r="BV370" i="43"/>
  <c r="BN363" i="43"/>
  <c r="BW363" i="43"/>
  <c r="BV363" i="43"/>
  <c r="BN369" i="43"/>
  <c r="BW369" i="43"/>
  <c r="BV369" i="43"/>
  <c r="BW407" i="43"/>
  <c r="BV407" i="43"/>
  <c r="BV328" i="43"/>
  <c r="BV329" i="43"/>
  <c r="BV332" i="43"/>
  <c r="BV333" i="43"/>
  <c r="BV336" i="43"/>
  <c r="BV337" i="43"/>
  <c r="BV340" i="43"/>
  <c r="BV341" i="43"/>
  <c r="BV342" i="43"/>
  <c r="BV343" i="43"/>
  <c r="BN346" i="43"/>
  <c r="BW346" i="43"/>
  <c r="BV346" i="43"/>
  <c r="BN349" i="43"/>
  <c r="BW349" i="43"/>
  <c r="BV349" i="43"/>
  <c r="BN352" i="43"/>
  <c r="BW352" i="43"/>
  <c r="BV352" i="43"/>
  <c r="BN355" i="43"/>
  <c r="BW355" i="43"/>
  <c r="BV355" i="43"/>
  <c r="BN358" i="43"/>
  <c r="BW358" i="43"/>
  <c r="BV358" i="43"/>
  <c r="BN362" i="43"/>
  <c r="BW362" i="43"/>
  <c r="BV362" i="43"/>
  <c r="BN368" i="43"/>
  <c r="BW368" i="43"/>
  <c r="BV368" i="43"/>
  <c r="BO374" i="43"/>
  <c r="BS375" i="43"/>
  <c r="BW375" i="43"/>
  <c r="BV375" i="43"/>
  <c r="BN381" i="43"/>
  <c r="BP384" i="43"/>
  <c r="BW389" i="43"/>
  <c r="BO393" i="43"/>
  <c r="BW401" i="43"/>
  <c r="BQ344" i="43"/>
  <c r="BQ345" i="43"/>
  <c r="BQ346" i="43"/>
  <c r="BQ348" i="43"/>
  <c r="BQ349" i="43"/>
  <c r="BQ350" i="43"/>
  <c r="BQ351" i="43"/>
  <c r="BQ352" i="43"/>
  <c r="BQ354" i="43"/>
  <c r="BQ355" i="43"/>
  <c r="BQ356" i="43"/>
  <c r="BQ357" i="43"/>
  <c r="BQ359" i="43"/>
  <c r="BQ361" i="43"/>
  <c r="BQ362" i="43"/>
  <c r="BQ363" i="43"/>
  <c r="BQ364" i="43"/>
  <c r="BQ366" i="43"/>
  <c r="BQ367" i="43"/>
  <c r="BQ368" i="43"/>
  <c r="BQ369" i="43"/>
  <c r="BQ370" i="43"/>
  <c r="BQ371" i="43"/>
  <c r="BW374" i="43"/>
  <c r="BV374" i="43"/>
  <c r="BR384" i="43"/>
  <c r="BN388" i="43"/>
  <c r="BR396" i="43"/>
  <c r="BR402" i="43" s="1"/>
  <c r="BN400" i="43"/>
  <c r="BQ403" i="43"/>
  <c r="BO408" i="43"/>
  <c r="BR358" i="43"/>
  <c r="BW379" i="43"/>
  <c r="BN380" i="43"/>
  <c r="BM387" i="43"/>
  <c r="BT387" i="43"/>
  <c r="BS387" i="43"/>
  <c r="BM399" i="43"/>
  <c r="BT399" i="43"/>
  <c r="BS399" i="43"/>
  <c r="BW405" i="43"/>
  <c r="BV405" i="43"/>
  <c r="BN406" i="43"/>
  <c r="BN375" i="43"/>
  <c r="BO387" i="43"/>
  <c r="BO399" i="43"/>
  <c r="BN374" i="43"/>
  <c r="BW377" i="43"/>
  <c r="BW378" i="43" s="1"/>
  <c r="BN382" i="43"/>
  <c r="BR390" i="43"/>
  <c r="BN394" i="43"/>
  <c r="BQ397" i="43"/>
  <c r="BP397" i="43"/>
  <c r="BO413" i="43"/>
  <c r="BV382" i="43"/>
  <c r="BN383" i="43"/>
  <c r="BV388" i="43"/>
  <c r="BN389" i="43"/>
  <c r="BV394" i="43"/>
  <c r="BV400" i="43"/>
  <c r="BN401" i="43"/>
  <c r="BP411" i="43"/>
  <c r="BQ411" i="43"/>
  <c r="BN412" i="43"/>
  <c r="BN415" i="43"/>
  <c r="BN384" i="43"/>
  <c r="BX384" i="43"/>
  <c r="BN390" i="43"/>
  <c r="BX390" i="43"/>
  <c r="BX396" i="43"/>
  <c r="BX402" i="43" s="1"/>
  <c r="BW397" i="43"/>
  <c r="BW403" i="43"/>
  <c r="BP406" i="43"/>
  <c r="BQ406" i="43"/>
  <c r="BQ417" i="43"/>
  <c r="BW386" i="43"/>
  <c r="BW392" i="43"/>
  <c r="BW395" i="43" s="1"/>
  <c r="BN397" i="43"/>
  <c r="BP398" i="43"/>
  <c r="BW398" i="43"/>
  <c r="BP404" i="43"/>
  <c r="BT407" i="43"/>
  <c r="BV439" i="43"/>
  <c r="BX439" i="43"/>
  <c r="BV380" i="43"/>
  <c r="BV381" i="43"/>
  <c r="BP387" i="43"/>
  <c r="BP393" i="43"/>
  <c r="BN398" i="43"/>
  <c r="BP399" i="43"/>
  <c r="BN404" i="43"/>
  <c r="BN405" i="43"/>
  <c r="BN407" i="43"/>
  <c r="BO410" i="43"/>
  <c r="BW410" i="43"/>
  <c r="BR412" i="43"/>
  <c r="BW419" i="43"/>
  <c r="BV419" i="43"/>
  <c r="BO422" i="43"/>
  <c r="BQ431" i="43"/>
  <c r="BN387" i="43"/>
  <c r="BN393" i="43"/>
  <c r="BN399" i="43"/>
  <c r="BV404" i="43"/>
  <c r="BQ405" i="43"/>
  <c r="BP407" i="43"/>
  <c r="BW413" i="43"/>
  <c r="BV413" i="43"/>
  <c r="BR418" i="43"/>
  <c r="BO424" i="43"/>
  <c r="BP422" i="43"/>
  <c r="BW422" i="43"/>
  <c r="BV425" i="43"/>
  <c r="BO426" i="43"/>
  <c r="BP415" i="43"/>
  <c r="BP421" i="43"/>
  <c r="BS426" i="43"/>
  <c r="BW428" i="43"/>
  <c r="BW433" i="43"/>
  <c r="BV433" i="43"/>
  <c r="BN429" i="43"/>
  <c r="BN432" i="43"/>
  <c r="BW455" i="43"/>
  <c r="BV455" i="43"/>
  <c r="BP413" i="43"/>
  <c r="BN413" i="43"/>
  <c r="BQ415" i="43"/>
  <c r="BP419" i="43"/>
  <c r="BN419" i="43"/>
  <c r="BQ421" i="43"/>
  <c r="BP425" i="43"/>
  <c r="BV426" i="43"/>
  <c r="BW431" i="43"/>
  <c r="BP412" i="43"/>
  <c r="BQ414" i="43"/>
  <c r="BP418" i="43"/>
  <c r="BN418" i="43"/>
  <c r="BQ420" i="43"/>
  <c r="BQ432" i="43"/>
  <c r="BP432" i="43"/>
  <c r="BN434" i="43"/>
  <c r="BN426" i="43"/>
  <c r="BP429" i="43"/>
  <c r="BV429" i="43"/>
  <c r="BW432" i="43"/>
  <c r="BV432" i="43"/>
  <c r="BN433" i="43"/>
  <c r="BX440" i="43"/>
  <c r="BV440" i="43"/>
  <c r="BP442" i="43"/>
  <c r="BN456" i="43"/>
  <c r="BO434" i="43"/>
  <c r="BP441" i="43"/>
  <c r="BQ441" i="43"/>
  <c r="BX446" i="43"/>
  <c r="BV446" i="43"/>
  <c r="BQ452" i="43"/>
  <c r="BN425" i="43"/>
  <c r="BN427" i="43"/>
  <c r="BN428" i="43"/>
  <c r="BX434" i="43"/>
  <c r="BV434" i="43"/>
  <c r="BP436" i="43"/>
  <c r="BP435" i="43"/>
  <c r="BQ435" i="43"/>
  <c r="BQ438" i="43"/>
  <c r="BX443" i="43"/>
  <c r="BV443" i="43"/>
  <c r="BP447" i="43"/>
  <c r="BQ447" i="43"/>
  <c r="BN440" i="43"/>
  <c r="BN443" i="43"/>
  <c r="BN446" i="43"/>
  <c r="BT447" i="43"/>
  <c r="BN449" i="43"/>
  <c r="BW450" i="43"/>
  <c r="BP454" i="43"/>
  <c r="BQ454" i="43"/>
  <c r="BN436" i="43"/>
  <c r="BN439" i="43"/>
  <c r="BN442" i="43"/>
  <c r="BN448" i="43"/>
  <c r="BV449" i="43"/>
  <c r="BN453" i="43"/>
  <c r="BP455" i="43"/>
  <c r="BP456" i="43"/>
  <c r="BQ456" i="43"/>
  <c r="BN457" i="43"/>
  <c r="BO452" i="43"/>
  <c r="BO458" i="43" s="1"/>
  <c r="BN435" i="43"/>
  <c r="BT436" i="43"/>
  <c r="BN441" i="43"/>
  <c r="BN447" i="43"/>
  <c r="BW449" i="43"/>
  <c r="BR450" i="43"/>
  <c r="BN454" i="43"/>
  <c r="BN455" i="43"/>
  <c r="BN460" i="43"/>
  <c r="BN450" i="43"/>
  <c r="BN463" i="43"/>
  <c r="BN464" i="43"/>
  <c r="BV460" i="43"/>
  <c r="BO460" i="43"/>
  <c r="BN12" i="44"/>
  <c r="BN13" i="44" s="1"/>
  <c r="BQ251" i="43" l="1"/>
  <c r="BM435" i="43"/>
  <c r="BM247" i="43"/>
  <c r="BM306" i="43"/>
  <c r="BT284" i="43"/>
  <c r="BN392" i="43"/>
  <c r="BN395" i="43" s="1"/>
  <c r="BM284" i="43"/>
  <c r="BN319" i="43"/>
  <c r="BN324" i="43" s="1"/>
  <c r="BS235" i="43"/>
  <c r="BS306" i="43"/>
  <c r="BS460" i="43"/>
  <c r="BT405" i="43"/>
  <c r="BN108" i="43"/>
  <c r="BN111" i="43" s="1"/>
  <c r="BT460" i="43"/>
  <c r="BN119" i="43"/>
  <c r="BN122" i="43" s="1"/>
  <c r="BO459" i="43"/>
  <c r="BO461" i="43" s="1"/>
  <c r="BM340" i="43"/>
  <c r="BN65" i="43"/>
  <c r="BN68" i="43" s="1"/>
  <c r="BT435" i="43"/>
  <c r="BS340" i="43"/>
  <c r="BT375" i="43"/>
  <c r="BS341" i="43"/>
  <c r="BS217" i="43"/>
  <c r="BS238" i="43"/>
  <c r="BS191" i="43"/>
  <c r="BS67" i="43"/>
  <c r="BM329" i="43"/>
  <c r="BN148" i="43"/>
  <c r="BN153" i="43" s="1"/>
  <c r="BT217" i="43"/>
  <c r="BT238" i="43"/>
  <c r="BT191" i="43"/>
  <c r="BT67" i="43"/>
  <c r="BS70" i="43"/>
  <c r="BN373" i="43"/>
  <c r="BN376" i="43" s="1"/>
  <c r="BS329" i="43"/>
  <c r="BS91" i="43"/>
  <c r="BS229" i="43"/>
  <c r="BT70" i="43"/>
  <c r="BM343" i="43"/>
  <c r="BS276" i="43"/>
  <c r="BS226" i="43"/>
  <c r="BT91" i="43"/>
  <c r="BT229" i="43"/>
  <c r="BS343" i="43"/>
  <c r="BT204" i="43"/>
  <c r="BT235" i="43"/>
  <c r="BS87" i="43"/>
  <c r="BN315" i="43"/>
  <c r="BN318" i="43" s="1"/>
  <c r="BN286" i="43"/>
  <c r="BN290" i="43" s="1"/>
  <c r="BT87" i="43"/>
  <c r="BS86" i="43"/>
  <c r="BM315" i="43"/>
  <c r="BM86" i="43"/>
  <c r="BN209" i="43"/>
  <c r="BN215" i="43" s="1"/>
  <c r="BP35" i="44"/>
  <c r="BX98" i="44"/>
  <c r="BS81" i="44"/>
  <c r="BM48" i="44"/>
  <c r="BL91" i="44"/>
  <c r="BS105" i="44"/>
  <c r="BT48" i="44"/>
  <c r="BT87" i="44"/>
  <c r="BW19" i="44"/>
  <c r="BX56" i="44"/>
  <c r="BW35" i="44"/>
  <c r="BN99" i="44"/>
  <c r="BN102" i="44" s="1"/>
  <c r="BN103" i="44"/>
  <c r="BN104" i="44" s="1"/>
  <c r="BN50" i="44"/>
  <c r="BN56" i="44" s="1"/>
  <c r="BN71" i="44"/>
  <c r="BN77" i="44" s="1"/>
  <c r="BP28" i="44"/>
  <c r="BM101" i="44"/>
  <c r="BM81" i="44"/>
  <c r="BS101" i="44"/>
  <c r="BT107" i="44"/>
  <c r="BM54" i="44"/>
  <c r="BO35" i="44"/>
  <c r="BM107" i="44"/>
  <c r="BS54" i="44"/>
  <c r="BL54" i="44"/>
  <c r="BN88" i="44"/>
  <c r="BS83" i="44"/>
  <c r="BT427" i="43"/>
  <c r="BM273" i="43"/>
  <c r="BT398" i="43"/>
  <c r="BN331" i="43"/>
  <c r="BN334" i="43" s="1"/>
  <c r="BM398" i="43"/>
  <c r="BN112" i="43"/>
  <c r="BN115" i="43" s="1"/>
  <c r="BT257" i="43"/>
  <c r="BT226" i="43"/>
  <c r="BT125" i="43"/>
  <c r="BS281" i="43"/>
  <c r="BS267" i="43"/>
  <c r="BS255" i="43"/>
  <c r="BS201" i="43"/>
  <c r="BT281" i="43"/>
  <c r="BT267" i="43"/>
  <c r="BT255" i="43"/>
  <c r="BT201" i="43"/>
  <c r="BS95" i="43"/>
  <c r="BS441" i="43"/>
  <c r="BT441" i="43"/>
  <c r="BT95" i="43"/>
  <c r="BW35" i="43"/>
  <c r="BL82" i="44"/>
  <c r="BS294" i="43"/>
  <c r="BM287" i="43"/>
  <c r="BM303" i="43"/>
  <c r="BT294" i="43"/>
  <c r="BS188" i="43"/>
  <c r="BN19" i="43"/>
  <c r="BN22" i="43" s="1"/>
  <c r="BS163" i="43"/>
  <c r="BN171" i="43"/>
  <c r="BN176" i="43" s="1"/>
  <c r="BT188" i="43"/>
  <c r="BS79" i="43"/>
  <c r="BM19" i="43"/>
  <c r="BN32" i="43"/>
  <c r="BN35" i="43" s="1"/>
  <c r="BN54" i="43"/>
  <c r="BN56" i="43" s="1"/>
  <c r="BM163" i="43"/>
  <c r="BM171" i="43"/>
  <c r="BT79" i="43"/>
  <c r="BN40" i="43"/>
  <c r="BN43" i="43" s="1"/>
  <c r="BN335" i="43"/>
  <c r="BN338" i="43" s="1"/>
  <c r="BS303" i="43"/>
  <c r="BS73" i="43"/>
  <c r="BM73" i="43"/>
  <c r="BT240" i="43"/>
  <c r="BN44" i="43"/>
  <c r="BN47" i="43" s="1"/>
  <c r="BW170" i="43"/>
  <c r="BM396" i="43"/>
  <c r="BN377" i="43"/>
  <c r="BN378" i="43" s="1"/>
  <c r="BN48" i="43"/>
  <c r="BN50" i="43" s="1"/>
  <c r="BN14" i="43"/>
  <c r="BN18" i="43" s="1"/>
  <c r="BT425" i="43"/>
  <c r="BN379" i="43"/>
  <c r="BN385" i="43" s="1"/>
  <c r="BM328" i="43"/>
  <c r="BM302" i="43"/>
  <c r="BN23" i="43"/>
  <c r="BN27" i="43" s="1"/>
  <c r="BM14" i="43"/>
  <c r="BW385" i="43"/>
  <c r="BN261" i="43"/>
  <c r="BN264" i="43" s="1"/>
  <c r="BS287" i="43"/>
  <c r="BN154" i="43"/>
  <c r="BN159" i="43" s="1"/>
  <c r="BN97" i="43"/>
  <c r="BN100" i="43" s="1"/>
  <c r="BN459" i="43"/>
  <c r="BN461" i="43" s="1"/>
  <c r="BN308" i="43"/>
  <c r="BN314" i="43" s="1"/>
  <c r="BM154" i="43"/>
  <c r="BM220" i="43"/>
  <c r="BO314" i="43"/>
  <c r="BN269" i="43"/>
  <c r="BN274" i="43" s="1"/>
  <c r="BS328" i="43"/>
  <c r="BS271" i="43"/>
  <c r="BS253" i="43"/>
  <c r="BS78" i="43"/>
  <c r="BM240" i="43"/>
  <c r="BM336" i="43"/>
  <c r="BL267" i="43"/>
  <c r="BT271" i="43"/>
  <c r="BT253" i="43"/>
  <c r="BN101" i="43"/>
  <c r="BN104" i="43" s="1"/>
  <c r="BT78" i="43"/>
  <c r="BM450" i="43"/>
  <c r="BT269" i="43"/>
  <c r="BW31" i="43"/>
  <c r="BV56" i="43"/>
  <c r="BS447" i="43"/>
  <c r="BN431" i="43"/>
  <c r="BN437" i="43" s="1"/>
  <c r="BS404" i="43"/>
  <c r="BN327" i="43"/>
  <c r="BN330" i="43" s="1"/>
  <c r="BM337" i="43"/>
  <c r="BS336" i="43"/>
  <c r="BS296" i="43"/>
  <c r="BS293" i="43"/>
  <c r="BS450" i="43"/>
  <c r="BN403" i="43"/>
  <c r="BN409" i="43" s="1"/>
  <c r="BT404" i="43"/>
  <c r="BS337" i="43"/>
  <c r="BS273" i="43"/>
  <c r="BT296" i="43"/>
  <c r="BT293" i="43"/>
  <c r="BS99" i="43"/>
  <c r="BS220" i="43"/>
  <c r="BQ268" i="43"/>
  <c r="BN228" i="43"/>
  <c r="BN233" i="43" s="1"/>
  <c r="BM121" i="43"/>
  <c r="BT99" i="43"/>
  <c r="BW324" i="43"/>
  <c r="BT333" i="43"/>
  <c r="BN252" i="43"/>
  <c r="BN258" i="43" s="1"/>
  <c r="BN216" i="43"/>
  <c r="BN221" i="43" s="1"/>
  <c r="BQ147" i="43"/>
  <c r="BS418" i="43"/>
  <c r="BT418" i="43"/>
  <c r="BS405" i="43"/>
  <c r="BM333" i="43"/>
  <c r="BN275" i="43"/>
  <c r="BN278" i="43" s="1"/>
  <c r="BW239" i="43"/>
  <c r="BM216" i="43"/>
  <c r="BS263" i="43"/>
  <c r="BS249" i="43"/>
  <c r="BN160" i="43"/>
  <c r="BN164" i="43" s="1"/>
  <c r="BS83" i="43"/>
  <c r="BN452" i="43"/>
  <c r="BN458" i="43" s="1"/>
  <c r="BN445" i="43"/>
  <c r="BN451" i="43" s="1"/>
  <c r="BM427" i="43"/>
  <c r="BT263" i="43"/>
  <c r="BT249" i="43"/>
  <c r="BN77" i="43"/>
  <c r="BN80" i="43" s="1"/>
  <c r="BT83" i="43"/>
  <c r="BN298" i="43"/>
  <c r="BN246" i="43"/>
  <c r="BN251" i="43" s="1"/>
  <c r="BN203" i="43"/>
  <c r="BN208" i="43" s="1"/>
  <c r="BS297" i="43"/>
  <c r="BO290" i="43"/>
  <c r="BN128" i="43"/>
  <c r="BN134" i="43" s="1"/>
  <c r="BT124" i="43"/>
  <c r="BW176" i="43"/>
  <c r="BM342" i="43"/>
  <c r="BS181" i="43"/>
  <c r="BT297" i="43"/>
  <c r="BQ164" i="43"/>
  <c r="BS109" i="43"/>
  <c r="BN93" i="43"/>
  <c r="BN96" i="43" s="1"/>
  <c r="BN39" i="43"/>
  <c r="BM142" i="43"/>
  <c r="BW22" i="43"/>
  <c r="BS342" i="43"/>
  <c r="BT181" i="43"/>
  <c r="BT109" i="43"/>
  <c r="BS205" i="43"/>
  <c r="BT190" i="43"/>
  <c r="BS288" i="43"/>
  <c r="BN142" i="43"/>
  <c r="BN147" i="43" s="1"/>
  <c r="BM90" i="43"/>
  <c r="BT205" i="43"/>
  <c r="BS121" i="43"/>
  <c r="BS90" i="43"/>
  <c r="BW221" i="43"/>
  <c r="BW147" i="43"/>
  <c r="BX141" i="43"/>
  <c r="BN121" i="44"/>
  <c r="BL81" i="44"/>
  <c r="BQ19" i="44"/>
  <c r="BW70" i="44"/>
  <c r="BW88" i="44"/>
  <c r="BW42" i="44"/>
  <c r="BL40" i="44"/>
  <c r="BQ49" i="44"/>
  <c r="BN35" i="44"/>
  <c r="BO42" i="44"/>
  <c r="BW77" i="44"/>
  <c r="BN123" i="43"/>
  <c r="BN127" i="43" s="1"/>
  <c r="BN84" i="43"/>
  <c r="BW402" i="43"/>
  <c r="BQ347" i="43"/>
  <c r="BO402" i="43"/>
  <c r="BQ208" i="43"/>
  <c r="BW215" i="43"/>
  <c r="BL204" i="43"/>
  <c r="BM199" i="43"/>
  <c r="BW409" i="43"/>
  <c r="BS302" i="43"/>
  <c r="BS74" i="43"/>
  <c r="BM425" i="43"/>
  <c r="BW416" i="43"/>
  <c r="BN285" i="43"/>
  <c r="BN299" i="43"/>
  <c r="BN300" i="43" s="1"/>
  <c r="BT74" i="43"/>
  <c r="BN51" i="43"/>
  <c r="BN53" i="43" s="1"/>
  <c r="BW423" i="43"/>
  <c r="BN118" i="43"/>
  <c r="BN354" i="43"/>
  <c r="BN360" i="43" s="1"/>
  <c r="BN361" i="43"/>
  <c r="BN365" i="43" s="1"/>
  <c r="BL241" i="43"/>
  <c r="BQ202" i="43"/>
  <c r="BN234" i="43"/>
  <c r="BN239" i="43" s="1"/>
  <c r="BS199" i="43"/>
  <c r="BN69" i="43"/>
  <c r="BN71" i="43" s="1"/>
  <c r="BT75" i="43"/>
  <c r="BQ39" i="43"/>
  <c r="BO221" i="43"/>
  <c r="BW27" i="43"/>
  <c r="BQ182" i="43"/>
  <c r="BQ118" i="43"/>
  <c r="BL399" i="43"/>
  <c r="BW391" i="43"/>
  <c r="BN396" i="43"/>
  <c r="BN402" i="43" s="1"/>
  <c r="BR278" i="43"/>
  <c r="BO208" i="43"/>
  <c r="BS185" i="43"/>
  <c r="BN57" i="43"/>
  <c r="BN60" i="43" s="1"/>
  <c r="BR274" i="43"/>
  <c r="BQ107" i="43"/>
  <c r="BP111" i="44"/>
  <c r="BP112" i="44" s="1"/>
  <c r="BV85" i="44"/>
  <c r="BV88" i="44" s="1"/>
  <c r="BP85" i="44"/>
  <c r="BP88" i="44" s="1"/>
  <c r="BV103" i="44"/>
  <c r="BV104" i="44" s="1"/>
  <c r="BM91" i="44"/>
  <c r="BM92" i="44" s="1"/>
  <c r="BN19" i="44"/>
  <c r="BV14" i="44"/>
  <c r="BV19" i="44" s="1"/>
  <c r="BO19" i="44"/>
  <c r="BP36" i="44"/>
  <c r="BP42" i="44" s="1"/>
  <c r="BP113" i="44"/>
  <c r="BP121" i="44" s="1"/>
  <c r="BW92" i="44"/>
  <c r="BP12" i="44"/>
  <c r="BP13" i="44" s="1"/>
  <c r="BQ63" i="44"/>
  <c r="BP103" i="44"/>
  <c r="BP104" i="44" s="1"/>
  <c r="BS100" i="44"/>
  <c r="BQ77" i="44"/>
  <c r="BV43" i="44"/>
  <c r="BV49" i="44" s="1"/>
  <c r="BQ42" i="44"/>
  <c r="BQ35" i="44"/>
  <c r="BV29" i="44"/>
  <c r="BV35" i="44" s="1"/>
  <c r="BN84" i="44"/>
  <c r="BN28" i="44"/>
  <c r="BP122" i="44"/>
  <c r="BP128" i="44" s="1"/>
  <c r="BP14" i="44"/>
  <c r="BP19" i="44" s="1"/>
  <c r="BN111" i="44"/>
  <c r="BN112" i="44" s="1"/>
  <c r="BV78" i="44"/>
  <c r="BV84" i="44" s="1"/>
  <c r="BX84" i="44"/>
  <c r="BV64" i="44"/>
  <c r="BV70" i="44" s="1"/>
  <c r="BP105" i="44"/>
  <c r="BP110" i="44" s="1"/>
  <c r="BP93" i="44"/>
  <c r="BP98" i="44" s="1"/>
  <c r="BV122" i="44"/>
  <c r="BV128" i="44" s="1"/>
  <c r="BV99" i="44"/>
  <c r="BV102" i="44" s="1"/>
  <c r="BV105" i="44"/>
  <c r="BV110" i="44" s="1"/>
  <c r="BM100" i="44"/>
  <c r="BP64" i="44"/>
  <c r="BP70" i="44" s="1"/>
  <c r="BP78" i="44"/>
  <c r="BP84" i="44" s="1"/>
  <c r="BN42" i="44"/>
  <c r="BP99" i="44"/>
  <c r="BP102" i="44" s="1"/>
  <c r="BV12" i="44"/>
  <c r="BV13" i="44" s="1"/>
  <c r="BX88" i="44"/>
  <c r="BV71" i="44"/>
  <c r="BV77" i="44" s="1"/>
  <c r="BQ102" i="44"/>
  <c r="BN92" i="44"/>
  <c r="BN105" i="44"/>
  <c r="BN110" i="44" s="1"/>
  <c r="BV89" i="44"/>
  <c r="BV92" i="44" s="1"/>
  <c r="BS89" i="44"/>
  <c r="BS92" i="44" s="1"/>
  <c r="BV113" i="44"/>
  <c r="BV121" i="44" s="1"/>
  <c r="BT105" i="44"/>
  <c r="BP89" i="44"/>
  <c r="BP92" i="44" s="1"/>
  <c r="BN63" i="44"/>
  <c r="BQ70" i="44"/>
  <c r="BN98" i="44"/>
  <c r="BQ84" i="44"/>
  <c r="BQ28" i="44"/>
  <c r="BV20" i="44"/>
  <c r="BV28" i="44" s="1"/>
  <c r="BQ56" i="44"/>
  <c r="BW84" i="44"/>
  <c r="BQ98" i="44"/>
  <c r="BN64" i="44"/>
  <c r="BN70" i="44" s="1"/>
  <c r="BP57" i="44"/>
  <c r="BP63" i="44" s="1"/>
  <c r="BW63" i="44"/>
  <c r="BX49" i="44"/>
  <c r="BV63" i="44"/>
  <c r="BV111" i="44"/>
  <c r="BV112" i="44" s="1"/>
  <c r="BQ110" i="44"/>
  <c r="BV93" i="44"/>
  <c r="BV98" i="44" s="1"/>
  <c r="BN128" i="44"/>
  <c r="BP43" i="44"/>
  <c r="BP49" i="44" s="1"/>
  <c r="BV36" i="44"/>
  <c r="BV42" i="44" s="1"/>
  <c r="BW28" i="44"/>
  <c r="BP50" i="44"/>
  <c r="BP56" i="44" s="1"/>
  <c r="BO28" i="44"/>
  <c r="BV50" i="44"/>
  <c r="BV56" i="44" s="1"/>
  <c r="BN43" i="44"/>
  <c r="BN49" i="44" s="1"/>
  <c r="BP71" i="44"/>
  <c r="BP77" i="44" s="1"/>
  <c r="BW56" i="44"/>
  <c r="BP459" i="43"/>
  <c r="BP461" i="43" s="1"/>
  <c r="BP410" i="43"/>
  <c r="BP416" i="43" s="1"/>
  <c r="BV335" i="43"/>
  <c r="BV338" i="43" s="1"/>
  <c r="BV315" i="43"/>
  <c r="BV318" i="43" s="1"/>
  <c r="BV246" i="43"/>
  <c r="BV251" i="43" s="1"/>
  <c r="BN307" i="43"/>
  <c r="BV183" i="43"/>
  <c r="BV189" i="43" s="1"/>
  <c r="BP135" i="43"/>
  <c r="BP141" i="43" s="1"/>
  <c r="BP154" i="43"/>
  <c r="BP159" i="43" s="1"/>
  <c r="BP222" i="43"/>
  <c r="BP227" i="43" s="1"/>
  <c r="BP354" i="43"/>
  <c r="BP360" i="43" s="1"/>
  <c r="BQ245" i="43"/>
  <c r="BP48" i="43"/>
  <c r="BP50" i="43" s="1"/>
  <c r="BO215" i="43"/>
  <c r="BP93" i="43"/>
  <c r="BP96" i="43" s="1"/>
  <c r="BV48" i="43"/>
  <c r="BV50" i="43" s="1"/>
  <c r="BP279" i="43"/>
  <c r="BP285" i="43" s="1"/>
  <c r="BP445" i="43"/>
  <c r="BP451" i="43" s="1"/>
  <c r="BQ437" i="43"/>
  <c r="BP386" i="43"/>
  <c r="BP391" i="43" s="1"/>
  <c r="BQ409" i="43"/>
  <c r="BQ353" i="43"/>
  <c r="BW353" i="43"/>
  <c r="BV327" i="43"/>
  <c r="BV330" i="43" s="1"/>
  <c r="BW318" i="43"/>
  <c r="BQ290" i="43"/>
  <c r="BQ285" i="43"/>
  <c r="BV299" i="43"/>
  <c r="BV300" i="43" s="1"/>
  <c r="BL282" i="43"/>
  <c r="BW314" i="43"/>
  <c r="BV361" i="43"/>
  <c r="BV365" i="43" s="1"/>
  <c r="BL302" i="43"/>
  <c r="BV286" i="43"/>
  <c r="BV290" i="43" s="1"/>
  <c r="BV275" i="43"/>
  <c r="BV278" i="43" s="1"/>
  <c r="BN268" i="43"/>
  <c r="BW251" i="43"/>
  <c r="BV291" i="43"/>
  <c r="BV298" i="43" s="1"/>
  <c r="BM282" i="43"/>
  <c r="BV269" i="43"/>
  <c r="BV274" i="43" s="1"/>
  <c r="BV265" i="43"/>
  <c r="BV268" i="43" s="1"/>
  <c r="BV261" i="43"/>
  <c r="BV264" i="43" s="1"/>
  <c r="BL229" i="43"/>
  <c r="BV222" i="43"/>
  <c r="BV227" i="43" s="1"/>
  <c r="BW196" i="43"/>
  <c r="BO264" i="43"/>
  <c r="BW189" i="43"/>
  <c r="BP171" i="43"/>
  <c r="BP176" i="43" s="1"/>
  <c r="BV123" i="43"/>
  <c r="BV127" i="43" s="1"/>
  <c r="BV77" i="43"/>
  <c r="BV80" i="43" s="1"/>
  <c r="BV69" i="43"/>
  <c r="BV71" i="43" s="1"/>
  <c r="BW202" i="43"/>
  <c r="BM204" i="43"/>
  <c r="BP54" i="43"/>
  <c r="BP56" i="43" s="1"/>
  <c r="BN89" i="43"/>
  <c r="BN92" i="43" s="1"/>
  <c r="BN28" i="43"/>
  <c r="BN31" i="43" s="1"/>
  <c r="BV438" i="43"/>
  <c r="BV444" i="43" s="1"/>
  <c r="BO365" i="43"/>
  <c r="BP275" i="43"/>
  <c r="BP278" i="43" s="1"/>
  <c r="BP269" i="43"/>
  <c r="BP274" i="43" s="1"/>
  <c r="BP85" i="43"/>
  <c r="BP88" i="43" s="1"/>
  <c r="BP112" i="43"/>
  <c r="BP115" i="43" s="1"/>
  <c r="BP252" i="43"/>
  <c r="BP258" i="43" s="1"/>
  <c r="BV32" i="43"/>
  <c r="BV35" i="43" s="1"/>
  <c r="BQ127" i="43"/>
  <c r="BP119" i="43"/>
  <c r="BP122" i="43" s="1"/>
  <c r="BP366" i="43"/>
  <c r="BP372" i="43" s="1"/>
  <c r="BP286" i="43"/>
  <c r="BP290" i="43" s="1"/>
  <c r="BO437" i="43"/>
  <c r="BV386" i="43"/>
  <c r="BV391" i="43" s="1"/>
  <c r="BP361" i="43"/>
  <c r="BP365" i="43" s="1"/>
  <c r="BO298" i="43"/>
  <c r="BO451" i="43"/>
  <c r="BR423" i="43"/>
  <c r="BV396" i="43"/>
  <c r="BV402" i="43" s="1"/>
  <c r="BX385" i="43"/>
  <c r="BR258" i="43"/>
  <c r="BR264" i="43"/>
  <c r="BO251" i="43"/>
  <c r="BV142" i="43"/>
  <c r="BV147" i="43" s="1"/>
  <c r="BW127" i="43"/>
  <c r="BQ68" i="43"/>
  <c r="BP264" i="43"/>
  <c r="BW182" i="43"/>
  <c r="BW141" i="43"/>
  <c r="BR92" i="43"/>
  <c r="BW56" i="43"/>
  <c r="BR104" i="43"/>
  <c r="BQ76" i="43"/>
  <c r="BP28" i="43"/>
  <c r="BP31" i="43" s="1"/>
  <c r="BQ385" i="43"/>
  <c r="BX39" i="43"/>
  <c r="BP396" i="43"/>
  <c r="BP402" i="43" s="1"/>
  <c r="BP209" i="43"/>
  <c r="BP215" i="43" s="1"/>
  <c r="BV105" i="43"/>
  <c r="BV107" i="43" s="1"/>
  <c r="BV445" i="43"/>
  <c r="BV451" i="43" s="1"/>
  <c r="BP228" i="43"/>
  <c r="BP233" i="43" s="1"/>
  <c r="BN438" i="43"/>
  <c r="BN444" i="43" s="1"/>
  <c r="BQ458" i="43"/>
  <c r="BP431" i="43"/>
  <c r="BP437" i="43" s="1"/>
  <c r="BP373" i="43"/>
  <c r="BP376" i="43" s="1"/>
  <c r="BQ360" i="43"/>
  <c r="BL341" i="43"/>
  <c r="BN366" i="43"/>
  <c r="BN372" i="43" s="1"/>
  <c r="BV354" i="43"/>
  <c r="BV360" i="43" s="1"/>
  <c r="BP339" i="43"/>
  <c r="BP347" i="43" s="1"/>
  <c r="BP331" i="43"/>
  <c r="BP334" i="43" s="1"/>
  <c r="BW365" i="43"/>
  <c r="BW290" i="43"/>
  <c r="BS305" i="43"/>
  <c r="BW278" i="43"/>
  <c r="BV252" i="43"/>
  <c r="BV258" i="43" s="1"/>
  <c r="BW298" i="43"/>
  <c r="BW274" i="43"/>
  <c r="BW268" i="43"/>
  <c r="BW264" i="43"/>
  <c r="BQ221" i="43"/>
  <c r="BQ215" i="43"/>
  <c r="BW227" i="43"/>
  <c r="BV203" i="43"/>
  <c r="BV208" i="43" s="1"/>
  <c r="BP177" i="43"/>
  <c r="BP182" i="43" s="1"/>
  <c r="BV112" i="43"/>
  <c r="BV115" i="43" s="1"/>
  <c r="BV85" i="43"/>
  <c r="BV88" i="43" s="1"/>
  <c r="BP160" i="43"/>
  <c r="BP164" i="43" s="1"/>
  <c r="BM75" i="43"/>
  <c r="BQ153" i="43"/>
  <c r="BP61" i="43"/>
  <c r="BP64" i="43" s="1"/>
  <c r="BP51" i="43"/>
  <c r="BP53" i="43" s="1"/>
  <c r="BP40" i="43"/>
  <c r="BP43" i="43" s="1"/>
  <c r="BN135" i="43"/>
  <c r="BN141" i="43" s="1"/>
  <c r="BO376" i="43"/>
  <c r="BP203" i="43"/>
  <c r="BP208" i="43" s="1"/>
  <c r="BO353" i="43"/>
  <c r="BO360" i="43"/>
  <c r="BQ258" i="43"/>
  <c r="BP81" i="43"/>
  <c r="BP84" i="43" s="1"/>
  <c r="BP69" i="43"/>
  <c r="BP71" i="43" s="1"/>
  <c r="BP462" i="43"/>
  <c r="BP465" i="43" s="1"/>
  <c r="BN417" i="43"/>
  <c r="BN423" i="43" s="1"/>
  <c r="BQ402" i="43"/>
  <c r="BW347" i="43"/>
  <c r="BR314" i="43"/>
  <c r="BQ461" i="43"/>
  <c r="BR391" i="43"/>
  <c r="BP348" i="43"/>
  <c r="BP353" i="43" s="1"/>
  <c r="BO409" i="43"/>
  <c r="BQ395" i="43"/>
  <c r="BO423" i="43"/>
  <c r="BP299" i="43"/>
  <c r="BP300" i="43" s="1"/>
  <c r="BO245" i="43"/>
  <c r="BW134" i="43"/>
  <c r="BP76" i="43"/>
  <c r="BW64" i="43"/>
  <c r="BQ451" i="43"/>
  <c r="BV128" i="43"/>
  <c r="BV134" i="43" s="1"/>
  <c r="BW39" i="43"/>
  <c r="BV177" i="43"/>
  <c r="BV182" i="43" s="1"/>
  <c r="BQ170" i="43"/>
  <c r="BX92" i="43"/>
  <c r="BV23" i="43"/>
  <c r="BV27" i="43" s="1"/>
  <c r="BQ176" i="43"/>
  <c r="BO127" i="43"/>
  <c r="BQ96" i="43"/>
  <c r="BV44" i="43"/>
  <c r="BV47" i="43" s="1"/>
  <c r="BQ134" i="43"/>
  <c r="BV170" i="43"/>
  <c r="BP123" i="43"/>
  <c r="BP127" i="43" s="1"/>
  <c r="BP301" i="43"/>
  <c r="BP307" i="43" s="1"/>
  <c r="BP452" i="43"/>
  <c r="BP458" i="43" s="1"/>
  <c r="BO430" i="43"/>
  <c r="BV377" i="43"/>
  <c r="BV378" i="43" s="1"/>
  <c r="BQ365" i="43"/>
  <c r="BV339" i="43"/>
  <c r="BV347" i="43" s="1"/>
  <c r="BV331" i="43"/>
  <c r="BV334" i="43" s="1"/>
  <c r="BW360" i="43"/>
  <c r="BP319" i="43"/>
  <c r="BP324" i="43" s="1"/>
  <c r="BV325" i="43"/>
  <c r="BV326" i="43" s="1"/>
  <c r="BV319" i="43"/>
  <c r="BV324" i="43" s="1"/>
  <c r="BV373" i="43"/>
  <c r="BV376" i="43" s="1"/>
  <c r="BR307" i="43"/>
  <c r="BQ298" i="43"/>
  <c r="BV301" i="43"/>
  <c r="BV307" i="43" s="1"/>
  <c r="BT305" i="43"/>
  <c r="BW258" i="43"/>
  <c r="BV259" i="43"/>
  <c r="BV260" i="43" s="1"/>
  <c r="BQ227" i="43"/>
  <c r="BQ196" i="43"/>
  <c r="BQ189" i="43"/>
  <c r="BV228" i="43"/>
  <c r="BV233" i="43" s="1"/>
  <c r="BV279" i="43"/>
  <c r="BV285" i="43" s="1"/>
  <c r="BO268" i="43"/>
  <c r="BW208" i="43"/>
  <c r="BN196" i="43"/>
  <c r="BV101" i="43"/>
  <c r="BV104" i="43" s="1"/>
  <c r="BV93" i="43"/>
  <c r="BV96" i="43" s="1"/>
  <c r="BN177" i="43"/>
  <c r="BN182" i="43" s="1"/>
  <c r="BN165" i="43"/>
  <c r="BN170" i="43" s="1"/>
  <c r="BO189" i="43"/>
  <c r="BP148" i="43"/>
  <c r="BP153" i="43" s="1"/>
  <c r="BN88" i="43"/>
  <c r="BN61" i="43"/>
  <c r="BN64" i="43" s="1"/>
  <c r="BX451" i="43"/>
  <c r="BO391" i="43"/>
  <c r="BP291" i="43"/>
  <c r="BP298" i="43" s="1"/>
  <c r="BP197" i="43"/>
  <c r="BP202" i="43" s="1"/>
  <c r="BO285" i="43"/>
  <c r="BV154" i="43"/>
  <c r="BV159" i="43" s="1"/>
  <c r="BO233" i="43"/>
  <c r="BV57" i="43"/>
  <c r="BV60" i="43" s="1"/>
  <c r="BX391" i="43"/>
  <c r="BO324" i="43"/>
  <c r="BP216" i="43"/>
  <c r="BP221" i="43" s="1"/>
  <c r="BR385" i="43"/>
  <c r="BR416" i="43"/>
  <c r="BP246" i="43"/>
  <c r="BP251" i="43" s="1"/>
  <c r="BO196" i="43"/>
  <c r="BP89" i="43"/>
  <c r="BP92" i="43" s="1"/>
  <c r="BN424" i="43"/>
  <c r="BN430" i="43" s="1"/>
  <c r="BR360" i="43"/>
  <c r="BO182" i="43"/>
  <c r="BX134" i="43"/>
  <c r="BQ53" i="43"/>
  <c r="BP116" i="43"/>
  <c r="BP118" i="43" s="1"/>
  <c r="BW47" i="43"/>
  <c r="BP36" i="43"/>
  <c r="BP39" i="43" s="1"/>
  <c r="BW164" i="43"/>
  <c r="BP403" i="43"/>
  <c r="BP409" i="43" s="1"/>
  <c r="BV348" i="43"/>
  <c r="BV353" i="43" s="1"/>
  <c r="BP325" i="43"/>
  <c r="BP326" i="43" s="1"/>
  <c r="BV308" i="43"/>
  <c r="BV314" i="43" s="1"/>
  <c r="BV190" i="43"/>
  <c r="BV196" i="43" s="1"/>
  <c r="BP165" i="43"/>
  <c r="BP170" i="43" s="1"/>
  <c r="BV97" i="43"/>
  <c r="BV100" i="43" s="1"/>
  <c r="BV197" i="43"/>
  <c r="BV202" i="43" s="1"/>
  <c r="BS240" i="43"/>
  <c r="BP44" i="43"/>
  <c r="BP47" i="43" s="1"/>
  <c r="BV392" i="43"/>
  <c r="BV395" i="43" s="1"/>
  <c r="BP379" i="43"/>
  <c r="BP385" i="43" s="1"/>
  <c r="BP265" i="43"/>
  <c r="BP268" i="43" s="1"/>
  <c r="BV14" i="43"/>
  <c r="BV18" i="43" s="1"/>
  <c r="BP19" i="43"/>
  <c r="BP22" i="43" s="1"/>
  <c r="BQ444" i="43"/>
  <c r="BQ423" i="43"/>
  <c r="BV366" i="43"/>
  <c r="BV372" i="43" s="1"/>
  <c r="BN353" i="43"/>
  <c r="BW376" i="43"/>
  <c r="BW307" i="43"/>
  <c r="BL257" i="43"/>
  <c r="BV240" i="43"/>
  <c r="BV245" i="43" s="1"/>
  <c r="BQ233" i="43"/>
  <c r="BW233" i="43"/>
  <c r="BN202" i="43"/>
  <c r="BN227" i="43"/>
  <c r="BW285" i="43"/>
  <c r="BP128" i="43"/>
  <c r="BP134" i="43" s="1"/>
  <c r="BO202" i="43"/>
  <c r="BV119" i="43"/>
  <c r="BV122" i="43" s="1"/>
  <c r="BV81" i="43"/>
  <c r="BV84" i="43" s="1"/>
  <c r="BN183" i="43"/>
  <c r="BN189" i="43" s="1"/>
  <c r="BP142" i="43"/>
  <c r="BP147" i="43" s="1"/>
  <c r="BN107" i="43"/>
  <c r="BP23" i="43"/>
  <c r="BP27" i="43" s="1"/>
  <c r="BO372" i="43"/>
  <c r="BV424" i="43"/>
  <c r="BV430" i="43" s="1"/>
  <c r="BP234" i="43"/>
  <c r="BP239" i="43" s="1"/>
  <c r="BN245" i="43"/>
  <c r="BO239" i="43"/>
  <c r="BN410" i="43"/>
  <c r="BN416" i="43" s="1"/>
  <c r="BO227" i="43"/>
  <c r="BW159" i="43"/>
  <c r="BP97" i="43"/>
  <c r="BP100" i="43" s="1"/>
  <c r="BP14" i="43"/>
  <c r="BP18" i="43" s="1"/>
  <c r="BV51" i="43"/>
  <c r="BV53" i="43" s="1"/>
  <c r="BW60" i="43"/>
  <c r="BV135" i="43"/>
  <c r="BV141" i="43" s="1"/>
  <c r="BO258" i="43"/>
  <c r="BW465" i="43"/>
  <c r="BM436" i="43"/>
  <c r="BS436" i="43"/>
  <c r="BO385" i="43"/>
  <c r="BR318" i="43"/>
  <c r="BQ416" i="43"/>
  <c r="BQ391" i="43"/>
  <c r="BR324" i="43"/>
  <c r="BQ274" i="43"/>
  <c r="BP190" i="43"/>
  <c r="BP196" i="43" s="1"/>
  <c r="BV65" i="43"/>
  <c r="BV68" i="43" s="1"/>
  <c r="BW430" i="43"/>
  <c r="BQ80" i="43"/>
  <c r="BV61" i="43"/>
  <c r="BV64" i="43" s="1"/>
  <c r="BV36" i="43"/>
  <c r="BV39" i="43" s="1"/>
  <c r="BV31" i="43"/>
  <c r="BV452" i="43"/>
  <c r="BV458" i="43" s="1"/>
  <c r="BN462" i="43"/>
  <c r="BN465" i="43" s="1"/>
  <c r="BV459" i="43"/>
  <c r="BV461" i="43" s="1"/>
  <c r="BV431" i="43"/>
  <c r="BV437" i="43" s="1"/>
  <c r="BV410" i="43"/>
  <c r="BV416" i="43" s="1"/>
  <c r="BP392" i="43"/>
  <c r="BP395" i="43" s="1"/>
  <c r="BV462" i="43"/>
  <c r="BV465" i="43" s="1"/>
  <c r="BP438" i="43"/>
  <c r="BP444" i="43" s="1"/>
  <c r="BW437" i="43"/>
  <c r="BP424" i="43"/>
  <c r="BP430" i="43" s="1"/>
  <c r="BO416" i="43"/>
  <c r="BN391" i="43"/>
  <c r="BP417" i="43"/>
  <c r="BP423" i="43" s="1"/>
  <c r="BV379" i="43"/>
  <c r="BV385" i="43" s="1"/>
  <c r="BQ372" i="43"/>
  <c r="BN347" i="43"/>
  <c r="BW372" i="43"/>
  <c r="BP335" i="43"/>
  <c r="BP338" i="43" s="1"/>
  <c r="BP327" i="43"/>
  <c r="BP330" i="43" s="1"/>
  <c r="BP315" i="43"/>
  <c r="BP318" i="43" s="1"/>
  <c r="BP308" i="43"/>
  <c r="BP314" i="43" s="1"/>
  <c r="BO307" i="43"/>
  <c r="BW245" i="43"/>
  <c r="BP240" i="43"/>
  <c r="BP245" i="43" s="1"/>
  <c r="BQ239" i="43"/>
  <c r="BV234" i="43"/>
  <c r="BV239" i="43" s="1"/>
  <c r="BV216" i="43"/>
  <c r="BV221" i="43" s="1"/>
  <c r="BV209" i="43"/>
  <c r="BV215" i="43" s="1"/>
  <c r="BO274" i="43"/>
  <c r="BV116" i="43"/>
  <c r="BV118" i="43" s="1"/>
  <c r="BV108" i="43"/>
  <c r="BV111" i="43" s="1"/>
  <c r="BV89" i="43"/>
  <c r="BV92" i="43" s="1"/>
  <c r="BV72" i="43"/>
  <c r="BV76" i="43" s="1"/>
  <c r="BQ159" i="43"/>
  <c r="BS66" i="43"/>
  <c r="BN72" i="43"/>
  <c r="BN76" i="43" s="1"/>
  <c r="BP65" i="43"/>
  <c r="BP68" i="43" s="1"/>
  <c r="BP57" i="43"/>
  <c r="BP60" i="43" s="1"/>
  <c r="BP32" i="43"/>
  <c r="BP35" i="43" s="1"/>
  <c r="BQ18" i="43"/>
  <c r="BQ27" i="43"/>
  <c r="BX444" i="43"/>
  <c r="BW458" i="43"/>
  <c r="BP259" i="43"/>
  <c r="BP260" i="43" s="1"/>
  <c r="BP105" i="43"/>
  <c r="BP107" i="43" s="1"/>
  <c r="BP183" i="43"/>
  <c r="BP189" i="43" s="1"/>
  <c r="BV160" i="43"/>
  <c r="BV164" i="43" s="1"/>
  <c r="BO278" i="43"/>
  <c r="BW53" i="43"/>
  <c r="BP108" i="43"/>
  <c r="BP111" i="43" s="1"/>
  <c r="BO395" i="43"/>
  <c r="BP101" i="43"/>
  <c r="BP104" i="43" s="1"/>
  <c r="BV40" i="43"/>
  <c r="BV43" i="43" s="1"/>
  <c r="BQ278" i="43"/>
  <c r="BX437" i="43"/>
  <c r="BV417" i="43"/>
  <c r="BV423" i="43" s="1"/>
  <c r="BR451" i="43"/>
  <c r="BW451" i="43"/>
  <c r="BQ430" i="43"/>
  <c r="BV403" i="43"/>
  <c r="BV409" i="43" s="1"/>
  <c r="BO347" i="43"/>
  <c r="BO330" i="43"/>
  <c r="BO318" i="43"/>
  <c r="BP80" i="43"/>
  <c r="BV171" i="43"/>
  <c r="BV176" i="43" s="1"/>
  <c r="BQ35" i="43"/>
  <c r="BV19" i="43"/>
  <c r="BV22" i="43" s="1"/>
  <c r="BW153" i="43"/>
  <c r="BQ115" i="43"/>
  <c r="BV148" i="43"/>
  <c r="BV153" i="43" s="1"/>
  <c r="BM95" i="44"/>
  <c r="BS86" i="44"/>
  <c r="BS95" i="44"/>
  <c r="BM86" i="44"/>
  <c r="BM99" i="44"/>
  <c r="BL407" i="43"/>
  <c r="BT66" i="43"/>
  <c r="BT185" i="43"/>
  <c r="BL284" i="43"/>
  <c r="BL426" i="43"/>
  <c r="BM332" i="43"/>
  <c r="BL247" i="43"/>
  <c r="BS184" i="43"/>
  <c r="BS332" i="43"/>
  <c r="BT184" i="43"/>
  <c r="BL187" i="43"/>
  <c r="BM29" i="44"/>
  <c r="BM78" i="44"/>
  <c r="BM18" i="44"/>
  <c r="BT18" i="44"/>
  <c r="BS18" i="44"/>
  <c r="BM25" i="44"/>
  <c r="BT25" i="44"/>
  <c r="BS25" i="44"/>
  <c r="BM113" i="44"/>
  <c r="BT120" i="44"/>
  <c r="BS120" i="44"/>
  <c r="BM120" i="44"/>
  <c r="BT124" i="44"/>
  <c r="BS124" i="44"/>
  <c r="BM124" i="44"/>
  <c r="BT126" i="44"/>
  <c r="BS126" i="44"/>
  <c r="BM126" i="44"/>
  <c r="BT115" i="44"/>
  <c r="BS115" i="44"/>
  <c r="BM115" i="44"/>
  <c r="BT114" i="44"/>
  <c r="BS114" i="44"/>
  <c r="BM114" i="44"/>
  <c r="BL94" i="44"/>
  <c r="BL107" i="44"/>
  <c r="BS76" i="44"/>
  <c r="BM76" i="44"/>
  <c r="BT76" i="44"/>
  <c r="BM93" i="44"/>
  <c r="BM61" i="44"/>
  <c r="BT61" i="44"/>
  <c r="BS61" i="44"/>
  <c r="BM71" i="44"/>
  <c r="BT51" i="44"/>
  <c r="BS51" i="44"/>
  <c r="BM51" i="44"/>
  <c r="BM30" i="44"/>
  <c r="BT30" i="44"/>
  <c r="BS30" i="44"/>
  <c r="BM31" i="44"/>
  <c r="BT31" i="44"/>
  <c r="BS31" i="44"/>
  <c r="BM20" i="44"/>
  <c r="BM79" i="44"/>
  <c r="BT79" i="44"/>
  <c r="BS79" i="44"/>
  <c r="BS68" i="44"/>
  <c r="BM68" i="44"/>
  <c r="BT68" i="44"/>
  <c r="BS66" i="44"/>
  <c r="BM66" i="44"/>
  <c r="BT66" i="44"/>
  <c r="BT45" i="44"/>
  <c r="BS45" i="44"/>
  <c r="BM45" i="44"/>
  <c r="BT47" i="44"/>
  <c r="BM47" i="44"/>
  <c r="BS47" i="44"/>
  <c r="BS62" i="44"/>
  <c r="BM62" i="44"/>
  <c r="BT62" i="44"/>
  <c r="BM67" i="44"/>
  <c r="BT67" i="44"/>
  <c r="BS67" i="44"/>
  <c r="BM14" i="44"/>
  <c r="BT119" i="44"/>
  <c r="BS119" i="44"/>
  <c r="BM119" i="44"/>
  <c r="BM106" i="44"/>
  <c r="BT106" i="44"/>
  <c r="BS106" i="44"/>
  <c r="BT96" i="44"/>
  <c r="BM96" i="44"/>
  <c r="BS96" i="44"/>
  <c r="BM75" i="44"/>
  <c r="BT75" i="44"/>
  <c r="BS75" i="44"/>
  <c r="BS60" i="44"/>
  <c r="BM60" i="44"/>
  <c r="BT60" i="44"/>
  <c r="BT44" i="44"/>
  <c r="BM44" i="44"/>
  <c r="BS44" i="44"/>
  <c r="BM36" i="44"/>
  <c r="BM37" i="44"/>
  <c r="BT37" i="44"/>
  <c r="BS37" i="44"/>
  <c r="BM26" i="44"/>
  <c r="BT26" i="44"/>
  <c r="BS26" i="44"/>
  <c r="BT46" i="44"/>
  <c r="BM46" i="44"/>
  <c r="BS46" i="44"/>
  <c r="BT55" i="44"/>
  <c r="BM55" i="44"/>
  <c r="BS55" i="44"/>
  <c r="BM109" i="44"/>
  <c r="BT109" i="44"/>
  <c r="BS109" i="44"/>
  <c r="BT59" i="44"/>
  <c r="BM59" i="44"/>
  <c r="BS59" i="44"/>
  <c r="BM65" i="44"/>
  <c r="BT65" i="44"/>
  <c r="BS65" i="44"/>
  <c r="BS72" i="44"/>
  <c r="BM72" i="44"/>
  <c r="BT72" i="44"/>
  <c r="BM41" i="44"/>
  <c r="BT41" i="44"/>
  <c r="BS41" i="44"/>
  <c r="BM103" i="44"/>
  <c r="BM104" i="44" s="1"/>
  <c r="BM122" i="44"/>
  <c r="BT97" i="44"/>
  <c r="BM97" i="44"/>
  <c r="BS97" i="44"/>
  <c r="BT58" i="44"/>
  <c r="BM58" i="44"/>
  <c r="BS58" i="44"/>
  <c r="BT53" i="44"/>
  <c r="BM53" i="44"/>
  <c r="BS53" i="44"/>
  <c r="BM17" i="44"/>
  <c r="BT17" i="44"/>
  <c r="BS17" i="44"/>
  <c r="BM32" i="44"/>
  <c r="BT32" i="44"/>
  <c r="BS32" i="44"/>
  <c r="BM39" i="44"/>
  <c r="BT39" i="44"/>
  <c r="BS39" i="44"/>
  <c r="BM33" i="44"/>
  <c r="BT33" i="44"/>
  <c r="BS33" i="44"/>
  <c r="BM27" i="44"/>
  <c r="BT27" i="44"/>
  <c r="BS27" i="44"/>
  <c r="BM21" i="44"/>
  <c r="BT21" i="44"/>
  <c r="BS21" i="44"/>
  <c r="BM15" i="44"/>
  <c r="BT15" i="44"/>
  <c r="BS15" i="44"/>
  <c r="BM64" i="44"/>
  <c r="BL52" i="44"/>
  <c r="BL90" i="44"/>
  <c r="BS74" i="44"/>
  <c r="BM74" i="44"/>
  <c r="BT74" i="44"/>
  <c r="BM24" i="44"/>
  <c r="BT24" i="44"/>
  <c r="BS24" i="44"/>
  <c r="BT116" i="44"/>
  <c r="BS116" i="44"/>
  <c r="BM116" i="44"/>
  <c r="BT123" i="44"/>
  <c r="BS123" i="44"/>
  <c r="BM123" i="44"/>
  <c r="BT117" i="44"/>
  <c r="BS117" i="44"/>
  <c r="BM117" i="44"/>
  <c r="BT127" i="44"/>
  <c r="BS127" i="44"/>
  <c r="BM127" i="44"/>
  <c r="BT125" i="44"/>
  <c r="BS125" i="44"/>
  <c r="BM125" i="44"/>
  <c r="BT118" i="44"/>
  <c r="BS118" i="44"/>
  <c r="BM118" i="44"/>
  <c r="BL108" i="44"/>
  <c r="BM69" i="44"/>
  <c r="BT69" i="44"/>
  <c r="BS69" i="44"/>
  <c r="BM57" i="44"/>
  <c r="BM73" i="44"/>
  <c r="BT73" i="44"/>
  <c r="BS73" i="44"/>
  <c r="BM80" i="44"/>
  <c r="BS80" i="44"/>
  <c r="BT80" i="44"/>
  <c r="BM23" i="44"/>
  <c r="BT23" i="44"/>
  <c r="BS23" i="44"/>
  <c r="BM16" i="44"/>
  <c r="BT16" i="44"/>
  <c r="BS16" i="44"/>
  <c r="BM38" i="44"/>
  <c r="BT38" i="44"/>
  <c r="BS38" i="44"/>
  <c r="BM34" i="44"/>
  <c r="BT34" i="44"/>
  <c r="BS34" i="44"/>
  <c r="BM22" i="44"/>
  <c r="BT22" i="44"/>
  <c r="BS22" i="44"/>
  <c r="BS29" i="43"/>
  <c r="BT29" i="43"/>
  <c r="BM29" i="43"/>
  <c r="BT429" i="43"/>
  <c r="BS429" i="43"/>
  <c r="BM429" i="43"/>
  <c r="BS310" i="43"/>
  <c r="BM310" i="43"/>
  <c r="BT310" i="43"/>
  <c r="BS323" i="43"/>
  <c r="BM323" i="43"/>
  <c r="BT323" i="43"/>
  <c r="BM252" i="43"/>
  <c r="BM222" i="43"/>
  <c r="BM132" i="43"/>
  <c r="BT132" i="43"/>
  <c r="BS132" i="43"/>
  <c r="BM129" i="43"/>
  <c r="BT129" i="43"/>
  <c r="BS129" i="43"/>
  <c r="BT94" i="43"/>
  <c r="BS94" i="43"/>
  <c r="BM94" i="43"/>
  <c r="BT30" i="43"/>
  <c r="BM30" i="43"/>
  <c r="BS30" i="43"/>
  <c r="BM419" i="43"/>
  <c r="BT419" i="43"/>
  <c r="BS419" i="43"/>
  <c r="BM346" i="43"/>
  <c r="BT346" i="43"/>
  <c r="BS346" i="43"/>
  <c r="BM160" i="43"/>
  <c r="BM144" i="43"/>
  <c r="BT144" i="43"/>
  <c r="BS144" i="43"/>
  <c r="BM105" i="43"/>
  <c r="BM448" i="43"/>
  <c r="BT448" i="43"/>
  <c r="BS448" i="43"/>
  <c r="BM442" i="43"/>
  <c r="BT442" i="43"/>
  <c r="BS442" i="43"/>
  <c r="BT428" i="43"/>
  <c r="BS428" i="43"/>
  <c r="BM428" i="43"/>
  <c r="BT433" i="43"/>
  <c r="BS433" i="43"/>
  <c r="BM433" i="43"/>
  <c r="BM434" i="43"/>
  <c r="BT434" i="43"/>
  <c r="BS434" i="43"/>
  <c r="BL418" i="43"/>
  <c r="BL393" i="43"/>
  <c r="BM389" i="43"/>
  <c r="BT389" i="43"/>
  <c r="BS389" i="43"/>
  <c r="BM415" i="43"/>
  <c r="BT415" i="43"/>
  <c r="BS415" i="43"/>
  <c r="BT380" i="43"/>
  <c r="BS380" i="43"/>
  <c r="BM380" i="43"/>
  <c r="BM400" i="43"/>
  <c r="BT400" i="43"/>
  <c r="BS400" i="43"/>
  <c r="BT381" i="43"/>
  <c r="BS381" i="43"/>
  <c r="BM381" i="43"/>
  <c r="BM349" i="43"/>
  <c r="BT349" i="43"/>
  <c r="BS349" i="43"/>
  <c r="BM359" i="43"/>
  <c r="BT359" i="43"/>
  <c r="BS359" i="43"/>
  <c r="BM371" i="43"/>
  <c r="BT371" i="43"/>
  <c r="BS371" i="43"/>
  <c r="BM357" i="43"/>
  <c r="BT357" i="43"/>
  <c r="BS357" i="43"/>
  <c r="BM325" i="43"/>
  <c r="BM326" i="43" s="1"/>
  <c r="BM319" i="43"/>
  <c r="BS321" i="43"/>
  <c r="BM321" i="43"/>
  <c r="BT321" i="43"/>
  <c r="BS309" i="43"/>
  <c r="BM309" i="43"/>
  <c r="BT309" i="43"/>
  <c r="BM301" i="43"/>
  <c r="BM272" i="43"/>
  <c r="BT272" i="43"/>
  <c r="BS272" i="43"/>
  <c r="BM248" i="43"/>
  <c r="BT248" i="43"/>
  <c r="BS248" i="43"/>
  <c r="BS312" i="43"/>
  <c r="BM312" i="43"/>
  <c r="BT312" i="43"/>
  <c r="BM289" i="43"/>
  <c r="BT289" i="43"/>
  <c r="BS289" i="43"/>
  <c r="BM228" i="43"/>
  <c r="BM210" i="43"/>
  <c r="BT210" i="43"/>
  <c r="BS210" i="43"/>
  <c r="BM206" i="43"/>
  <c r="BT206" i="43"/>
  <c r="BS206" i="43"/>
  <c r="BM192" i="43"/>
  <c r="BT192" i="43"/>
  <c r="BS192" i="43"/>
  <c r="BM230" i="43"/>
  <c r="BT230" i="43"/>
  <c r="BS230" i="43"/>
  <c r="BM177" i="43"/>
  <c r="BM173" i="43"/>
  <c r="BT173" i="43"/>
  <c r="BS173" i="43"/>
  <c r="BM169" i="43"/>
  <c r="BT169" i="43"/>
  <c r="BS169" i="43"/>
  <c r="BM161" i="43"/>
  <c r="BS161" i="43"/>
  <c r="BT161" i="43"/>
  <c r="BM157" i="43"/>
  <c r="BS157" i="43"/>
  <c r="BT157" i="43"/>
  <c r="BM149" i="43"/>
  <c r="BT149" i="43"/>
  <c r="BS149" i="43"/>
  <c r="BM145" i="43"/>
  <c r="BT145" i="43"/>
  <c r="BS145" i="43"/>
  <c r="BL125" i="43"/>
  <c r="BM166" i="43"/>
  <c r="BT166" i="43"/>
  <c r="BS166" i="43"/>
  <c r="BM195" i="43"/>
  <c r="BT195" i="43"/>
  <c r="BS195" i="43"/>
  <c r="BM178" i="43"/>
  <c r="BT178" i="43"/>
  <c r="BS178" i="43"/>
  <c r="BM200" i="43"/>
  <c r="BT200" i="43"/>
  <c r="BS200" i="43"/>
  <c r="BT15" i="43"/>
  <c r="BM15" i="43"/>
  <c r="BS15" i="43"/>
  <c r="BM424" i="43"/>
  <c r="BT432" i="43"/>
  <c r="BS432" i="43"/>
  <c r="BM432" i="43"/>
  <c r="BM420" i="43"/>
  <c r="BT420" i="43"/>
  <c r="BS420" i="43"/>
  <c r="BM390" i="43"/>
  <c r="BT390" i="43"/>
  <c r="BS390" i="43"/>
  <c r="BM362" i="43"/>
  <c r="BT362" i="43"/>
  <c r="BS362" i="43"/>
  <c r="BM351" i="43"/>
  <c r="BT351" i="43"/>
  <c r="BS351" i="43"/>
  <c r="BM286" i="43"/>
  <c r="BM140" i="43"/>
  <c r="BT140" i="43"/>
  <c r="BS140" i="43"/>
  <c r="BS55" i="43"/>
  <c r="BT55" i="43"/>
  <c r="BM55" i="43"/>
  <c r="BM65" i="43"/>
  <c r="BM68" i="43" s="1"/>
  <c r="BM440" i="43"/>
  <c r="BT440" i="43"/>
  <c r="BS440" i="43"/>
  <c r="BM422" i="43"/>
  <c r="BS422" i="43"/>
  <c r="BT422" i="43"/>
  <c r="BM383" i="43"/>
  <c r="BT383" i="43"/>
  <c r="BS383" i="43"/>
  <c r="BM368" i="43"/>
  <c r="BT368" i="43"/>
  <c r="BS368" i="43"/>
  <c r="BM361" i="43"/>
  <c r="BM225" i="43"/>
  <c r="BT225" i="43"/>
  <c r="BS225" i="43"/>
  <c r="BM156" i="43"/>
  <c r="BT156" i="43"/>
  <c r="BS156" i="43"/>
  <c r="BM244" i="43"/>
  <c r="BT244" i="43"/>
  <c r="BS244" i="43"/>
  <c r="BM89" i="43"/>
  <c r="BT16" i="43"/>
  <c r="BM16" i="43"/>
  <c r="BS16" i="43"/>
  <c r="BT52" i="43"/>
  <c r="BS52" i="43"/>
  <c r="BM52" i="43"/>
  <c r="BT464" i="43"/>
  <c r="BS464" i="43"/>
  <c r="BM464" i="43"/>
  <c r="BL435" i="43"/>
  <c r="BT457" i="43"/>
  <c r="BS457" i="43"/>
  <c r="BM457" i="43"/>
  <c r="BT453" i="43"/>
  <c r="BS453" i="43"/>
  <c r="BM453" i="43"/>
  <c r="BM413" i="43"/>
  <c r="BT413" i="43"/>
  <c r="BS413" i="43"/>
  <c r="BM394" i="43"/>
  <c r="BT394" i="43"/>
  <c r="BS394" i="43"/>
  <c r="BM406" i="43"/>
  <c r="BS406" i="43"/>
  <c r="BT406" i="43"/>
  <c r="BM352" i="43"/>
  <c r="BT352" i="43"/>
  <c r="BS352" i="43"/>
  <c r="BM363" i="43"/>
  <c r="BT363" i="43"/>
  <c r="BS363" i="43"/>
  <c r="BM364" i="43"/>
  <c r="BT364" i="43"/>
  <c r="BS364" i="43"/>
  <c r="BM344" i="43"/>
  <c r="BT344" i="43"/>
  <c r="BS344" i="43"/>
  <c r="BS313" i="43"/>
  <c r="BM313" i="43"/>
  <c r="BT313" i="43"/>
  <c r="BM283" i="43"/>
  <c r="BT283" i="43"/>
  <c r="BS283" i="43"/>
  <c r="BM270" i="43"/>
  <c r="BT270" i="43"/>
  <c r="BS270" i="43"/>
  <c r="BM231" i="43"/>
  <c r="BT231" i="43"/>
  <c r="BS231" i="43"/>
  <c r="BL226" i="43"/>
  <c r="BM213" i="43"/>
  <c r="BT213" i="43"/>
  <c r="BS213" i="43"/>
  <c r="BM292" i="43"/>
  <c r="BT292" i="43"/>
  <c r="BS292" i="43"/>
  <c r="BM194" i="43"/>
  <c r="BT194" i="43"/>
  <c r="BS194" i="43"/>
  <c r="BM138" i="43"/>
  <c r="BT138" i="43"/>
  <c r="BS138" i="43"/>
  <c r="BM130" i="43"/>
  <c r="BT130" i="43"/>
  <c r="BS130" i="43"/>
  <c r="BM186" i="43"/>
  <c r="BT186" i="43"/>
  <c r="BS186" i="43"/>
  <c r="BM168" i="43"/>
  <c r="BT168" i="43"/>
  <c r="BS168" i="43"/>
  <c r="BM218" i="43"/>
  <c r="BT218" i="43"/>
  <c r="BS218" i="43"/>
  <c r="BL120" i="43"/>
  <c r="BT114" i="43"/>
  <c r="BS114" i="43"/>
  <c r="BM114" i="43"/>
  <c r="BT106" i="43"/>
  <c r="BS106" i="43"/>
  <c r="BM106" i="43"/>
  <c r="BM49" i="43"/>
  <c r="BT49" i="43"/>
  <c r="BS49" i="43"/>
  <c r="BT24" i="43"/>
  <c r="BS24" i="43"/>
  <c r="BM24" i="43"/>
  <c r="BT62" i="43"/>
  <c r="BM62" i="43"/>
  <c r="BS62" i="43"/>
  <c r="BT37" i="43"/>
  <c r="BS37" i="43"/>
  <c r="BM37" i="43"/>
  <c r="BT25" i="43"/>
  <c r="BS25" i="43"/>
  <c r="BM25" i="43"/>
  <c r="BT17" i="43"/>
  <c r="BM17" i="43"/>
  <c r="BS17" i="43"/>
  <c r="BM126" i="43"/>
  <c r="BT126" i="43"/>
  <c r="BS126" i="43"/>
  <c r="BM242" i="43"/>
  <c r="BT242" i="43"/>
  <c r="BS242" i="43"/>
  <c r="BM180" i="43"/>
  <c r="BT180" i="43"/>
  <c r="BS180" i="43"/>
  <c r="BM136" i="43"/>
  <c r="BT136" i="43"/>
  <c r="BS136" i="43"/>
  <c r="BT117" i="43"/>
  <c r="BS117" i="43"/>
  <c r="BM117" i="43"/>
  <c r="BS42" i="43"/>
  <c r="BM42" i="43"/>
  <c r="BT42" i="43"/>
  <c r="BM446" i="43"/>
  <c r="BT446" i="43"/>
  <c r="BS446" i="43"/>
  <c r="BS449" i="43"/>
  <c r="BM449" i="43"/>
  <c r="BT449" i="43"/>
  <c r="BM408" i="43"/>
  <c r="BS408" i="43"/>
  <c r="BT408" i="43"/>
  <c r="BT374" i="43"/>
  <c r="BS374" i="43"/>
  <c r="BM374" i="43"/>
  <c r="BM356" i="43"/>
  <c r="BT356" i="43"/>
  <c r="BS356" i="43"/>
  <c r="BM367" i="43"/>
  <c r="BT367" i="43"/>
  <c r="BS367" i="43"/>
  <c r="BM250" i="43"/>
  <c r="BT250" i="43"/>
  <c r="BS250" i="43"/>
  <c r="BM280" i="43"/>
  <c r="BT280" i="43"/>
  <c r="BS280" i="43"/>
  <c r="BM207" i="43"/>
  <c r="BT207" i="43"/>
  <c r="BS207" i="43"/>
  <c r="BM148" i="43"/>
  <c r="BM116" i="43"/>
  <c r="BT26" i="43"/>
  <c r="BM26" i="43"/>
  <c r="BS26" i="43"/>
  <c r="BT455" i="43"/>
  <c r="BS455" i="43"/>
  <c r="BM455" i="43"/>
  <c r="BM443" i="43"/>
  <c r="BT443" i="43"/>
  <c r="BS443" i="43"/>
  <c r="BM384" i="43"/>
  <c r="BT384" i="43"/>
  <c r="BS384" i="43"/>
  <c r="BM401" i="43"/>
  <c r="BT401" i="43"/>
  <c r="BS401" i="43"/>
  <c r="BM355" i="43"/>
  <c r="BT355" i="43"/>
  <c r="BS355" i="43"/>
  <c r="BM369" i="43"/>
  <c r="BT369" i="43"/>
  <c r="BS369" i="43"/>
  <c r="BM370" i="43"/>
  <c r="BT370" i="43"/>
  <c r="BS370" i="43"/>
  <c r="BM366" i="43"/>
  <c r="BM345" i="43"/>
  <c r="BT345" i="43"/>
  <c r="BS345" i="43"/>
  <c r="BS317" i="43"/>
  <c r="BM317" i="43"/>
  <c r="BT317" i="43"/>
  <c r="BS311" i="43"/>
  <c r="BM311" i="43"/>
  <c r="BT311" i="43"/>
  <c r="BM256" i="43"/>
  <c r="BT256" i="43"/>
  <c r="BS256" i="43"/>
  <c r="BL211" i="43"/>
  <c r="BM224" i="43"/>
  <c r="BT224" i="43"/>
  <c r="BS224" i="43"/>
  <c r="BM162" i="43"/>
  <c r="BT162" i="43"/>
  <c r="BS162" i="43"/>
  <c r="BM158" i="43"/>
  <c r="BT158" i="43"/>
  <c r="BS158" i="43"/>
  <c r="BM150" i="43"/>
  <c r="BT150" i="43"/>
  <c r="BS150" i="43"/>
  <c r="BM146" i="43"/>
  <c r="BT146" i="43"/>
  <c r="BS146" i="43"/>
  <c r="BM137" i="43"/>
  <c r="BT137" i="43"/>
  <c r="BS137" i="43"/>
  <c r="BM214" i="43"/>
  <c r="BT214" i="43"/>
  <c r="BS214" i="43"/>
  <c r="BM131" i="43"/>
  <c r="BT131" i="43"/>
  <c r="BS131" i="43"/>
  <c r="BL103" i="43"/>
  <c r="BL91" i="43"/>
  <c r="BM223" i="43"/>
  <c r="BT223" i="43"/>
  <c r="BS223" i="43"/>
  <c r="BT113" i="43"/>
  <c r="BS113" i="43"/>
  <c r="BM113" i="43"/>
  <c r="BT98" i="43"/>
  <c r="BS98" i="43"/>
  <c r="BM98" i="43"/>
  <c r="BS45" i="43"/>
  <c r="BM45" i="43"/>
  <c r="BT45" i="43"/>
  <c r="BM32" i="43"/>
  <c r="BM58" i="43"/>
  <c r="BT58" i="43"/>
  <c r="BS58" i="43"/>
  <c r="BT46" i="43"/>
  <c r="BS46" i="43"/>
  <c r="BM46" i="43"/>
  <c r="BT33" i="43"/>
  <c r="BM33" i="43"/>
  <c r="BS33" i="43"/>
  <c r="BT21" i="43"/>
  <c r="BM21" i="43"/>
  <c r="BS21" i="43"/>
  <c r="BT463" i="43"/>
  <c r="BS463" i="43"/>
  <c r="BM463" i="43"/>
  <c r="BS316" i="43"/>
  <c r="BM316" i="43"/>
  <c r="BT316" i="43"/>
  <c r="BM304" i="43"/>
  <c r="BT304" i="43"/>
  <c r="BS304" i="43"/>
  <c r="BM212" i="43"/>
  <c r="BT212" i="43"/>
  <c r="BS212" i="43"/>
  <c r="BM44" i="43"/>
  <c r="BM411" i="43"/>
  <c r="BT411" i="43"/>
  <c r="BS411" i="43"/>
  <c r="BS397" i="43"/>
  <c r="BT397" i="43"/>
  <c r="BM397" i="43"/>
  <c r="BM382" i="43"/>
  <c r="BT382" i="43"/>
  <c r="BS382" i="43"/>
  <c r="BM262" i="43"/>
  <c r="BT262" i="43"/>
  <c r="BS262" i="43"/>
  <c r="BM152" i="43"/>
  <c r="BT152" i="43"/>
  <c r="BS152" i="43"/>
  <c r="BM198" i="43"/>
  <c r="BT198" i="43"/>
  <c r="BS198" i="43"/>
  <c r="BT110" i="43"/>
  <c r="BS110" i="43"/>
  <c r="BM110" i="43"/>
  <c r="BS38" i="43"/>
  <c r="BM38" i="43"/>
  <c r="BT38" i="43"/>
  <c r="BT63" i="43"/>
  <c r="BM63" i="43"/>
  <c r="BS63" i="43"/>
  <c r="BM439" i="43"/>
  <c r="BT439" i="43"/>
  <c r="BS439" i="43"/>
  <c r="BT456" i="43"/>
  <c r="BM456" i="43"/>
  <c r="BS456" i="43"/>
  <c r="BT454" i="43"/>
  <c r="BM454" i="43"/>
  <c r="BS454" i="43"/>
  <c r="BM414" i="43"/>
  <c r="BT414" i="43"/>
  <c r="BS414" i="43"/>
  <c r="BL387" i="43"/>
  <c r="BM412" i="43"/>
  <c r="BT412" i="43"/>
  <c r="BS412" i="43"/>
  <c r="BM388" i="43"/>
  <c r="BT388" i="43"/>
  <c r="BS388" i="43"/>
  <c r="BM358" i="43"/>
  <c r="BT358" i="43"/>
  <c r="BS358" i="43"/>
  <c r="BM350" i="43"/>
  <c r="BT350" i="43"/>
  <c r="BS350" i="43"/>
  <c r="BM421" i="43"/>
  <c r="BT421" i="43"/>
  <c r="BS421" i="43"/>
  <c r="BL340" i="43"/>
  <c r="BM348" i="43"/>
  <c r="BS322" i="43"/>
  <c r="BM322" i="43"/>
  <c r="BT322" i="43"/>
  <c r="BL306" i="43"/>
  <c r="BS320" i="43"/>
  <c r="BM320" i="43"/>
  <c r="BT320" i="43"/>
  <c r="BL276" i="43"/>
  <c r="BM243" i="43"/>
  <c r="BT243" i="43"/>
  <c r="BS243" i="43"/>
  <c r="BM266" i="43"/>
  <c r="BT266" i="43"/>
  <c r="BS266" i="43"/>
  <c r="BM254" i="43"/>
  <c r="BT254" i="43"/>
  <c r="BS254" i="43"/>
  <c r="BM295" i="43"/>
  <c r="BT295" i="43"/>
  <c r="BS295" i="43"/>
  <c r="BM277" i="43"/>
  <c r="BT277" i="43"/>
  <c r="BS277" i="43"/>
  <c r="BM237" i="43"/>
  <c r="BT237" i="43"/>
  <c r="BS237" i="43"/>
  <c r="BM219" i="43"/>
  <c r="BT219" i="43"/>
  <c r="BS219" i="43"/>
  <c r="BM193" i="43"/>
  <c r="BT193" i="43"/>
  <c r="BS193" i="43"/>
  <c r="BM236" i="43"/>
  <c r="BT236" i="43"/>
  <c r="BS236" i="43"/>
  <c r="BM179" i="43"/>
  <c r="BT179" i="43"/>
  <c r="BS179" i="43"/>
  <c r="BM175" i="43"/>
  <c r="BT175" i="43"/>
  <c r="BS175" i="43"/>
  <c r="BM167" i="43"/>
  <c r="BT167" i="43"/>
  <c r="BS167" i="43"/>
  <c r="BM155" i="43"/>
  <c r="BS155" i="43"/>
  <c r="BT155" i="43"/>
  <c r="BM151" i="43"/>
  <c r="BT151" i="43"/>
  <c r="BS151" i="43"/>
  <c r="BM143" i="43"/>
  <c r="BS143" i="43"/>
  <c r="BT143" i="43"/>
  <c r="BM139" i="43"/>
  <c r="BT139" i="43"/>
  <c r="BS139" i="43"/>
  <c r="BM174" i="43"/>
  <c r="BT174" i="43"/>
  <c r="BS174" i="43"/>
  <c r="BM232" i="43"/>
  <c r="BT232" i="43"/>
  <c r="BS232" i="43"/>
  <c r="BM209" i="43"/>
  <c r="BM133" i="43"/>
  <c r="BT133" i="43"/>
  <c r="BS133" i="43"/>
  <c r="BL87" i="43"/>
  <c r="BM172" i="43"/>
  <c r="BT172" i="43"/>
  <c r="BS172" i="43"/>
  <c r="BT102" i="43"/>
  <c r="BS102" i="43"/>
  <c r="BM102" i="43"/>
  <c r="BS59" i="43"/>
  <c r="BT59" i="43"/>
  <c r="BM59" i="43"/>
  <c r="BT34" i="43"/>
  <c r="BS34" i="43"/>
  <c r="BM34" i="43"/>
  <c r="BT20" i="43"/>
  <c r="BM20" i="43"/>
  <c r="BS20" i="43"/>
  <c r="BM12" i="44"/>
  <c r="BM13" i="44" s="1"/>
  <c r="BT177" i="43" l="1"/>
  <c r="BT182" i="43" s="1"/>
  <c r="BL337" i="43"/>
  <c r="BL73" i="43"/>
  <c r="BS32" i="43"/>
  <c r="BS35" i="43" s="1"/>
  <c r="BM203" i="43"/>
  <c r="BM208" i="43" s="1"/>
  <c r="BT14" i="43"/>
  <c r="BT18" i="43" s="1"/>
  <c r="BM51" i="43"/>
  <c r="BM53" i="43" s="1"/>
  <c r="BT32" i="43"/>
  <c r="BT35" i="43" s="1"/>
  <c r="BM36" i="43"/>
  <c r="BM39" i="43" s="1"/>
  <c r="BM23" i="43"/>
  <c r="BM27" i="43" s="1"/>
  <c r="BL398" i="43"/>
  <c r="BL86" i="43"/>
  <c r="BL217" i="43"/>
  <c r="BL460" i="43"/>
  <c r="BL70" i="43"/>
  <c r="BL329" i="43"/>
  <c r="BM392" i="43"/>
  <c r="BM395" i="43" s="1"/>
  <c r="BL235" i="43"/>
  <c r="BL375" i="43"/>
  <c r="BL67" i="43"/>
  <c r="BL427" i="43"/>
  <c r="BL343" i="43"/>
  <c r="BL238" i="43"/>
  <c r="BL191" i="43"/>
  <c r="BM54" i="43"/>
  <c r="BM56" i="43" s="1"/>
  <c r="BL297" i="43"/>
  <c r="BM445" i="43"/>
  <c r="BM451" i="43" s="1"/>
  <c r="BL101" i="44"/>
  <c r="BL48" i="44"/>
  <c r="BL87" i="44"/>
  <c r="BL45" i="44"/>
  <c r="BL95" i="44"/>
  <c r="BM50" i="44"/>
  <c r="BM56" i="44" s="1"/>
  <c r="BT50" i="44"/>
  <c r="BT56" i="44" s="1"/>
  <c r="BL83" i="44"/>
  <c r="BM85" i="44"/>
  <c r="BM88" i="44" s="1"/>
  <c r="BS85" i="44"/>
  <c r="BS88" i="44" s="1"/>
  <c r="BL44" i="44"/>
  <c r="BL65" i="44"/>
  <c r="BL119" i="44"/>
  <c r="BL78" i="43"/>
  <c r="BT275" i="43"/>
  <c r="BT278" i="43" s="1"/>
  <c r="BL255" i="43"/>
  <c r="BL294" i="43"/>
  <c r="BL201" i="43"/>
  <c r="BS410" i="43"/>
  <c r="BS416" i="43" s="1"/>
  <c r="BT54" i="43"/>
  <c r="BT56" i="43" s="1"/>
  <c r="BL249" i="43"/>
  <c r="BL124" i="43"/>
  <c r="BL95" i="43"/>
  <c r="BM269" i="43"/>
  <c r="BM274" i="43" s="1"/>
  <c r="BM379" i="43"/>
  <c r="BM385" i="43" s="1"/>
  <c r="BL287" i="43"/>
  <c r="BM410" i="43"/>
  <c r="BM416" i="43" s="1"/>
  <c r="BM40" i="43"/>
  <c r="BM43" i="43" s="1"/>
  <c r="BM92" i="43"/>
  <c r="BL163" i="43"/>
  <c r="BL281" i="43"/>
  <c r="BM403" i="43"/>
  <c r="BM409" i="43" s="1"/>
  <c r="BL441" i="43"/>
  <c r="BL425" i="43"/>
  <c r="BM102" i="44"/>
  <c r="BM459" i="43"/>
  <c r="BM461" i="43" s="1"/>
  <c r="BL328" i="43"/>
  <c r="BS459" i="43"/>
  <c r="BS461" i="43" s="1"/>
  <c r="BL185" i="43"/>
  <c r="BL79" i="43"/>
  <c r="BT459" i="43"/>
  <c r="BT461" i="43" s="1"/>
  <c r="BT128" i="43"/>
  <c r="BT134" i="43" s="1"/>
  <c r="BT431" i="43"/>
  <c r="BT437" i="43" s="1"/>
  <c r="BM417" i="43"/>
  <c r="BM423" i="43" s="1"/>
  <c r="BL253" i="43"/>
  <c r="BM48" i="43"/>
  <c r="BM50" i="43" s="1"/>
  <c r="BS396" i="43"/>
  <c r="BS402" i="43" s="1"/>
  <c r="BL333" i="43"/>
  <c r="BL303" i="43"/>
  <c r="BL188" i="43"/>
  <c r="BT171" i="43"/>
  <c r="BT176" i="43" s="1"/>
  <c r="BM165" i="43"/>
  <c r="BM170" i="43" s="1"/>
  <c r="BT396" i="43"/>
  <c r="BT402" i="43" s="1"/>
  <c r="BS48" i="43"/>
  <c r="BS50" i="43" s="1"/>
  <c r="BL271" i="43"/>
  <c r="BL184" i="43"/>
  <c r="BM327" i="43"/>
  <c r="BM330" i="43" s="1"/>
  <c r="BM128" i="43"/>
  <c r="BM134" i="43" s="1"/>
  <c r="BS135" i="43"/>
  <c r="BS141" i="43" s="1"/>
  <c r="BL447" i="43"/>
  <c r="BL323" i="43"/>
  <c r="BL121" i="43"/>
  <c r="BM135" i="43"/>
  <c r="BM141" i="43" s="1"/>
  <c r="BT246" i="43"/>
  <c r="BT251" i="43" s="1"/>
  <c r="BS445" i="43"/>
  <c r="BS451" i="43" s="1"/>
  <c r="BM431" i="43"/>
  <c r="BM437" i="43" s="1"/>
  <c r="BL332" i="43"/>
  <c r="BL336" i="43"/>
  <c r="BM246" i="43"/>
  <c r="BM251" i="43" s="1"/>
  <c r="BT445" i="43"/>
  <c r="BT451" i="43" s="1"/>
  <c r="BM57" i="43"/>
  <c r="BM60" i="43" s="1"/>
  <c r="BL273" i="43"/>
  <c r="BL404" i="43"/>
  <c r="BL220" i="43"/>
  <c r="BM112" i="43"/>
  <c r="BM115" i="43" s="1"/>
  <c r="BM183" i="43"/>
  <c r="BM189" i="43" s="1"/>
  <c r="BL442" i="43"/>
  <c r="BM373" i="43"/>
  <c r="BM376" i="43" s="1"/>
  <c r="BL263" i="43"/>
  <c r="BL450" i="43"/>
  <c r="BS216" i="43"/>
  <c r="BS221" i="43" s="1"/>
  <c r="BM275" i="43"/>
  <c r="BM278" i="43" s="1"/>
  <c r="BL90" i="43"/>
  <c r="BL369" i="43"/>
  <c r="BT216" i="43"/>
  <c r="BT221" i="43" s="1"/>
  <c r="BL99" i="43"/>
  <c r="BL296" i="43"/>
  <c r="BM108" i="43"/>
  <c r="BM111" i="43" s="1"/>
  <c r="BS203" i="43"/>
  <c r="BS208" i="43" s="1"/>
  <c r="BL405" i="43"/>
  <c r="BM61" i="43"/>
  <c r="BM64" i="43" s="1"/>
  <c r="BS165" i="43"/>
  <c r="BS170" i="43" s="1"/>
  <c r="BS108" i="43"/>
  <c r="BS111" i="43" s="1"/>
  <c r="BL293" i="43"/>
  <c r="BL26" i="43"/>
  <c r="BS61" i="43"/>
  <c r="BS64" i="43" s="1"/>
  <c r="BS275" i="43"/>
  <c r="BS278" i="43" s="1"/>
  <c r="BT165" i="43"/>
  <c r="BT170" i="43" s="1"/>
  <c r="BT108" i="43"/>
  <c r="BT111" i="43" s="1"/>
  <c r="BL205" i="43"/>
  <c r="BM377" i="43"/>
  <c r="BM378" i="43" s="1"/>
  <c r="BM215" i="43"/>
  <c r="BL288" i="43"/>
  <c r="BL429" i="43"/>
  <c r="BL74" i="43"/>
  <c r="BL83" i="43"/>
  <c r="BL109" i="43"/>
  <c r="BL342" i="43"/>
  <c r="BT452" i="43"/>
  <c r="BT458" i="43" s="1"/>
  <c r="BS452" i="43"/>
  <c r="BS458" i="43" s="1"/>
  <c r="BM452" i="43"/>
  <c r="BM458" i="43" s="1"/>
  <c r="BL25" i="43"/>
  <c r="BM365" i="43"/>
  <c r="BM69" i="43"/>
  <c r="BM71" i="43" s="1"/>
  <c r="BL289" i="43"/>
  <c r="BS377" i="43"/>
  <c r="BS378" i="43" s="1"/>
  <c r="BL269" i="43"/>
  <c r="BL75" i="43"/>
  <c r="BT377" i="43"/>
  <c r="BT378" i="43" s="1"/>
  <c r="BM354" i="43"/>
  <c r="BM360" i="43" s="1"/>
  <c r="BL181" i="43"/>
  <c r="BL392" i="43"/>
  <c r="BM190" i="43"/>
  <c r="BM196" i="43" s="1"/>
  <c r="BS190" i="43"/>
  <c r="BS196" i="43" s="1"/>
  <c r="BS142" i="43"/>
  <c r="BS147" i="43" s="1"/>
  <c r="BT142" i="43"/>
  <c r="BT147" i="43" s="1"/>
  <c r="BL218" i="43"/>
  <c r="BL240" i="43"/>
  <c r="BM118" i="43"/>
  <c r="BM110" i="44"/>
  <c r="BM28" i="44"/>
  <c r="BM128" i="44"/>
  <c r="BM234" i="43"/>
  <c r="BM239" i="43" s="1"/>
  <c r="BM18" i="43"/>
  <c r="BL20" i="43"/>
  <c r="BT308" i="43"/>
  <c r="BT314" i="43" s="1"/>
  <c r="BM335" i="43"/>
  <c r="BM338" i="43" s="1"/>
  <c r="BL464" i="43"/>
  <c r="BM28" i="43"/>
  <c r="BM31" i="43" s="1"/>
  <c r="BM308" i="43"/>
  <c r="BM314" i="43" s="1"/>
  <c r="BL199" i="43"/>
  <c r="BL320" i="43"/>
  <c r="BL66" i="43"/>
  <c r="BL224" i="43"/>
  <c r="BL440" i="43"/>
  <c r="BM35" i="43"/>
  <c r="BM245" i="43"/>
  <c r="BM318" i="43"/>
  <c r="BS28" i="43"/>
  <c r="BS31" i="43" s="1"/>
  <c r="BS245" i="43"/>
  <c r="BT183" i="43"/>
  <c r="BT189" i="43" s="1"/>
  <c r="BM47" i="43"/>
  <c r="BL143" i="43"/>
  <c r="BT28" i="43"/>
  <c r="BT31" i="43" s="1"/>
  <c r="BL436" i="43"/>
  <c r="BM299" i="43"/>
  <c r="BM300" i="43" s="1"/>
  <c r="BT103" i="44"/>
  <c r="BT104" i="44" s="1"/>
  <c r="BT14" i="44"/>
  <c r="BT19" i="44" s="1"/>
  <c r="BS113" i="44"/>
  <c r="BS121" i="44" s="1"/>
  <c r="BS29" i="44"/>
  <c r="BS35" i="44" s="1"/>
  <c r="BT99" i="44"/>
  <c r="BT102" i="44" s="1"/>
  <c r="BL59" i="44"/>
  <c r="BS122" i="44"/>
  <c r="BS128" i="44" s="1"/>
  <c r="BL115" i="44"/>
  <c r="BS14" i="44"/>
  <c r="BS19" i="44" s="1"/>
  <c r="BS20" i="44"/>
  <c r="BS28" i="44" s="1"/>
  <c r="BS71" i="44"/>
  <c r="BS77" i="44" s="1"/>
  <c r="BT113" i="44"/>
  <c r="BT121" i="44" s="1"/>
  <c r="BT29" i="44"/>
  <c r="BT35" i="44" s="1"/>
  <c r="BS110" i="44"/>
  <c r="BT89" i="44"/>
  <c r="BT92" i="44" s="1"/>
  <c r="BM43" i="44"/>
  <c r="BM49" i="44" s="1"/>
  <c r="BT122" i="44"/>
  <c r="BT128" i="44" s="1"/>
  <c r="BL76" i="44"/>
  <c r="BS36" i="44"/>
  <c r="BS42" i="44" s="1"/>
  <c r="BT20" i="44"/>
  <c r="BT28" i="44" s="1"/>
  <c r="BT71" i="44"/>
  <c r="BT77" i="44" s="1"/>
  <c r="BM35" i="44"/>
  <c r="BL86" i="44"/>
  <c r="BT85" i="44"/>
  <c r="BT88" i="44" s="1"/>
  <c r="BL27" i="44"/>
  <c r="BM70" i="44"/>
  <c r="BT36" i="44"/>
  <c r="BT42" i="44" s="1"/>
  <c r="BS50" i="44"/>
  <c r="BS56" i="44" s="1"/>
  <c r="BM77" i="44"/>
  <c r="BS93" i="44"/>
  <c r="BS98" i="44" s="1"/>
  <c r="BT78" i="44"/>
  <c r="BT84" i="44" s="1"/>
  <c r="BM111" i="44"/>
  <c r="BM112" i="44" s="1"/>
  <c r="BT57" i="44"/>
  <c r="BT63" i="44" s="1"/>
  <c r="BT64" i="44"/>
  <c r="BT70" i="44" s="1"/>
  <c r="BS12" i="44"/>
  <c r="BS13" i="44" s="1"/>
  <c r="BL39" i="44"/>
  <c r="BM63" i="44"/>
  <c r="BS64" i="44"/>
  <c r="BS70" i="44" s="1"/>
  <c r="BS103" i="44"/>
  <c r="BS104" i="44" s="1"/>
  <c r="BM42" i="44"/>
  <c r="BM98" i="44"/>
  <c r="BM84" i="44"/>
  <c r="BL15" i="44"/>
  <c r="BT12" i="44"/>
  <c r="BT13" i="44" s="1"/>
  <c r="BS57" i="44"/>
  <c r="BS63" i="44" s="1"/>
  <c r="BM19" i="44"/>
  <c r="BT93" i="44"/>
  <c r="BT98" i="44" s="1"/>
  <c r="BM121" i="44"/>
  <c r="BL100" i="44"/>
  <c r="BS78" i="44"/>
  <c r="BS84" i="44" s="1"/>
  <c r="BS99" i="44"/>
  <c r="BS102" i="44" s="1"/>
  <c r="BT110" i="44"/>
  <c r="BT424" i="43"/>
  <c r="BT430" i="43" s="1"/>
  <c r="BT301" i="43"/>
  <c r="BT307" i="43" s="1"/>
  <c r="BT105" i="43"/>
  <c r="BT107" i="43" s="1"/>
  <c r="BS23" i="43"/>
  <c r="BS27" i="43" s="1"/>
  <c r="BM258" i="43"/>
  <c r="BT335" i="43"/>
  <c r="BT338" i="43" s="1"/>
  <c r="BM279" i="43"/>
  <c r="BM285" i="43" s="1"/>
  <c r="BM331" i="43"/>
  <c r="BM334" i="43" s="1"/>
  <c r="BM147" i="43"/>
  <c r="BL110" i="43"/>
  <c r="BS209" i="43"/>
  <c r="BS215" i="43" s="1"/>
  <c r="BT44" i="43"/>
  <c r="BT47" i="43" s="1"/>
  <c r="BM159" i="43"/>
  <c r="BL292" i="43"/>
  <c r="BS234" i="43"/>
  <c r="BS239" i="43" s="1"/>
  <c r="BL283" i="43"/>
  <c r="BL352" i="43"/>
  <c r="BS116" i="43"/>
  <c r="BS118" i="43" s="1"/>
  <c r="BS148" i="43"/>
  <c r="BS153" i="43" s="1"/>
  <c r="BL149" i="43"/>
  <c r="BT36" i="43"/>
  <c r="BT39" i="43" s="1"/>
  <c r="BL230" i="43"/>
  <c r="BS315" i="43"/>
  <c r="BS318" i="43" s="1"/>
  <c r="BL371" i="43"/>
  <c r="BS89" i="43"/>
  <c r="BS92" i="43" s="1"/>
  <c r="BM430" i="43"/>
  <c r="BS228" i="43"/>
  <c r="BS233" i="43" s="1"/>
  <c r="BM307" i="43"/>
  <c r="BT325" i="43"/>
  <c r="BT326" i="43" s="1"/>
  <c r="BL439" i="43"/>
  <c r="BT23" i="43"/>
  <c r="BT27" i="43" s="1"/>
  <c r="BS222" i="43"/>
  <c r="BS227" i="43" s="1"/>
  <c r="BM81" i="43"/>
  <c r="BM84" i="43" s="1"/>
  <c r="BS269" i="43"/>
  <c r="BS274" i="43" s="1"/>
  <c r="BT274" i="43"/>
  <c r="BM462" i="43"/>
  <c r="BM465" i="43" s="1"/>
  <c r="BM123" i="43"/>
  <c r="BM127" i="43" s="1"/>
  <c r="BM77" i="43"/>
  <c r="BM80" i="43" s="1"/>
  <c r="BM85" i="43"/>
  <c r="BM88" i="43" s="1"/>
  <c r="BM291" i="43"/>
  <c r="BM298" i="43" s="1"/>
  <c r="BT245" i="43"/>
  <c r="BT392" i="43"/>
  <c r="BT395" i="43" s="1"/>
  <c r="BS417" i="43"/>
  <c r="BS423" i="43" s="1"/>
  <c r="BT89" i="43"/>
  <c r="BT92" i="43" s="1"/>
  <c r="BT65" i="43"/>
  <c r="BT68" i="43" s="1"/>
  <c r="BT40" i="43"/>
  <c r="BT43" i="43" s="1"/>
  <c r="BS177" i="43"/>
  <c r="BS182" i="43" s="1"/>
  <c r="BT228" i="43"/>
  <c r="BT233" i="43" s="1"/>
  <c r="BS51" i="43"/>
  <c r="BS53" i="43" s="1"/>
  <c r="BT222" i="43"/>
  <c r="BT227" i="43" s="1"/>
  <c r="BL305" i="43"/>
  <c r="BL138" i="43"/>
  <c r="BM386" i="43"/>
  <c r="BM391" i="43" s="1"/>
  <c r="BM97" i="43"/>
  <c r="BM100" i="43" s="1"/>
  <c r="BM261" i="43"/>
  <c r="BM264" i="43" s="1"/>
  <c r="BM438" i="43"/>
  <c r="BM444" i="43" s="1"/>
  <c r="BM72" i="43"/>
  <c r="BM76" i="43" s="1"/>
  <c r="BT154" i="43"/>
  <c r="BT159" i="43" s="1"/>
  <c r="BS319" i="43"/>
  <c r="BS324" i="43" s="1"/>
  <c r="BT148" i="43"/>
  <c r="BT153" i="43" s="1"/>
  <c r="BS286" i="43"/>
  <c r="BS290" i="43" s="1"/>
  <c r="BS366" i="43"/>
  <c r="BS372" i="43" s="1"/>
  <c r="BM153" i="43"/>
  <c r="BS19" i="43"/>
  <c r="BS22" i="43" s="1"/>
  <c r="BL195" i="43"/>
  <c r="BT417" i="43"/>
  <c r="BT423" i="43" s="1"/>
  <c r="BS361" i="43"/>
  <c r="BS365" i="43" s="1"/>
  <c r="BS65" i="43"/>
  <c r="BS68" i="43" s="1"/>
  <c r="BT286" i="43"/>
  <c r="BT290" i="43" s="1"/>
  <c r="BM233" i="43"/>
  <c r="BS325" i="43"/>
  <c r="BS326" i="43" s="1"/>
  <c r="BL356" i="43"/>
  <c r="BT51" i="43"/>
  <c r="BT53" i="43" s="1"/>
  <c r="BS160" i="43"/>
  <c r="BS164" i="43" s="1"/>
  <c r="BM227" i="43"/>
  <c r="BL169" i="43"/>
  <c r="BM119" i="43"/>
  <c r="BM122" i="43" s="1"/>
  <c r="BS392" i="43"/>
  <c r="BS395" i="43" s="1"/>
  <c r="BM176" i="43"/>
  <c r="BT234" i="43"/>
  <c r="BT239" i="43" s="1"/>
  <c r="BS36" i="43"/>
  <c r="BS39" i="43" s="1"/>
  <c r="BL242" i="43"/>
  <c r="BS128" i="43"/>
  <c r="BS134" i="43" s="1"/>
  <c r="BS171" i="43"/>
  <c r="BS176" i="43" s="1"/>
  <c r="BT348" i="43"/>
  <c r="BT353" i="43" s="1"/>
  <c r="BL380" i="43"/>
  <c r="BT366" i="43"/>
  <c r="BT372" i="43" s="1"/>
  <c r="BT403" i="43"/>
  <c r="BT409" i="43" s="1"/>
  <c r="BL457" i="43"/>
  <c r="BT19" i="43"/>
  <c r="BT22" i="43" s="1"/>
  <c r="BS379" i="43"/>
  <c r="BS385" i="43" s="1"/>
  <c r="BT361" i="43"/>
  <c r="BT365" i="43" s="1"/>
  <c r="BM290" i="43"/>
  <c r="BS112" i="43"/>
  <c r="BS115" i="43" s="1"/>
  <c r="BM182" i="43"/>
  <c r="BT319" i="43"/>
  <c r="BT324" i="43" s="1"/>
  <c r="BM107" i="43"/>
  <c r="BL114" i="43"/>
  <c r="BT160" i="43"/>
  <c r="BT164" i="43" s="1"/>
  <c r="BS54" i="43"/>
  <c r="BS56" i="43" s="1"/>
  <c r="BS252" i="43"/>
  <c r="BS258" i="43" s="1"/>
  <c r="BL15" i="43"/>
  <c r="BM339" i="43"/>
  <c r="BM347" i="43" s="1"/>
  <c r="BM93" i="43"/>
  <c r="BM96" i="43" s="1"/>
  <c r="BM101" i="43"/>
  <c r="BM104" i="43" s="1"/>
  <c r="BT209" i="43"/>
  <c r="BT215" i="43" s="1"/>
  <c r="BS327" i="43"/>
  <c r="BS330" i="43" s="1"/>
  <c r="BS44" i="43"/>
  <c r="BS47" i="43" s="1"/>
  <c r="BT116" i="43"/>
  <c r="BT118" i="43" s="1"/>
  <c r="BT61" i="43"/>
  <c r="BT64" i="43" s="1"/>
  <c r="BT410" i="43"/>
  <c r="BT416" i="43" s="1"/>
  <c r="BL152" i="43"/>
  <c r="BS348" i="43"/>
  <c r="BS353" i="43" s="1"/>
  <c r="BL52" i="43"/>
  <c r="BM353" i="43"/>
  <c r="BS154" i="43"/>
  <c r="BS159" i="43" s="1"/>
  <c r="BM221" i="43"/>
  <c r="BM372" i="43"/>
  <c r="BT203" i="43"/>
  <c r="BT208" i="43" s="1"/>
  <c r="BS14" i="43"/>
  <c r="BS18" i="43" s="1"/>
  <c r="BM22" i="43"/>
  <c r="BT379" i="43"/>
  <c r="BT385" i="43" s="1"/>
  <c r="BS246" i="43"/>
  <c r="BS251" i="43" s="1"/>
  <c r="BS424" i="43"/>
  <c r="BS430" i="43" s="1"/>
  <c r="BT112" i="43"/>
  <c r="BT115" i="43" s="1"/>
  <c r="BS301" i="43"/>
  <c r="BS307" i="43" s="1"/>
  <c r="BM324" i="43"/>
  <c r="BT373" i="43"/>
  <c r="BT376" i="43" s="1"/>
  <c r="BM402" i="43"/>
  <c r="BS105" i="43"/>
  <c r="BS107" i="43" s="1"/>
  <c r="BM164" i="43"/>
  <c r="BT252" i="43"/>
  <c r="BT258" i="43" s="1"/>
  <c r="BM197" i="43"/>
  <c r="BM202" i="43" s="1"/>
  <c r="BM259" i="43"/>
  <c r="BM260" i="43" s="1"/>
  <c r="BM265" i="43"/>
  <c r="BM268" i="43" s="1"/>
  <c r="BT196" i="43"/>
  <c r="BL21" i="44"/>
  <c r="BL68" i="44"/>
  <c r="BL26" i="44"/>
  <c r="BL73" i="44"/>
  <c r="BL31" i="44"/>
  <c r="BL46" i="44"/>
  <c r="BL38" i="44"/>
  <c r="BL193" i="43"/>
  <c r="BL304" i="43"/>
  <c r="BL178" i="43"/>
  <c r="BL30" i="43"/>
  <c r="BL140" i="43"/>
  <c r="BL207" i="43"/>
  <c r="BL250" i="43"/>
  <c r="BL420" i="43"/>
  <c r="BL34" i="43"/>
  <c r="BL192" i="43"/>
  <c r="BL194" i="43"/>
  <c r="BL433" i="43"/>
  <c r="BL446" i="43"/>
  <c r="BL156" i="43"/>
  <c r="BL455" i="43"/>
  <c r="BL29" i="43"/>
  <c r="BL256" i="43"/>
  <c r="BL453" i="43"/>
  <c r="BL24" i="43"/>
  <c r="BL345" i="43"/>
  <c r="BL129" i="43"/>
  <c r="BL130" i="43"/>
  <c r="BL411" i="43"/>
  <c r="BL58" i="43"/>
  <c r="BL137" i="43"/>
  <c r="BL382" i="43"/>
  <c r="BL161" i="43"/>
  <c r="BL394" i="43"/>
  <c r="BL370" i="43"/>
  <c r="BL310" i="43"/>
  <c r="BL364" i="43"/>
  <c r="BL408" i="43"/>
  <c r="BL309" i="43"/>
  <c r="BL434" i="43"/>
  <c r="BL49" i="43"/>
  <c r="BL212" i="43"/>
  <c r="BL243" i="43"/>
  <c r="BL397" i="43"/>
  <c r="BL321" i="43"/>
  <c r="BL58" i="44"/>
  <c r="BL33" i="44"/>
  <c r="BL17" i="44"/>
  <c r="BL16" i="44"/>
  <c r="BL22" i="44"/>
  <c r="BL53" i="44"/>
  <c r="BL117" i="44"/>
  <c r="BL23" i="44"/>
  <c r="BL25" i="44"/>
  <c r="BL96" i="44"/>
  <c r="BL61" i="44"/>
  <c r="BL75" i="44"/>
  <c r="BL41" i="44"/>
  <c r="BL123" i="44"/>
  <c r="BL126" i="44"/>
  <c r="BL109" i="44"/>
  <c r="BL62" i="44"/>
  <c r="BL32" i="44"/>
  <c r="BL69" i="44"/>
  <c r="BL114" i="44"/>
  <c r="BL30" i="44"/>
  <c r="BL116" i="44"/>
  <c r="BL120" i="44"/>
  <c r="BL67" i="44"/>
  <c r="BL34" i="44"/>
  <c r="BL97" i="44"/>
  <c r="BL37" i="44"/>
  <c r="BL106" i="44"/>
  <c r="BL125" i="44"/>
  <c r="BL60" i="44"/>
  <c r="BL72" i="44"/>
  <c r="BL79" i="44"/>
  <c r="BL66" i="44"/>
  <c r="BL55" i="44"/>
  <c r="BL80" i="44"/>
  <c r="BL74" i="44"/>
  <c r="BL118" i="44"/>
  <c r="BL127" i="44"/>
  <c r="BL18" i="44"/>
  <c r="BL24" i="44"/>
  <c r="BL47" i="44"/>
  <c r="BL51" i="44"/>
  <c r="BL124" i="44"/>
  <c r="BL363" i="43"/>
  <c r="BL106" i="43"/>
  <c r="BL63" i="43"/>
  <c r="BL144" i="43"/>
  <c r="BL428" i="43"/>
  <c r="BL55" i="43"/>
  <c r="BL186" i="43"/>
  <c r="BL316" i="43"/>
  <c r="BL432" i="43"/>
  <c r="BL151" i="43"/>
  <c r="BL179" i="43"/>
  <c r="BL359" i="43"/>
  <c r="BL383" i="43"/>
  <c r="BL313" i="43"/>
  <c r="BL350" i="43"/>
  <c r="BL126" i="43"/>
  <c r="BL113" i="43"/>
  <c r="BL131" i="43"/>
  <c r="BL150" i="43"/>
  <c r="BL213" i="43"/>
  <c r="BL254" i="43"/>
  <c r="BL311" i="43"/>
  <c r="BL368" i="43"/>
  <c r="BL422" i="43"/>
  <c r="BL210" i="43"/>
  <c r="BL448" i="43"/>
  <c r="BL456" i="43"/>
  <c r="BL232" i="43"/>
  <c r="BL173" i="43"/>
  <c r="BL388" i="43"/>
  <c r="BL225" i="43"/>
  <c r="BL414" i="43"/>
  <c r="BL374" i="43"/>
  <c r="BL59" i="43"/>
  <c r="BL133" i="43"/>
  <c r="BL155" i="43"/>
  <c r="BL357" i="43"/>
  <c r="BL349" i="43"/>
  <c r="BL401" i="43"/>
  <c r="BL244" i="43"/>
  <c r="BL21" i="43"/>
  <c r="BL223" i="43"/>
  <c r="BL317" i="43"/>
  <c r="BL168" i="43"/>
  <c r="BL358" i="43"/>
  <c r="BL419" i="43"/>
  <c r="BL180" i="43"/>
  <c r="BL38" i="43"/>
  <c r="BL219" i="43"/>
  <c r="BL322" i="43"/>
  <c r="BL146" i="43"/>
  <c r="BL389" i="43"/>
  <c r="BL42" i="43"/>
  <c r="BL117" i="43"/>
  <c r="BL132" i="43"/>
  <c r="BL421" i="43"/>
  <c r="BL351" i="43"/>
  <c r="BL270" i="43"/>
  <c r="BL102" i="43"/>
  <c r="BL172" i="43"/>
  <c r="BL200" i="43"/>
  <c r="BL174" i="43"/>
  <c r="BL400" i="43"/>
  <c r="BL412" i="43"/>
  <c r="BL33" i="43"/>
  <c r="BL158" i="43"/>
  <c r="BL231" i="43"/>
  <c r="BL266" i="43"/>
  <c r="BL280" i="43"/>
  <c r="BL367" i="43"/>
  <c r="BL346" i="43"/>
  <c r="BL443" i="43"/>
  <c r="BL17" i="43"/>
  <c r="BL362" i="43"/>
  <c r="BL277" i="43"/>
  <c r="BL381" i="43"/>
  <c r="BL413" i="43"/>
  <c r="BL406" i="43"/>
  <c r="BL355" i="43"/>
  <c r="BL175" i="43"/>
  <c r="BL98" i="43"/>
  <c r="BL248" i="43"/>
  <c r="BL454" i="43"/>
  <c r="BL16" i="43"/>
  <c r="BL94" i="43"/>
  <c r="BL214" i="43"/>
  <c r="BL157" i="43"/>
  <c r="BL384" i="43"/>
  <c r="BL136" i="43"/>
  <c r="BL262" i="43"/>
  <c r="BL344" i="43"/>
  <c r="BL463" i="43"/>
  <c r="BL166" i="43"/>
  <c r="BL237" i="43"/>
  <c r="BL312" i="43"/>
  <c r="BL139" i="43"/>
  <c r="BL167" i="43"/>
  <c r="BL206" i="43"/>
  <c r="BL37" i="43"/>
  <c r="BL295" i="43"/>
  <c r="BL46" i="43"/>
  <c r="BL45" i="43"/>
  <c r="BL198" i="43"/>
  <c r="BL162" i="43"/>
  <c r="BL272" i="43"/>
  <c r="BL390" i="43"/>
  <c r="BL449" i="43"/>
  <c r="BL62" i="43"/>
  <c r="BL415" i="43"/>
  <c r="BL145" i="43"/>
  <c r="BL236" i="43"/>
  <c r="BL274" i="43" l="1"/>
  <c r="BL245" i="43"/>
  <c r="BL395" i="43"/>
  <c r="BT315" i="43"/>
  <c r="BT318" i="43" s="1"/>
  <c r="BT327" i="43"/>
  <c r="BT330" i="43" s="1"/>
  <c r="BT48" i="43"/>
  <c r="BT50" i="43" s="1"/>
  <c r="BS373" i="43"/>
  <c r="BS376" i="43" s="1"/>
  <c r="BL48" i="43"/>
  <c r="BL50" i="43" s="1"/>
  <c r="BS40" i="43"/>
  <c r="BS43" i="43" s="1"/>
  <c r="BS183" i="43"/>
  <c r="BS189" i="43" s="1"/>
  <c r="BS431" i="43"/>
  <c r="BS437" i="43" s="1"/>
  <c r="BS57" i="43"/>
  <c r="BS60" i="43" s="1"/>
  <c r="BL50" i="44"/>
  <c r="BL56" i="44" s="1"/>
  <c r="BL103" i="44"/>
  <c r="BL104" i="44" s="1"/>
  <c r="BL112" i="43"/>
  <c r="BL115" i="43" s="1"/>
  <c r="BL379" i="43"/>
  <c r="BL385" i="43" s="1"/>
  <c r="BL403" i="43"/>
  <c r="BL409" i="43" s="1"/>
  <c r="BS403" i="43"/>
  <c r="BS409" i="43" s="1"/>
  <c r="BT57" i="43"/>
  <c r="BT60" i="43" s="1"/>
  <c r="BT135" i="43"/>
  <c r="BT141" i="43" s="1"/>
  <c r="BL246" i="43"/>
  <c r="BL251" i="43" s="1"/>
  <c r="BL445" i="43"/>
  <c r="BL451" i="43" s="1"/>
  <c r="BS308" i="43"/>
  <c r="BS314" i="43" s="1"/>
  <c r="BL327" i="43"/>
  <c r="BL330" i="43" s="1"/>
  <c r="BL396" i="43"/>
  <c r="BL402" i="43" s="1"/>
  <c r="BL183" i="43"/>
  <c r="BL189" i="43" s="1"/>
  <c r="BT354" i="43"/>
  <c r="BT360" i="43" s="1"/>
  <c r="BL57" i="43"/>
  <c r="BL60" i="43" s="1"/>
  <c r="BL190" i="43"/>
  <c r="BL196" i="43" s="1"/>
  <c r="BS354" i="43"/>
  <c r="BS360" i="43" s="1"/>
  <c r="BL142" i="43"/>
  <c r="BL147" i="43" s="1"/>
  <c r="BL108" i="43"/>
  <c r="BL111" i="43" s="1"/>
  <c r="BL61" i="43"/>
  <c r="BL64" i="43" s="1"/>
  <c r="BL366" i="43"/>
  <c r="BL372" i="43" s="1"/>
  <c r="BL331" i="43"/>
  <c r="BL334" i="43" s="1"/>
  <c r="BS69" i="43"/>
  <c r="BS71" i="43" s="1"/>
  <c r="BT69" i="43"/>
  <c r="BT71" i="43" s="1"/>
  <c r="BL452" i="43"/>
  <c r="BL458" i="43" s="1"/>
  <c r="BL386" i="43"/>
  <c r="BL391" i="43" s="1"/>
  <c r="BL119" i="43"/>
  <c r="BL122" i="43" s="1"/>
  <c r="BT299" i="43"/>
  <c r="BT300" i="43" s="1"/>
  <c r="BL28" i="43"/>
  <c r="BL31" i="43" s="1"/>
  <c r="BS299" i="43"/>
  <c r="BS300" i="43" s="1"/>
  <c r="BS335" i="43"/>
  <c r="BS338" i="43" s="1"/>
  <c r="BL113" i="44"/>
  <c r="BL121" i="44" s="1"/>
  <c r="BL36" i="44"/>
  <c r="BL42" i="44" s="1"/>
  <c r="BL105" i="44"/>
  <c r="BL110" i="44" s="1"/>
  <c r="BL89" i="44"/>
  <c r="BL92" i="44" s="1"/>
  <c r="BS111" i="44"/>
  <c r="BS112" i="44" s="1"/>
  <c r="BL85" i="44"/>
  <c r="BL88" i="44" s="1"/>
  <c r="BL71" i="44"/>
  <c r="BL77" i="44" s="1"/>
  <c r="BL99" i="44"/>
  <c r="BL102" i="44" s="1"/>
  <c r="BT111" i="44"/>
  <c r="BT112" i="44" s="1"/>
  <c r="BT43" i="44"/>
  <c r="BT49" i="44" s="1"/>
  <c r="BL122" i="44"/>
  <c r="BL128" i="44" s="1"/>
  <c r="BL14" i="44"/>
  <c r="BL19" i="44" s="1"/>
  <c r="BS43" i="44"/>
  <c r="BS49" i="44" s="1"/>
  <c r="BL78" i="44"/>
  <c r="BL84" i="44" s="1"/>
  <c r="BL29" i="44"/>
  <c r="BL35" i="44" s="1"/>
  <c r="BL20" i="44"/>
  <c r="BL28" i="44" s="1"/>
  <c r="BL12" i="44"/>
  <c r="BL13" i="44" s="1"/>
  <c r="BL93" i="44"/>
  <c r="BL98" i="44" s="1"/>
  <c r="BL57" i="44"/>
  <c r="BL63" i="44" s="1"/>
  <c r="BL64" i="44"/>
  <c r="BL70" i="44" s="1"/>
  <c r="BT197" i="43"/>
  <c r="BT202" i="43" s="1"/>
  <c r="BL51" i="43"/>
  <c r="BL53" i="43" s="1"/>
  <c r="BL65" i="43"/>
  <c r="BL68" i="43" s="1"/>
  <c r="BT101" i="43"/>
  <c r="BT104" i="43" s="1"/>
  <c r="BS93" i="43"/>
  <c r="BS96" i="43" s="1"/>
  <c r="BT339" i="43"/>
  <c r="BT347" i="43" s="1"/>
  <c r="BL89" i="43"/>
  <c r="BL92" i="43" s="1"/>
  <c r="BT85" i="43"/>
  <c r="BT88" i="43" s="1"/>
  <c r="BL105" i="43"/>
  <c r="BL107" i="43" s="1"/>
  <c r="BL234" i="43"/>
  <c r="BL239" i="43" s="1"/>
  <c r="BL252" i="43"/>
  <c r="BL258" i="43" s="1"/>
  <c r="BL36" i="43"/>
  <c r="BL39" i="43" s="1"/>
  <c r="BT259" i="43"/>
  <c r="BT260" i="43" s="1"/>
  <c r="BS101" i="43"/>
  <c r="BS104" i="43" s="1"/>
  <c r="BT93" i="43"/>
  <c r="BT96" i="43" s="1"/>
  <c r="BL228" i="43"/>
  <c r="BL233" i="43" s="1"/>
  <c r="BS438" i="43"/>
  <c r="BS444" i="43" s="1"/>
  <c r="BS386" i="43"/>
  <c r="BS391" i="43" s="1"/>
  <c r="BS85" i="43"/>
  <c r="BS88" i="43" s="1"/>
  <c r="BT331" i="43"/>
  <c r="BT334" i="43" s="1"/>
  <c r="BS197" i="43"/>
  <c r="BS202" i="43" s="1"/>
  <c r="BL301" i="43"/>
  <c r="BL307" i="43" s="1"/>
  <c r="BL203" i="43"/>
  <c r="BL208" i="43" s="1"/>
  <c r="BL361" i="43"/>
  <c r="BL365" i="43" s="1"/>
  <c r="BL315" i="43"/>
  <c r="BL318" i="43" s="1"/>
  <c r="BL19" i="43"/>
  <c r="BL22" i="43" s="1"/>
  <c r="BS265" i="43"/>
  <c r="BS268" i="43" s="1"/>
  <c r="BS259" i="43"/>
  <c r="BS260" i="43" s="1"/>
  <c r="BS339" i="43"/>
  <c r="BS347" i="43" s="1"/>
  <c r="BL14" i="43"/>
  <c r="BL18" i="43" s="1"/>
  <c r="BS72" i="43"/>
  <c r="BS76" i="43" s="1"/>
  <c r="BS261" i="43"/>
  <c r="BS264" i="43" s="1"/>
  <c r="BS97" i="43"/>
  <c r="BS100" i="43" s="1"/>
  <c r="BS291" i="43"/>
  <c r="BS298" i="43" s="1"/>
  <c r="BT462" i="43"/>
  <c r="BT465" i="43" s="1"/>
  <c r="BL23" i="43"/>
  <c r="BL27" i="43" s="1"/>
  <c r="BL148" i="43"/>
  <c r="BL153" i="43" s="1"/>
  <c r="BL373" i="43"/>
  <c r="BL376" i="43" s="1"/>
  <c r="BL160" i="43"/>
  <c r="BL164" i="43" s="1"/>
  <c r="BL54" i="43"/>
  <c r="BL56" i="43" s="1"/>
  <c r="BL319" i="43"/>
  <c r="BL324" i="43" s="1"/>
  <c r="BL410" i="43"/>
  <c r="BL416" i="43" s="1"/>
  <c r="BL209" i="43"/>
  <c r="BL215" i="43" s="1"/>
  <c r="BL431" i="43"/>
  <c r="BL437" i="43" s="1"/>
  <c r="BS119" i="43"/>
  <c r="BS122" i="43" s="1"/>
  <c r="BT72" i="43"/>
  <c r="BT76" i="43" s="1"/>
  <c r="BT438" i="43"/>
  <c r="BT444" i="43" s="1"/>
  <c r="BT261" i="43"/>
  <c r="BT264" i="43" s="1"/>
  <c r="BT97" i="43"/>
  <c r="BT100" i="43" s="1"/>
  <c r="BL325" i="43"/>
  <c r="BL326" i="43" s="1"/>
  <c r="BT291" i="43"/>
  <c r="BT298" i="43" s="1"/>
  <c r="BS123" i="43"/>
  <c r="BS127" i="43" s="1"/>
  <c r="BS462" i="43"/>
  <c r="BS465" i="43" s="1"/>
  <c r="BL171" i="43"/>
  <c r="BL176" i="43" s="1"/>
  <c r="BL424" i="43"/>
  <c r="BL430" i="43" s="1"/>
  <c r="BL286" i="43"/>
  <c r="BL290" i="43" s="1"/>
  <c r="BL128" i="43"/>
  <c r="BL134" i="43" s="1"/>
  <c r="BL417" i="43"/>
  <c r="BL423" i="43" s="1"/>
  <c r="BL44" i="43"/>
  <c r="BL47" i="43" s="1"/>
  <c r="BL348" i="43"/>
  <c r="BL353" i="43" s="1"/>
  <c r="BL32" i="43"/>
  <c r="BL35" i="43" s="1"/>
  <c r="BL40" i="43"/>
  <c r="BL43" i="43" s="1"/>
  <c r="BL222" i="43"/>
  <c r="BL227" i="43" s="1"/>
  <c r="BL116" i="43"/>
  <c r="BL118" i="43" s="1"/>
  <c r="BT265" i="43"/>
  <c r="BT268" i="43" s="1"/>
  <c r="BS81" i="43"/>
  <c r="BS84" i="43" s="1"/>
  <c r="BL154" i="43"/>
  <c r="BL159" i="43" s="1"/>
  <c r="BL177" i="43"/>
  <c r="BL182" i="43" s="1"/>
  <c r="BT119" i="43"/>
  <c r="BT122" i="43" s="1"/>
  <c r="BT386" i="43"/>
  <c r="BT391" i="43" s="1"/>
  <c r="BS77" i="43"/>
  <c r="BS80" i="43" s="1"/>
  <c r="BT123" i="43"/>
  <c r="BT127" i="43" s="1"/>
  <c r="BS279" i="43"/>
  <c r="BS285" i="43" s="1"/>
  <c r="BT77" i="43"/>
  <c r="BT80" i="43" s="1"/>
  <c r="BT81" i="43"/>
  <c r="BT84" i="43" s="1"/>
  <c r="BS331" i="43"/>
  <c r="BS334" i="43" s="1"/>
  <c r="BT279" i="43"/>
  <c r="BT285" i="43" s="1"/>
  <c r="BY133" i="44"/>
  <c r="BZ133" i="44"/>
  <c r="CA133" i="44"/>
  <c r="CB133" i="44"/>
  <c r="CC133" i="44"/>
  <c r="CD133" i="44"/>
  <c r="BY134" i="44"/>
  <c r="BZ134" i="44"/>
  <c r="CA134" i="44"/>
  <c r="CB134" i="44"/>
  <c r="CC134" i="44"/>
  <c r="CD134" i="44"/>
  <c r="BY135" i="44"/>
  <c r="BZ135" i="44"/>
  <c r="CA135" i="44"/>
  <c r="CB135" i="44"/>
  <c r="CC135" i="44"/>
  <c r="CD135" i="44"/>
  <c r="BY136" i="44"/>
  <c r="BZ136" i="44"/>
  <c r="CA136" i="44"/>
  <c r="CB136" i="44"/>
  <c r="CC136" i="44"/>
  <c r="CD136" i="44"/>
  <c r="BY137" i="44"/>
  <c r="BZ137" i="44"/>
  <c r="CA137" i="44"/>
  <c r="CB137" i="44"/>
  <c r="CC137" i="44"/>
  <c r="CD137" i="44"/>
  <c r="BY138" i="44"/>
  <c r="BZ138" i="44"/>
  <c r="CA138" i="44"/>
  <c r="CB138" i="44"/>
  <c r="CC138" i="44"/>
  <c r="CD138" i="44"/>
  <c r="BY139" i="44"/>
  <c r="BZ139" i="44"/>
  <c r="CA139" i="44"/>
  <c r="CB139" i="44"/>
  <c r="CC139" i="44"/>
  <c r="CD139" i="44"/>
  <c r="BY140" i="44"/>
  <c r="BZ140" i="44"/>
  <c r="CA140" i="44"/>
  <c r="CB140" i="44"/>
  <c r="CC140" i="44"/>
  <c r="CD140" i="44"/>
  <c r="BY141" i="44"/>
  <c r="BZ141" i="44"/>
  <c r="CA141" i="44"/>
  <c r="CB141" i="44"/>
  <c r="CC141" i="44"/>
  <c r="CD141" i="44"/>
  <c r="BY142" i="44"/>
  <c r="BZ142" i="44"/>
  <c r="CA142" i="44"/>
  <c r="CB142" i="44"/>
  <c r="CC142" i="44"/>
  <c r="CD142" i="44"/>
  <c r="BY470" i="43"/>
  <c r="BR27" i="47" s="1"/>
  <c r="BZ470" i="43"/>
  <c r="CA470" i="43"/>
  <c r="CB470" i="43"/>
  <c r="BU27" i="47" s="1"/>
  <c r="CC470" i="43"/>
  <c r="BV27" i="47" s="1"/>
  <c r="CD470" i="43"/>
  <c r="BW27" i="47" s="1"/>
  <c r="BY471" i="43"/>
  <c r="BR28" i="47" s="1"/>
  <c r="BZ471" i="43"/>
  <c r="CA471" i="43"/>
  <c r="BT28" i="47" s="1"/>
  <c r="CB471" i="43"/>
  <c r="CC471" i="43"/>
  <c r="CD471" i="43"/>
  <c r="BW28" i="47" s="1"/>
  <c r="BY472" i="43"/>
  <c r="BR29" i="47" s="1"/>
  <c r="BZ472" i="43"/>
  <c r="BS29" i="47" s="1"/>
  <c r="CA472" i="43"/>
  <c r="BT29" i="47" s="1"/>
  <c r="CB472" i="43"/>
  <c r="CC472" i="43"/>
  <c r="BV29" i="47" s="1"/>
  <c r="CD472" i="43"/>
  <c r="BY473" i="43"/>
  <c r="BZ473" i="43"/>
  <c r="BS30" i="47" s="1"/>
  <c r="CA473" i="43"/>
  <c r="BT30" i="47" s="1"/>
  <c r="CB473" i="43"/>
  <c r="BU30" i="47" s="1"/>
  <c r="CC473" i="43"/>
  <c r="BV30" i="47" s="1"/>
  <c r="CD473" i="43"/>
  <c r="BY474" i="43"/>
  <c r="BR31" i="47" s="1"/>
  <c r="BZ474" i="43"/>
  <c r="CA474" i="43"/>
  <c r="CB474" i="43"/>
  <c r="BU31" i="47" s="1"/>
  <c r="CC474" i="43"/>
  <c r="BV31" i="47" s="1"/>
  <c r="CD474" i="43"/>
  <c r="BW31" i="47" s="1"/>
  <c r="BY475" i="43"/>
  <c r="BR32" i="47" s="1"/>
  <c r="BZ475" i="43"/>
  <c r="CA475" i="43"/>
  <c r="BT32" i="47" s="1"/>
  <c r="CB475" i="43"/>
  <c r="CC475" i="43"/>
  <c r="CD475" i="43"/>
  <c r="BW32" i="47" s="1"/>
  <c r="BY476" i="43"/>
  <c r="BR33" i="47" s="1"/>
  <c r="BZ476" i="43"/>
  <c r="BS33" i="47" s="1"/>
  <c r="CA476" i="43"/>
  <c r="BT33" i="47" s="1"/>
  <c r="CB476" i="43"/>
  <c r="CC476" i="43"/>
  <c r="BV33" i="47" s="1"/>
  <c r="CD476" i="43"/>
  <c r="BY477" i="43"/>
  <c r="BZ477" i="43"/>
  <c r="BS34" i="47" s="1"/>
  <c r="CA477" i="43"/>
  <c r="BT34" i="47" s="1"/>
  <c r="CB477" i="43"/>
  <c r="BU34" i="47" s="1"/>
  <c r="CC477" i="43"/>
  <c r="BV34" i="47" s="1"/>
  <c r="CD477" i="43"/>
  <c r="BY478" i="43"/>
  <c r="BR35" i="47" s="1"/>
  <c r="BZ478" i="43"/>
  <c r="CA478" i="43"/>
  <c r="CB478" i="43"/>
  <c r="BU35" i="47" s="1"/>
  <c r="CC478" i="43"/>
  <c r="BV35" i="47" s="1"/>
  <c r="CD478" i="43"/>
  <c r="BW35" i="47" s="1"/>
  <c r="BY479" i="43"/>
  <c r="BR36" i="47" s="1"/>
  <c r="BZ479" i="43"/>
  <c r="CA479" i="43"/>
  <c r="CB479" i="43"/>
  <c r="CC479" i="43"/>
  <c r="CD479" i="43"/>
  <c r="BW36" i="47" s="1"/>
  <c r="CD128" i="44"/>
  <c r="CC128" i="44"/>
  <c r="CB128" i="44"/>
  <c r="CA128" i="44"/>
  <c r="BZ128" i="44"/>
  <c r="BY128" i="44"/>
  <c r="CD121" i="44"/>
  <c r="CC121" i="44"/>
  <c r="CB121" i="44"/>
  <c r="CA121" i="44"/>
  <c r="BZ121" i="44"/>
  <c r="BY121" i="44"/>
  <c r="CD112" i="44"/>
  <c r="CC112" i="44"/>
  <c r="CB112" i="44"/>
  <c r="CA112" i="44"/>
  <c r="BZ112" i="44"/>
  <c r="BY112" i="44"/>
  <c r="CD110" i="44"/>
  <c r="CC110" i="44"/>
  <c r="CB110" i="44"/>
  <c r="CA110" i="44"/>
  <c r="BZ110" i="44"/>
  <c r="BY110" i="44"/>
  <c r="CD104" i="44"/>
  <c r="CC104" i="44"/>
  <c r="CB104" i="44"/>
  <c r="CA104" i="44"/>
  <c r="BZ104" i="44"/>
  <c r="BY104" i="44"/>
  <c r="CD102" i="44"/>
  <c r="CC102" i="44"/>
  <c r="CB102" i="44"/>
  <c r="CA102" i="44"/>
  <c r="BZ102" i="44"/>
  <c r="BY102" i="44"/>
  <c r="CD98" i="44"/>
  <c r="CC98" i="44"/>
  <c r="CB98" i="44"/>
  <c r="CA98" i="44"/>
  <c r="BZ98" i="44"/>
  <c r="BY98" i="44"/>
  <c r="CD92" i="44"/>
  <c r="CC92" i="44"/>
  <c r="CB92" i="44"/>
  <c r="CA92" i="44"/>
  <c r="BZ92" i="44"/>
  <c r="BY92" i="44"/>
  <c r="CD88" i="44"/>
  <c r="CC88" i="44"/>
  <c r="CB88" i="44"/>
  <c r="CA88" i="44"/>
  <c r="BZ88" i="44"/>
  <c r="BY88" i="44"/>
  <c r="CD84" i="44"/>
  <c r="CC84" i="44"/>
  <c r="CB84" i="44"/>
  <c r="CA84" i="44"/>
  <c r="BZ84" i="44"/>
  <c r="BY84" i="44"/>
  <c r="CD77" i="44"/>
  <c r="CC77" i="44"/>
  <c r="CB77" i="44"/>
  <c r="CA77" i="44"/>
  <c r="BZ77" i="44"/>
  <c r="BY77" i="44"/>
  <c r="CD70" i="44"/>
  <c r="CC70" i="44"/>
  <c r="CB70" i="44"/>
  <c r="CA70" i="44"/>
  <c r="BZ70" i="44"/>
  <c r="BY70" i="44"/>
  <c r="CD63" i="44"/>
  <c r="CC63" i="44"/>
  <c r="CB63" i="44"/>
  <c r="CA63" i="44"/>
  <c r="BZ63" i="44"/>
  <c r="BY63" i="44"/>
  <c r="CD56" i="44"/>
  <c r="CC56" i="44"/>
  <c r="CB56" i="44"/>
  <c r="CA56" i="44"/>
  <c r="BZ56" i="44"/>
  <c r="BY56" i="44"/>
  <c r="CD49" i="44"/>
  <c r="CC49" i="44"/>
  <c r="CB49" i="44"/>
  <c r="CA49" i="44"/>
  <c r="BZ49" i="44"/>
  <c r="BY49" i="44"/>
  <c r="CD42" i="44"/>
  <c r="CC42" i="44"/>
  <c r="CB42" i="44"/>
  <c r="CA42" i="44"/>
  <c r="BZ42" i="44"/>
  <c r="BY42" i="44"/>
  <c r="CD35" i="44"/>
  <c r="CC35" i="44"/>
  <c r="CB35" i="44"/>
  <c r="CA35" i="44"/>
  <c r="BZ35" i="44"/>
  <c r="BY35" i="44"/>
  <c r="CD28" i="44"/>
  <c r="CC28" i="44"/>
  <c r="CB28" i="44"/>
  <c r="CA28" i="44"/>
  <c r="BZ28" i="44"/>
  <c r="BY28" i="44"/>
  <c r="CD19" i="44"/>
  <c r="CC19" i="44"/>
  <c r="CB19" i="44"/>
  <c r="CA19" i="44"/>
  <c r="BZ19" i="44"/>
  <c r="BY19" i="44"/>
  <c r="CD13" i="44"/>
  <c r="CC13" i="44"/>
  <c r="CB13" i="44"/>
  <c r="CA13" i="44"/>
  <c r="BZ13" i="44"/>
  <c r="BY13" i="44"/>
  <c r="CD465" i="43"/>
  <c r="CC465" i="43"/>
  <c r="CB465" i="43"/>
  <c r="CA465" i="43"/>
  <c r="BZ465" i="43"/>
  <c r="BY465" i="43"/>
  <c r="CD461" i="43"/>
  <c r="CC461" i="43"/>
  <c r="CB461" i="43"/>
  <c r="CA461" i="43"/>
  <c r="BZ461" i="43"/>
  <c r="BY461" i="43"/>
  <c r="CD458" i="43"/>
  <c r="CC458" i="43"/>
  <c r="CB458" i="43"/>
  <c r="CA458" i="43"/>
  <c r="BZ458" i="43"/>
  <c r="BY458" i="43"/>
  <c r="CD451" i="43"/>
  <c r="CC451" i="43"/>
  <c r="CB451" i="43"/>
  <c r="CA451" i="43"/>
  <c r="BZ451" i="43"/>
  <c r="BY451" i="43"/>
  <c r="CD444" i="43"/>
  <c r="CC444" i="43"/>
  <c r="CB444" i="43"/>
  <c r="CA444" i="43"/>
  <c r="BZ444" i="43"/>
  <c r="BY444" i="43"/>
  <c r="CD437" i="43"/>
  <c r="CC437" i="43"/>
  <c r="CB437" i="43"/>
  <c r="CA437" i="43"/>
  <c r="BZ437" i="43"/>
  <c r="BY437" i="43"/>
  <c r="CD430" i="43"/>
  <c r="CC430" i="43"/>
  <c r="CB430" i="43"/>
  <c r="CA430" i="43"/>
  <c r="BZ430" i="43"/>
  <c r="BY430" i="43"/>
  <c r="CD423" i="43"/>
  <c r="CC423" i="43"/>
  <c r="CB423" i="43"/>
  <c r="CA423" i="43"/>
  <c r="BZ423" i="43"/>
  <c r="BY423" i="43"/>
  <c r="CD416" i="43"/>
  <c r="CC416" i="43"/>
  <c r="CB416" i="43"/>
  <c r="CA416" i="43"/>
  <c r="BZ416" i="43"/>
  <c r="BY416" i="43"/>
  <c r="CD409" i="43"/>
  <c r="CC409" i="43"/>
  <c r="CB409" i="43"/>
  <c r="CA409" i="43"/>
  <c r="BZ409" i="43"/>
  <c r="BY409" i="43"/>
  <c r="CD402" i="43"/>
  <c r="CC402" i="43"/>
  <c r="CB402" i="43"/>
  <c r="CA402" i="43"/>
  <c r="BZ402" i="43"/>
  <c r="BY402" i="43"/>
  <c r="CD395" i="43"/>
  <c r="CC395" i="43"/>
  <c r="CB395" i="43"/>
  <c r="CA395" i="43"/>
  <c r="BZ395" i="43"/>
  <c r="BY395" i="43"/>
  <c r="CD391" i="43"/>
  <c r="CC391" i="43"/>
  <c r="CB391" i="43"/>
  <c r="CA391" i="43"/>
  <c r="BZ391" i="43"/>
  <c r="BY391" i="43"/>
  <c r="CD385" i="43"/>
  <c r="CC385" i="43"/>
  <c r="CB385" i="43"/>
  <c r="CA385" i="43"/>
  <c r="BZ385" i="43"/>
  <c r="BY385" i="43"/>
  <c r="CD378" i="43"/>
  <c r="CC378" i="43"/>
  <c r="CB378" i="43"/>
  <c r="CA378" i="43"/>
  <c r="BZ378" i="43"/>
  <c r="BY378" i="43"/>
  <c r="CD376" i="43"/>
  <c r="CC376" i="43"/>
  <c r="CB376" i="43"/>
  <c r="CA376" i="43"/>
  <c r="BZ376" i="43"/>
  <c r="BY376" i="43"/>
  <c r="CD372" i="43"/>
  <c r="CC372" i="43"/>
  <c r="CB372" i="43"/>
  <c r="CA372" i="43"/>
  <c r="BZ372" i="43"/>
  <c r="BY372" i="43"/>
  <c r="CD365" i="43"/>
  <c r="CC365" i="43"/>
  <c r="CB365" i="43"/>
  <c r="CA365" i="43"/>
  <c r="BZ365" i="43"/>
  <c r="BY365" i="43"/>
  <c r="CD360" i="43"/>
  <c r="CC360" i="43"/>
  <c r="CB360" i="43"/>
  <c r="CA360" i="43"/>
  <c r="BZ360" i="43"/>
  <c r="BY360" i="43"/>
  <c r="CD353" i="43"/>
  <c r="CC353" i="43"/>
  <c r="CB353" i="43"/>
  <c r="CA353" i="43"/>
  <c r="BZ353" i="43"/>
  <c r="BY353" i="43"/>
  <c r="CD347" i="43"/>
  <c r="CC347" i="43"/>
  <c r="CB347" i="43"/>
  <c r="CA347" i="43"/>
  <c r="BZ347" i="43"/>
  <c r="BY347" i="43"/>
  <c r="CD338" i="43"/>
  <c r="CC338" i="43"/>
  <c r="CB338" i="43"/>
  <c r="CA338" i="43"/>
  <c r="BZ338" i="43"/>
  <c r="BY338" i="43"/>
  <c r="CD334" i="43"/>
  <c r="CC334" i="43"/>
  <c r="CB334" i="43"/>
  <c r="CA334" i="43"/>
  <c r="BZ334" i="43"/>
  <c r="BY334" i="43"/>
  <c r="CD330" i="43"/>
  <c r="CC330" i="43"/>
  <c r="CB330" i="43"/>
  <c r="CA330" i="43"/>
  <c r="BZ330" i="43"/>
  <c r="BY330" i="43"/>
  <c r="CD326" i="43"/>
  <c r="CC326" i="43"/>
  <c r="CB326" i="43"/>
  <c r="CA326" i="43"/>
  <c r="BZ326" i="43"/>
  <c r="BY326" i="43"/>
  <c r="CD324" i="43"/>
  <c r="CC324" i="43"/>
  <c r="CB324" i="43"/>
  <c r="CA324" i="43"/>
  <c r="BZ324" i="43"/>
  <c r="BY324" i="43"/>
  <c r="CD318" i="43"/>
  <c r="CC318" i="43"/>
  <c r="CB318" i="43"/>
  <c r="CA318" i="43"/>
  <c r="BZ318" i="43"/>
  <c r="BY318" i="43"/>
  <c r="CD314" i="43"/>
  <c r="CC314" i="43"/>
  <c r="CB314" i="43"/>
  <c r="CA314" i="43"/>
  <c r="BZ314" i="43"/>
  <c r="BY314" i="43"/>
  <c r="CD307" i="43"/>
  <c r="CC307" i="43"/>
  <c r="CB307" i="43"/>
  <c r="CA307" i="43"/>
  <c r="BZ307" i="43"/>
  <c r="BY307" i="43"/>
  <c r="CD300" i="43"/>
  <c r="CC300" i="43"/>
  <c r="CB300" i="43"/>
  <c r="CA300" i="43"/>
  <c r="BZ300" i="43"/>
  <c r="BY300" i="43"/>
  <c r="CD298" i="43"/>
  <c r="CC298" i="43"/>
  <c r="CB298" i="43"/>
  <c r="CA298" i="43"/>
  <c r="BZ298" i="43"/>
  <c r="BY298" i="43"/>
  <c r="CD290" i="43"/>
  <c r="CC290" i="43"/>
  <c r="CB290" i="43"/>
  <c r="CA290" i="43"/>
  <c r="BZ290" i="43"/>
  <c r="BY290" i="43"/>
  <c r="CD285" i="43"/>
  <c r="CC285" i="43"/>
  <c r="CB285" i="43"/>
  <c r="CA285" i="43"/>
  <c r="BZ285" i="43"/>
  <c r="BY285" i="43"/>
  <c r="CD278" i="43"/>
  <c r="CC278" i="43"/>
  <c r="CB278" i="43"/>
  <c r="CA278" i="43"/>
  <c r="BZ278" i="43"/>
  <c r="BY278" i="43"/>
  <c r="CD274" i="43"/>
  <c r="CC274" i="43"/>
  <c r="CB274" i="43"/>
  <c r="CA274" i="43"/>
  <c r="BZ274" i="43"/>
  <c r="BY274" i="43"/>
  <c r="CD268" i="43"/>
  <c r="CC268" i="43"/>
  <c r="CB268" i="43"/>
  <c r="CA268" i="43"/>
  <c r="BZ268" i="43"/>
  <c r="BY268" i="43"/>
  <c r="CD264" i="43"/>
  <c r="CC264" i="43"/>
  <c r="CB264" i="43"/>
  <c r="CA264" i="43"/>
  <c r="BZ264" i="43"/>
  <c r="BY264" i="43"/>
  <c r="CD260" i="43"/>
  <c r="CC260" i="43"/>
  <c r="CB260" i="43"/>
  <c r="CA260" i="43"/>
  <c r="BZ260" i="43"/>
  <c r="BY260" i="43"/>
  <c r="CD258" i="43"/>
  <c r="CC258" i="43"/>
  <c r="CB258" i="43"/>
  <c r="CA258" i="43"/>
  <c r="BZ258" i="43"/>
  <c r="BY258" i="43"/>
  <c r="CD251" i="43"/>
  <c r="CC251" i="43"/>
  <c r="CB251" i="43"/>
  <c r="CA251" i="43"/>
  <c r="BZ251" i="43"/>
  <c r="BY251" i="43"/>
  <c r="CD245" i="43"/>
  <c r="CC245" i="43"/>
  <c r="CB245" i="43"/>
  <c r="CA245" i="43"/>
  <c r="BZ245" i="43"/>
  <c r="BY245" i="43"/>
  <c r="CD239" i="43"/>
  <c r="CC239" i="43"/>
  <c r="CB239" i="43"/>
  <c r="CA239" i="43"/>
  <c r="BZ239" i="43"/>
  <c r="BY239" i="43"/>
  <c r="CD233" i="43"/>
  <c r="CC233" i="43"/>
  <c r="CB233" i="43"/>
  <c r="CA233" i="43"/>
  <c r="BZ233" i="43"/>
  <c r="BY233" i="43"/>
  <c r="CD227" i="43"/>
  <c r="CC227" i="43"/>
  <c r="CB227" i="43"/>
  <c r="CA227" i="43"/>
  <c r="BZ227" i="43"/>
  <c r="BY227" i="43"/>
  <c r="CD221" i="43"/>
  <c r="CC221" i="43"/>
  <c r="CB221" i="43"/>
  <c r="CA221" i="43"/>
  <c r="BZ221" i="43"/>
  <c r="BY221" i="43"/>
  <c r="CD215" i="43"/>
  <c r="CC215" i="43"/>
  <c r="CB215" i="43"/>
  <c r="CA215" i="43"/>
  <c r="BZ215" i="43"/>
  <c r="BY215" i="43"/>
  <c r="CD208" i="43"/>
  <c r="CC208" i="43"/>
  <c r="CB208" i="43"/>
  <c r="CA208" i="43"/>
  <c r="BZ208" i="43"/>
  <c r="BY208" i="43"/>
  <c r="CD202" i="43"/>
  <c r="CC202" i="43"/>
  <c r="CB202" i="43"/>
  <c r="CA202" i="43"/>
  <c r="BZ202" i="43"/>
  <c r="BY202" i="43"/>
  <c r="CD196" i="43"/>
  <c r="CC196" i="43"/>
  <c r="CB196" i="43"/>
  <c r="CA196" i="43"/>
  <c r="BZ196" i="43"/>
  <c r="BY196" i="43"/>
  <c r="CD189" i="43"/>
  <c r="CC189" i="43"/>
  <c r="CB189" i="43"/>
  <c r="CA189" i="43"/>
  <c r="BZ189" i="43"/>
  <c r="BY189" i="43"/>
  <c r="CD182" i="43"/>
  <c r="CC182" i="43"/>
  <c r="CB182" i="43"/>
  <c r="CA182" i="43"/>
  <c r="BZ182" i="43"/>
  <c r="BY182" i="43"/>
  <c r="CD176" i="43"/>
  <c r="CC176" i="43"/>
  <c r="CB176" i="43"/>
  <c r="CA176" i="43"/>
  <c r="BZ176" i="43"/>
  <c r="BY176" i="43"/>
  <c r="CD170" i="43"/>
  <c r="CC170" i="43"/>
  <c r="CB170" i="43"/>
  <c r="CA170" i="43"/>
  <c r="BZ170" i="43"/>
  <c r="BY170" i="43"/>
  <c r="CD164" i="43"/>
  <c r="CC164" i="43"/>
  <c r="CB164" i="43"/>
  <c r="CA164" i="43"/>
  <c r="BZ164" i="43"/>
  <c r="BY164" i="43"/>
  <c r="CD159" i="43"/>
  <c r="CC159" i="43"/>
  <c r="CB159" i="43"/>
  <c r="CA159" i="43"/>
  <c r="BZ159" i="43"/>
  <c r="BY159" i="43"/>
  <c r="CD153" i="43"/>
  <c r="CC153" i="43"/>
  <c r="CB153" i="43"/>
  <c r="CA153" i="43"/>
  <c r="BZ153" i="43"/>
  <c r="BY153" i="43"/>
  <c r="CD147" i="43"/>
  <c r="CC147" i="43"/>
  <c r="CB147" i="43"/>
  <c r="CA147" i="43"/>
  <c r="BZ147" i="43"/>
  <c r="BY147" i="43"/>
  <c r="CD141" i="43"/>
  <c r="CC141" i="43"/>
  <c r="CB141" i="43"/>
  <c r="CA141" i="43"/>
  <c r="BZ141" i="43"/>
  <c r="BY141" i="43"/>
  <c r="CD134" i="43"/>
  <c r="CC134" i="43"/>
  <c r="CB134" i="43"/>
  <c r="CA134" i="43"/>
  <c r="BZ134" i="43"/>
  <c r="BY134" i="43"/>
  <c r="CD127" i="43"/>
  <c r="CC127" i="43"/>
  <c r="CB127" i="43"/>
  <c r="CA127" i="43"/>
  <c r="BZ127" i="43"/>
  <c r="BY127" i="43"/>
  <c r="CD122" i="43"/>
  <c r="CC122" i="43"/>
  <c r="CB122" i="43"/>
  <c r="CA122" i="43"/>
  <c r="BZ122" i="43"/>
  <c r="BY122" i="43"/>
  <c r="CD118" i="43"/>
  <c r="CC118" i="43"/>
  <c r="CB118" i="43"/>
  <c r="CA118" i="43"/>
  <c r="BZ118" i="43"/>
  <c r="BY118" i="43"/>
  <c r="CD115" i="43"/>
  <c r="CC115" i="43"/>
  <c r="CB115" i="43"/>
  <c r="CA115" i="43"/>
  <c r="BZ115" i="43"/>
  <c r="BY115" i="43"/>
  <c r="CD111" i="43"/>
  <c r="CC111" i="43"/>
  <c r="CB111" i="43"/>
  <c r="CA111" i="43"/>
  <c r="BZ111" i="43"/>
  <c r="BY111" i="43"/>
  <c r="CD107" i="43"/>
  <c r="CC107" i="43"/>
  <c r="CB107" i="43"/>
  <c r="CA107" i="43"/>
  <c r="BZ107" i="43"/>
  <c r="BY107" i="43"/>
  <c r="CD104" i="43"/>
  <c r="CC104" i="43"/>
  <c r="CB104" i="43"/>
  <c r="CA104" i="43"/>
  <c r="BZ104" i="43"/>
  <c r="BY104" i="43"/>
  <c r="CD100" i="43"/>
  <c r="CC100" i="43"/>
  <c r="CB100" i="43"/>
  <c r="CA100" i="43"/>
  <c r="BZ100" i="43"/>
  <c r="BY100" i="43"/>
  <c r="CD96" i="43"/>
  <c r="CC96" i="43"/>
  <c r="CB96" i="43"/>
  <c r="CA96" i="43"/>
  <c r="BZ96" i="43"/>
  <c r="BY96" i="43"/>
  <c r="CD92" i="43"/>
  <c r="CC92" i="43"/>
  <c r="CB92" i="43"/>
  <c r="CA92" i="43"/>
  <c r="BZ92" i="43"/>
  <c r="BY92" i="43"/>
  <c r="CD88" i="43"/>
  <c r="CC88" i="43"/>
  <c r="CB88" i="43"/>
  <c r="CA88" i="43"/>
  <c r="BZ88" i="43"/>
  <c r="BY88" i="43"/>
  <c r="CD84" i="43"/>
  <c r="CC84" i="43"/>
  <c r="CB84" i="43"/>
  <c r="CA84" i="43"/>
  <c r="BZ84" i="43"/>
  <c r="BY84" i="43"/>
  <c r="CD80" i="43"/>
  <c r="CC80" i="43"/>
  <c r="CB80" i="43"/>
  <c r="CA80" i="43"/>
  <c r="BZ80" i="43"/>
  <c r="BY80" i="43"/>
  <c r="CD76" i="43"/>
  <c r="CC76" i="43"/>
  <c r="CB76" i="43"/>
  <c r="CA76" i="43"/>
  <c r="BZ76" i="43"/>
  <c r="BY76" i="43"/>
  <c r="CD71" i="43"/>
  <c r="CC71" i="43"/>
  <c r="CB71" i="43"/>
  <c r="CA71" i="43"/>
  <c r="BZ71" i="43"/>
  <c r="BY71" i="43"/>
  <c r="CD68" i="43"/>
  <c r="CC68" i="43"/>
  <c r="CB68" i="43"/>
  <c r="CA68" i="43"/>
  <c r="BZ68" i="43"/>
  <c r="BY68" i="43"/>
  <c r="CD64" i="43"/>
  <c r="CC64" i="43"/>
  <c r="CB64" i="43"/>
  <c r="CA64" i="43"/>
  <c r="BZ64" i="43"/>
  <c r="BY64" i="43"/>
  <c r="CD60" i="43"/>
  <c r="CC60" i="43"/>
  <c r="CB60" i="43"/>
  <c r="CA60" i="43"/>
  <c r="BZ60" i="43"/>
  <c r="BY60" i="43"/>
  <c r="CD56" i="43"/>
  <c r="CC56" i="43"/>
  <c r="CB56" i="43"/>
  <c r="CA56" i="43"/>
  <c r="BZ56" i="43"/>
  <c r="BY56" i="43"/>
  <c r="CD53" i="43"/>
  <c r="CC53" i="43"/>
  <c r="CB53" i="43"/>
  <c r="CA53" i="43"/>
  <c r="BZ53" i="43"/>
  <c r="BY53" i="43"/>
  <c r="CD50" i="43"/>
  <c r="CC50" i="43"/>
  <c r="CB50" i="43"/>
  <c r="CA50" i="43"/>
  <c r="BZ50" i="43"/>
  <c r="BY50" i="43"/>
  <c r="CD47" i="43"/>
  <c r="CC47" i="43"/>
  <c r="CB47" i="43"/>
  <c r="CA47" i="43"/>
  <c r="BZ47" i="43"/>
  <c r="BY47" i="43"/>
  <c r="CD43" i="43"/>
  <c r="CC43" i="43"/>
  <c r="CB43" i="43"/>
  <c r="CA43" i="43"/>
  <c r="BZ43" i="43"/>
  <c r="BY43" i="43"/>
  <c r="CD39" i="43"/>
  <c r="CC39" i="43"/>
  <c r="CB39" i="43"/>
  <c r="CA39" i="43"/>
  <c r="BZ39" i="43"/>
  <c r="BY39" i="43"/>
  <c r="CD35" i="43"/>
  <c r="CC35" i="43"/>
  <c r="CB35" i="43"/>
  <c r="CA35" i="43"/>
  <c r="BZ35" i="43"/>
  <c r="BY35" i="43"/>
  <c r="CD31" i="43"/>
  <c r="CC31" i="43"/>
  <c r="CB31" i="43"/>
  <c r="CA31" i="43"/>
  <c r="BZ31" i="43"/>
  <c r="BY31" i="43"/>
  <c r="CD27" i="43"/>
  <c r="CC27" i="43"/>
  <c r="CB27" i="43"/>
  <c r="CA27" i="43"/>
  <c r="BZ27" i="43"/>
  <c r="BY27" i="43"/>
  <c r="CD22" i="43"/>
  <c r="CC22" i="43"/>
  <c r="CB22" i="43"/>
  <c r="CA22" i="43"/>
  <c r="BZ22" i="43"/>
  <c r="BY22" i="43"/>
  <c r="CD18" i="43"/>
  <c r="CC18" i="43"/>
  <c r="CB18" i="43"/>
  <c r="CA18" i="43"/>
  <c r="BZ18" i="43"/>
  <c r="BY18" i="43"/>
  <c r="CD13" i="43"/>
  <c r="CC13" i="43"/>
  <c r="CB13" i="43"/>
  <c r="CA13" i="43"/>
  <c r="BZ13" i="43"/>
  <c r="BY13" i="43"/>
  <c r="BV36" i="47" l="1"/>
  <c r="BR34" i="47"/>
  <c r="BV32" i="47"/>
  <c r="BT31" i="47"/>
  <c r="BR30" i="47"/>
  <c r="BV28" i="47"/>
  <c r="BT27" i="47"/>
  <c r="BS36" i="47"/>
  <c r="BW34" i="47"/>
  <c r="BU33" i="47"/>
  <c r="BS32" i="47"/>
  <c r="BW30" i="47"/>
  <c r="BU29" i="47"/>
  <c r="BS28" i="47"/>
  <c r="BU36" i="47"/>
  <c r="BS35" i="47"/>
  <c r="BW33" i="47"/>
  <c r="BU32" i="47"/>
  <c r="BS31" i="47"/>
  <c r="BW29" i="47"/>
  <c r="BU28" i="47"/>
  <c r="BS27" i="47"/>
  <c r="BT35" i="47"/>
  <c r="BT36" i="47"/>
  <c r="BL135" i="43"/>
  <c r="BL141" i="43" s="1"/>
  <c r="BL275" i="43"/>
  <c r="BL278" i="43" s="1"/>
  <c r="BL459" i="43"/>
  <c r="BL461" i="43" s="1"/>
  <c r="BL216" i="43"/>
  <c r="BL221" i="43" s="1"/>
  <c r="BL81" i="43"/>
  <c r="BL84" i="43" s="1"/>
  <c r="BL69" i="43"/>
  <c r="BL71" i="43" s="1"/>
  <c r="BL308" i="43"/>
  <c r="BL314" i="43" s="1"/>
  <c r="BL438" i="43"/>
  <c r="BL444" i="43" s="1"/>
  <c r="BL354" i="43"/>
  <c r="BL360" i="43" s="1"/>
  <c r="BL123" i="43"/>
  <c r="BL127" i="43" s="1"/>
  <c r="BL299" i="43"/>
  <c r="BL300" i="43" s="1"/>
  <c r="BL165" i="43"/>
  <c r="BL170" i="43" s="1"/>
  <c r="BL377" i="43"/>
  <c r="BL378" i="43" s="1"/>
  <c r="BL335" i="43"/>
  <c r="BL338" i="43" s="1"/>
  <c r="BL43" i="44"/>
  <c r="BL49" i="44" s="1"/>
  <c r="BL111" i="44"/>
  <c r="BL112" i="44" s="1"/>
  <c r="BL77" i="43"/>
  <c r="BL80" i="43" s="1"/>
  <c r="BL101" i="43"/>
  <c r="BL104" i="43" s="1"/>
  <c r="BL291" i="43"/>
  <c r="BL298" i="43" s="1"/>
  <c r="BL261" i="43"/>
  <c r="BL264" i="43" s="1"/>
  <c r="BL339" i="43"/>
  <c r="BL347" i="43" s="1"/>
  <c r="BL97" i="43"/>
  <c r="BL100" i="43" s="1"/>
  <c r="BL462" i="43"/>
  <c r="BL465" i="43" s="1"/>
  <c r="BL72" i="43"/>
  <c r="BL76" i="43" s="1"/>
  <c r="BL85" i="43"/>
  <c r="BL88" i="43" s="1"/>
  <c r="BL279" i="43"/>
  <c r="BL285" i="43" s="1"/>
  <c r="BL265" i="43"/>
  <c r="BL268" i="43" s="1"/>
  <c r="BL197" i="43"/>
  <c r="BL202" i="43" s="1"/>
  <c r="BL259" i="43"/>
  <c r="BL260" i="43" s="1"/>
  <c r="BL93" i="43"/>
  <c r="BL96" i="43" s="1"/>
  <c r="BY129" i="44"/>
  <c r="BR14" i="47" s="1"/>
  <c r="BZ129" i="44"/>
  <c r="BS14" i="47" s="1"/>
  <c r="CA129" i="44"/>
  <c r="BT14" i="47" s="1"/>
  <c r="CB129" i="44"/>
  <c r="BU14" i="47" s="1"/>
  <c r="CC129" i="44"/>
  <c r="BV14" i="47" s="1"/>
  <c r="CD129" i="44"/>
  <c r="BW14" i="47" s="1"/>
  <c r="CC132" i="44"/>
  <c r="CB132" i="44"/>
  <c r="CA132" i="44"/>
  <c r="BZ132" i="44"/>
  <c r="CD132" i="44"/>
  <c r="BY132" i="44"/>
  <c r="CD466" i="43"/>
  <c r="BW13" i="47" s="1"/>
  <c r="BZ466" i="43"/>
  <c r="BS13" i="47" s="1"/>
  <c r="CB466" i="43"/>
  <c r="BU13" i="47" s="1"/>
  <c r="CA466" i="43"/>
  <c r="BT13" i="47" s="1"/>
  <c r="CC466" i="43"/>
  <c r="BV13" i="47" s="1"/>
  <c r="BY466" i="43"/>
  <c r="BR13" i="47" s="1"/>
  <c r="CD469" i="43"/>
  <c r="CC469" i="43"/>
  <c r="CB469" i="43"/>
  <c r="CA469" i="43"/>
  <c r="BZ469" i="43"/>
  <c r="BY469" i="43"/>
  <c r="BY467" i="43" l="1"/>
  <c r="BY130" i="44"/>
  <c r="BY468" i="43"/>
  <c r="BY131" i="44"/>
  <c r="BW26" i="47"/>
  <c r="BV26" i="47"/>
  <c r="BR26" i="47"/>
  <c r="BT26" i="47"/>
  <c r="BW23" i="47"/>
  <c r="BU26" i="47"/>
  <c r="BS26" i="47"/>
  <c r="BV23" i="47"/>
  <c r="BU23" i="47"/>
  <c r="BT23" i="47"/>
  <c r="BR25" i="47" l="1"/>
  <c r="BS23" i="47"/>
  <c r="BR24" i="47" s="1"/>
  <c r="N466" i="43" l="1"/>
  <c r="G13" i="47" s="1"/>
  <c r="O466" i="43"/>
  <c r="H13" i="47" s="1"/>
  <c r="M467" i="43" l="1"/>
  <c r="K133" i="44"/>
  <c r="L133" i="44"/>
  <c r="N133" i="44"/>
  <c r="O133" i="44"/>
  <c r="P133" i="44"/>
  <c r="Q133" i="44"/>
  <c r="R133" i="44"/>
  <c r="T133" i="44"/>
  <c r="U133" i="44"/>
  <c r="X133" i="44"/>
  <c r="Y133" i="44"/>
  <c r="Z133" i="44"/>
  <c r="AA133" i="44"/>
  <c r="T27" i="47" s="1"/>
  <c r="AC133" i="44"/>
  <c r="AD133" i="44"/>
  <c r="AH133" i="44"/>
  <c r="AI133" i="44"/>
  <c r="AJ133" i="44"/>
  <c r="AK133" i="44"/>
  <c r="AL133" i="44"/>
  <c r="AU133" i="44"/>
  <c r="AW133" i="44"/>
  <c r="AZ133" i="44"/>
  <c r="BA133" i="44"/>
  <c r="BB133" i="44"/>
  <c r="BC133" i="44"/>
  <c r="BD133" i="44"/>
  <c r="AW27" i="47" s="1"/>
  <c r="BE133" i="44"/>
  <c r="BG133" i="44"/>
  <c r="BH133" i="44"/>
  <c r="K134" i="44"/>
  <c r="L134" i="44"/>
  <c r="N134" i="44"/>
  <c r="O134" i="44"/>
  <c r="P134" i="44"/>
  <c r="Q134" i="44"/>
  <c r="R134" i="44"/>
  <c r="T134" i="44"/>
  <c r="U134" i="44"/>
  <c r="X134" i="44"/>
  <c r="Y134" i="44"/>
  <c r="Z134" i="44"/>
  <c r="AA134" i="44"/>
  <c r="T28" i="47" s="1"/>
  <c r="AC134" i="44"/>
  <c r="AD134" i="44"/>
  <c r="AH134" i="44"/>
  <c r="AI134" i="44"/>
  <c r="AJ134" i="44"/>
  <c r="AK134" i="44"/>
  <c r="AL134" i="44"/>
  <c r="AU134" i="44"/>
  <c r="AW134" i="44"/>
  <c r="AP28" i="47" s="1"/>
  <c r="AZ134" i="44"/>
  <c r="BA134" i="44"/>
  <c r="BB134" i="44"/>
  <c r="BC134" i="44"/>
  <c r="BD134" i="44"/>
  <c r="AW28" i="47" s="1"/>
  <c r="BE134" i="44"/>
  <c r="BG134" i="44"/>
  <c r="BH134" i="44"/>
  <c r="K135" i="44"/>
  <c r="L135" i="44"/>
  <c r="N135" i="44"/>
  <c r="O135" i="44"/>
  <c r="P135" i="44"/>
  <c r="Q135" i="44"/>
  <c r="R135" i="44"/>
  <c r="T135" i="44"/>
  <c r="U135" i="44"/>
  <c r="X135" i="44"/>
  <c r="Y135" i="44"/>
  <c r="Z135" i="44"/>
  <c r="AA135" i="44"/>
  <c r="T29" i="47" s="1"/>
  <c r="AC135" i="44"/>
  <c r="AD135" i="44"/>
  <c r="AH135" i="44"/>
  <c r="AI135" i="44"/>
  <c r="AJ135" i="44"/>
  <c r="AK135" i="44"/>
  <c r="AL135" i="44"/>
  <c r="AU135" i="44"/>
  <c r="AW135" i="44"/>
  <c r="AP29" i="47" s="1"/>
  <c r="AZ135" i="44"/>
  <c r="BA135" i="44"/>
  <c r="BB135" i="44"/>
  <c r="BC135" i="44"/>
  <c r="BD135" i="44"/>
  <c r="AW29" i="47" s="1"/>
  <c r="BE135" i="44"/>
  <c r="BG135" i="44"/>
  <c r="BH135" i="44"/>
  <c r="K136" i="44"/>
  <c r="L136" i="44"/>
  <c r="N136" i="44"/>
  <c r="O136" i="44"/>
  <c r="P136" i="44"/>
  <c r="Q136" i="44"/>
  <c r="R136" i="44"/>
  <c r="T136" i="44"/>
  <c r="U136" i="44"/>
  <c r="X136" i="44"/>
  <c r="Y136" i="44"/>
  <c r="Z136" i="44"/>
  <c r="AA136" i="44"/>
  <c r="T30" i="47" s="1"/>
  <c r="AC136" i="44"/>
  <c r="AD136" i="44"/>
  <c r="AH136" i="44"/>
  <c r="AI136" i="44"/>
  <c r="AJ136" i="44"/>
  <c r="AK136" i="44"/>
  <c r="AL136" i="44"/>
  <c r="AU136" i="44"/>
  <c r="AW136" i="44"/>
  <c r="AP30" i="47" s="1"/>
  <c r="AZ136" i="44"/>
  <c r="BA136" i="44"/>
  <c r="BB136" i="44"/>
  <c r="BC136" i="44"/>
  <c r="BD136" i="44"/>
  <c r="AW30" i="47" s="1"/>
  <c r="BE136" i="44"/>
  <c r="BG136" i="44"/>
  <c r="BH136" i="44"/>
  <c r="J137" i="44"/>
  <c r="K137" i="44"/>
  <c r="L137" i="44"/>
  <c r="M137" i="44"/>
  <c r="N137" i="44"/>
  <c r="O137" i="44"/>
  <c r="P137" i="44"/>
  <c r="Q137" i="44"/>
  <c r="R137" i="44"/>
  <c r="S137" i="44"/>
  <c r="T137" i="44"/>
  <c r="U137" i="44"/>
  <c r="V137" i="44"/>
  <c r="W137" i="44"/>
  <c r="X137" i="44"/>
  <c r="Y137" i="44"/>
  <c r="Z137" i="44"/>
  <c r="AA137" i="44"/>
  <c r="T31" i="47" s="1"/>
  <c r="AC137" i="44"/>
  <c r="AD137" i="44"/>
  <c r="AE137" i="44"/>
  <c r="AF137" i="44"/>
  <c r="AG137" i="44"/>
  <c r="AH137" i="44"/>
  <c r="AI137" i="44"/>
  <c r="AJ137" i="44"/>
  <c r="AK137" i="44"/>
  <c r="AL137" i="44"/>
  <c r="AM137" i="44"/>
  <c r="AN137" i="44"/>
  <c r="AO137" i="44"/>
  <c r="AP137" i="44"/>
  <c r="AQ137" i="44"/>
  <c r="AR137" i="44"/>
  <c r="AS137" i="44"/>
  <c r="AT137" i="44"/>
  <c r="AU137" i="44"/>
  <c r="AW137" i="44"/>
  <c r="AP31" i="47" s="1"/>
  <c r="AX137" i="44"/>
  <c r="AY137" i="44"/>
  <c r="AZ137" i="44"/>
  <c r="BA137" i="44"/>
  <c r="BB137" i="44"/>
  <c r="BC137" i="44"/>
  <c r="BD137" i="44"/>
  <c r="AW31" i="47" s="1"/>
  <c r="BE137" i="44"/>
  <c r="BG137" i="44"/>
  <c r="BH137" i="44"/>
  <c r="BI137" i="44"/>
  <c r="BJ137" i="44"/>
  <c r="BK137" i="44"/>
  <c r="BL137" i="44"/>
  <c r="BM137" i="44"/>
  <c r="BN137" i="44"/>
  <c r="BO137" i="44"/>
  <c r="BP137" i="44"/>
  <c r="BQ137" i="44"/>
  <c r="BR137" i="44"/>
  <c r="BS137" i="44"/>
  <c r="BT137" i="44"/>
  <c r="BU137" i="44"/>
  <c r="BV137" i="44"/>
  <c r="BW137" i="44"/>
  <c r="BX137" i="44"/>
  <c r="J138" i="44"/>
  <c r="K138" i="44"/>
  <c r="L138" i="44"/>
  <c r="M138" i="44"/>
  <c r="N138" i="44"/>
  <c r="O138" i="44"/>
  <c r="P138" i="44"/>
  <c r="Q138" i="44"/>
  <c r="R138" i="44"/>
  <c r="S138" i="44"/>
  <c r="T138" i="44"/>
  <c r="U138" i="44"/>
  <c r="V138" i="44"/>
  <c r="W138" i="44"/>
  <c r="X138" i="44"/>
  <c r="Y138" i="44"/>
  <c r="Z138" i="44"/>
  <c r="AA138" i="44"/>
  <c r="T32" i="47" s="1"/>
  <c r="AC138" i="44"/>
  <c r="AD138" i="44"/>
  <c r="AE138" i="44"/>
  <c r="AF138" i="44"/>
  <c r="AG138" i="44"/>
  <c r="AH138" i="44"/>
  <c r="AI138" i="44"/>
  <c r="AJ138" i="44"/>
  <c r="AK138" i="44"/>
  <c r="AL138" i="44"/>
  <c r="AM138" i="44"/>
  <c r="AN138" i="44"/>
  <c r="AO138" i="44"/>
  <c r="AP138" i="44"/>
  <c r="AQ138" i="44"/>
  <c r="AR138" i="44"/>
  <c r="AS138" i="44"/>
  <c r="AT138" i="44"/>
  <c r="AU138" i="44"/>
  <c r="AW138" i="44"/>
  <c r="AP32" i="47" s="1"/>
  <c r="AX138" i="44"/>
  <c r="AY138" i="44"/>
  <c r="AZ138" i="44"/>
  <c r="BA138" i="44"/>
  <c r="BB138" i="44"/>
  <c r="BC138" i="44"/>
  <c r="BD138" i="44"/>
  <c r="AW32" i="47" s="1"/>
  <c r="BE138" i="44"/>
  <c r="BG138" i="44"/>
  <c r="BH138" i="44"/>
  <c r="BI138" i="44"/>
  <c r="BJ138" i="44"/>
  <c r="BK138" i="44"/>
  <c r="BL138" i="44"/>
  <c r="BM138" i="44"/>
  <c r="BN138" i="44"/>
  <c r="BO138" i="44"/>
  <c r="BP138" i="44"/>
  <c r="BQ138" i="44"/>
  <c r="BR138" i="44"/>
  <c r="BS138" i="44"/>
  <c r="BT138" i="44"/>
  <c r="BU138" i="44"/>
  <c r="BV138" i="44"/>
  <c r="BW138" i="44"/>
  <c r="BX138" i="44"/>
  <c r="K139" i="44"/>
  <c r="L139" i="44"/>
  <c r="N139" i="44"/>
  <c r="O139" i="44"/>
  <c r="R139" i="44"/>
  <c r="T139" i="44"/>
  <c r="U139" i="44"/>
  <c r="X139" i="44"/>
  <c r="Y139" i="44"/>
  <c r="Z139" i="44"/>
  <c r="AA139" i="44"/>
  <c r="T33" i="47" s="1"/>
  <c r="AC139" i="44"/>
  <c r="AD139" i="44"/>
  <c r="AH139" i="44"/>
  <c r="AI139" i="44"/>
  <c r="AJ139" i="44"/>
  <c r="AK139" i="44"/>
  <c r="AL139" i="44"/>
  <c r="AU139" i="44"/>
  <c r="AW139" i="44"/>
  <c r="AP33" i="47" s="1"/>
  <c r="AZ139" i="44"/>
  <c r="BA139" i="44"/>
  <c r="BB139" i="44"/>
  <c r="BC139" i="44"/>
  <c r="BD139" i="44"/>
  <c r="AW33" i="47" s="1"/>
  <c r="BE139" i="44"/>
  <c r="BG139" i="44"/>
  <c r="BH139" i="44"/>
  <c r="K140" i="44"/>
  <c r="L140" i="44"/>
  <c r="N140" i="44"/>
  <c r="O140" i="44"/>
  <c r="P140" i="44"/>
  <c r="Q140" i="44"/>
  <c r="R140" i="44"/>
  <c r="T140" i="44"/>
  <c r="U140" i="44"/>
  <c r="X140" i="44"/>
  <c r="Y140" i="44"/>
  <c r="Z140" i="44"/>
  <c r="AA140" i="44"/>
  <c r="T34" i="47" s="1"/>
  <c r="AC140" i="44"/>
  <c r="AD140" i="44"/>
  <c r="AH140" i="44"/>
  <c r="AI140" i="44"/>
  <c r="AJ140" i="44"/>
  <c r="AK140" i="44"/>
  <c r="AL140" i="44"/>
  <c r="AU140" i="44"/>
  <c r="AW140" i="44"/>
  <c r="AP34" i="47" s="1"/>
  <c r="AZ140" i="44"/>
  <c r="BA140" i="44"/>
  <c r="BB140" i="44"/>
  <c r="BC140" i="44"/>
  <c r="BD140" i="44"/>
  <c r="AW34" i="47" s="1"/>
  <c r="BE140" i="44"/>
  <c r="BG140" i="44"/>
  <c r="BH140" i="44"/>
  <c r="K141" i="44"/>
  <c r="L141" i="44"/>
  <c r="N141" i="44"/>
  <c r="O141" i="44"/>
  <c r="P141" i="44"/>
  <c r="Q141" i="44"/>
  <c r="R141" i="44"/>
  <c r="T141" i="44"/>
  <c r="U141" i="44"/>
  <c r="X141" i="44"/>
  <c r="Y141" i="44"/>
  <c r="Z141" i="44"/>
  <c r="AA141" i="44"/>
  <c r="T35" i="47" s="1"/>
  <c r="AC141" i="44"/>
  <c r="AD141" i="44"/>
  <c r="AH141" i="44"/>
  <c r="AI141" i="44"/>
  <c r="AJ141" i="44"/>
  <c r="AK141" i="44"/>
  <c r="AL141" i="44"/>
  <c r="AU141" i="44"/>
  <c r="AW141" i="44"/>
  <c r="AP35" i="47" s="1"/>
  <c r="AZ141" i="44"/>
  <c r="BA141" i="44"/>
  <c r="BB141" i="44"/>
  <c r="BC141" i="44"/>
  <c r="BD141" i="44"/>
  <c r="AW35" i="47" s="1"/>
  <c r="BE141" i="44"/>
  <c r="BG141" i="44"/>
  <c r="BH141" i="44"/>
  <c r="K142" i="44"/>
  <c r="L142" i="44"/>
  <c r="N142" i="44"/>
  <c r="O142" i="44"/>
  <c r="P142" i="44"/>
  <c r="Q142" i="44"/>
  <c r="R142" i="44"/>
  <c r="T142" i="44"/>
  <c r="U142" i="44"/>
  <c r="X142" i="44"/>
  <c r="Y142" i="44"/>
  <c r="Z142" i="44"/>
  <c r="AA142" i="44"/>
  <c r="T36" i="47" s="1"/>
  <c r="AC142" i="44"/>
  <c r="AD142" i="44"/>
  <c r="AH142" i="44"/>
  <c r="AI142" i="44"/>
  <c r="AJ142" i="44"/>
  <c r="AK142" i="44"/>
  <c r="AL142" i="44"/>
  <c r="AU142" i="44"/>
  <c r="AW142" i="44"/>
  <c r="AP36" i="47" s="1"/>
  <c r="AZ142" i="44"/>
  <c r="BA142" i="44"/>
  <c r="BB142" i="44"/>
  <c r="BC142" i="44"/>
  <c r="BD142" i="44"/>
  <c r="AW36" i="47" s="1"/>
  <c r="BE142" i="44"/>
  <c r="BG142" i="44"/>
  <c r="BH142" i="44"/>
  <c r="K470" i="43"/>
  <c r="D27" i="47" s="1"/>
  <c r="L470" i="43"/>
  <c r="E27" i="47" s="1"/>
  <c r="N470" i="43"/>
  <c r="G27" i="47" s="1"/>
  <c r="O470" i="43"/>
  <c r="H27" i="47" s="1"/>
  <c r="P470" i="43"/>
  <c r="I27" i="47" s="1"/>
  <c r="Q470" i="43"/>
  <c r="R470" i="43"/>
  <c r="K27" i="47" s="1"/>
  <c r="T470" i="43"/>
  <c r="M27" i="47" s="1"/>
  <c r="U470" i="43"/>
  <c r="N27" i="47" s="1"/>
  <c r="X470" i="43"/>
  <c r="Q27" i="47" s="1"/>
  <c r="Y470" i="43"/>
  <c r="R27" i="47" s="1"/>
  <c r="Z470" i="43"/>
  <c r="S27" i="47" s="1"/>
  <c r="AC470" i="43"/>
  <c r="AD470" i="43"/>
  <c r="W27" i="47" s="1"/>
  <c r="AH470" i="43"/>
  <c r="AI470" i="43"/>
  <c r="AJ470" i="43"/>
  <c r="AC27" i="47" s="1"/>
  <c r="AK470" i="43"/>
  <c r="AD27" i="47" s="1"/>
  <c r="AL470" i="43"/>
  <c r="AE27" i="47" s="1"/>
  <c r="AU470" i="43"/>
  <c r="AZ470" i="43"/>
  <c r="BA470" i="43"/>
  <c r="AT27" i="47" s="1"/>
  <c r="BB470" i="43"/>
  <c r="AU27" i="47" s="1"/>
  <c r="BC470" i="43"/>
  <c r="AV27" i="47" s="1"/>
  <c r="BE470" i="43"/>
  <c r="BG470" i="43"/>
  <c r="BH470" i="43"/>
  <c r="K471" i="43"/>
  <c r="D28" i="47" s="1"/>
  <c r="L471" i="43"/>
  <c r="E28" i="47" s="1"/>
  <c r="N471" i="43"/>
  <c r="G28" i="47" s="1"/>
  <c r="O471" i="43"/>
  <c r="H28" i="47" s="1"/>
  <c r="P471" i="43"/>
  <c r="Q471" i="43"/>
  <c r="J28" i="47" s="1"/>
  <c r="R471" i="43"/>
  <c r="K28" i="47" s="1"/>
  <c r="T471" i="43"/>
  <c r="U471" i="43"/>
  <c r="X471" i="43"/>
  <c r="Y471" i="43"/>
  <c r="Z471" i="43"/>
  <c r="S28" i="47" s="1"/>
  <c r="AC471" i="43"/>
  <c r="AD471" i="43"/>
  <c r="W28" i="47" s="1"/>
  <c r="AH471" i="43"/>
  <c r="AI471" i="43"/>
  <c r="AJ471" i="43"/>
  <c r="AC28" i="47" s="1"/>
  <c r="AK471" i="43"/>
  <c r="AD28" i="47" s="1"/>
  <c r="AL471" i="43"/>
  <c r="AE28" i="47" s="1"/>
  <c r="AU471" i="43"/>
  <c r="AN28" i="47" s="1"/>
  <c r="AZ471" i="43"/>
  <c r="BA471" i="43"/>
  <c r="BB471" i="43"/>
  <c r="BC471" i="43"/>
  <c r="AV28" i="47" s="1"/>
  <c r="BE471" i="43"/>
  <c r="AX28" i="47" s="1"/>
  <c r="BG471" i="43"/>
  <c r="BH471" i="43"/>
  <c r="BA28" i="47" s="1"/>
  <c r="K472" i="43"/>
  <c r="D29" i="47" s="1"/>
  <c r="L472" i="43"/>
  <c r="E29" i="47" s="1"/>
  <c r="N472" i="43"/>
  <c r="G29" i="47" s="1"/>
  <c r="O472" i="43"/>
  <c r="H29" i="47" s="1"/>
  <c r="P472" i="43"/>
  <c r="I29" i="47" s="1"/>
  <c r="Q472" i="43"/>
  <c r="J29" i="47" s="1"/>
  <c r="R472" i="43"/>
  <c r="K29" i="47" s="1"/>
  <c r="T472" i="43"/>
  <c r="M29" i="47" s="1"/>
  <c r="U472" i="43"/>
  <c r="N29" i="47" s="1"/>
  <c r="X472" i="43"/>
  <c r="Q29" i="47" s="1"/>
  <c r="Y472" i="43"/>
  <c r="R29" i="47" s="1"/>
  <c r="Z472" i="43"/>
  <c r="AC472" i="43"/>
  <c r="AD472" i="43"/>
  <c r="W29" i="47" s="1"/>
  <c r="AH472" i="43"/>
  <c r="AI472" i="43"/>
  <c r="AJ472" i="43"/>
  <c r="AK472" i="43"/>
  <c r="AL472" i="43"/>
  <c r="AE29" i="47" s="1"/>
  <c r="AU472" i="43"/>
  <c r="AZ472" i="43"/>
  <c r="BA472" i="43"/>
  <c r="AT29" i="47" s="1"/>
  <c r="BB472" i="43"/>
  <c r="BC472" i="43"/>
  <c r="BE472" i="43"/>
  <c r="BG472" i="43"/>
  <c r="BH472" i="43"/>
  <c r="BA29" i="47" s="1"/>
  <c r="K473" i="43"/>
  <c r="D30" i="47" s="1"/>
  <c r="L473" i="43"/>
  <c r="E30" i="47" s="1"/>
  <c r="N473" i="43"/>
  <c r="G30" i="47" s="1"/>
  <c r="O473" i="43"/>
  <c r="P473" i="43"/>
  <c r="Q473" i="43"/>
  <c r="J30" i="47" s="1"/>
  <c r="R473" i="43"/>
  <c r="K30" i="47" s="1"/>
  <c r="T473" i="43"/>
  <c r="M30" i="47" s="1"/>
  <c r="U473" i="43"/>
  <c r="X473" i="43"/>
  <c r="Y473" i="43"/>
  <c r="Z473" i="43"/>
  <c r="AC473" i="43"/>
  <c r="AD473" i="43"/>
  <c r="W30" i="47" s="1"/>
  <c r="AH473" i="43"/>
  <c r="AI473" i="43"/>
  <c r="AJ473" i="43"/>
  <c r="AC30" i="47" s="1"/>
  <c r="AK473" i="43"/>
  <c r="AL473" i="43"/>
  <c r="AU473" i="43"/>
  <c r="AZ473" i="43"/>
  <c r="BA473" i="43"/>
  <c r="AT30" i="47" s="1"/>
  <c r="BB473" i="43"/>
  <c r="BC473" i="43"/>
  <c r="BE473" i="43"/>
  <c r="BG473" i="43"/>
  <c r="BH473" i="43"/>
  <c r="BA30" i="47" s="1"/>
  <c r="J474" i="43"/>
  <c r="C31" i="47" s="1"/>
  <c r="K474" i="43"/>
  <c r="D31" i="47" s="1"/>
  <c r="L474" i="43"/>
  <c r="E31" i="47" s="1"/>
  <c r="M474" i="43"/>
  <c r="F31" i="47" s="1"/>
  <c r="N474" i="43"/>
  <c r="G31" i="47" s="1"/>
  <c r="O474" i="43"/>
  <c r="P474" i="43"/>
  <c r="I31" i="47" s="1"/>
  <c r="Q474" i="43"/>
  <c r="J31" i="47" s="1"/>
  <c r="R474" i="43"/>
  <c r="K31" i="47" s="1"/>
  <c r="S474" i="43"/>
  <c r="L31" i="47" s="1"/>
  <c r="T474" i="43"/>
  <c r="M31" i="47" s="1"/>
  <c r="U474" i="43"/>
  <c r="V474" i="43"/>
  <c r="W474" i="43"/>
  <c r="X474" i="43"/>
  <c r="Y474" i="43"/>
  <c r="R31" i="47" s="1"/>
  <c r="Z474" i="43"/>
  <c r="S31" i="47" s="1"/>
  <c r="AC474" i="43"/>
  <c r="AD474" i="43"/>
  <c r="W31" i="47" s="1"/>
  <c r="AE474" i="43"/>
  <c r="AF474" i="43"/>
  <c r="AG474" i="43"/>
  <c r="AH474" i="43"/>
  <c r="AA31" i="47" s="1"/>
  <c r="AI474" i="43"/>
  <c r="AB31" i="47" s="1"/>
  <c r="AJ474" i="43"/>
  <c r="AC31" i="47" s="1"/>
  <c r="AK474" i="43"/>
  <c r="AD31" i="47" s="1"/>
  <c r="AL474" i="43"/>
  <c r="AM474" i="43"/>
  <c r="AN474" i="43"/>
  <c r="AO474" i="43"/>
  <c r="AP474" i="43"/>
  <c r="AQ474" i="43"/>
  <c r="AJ31" i="47" s="1"/>
  <c r="AR474" i="43"/>
  <c r="AS474" i="43"/>
  <c r="AT474" i="43"/>
  <c r="AU474" i="43"/>
  <c r="AX474" i="43"/>
  <c r="AY474" i="43"/>
  <c r="AZ474" i="43"/>
  <c r="BA474" i="43"/>
  <c r="BB474" i="43"/>
  <c r="BC474" i="43"/>
  <c r="BE474" i="43"/>
  <c r="BG474" i="43"/>
  <c r="BH474" i="43"/>
  <c r="BA31" i="47" s="1"/>
  <c r="BI474" i="43"/>
  <c r="BJ474" i="43"/>
  <c r="BK474" i="43"/>
  <c r="BL474" i="43"/>
  <c r="BM474" i="43"/>
  <c r="BN474" i="43"/>
  <c r="BO474" i="43"/>
  <c r="BP474" i="43"/>
  <c r="BQ474" i="43"/>
  <c r="BJ31" i="47" s="1"/>
  <c r="BR474" i="43"/>
  <c r="BS474" i="43"/>
  <c r="BT474" i="43"/>
  <c r="BU474" i="43"/>
  <c r="BV474" i="43"/>
  <c r="BW474" i="43"/>
  <c r="BX474" i="43"/>
  <c r="J475" i="43"/>
  <c r="K475" i="43"/>
  <c r="D32" i="47" s="1"/>
  <c r="L475" i="43"/>
  <c r="E32" i="47" s="1"/>
  <c r="M475" i="43"/>
  <c r="F32" i="47" s="1"/>
  <c r="N475" i="43"/>
  <c r="G32" i="47" s="1"/>
  <c r="O475" i="43"/>
  <c r="P475" i="43"/>
  <c r="Q475" i="43"/>
  <c r="J32" i="47" s="1"/>
  <c r="R475" i="43"/>
  <c r="K32" i="47" s="1"/>
  <c r="S475" i="43"/>
  <c r="T475" i="43"/>
  <c r="M32" i="47" s="1"/>
  <c r="U475" i="43"/>
  <c r="V475" i="43"/>
  <c r="W475" i="43"/>
  <c r="X475" i="43"/>
  <c r="Y475" i="43"/>
  <c r="R32" i="47" s="1"/>
  <c r="Z475" i="43"/>
  <c r="S32" i="47" s="1"/>
  <c r="AC475" i="43"/>
  <c r="AD475" i="43"/>
  <c r="W32" i="47" s="1"/>
  <c r="AE475" i="43"/>
  <c r="AF475" i="43"/>
  <c r="AG475" i="43"/>
  <c r="AH475" i="43"/>
  <c r="AI475" i="43"/>
  <c r="AJ475" i="43"/>
  <c r="AC32" i="47" s="1"/>
  <c r="AK475" i="43"/>
  <c r="AL475" i="43"/>
  <c r="AE32" i="47" s="1"/>
  <c r="AM475" i="43"/>
  <c r="AN475" i="43"/>
  <c r="AO475" i="43"/>
  <c r="AP475" i="43"/>
  <c r="AQ475" i="43"/>
  <c r="AR475" i="43"/>
  <c r="AS475" i="43"/>
  <c r="AT475" i="43"/>
  <c r="AU475" i="43"/>
  <c r="AX475" i="43"/>
  <c r="AY475" i="43"/>
  <c r="AZ475" i="43"/>
  <c r="AS32" i="47" s="1"/>
  <c r="BA475" i="43"/>
  <c r="AT32" i="47" s="1"/>
  <c r="BB475" i="43"/>
  <c r="BC475" i="43"/>
  <c r="BE475" i="43"/>
  <c r="BG475" i="43"/>
  <c r="BH475" i="43"/>
  <c r="BA32" i="47" s="1"/>
  <c r="BI475" i="43"/>
  <c r="BJ475" i="43"/>
  <c r="BC32" i="47" s="1"/>
  <c r="BK475" i="43"/>
  <c r="BL475" i="43"/>
  <c r="BM475" i="43"/>
  <c r="BN475" i="43"/>
  <c r="BO475" i="43"/>
  <c r="BP475" i="43"/>
  <c r="BQ475" i="43"/>
  <c r="BJ32" i="47" s="1"/>
  <c r="BR475" i="43"/>
  <c r="BK32" i="47" s="1"/>
  <c r="BS475" i="43"/>
  <c r="BT475" i="43"/>
  <c r="BU475" i="43"/>
  <c r="BV475" i="43"/>
  <c r="BW475" i="43"/>
  <c r="BX475" i="43"/>
  <c r="K476" i="43"/>
  <c r="D33" i="47" s="1"/>
  <c r="L476" i="43"/>
  <c r="E33" i="47" s="1"/>
  <c r="N476" i="43"/>
  <c r="G33" i="47" s="1"/>
  <c r="O476" i="43"/>
  <c r="H33" i="47" s="1"/>
  <c r="R476" i="43"/>
  <c r="K33" i="47" s="1"/>
  <c r="T476" i="43"/>
  <c r="U476" i="43"/>
  <c r="N33" i="47" s="1"/>
  <c r="X476" i="43"/>
  <c r="Y476" i="43"/>
  <c r="R33" i="47" s="1"/>
  <c r="Z476" i="43"/>
  <c r="S33" i="47" s="1"/>
  <c r="AC476" i="43"/>
  <c r="AD476" i="43"/>
  <c r="W33" i="47" s="1"/>
  <c r="AH476" i="43"/>
  <c r="AI476" i="43"/>
  <c r="AJ476" i="43"/>
  <c r="AC33" i="47" s="1"/>
  <c r="AK476" i="43"/>
  <c r="AD33" i="47" s="1"/>
  <c r="AL476" i="43"/>
  <c r="AE33" i="47" s="1"/>
  <c r="AU476" i="43"/>
  <c r="AZ476" i="43"/>
  <c r="BA476" i="43"/>
  <c r="BB476" i="43"/>
  <c r="BC476" i="43"/>
  <c r="BE476" i="43"/>
  <c r="BG476" i="43"/>
  <c r="BH476" i="43"/>
  <c r="BA33" i="47" s="1"/>
  <c r="K477" i="43"/>
  <c r="D34" i="47" s="1"/>
  <c r="L477" i="43"/>
  <c r="N477" i="43"/>
  <c r="G34" i="47" s="1"/>
  <c r="O477" i="43"/>
  <c r="H34" i="47" s="1"/>
  <c r="P477" i="43"/>
  <c r="Q477" i="43"/>
  <c r="J34" i="47" s="1"/>
  <c r="R477" i="43"/>
  <c r="K34" i="47" s="1"/>
  <c r="T477" i="43"/>
  <c r="M34" i="47" s="1"/>
  <c r="U477" i="43"/>
  <c r="X477" i="43"/>
  <c r="Y477" i="43"/>
  <c r="Z477" i="43"/>
  <c r="AC477" i="43"/>
  <c r="AD477" i="43"/>
  <c r="W34" i="47" s="1"/>
  <c r="AH477" i="43"/>
  <c r="AI477" i="43"/>
  <c r="AJ477" i="43"/>
  <c r="AC34" i="47" s="1"/>
  <c r="AK477" i="43"/>
  <c r="AL477" i="43"/>
  <c r="AU477" i="43"/>
  <c r="AZ477" i="43"/>
  <c r="BA477" i="43"/>
  <c r="BB477" i="43"/>
  <c r="BC477" i="43"/>
  <c r="BE477" i="43"/>
  <c r="AX34" i="47" s="1"/>
  <c r="BG477" i="43"/>
  <c r="BH477" i="43"/>
  <c r="BA34" i="47" s="1"/>
  <c r="K478" i="43"/>
  <c r="D35" i="47" s="1"/>
  <c r="L478" i="43"/>
  <c r="E35" i="47" s="1"/>
  <c r="N478" i="43"/>
  <c r="G35" i="47" s="1"/>
  <c r="O478" i="43"/>
  <c r="P478" i="43"/>
  <c r="I35" i="47" s="1"/>
  <c r="Q478" i="43"/>
  <c r="J35" i="47" s="1"/>
  <c r="R478" i="43"/>
  <c r="K35" i="47" s="1"/>
  <c r="T478" i="43"/>
  <c r="M35" i="47" s="1"/>
  <c r="U478" i="43"/>
  <c r="N35" i="47" s="1"/>
  <c r="X478" i="43"/>
  <c r="Y478" i="43"/>
  <c r="R35" i="47" s="1"/>
  <c r="Z478" i="43"/>
  <c r="AC478" i="43"/>
  <c r="AD478" i="43"/>
  <c r="W35" i="47" s="1"/>
  <c r="AH478" i="43"/>
  <c r="AI478" i="43"/>
  <c r="AJ478" i="43"/>
  <c r="AK478" i="43"/>
  <c r="AL478" i="43"/>
  <c r="AU478" i="43"/>
  <c r="AZ478" i="43"/>
  <c r="BA478" i="43"/>
  <c r="BB478" i="43"/>
  <c r="BC478" i="43"/>
  <c r="BE478" i="43"/>
  <c r="BG478" i="43"/>
  <c r="BH478" i="43"/>
  <c r="BA35" i="47" s="1"/>
  <c r="K479" i="43"/>
  <c r="D36" i="47" s="1"/>
  <c r="L479" i="43"/>
  <c r="E36" i="47" s="1"/>
  <c r="N479" i="43"/>
  <c r="G36" i="47" s="1"/>
  <c r="O479" i="43"/>
  <c r="H36" i="47" s="1"/>
  <c r="R479" i="43"/>
  <c r="K36" i="47" s="1"/>
  <c r="T479" i="43"/>
  <c r="U479" i="43"/>
  <c r="N36" i="47" s="1"/>
  <c r="X479" i="43"/>
  <c r="Y479" i="43"/>
  <c r="Z479" i="43"/>
  <c r="AC479" i="43"/>
  <c r="AD479" i="43"/>
  <c r="W36" i="47" s="1"/>
  <c r="AH479" i="43"/>
  <c r="AI479" i="43"/>
  <c r="AJ479" i="43"/>
  <c r="AC36" i="47" s="1"/>
  <c r="AK479" i="43"/>
  <c r="AD36" i="47" s="1"/>
  <c r="AL479" i="43"/>
  <c r="AU479" i="43"/>
  <c r="AZ479" i="43"/>
  <c r="BA479" i="43"/>
  <c r="BB479" i="43"/>
  <c r="BC479" i="43"/>
  <c r="BE479" i="43"/>
  <c r="BG479" i="43"/>
  <c r="BH479" i="43"/>
  <c r="S29" i="47" l="1"/>
  <c r="BI31" i="47"/>
  <c r="BI32" i="47"/>
  <c r="AC35" i="47"/>
  <c r="AQ32" i="47"/>
  <c r="BN31" i="47"/>
  <c r="AN27" i="47"/>
  <c r="Q33" i="47"/>
  <c r="Q35" i="47"/>
  <c r="Q31" i="47"/>
  <c r="AH31" i="47"/>
  <c r="AV32" i="47"/>
  <c r="AJ32" i="47"/>
  <c r="BH32" i="47"/>
  <c r="BQ32" i="47"/>
  <c r="BH31" i="47"/>
  <c r="E34" i="47"/>
  <c r="AG31" i="47"/>
  <c r="AT28" i="47"/>
  <c r="J27" i="47"/>
  <c r="S30" i="47"/>
  <c r="H30" i="47"/>
  <c r="AC29" i="47"/>
  <c r="BA36" i="47"/>
  <c r="H35" i="47"/>
  <c r="M33" i="47"/>
  <c r="AX32" i="47"/>
  <c r="AE30" i="47"/>
  <c r="H32" i="47"/>
  <c r="M28" i="47"/>
  <c r="BA27" i="47"/>
  <c r="P31" i="47"/>
  <c r="H31" i="47"/>
  <c r="AX30" i="47"/>
  <c r="AD29" i="47"/>
  <c r="AF32" i="47"/>
  <c r="AD35" i="47"/>
  <c r="AV34" i="47"/>
  <c r="AV30" i="47"/>
  <c r="AV33" i="47"/>
  <c r="AV31" i="47"/>
  <c r="AV29" i="47"/>
  <c r="S35" i="47"/>
  <c r="S36" i="47"/>
  <c r="Y32" i="47"/>
  <c r="Q32" i="47"/>
  <c r="S34" i="47"/>
  <c r="O31" i="47"/>
  <c r="M36" i="47"/>
  <c r="AV36" i="47"/>
  <c r="AV35" i="47"/>
  <c r="AD34" i="47"/>
  <c r="AD32" i="47"/>
  <c r="AD30" i="47"/>
  <c r="AT33" i="47"/>
  <c r="AT36" i="47"/>
  <c r="AT31" i="47"/>
  <c r="AT35" i="47"/>
  <c r="AT34" i="47"/>
  <c r="P32" i="47"/>
  <c r="AB36" i="47"/>
  <c r="AA36" i="47"/>
  <c r="N31" i="47"/>
  <c r="N30" i="47"/>
  <c r="N28" i="47"/>
  <c r="L32" i="47"/>
  <c r="N32" i="47"/>
  <c r="N34" i="47"/>
  <c r="AE34" i="47"/>
  <c r="AE36" i="47"/>
  <c r="AE35" i="47"/>
  <c r="AZ27" i="47"/>
  <c r="BN32" i="47"/>
  <c r="Q36" i="47"/>
  <c r="AU29" i="47"/>
  <c r="AU35" i="47"/>
  <c r="AU33" i="47"/>
  <c r="AU31" i="47"/>
  <c r="AU34" i="47"/>
  <c r="AU30" i="47"/>
  <c r="AU28" i="47"/>
  <c r="AU36" i="47"/>
  <c r="AN34" i="47"/>
  <c r="AN30" i="47"/>
  <c r="AN36" i="47"/>
  <c r="AN35" i="47"/>
  <c r="AN33" i="47"/>
  <c r="AN29" i="47"/>
  <c r="AN31" i="47"/>
  <c r="AQ31" i="47"/>
  <c r="AP27" i="47"/>
  <c r="AW132" i="44"/>
  <c r="BC31" i="47"/>
  <c r="I34" i="47"/>
  <c r="I32" i="47"/>
  <c r="C32" i="47"/>
  <c r="I30" i="47"/>
  <c r="I28" i="47"/>
  <c r="AZ36" i="47"/>
  <c r="AZ33" i="47"/>
  <c r="V32" i="47"/>
  <c r="AZ31" i="47"/>
  <c r="Z31" i="47"/>
  <c r="AZ29" i="47"/>
  <c r="AB33" i="47"/>
  <c r="AA33" i="47"/>
  <c r="AS31" i="47"/>
  <c r="AA29" i="47"/>
  <c r="AS27" i="47"/>
  <c r="AA27" i="47"/>
  <c r="AA35" i="47"/>
  <c r="AS33" i="47"/>
  <c r="AE31" i="47"/>
  <c r="Y31" i="47"/>
  <c r="AS29" i="47"/>
  <c r="R34" i="47"/>
  <c r="O32" i="47"/>
  <c r="R30" i="47"/>
  <c r="R28" i="47"/>
  <c r="AB35" i="47"/>
  <c r="AF31" i="47"/>
  <c r="AB29" i="47"/>
  <c r="AX35" i="47"/>
  <c r="AB34" i="47"/>
  <c r="Q34" i="47"/>
  <c r="AX33" i="47"/>
  <c r="AN32" i="47"/>
  <c r="AH32" i="47"/>
  <c r="AB32" i="47"/>
  <c r="BQ31" i="47"/>
  <c r="BK31" i="47"/>
  <c r="AX31" i="47"/>
  <c r="AB30" i="47"/>
  <c r="Q30" i="47"/>
  <c r="AX29" i="47"/>
  <c r="AB28" i="47"/>
  <c r="Q28" i="47"/>
  <c r="AX27" i="47"/>
  <c r="AB27" i="47"/>
  <c r="R36" i="47"/>
  <c r="AS34" i="47"/>
  <c r="AA34" i="47"/>
  <c r="AU32" i="47"/>
  <c r="AG32" i="47"/>
  <c r="AA32" i="47"/>
  <c r="AS30" i="47"/>
  <c r="AA30" i="47"/>
  <c r="AS28" i="47"/>
  <c r="AA28" i="47"/>
  <c r="AS36" i="47"/>
  <c r="AS35" i="47"/>
  <c r="AX36" i="47"/>
  <c r="AM32" i="47"/>
  <c r="AK31" i="47"/>
  <c r="AZ35" i="47"/>
  <c r="AZ34" i="47"/>
  <c r="BB32" i="47"/>
  <c r="AZ30" i="47"/>
  <c r="AZ28" i="47"/>
  <c r="AZ32" i="47"/>
  <c r="Z32" i="47"/>
  <c r="BD31" i="47"/>
  <c r="X31" i="47"/>
  <c r="V36" i="47"/>
  <c r="V35" i="47"/>
  <c r="V34" i="47"/>
  <c r="V33" i="47"/>
  <c r="AK32" i="47"/>
  <c r="AI31" i="47"/>
  <c r="V30" i="47"/>
  <c r="V29" i="47"/>
  <c r="V28" i="47"/>
  <c r="V27" i="47"/>
  <c r="BD32" i="47"/>
  <c r="X32" i="47"/>
  <c r="BB31" i="47"/>
  <c r="V31" i="47"/>
  <c r="AI32" i="47"/>
  <c r="AM31" i="47"/>
  <c r="BF31" i="47"/>
  <c r="BM32" i="47"/>
  <c r="BG32" i="47"/>
  <c r="BF32" i="47"/>
  <c r="BP31" i="47"/>
  <c r="BO31" i="47"/>
  <c r="BP32" i="47"/>
  <c r="BO32" i="47"/>
  <c r="BM31" i="47"/>
  <c r="BG31" i="47"/>
  <c r="BE32" i="47"/>
  <c r="BE31" i="47"/>
  <c r="BL32" i="47"/>
  <c r="AL32" i="47"/>
  <c r="BL31" i="47"/>
  <c r="AL31" i="47"/>
  <c r="AR32" i="47"/>
  <c r="AR31" i="47"/>
  <c r="BI142" i="44"/>
  <c r="M466" i="43"/>
  <c r="F13" i="47" s="1"/>
  <c r="U466" i="43"/>
  <c r="N13" i="47" s="1"/>
  <c r="R466" i="43"/>
  <c r="K13" i="47" s="1"/>
  <c r="K466" i="43"/>
  <c r="D13" i="47" s="1"/>
  <c r="T466" i="43"/>
  <c r="M13" i="47" s="1"/>
  <c r="L466" i="43"/>
  <c r="E13" i="47" s="1"/>
  <c r="T129" i="44"/>
  <c r="U129" i="44"/>
  <c r="R129" i="44"/>
  <c r="BI141" i="44"/>
  <c r="J142" i="44"/>
  <c r="M142" i="44"/>
  <c r="S142" i="44"/>
  <c r="J136" i="44"/>
  <c r="BW135" i="44"/>
  <c r="J476" i="43"/>
  <c r="BI479" i="43"/>
  <c r="AM478" i="43"/>
  <c r="M476" i="43"/>
  <c r="BJ472" i="43"/>
  <c r="AM473" i="43"/>
  <c r="AM470" i="43"/>
  <c r="AM471" i="43"/>
  <c r="M473" i="43"/>
  <c r="M472" i="43"/>
  <c r="M477" i="43"/>
  <c r="BJ477" i="43"/>
  <c r="W472" i="43"/>
  <c r="J473" i="43"/>
  <c r="J472" i="43"/>
  <c r="J477" i="43"/>
  <c r="BI477" i="43"/>
  <c r="AN470" i="43"/>
  <c r="AN471" i="43"/>
  <c r="V477" i="43"/>
  <c r="BI478" i="43"/>
  <c r="AN473" i="43"/>
  <c r="BK12" i="43"/>
  <c r="BK13" i="43" s="1"/>
  <c r="BJ479" i="43"/>
  <c r="AX470" i="43"/>
  <c r="W476" i="43"/>
  <c r="AX471" i="43"/>
  <c r="W477" i="43"/>
  <c r="BJ478" i="43"/>
  <c r="AM472" i="43"/>
  <c r="AX473" i="43"/>
  <c r="S478" i="43"/>
  <c r="S471" i="43"/>
  <c r="J478" i="43"/>
  <c r="V476" i="43"/>
  <c r="BI471" i="43"/>
  <c r="W478" i="43"/>
  <c r="AX478" i="43"/>
  <c r="V472" i="43"/>
  <c r="S479" i="43"/>
  <c r="AN472" i="43"/>
  <c r="BI473" i="43"/>
  <c r="V470" i="43"/>
  <c r="BJ470" i="43"/>
  <c r="V471" i="43"/>
  <c r="BJ471" i="43"/>
  <c r="AN477" i="43"/>
  <c r="AX472" i="43"/>
  <c r="V473" i="43"/>
  <c r="BJ473" i="43"/>
  <c r="M479" i="43"/>
  <c r="J471" i="43"/>
  <c r="J470" i="43"/>
  <c r="V478" i="43"/>
  <c r="BI470" i="43"/>
  <c r="AM477" i="43"/>
  <c r="M478" i="43"/>
  <c r="M471" i="43"/>
  <c r="W470" i="43"/>
  <c r="W471" i="43"/>
  <c r="BU477" i="43"/>
  <c r="AX477" i="43"/>
  <c r="AN478" i="43"/>
  <c r="BI472" i="43"/>
  <c r="W473" i="43"/>
  <c r="BI476" i="43"/>
  <c r="S473" i="43"/>
  <c r="S472" i="43"/>
  <c r="S477" i="43"/>
  <c r="S476" i="43"/>
  <c r="J479" i="43"/>
  <c r="T469" i="43"/>
  <c r="BC469" i="43"/>
  <c r="Y469" i="43"/>
  <c r="U469" i="43"/>
  <c r="BH469" i="43"/>
  <c r="AD469" i="43"/>
  <c r="S470" i="43"/>
  <c r="M470" i="43"/>
  <c r="BG469" i="43"/>
  <c r="BB469" i="43"/>
  <c r="AU469" i="43"/>
  <c r="AC469" i="43"/>
  <c r="X469" i="43"/>
  <c r="BE469" i="43"/>
  <c r="BA469" i="43"/>
  <c r="Z469" i="43"/>
  <c r="J134" i="44"/>
  <c r="M134" i="44"/>
  <c r="M136" i="44"/>
  <c r="M135" i="44"/>
  <c r="J141" i="44"/>
  <c r="J133" i="44"/>
  <c r="S141" i="44"/>
  <c r="BU136" i="44"/>
  <c r="S134" i="44"/>
  <c r="AM141" i="44"/>
  <c r="AM142" i="44"/>
  <c r="AE135" i="44"/>
  <c r="BX135" i="44"/>
  <c r="BI136" i="44"/>
  <c r="BX136" i="44"/>
  <c r="M140" i="44"/>
  <c r="M141" i="44"/>
  <c r="AX139" i="44"/>
  <c r="BI139" i="44"/>
  <c r="AM136" i="44"/>
  <c r="S140" i="44"/>
  <c r="BU140" i="44"/>
  <c r="J140" i="44"/>
  <c r="AM135" i="44"/>
  <c r="AN135" i="44"/>
  <c r="BU135" i="44"/>
  <c r="AX135" i="44"/>
  <c r="W140" i="44"/>
  <c r="BI133" i="44"/>
  <c r="AX134" i="44"/>
  <c r="AX142" i="44"/>
  <c r="J139" i="44"/>
  <c r="J135" i="44"/>
  <c r="AX141" i="44"/>
  <c r="AM140" i="44"/>
  <c r="V140" i="44"/>
  <c r="BI135" i="44"/>
  <c r="AM134" i="44"/>
  <c r="V134" i="44"/>
  <c r="K129" i="44"/>
  <c r="AN142" i="44"/>
  <c r="W142" i="44"/>
  <c r="BJ140" i="44"/>
  <c r="BX139" i="44"/>
  <c r="AN139" i="44"/>
  <c r="W139" i="44"/>
  <c r="AN136" i="44"/>
  <c r="W136" i="44"/>
  <c r="S135" i="44"/>
  <c r="BJ134" i="44"/>
  <c r="AN133" i="44"/>
  <c r="W133" i="44"/>
  <c r="V142" i="44"/>
  <c r="BI140" i="44"/>
  <c r="AX140" i="44"/>
  <c r="AM139" i="44"/>
  <c r="V139" i="44"/>
  <c r="V136" i="44"/>
  <c r="BI134" i="44"/>
  <c r="AM133" i="44"/>
  <c r="V133" i="44"/>
  <c r="BJ142" i="44"/>
  <c r="AN141" i="44"/>
  <c r="W141" i="44"/>
  <c r="BJ139" i="44"/>
  <c r="BJ136" i="44"/>
  <c r="W135" i="44"/>
  <c r="BJ133" i="44"/>
  <c r="V141" i="44"/>
  <c r="AE139" i="44"/>
  <c r="AX136" i="44"/>
  <c r="V135" i="44"/>
  <c r="AX133" i="44"/>
  <c r="BJ141" i="44"/>
  <c r="AN140" i="44"/>
  <c r="S139" i="44"/>
  <c r="M139" i="44"/>
  <c r="S136" i="44"/>
  <c r="BJ135" i="44"/>
  <c r="AN134" i="44"/>
  <c r="W134" i="44"/>
  <c r="S133" i="44"/>
  <c r="M133" i="44"/>
  <c r="AI469" i="43"/>
  <c r="W468" i="43" s="1"/>
  <c r="AH469" i="43"/>
  <c r="V468" i="43" s="1"/>
  <c r="O469" i="43"/>
  <c r="N469" i="43"/>
  <c r="L469" i="43"/>
  <c r="K469" i="43"/>
  <c r="AX476" i="43"/>
  <c r="AM476" i="43"/>
  <c r="AJ469" i="43"/>
  <c r="AL469" i="43"/>
  <c r="AN476" i="43"/>
  <c r="AK469" i="43"/>
  <c r="R469" i="43"/>
  <c r="BG132" i="44"/>
  <c r="BB132" i="44"/>
  <c r="AU132" i="44"/>
  <c r="AI132" i="44"/>
  <c r="W131" i="44" s="1"/>
  <c r="AC132" i="44"/>
  <c r="X132" i="44"/>
  <c r="R132" i="44"/>
  <c r="L132" i="44"/>
  <c r="BE132" i="44"/>
  <c r="BA132" i="44"/>
  <c r="AH132" i="44"/>
  <c r="V131" i="44" s="1"/>
  <c r="AA132" i="44"/>
  <c r="K132" i="44"/>
  <c r="BD132" i="44"/>
  <c r="AZ132" i="44"/>
  <c r="Z132" i="44"/>
  <c r="AK132" i="44"/>
  <c r="T132" i="44"/>
  <c r="N132" i="44"/>
  <c r="BC132" i="44"/>
  <c r="AL132" i="44"/>
  <c r="Y132" i="44"/>
  <c r="U132" i="44"/>
  <c r="O132" i="44"/>
  <c r="BH132" i="44"/>
  <c r="AJ132" i="44"/>
  <c r="AD132" i="44"/>
  <c r="BJ476" i="43"/>
  <c r="AZ469" i="43"/>
  <c r="AH129" i="44"/>
  <c r="V130" i="44" s="1"/>
  <c r="Y129" i="44"/>
  <c r="R14" i="47" s="1"/>
  <c r="AI129" i="44"/>
  <c r="W130" i="44" s="1"/>
  <c r="AZ129" i="44"/>
  <c r="BD129" i="44"/>
  <c r="AW14" i="47" s="1"/>
  <c r="Z129" i="44"/>
  <c r="S14" i="47" s="1"/>
  <c r="AJ129" i="44"/>
  <c r="AC14" i="47" s="1"/>
  <c r="BA129" i="44"/>
  <c r="BE129" i="44"/>
  <c r="AX14" i="47" s="1"/>
  <c r="BC129" i="44"/>
  <c r="AV14" i="47" s="1"/>
  <c r="AA129" i="44"/>
  <c r="T14" i="47" s="1"/>
  <c r="AK129" i="44"/>
  <c r="AD14" i="47" s="1"/>
  <c r="BB129" i="44"/>
  <c r="AU14" i="47" s="1"/>
  <c r="BG129" i="44"/>
  <c r="AZ14" i="47" s="1"/>
  <c r="X129" i="44"/>
  <c r="Q14" i="47" s="1"/>
  <c r="AC129" i="44"/>
  <c r="V14" i="47" s="1"/>
  <c r="AL129" i="44"/>
  <c r="AE14" i="47" s="1"/>
  <c r="BH129" i="44"/>
  <c r="BA14" i="47" s="1"/>
  <c r="AP14" i="47"/>
  <c r="AD129" i="44"/>
  <c r="W14" i="47" s="1"/>
  <c r="AU129" i="44"/>
  <c r="AC466" i="43"/>
  <c r="V13" i="47" s="1"/>
  <c r="AL466" i="43"/>
  <c r="AE13" i="47" s="1"/>
  <c r="BH466" i="43"/>
  <c r="BA13" i="47" s="1"/>
  <c r="AD466" i="43"/>
  <c r="W13" i="47" s="1"/>
  <c r="AU466" i="43"/>
  <c r="AN13" i="47" s="1"/>
  <c r="AH466" i="43"/>
  <c r="AA13" i="47" s="1"/>
  <c r="BC466" i="43"/>
  <c r="AV13" i="47" s="1"/>
  <c r="AI466" i="43"/>
  <c r="AB13" i="47" s="1"/>
  <c r="AZ466" i="43"/>
  <c r="AS13" i="47" s="1"/>
  <c r="Z466" i="43"/>
  <c r="S13" i="47" s="1"/>
  <c r="AJ466" i="43"/>
  <c r="AC13" i="47" s="1"/>
  <c r="BA466" i="43"/>
  <c r="BE466" i="43"/>
  <c r="AX13" i="47" s="1"/>
  <c r="AK466" i="43"/>
  <c r="AD13" i="47" s="1"/>
  <c r="BB466" i="43"/>
  <c r="AU13" i="47" s="1"/>
  <c r="BG466" i="43"/>
  <c r="AZ13" i="47" s="1"/>
  <c r="L129" i="44"/>
  <c r="N129" i="44"/>
  <c r="O129" i="44"/>
  <c r="BX12" i="43"/>
  <c r="BX13" i="43" s="1"/>
  <c r="BW13" i="43"/>
  <c r="BR136" i="44"/>
  <c r="AN12" i="43"/>
  <c r="AN13" i="43" s="1"/>
  <c r="F36" i="47" l="1"/>
  <c r="BJ130" i="44"/>
  <c r="L36" i="47"/>
  <c r="BB29" i="47"/>
  <c r="C36" i="47"/>
  <c r="M131" i="44"/>
  <c r="AQ33" i="47"/>
  <c r="BJ131" i="44"/>
  <c r="D14" i="47"/>
  <c r="J130" i="44"/>
  <c r="H14" i="47"/>
  <c r="AS14" i="47"/>
  <c r="BI130" i="44"/>
  <c r="BI131" i="44"/>
  <c r="K14" i="47"/>
  <c r="K23" i="47" s="1"/>
  <c r="G14" i="47"/>
  <c r="M130" i="44"/>
  <c r="AN14" i="47"/>
  <c r="AX130" i="44"/>
  <c r="AB14" i="47"/>
  <c r="N14" i="47"/>
  <c r="E14" i="47"/>
  <c r="M14" i="47"/>
  <c r="S130" i="44"/>
  <c r="AA14" i="47"/>
  <c r="BB27" i="47"/>
  <c r="AX131" i="44"/>
  <c r="BC33" i="47"/>
  <c r="J131" i="44"/>
  <c r="S131" i="44"/>
  <c r="BB30" i="47"/>
  <c r="BB28" i="47"/>
  <c r="AG33" i="47"/>
  <c r="AF33" i="47"/>
  <c r="AQ34" i="47"/>
  <c r="AF34" i="47"/>
  <c r="BC30" i="47"/>
  <c r="BC27" i="47"/>
  <c r="AQ35" i="47"/>
  <c r="P33" i="47"/>
  <c r="O34" i="47"/>
  <c r="AF28" i="47"/>
  <c r="O30" i="47"/>
  <c r="O27" i="47"/>
  <c r="P35" i="47"/>
  <c r="AQ30" i="47"/>
  <c r="AQ27" i="47"/>
  <c r="AG28" i="47"/>
  <c r="P29" i="47"/>
  <c r="AF27" i="47"/>
  <c r="P28" i="47"/>
  <c r="O35" i="47"/>
  <c r="AQ29" i="47"/>
  <c r="AF29" i="47"/>
  <c r="BC36" i="47"/>
  <c r="AG27" i="47"/>
  <c r="BC34" i="47"/>
  <c r="AF30" i="47"/>
  <c r="P30" i="47"/>
  <c r="P27" i="47"/>
  <c r="AG34" i="47"/>
  <c r="AG29" i="47"/>
  <c r="O33" i="47"/>
  <c r="BC35" i="47"/>
  <c r="BC29" i="47"/>
  <c r="BC28" i="47"/>
  <c r="P34" i="47"/>
  <c r="AG30" i="47"/>
  <c r="AG35" i="47"/>
  <c r="O28" i="47"/>
  <c r="O29" i="47"/>
  <c r="AQ28" i="47"/>
  <c r="AF35" i="47"/>
  <c r="BB33" i="47"/>
  <c r="BB34" i="47"/>
  <c r="BB36" i="47"/>
  <c r="BB35" i="47"/>
  <c r="L29" i="47"/>
  <c r="L35" i="47"/>
  <c r="C30" i="47"/>
  <c r="F27" i="47"/>
  <c r="L30" i="47"/>
  <c r="BN34" i="47"/>
  <c r="C33" i="47"/>
  <c r="L27" i="47"/>
  <c r="C27" i="47"/>
  <c r="F34" i="47"/>
  <c r="L33" i="47"/>
  <c r="F28" i="47"/>
  <c r="C28" i="47"/>
  <c r="C35" i="47"/>
  <c r="C34" i="47"/>
  <c r="F29" i="47"/>
  <c r="F33" i="47"/>
  <c r="L34" i="47"/>
  <c r="F35" i="47"/>
  <c r="L28" i="47"/>
  <c r="C29" i="47"/>
  <c r="F30" i="47"/>
  <c r="BJ468" i="43"/>
  <c r="AT13" i="47"/>
  <c r="BJ467" i="43"/>
  <c r="AT14" i="47"/>
  <c r="AU23" i="47"/>
  <c r="S23" i="47"/>
  <c r="BI468" i="43"/>
  <c r="S468" i="43"/>
  <c r="G23" i="47"/>
  <c r="V467" i="43"/>
  <c r="J468" i="43"/>
  <c r="AX468" i="43"/>
  <c r="BI467" i="43"/>
  <c r="AX467" i="43"/>
  <c r="W467" i="43"/>
  <c r="M468" i="43"/>
  <c r="S467" i="43"/>
  <c r="J467" i="43"/>
  <c r="Q23" i="47"/>
  <c r="AX23" i="47"/>
  <c r="T23" i="47"/>
  <c r="AW23" i="47"/>
  <c r="V26" i="47"/>
  <c r="T26" i="47"/>
  <c r="AV26" i="47"/>
  <c r="AC26" i="47"/>
  <c r="R26" i="47"/>
  <c r="AX26" i="47"/>
  <c r="AA26" i="47"/>
  <c r="O25" i="47" s="1"/>
  <c r="AB26" i="47"/>
  <c r="P25" i="47" s="1"/>
  <c r="AZ26" i="47"/>
  <c r="S26" i="47"/>
  <c r="AT26" i="47"/>
  <c r="AE26" i="47"/>
  <c r="W26" i="47"/>
  <c r="BA26" i="47"/>
  <c r="AD26" i="47"/>
  <c r="Q26" i="47"/>
  <c r="AS26" i="47"/>
  <c r="AU26" i="47"/>
  <c r="AN26" i="47"/>
  <c r="AW26" i="47"/>
  <c r="AV23" i="47"/>
  <c r="AZ23" i="47"/>
  <c r="AE23" i="47"/>
  <c r="R23" i="47"/>
  <c r="CB24" i="47"/>
  <c r="BA23" i="47"/>
  <c r="W23" i="47"/>
  <c r="V23" i="47"/>
  <c r="AD23" i="47"/>
  <c r="AC23" i="47"/>
  <c r="AF139" i="44"/>
  <c r="AE136" i="44"/>
  <c r="AF136" i="44"/>
  <c r="BN140" i="44"/>
  <c r="BX140" i="44"/>
  <c r="AE140" i="44"/>
  <c r="AN479" i="43"/>
  <c r="AG36" i="47" s="1"/>
  <c r="AX479" i="43"/>
  <c r="AQ36" i="47" s="1"/>
  <c r="BR139" i="44"/>
  <c r="BO135" i="44"/>
  <c r="AF142" i="44"/>
  <c r="AF140" i="44"/>
  <c r="AF477" i="43"/>
  <c r="BO477" i="43"/>
  <c r="BN477" i="43"/>
  <c r="Q466" i="43"/>
  <c r="J13" i="47" s="1"/>
  <c r="Q479" i="43"/>
  <c r="J36" i="47" s="1"/>
  <c r="P479" i="43"/>
  <c r="I36" i="47" s="1"/>
  <c r="P466" i="43"/>
  <c r="I13" i="47" s="1"/>
  <c r="J466" i="43"/>
  <c r="C13" i="47" s="1"/>
  <c r="S466" i="43"/>
  <c r="L13" i="47" s="1"/>
  <c r="BW142" i="44"/>
  <c r="Q139" i="44"/>
  <c r="P139" i="44"/>
  <c r="S129" i="44"/>
  <c r="L14" i="47" s="1"/>
  <c r="AG135" i="44"/>
  <c r="BI469" i="43"/>
  <c r="S469" i="43"/>
  <c r="BX476" i="43"/>
  <c r="BQ33" i="47" s="1"/>
  <c r="BR476" i="43"/>
  <c r="BJ469" i="43"/>
  <c r="M469" i="43"/>
  <c r="BW476" i="43"/>
  <c r="BW477" i="43"/>
  <c r="BQ476" i="43"/>
  <c r="BQ473" i="43"/>
  <c r="BQ477" i="43"/>
  <c r="AO472" i="43"/>
  <c r="BR470" i="43"/>
  <c r="BR478" i="43"/>
  <c r="AE471" i="43"/>
  <c r="BW473" i="43"/>
  <c r="BW471" i="43"/>
  <c r="AF476" i="43"/>
  <c r="BR473" i="43"/>
  <c r="BK30" i="47" s="1"/>
  <c r="AM479" i="43"/>
  <c r="AF36" i="47" s="1"/>
  <c r="AO470" i="43"/>
  <c r="BQ472" i="43"/>
  <c r="BW472" i="43"/>
  <c r="BP29" i="47" s="1"/>
  <c r="BK471" i="43"/>
  <c r="AF472" i="43"/>
  <c r="AE470" i="43"/>
  <c r="BW470" i="43"/>
  <c r="BU478" i="43"/>
  <c r="BR471" i="43"/>
  <c r="BQ471" i="43"/>
  <c r="BP477" i="43"/>
  <c r="AO477" i="43"/>
  <c r="BQ470" i="43"/>
  <c r="BR472" i="43"/>
  <c r="BX479" i="43"/>
  <c r="AO476" i="43"/>
  <c r="AF473" i="43"/>
  <c r="BR477" i="43"/>
  <c r="BU470" i="43"/>
  <c r="BK470" i="43"/>
  <c r="AO478" i="43"/>
  <c r="AO473" i="43"/>
  <c r="BV477" i="43"/>
  <c r="BK477" i="43"/>
  <c r="AF470" i="43"/>
  <c r="J469" i="43"/>
  <c r="BU476" i="43"/>
  <c r="BX478" i="43"/>
  <c r="BU471" i="43"/>
  <c r="BW478" i="43"/>
  <c r="BK473" i="43"/>
  <c r="AO471" i="43"/>
  <c r="BQ478" i="43"/>
  <c r="BW479" i="43"/>
  <c r="BU472" i="43"/>
  <c r="BN29" i="47" s="1"/>
  <c r="BX477" i="43"/>
  <c r="BK472" i="43"/>
  <c r="AF471" i="43"/>
  <c r="AE473" i="43"/>
  <c r="BX471" i="43"/>
  <c r="AF478" i="43"/>
  <c r="BU473" i="43"/>
  <c r="BN30" i="47" s="1"/>
  <c r="AE478" i="43"/>
  <c r="BK479" i="43"/>
  <c r="BX473" i="43"/>
  <c r="BQ30" i="47" s="1"/>
  <c r="BK478" i="43"/>
  <c r="BX472" i="43"/>
  <c r="BQ29" i="47" s="1"/>
  <c r="BX470" i="43"/>
  <c r="AE472" i="43"/>
  <c r="X29" i="47" s="1"/>
  <c r="AE477" i="43"/>
  <c r="AE476" i="43"/>
  <c r="X33" i="47" s="1"/>
  <c r="AE134" i="44"/>
  <c r="AX132" i="44"/>
  <c r="M132" i="44"/>
  <c r="BN135" i="44"/>
  <c r="M129" i="44"/>
  <c r="F14" i="47" s="1"/>
  <c r="V132" i="44"/>
  <c r="W132" i="44"/>
  <c r="BQ142" i="44"/>
  <c r="BQ140" i="44"/>
  <c r="J129" i="44"/>
  <c r="BQ134" i="44"/>
  <c r="BQ139" i="44"/>
  <c r="BQ133" i="44"/>
  <c r="BR133" i="44"/>
  <c r="BW140" i="44"/>
  <c r="AN132" i="44"/>
  <c r="J132" i="44"/>
  <c r="BI132" i="44"/>
  <c r="S132" i="44"/>
  <c r="BJ132" i="44"/>
  <c r="AM132" i="44"/>
  <c r="BV139" i="44"/>
  <c r="AQ139" i="44"/>
  <c r="BK142" i="44"/>
  <c r="BK140" i="44"/>
  <c r="BV135" i="44"/>
  <c r="BK135" i="44"/>
  <c r="BP136" i="44"/>
  <c r="AO136" i="44"/>
  <c r="BQ136" i="44"/>
  <c r="BK134" i="44"/>
  <c r="AO139" i="44"/>
  <c r="AP135" i="44"/>
  <c r="BK141" i="44"/>
  <c r="BX141" i="44"/>
  <c r="BX142" i="44"/>
  <c r="BU134" i="44"/>
  <c r="BR142" i="44"/>
  <c r="BK133" i="44"/>
  <c r="BV136" i="44"/>
  <c r="BK136" i="44"/>
  <c r="AP139" i="44"/>
  <c r="AO142" i="44"/>
  <c r="BW141" i="44"/>
  <c r="BP135" i="44"/>
  <c r="AO135" i="44"/>
  <c r="AE141" i="44"/>
  <c r="AF133" i="44"/>
  <c r="AF135" i="44"/>
  <c r="BU141" i="44"/>
  <c r="BW136" i="44"/>
  <c r="AO134" i="44"/>
  <c r="BN139" i="44"/>
  <c r="BQ141" i="44"/>
  <c r="AO133" i="44"/>
  <c r="AQ136" i="44"/>
  <c r="BU139" i="44"/>
  <c r="BR135" i="44"/>
  <c r="BW134" i="44"/>
  <c r="BW133" i="44"/>
  <c r="AF141" i="44"/>
  <c r="BR134" i="44"/>
  <c r="AE142" i="44"/>
  <c r="AG139" i="44"/>
  <c r="AO141" i="44"/>
  <c r="AQ142" i="44"/>
  <c r="AF134" i="44"/>
  <c r="BX133" i="44"/>
  <c r="BX134" i="44"/>
  <c r="BU133" i="44"/>
  <c r="BQ135" i="44"/>
  <c r="BK139" i="44"/>
  <c r="AO140" i="44"/>
  <c r="BW139" i="44"/>
  <c r="AE133" i="44"/>
  <c r="BU142" i="44"/>
  <c r="BR140" i="44"/>
  <c r="BR141" i="44"/>
  <c r="P476" i="43"/>
  <c r="I33" i="47" s="1"/>
  <c r="N26" i="47"/>
  <c r="H26" i="47"/>
  <c r="D26" i="47"/>
  <c r="E26" i="47"/>
  <c r="M26" i="47"/>
  <c r="G26" i="47"/>
  <c r="K26" i="47"/>
  <c r="Q476" i="43"/>
  <c r="BK476" i="43"/>
  <c r="BJ129" i="44"/>
  <c r="BC14" i="47" s="1"/>
  <c r="W129" i="44"/>
  <c r="BI129" i="44"/>
  <c r="AM129" i="44"/>
  <c r="BQ130" i="44" s="1"/>
  <c r="V129" i="44"/>
  <c r="BJ466" i="43"/>
  <c r="BC13" i="47" s="1"/>
  <c r="BI466" i="43"/>
  <c r="BB13" i="47" s="1"/>
  <c r="AN129" i="44"/>
  <c r="AG14" i="47" s="1"/>
  <c r="AX129" i="44"/>
  <c r="AQ14" i="47" s="1"/>
  <c r="BR12" i="43"/>
  <c r="BR13" i="43" s="1"/>
  <c r="BU12" i="43"/>
  <c r="BU13" i="43" s="1"/>
  <c r="AO12" i="43"/>
  <c r="AO13" i="43" s="1"/>
  <c r="BQ12" i="43"/>
  <c r="BQ13" i="43" s="1"/>
  <c r="V12" i="43"/>
  <c r="V13" i="43" s="1"/>
  <c r="Y33" i="47" l="1"/>
  <c r="J33" i="47"/>
  <c r="AO131" i="44"/>
  <c r="BD28" i="47"/>
  <c r="BP33" i="47"/>
  <c r="BB14" i="47"/>
  <c r="BK130" i="44"/>
  <c r="BW130" i="44"/>
  <c r="BR130" i="44"/>
  <c r="P14" i="47"/>
  <c r="BU130" i="44"/>
  <c r="O14" i="47"/>
  <c r="C14" i="47"/>
  <c r="BX130" i="44"/>
  <c r="AF14" i="47"/>
  <c r="AO130" i="44"/>
  <c r="BP34" i="47"/>
  <c r="BD30" i="47"/>
  <c r="BP35" i="47"/>
  <c r="BP27" i="47"/>
  <c r="X27" i="47"/>
  <c r="BK131" i="44"/>
  <c r="BP28" i="47"/>
  <c r="BQ34" i="47"/>
  <c r="BD34" i="47"/>
  <c r="X35" i="47"/>
  <c r="BD35" i="47"/>
  <c r="Y30" i="47"/>
  <c r="Y27" i="47"/>
  <c r="BJ27" i="47"/>
  <c r="AH27" i="47"/>
  <c r="AH34" i="47"/>
  <c r="Y35" i="47"/>
  <c r="Y29" i="47"/>
  <c r="AH30" i="47"/>
  <c r="AH33" i="47"/>
  <c r="AH29" i="47"/>
  <c r="AH35" i="47"/>
  <c r="Y34" i="47"/>
  <c r="Y28" i="47"/>
  <c r="AH28" i="47"/>
  <c r="BK33" i="47"/>
  <c r="BP30" i="47"/>
  <c r="BD27" i="47"/>
  <c r="BD29" i="47"/>
  <c r="X34" i="47"/>
  <c r="X28" i="47"/>
  <c r="X30" i="47"/>
  <c r="BD33" i="47"/>
  <c r="BD36" i="47"/>
  <c r="BK29" i="47"/>
  <c r="BN35" i="47"/>
  <c r="BJ29" i="47"/>
  <c r="BJ30" i="47"/>
  <c r="BN27" i="47"/>
  <c r="BJ33" i="47"/>
  <c r="BQ27" i="47"/>
  <c r="BK34" i="47"/>
  <c r="BK35" i="47"/>
  <c r="BN28" i="47"/>
  <c r="BK27" i="47"/>
  <c r="BQ28" i="47"/>
  <c r="BQ35" i="47"/>
  <c r="BJ28" i="47"/>
  <c r="BJ35" i="47"/>
  <c r="BN33" i="47"/>
  <c r="BQ36" i="47"/>
  <c r="BK28" i="47"/>
  <c r="BJ34" i="47"/>
  <c r="BP36" i="47"/>
  <c r="BG34" i="47"/>
  <c r="C25" i="47"/>
  <c r="F25" i="47"/>
  <c r="L25" i="47"/>
  <c r="BB25" i="47"/>
  <c r="BC25" i="47"/>
  <c r="Q132" i="44"/>
  <c r="J26" i="47"/>
  <c r="P132" i="44"/>
  <c r="I26" i="47"/>
  <c r="N23" i="47"/>
  <c r="AT23" i="47"/>
  <c r="BC24" i="47" s="1"/>
  <c r="AB23" i="47"/>
  <c r="P24" i="47" s="1"/>
  <c r="BK467" i="43"/>
  <c r="BK468" i="43"/>
  <c r="I467" i="43"/>
  <c r="BX467" i="43"/>
  <c r="BW467" i="43"/>
  <c r="AE12" i="43"/>
  <c r="AE13" i="43" s="1"/>
  <c r="BC23" i="47"/>
  <c r="BC26" i="47"/>
  <c r="BB26" i="47"/>
  <c r="AF26" i="47"/>
  <c r="AQ26" i="47"/>
  <c r="AG26" i="47"/>
  <c r="BO140" i="44"/>
  <c r="BH34" i="47" s="1"/>
  <c r="BN136" i="44"/>
  <c r="BO139" i="44"/>
  <c r="V479" i="43"/>
  <c r="O36" i="47" s="1"/>
  <c r="AG136" i="44"/>
  <c r="BO136" i="44"/>
  <c r="AP136" i="44"/>
  <c r="AP140" i="44"/>
  <c r="AR140" i="44"/>
  <c r="BP140" i="44"/>
  <c r="BI34" i="47" s="1"/>
  <c r="AX469" i="43"/>
  <c r="BV140" i="44"/>
  <c r="BO34" i="47" s="1"/>
  <c r="BX129" i="44"/>
  <c r="BQ14" i="47" s="1"/>
  <c r="AN469" i="43"/>
  <c r="AP477" i="43"/>
  <c r="BN473" i="43"/>
  <c r="BP473" i="43"/>
  <c r="BI30" i="47" s="1"/>
  <c r="AP476" i="43"/>
  <c r="AI33" i="47" s="1"/>
  <c r="BN141" i="44"/>
  <c r="AQ135" i="44"/>
  <c r="AO479" i="43"/>
  <c r="AH36" i="47" s="1"/>
  <c r="BN472" i="43"/>
  <c r="BG29" i="47" s="1"/>
  <c r="AP478" i="43"/>
  <c r="AP472" i="43"/>
  <c r="AI29" i="47" s="1"/>
  <c r="AP473" i="43"/>
  <c r="BN478" i="43"/>
  <c r="BO141" i="44"/>
  <c r="AG142" i="44"/>
  <c r="BO473" i="43"/>
  <c r="AX466" i="43"/>
  <c r="AQ13" i="47" s="1"/>
  <c r="AM466" i="43"/>
  <c r="AF13" i="47" s="1"/>
  <c r="AG477" i="43"/>
  <c r="BM477" i="43"/>
  <c r="AN466" i="43"/>
  <c r="AG13" i="47" s="1"/>
  <c r="AG472" i="43"/>
  <c r="Z29" i="47" s="1"/>
  <c r="AQ476" i="43"/>
  <c r="AJ33" i="47" s="1"/>
  <c r="AQ472" i="43"/>
  <c r="BN476" i="43"/>
  <c r="BG33" i="47" s="1"/>
  <c r="I466" i="43"/>
  <c r="B13" i="47" s="1"/>
  <c r="AQ473" i="43"/>
  <c r="AJ30" i="47" s="1"/>
  <c r="AQ477" i="43"/>
  <c r="AG473" i="43"/>
  <c r="BO472" i="43"/>
  <c r="BH29" i="47" s="1"/>
  <c r="BO476" i="43"/>
  <c r="M23" i="47"/>
  <c r="L23" i="47"/>
  <c r="AG140" i="44"/>
  <c r="BV141" i="44"/>
  <c r="AP141" i="44"/>
  <c r="I129" i="44"/>
  <c r="B14" i="47" s="1"/>
  <c r="Q129" i="44"/>
  <c r="P129" i="44"/>
  <c r="AQ140" i="44"/>
  <c r="F26" i="47"/>
  <c r="C26" i="47"/>
  <c r="BN142" i="44"/>
  <c r="AQ141" i="44"/>
  <c r="AP142" i="44"/>
  <c r="AM469" i="43"/>
  <c r="L26" i="47"/>
  <c r="F23" i="47"/>
  <c r="AG471" i="43"/>
  <c r="BX469" i="43"/>
  <c r="AG476" i="43"/>
  <c r="Z33" i="47" s="1"/>
  <c r="BW469" i="43"/>
  <c r="AG478" i="43"/>
  <c r="BN471" i="43"/>
  <c r="W479" i="43"/>
  <c r="P36" i="47" s="1"/>
  <c r="BQ466" i="43"/>
  <c r="BJ13" i="47" s="1"/>
  <c r="BQ479" i="43"/>
  <c r="BJ36" i="47" s="1"/>
  <c r="BV476" i="43"/>
  <c r="BO33" i="47" s="1"/>
  <c r="AG470" i="43"/>
  <c r="BP476" i="43"/>
  <c r="AP471" i="43"/>
  <c r="AQ478" i="43"/>
  <c r="BV471" i="43"/>
  <c r="AR477" i="43"/>
  <c r="AQ471" i="43"/>
  <c r="BR466" i="43"/>
  <c r="BK13" i="47" s="1"/>
  <c r="BR479" i="43"/>
  <c r="BK36" i="47" s="1"/>
  <c r="BV472" i="43"/>
  <c r="BO29" i="47" s="1"/>
  <c r="BP470" i="43"/>
  <c r="BU466" i="43"/>
  <c r="BN13" i="47" s="1"/>
  <c r="BU479" i="43"/>
  <c r="BN36" i="47" s="1"/>
  <c r="BP471" i="43"/>
  <c r="BN470" i="43"/>
  <c r="BV473" i="43"/>
  <c r="BO30" i="47" s="1"/>
  <c r="BO478" i="43"/>
  <c r="BV470" i="43"/>
  <c r="AQ470" i="43"/>
  <c r="BP472" i="43"/>
  <c r="BI29" i="47" s="1"/>
  <c r="BO470" i="43"/>
  <c r="BV478" i="43"/>
  <c r="BP478" i="43"/>
  <c r="AP470" i="43"/>
  <c r="BO471" i="43"/>
  <c r="AP134" i="44"/>
  <c r="BU129" i="44"/>
  <c r="BN14" i="47" s="1"/>
  <c r="E23" i="47"/>
  <c r="H23" i="47"/>
  <c r="AG134" i="44"/>
  <c r="AG141" i="44"/>
  <c r="AP133" i="44"/>
  <c r="BP141" i="44"/>
  <c r="AT135" i="44"/>
  <c r="BO134" i="44"/>
  <c r="D23" i="47"/>
  <c r="BM135" i="44"/>
  <c r="BP139" i="44"/>
  <c r="BW132" i="44"/>
  <c r="AG133" i="44"/>
  <c r="BN133" i="44"/>
  <c r="BK132" i="44"/>
  <c r="BV134" i="44"/>
  <c r="BO133" i="44"/>
  <c r="AF132" i="44"/>
  <c r="AR136" i="44"/>
  <c r="AR139" i="44"/>
  <c r="BM139" i="44"/>
  <c r="BU132" i="44"/>
  <c r="BN134" i="44"/>
  <c r="AT139" i="44"/>
  <c r="BP133" i="44"/>
  <c r="AQ133" i="44"/>
  <c r="BP134" i="44"/>
  <c r="BP142" i="44"/>
  <c r="BR132" i="44"/>
  <c r="AS135" i="44"/>
  <c r="AS139" i="44"/>
  <c r="AE132" i="44"/>
  <c r="BX132" i="44"/>
  <c r="AO132" i="44"/>
  <c r="AQ134" i="44"/>
  <c r="BQ132" i="44"/>
  <c r="BV133" i="44"/>
  <c r="BO142" i="44"/>
  <c r="BV142" i="44"/>
  <c r="BK469" i="43"/>
  <c r="P469" i="43"/>
  <c r="Q469" i="43"/>
  <c r="BR129" i="44"/>
  <c r="BK14" i="47" s="1"/>
  <c r="AF129" i="44"/>
  <c r="BX466" i="43"/>
  <c r="BQ13" i="47" s="1"/>
  <c r="BQ129" i="44"/>
  <c r="BK129" i="44"/>
  <c r="BD14" i="47" s="1"/>
  <c r="AO129" i="44"/>
  <c r="AH14" i="47" s="1"/>
  <c r="BK466" i="43"/>
  <c r="BD13" i="47" s="1"/>
  <c r="BW466" i="43"/>
  <c r="BP13" i="47" s="1"/>
  <c r="AE129" i="44"/>
  <c r="AG130" i="44" s="1"/>
  <c r="BW129" i="44"/>
  <c r="BP12" i="43"/>
  <c r="BP13" i="43" s="1"/>
  <c r="BV12" i="43"/>
  <c r="BV13" i="43" s="1"/>
  <c r="I133" i="44"/>
  <c r="I134" i="44"/>
  <c r="I135" i="44"/>
  <c r="I136" i="44"/>
  <c r="I137" i="44"/>
  <c r="I138" i="44"/>
  <c r="I139" i="44"/>
  <c r="I140" i="44"/>
  <c r="I141" i="44"/>
  <c r="I142" i="44"/>
  <c r="AG131" i="44" l="1"/>
  <c r="I130" i="44"/>
  <c r="I131" i="44"/>
  <c r="J14" i="47"/>
  <c r="BP131" i="44"/>
  <c r="BV131" i="44"/>
  <c r="BP14" i="47"/>
  <c r="BV130" i="44"/>
  <c r="BJ14" i="47"/>
  <c r="BP130" i="44"/>
  <c r="X14" i="47"/>
  <c r="BN130" i="44"/>
  <c r="Y14" i="47"/>
  <c r="BO130" i="44"/>
  <c r="I14" i="47"/>
  <c r="I23" i="47" s="1"/>
  <c r="BG28" i="47"/>
  <c r="Z35" i="47"/>
  <c r="Z27" i="47"/>
  <c r="AI34" i="47"/>
  <c r="AI35" i="47"/>
  <c r="AJ29" i="47"/>
  <c r="AJ35" i="47"/>
  <c r="BH33" i="47"/>
  <c r="BH35" i="47"/>
  <c r="BI28" i="47"/>
  <c r="AJ27" i="47"/>
  <c r="AJ28" i="47"/>
  <c r="AJ34" i="47"/>
  <c r="AI27" i="47"/>
  <c r="AI28" i="47"/>
  <c r="AI30" i="47"/>
  <c r="Z34" i="47"/>
  <c r="Z30" i="47"/>
  <c r="Z28" i="47"/>
  <c r="BG27" i="47"/>
  <c r="AK34" i="47"/>
  <c r="BI33" i="47"/>
  <c r="BH28" i="47"/>
  <c r="BH30" i="47"/>
  <c r="BI35" i="47"/>
  <c r="BI27" i="47"/>
  <c r="BH27" i="47"/>
  <c r="BG30" i="47"/>
  <c r="BO27" i="47"/>
  <c r="BG35" i="47"/>
  <c r="BO28" i="47"/>
  <c r="BO35" i="47"/>
  <c r="BD25" i="47"/>
  <c r="B25" i="47"/>
  <c r="L24" i="47"/>
  <c r="F24" i="47"/>
  <c r="C24" i="47"/>
  <c r="BQ24" i="47"/>
  <c r="BR23" i="47"/>
  <c r="BQ23" i="47"/>
  <c r="P26" i="47"/>
  <c r="O26" i="47"/>
  <c r="BB23" i="47"/>
  <c r="BP24" i="47" s="1"/>
  <c r="AO468" i="43"/>
  <c r="BV468" i="43"/>
  <c r="I468" i="43"/>
  <c r="AF23" i="47"/>
  <c r="AO467" i="43"/>
  <c r="BQ467" i="43"/>
  <c r="AQ23" i="47"/>
  <c r="BN24" i="47" s="1"/>
  <c r="BU467" i="43"/>
  <c r="AG23" i="47"/>
  <c r="BK24" i="47" s="1"/>
  <c r="BR467" i="43"/>
  <c r="BV467" i="43"/>
  <c r="BK23" i="47"/>
  <c r="BP467" i="43"/>
  <c r="BN26" i="47"/>
  <c r="BD23" i="47"/>
  <c r="V469" i="43"/>
  <c r="BJ26" i="47"/>
  <c r="BD26" i="47"/>
  <c r="BQ26" i="47"/>
  <c r="AH26" i="47"/>
  <c r="BP26" i="47"/>
  <c r="BK26" i="47"/>
  <c r="BN12" i="43"/>
  <c r="BN13" i="43" s="1"/>
  <c r="W466" i="43"/>
  <c r="P13" i="47" s="1"/>
  <c r="V466" i="43"/>
  <c r="O13" i="47" s="1"/>
  <c r="AT136" i="44"/>
  <c r="AS136" i="44"/>
  <c r="BM136" i="44"/>
  <c r="BT136" i="44"/>
  <c r="BN129" i="44"/>
  <c r="BR469" i="43"/>
  <c r="BQ469" i="43"/>
  <c r="AO469" i="43"/>
  <c r="BO129" i="44"/>
  <c r="BH14" i="47" s="1"/>
  <c r="AR142" i="44"/>
  <c r="BS136" i="44"/>
  <c r="AS473" i="43"/>
  <c r="BM473" i="43"/>
  <c r="AR478" i="43"/>
  <c r="BM140" i="44"/>
  <c r="BF34" i="47" s="1"/>
  <c r="AR135" i="44"/>
  <c r="C23" i="47"/>
  <c r="AS142" i="44"/>
  <c r="AT142" i="44"/>
  <c r="AS141" i="44"/>
  <c r="AS140" i="44"/>
  <c r="BM472" i="43"/>
  <c r="BF29" i="47" s="1"/>
  <c r="BT477" i="43"/>
  <c r="AO466" i="43"/>
  <c r="AH13" i="47" s="1"/>
  <c r="BU469" i="43"/>
  <c r="AT478" i="43"/>
  <c r="AS478" i="43"/>
  <c r="AR476" i="43"/>
  <c r="AK33" i="47" s="1"/>
  <c r="AS476" i="43"/>
  <c r="AL33" i="47" s="1"/>
  <c r="AT477" i="43"/>
  <c r="AR473" i="43"/>
  <c r="AK30" i="47" s="1"/>
  <c r="AR472" i="43"/>
  <c r="BM476" i="43"/>
  <c r="BF33" i="47" s="1"/>
  <c r="AT476" i="43"/>
  <c r="AM33" i="47" s="1"/>
  <c r="AT473" i="43"/>
  <c r="AS477" i="43"/>
  <c r="AR134" i="44"/>
  <c r="AT141" i="44"/>
  <c r="AT140" i="44"/>
  <c r="J23" i="47"/>
  <c r="BM141" i="44"/>
  <c r="AR141" i="44"/>
  <c r="AQ129" i="44"/>
  <c r="AJ14" i="47" s="1"/>
  <c r="AT134" i="44"/>
  <c r="AP129" i="44"/>
  <c r="AS134" i="44"/>
  <c r="BV129" i="44"/>
  <c r="BO14" i="47" s="1"/>
  <c r="AT471" i="43"/>
  <c r="AT470" i="43"/>
  <c r="AP12" i="43"/>
  <c r="AP13" i="43" s="1"/>
  <c r="BM470" i="43"/>
  <c r="AS471" i="43"/>
  <c r="AS470" i="43"/>
  <c r="AE479" i="43"/>
  <c r="X36" i="47" s="1"/>
  <c r="AR470" i="43"/>
  <c r="BM471" i="43"/>
  <c r="AF479" i="43"/>
  <c r="Y36" i="47" s="1"/>
  <c r="W469" i="43"/>
  <c r="AR471" i="43"/>
  <c r="AT472" i="43"/>
  <c r="AM29" i="47" s="1"/>
  <c r="BV466" i="43"/>
  <c r="BO13" i="47" s="1"/>
  <c r="BV479" i="43"/>
  <c r="BO36" i="47" s="1"/>
  <c r="BP466" i="43"/>
  <c r="BI13" i="47" s="1"/>
  <c r="BP479" i="43"/>
  <c r="BI36" i="47" s="1"/>
  <c r="BM478" i="43"/>
  <c r="AS472" i="43"/>
  <c r="AL29" i="47" s="1"/>
  <c r="BP129" i="44"/>
  <c r="BI14" i="47" s="1"/>
  <c r="BM142" i="44"/>
  <c r="AP132" i="44"/>
  <c r="AT133" i="44"/>
  <c r="AS133" i="44"/>
  <c r="AY139" i="44"/>
  <c r="BV132" i="44"/>
  <c r="AQ132" i="44"/>
  <c r="BN132" i="44"/>
  <c r="BT135" i="44"/>
  <c r="AR133" i="44"/>
  <c r="BM133" i="44"/>
  <c r="AG132" i="44"/>
  <c r="BT139" i="44"/>
  <c r="BS135" i="44"/>
  <c r="BP132" i="44"/>
  <c r="BO132" i="44"/>
  <c r="BS139" i="44"/>
  <c r="BM134" i="44"/>
  <c r="AG129" i="44"/>
  <c r="BO12" i="43"/>
  <c r="BO13" i="43" s="1"/>
  <c r="AQ12" i="43"/>
  <c r="AQ13" i="43" s="1"/>
  <c r="AG12" i="43"/>
  <c r="AG13" i="43" s="1"/>
  <c r="I132" i="44"/>
  <c r="BM131" i="44" l="1"/>
  <c r="AM35" i="47"/>
  <c r="BG14" i="47"/>
  <c r="BM130" i="44"/>
  <c r="AR131" i="44"/>
  <c r="AI14" i="47"/>
  <c r="AR130" i="44"/>
  <c r="Z14" i="47"/>
  <c r="AK35" i="47"/>
  <c r="AK27" i="47"/>
  <c r="AM27" i="47"/>
  <c r="AM34" i="47"/>
  <c r="AK29" i="47"/>
  <c r="AM28" i="47"/>
  <c r="AK28" i="47"/>
  <c r="AM30" i="47"/>
  <c r="BF30" i="47"/>
  <c r="BF28" i="47"/>
  <c r="BF27" i="47"/>
  <c r="BF35" i="47"/>
  <c r="AL27" i="47"/>
  <c r="AL28" i="47"/>
  <c r="AL34" i="47"/>
  <c r="AL30" i="47"/>
  <c r="AL35" i="47"/>
  <c r="BD24" i="47"/>
  <c r="BJ24" i="47"/>
  <c r="B24" i="47"/>
  <c r="BO25" i="47"/>
  <c r="BI25" i="47"/>
  <c r="AA23" i="47"/>
  <c r="O24" i="47" s="1"/>
  <c r="AI467" i="43"/>
  <c r="P23" i="47"/>
  <c r="AH467" i="43"/>
  <c r="O23" i="47"/>
  <c r="Y26" i="47"/>
  <c r="AH23" i="47"/>
  <c r="X26" i="47"/>
  <c r="BP23" i="47"/>
  <c r="BO24" i="47" s="1"/>
  <c r="BP468" i="43"/>
  <c r="BO23" i="47"/>
  <c r="BJ23" i="47"/>
  <c r="BI24" i="47" s="1"/>
  <c r="AS12" i="43"/>
  <c r="AS13" i="43" s="1"/>
  <c r="BI26" i="47"/>
  <c r="BO26" i="47"/>
  <c r="BI23" i="47"/>
  <c r="BN479" i="43"/>
  <c r="BG36" i="47" s="1"/>
  <c r="BL136" i="44"/>
  <c r="AY136" i="44"/>
  <c r="BM129" i="44"/>
  <c r="BV469" i="43"/>
  <c r="BT472" i="43"/>
  <c r="BM29" i="47" s="1"/>
  <c r="BS473" i="43"/>
  <c r="BL30" i="47" s="1"/>
  <c r="BT141" i="44"/>
  <c r="BS476" i="43"/>
  <c r="BL33" i="47" s="1"/>
  <c r="BS472" i="43"/>
  <c r="BL29" i="47" s="1"/>
  <c r="AG479" i="43"/>
  <c r="Z36" i="47" s="1"/>
  <c r="AQ479" i="43"/>
  <c r="AJ36" i="47" s="1"/>
  <c r="AQ466" i="43"/>
  <c r="AJ13" i="47" s="1"/>
  <c r="AP466" i="43"/>
  <c r="AI13" i="47" s="1"/>
  <c r="AY473" i="43"/>
  <c r="BS140" i="44"/>
  <c r="BT140" i="44"/>
  <c r="BM34" i="47" s="1"/>
  <c r="AY141" i="44"/>
  <c r="AY140" i="44"/>
  <c r="AY142" i="44"/>
  <c r="AY472" i="43"/>
  <c r="BL477" i="43"/>
  <c r="AY478" i="43"/>
  <c r="AE466" i="43"/>
  <c r="X13" i="47" s="1"/>
  <c r="BN466" i="43"/>
  <c r="BG13" i="47" s="1"/>
  <c r="AF466" i="43"/>
  <c r="Y13" i="47" s="1"/>
  <c r="AY476" i="43"/>
  <c r="AR33" i="47" s="1"/>
  <c r="AY477" i="43"/>
  <c r="BT476" i="43"/>
  <c r="BM33" i="47" s="1"/>
  <c r="BT473" i="43"/>
  <c r="BM30" i="47" s="1"/>
  <c r="AY135" i="44"/>
  <c r="AY134" i="44"/>
  <c r="BS141" i="44"/>
  <c r="AR129" i="44"/>
  <c r="AK14" i="47" s="1"/>
  <c r="BS477" i="43"/>
  <c r="AY471" i="43"/>
  <c r="AP479" i="43"/>
  <c r="AI36" i="47" s="1"/>
  <c r="AY470" i="43"/>
  <c r="BS470" i="43"/>
  <c r="BS478" i="43"/>
  <c r="AE469" i="43"/>
  <c r="BT470" i="43"/>
  <c r="BP469" i="43"/>
  <c r="BT478" i="43"/>
  <c r="AF469" i="43"/>
  <c r="BO466" i="43"/>
  <c r="BH13" i="47" s="1"/>
  <c r="BO479" i="43"/>
  <c r="BH36" i="47" s="1"/>
  <c r="BS471" i="43"/>
  <c r="BT471" i="43"/>
  <c r="BS142" i="44"/>
  <c r="BT142" i="44"/>
  <c r="AY133" i="44"/>
  <c r="AT132" i="44"/>
  <c r="AS132" i="44"/>
  <c r="BT134" i="44"/>
  <c r="BS133" i="44"/>
  <c r="BT133" i="44"/>
  <c r="BM132" i="44"/>
  <c r="BL139" i="44"/>
  <c r="BL135" i="44"/>
  <c r="BS134" i="44"/>
  <c r="AR132" i="44"/>
  <c r="AS129" i="44"/>
  <c r="BS129" i="44"/>
  <c r="BL14" i="47" s="1"/>
  <c r="AT129" i="44"/>
  <c r="AR12" i="43"/>
  <c r="AR13" i="43" s="1"/>
  <c r="BM12" i="43"/>
  <c r="BM13" i="43" s="1"/>
  <c r="AT12" i="43"/>
  <c r="AT13" i="43" s="1"/>
  <c r="AL14" i="47" l="1"/>
  <c r="BS130" i="44"/>
  <c r="AY131" i="44"/>
  <c r="AM14" i="47"/>
  <c r="BT130" i="44"/>
  <c r="BF14" i="47"/>
  <c r="AY130" i="44"/>
  <c r="BM27" i="47"/>
  <c r="AR29" i="47"/>
  <c r="BM35" i="47"/>
  <c r="BM28" i="47"/>
  <c r="BL35" i="47"/>
  <c r="AR27" i="47"/>
  <c r="AR34" i="47"/>
  <c r="AR30" i="47"/>
  <c r="AR35" i="47"/>
  <c r="AR28" i="47"/>
  <c r="BL34" i="47"/>
  <c r="BL27" i="47"/>
  <c r="BL28" i="47"/>
  <c r="AN23" i="47"/>
  <c r="AI26" i="47"/>
  <c r="AJ23" i="47"/>
  <c r="BG26" i="47"/>
  <c r="BH23" i="47"/>
  <c r="AJ26" i="47"/>
  <c r="BH26" i="47"/>
  <c r="Z26" i="47"/>
  <c r="AG468" i="43"/>
  <c r="BN469" i="43"/>
  <c r="X23" i="47"/>
  <c r="AG467" i="43"/>
  <c r="BN467" i="43"/>
  <c r="BG23" i="47"/>
  <c r="BM467" i="43"/>
  <c r="Y23" i="47"/>
  <c r="BH24" i="47" s="1"/>
  <c r="BO467" i="43"/>
  <c r="AI23" i="47"/>
  <c r="AR467" i="43"/>
  <c r="AP469" i="43"/>
  <c r="BT129" i="44"/>
  <c r="BM14" i="47" s="1"/>
  <c r="AQ469" i="43"/>
  <c r="BL473" i="43"/>
  <c r="BE30" i="47" s="1"/>
  <c r="AT479" i="43"/>
  <c r="AM36" i="47" s="1"/>
  <c r="AS479" i="43"/>
  <c r="AL36" i="47" s="1"/>
  <c r="AG469" i="43"/>
  <c r="BL140" i="44"/>
  <c r="BE34" i="47" s="1"/>
  <c r="AG466" i="43"/>
  <c r="Z13" i="47" s="1"/>
  <c r="BL472" i="43"/>
  <c r="BE29" i="47" s="1"/>
  <c r="BL476" i="43"/>
  <c r="BE33" i="47" s="1"/>
  <c r="BL141" i="44"/>
  <c r="BL142" i="44"/>
  <c r="BO469" i="43"/>
  <c r="BL478" i="43"/>
  <c r="BL471" i="43"/>
  <c r="AR466" i="43"/>
  <c r="AK13" i="47" s="1"/>
  <c r="AR479" i="43"/>
  <c r="AK36" i="47" s="1"/>
  <c r="BM466" i="43"/>
  <c r="BF13" i="47" s="1"/>
  <c r="BM479" i="43"/>
  <c r="BF36" i="47" s="1"/>
  <c r="BL470" i="43"/>
  <c r="BL134" i="44"/>
  <c r="AY132" i="44"/>
  <c r="BS132" i="44"/>
  <c r="BL133" i="44"/>
  <c r="BT132" i="44"/>
  <c r="AY129" i="44"/>
  <c r="AR14" i="47" s="1"/>
  <c r="BL129" i="44"/>
  <c r="BE14" i="47" s="1"/>
  <c r="BS12" i="43"/>
  <c r="BS13" i="43" s="1"/>
  <c r="BT12" i="43"/>
  <c r="BT13" i="43" s="1"/>
  <c r="AY12" i="43"/>
  <c r="AY13" i="43" s="1"/>
  <c r="BL131" i="44" l="1"/>
  <c r="BL130" i="44"/>
  <c r="BE35" i="47"/>
  <c r="BE28" i="47"/>
  <c r="BE27" i="47"/>
  <c r="BF24" i="47"/>
  <c r="BF25" i="47"/>
  <c r="BG24" i="47"/>
  <c r="AS23" i="47"/>
  <c r="BB24" i="47" s="1"/>
  <c r="BN23" i="47"/>
  <c r="AM26" i="47"/>
  <c r="BF26" i="47"/>
  <c r="AK23" i="47"/>
  <c r="AK26" i="47"/>
  <c r="AL26" i="47"/>
  <c r="BM468" i="43"/>
  <c r="AR468" i="43"/>
  <c r="BF23" i="47"/>
  <c r="Z23" i="47"/>
  <c r="AT469" i="43"/>
  <c r="AS469" i="43"/>
  <c r="AY479" i="43"/>
  <c r="AR36" i="47" s="1"/>
  <c r="AT466" i="43"/>
  <c r="AM13" i="47" s="1"/>
  <c r="AS466" i="43"/>
  <c r="AL13" i="47" s="1"/>
  <c r="AR469" i="43"/>
  <c r="BM469" i="43"/>
  <c r="BS466" i="43"/>
  <c r="BL13" i="47" s="1"/>
  <c r="BS479" i="43"/>
  <c r="BL36" i="47" s="1"/>
  <c r="BT466" i="43"/>
  <c r="BM13" i="47" s="1"/>
  <c r="BT479" i="43"/>
  <c r="BM36" i="47" s="1"/>
  <c r="BL132" i="44"/>
  <c r="BL12" i="43"/>
  <c r="BL13" i="43" s="1"/>
  <c r="AR26" i="47" l="1"/>
  <c r="BL23" i="47"/>
  <c r="BM26" i="47"/>
  <c r="BM23" i="47"/>
  <c r="BL26" i="47"/>
  <c r="AY468" i="43"/>
  <c r="AY467" i="43"/>
  <c r="AL23" i="47"/>
  <c r="BL24" i="47" s="1"/>
  <c r="BS467" i="43"/>
  <c r="AM23" i="47"/>
  <c r="BM24" i="47" s="1"/>
  <c r="BT467" i="43"/>
  <c r="BL467" i="43"/>
  <c r="AY469" i="43"/>
  <c r="AY466" i="43"/>
  <c r="AR13" i="47" s="1"/>
  <c r="BL466" i="43"/>
  <c r="BE13" i="47" s="1"/>
  <c r="BL479" i="43"/>
  <c r="BE36" i="47" s="1"/>
  <c r="BS469" i="43"/>
  <c r="BT469" i="43"/>
  <c r="I470" i="43"/>
  <c r="B27" i="47" s="1"/>
  <c r="I471" i="43"/>
  <c r="B28" i="47" s="1"/>
  <c r="I472" i="43"/>
  <c r="B29" i="47" s="1"/>
  <c r="I473" i="43"/>
  <c r="B30" i="47" s="1"/>
  <c r="I474" i="43"/>
  <c r="B31" i="47" s="1"/>
  <c r="I475" i="43"/>
  <c r="B32" i="47" s="1"/>
  <c r="I476" i="43"/>
  <c r="B33" i="47" s="1"/>
  <c r="I477" i="43"/>
  <c r="B34" i="47" s="1"/>
  <c r="I478" i="43"/>
  <c r="B35" i="47" s="1"/>
  <c r="I479" i="43"/>
  <c r="B36" i="47" s="1"/>
  <c r="BE25" i="47" l="1"/>
  <c r="BE24" i="47"/>
  <c r="BE26" i="47"/>
  <c r="BE23" i="47"/>
  <c r="AR23" i="47"/>
  <c r="BL468" i="43"/>
  <c r="BL469" i="43"/>
  <c r="I469" i="43"/>
  <c r="B23" i="47" l="1"/>
  <c r="B26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AD263" authorId="0" shapeId="0" xr:uid="{7F6E5590-F1CB-48B7-8B70-0263AB5B897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změna ŠJ </t>
        </r>
      </text>
    </comment>
    <comment ref="BH263" authorId="0" shapeId="0" xr:uid="{E8F054D1-2CCB-4AB9-9DFC-AEF7C53412B7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změna ŠJ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V105" authorId="0" shapeId="0" xr:uid="{4586F9F2-7C96-4E5A-807A-499E55A6A85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odstupného zpět do platů (185 199 Kč)
</t>
        </r>
      </text>
    </comment>
    <comment ref="V129" authorId="0" shapeId="0" xr:uid="{B56D4684-C3F8-4ABD-BF1D-23D51B70E2D3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odstupného zpět do platů (185 199 Kč)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Y53" authorId="0" shapeId="0" xr:uid="{B1802F8F-2FDD-4FCE-80C9-2F2C79BE7C7B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zvýšený počet hodin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AC24" authorId="0" shapeId="0" xr:uid="{31A8BB0E-8D3B-4E0B-ABB9-E24AE5551F96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individuální úprava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Z67" authorId="0" shapeId="0" xr:uid="{B9D7CBB6-EB1C-424A-9AB2-23265C13309F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v tom AP ŠD 43821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O24" authorId="0" shapeId="0" xr:uid="{EF2AAA66-DC80-4C60-98C0-D83B6223127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odstupného zpět do platů (185 199 Kč)</t>
        </r>
      </text>
    </comment>
  </commentList>
</comments>
</file>

<file path=xl/sharedStrings.xml><?xml version="1.0" encoding="utf-8"?>
<sst xmlns="http://schemas.openxmlformats.org/spreadsheetml/2006/main" count="7016" uniqueCount="891">
  <si>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</si>
  <si>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</si>
  <si>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</si>
  <si>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</si>
  <si>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</si>
  <si>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</si>
  <si>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</si>
  <si>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</si>
  <si>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</si>
  <si>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</si>
  <si>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</si>
  <si>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</si>
  <si>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</si>
  <si>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</si>
  <si>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</si>
  <si>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</si>
  <si>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</si>
  <si>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</si>
  <si>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</si>
  <si>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</si>
  <si>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</si>
  <si>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</si>
  <si>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</si>
  <si>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</si>
  <si>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</si>
  <si>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</si>
  <si>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</si>
  <si>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</si>
  <si>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</si>
  <si>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</si>
  <si>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</si>
  <si>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</si>
  <si>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</si>
  <si>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</si>
  <si>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</si>
  <si>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</si>
  <si>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</si>
  <si>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</si>
  <si>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</si>
  <si>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</si>
  <si>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</si>
  <si>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</si>
  <si>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</si>
  <si>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</si>
  <si>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</si>
  <si>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</si>
  <si>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</si>
  <si>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</si>
  <si>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</si>
  <si>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</si>
  <si>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</si>
  <si>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</si>
  <si>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</si>
  <si>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</si>
  <si>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</si>
  <si>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</si>
  <si>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</si>
  <si>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</si>
  <si>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</si>
  <si>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</si>
  <si>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</si>
  <si>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</si>
  <si>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</si>
  <si>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</si>
  <si>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</si>
  <si>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</si>
  <si>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</si>
  <si>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</si>
  <si>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</si>
  <si>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</si>
  <si>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</si>
  <si>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</si>
  <si>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</si>
  <si>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</si>
  <si>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</si>
  <si>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</si>
  <si>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</si>
  <si>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</si>
  <si>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</si>
  <si>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</si>
  <si>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</si>
  <si>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</si>
  <si>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</si>
  <si>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</si>
  <si>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</si>
  <si>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</si>
  <si>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</si>
  <si>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</si>
  <si>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</si>
  <si>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</si>
  <si>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</si>
  <si>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</si>
  <si>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</si>
  <si>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</si>
  <si>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</si>
  <si>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</si>
  <si>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</si>
  <si>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</si>
  <si>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</si>
  <si>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</si>
  <si>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</si>
  <si>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</si>
  <si>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</si>
  <si>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</si>
  <si>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</si>
  <si>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</si>
  <si>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</si>
  <si>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</si>
  <si>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</si>
  <si>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</si>
  <si>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</si>
  <si>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</si>
  <si>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</si>
  <si>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I.621 Celkem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</si>
  <si>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</si>
  <si>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</si>
  <si>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</si>
  <si>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</si>
  <si>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</si>
  <si>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</si>
  <si>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</si>
  <si>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</si>
  <si>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</si>
  <si>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</si>
  <si>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</si>
  <si>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</si>
  <si>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</si>
  <si>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</si>
  <si>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</si>
  <si>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</si>
  <si>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</si>
  <si>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</si>
  <si>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</si>
  <si>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</si>
  <si>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</si>
  <si>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</si>
  <si>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</si>
  <si>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</si>
  <si>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</si>
  <si>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</si>
  <si>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</si>
  <si>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</si>
  <si>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</si>
  <si>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</si>
  <si>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</si>
  <si>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</si>
  <si>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</si>
  <si>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</si>
  <si>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</si>
  <si>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</si>
  <si>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</si>
  <si>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</si>
  <si>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</si>
  <si>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</si>
  <si>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</si>
  <si>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</si>
  <si>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</si>
  <si>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</si>
  <si>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</si>
  <si>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</si>
  <si>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</si>
  <si>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</si>
  <si>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</si>
  <si>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</si>
  <si>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</si>
  <si>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</si>
  <si>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</si>
  <si>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</si>
  <si>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</si>
  <si>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</si>
  <si>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</si>
  <si>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</si>
  <si>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</si>
  <si>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</si>
  <si>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</si>
  <si>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</si>
  <si>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</si>
  <si>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</si>
  <si>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</si>
  <si>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</si>
  <si>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</si>
  <si>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</si>
  <si>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</si>
  <si>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</si>
  <si>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</si>
  <si>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</si>
  <si>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</si>
  <si>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</si>
  <si>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</si>
  <si>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</si>
  <si>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</si>
  <si>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</si>
  <si>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</si>
  <si>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</si>
  <si>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</si>
  <si>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</si>
  <si>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</si>
  <si>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</si>
  <si>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</si>
  <si>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</si>
  <si>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</si>
  <si>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</si>
  <si>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</si>
  <si>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</si>
  <si>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</si>
  <si>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</si>
  <si>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</si>
  <si>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</si>
  <si>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</si>
  <si>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</si>
  <si>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</si>
  <si>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</si>
  <si>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</si>
  <si>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</si>
  <si>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</si>
  <si>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</si>
  <si>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</si>
  <si>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</si>
  <si>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</si>
  <si>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</si>
  <si>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</si>
  <si>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</si>
  <si>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</si>
  <si>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</si>
  <si>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</si>
  <si>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</si>
  <si>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</si>
  <si>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</si>
  <si>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</si>
  <si>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</si>
  <si>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</si>
  <si>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</si>
  <si>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</si>
  <si>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</si>
  <si>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</si>
  <si>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</si>
  <si>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</si>
  <si>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</si>
  <si>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</si>
  <si>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</si>
  <si>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</si>
  <si>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</si>
  <si>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</si>
  <si>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</si>
  <si>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</si>
  <si>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</si>
  <si>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</si>
  <si>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</si>
  <si>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</si>
  <si>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</si>
  <si>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</si>
  <si>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</si>
  <si>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</si>
  <si>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</si>
  <si>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</si>
  <si>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</si>
  <si>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</si>
  <si>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</si>
  <si>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</si>
  <si>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</si>
  <si>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</si>
  <si>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</si>
  <si>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</si>
  <si>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</si>
  <si>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</si>
  <si>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</si>
  <si>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</si>
  <si>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</si>
  <si>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</si>
  <si>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</si>
  <si>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</si>
  <si>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</si>
  <si>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</si>
  <si>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</si>
  <si>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OON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</si>
  <si>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</si>
  <si>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</si>
  <si>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</si>
  <si>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</si>
  <si>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</si>
  <si>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</si>
  <si>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</si>
  <si>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ODV_UPR</t>
  </si>
  <si>
    <t>FKSP_UPR</t>
  </si>
  <si>
    <t>ONIV_UPR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</si>
  <si>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</si>
  <si>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</si>
  <si>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</si>
  <si>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</si>
  <si>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</si>
  <si>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</si>
  <si>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</si>
  <si>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</si>
  <si>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</si>
  <si>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</si>
  <si>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</si>
  <si>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</si>
  <si>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</si>
  <si>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</si>
  <si>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</si>
  <si>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</si>
  <si>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</si>
  <si>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</si>
  <si>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</si>
  <si>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</si>
  <si>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</si>
  <si>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</si>
  <si>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</si>
  <si>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</si>
  <si>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</si>
  <si>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</si>
  <si>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</si>
  <si>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</si>
  <si>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</si>
  <si>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</si>
  <si>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</si>
  <si>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</si>
  <si>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</si>
  <si>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</si>
  <si>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</si>
  <si>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</si>
  <si>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</si>
  <si>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</si>
  <si>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</si>
  <si>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</si>
  <si>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</si>
  <si>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</si>
  <si>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</si>
  <si>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</si>
  <si>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</si>
  <si>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</si>
  <si>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</si>
  <si>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</si>
  <si>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</si>
  <si>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</si>
  <si>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</si>
  <si>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</si>
  <si>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</si>
  <si>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</si>
  <si>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</si>
  <si>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</si>
  <si>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</si>
  <si>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</si>
  <si>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</si>
  <si>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</si>
  <si>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</si>
  <si>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</si>
  <si>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</si>
  <si>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</si>
  <si>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</si>
  <si>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</si>
  <si>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</si>
  <si>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</si>
  <si>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</si>
  <si>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</si>
  <si>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</si>
  <si>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</si>
  <si>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</si>
  <si>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</si>
  <si>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</si>
  <si>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</si>
  <si>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</si>
  <si>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</si>
  <si>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</si>
  <si>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</si>
  <si>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</si>
  <si>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</si>
  <si>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</si>
  <si>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</si>
  <si>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</si>
  <si>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</si>
  <si>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</si>
  <si>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</si>
  <si>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</si>
  <si>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</si>
  <si>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</si>
  <si>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</si>
  <si>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</si>
  <si>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</si>
  <si>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</si>
  <si>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</si>
  <si>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</si>
  <si>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</si>
  <si>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</si>
  <si>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</si>
  <si>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</si>
  <si>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</si>
  <si>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</si>
  <si>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</si>
  <si>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</si>
  <si>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</si>
  <si>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</si>
  <si>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</si>
  <si>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</si>
  <si>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</si>
  <si>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</si>
  <si>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</si>
  <si>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</si>
  <si>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</si>
  <si>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</si>
  <si>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</si>
  <si>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</si>
  <si>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</si>
  <si>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</si>
  <si>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</si>
  <si>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</si>
  <si>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</si>
  <si>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</si>
  <si>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</si>
  <si>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</si>
  <si>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</si>
  <si>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</si>
  <si>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</si>
  <si>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</si>
  <si>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</si>
  <si>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</si>
  <si>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</si>
  <si>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</si>
  <si>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</si>
  <si>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</si>
  <si>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</si>
  <si>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</si>
  <si>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</si>
  <si>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</si>
  <si>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</si>
  <si>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</si>
  <si>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</si>
  <si>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</si>
  <si>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</si>
  <si>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</si>
  <si>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</si>
  <si>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</si>
  <si>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</si>
  <si>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</si>
  <si>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</si>
  <si>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</si>
  <si>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</si>
  <si>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</si>
  <si>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</si>
  <si>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</si>
  <si>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</si>
  <si>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</si>
  <si>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</si>
  <si>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</si>
  <si>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</si>
  <si>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</si>
  <si>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</si>
  <si>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</si>
  <si>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</si>
  <si>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</si>
  <si>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</si>
  <si>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</si>
  <si>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</si>
  <si>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</si>
  <si>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</si>
  <si>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</si>
  <si>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</si>
  <si>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</si>
  <si>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</si>
  <si>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</si>
  <si>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</si>
  <si>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</si>
  <si>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</si>
  <si>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</si>
  <si>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</si>
  <si>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</si>
  <si>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</si>
  <si>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</si>
  <si>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</si>
  <si>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</si>
  <si>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</si>
  <si>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</si>
  <si>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</si>
  <si>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</si>
  <si>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</si>
  <si>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</si>
  <si>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</si>
  <si>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</si>
  <si>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</si>
  <si>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</si>
  <si>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</si>
  <si>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</si>
  <si>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</si>
  <si>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</si>
  <si>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</si>
  <si>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</si>
  <si>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</si>
  <si>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</si>
  <si>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</si>
  <si>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</si>
  <si>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</si>
  <si>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</si>
  <si>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</si>
  <si>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</si>
  <si>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</si>
  <si>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</si>
  <si>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</si>
  <si>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</si>
  <si>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</si>
  <si>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</si>
  <si>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</si>
  <si>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</si>
  <si>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</si>
  <si>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</si>
  <si>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</si>
  <si>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</si>
  <si>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</si>
  <si>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</si>
  <si>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</si>
  <si>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</si>
  <si>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</si>
  <si>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</si>
  <si>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</si>
  <si>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</si>
  <si>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</si>
  <si>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</si>
  <si>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</si>
  <si>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</si>
  <si>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</si>
  <si>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</si>
  <si>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</si>
  <si>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</si>
  <si>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</si>
  <si>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</si>
  <si>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</si>
  <si>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</si>
  <si>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</si>
  <si>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</si>
  <si>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</si>
  <si>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</si>
  <si>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</si>
  <si>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</si>
  <si>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</si>
  <si>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</si>
  <si>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</si>
  <si>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</si>
  <si>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</si>
  <si>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</si>
  <si>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</si>
  <si>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</si>
  <si>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</si>
  <si>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</si>
  <si>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</si>
  <si>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</si>
  <si>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</si>
  <si>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</si>
  <si>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</si>
  <si>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</si>
  <si>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</si>
  <si>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</si>
  <si>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</si>
  <si>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</si>
  <si>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</si>
  <si>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</si>
  <si>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</si>
  <si>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</si>
  <si>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</si>
  <si>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</si>
  <si>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</si>
  <si>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</si>
  <si>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</si>
  <si>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</si>
  <si>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</si>
  <si>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</si>
  <si>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</si>
  <si>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</si>
  <si>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</si>
  <si>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</si>
  <si>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</si>
  <si>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</si>
  <si>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</si>
  <si>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</si>
  <si>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</si>
  <si>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</si>
  <si>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</si>
  <si>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</si>
  <si>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</si>
  <si>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</si>
  <si>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</si>
  <si>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</si>
  <si>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</si>
  <si>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</si>
  <si>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</si>
  <si>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</si>
  <si>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</si>
  <si>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</si>
  <si>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</si>
  <si>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</si>
  <si>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</si>
  <si>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</si>
  <si>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</si>
  <si>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</si>
  <si>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</si>
  <si>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</si>
  <si>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</si>
  <si>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</si>
  <si>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</si>
  <si>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</si>
  <si>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</si>
  <si>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</si>
  <si>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</si>
  <si>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</si>
  <si>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</si>
  <si>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</si>
  <si>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</si>
  <si>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</si>
  <si>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</si>
  <si>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</si>
  <si>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</si>
  <si>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</si>
  <si>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</si>
  <si>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</si>
  <si>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</si>
  <si>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</si>
  <si>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</si>
  <si>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</si>
  <si>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</si>
  <si>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</si>
  <si>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</si>
  <si>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</si>
  <si>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</si>
  <si>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</si>
  <si>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</si>
  <si>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</si>
  <si>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</si>
  <si>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</si>
  <si>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</si>
  <si>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</si>
  <si>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</si>
  <si>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</si>
  <si>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</si>
  <si>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</si>
  <si>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</si>
  <si>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</si>
  <si>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</si>
  <si>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</si>
  <si>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</si>
  <si>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</si>
  <si>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</si>
  <si>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</si>
  <si>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</si>
  <si>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</si>
  <si>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</si>
  <si>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</si>
  <si>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</si>
  <si>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</si>
  <si>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</si>
  <si>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</si>
  <si>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</si>
  <si>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</si>
  <si>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</si>
  <si>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</si>
  <si>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</si>
  <si>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</si>
  <si>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</si>
  <si>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</si>
  <si>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</si>
  <si>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</si>
  <si>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</si>
  <si>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</si>
  <si>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</si>
  <si>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</si>
  <si>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</si>
  <si>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</si>
  <si>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</si>
  <si>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</si>
  <si>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</si>
  <si>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</si>
  <si>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</si>
  <si>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</si>
  <si>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</si>
  <si>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</si>
  <si>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</si>
  <si>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</si>
  <si>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</si>
  <si>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</si>
  <si>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</si>
  <si>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</si>
  <si>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</si>
  <si>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</si>
  <si>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</si>
  <si>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</si>
  <si>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</si>
  <si>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</si>
  <si>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</si>
  <si>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</si>
  <si>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</si>
  <si>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</si>
  <si>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</si>
  <si>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</si>
  <si>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</si>
  <si>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</si>
  <si>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</si>
  <si>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</si>
  <si>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</si>
  <si>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</si>
  <si>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</si>
  <si>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</si>
  <si>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</si>
  <si>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</si>
  <si>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</si>
  <si>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</si>
  <si>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</si>
  <si>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</si>
  <si>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</si>
  <si>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</si>
  <si>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</si>
  <si>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</si>
  <si>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</si>
  <si>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</si>
  <si>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</si>
  <si>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</si>
  <si>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</si>
  <si>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</si>
  <si>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</si>
  <si>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</si>
  <si>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</si>
  <si>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</si>
  <si>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</si>
  <si>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</si>
  <si>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</si>
  <si>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</si>
  <si>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</si>
  <si>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</si>
  <si>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</si>
  <si>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</si>
  <si>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</si>
  <si>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</si>
  <si>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</si>
  <si>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</si>
  <si>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</si>
  <si>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</si>
  <si>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</si>
  <si>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</si>
  <si>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</si>
  <si>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</si>
  <si>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</si>
  <si>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</si>
  <si>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</si>
  <si>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</si>
  <si>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</si>
  <si>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</si>
  <si>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</si>
  <si>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</si>
  <si>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</si>
  <si>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</si>
  <si>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</si>
  <si>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</si>
  <si>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</si>
  <si>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</si>
  <si>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</si>
  <si>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</si>
  <si>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</si>
  <si>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</si>
  <si>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</si>
  <si>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</si>
  <si>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</si>
  <si>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</si>
  <si>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</si>
  <si>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</si>
  <si>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</si>
  <si>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</si>
  <si>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</si>
  <si>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</si>
  <si>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</si>
  <si>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</si>
  <si>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</si>
  <si>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</si>
  <si>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</si>
  <si>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</si>
  <si>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</si>
  <si>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</si>
  <si>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</si>
  <si>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</si>
  <si>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</si>
  <si>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</si>
  <si>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</si>
  <si>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z toho v Kč: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</si>
  <si>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</si>
  <si>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</si>
  <si>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</si>
  <si>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</si>
  <si>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</si>
  <si>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</si>
  <si>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</si>
  <si>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</si>
  <si>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</si>
  <si>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Jazyková příprava cizinců</t>
  </si>
  <si>
    <t>PLATY úprava celkem</t>
  </si>
  <si>
    <t>ZŠ a MŠ Benecko 150</t>
  </si>
  <si>
    <t>ZŠ a MŠ Benecko 150 Celkem</t>
  </si>
  <si>
    <t xml:space="preserve"> </t>
  </si>
  <si>
    <t>ZŠ a MŠ Křižany, Žibřidice 271</t>
  </si>
  <si>
    <t>ZŠ a MŠ Křižany, Žibřidice 271 Celkem</t>
  </si>
  <si>
    <t>Základní škola a Středisko volného času, Rokytnice nad Jizerou, příspěvková organizace</t>
  </si>
  <si>
    <t>Základní škola a Středisko volného času, Rokytnice nad Jizerou, celkem</t>
  </si>
  <si>
    <t>ONIV</t>
  </si>
  <si>
    <t>ŠD AP.spec</t>
  </si>
  <si>
    <r>
      <t xml:space="preserve">MŠ a ZŠ Turnov, Kosmonautů 1641 </t>
    </r>
    <r>
      <rPr>
        <sz val="8"/>
        <color rgb="FFFF0000"/>
        <rFont val="Arial CE"/>
        <charset val="238"/>
      </rPr>
      <t>nově od.1.9.2024</t>
    </r>
  </si>
  <si>
    <t>ZŠ a MŠ Mimoň</t>
  </si>
  <si>
    <t>Počet zaměstnanců celkem (ped. i neped.) je ukazatel orientační.</t>
  </si>
  <si>
    <t>Platy_PED</t>
  </si>
  <si>
    <t>Platy_NEPED</t>
  </si>
  <si>
    <t>OON_PED</t>
  </si>
  <si>
    <t>OON_NEPED</t>
  </si>
  <si>
    <t>PED.</t>
  </si>
  <si>
    <t>NEPED.</t>
  </si>
  <si>
    <t>ÚPRAVA PLATY</t>
  </si>
  <si>
    <t>ÚPRAVA OON</t>
  </si>
  <si>
    <t>ÚPRAVA ZAMĚSTNANCI</t>
  </si>
  <si>
    <t>OON do Phmax (PED.)</t>
  </si>
  <si>
    <t>Jazyková příprava cizinců (PED.)</t>
  </si>
  <si>
    <t>Podpůrná opatření (PED.)</t>
  </si>
  <si>
    <t>Zaměst. celkem</t>
  </si>
  <si>
    <t>Z toho:</t>
  </si>
  <si>
    <t>Platy_Upr_PED.</t>
  </si>
  <si>
    <t>Platy_Upr_NEPED.</t>
  </si>
  <si>
    <t>OON_Upr_PED.</t>
  </si>
  <si>
    <t>OON_Upr_NEPED.</t>
  </si>
  <si>
    <t>Upr_MP_PED.</t>
  </si>
  <si>
    <t>Upr_MP_NEPED.</t>
  </si>
  <si>
    <t>Upr_MP_Celkem</t>
  </si>
  <si>
    <t>Mzdové prostředky                   úprava celkem</t>
  </si>
  <si>
    <t>Zaměstnanci úprava celkem</t>
  </si>
  <si>
    <t>Platy_Upr</t>
  </si>
  <si>
    <t>OON_Upr</t>
  </si>
  <si>
    <t>Zam. úprava Celkem</t>
  </si>
  <si>
    <t>Platy z toho orientačně:</t>
  </si>
  <si>
    <r>
      <t xml:space="preserve">MŠ Velké Hamry + </t>
    </r>
    <r>
      <rPr>
        <sz val="8"/>
        <color rgb="FFFF0000"/>
        <rFont val="Arial CE"/>
        <charset val="238"/>
      </rPr>
      <t>převod MŠ ze ZŠ Velké Hamry</t>
    </r>
  </si>
  <si>
    <t>MŠ Velké Hamry</t>
  </si>
  <si>
    <r>
      <t xml:space="preserve">ZŠ Velké Hamry - </t>
    </r>
    <r>
      <rPr>
        <sz val="8"/>
        <color rgb="FFFF0000"/>
        <rFont val="Arial CE"/>
        <charset val="238"/>
      </rPr>
      <t>převod MŠ na MŠ Velké Hamry k 1.1.2025</t>
    </r>
  </si>
  <si>
    <t xml:space="preserve">ZŠ Velké Hamry </t>
  </si>
  <si>
    <r>
      <t xml:space="preserve">MŠ Dubá, Luční 28 - </t>
    </r>
    <r>
      <rPr>
        <sz val="8"/>
        <color rgb="FFFF0000"/>
        <rFont val="Arial CE"/>
        <charset val="238"/>
      </rPr>
      <t>od 1.1.2025 vaří i vydává ZŠ Dubá</t>
    </r>
  </si>
  <si>
    <t xml:space="preserve">ZŠ Horní Police, 9. května 2 </t>
  </si>
  <si>
    <t>OON z toho orientačně:</t>
  </si>
  <si>
    <r>
      <t>ZŠ a MŠ Benecko 150</t>
    </r>
    <r>
      <rPr>
        <sz val="8"/>
        <color indexed="10"/>
        <rFont val="Arial"/>
        <family val="2"/>
        <charset val="238"/>
      </rPr>
      <t xml:space="preserve"> </t>
    </r>
  </si>
  <si>
    <t>MŠ Rokytnice n. J., Horní Rokytnice 555 od 1.1. 2025</t>
  </si>
  <si>
    <t>Platy_PSYaSPEC</t>
  </si>
  <si>
    <t>OON_PSYaSPEC</t>
  </si>
  <si>
    <t>ZAM_PSYaSPEC</t>
  </si>
  <si>
    <t xml:space="preserve">Odvody </t>
  </si>
  <si>
    <t>NIV celkem</t>
  </si>
  <si>
    <t>Počet zam.</t>
  </si>
  <si>
    <t>NIV_PSYaSPEC</t>
  </si>
  <si>
    <t>Odvody_PSYaSPEC</t>
  </si>
  <si>
    <t>FKSP_PSYaSPEC</t>
  </si>
  <si>
    <t>Finanční prostředky na financování psychologů a speciálních pedagogů č.j. MSMT-12316/2024-6, VĚSTNÍK MŠMT 1/2025</t>
  </si>
  <si>
    <t>Z rozpočtu přímých NIV na rok 2025</t>
  </si>
  <si>
    <t>MŠ Studánka, Jablonné v Podj., U Školy 194</t>
  </si>
  <si>
    <t>MŠ Studánka, Jablonné v Podj., U Školy 194 Celkem</t>
  </si>
  <si>
    <t>Vážená paní ředitelko, vážený pane řediteli,</t>
  </si>
  <si>
    <t>předkládáme Vám úpravu rozpočtu přímých NIV, která obsahuje:</t>
  </si>
  <si>
    <t>1)</t>
  </si>
  <si>
    <t>2)</t>
  </si>
  <si>
    <t xml:space="preserve">Jejich čerpání však musí být v souladu s rozhodnutím, které bylo rozesláno pod KULK 18074/2025 ze dne 18. 3. 2025, a dále také v souladu se zmíněným Věstníkem. </t>
  </si>
  <si>
    <t>Zpracoval: OŠMTS KÚ LK, oddělení financování přímých nákladů</t>
  </si>
  <si>
    <t>Do 28. 2. 2026 pak musí prostřednictvím mimořádného sběru dat informovat MŠMT o způsobu využití těchto prostředků.</t>
  </si>
  <si>
    <t>NIV_NEPED</t>
  </si>
  <si>
    <t>Odvody_NEPED</t>
  </si>
  <si>
    <t>FKSP_NEPED</t>
  </si>
  <si>
    <t xml:space="preserve">Změna PHškoly/výkonů </t>
  </si>
  <si>
    <t>Finančních prostředky na dofinancování nepedagogických zaměstnanců a ONIV na školách                                                                 č.j. MSMT-12238/2025-2,  VĚSTNÍK MŠMT 5/2025</t>
  </si>
  <si>
    <t>Lesní mateřská škola Jablonec n. N. - Proseč n. N.</t>
  </si>
  <si>
    <t>Lesní mateřská škola Jablonec n. N. - Proseč n. N. Celkem</t>
  </si>
  <si>
    <t>Finančních prostředky na dofinancování nepedagogických zaměstnanců a ONIV na školách, č.j. MSMT-12238/2025-2,  VĚSTNÍK MŠMT 5/2025</t>
  </si>
  <si>
    <t>Mimořádná dotace "Psychologové a speciální pedagogové jako součást rozpočtu přímých NIV (ÚZ 33353)"</t>
  </si>
  <si>
    <t xml:space="preserve">VĚSTNÍK MŠMT 1/2025. Tyto prostředky jsou účelově vázané a budou vedeny jako součást rozpočtu (ÚZ 33353 - přímé náklady na vzdělávání). </t>
  </si>
  <si>
    <t>Škola musí tyto prostředky v rámci rozpočtu ÚZ 33353 evidovat odděleně, aby bylo možné dotaci vyúčtovat na základě skutečného použití a případně nevyužité prostředky vrátit.</t>
  </si>
  <si>
    <t xml:space="preserve">VĚSTNÍK MŠMT 5/2025. Tyto prostředky jsou účelově vázané a budou vedeny jako součást rozpočtu (ÚZ 33353 - přímé náklady na vzdělávání). </t>
  </si>
  <si>
    <t xml:space="preserve">Jejich čerpání však musí být v souladu s rozhodnutím, které bylo rozesláno pod KULK 53352/2025 ze dne 16. 9. 2025, a dále také v souladu se zmíněným Věstníkem. </t>
  </si>
  <si>
    <t>Mimořádná dotace "Dofinancování nepedagogické práce a ONIV na školách na období leden - prosinec 2025 (ÚZ 33353)"</t>
  </si>
  <si>
    <t>Součástí rozpočtu je i zahrnutí dalších finančních prostředků na financování psychologů a speciálních pedagogů č.j. MSMT-12316/2024-6,</t>
  </si>
  <si>
    <t>Součástí rozpočtu v roce 2025 je:</t>
  </si>
  <si>
    <t>3)</t>
  </si>
  <si>
    <t>4)</t>
  </si>
  <si>
    <t xml:space="preserve">další případné individuální úpravy </t>
  </si>
  <si>
    <t>V rozpočtu jsou dále zahrnuty i další finanční prostředky na dofinancování nepedagogické práce a ONIV na školách na období září - prosinec 2025, č.j. MSMT-12238/2025-2,</t>
  </si>
  <si>
    <t>Rozpočet přímých nákladů k 30. 09. 2025</t>
  </si>
  <si>
    <t>úpravu o prostředky na podpůrná opatření, a to na základě údajů vykázaných ve výkazu R 44–99 ze sběru v měsíci září a říjen 2025, případně korekce vykázaných PO;</t>
  </si>
  <si>
    <t xml:space="preserve">přesuny mezi prostředky na platy a OON (dohody), a s tím spojenou úpravu limitu zaměstnanců; </t>
  </si>
  <si>
    <t>5)</t>
  </si>
  <si>
    <t>úpravu platů a limitu nepedagogů ve školní jídelně v souvislosti se změnou výkonů (počtu strávníků-dětí, žáků,studentů) ve školních jídelnách, úprava výkonů je přepočítána na 4 měsíce (září až prosinec 2025),</t>
  </si>
  <si>
    <t>nevýznamné změny do 1000,- Kč (+/-) nebyly provedeny;</t>
  </si>
  <si>
    <t xml:space="preserve">navýšení rozpočtu (+ přepočtené úvazky) na bezplatné jazykové vzdělávání cizinců na období od září do prosince 2025; </t>
  </si>
  <si>
    <t>6)</t>
  </si>
  <si>
    <t>úpravy (zvýšení/snížení rozpočtu) v případě významné změny PHškoly, změny výkonů (ZUŠ), v souvislosti s novým školním rokem 2025/2026, navýšení rozpočtu u nárůstu PHškoly s ohledem na rezervu pokryto zatím z 90 %,.</t>
  </si>
  <si>
    <t>Komentář k úpravě rozpisu rozpočtu přímých NIV k 13. 11. 2025  (obecní školství)</t>
  </si>
  <si>
    <t>V Liberci dne 13. 11. 2025</t>
  </si>
  <si>
    <t>Úprava listopad</t>
  </si>
  <si>
    <t>Rozpočet přímých nákladů k 13. 11. 2025</t>
  </si>
  <si>
    <t>Úprava rozpisu rozpočtu přímých NIV k 13. 11.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</si>
</sst>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6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sz val="8"/>
      <color rgb="FFFF0000"/>
      <name val="Arial CE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u/>
      <sz val="10"/>
      <name val="Arial"/>
      <family val="2"/>
      <charset val="238"/>
    </font>
    <font>
      <i/>
      <sz val="10"/>
      <name val="Arial"/>
      <family val="2"/>
      <charset val="238"/>
    </font>
    <font>
      <b/>
      <u/>
      <sz val="10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1"/>
      <name val="Ariel ce"/>
      <charset val="238"/>
    </font>
    <font>
      <b/>
      <sz val="8"/>
      <name val="Ariel ce"/>
      <charset val="238"/>
    </font>
    <font>
      <sz val="8"/>
      <name val="Arie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charset val="1"/>
    </font>
    <font>
      <b/>
      <sz val="11"/>
      <color indexed="81"/>
      <name val="Tahoma"/>
      <charset val="1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3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5">
    <xf numFmtId="0" fontId="0" fillId="0" borderId="0"/>
    <xf numFmtId="164" fontId="16" fillId="0" borderId="0" applyFont="0" applyFill="0" applyBorder="0" applyAlignment="0" applyProtection="0"/>
    <xf numFmtId="0" fontId="16" fillId="0" borderId="0"/>
    <xf numFmtId="0" fontId="6" fillId="0" borderId="0"/>
    <xf numFmtId="0" fontId="11" fillId="0" borderId="0"/>
    <xf numFmtId="0" fontId="5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</cellStyleXfs>
  <cellXfs count="1234">
    <xf numFmtId="0" fontId="0" fillId="0" borderId="0" xfId="0"/>
    <xf numFmtId="0" fontId="14" fillId="0" borderId="2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7" fillId="0" borderId="0" xfId="0" applyFont="1"/>
    <xf numFmtId="4" fontId="8" fillId="0" borderId="0" xfId="0" applyNumberFormat="1" applyFont="1"/>
    <xf numFmtId="0" fontId="8" fillId="0" borderId="0" xfId="0" applyFont="1"/>
    <xf numFmtId="0" fontId="10" fillId="0" borderId="0" xfId="0" applyFont="1"/>
    <xf numFmtId="4" fontId="0" fillId="0" borderId="0" xfId="0" applyNumberFormat="1"/>
    <xf numFmtId="3" fontId="0" fillId="0" borderId="0" xfId="0" applyNumberFormat="1"/>
    <xf numFmtId="0" fontId="8" fillId="0" borderId="0" xfId="0" applyFont="1" applyAlignment="1">
      <alignment horizontal="center"/>
    </xf>
    <xf numFmtId="0" fontId="19" fillId="0" borderId="0" xfId="0" applyFont="1"/>
    <xf numFmtId="4" fontId="9" fillId="0" borderId="0" xfId="0" applyNumberFormat="1" applyFont="1"/>
    <xf numFmtId="0" fontId="20" fillId="0" borderId="0" xfId="0" applyFont="1"/>
    <xf numFmtId="4" fontId="8" fillId="0" borderId="1" xfId="0" applyNumberFormat="1" applyFont="1" applyBorder="1"/>
    <xf numFmtId="0" fontId="12" fillId="3" borderId="1" xfId="2" applyFont="1" applyFill="1" applyBorder="1" applyAlignment="1">
      <alignment horizontal="center"/>
    </xf>
    <xf numFmtId="3" fontId="8" fillId="0" borderId="0" xfId="0" applyNumberFormat="1" applyFont="1"/>
    <xf numFmtId="3" fontId="8" fillId="0" borderId="1" xfId="0" applyNumberFormat="1" applyFont="1" applyBorder="1"/>
    <xf numFmtId="4" fontId="8" fillId="0" borderId="10" xfId="0" applyNumberFormat="1" applyFont="1" applyBorder="1"/>
    <xf numFmtId="0" fontId="13" fillId="3" borderId="1" xfId="0" applyFont="1" applyFill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4" fillId="0" borderId="40" xfId="0" applyFont="1" applyBorder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/>
    <xf numFmtId="3" fontId="21" fillId="0" borderId="8" xfId="0" applyNumberFormat="1" applyFont="1" applyBorder="1"/>
    <xf numFmtId="3" fontId="21" fillId="0" borderId="1" xfId="0" applyNumberFormat="1" applyFont="1" applyBorder="1"/>
    <xf numFmtId="4" fontId="21" fillId="0" borderId="1" xfId="0" applyNumberFormat="1" applyFont="1" applyBorder="1"/>
    <xf numFmtId="3" fontId="21" fillId="0" borderId="11" xfId="0" applyNumberFormat="1" applyFont="1" applyBorder="1"/>
    <xf numFmtId="3" fontId="21" fillId="0" borderId="12" xfId="0" applyNumberFormat="1" applyFont="1" applyBorder="1"/>
    <xf numFmtId="0" fontId="13" fillId="4" borderId="18" xfId="0" applyFont="1" applyFill="1" applyBorder="1" applyAlignment="1">
      <alignment horizontal="center"/>
    </xf>
    <xf numFmtId="3" fontId="21" fillId="0" borderId="4" xfId="0" applyNumberFormat="1" applyFont="1" applyBorder="1"/>
    <xf numFmtId="3" fontId="21" fillId="0" borderId="37" xfId="0" applyNumberFormat="1" applyFont="1" applyBorder="1"/>
    <xf numFmtId="0" fontId="13" fillId="3" borderId="21" xfId="0" applyFont="1" applyFill="1" applyBorder="1" applyAlignment="1">
      <alignment horizontal="center"/>
    </xf>
    <xf numFmtId="3" fontId="15" fillId="4" borderId="18" xfId="0" applyNumberFormat="1" applyFont="1" applyFill="1" applyBorder="1"/>
    <xf numFmtId="4" fontId="15" fillId="4" borderId="18" xfId="0" applyNumberFormat="1" applyFont="1" applyFill="1" applyBorder="1"/>
    <xf numFmtId="4" fontId="15" fillId="4" borderId="19" xfId="0" applyNumberFormat="1" applyFont="1" applyFill="1" applyBorder="1"/>
    <xf numFmtId="0" fontId="12" fillId="2" borderId="20" xfId="2" applyFont="1" applyFill="1" applyBorder="1" applyAlignment="1">
      <alignment horizontal="center" vertical="center" wrapText="1"/>
    </xf>
    <xf numFmtId="3" fontId="21" fillId="0" borderId="28" xfId="0" applyNumberFormat="1" applyFont="1" applyBorder="1"/>
    <xf numFmtId="4" fontId="13" fillId="3" borderId="10" xfId="0" applyNumberFormat="1" applyFont="1" applyFill="1" applyBorder="1"/>
    <xf numFmtId="4" fontId="13" fillId="3" borderId="10" xfId="0" applyNumberFormat="1" applyFont="1" applyFill="1" applyBorder="1" applyAlignment="1">
      <alignment horizontal="right"/>
    </xf>
    <xf numFmtId="0" fontId="21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9" xfId="0" applyFont="1" applyBorder="1" applyAlignment="1">
      <alignment horizontal="left"/>
    </xf>
    <xf numFmtId="0" fontId="18" fillId="0" borderId="0" xfId="0" applyFont="1"/>
    <xf numFmtId="0" fontId="32" fillId="3" borderId="1" xfId="4" applyFont="1" applyFill="1" applyBorder="1" applyAlignment="1">
      <alignment horizontal="center"/>
    </xf>
    <xf numFmtId="0" fontId="13" fillId="3" borderId="1" xfId="4" applyFont="1" applyFill="1" applyBorder="1" applyAlignment="1">
      <alignment horizontal="center"/>
    </xf>
    <xf numFmtId="0" fontId="34" fillId="3" borderId="1" xfId="4" applyFont="1" applyFill="1" applyBorder="1" applyAlignment="1">
      <alignment horizontal="center"/>
    </xf>
    <xf numFmtId="0" fontId="31" fillId="3" borderId="1" xfId="4" applyFont="1" applyFill="1" applyBorder="1" applyAlignment="1">
      <alignment horizontal="center"/>
    </xf>
    <xf numFmtId="0" fontId="32" fillId="3" borderId="21" xfId="4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36" fillId="0" borderId="0" xfId="5" applyFont="1" applyAlignment="1">
      <alignment horizontal="right"/>
    </xf>
    <xf numFmtId="0" fontId="36" fillId="0" borderId="0" xfId="5" applyFont="1" applyAlignment="1">
      <alignment horizontal="center"/>
    </xf>
    <xf numFmtId="3" fontId="36" fillId="0" borderId="0" xfId="5" applyNumberFormat="1" applyFont="1"/>
    <xf numFmtId="3" fontId="5" fillId="0" borderId="0" xfId="5" applyNumberFormat="1"/>
    <xf numFmtId="4" fontId="5" fillId="0" borderId="0" xfId="5" applyNumberFormat="1"/>
    <xf numFmtId="0" fontId="36" fillId="0" borderId="0" xfId="5" applyFont="1"/>
    <xf numFmtId="0" fontId="37" fillId="0" borderId="0" xfId="5" applyFont="1" applyAlignment="1">
      <alignment horizontal="right"/>
    </xf>
    <xf numFmtId="0" fontId="37" fillId="0" borderId="0" xfId="5" applyFont="1"/>
    <xf numFmtId="0" fontId="36" fillId="0" borderId="0" xfId="5" applyFont="1" applyAlignment="1">
      <alignment horizontal="center" vertical="center"/>
    </xf>
    <xf numFmtId="0" fontId="37" fillId="0" borderId="0" xfId="5" applyFont="1" applyAlignment="1">
      <alignment vertical="center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7" fillId="0" borderId="1" xfId="5" applyFont="1" applyBorder="1" applyAlignment="1">
      <alignment horizontal="right"/>
    </xf>
    <xf numFmtId="0" fontId="7" fillId="0" borderId="1" xfId="5" applyFont="1" applyBorder="1" applyAlignment="1" applyProtection="1">
      <alignment horizontal="right"/>
      <protection locked="0"/>
    </xf>
    <xf numFmtId="0" fontId="7" fillId="0" borderId="1" xfId="5" applyFont="1" applyBorder="1"/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3" fontId="7" fillId="0" borderId="1" xfId="5" applyNumberFormat="1" applyFont="1" applyBorder="1"/>
    <xf numFmtId="0" fontId="13" fillId="3" borderId="1" xfId="5" applyFont="1" applyFill="1" applyBorder="1" applyAlignment="1">
      <alignment horizontal="right"/>
    </xf>
    <xf numFmtId="0" fontId="13" fillId="3" borderId="1" xfId="5" applyFont="1" applyFill="1" applyBorder="1" applyAlignment="1" applyProtection="1">
      <alignment horizontal="right"/>
      <protection locked="0"/>
    </xf>
    <xf numFmtId="0" fontId="13" fillId="3" borderId="1" xfId="5" applyFont="1" applyFill="1" applyBorder="1"/>
    <xf numFmtId="0" fontId="13" fillId="3" borderId="1" xfId="5" applyFont="1" applyFill="1" applyBorder="1" applyAlignment="1">
      <alignment horizontal="center"/>
    </xf>
    <xf numFmtId="0" fontId="13" fillId="3" borderId="9" xfId="5" applyFont="1" applyFill="1" applyBorder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4" fontId="13" fillId="3" borderId="10" xfId="5" applyNumberFormat="1" applyFont="1" applyFill="1" applyBorder="1"/>
    <xf numFmtId="0" fontId="8" fillId="0" borderId="1" xfId="5" applyFont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4" fontId="13" fillId="3" borderId="10" xfId="5" applyNumberFormat="1" applyFont="1" applyFill="1" applyBorder="1" applyAlignment="1">
      <alignment horizontal="right"/>
    </xf>
    <xf numFmtId="0" fontId="7" fillId="0" borderId="1" xfId="5" applyFont="1" applyBorder="1" applyAlignment="1">
      <alignment wrapText="1"/>
    </xf>
    <xf numFmtId="3" fontId="37" fillId="3" borderId="1" xfId="5" applyNumberFormat="1" applyFont="1" applyFill="1" applyBorder="1"/>
    <xf numFmtId="4" fontId="37" fillId="3" borderId="1" xfId="5" applyNumberFormat="1" applyFont="1" applyFill="1" applyBorder="1"/>
    <xf numFmtId="4" fontId="37" fillId="3" borderId="10" xfId="5" applyNumberFormat="1" applyFont="1" applyFill="1" applyBorder="1"/>
    <xf numFmtId="3" fontId="13" fillId="7" borderId="18" xfId="5" applyNumberFormat="1" applyFont="1" applyFill="1" applyBorder="1"/>
    <xf numFmtId="3" fontId="37" fillId="0" borderId="0" xfId="5" applyNumberFormat="1" applyFont="1" applyAlignment="1">
      <alignment horizontal="right"/>
    </xf>
    <xf numFmtId="4" fontId="36" fillId="0" borderId="0" xfId="5" applyNumberFormat="1" applyFont="1"/>
    <xf numFmtId="0" fontId="36" fillId="0" borderId="0" xfId="5" applyFont="1" applyAlignment="1">
      <alignment horizontal="left"/>
    </xf>
    <xf numFmtId="0" fontId="5" fillId="0" borderId="0" xfId="5"/>
    <xf numFmtId="0" fontId="5" fillId="0" borderId="0" xfId="5" applyAlignment="1">
      <alignment horizontal="center"/>
    </xf>
    <xf numFmtId="0" fontId="25" fillId="0" borderId="0" xfId="5" applyFont="1"/>
    <xf numFmtId="0" fontId="25" fillId="0" borderId="0" xfId="5" applyFont="1" applyAlignment="1">
      <alignment horizontal="center" vertical="center" wrapText="1"/>
    </xf>
    <xf numFmtId="0" fontId="8" fillId="0" borderId="1" xfId="5" applyFont="1" applyBorder="1" applyProtection="1">
      <protection locked="0"/>
    </xf>
    <xf numFmtId="0" fontId="8" fillId="0" borderId="1" xfId="5" applyFont="1" applyBorder="1" applyAlignment="1">
      <alignment horizontal="center"/>
    </xf>
    <xf numFmtId="0" fontId="8" fillId="0" borderId="9" xfId="5" applyFont="1" applyBorder="1"/>
    <xf numFmtId="0" fontId="27" fillId="0" borderId="0" xfId="5" applyFont="1"/>
    <xf numFmtId="0" fontId="14" fillId="3" borderId="1" xfId="5" applyFont="1" applyFill="1" applyBorder="1"/>
    <xf numFmtId="0" fontId="14" fillId="3" borderId="1" xfId="5" applyFont="1" applyFill="1" applyBorder="1" applyProtection="1">
      <protection locked="0"/>
    </xf>
    <xf numFmtId="0" fontId="14" fillId="3" borderId="1" xfId="5" applyFont="1" applyFill="1" applyBorder="1" applyAlignment="1">
      <alignment horizontal="center"/>
    </xf>
    <xf numFmtId="0" fontId="8" fillId="3" borderId="1" xfId="5" applyFont="1" applyFill="1" applyBorder="1"/>
    <xf numFmtId="0" fontId="8" fillId="3" borderId="9" xfId="5" applyFont="1" applyFill="1" applyBorder="1"/>
    <xf numFmtId="0" fontId="8" fillId="2" borderId="1" xfId="5" applyFont="1" applyFill="1" applyBorder="1"/>
    <xf numFmtId="4" fontId="14" fillId="3" borderId="10" xfId="5" applyNumberFormat="1" applyFont="1" applyFill="1" applyBorder="1"/>
    <xf numFmtId="0" fontId="8" fillId="0" borderId="1" xfId="5" applyFont="1" applyBorder="1" applyAlignment="1">
      <alignment wrapText="1"/>
    </xf>
    <xf numFmtId="0" fontId="8" fillId="0" borderId="1" xfId="5" applyFont="1" applyBorder="1" applyAlignment="1">
      <alignment horizontal="center" wrapText="1"/>
    </xf>
    <xf numFmtId="0" fontId="14" fillId="3" borderId="1" xfId="5" applyFont="1" applyFill="1" applyBorder="1" applyAlignment="1">
      <alignment horizontal="center" wrapText="1"/>
    </xf>
    <xf numFmtId="4" fontId="14" fillId="3" borderId="10" xfId="5" applyNumberFormat="1" applyFont="1" applyFill="1" applyBorder="1" applyAlignment="1">
      <alignment horizontal="right"/>
    </xf>
    <xf numFmtId="0" fontId="14" fillId="3" borderId="21" xfId="5" applyFont="1" applyFill="1" applyBorder="1"/>
    <xf numFmtId="0" fontId="14" fillId="3" borderId="21" xfId="5" applyFont="1" applyFill="1" applyBorder="1" applyProtection="1">
      <protection locked="0"/>
    </xf>
    <xf numFmtId="0" fontId="14" fillId="3" borderId="21" xfId="5" applyFont="1" applyFill="1" applyBorder="1" applyAlignment="1">
      <alignment horizontal="center" wrapText="1"/>
    </xf>
    <xf numFmtId="0" fontId="8" fillId="3" borderId="21" xfId="5" applyFont="1" applyFill="1" applyBorder="1"/>
    <xf numFmtId="0" fontId="8" fillId="3" borderId="30" xfId="5" applyFont="1" applyFill="1" applyBorder="1"/>
    <xf numFmtId="0" fontId="27" fillId="0" borderId="0" xfId="5" applyFont="1" applyAlignment="1">
      <alignment horizontal="center"/>
    </xf>
    <xf numFmtId="3" fontId="14" fillId="0" borderId="0" xfId="5" applyNumberFormat="1" applyFont="1" applyAlignment="1">
      <alignment horizontal="center"/>
    </xf>
    <xf numFmtId="0" fontId="37" fillId="0" borderId="0" xfId="5" applyFont="1" applyAlignment="1">
      <alignment horizontal="center"/>
    </xf>
    <xf numFmtId="0" fontId="20" fillId="0" borderId="0" xfId="0" applyFont="1" applyAlignment="1">
      <alignment horizontal="center"/>
    </xf>
    <xf numFmtId="0" fontId="25" fillId="0" borderId="0" xfId="5" applyFont="1" applyAlignment="1">
      <alignment horizontal="center"/>
    </xf>
    <xf numFmtId="3" fontId="8" fillId="0" borderId="8" xfId="5" applyNumberFormat="1" applyFont="1" applyBorder="1" applyAlignment="1">
      <alignment horizontal="center"/>
    </xf>
    <xf numFmtId="3" fontId="14" fillId="3" borderId="8" xfId="5" applyNumberFormat="1" applyFont="1" applyFill="1" applyBorder="1" applyAlignment="1">
      <alignment horizontal="center"/>
    </xf>
    <xf numFmtId="3" fontId="14" fillId="3" borderId="26" xfId="5" applyNumberFormat="1" applyFont="1" applyFill="1" applyBorder="1" applyAlignment="1">
      <alignment horizontal="center"/>
    </xf>
    <xf numFmtId="0" fontId="37" fillId="0" borderId="18" xfId="5" applyFont="1" applyBorder="1" applyAlignment="1">
      <alignment horizontal="center" vertical="center" wrapText="1"/>
    </xf>
    <xf numFmtId="0" fontId="22" fillId="0" borderId="0" xfId="5" applyFont="1"/>
    <xf numFmtId="0" fontId="7" fillId="0" borderId="5" xfId="5" applyFont="1" applyBorder="1" applyAlignment="1">
      <alignment horizontal="center"/>
    </xf>
    <xf numFmtId="0" fontId="7" fillId="0" borderId="5" xfId="5" applyFont="1" applyBorder="1" applyAlignment="1">
      <alignment horizontal="right"/>
    </xf>
    <xf numFmtId="0" fontId="7" fillId="0" borderId="5" xfId="5" applyFont="1" applyBorder="1" applyAlignment="1" applyProtection="1">
      <alignment horizontal="right"/>
      <protection locked="0"/>
    </xf>
    <xf numFmtId="0" fontId="7" fillId="0" borderId="5" xfId="5" applyFont="1" applyBorder="1"/>
    <xf numFmtId="0" fontId="7" fillId="0" borderId="6" xfId="5" applyFont="1" applyBorder="1"/>
    <xf numFmtId="3" fontId="8" fillId="0" borderId="4" xfId="5" applyNumberFormat="1" applyFont="1" applyBorder="1" applyAlignment="1">
      <alignment horizontal="center"/>
    </xf>
    <xf numFmtId="0" fontId="8" fillId="0" borderId="5" xfId="5" applyFont="1" applyBorder="1"/>
    <xf numFmtId="0" fontId="8" fillId="0" borderId="5" xfId="5" applyFont="1" applyBorder="1" applyProtection="1">
      <protection locked="0"/>
    </xf>
    <xf numFmtId="0" fontId="8" fillId="0" borderId="5" xfId="5" applyFont="1" applyBorder="1" applyAlignment="1">
      <alignment horizontal="center"/>
    </xf>
    <xf numFmtId="0" fontId="8" fillId="0" borderId="6" xfId="5" applyFont="1" applyBorder="1"/>
    <xf numFmtId="0" fontId="22" fillId="8" borderId="17" xfId="5" applyFont="1" applyFill="1" applyBorder="1" applyAlignment="1">
      <alignment horizontal="center"/>
    </xf>
    <xf numFmtId="0" fontId="22" fillId="8" borderId="18" xfId="5" applyFont="1" applyFill="1" applyBorder="1" applyAlignment="1">
      <alignment horizontal="center"/>
    </xf>
    <xf numFmtId="0" fontId="22" fillId="8" borderId="20" xfId="5" applyFont="1" applyFill="1" applyBorder="1" applyAlignment="1">
      <alignment horizontal="center"/>
    </xf>
    <xf numFmtId="3" fontId="22" fillId="8" borderId="17" xfId="5" applyNumberFormat="1" applyFont="1" applyFill="1" applyBorder="1" applyAlignment="1">
      <alignment horizontal="center"/>
    </xf>
    <xf numFmtId="3" fontId="22" fillId="8" borderId="18" xfId="5" applyNumberFormat="1" applyFont="1" applyFill="1" applyBorder="1" applyAlignment="1">
      <alignment horizontal="center"/>
    </xf>
    <xf numFmtId="0" fontId="14" fillId="0" borderId="43" xfId="0" applyFont="1" applyBorder="1" applyAlignment="1">
      <alignment horizontal="left"/>
    </xf>
    <xf numFmtId="3" fontId="15" fillId="4" borderId="17" xfId="0" applyNumberFormat="1" applyFont="1" applyFill="1" applyBorder="1"/>
    <xf numFmtId="3" fontId="22" fillId="8" borderId="33" xfId="5" applyNumberFormat="1" applyFont="1" applyFill="1" applyBorder="1" applyAlignment="1">
      <alignment horizontal="center"/>
    </xf>
    <xf numFmtId="3" fontId="22" fillId="8" borderId="34" xfId="5" applyNumberFormat="1" applyFont="1" applyFill="1" applyBorder="1" applyAlignment="1">
      <alignment horizontal="center"/>
    </xf>
    <xf numFmtId="4" fontId="22" fillId="8" borderId="34" xfId="5" applyNumberFormat="1" applyFont="1" applyFill="1" applyBorder="1" applyAlignment="1">
      <alignment horizontal="center"/>
    </xf>
    <xf numFmtId="4" fontId="22" fillId="8" borderId="36" xfId="5" applyNumberFormat="1" applyFont="1" applyFill="1" applyBorder="1" applyAlignment="1">
      <alignment horizontal="center"/>
    </xf>
    <xf numFmtId="3" fontId="7" fillId="0" borderId="24" xfId="5" applyNumberFormat="1" applyFont="1" applyBorder="1"/>
    <xf numFmtId="4" fontId="21" fillId="0" borderId="12" xfId="0" applyNumberFormat="1" applyFont="1" applyBorder="1"/>
    <xf numFmtId="3" fontId="21" fillId="0" borderId="5" xfId="0" applyNumberFormat="1" applyFont="1" applyBorder="1"/>
    <xf numFmtId="4" fontId="21" fillId="0" borderId="5" xfId="0" applyNumberFormat="1" applyFont="1" applyBorder="1"/>
    <xf numFmtId="4" fontId="15" fillId="4" borderId="20" xfId="0" applyNumberFormat="1" applyFont="1" applyFill="1" applyBorder="1"/>
    <xf numFmtId="3" fontId="15" fillId="4" borderId="22" xfId="0" applyNumberFormat="1" applyFont="1" applyFill="1" applyBorder="1"/>
    <xf numFmtId="3" fontId="21" fillId="0" borderId="41" xfId="0" applyNumberFormat="1" applyFont="1" applyBorder="1"/>
    <xf numFmtId="0" fontId="14" fillId="0" borderId="16" xfId="0" applyFont="1" applyBorder="1" applyAlignment="1">
      <alignment horizontal="left"/>
    </xf>
    <xf numFmtId="0" fontId="13" fillId="3" borderId="1" xfId="2" applyFont="1" applyFill="1" applyBorder="1" applyAlignment="1">
      <alignment horizontal="center"/>
    </xf>
    <xf numFmtId="0" fontId="12" fillId="3" borderId="8" xfId="2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8" xfId="0" applyFont="1" applyFill="1" applyBorder="1" applyAlignment="1">
      <alignment horizontal="center"/>
    </xf>
    <xf numFmtId="0" fontId="12" fillId="3" borderId="26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3" fillId="3" borderId="21" xfId="2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/>
    </xf>
    <xf numFmtId="0" fontId="13" fillId="3" borderId="21" xfId="0" applyFont="1" applyFill="1" applyBorder="1" applyAlignment="1">
      <alignment horizontal="left"/>
    </xf>
    <xf numFmtId="0" fontId="13" fillId="4" borderId="17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left"/>
    </xf>
    <xf numFmtId="0" fontId="12" fillId="2" borderId="34" xfId="2" applyFont="1" applyFill="1" applyBorder="1" applyAlignment="1">
      <alignment horizontal="center" vertical="center"/>
    </xf>
    <xf numFmtId="0" fontId="13" fillId="3" borderId="1" xfId="0" applyFont="1" applyFill="1" applyBorder="1"/>
    <xf numFmtId="0" fontId="9" fillId="0" borderId="1" xfId="0" applyFont="1" applyBorder="1" applyAlignment="1">
      <alignment horizontal="left"/>
    </xf>
    <xf numFmtId="0" fontId="13" fillId="3" borderId="21" xfId="4" applyFont="1" applyFill="1" applyBorder="1" applyAlignment="1">
      <alignment horizontal="center"/>
    </xf>
    <xf numFmtId="3" fontId="8" fillId="0" borderId="8" xfId="0" applyNumberFormat="1" applyFont="1" applyBorder="1"/>
    <xf numFmtId="3" fontId="8" fillId="0" borderId="28" xfId="0" applyNumberFormat="1" applyFont="1" applyBorder="1"/>
    <xf numFmtId="4" fontId="8" fillId="0" borderId="9" xfId="0" applyNumberFormat="1" applyFont="1" applyBorder="1"/>
    <xf numFmtId="3" fontId="8" fillId="0" borderId="11" xfId="0" applyNumberFormat="1" applyFont="1" applyBorder="1"/>
    <xf numFmtId="3" fontId="8" fillId="0" borderId="12" xfId="0" applyNumberFormat="1" applyFont="1" applyBorder="1"/>
    <xf numFmtId="4" fontId="8" fillId="0" borderId="12" xfId="0" applyNumberFormat="1" applyFont="1" applyBorder="1"/>
    <xf numFmtId="4" fontId="8" fillId="0" borderId="14" xfId="0" applyNumberFormat="1" applyFont="1" applyBorder="1"/>
    <xf numFmtId="3" fontId="8" fillId="0" borderId="41" xfId="0" applyNumberFormat="1" applyFont="1" applyBorder="1"/>
    <xf numFmtId="4" fontId="8" fillId="0" borderId="13" xfId="0" applyNumberFormat="1" applyFont="1" applyBorder="1"/>
    <xf numFmtId="0" fontId="15" fillId="0" borderId="62" xfId="0" applyFont="1" applyBorder="1"/>
    <xf numFmtId="0" fontId="15" fillId="0" borderId="3" xfId="0" applyFont="1" applyBorder="1"/>
    <xf numFmtId="0" fontId="15" fillId="0" borderId="40" xfId="0" applyFont="1" applyBorder="1"/>
    <xf numFmtId="4" fontId="22" fillId="8" borderId="35" xfId="5" applyNumberFormat="1" applyFont="1" applyFill="1" applyBorder="1" applyAlignment="1">
      <alignment horizontal="center"/>
    </xf>
    <xf numFmtId="4" fontId="36" fillId="0" borderId="0" xfId="5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32" fillId="3" borderId="9" xfId="4" applyFont="1" applyFill="1" applyBorder="1" applyAlignment="1">
      <alignment horizontal="left"/>
    </xf>
    <xf numFmtId="0" fontId="13" fillId="3" borderId="9" xfId="4" applyFont="1" applyFill="1" applyBorder="1" applyAlignment="1">
      <alignment horizontal="left"/>
    </xf>
    <xf numFmtId="0" fontId="34" fillId="3" borderId="9" xfId="4" applyFont="1" applyFill="1" applyBorder="1" applyAlignment="1">
      <alignment horizontal="left"/>
    </xf>
    <xf numFmtId="0" fontId="31" fillId="3" borderId="9" xfId="4" applyFont="1" applyFill="1" applyBorder="1" applyAlignment="1">
      <alignment horizontal="left"/>
    </xf>
    <xf numFmtId="0" fontId="32" fillId="3" borderId="30" xfId="4" applyFont="1" applyFill="1" applyBorder="1" applyAlignment="1">
      <alignment horizontal="left"/>
    </xf>
    <xf numFmtId="4" fontId="22" fillId="8" borderId="18" xfId="5" applyNumberFormat="1" applyFont="1" applyFill="1" applyBorder="1" applyAlignment="1">
      <alignment horizontal="center"/>
    </xf>
    <xf numFmtId="4" fontId="22" fillId="8" borderId="19" xfId="5" applyNumberFormat="1" applyFont="1" applyFill="1" applyBorder="1" applyAlignment="1">
      <alignment horizontal="center"/>
    </xf>
    <xf numFmtId="0" fontId="7" fillId="0" borderId="1" xfId="5" applyFont="1" applyBorder="1" applyAlignment="1">
      <alignment horizontal="left"/>
    </xf>
    <xf numFmtId="0" fontId="13" fillId="3" borderId="12" xfId="5" applyFont="1" applyFill="1" applyBorder="1" applyAlignment="1">
      <alignment horizontal="left"/>
    </xf>
    <xf numFmtId="1" fontId="7" fillId="0" borderId="1" xfId="5" applyNumberFormat="1" applyFont="1" applyBorder="1" applyAlignment="1">
      <alignment horizontal="right"/>
    </xf>
    <xf numFmtId="49" fontId="7" fillId="0" borderId="1" xfId="5" applyNumberFormat="1" applyFont="1" applyBorder="1" applyAlignment="1">
      <alignment horizontal="right"/>
    </xf>
    <xf numFmtId="1" fontId="7" fillId="0" borderId="53" xfId="5" applyNumberFormat="1" applyFont="1" applyBorder="1" applyAlignment="1">
      <alignment horizontal="right"/>
    </xf>
    <xf numFmtId="0" fontId="7" fillId="0" borderId="28" xfId="5" applyFont="1" applyBorder="1" applyAlignment="1" applyProtection="1">
      <alignment horizontal="center"/>
      <protection locked="0"/>
    </xf>
    <xf numFmtId="0" fontId="7" fillId="0" borderId="9" xfId="5" applyFont="1" applyBorder="1" applyProtection="1">
      <protection locked="0"/>
    </xf>
    <xf numFmtId="0" fontId="13" fillId="3" borderId="8" xfId="5" applyFont="1" applyFill="1" applyBorder="1" applyAlignment="1">
      <alignment horizontal="center"/>
    </xf>
    <xf numFmtId="1" fontId="13" fillId="3" borderId="1" xfId="5" applyNumberFormat="1" applyFont="1" applyFill="1" applyBorder="1" applyAlignment="1">
      <alignment horizontal="right"/>
    </xf>
    <xf numFmtId="49" fontId="13" fillId="3" borderId="1" xfId="5" applyNumberFormat="1" applyFont="1" applyFill="1" applyBorder="1" applyAlignment="1">
      <alignment horizontal="right"/>
    </xf>
    <xf numFmtId="0" fontId="13" fillId="3" borderId="41" xfId="0" applyFont="1" applyFill="1" applyBorder="1" applyAlignment="1" applyProtection="1">
      <alignment horizontal="center"/>
      <protection locked="0"/>
    </xf>
    <xf numFmtId="0" fontId="13" fillId="3" borderId="13" xfId="0" applyFont="1" applyFill="1" applyBorder="1" applyProtection="1">
      <protection locked="0"/>
    </xf>
    <xf numFmtId="0" fontId="7" fillId="3" borderId="1" xfId="5" applyFont="1" applyFill="1" applyBorder="1" applyAlignment="1">
      <alignment horizontal="center"/>
    </xf>
    <xf numFmtId="0" fontId="7" fillId="0" borderId="1" xfId="5" applyFont="1" applyBorder="1" applyAlignment="1" applyProtection="1">
      <alignment horizontal="center"/>
      <protection locked="0"/>
    </xf>
    <xf numFmtId="0" fontId="7" fillId="0" borderId="1" xfId="5" applyFont="1" applyBorder="1" applyProtection="1">
      <protection locked="0"/>
    </xf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9" fillId="0" borderId="1" xfId="0" applyFont="1" applyBorder="1"/>
    <xf numFmtId="0" fontId="9" fillId="0" borderId="8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7" fillId="0" borderId="1" xfId="4" applyFont="1" applyBorder="1"/>
    <xf numFmtId="0" fontId="31" fillId="0" borderId="1" xfId="4" applyFont="1" applyBorder="1" applyAlignment="1">
      <alignment horizontal="center"/>
    </xf>
    <xf numFmtId="0" fontId="14" fillId="3" borderId="8" xfId="4" applyFont="1" applyFill="1" applyBorder="1" applyAlignment="1">
      <alignment horizontal="center"/>
    </xf>
    <xf numFmtId="0" fontId="8" fillId="3" borderId="8" xfId="4" applyFont="1" applyFill="1" applyBorder="1" applyAlignment="1">
      <alignment horizontal="center"/>
    </xf>
    <xf numFmtId="0" fontId="8" fillId="3" borderId="26" xfId="4" applyFont="1" applyFill="1" applyBorder="1" applyAlignment="1">
      <alignment horizontal="center"/>
    </xf>
    <xf numFmtId="0" fontId="37" fillId="0" borderId="18" xfId="5" applyFont="1" applyBorder="1" applyAlignment="1">
      <alignment vertical="center" wrapText="1"/>
    </xf>
    <xf numFmtId="0" fontId="22" fillId="8" borderId="18" xfId="5" applyFont="1" applyFill="1" applyBorder="1"/>
    <xf numFmtId="0" fontId="9" fillId="0" borderId="4" xfId="2" applyFont="1" applyBorder="1" applyAlignment="1">
      <alignment horizontal="center"/>
    </xf>
    <xf numFmtId="0" fontId="9" fillId="0" borderId="5" xfId="2" applyFont="1" applyBorder="1" applyAlignment="1">
      <alignment horizontal="center"/>
    </xf>
    <xf numFmtId="0" fontId="9" fillId="0" borderId="5" xfId="2" applyFont="1" applyBorder="1"/>
    <xf numFmtId="0" fontId="11" fillId="0" borderId="0" xfId="0" applyFont="1"/>
    <xf numFmtId="0" fontId="12" fillId="3" borderId="1" xfId="2" applyFont="1" applyFill="1" applyBorder="1"/>
    <xf numFmtId="0" fontId="9" fillId="0" borderId="8" xfId="2" applyFont="1" applyBorder="1" applyAlignment="1">
      <alignment horizontal="center"/>
    </xf>
    <xf numFmtId="0" fontId="9" fillId="0" borderId="1" xfId="2" applyFont="1" applyBorder="1" applyAlignment="1">
      <alignment horizontal="center"/>
    </xf>
    <xf numFmtId="0" fontId="9" fillId="0" borderId="1" xfId="2" applyFont="1" applyBorder="1"/>
    <xf numFmtId="0" fontId="9" fillId="0" borderId="9" xfId="2" applyFont="1" applyBorder="1"/>
    <xf numFmtId="0" fontId="12" fillId="3" borderId="21" xfId="2" applyFont="1" applyFill="1" applyBorder="1"/>
    <xf numFmtId="0" fontId="12" fillId="4" borderId="17" xfId="2" applyFont="1" applyFill="1" applyBorder="1"/>
    <xf numFmtId="0" fontId="12" fillId="4" borderId="18" xfId="2" applyFont="1" applyFill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Border="1" applyAlignment="1">
      <alignment horizontal="left"/>
    </xf>
    <xf numFmtId="0" fontId="13" fillId="3" borderId="21" xfId="0" applyFont="1" applyFill="1" applyBorder="1"/>
    <xf numFmtId="3" fontId="14" fillId="0" borderId="0" xfId="0" applyNumberFormat="1" applyFont="1"/>
    <xf numFmtId="3" fontId="27" fillId="0" borderId="0" xfId="5" applyNumberFormat="1" applyFont="1"/>
    <xf numFmtId="4" fontId="27" fillId="0" borderId="0" xfId="5" applyNumberFormat="1" applyFont="1"/>
    <xf numFmtId="4" fontId="21" fillId="0" borderId="7" xfId="0" applyNumberFormat="1" applyFont="1" applyBorder="1"/>
    <xf numFmtId="4" fontId="21" fillId="0" borderId="10" xfId="0" applyNumberFormat="1" applyFont="1" applyBorder="1"/>
    <xf numFmtId="4" fontId="21" fillId="0" borderId="14" xfId="0" applyNumberFormat="1" applyFont="1" applyBorder="1"/>
    <xf numFmtId="3" fontId="39" fillId="4" borderId="40" xfId="5" applyNumberFormat="1" applyFont="1" applyFill="1" applyBorder="1" applyAlignment="1">
      <alignment horizontal="center"/>
    </xf>
    <xf numFmtId="3" fontId="39" fillId="4" borderId="20" xfId="5" applyNumberFormat="1" applyFont="1" applyFill="1" applyBorder="1"/>
    <xf numFmtId="3" fontId="13" fillId="4" borderId="18" xfId="5" applyNumberFormat="1" applyFont="1" applyFill="1" applyBorder="1"/>
    <xf numFmtId="3" fontId="14" fillId="4" borderId="17" xfId="5" applyNumberFormat="1" applyFont="1" applyFill="1" applyBorder="1" applyAlignment="1">
      <alignment horizontal="center"/>
    </xf>
    <xf numFmtId="3" fontId="14" fillId="4" borderId="18" xfId="5" applyNumberFormat="1" applyFont="1" applyFill="1" applyBorder="1"/>
    <xf numFmtId="3" fontId="14" fillId="4" borderId="20" xfId="5" applyNumberFormat="1" applyFont="1" applyFill="1" applyBorder="1"/>
    <xf numFmtId="0" fontId="22" fillId="8" borderId="19" xfId="5" applyFont="1" applyFill="1" applyBorder="1" applyAlignment="1">
      <alignment horizontal="center"/>
    </xf>
    <xf numFmtId="0" fontId="5" fillId="0" borderId="0" xfId="5" applyAlignment="1">
      <alignment horizontal="left"/>
    </xf>
    <xf numFmtId="0" fontId="4" fillId="0" borderId="0" xfId="8" applyAlignment="1">
      <alignment horizontal="center"/>
    </xf>
    <xf numFmtId="0" fontId="4" fillId="0" borderId="0" xfId="9"/>
    <xf numFmtId="0" fontId="4" fillId="0" borderId="0" xfId="8"/>
    <xf numFmtId="0" fontId="36" fillId="0" borderId="0" xfId="8" applyFont="1" applyAlignment="1">
      <alignment horizontal="center"/>
    </xf>
    <xf numFmtId="0" fontId="10" fillId="0" borderId="0" xfId="5" applyFont="1"/>
    <xf numFmtId="0" fontId="19" fillId="0" borderId="0" xfId="5" applyFont="1"/>
    <xf numFmtId="0" fontId="25" fillId="0" borderId="0" xfId="8" applyFont="1" applyAlignment="1">
      <alignment horizontal="center"/>
    </xf>
    <xf numFmtId="0" fontId="25" fillId="0" borderId="0" xfId="8" applyFont="1"/>
    <xf numFmtId="0" fontId="20" fillId="0" borderId="0" xfId="5" applyFont="1" applyAlignment="1">
      <alignment horizontal="left"/>
    </xf>
    <xf numFmtId="0" fontId="20" fillId="0" borderId="0" xfId="5" applyFont="1"/>
    <xf numFmtId="0" fontId="36" fillId="0" borderId="0" xfId="8" applyFont="1" applyAlignment="1">
      <alignment horizontal="center" vertical="center"/>
    </xf>
    <xf numFmtId="0" fontId="37" fillId="0" borderId="0" xfId="8" applyFont="1" applyAlignment="1">
      <alignment vertical="center"/>
    </xf>
    <xf numFmtId="0" fontId="37" fillId="0" borderId="17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 wrapText="1"/>
    </xf>
    <xf numFmtId="0" fontId="22" fillId="8" borderId="17" xfId="8" applyFont="1" applyFill="1" applyBorder="1" applyAlignment="1">
      <alignment horizontal="center"/>
    </xf>
    <xf numFmtId="0" fontId="22" fillId="8" borderId="18" xfId="8" applyFont="1" applyFill="1" applyBorder="1" applyAlignment="1">
      <alignment horizontal="center"/>
    </xf>
    <xf numFmtId="0" fontId="22" fillId="8" borderId="20" xfId="8" applyFont="1" applyFill="1" applyBorder="1" applyAlignment="1">
      <alignment horizontal="center"/>
    </xf>
    <xf numFmtId="0" fontId="22" fillId="0" borderId="0" xfId="8" applyFont="1"/>
    <xf numFmtId="0" fontId="27" fillId="0" borderId="4" xfId="9" applyFont="1" applyBorder="1" applyAlignment="1">
      <alignment horizontal="center"/>
    </xf>
    <xf numFmtId="0" fontId="9" fillId="0" borderId="5" xfId="9" applyFont="1" applyBorder="1" applyAlignment="1">
      <alignment horizontal="center"/>
    </xf>
    <xf numFmtId="0" fontId="27" fillId="0" borderId="5" xfId="9" applyFont="1" applyBorder="1" applyAlignment="1">
      <alignment horizontal="center"/>
    </xf>
    <xf numFmtId="0" fontId="7" fillId="0" borderId="37" xfId="9" applyFont="1" applyBorder="1"/>
    <xf numFmtId="0" fontId="9" fillId="0" borderId="6" xfId="9" applyFont="1" applyBorder="1"/>
    <xf numFmtId="0" fontId="24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0" fontId="24" fillId="3" borderId="1" xfId="9" applyFont="1" applyFill="1" applyBorder="1" applyAlignment="1">
      <alignment horizontal="center"/>
    </xf>
    <xf numFmtId="0" fontId="12" fillId="3" borderId="28" xfId="9" applyFont="1" applyFill="1" applyBorder="1"/>
    <xf numFmtId="0" fontId="9" fillId="3" borderId="1" xfId="9" applyFont="1" applyFill="1" applyBorder="1" applyAlignment="1">
      <alignment horizontal="center"/>
    </xf>
    <xf numFmtId="0" fontId="9" fillId="3" borderId="9" xfId="9" applyFont="1" applyFill="1" applyBorder="1"/>
    <xf numFmtId="4" fontId="13" fillId="3" borderId="10" xfId="9" applyNumberFormat="1" applyFont="1" applyFill="1" applyBorder="1"/>
    <xf numFmtId="0" fontId="27" fillId="0" borderId="8" xfId="9" applyFont="1" applyBorder="1" applyAlignment="1">
      <alignment horizontal="center"/>
    </xf>
    <xf numFmtId="0" fontId="27" fillId="0" borderId="1" xfId="9" applyFont="1" applyBorder="1" applyAlignment="1">
      <alignment horizontal="center"/>
    </xf>
    <xf numFmtId="0" fontId="26" fillId="0" borderId="59" xfId="9" applyFont="1" applyBorder="1" applyAlignment="1">
      <alignment horizontal="center"/>
    </xf>
    <xf numFmtId="0" fontId="27" fillId="0" borderId="28" xfId="9" applyFont="1" applyBorder="1"/>
    <xf numFmtId="0" fontId="27" fillId="0" borderId="9" xfId="9" applyFont="1" applyBorder="1"/>
    <xf numFmtId="0" fontId="27" fillId="0" borderId="9" xfId="9" applyFont="1" applyBorder="1" applyAlignment="1">
      <alignment horizontal="left"/>
    </xf>
    <xf numFmtId="0" fontId="9" fillId="0" borderId="9" xfId="5" applyFont="1" applyBorder="1" applyAlignment="1">
      <alignment horizontal="left"/>
    </xf>
    <xf numFmtId="0" fontId="28" fillId="3" borderId="59" xfId="9" applyFont="1" applyFill="1" applyBorder="1" applyAlignment="1">
      <alignment horizontal="center"/>
    </xf>
    <xf numFmtId="0" fontId="24" fillId="3" borderId="28" xfId="9" applyFont="1" applyFill="1" applyBorder="1"/>
    <xf numFmtId="0" fontId="24" fillId="3" borderId="9" xfId="9" applyFont="1" applyFill="1" applyBorder="1"/>
    <xf numFmtId="4" fontId="24" fillId="3" borderId="10" xfId="9" applyNumberFormat="1" applyFont="1" applyFill="1" applyBorder="1"/>
    <xf numFmtId="0" fontId="27" fillId="3" borderId="1" xfId="9" applyFont="1" applyFill="1" applyBorder="1" applyAlignment="1">
      <alignment horizontal="center"/>
    </xf>
    <xf numFmtId="0" fontId="27" fillId="3" borderId="9" xfId="9" applyFont="1" applyFill="1" applyBorder="1"/>
    <xf numFmtId="0" fontId="9" fillId="0" borderId="9" xfId="9" applyFont="1" applyBorder="1"/>
    <xf numFmtId="0" fontId="24" fillId="3" borderId="29" xfId="9" applyFont="1" applyFill="1" applyBorder="1"/>
    <xf numFmtId="0" fontId="27" fillId="3" borderId="21" xfId="9" applyFont="1" applyFill="1" applyBorder="1" applyAlignment="1">
      <alignment horizontal="center"/>
    </xf>
    <xf numFmtId="0" fontId="27" fillId="3" borderId="30" xfId="9" applyFont="1" applyFill="1" applyBorder="1"/>
    <xf numFmtId="0" fontId="27" fillId="0" borderId="29" xfId="9" applyFont="1" applyBorder="1"/>
    <xf numFmtId="0" fontId="27" fillId="0" borderId="21" xfId="9" applyFont="1" applyBorder="1" applyAlignment="1">
      <alignment horizontal="center"/>
    </xf>
    <xf numFmtId="0" fontId="27" fillId="0" borderId="30" xfId="9" applyFont="1" applyBorder="1"/>
    <xf numFmtId="0" fontId="24" fillId="3" borderId="26" xfId="9" applyFont="1" applyFill="1" applyBorder="1" applyAlignment="1">
      <alignment horizontal="center"/>
    </xf>
    <xf numFmtId="0" fontId="24" fillId="3" borderId="21" xfId="9" applyFont="1" applyFill="1" applyBorder="1" applyAlignment="1">
      <alignment horizontal="center"/>
    </xf>
    <xf numFmtId="0" fontId="29" fillId="5" borderId="17" xfId="9" applyFont="1" applyFill="1" applyBorder="1" applyAlignment="1">
      <alignment horizontal="center"/>
    </xf>
    <xf numFmtId="0" fontId="4" fillId="5" borderId="18" xfId="9" applyFill="1" applyBorder="1"/>
    <xf numFmtId="0" fontId="4" fillId="5" borderId="18" xfId="9" applyFill="1" applyBorder="1" applyAlignment="1">
      <alignment horizontal="center"/>
    </xf>
    <xf numFmtId="3" fontId="13" fillId="7" borderId="18" xfId="8" applyNumberFormat="1" applyFont="1" applyFill="1" applyBorder="1"/>
    <xf numFmtId="0" fontId="4" fillId="5" borderId="20" xfId="9" applyFill="1" applyBorder="1"/>
    <xf numFmtId="0" fontId="4" fillId="5" borderId="42" xfId="9" applyFill="1" applyBorder="1"/>
    <xf numFmtId="0" fontId="26" fillId="0" borderId="0" xfId="9" applyFont="1" applyAlignment="1">
      <alignment horizontal="center"/>
    </xf>
    <xf numFmtId="0" fontId="4" fillId="0" borderId="0" xfId="9" applyAlignment="1">
      <alignment horizontal="center"/>
    </xf>
    <xf numFmtId="0" fontId="14" fillId="0" borderId="0" xfId="9" applyFont="1"/>
    <xf numFmtId="0" fontId="8" fillId="0" borderId="0" xfId="5" applyFont="1" applyAlignment="1">
      <alignment horizontal="center"/>
    </xf>
    <xf numFmtId="0" fontId="8" fillId="0" borderId="0" xfId="5" applyFont="1"/>
    <xf numFmtId="0" fontId="8" fillId="0" borderId="0" xfId="5" applyFont="1" applyAlignment="1">
      <alignment horizontal="left"/>
    </xf>
    <xf numFmtId="3" fontId="4" fillId="0" borderId="0" xfId="9" applyNumberFormat="1"/>
    <xf numFmtId="4" fontId="4" fillId="0" borderId="0" xfId="9" applyNumberFormat="1"/>
    <xf numFmtId="0" fontId="25" fillId="0" borderId="0" xfId="9" applyFont="1"/>
    <xf numFmtId="0" fontId="8" fillId="0" borderId="5" xfId="9" applyFont="1" applyBorder="1" applyAlignment="1">
      <alignment horizontal="center"/>
    </xf>
    <xf numFmtId="1" fontId="8" fillId="0" borderId="5" xfId="9" applyNumberFormat="1" applyFont="1" applyBorder="1" applyAlignment="1">
      <alignment horizontal="center"/>
    </xf>
    <xf numFmtId="0" fontId="27" fillId="0" borderId="5" xfId="9" applyFont="1" applyBorder="1"/>
    <xf numFmtId="0" fontId="27" fillId="0" borderId="6" xfId="9" applyFont="1" applyBorder="1"/>
    <xf numFmtId="0" fontId="8" fillId="0" borderId="1" xfId="9" applyFont="1" applyBorder="1" applyAlignment="1">
      <alignment horizontal="center"/>
    </xf>
    <xf numFmtId="1" fontId="8" fillId="0" borderId="1" xfId="9" applyNumberFormat="1" applyFont="1" applyBorder="1" applyAlignment="1">
      <alignment horizontal="center"/>
    </xf>
    <xf numFmtId="0" fontId="27" fillId="0" borderId="1" xfId="9" applyFont="1" applyBorder="1"/>
    <xf numFmtId="0" fontId="14" fillId="3" borderId="8" xfId="9" applyFont="1" applyFill="1" applyBorder="1" applyAlignment="1">
      <alignment horizontal="center"/>
    </xf>
    <xf numFmtId="0" fontId="14" fillId="3" borderId="1" xfId="9" applyFont="1" applyFill="1" applyBorder="1" applyAlignment="1">
      <alignment horizontal="center"/>
    </xf>
    <xf numFmtId="1" fontId="14" fillId="3" borderId="1" xfId="9" applyNumberFormat="1" applyFont="1" applyFill="1" applyBorder="1" applyAlignment="1">
      <alignment horizontal="center"/>
    </xf>
    <xf numFmtId="0" fontId="24" fillId="3" borderId="1" xfId="9" applyFont="1" applyFill="1" applyBorder="1"/>
    <xf numFmtId="4" fontId="14" fillId="3" borderId="10" xfId="9" applyNumberFormat="1" applyFont="1" applyFill="1" applyBorder="1"/>
    <xf numFmtId="0" fontId="27" fillId="3" borderId="1" xfId="9" applyFont="1" applyFill="1" applyBorder="1"/>
    <xf numFmtId="1" fontId="27" fillId="0" borderId="1" xfId="9" applyNumberFormat="1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1" fontId="8" fillId="3" borderId="1" xfId="9" applyNumberFormat="1" applyFont="1" applyFill="1" applyBorder="1" applyAlignment="1">
      <alignment horizontal="center"/>
    </xf>
    <xf numFmtId="4" fontId="14" fillId="3" borderId="10" xfId="9" applyNumberFormat="1" applyFont="1" applyFill="1" applyBorder="1" applyAlignment="1">
      <alignment horizontal="right"/>
    </xf>
    <xf numFmtId="1" fontId="26" fillId="0" borderId="1" xfId="9" applyNumberFormat="1" applyFont="1" applyBorder="1" applyAlignment="1">
      <alignment horizontal="center"/>
    </xf>
    <xf numFmtId="0" fontId="14" fillId="3" borderId="26" xfId="9" applyFont="1" applyFill="1" applyBorder="1" applyAlignment="1">
      <alignment horizontal="center"/>
    </xf>
    <xf numFmtId="0" fontId="14" fillId="3" borderId="21" xfId="9" applyFont="1" applyFill="1" applyBorder="1" applyAlignment="1">
      <alignment horizontal="center"/>
    </xf>
    <xf numFmtId="1" fontId="14" fillId="3" borderId="21" xfId="9" applyNumberFormat="1" applyFont="1" applyFill="1" applyBorder="1" applyAlignment="1">
      <alignment horizontal="center"/>
    </xf>
    <xf numFmtId="0" fontId="24" fillId="3" borderId="21" xfId="9" applyFont="1" applyFill="1" applyBorder="1"/>
    <xf numFmtId="0" fontId="27" fillId="3" borderId="21" xfId="9" applyFont="1" applyFill="1" applyBorder="1"/>
    <xf numFmtId="0" fontId="26" fillId="5" borderId="17" xfId="9" applyFont="1" applyFill="1" applyBorder="1" applyAlignment="1">
      <alignment horizontal="center"/>
    </xf>
    <xf numFmtId="1" fontId="4" fillId="5" borderId="18" xfId="9" applyNumberFormat="1" applyFill="1" applyBorder="1" applyAlignment="1">
      <alignment horizontal="center"/>
    </xf>
    <xf numFmtId="1" fontId="4" fillId="0" borderId="0" xfId="9" applyNumberFormat="1" applyAlignment="1">
      <alignment horizontal="center"/>
    </xf>
    <xf numFmtId="0" fontId="8" fillId="0" borderId="37" xfId="9" applyFont="1" applyBorder="1"/>
    <xf numFmtId="0" fontId="8" fillId="0" borderId="6" xfId="9" applyFont="1" applyBorder="1"/>
    <xf numFmtId="0" fontId="8" fillId="0" borderId="9" xfId="9" applyFont="1" applyBorder="1"/>
    <xf numFmtId="1" fontId="24" fillId="3" borderId="1" xfId="9" applyNumberFormat="1" applyFont="1" applyFill="1" applyBorder="1" applyAlignment="1">
      <alignment horizontal="center"/>
    </xf>
    <xf numFmtId="0" fontId="14" fillId="3" borderId="9" xfId="9" applyFont="1" applyFill="1" applyBorder="1" applyAlignment="1">
      <alignment horizontal="left"/>
    </xf>
    <xf numFmtId="0" fontId="8" fillId="0" borderId="28" xfId="9" applyFont="1" applyBorder="1"/>
    <xf numFmtId="0" fontId="14" fillId="3" borderId="28" xfId="9" applyFont="1" applyFill="1" applyBorder="1"/>
    <xf numFmtId="0" fontId="14" fillId="3" borderId="9" xfId="9" applyFont="1" applyFill="1" applyBorder="1"/>
    <xf numFmtId="4" fontId="13" fillId="3" borderId="10" xfId="9" applyNumberFormat="1" applyFont="1" applyFill="1" applyBorder="1" applyAlignment="1">
      <alignment horizontal="right"/>
    </xf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0" fontId="8" fillId="0" borderId="29" xfId="9" applyFont="1" applyBorder="1"/>
    <xf numFmtId="0" fontId="8" fillId="0" borderId="21" xfId="9" applyFont="1" applyBorder="1" applyAlignment="1">
      <alignment horizontal="center"/>
    </xf>
    <xf numFmtId="0" fontId="14" fillId="3" borderId="29" xfId="9" applyFont="1" applyFill="1" applyBorder="1"/>
    <xf numFmtId="0" fontId="30" fillId="7" borderId="17" xfId="9" applyFont="1" applyFill="1" applyBorder="1" applyAlignment="1">
      <alignment horizontal="center"/>
    </xf>
    <xf numFmtId="0" fontId="13" fillId="7" borderId="18" xfId="9" applyFont="1" applyFill="1" applyBorder="1" applyAlignment="1">
      <alignment horizontal="center"/>
    </xf>
    <xf numFmtId="1" fontId="13" fillId="7" borderId="18" xfId="9" applyNumberFormat="1" applyFont="1" applyFill="1" applyBorder="1" applyAlignment="1">
      <alignment horizontal="center"/>
    </xf>
    <xf numFmtId="1" fontId="22" fillId="0" borderId="0" xfId="9" applyNumberFormat="1" applyFont="1" applyAlignment="1">
      <alignment horizontal="center"/>
    </xf>
    <xf numFmtId="1" fontId="22" fillId="0" borderId="0" xfId="9" applyNumberFormat="1" applyFont="1"/>
    <xf numFmtId="0" fontId="14" fillId="0" borderId="0" xfId="5" applyFont="1" applyAlignment="1">
      <alignment horizontal="center"/>
    </xf>
    <xf numFmtId="0" fontId="27" fillId="0" borderId="0" xfId="8" applyFont="1" applyAlignment="1">
      <alignment horizontal="center"/>
    </xf>
    <xf numFmtId="0" fontId="24" fillId="0" borderId="0" xfId="8" applyFont="1" applyAlignment="1">
      <alignment horizontal="center"/>
    </xf>
    <xf numFmtId="0" fontId="24" fillId="0" borderId="17" xfId="8" applyFont="1" applyBorder="1" applyAlignment="1">
      <alignment horizontal="center" vertical="center"/>
    </xf>
    <xf numFmtId="0" fontId="27" fillId="8" borderId="17" xfId="8" applyFont="1" applyFill="1" applyBorder="1" applyAlignment="1">
      <alignment horizontal="center"/>
    </xf>
    <xf numFmtId="0" fontId="7" fillId="0" borderId="5" xfId="9" applyFont="1" applyBorder="1"/>
    <xf numFmtId="0" fontId="9" fillId="0" borderId="5" xfId="9" applyFont="1" applyBorder="1"/>
    <xf numFmtId="0" fontId="27" fillId="0" borderId="6" xfId="9" applyFont="1" applyBorder="1" applyAlignment="1">
      <alignment horizontal="left"/>
    </xf>
    <xf numFmtId="0" fontId="9" fillId="0" borderId="1" xfId="9" applyFont="1" applyBorder="1" applyAlignment="1">
      <alignment horizontal="center"/>
    </xf>
    <xf numFmtId="0" fontId="7" fillId="0" borderId="1" xfId="9" applyFont="1" applyBorder="1"/>
    <xf numFmtId="0" fontId="31" fillId="0" borderId="1" xfId="4" applyFont="1" applyBorder="1"/>
    <xf numFmtId="0" fontId="9" fillId="0" borderId="1" xfId="9" applyFont="1" applyBorder="1"/>
    <xf numFmtId="0" fontId="32" fillId="3" borderId="1" xfId="4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0" borderId="1" xfId="4" applyFont="1" applyBorder="1" applyAlignment="1">
      <alignment horizontal="center"/>
    </xf>
    <xf numFmtId="0" fontId="7" fillId="0" borderId="9" xfId="4" applyFont="1" applyBorder="1" applyAlignment="1">
      <alignment horizontal="left"/>
    </xf>
    <xf numFmtId="0" fontId="13" fillId="3" borderId="1" xfId="4" applyFont="1" applyFill="1" applyBorder="1"/>
    <xf numFmtId="4" fontId="12" fillId="3" borderId="10" xfId="9" applyNumberFormat="1" applyFont="1" applyFill="1" applyBorder="1"/>
    <xf numFmtId="0" fontId="33" fillId="0" borderId="1" xfId="4" applyFont="1" applyBorder="1"/>
    <xf numFmtId="0" fontId="33" fillId="0" borderId="1" xfId="4" applyFont="1" applyBorder="1" applyAlignment="1">
      <alignment horizontal="center"/>
    </xf>
    <xf numFmtId="0" fontId="7" fillId="0" borderId="1" xfId="9" applyFont="1" applyBorder="1" applyAlignment="1">
      <alignment horizontal="center"/>
    </xf>
    <xf numFmtId="0" fontId="13" fillId="3" borderId="1" xfId="9" applyFont="1" applyFill="1" applyBorder="1"/>
    <xf numFmtId="0" fontId="13" fillId="3" borderId="1" xfId="9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34" fillId="3" borderId="1" xfId="4" applyFont="1" applyFill="1" applyBorder="1"/>
    <xf numFmtId="0" fontId="31" fillId="3" borderId="1" xfId="4" applyFont="1" applyFill="1" applyBorder="1"/>
    <xf numFmtId="0" fontId="7" fillId="3" borderId="1" xfId="9" applyFont="1" applyFill="1" applyBorder="1" applyAlignment="1">
      <alignment horizontal="center"/>
    </xf>
    <xf numFmtId="0" fontId="35" fillId="0" borderId="1" xfId="4" applyFont="1" applyBorder="1"/>
    <xf numFmtId="0" fontId="32" fillId="3" borderId="21" xfId="4" applyFont="1" applyFill="1" applyBorder="1"/>
    <xf numFmtId="0" fontId="8" fillId="7" borderId="17" xfId="9" applyFont="1" applyFill="1" applyBorder="1" applyAlignment="1">
      <alignment horizontal="center"/>
    </xf>
    <xf numFmtId="0" fontId="7" fillId="7" borderId="18" xfId="9" applyFont="1" applyFill="1" applyBorder="1" applyAlignment="1">
      <alignment horizontal="center"/>
    </xf>
    <xf numFmtId="0" fontId="7" fillId="7" borderId="18" xfId="9" applyFont="1" applyFill="1" applyBorder="1"/>
    <xf numFmtId="0" fontId="7" fillId="7" borderId="20" xfId="9" applyFont="1" applyFill="1" applyBorder="1" applyAlignment="1">
      <alignment horizontal="left"/>
    </xf>
    <xf numFmtId="0" fontId="27" fillId="0" borderId="0" xfId="9" applyFont="1" applyAlignment="1">
      <alignment horizontal="center"/>
    </xf>
    <xf numFmtId="0" fontId="4" fillId="0" borderId="0" xfId="9" applyAlignment="1">
      <alignment horizontal="left"/>
    </xf>
    <xf numFmtId="0" fontId="14" fillId="0" borderId="0" xfId="5" applyFont="1" applyAlignment="1">
      <alignment horizontal="left"/>
    </xf>
    <xf numFmtId="0" fontId="18" fillId="0" borderId="0" xfId="5" applyFont="1" applyAlignment="1">
      <alignment horizontal="left"/>
    </xf>
    <xf numFmtId="3" fontId="36" fillId="0" borderId="0" xfId="5" applyNumberFormat="1" applyFont="1" applyAlignment="1">
      <alignment horizontal="center"/>
    </xf>
    <xf numFmtId="0" fontId="15" fillId="0" borderId="66" xfId="0" applyFont="1" applyBorder="1"/>
    <xf numFmtId="4" fontId="22" fillId="8" borderId="56" xfId="5" applyNumberFormat="1" applyFont="1" applyFill="1" applyBorder="1" applyAlignment="1">
      <alignment horizontal="center"/>
    </xf>
    <xf numFmtId="0" fontId="8" fillId="3" borderId="37" xfId="9" applyFont="1" applyFill="1" applyBorder="1"/>
    <xf numFmtId="3" fontId="14" fillId="0" borderId="21" xfId="0" applyNumberFormat="1" applyFont="1" applyBorder="1" applyAlignment="1">
      <alignment horizontal="center" vertical="center" wrapText="1"/>
    </xf>
    <xf numFmtId="4" fontId="24" fillId="0" borderId="27" xfId="0" applyNumberFormat="1" applyFont="1" applyBorder="1" applyAlignment="1">
      <alignment horizontal="center" vertical="center" wrapText="1"/>
    </xf>
    <xf numFmtId="3" fontId="36" fillId="0" borderId="23" xfId="5" applyNumberFormat="1" applyFont="1" applyBorder="1"/>
    <xf numFmtId="3" fontId="36" fillId="0" borderId="24" xfId="5" applyNumberFormat="1" applyFont="1" applyBorder="1"/>
    <xf numFmtId="4" fontId="36" fillId="0" borderId="24" xfId="5" applyNumberFormat="1" applyFont="1" applyBorder="1"/>
    <xf numFmtId="4" fontId="27" fillId="0" borderId="24" xfId="5" applyNumberFormat="1" applyFont="1" applyBorder="1"/>
    <xf numFmtId="3" fontId="8" fillId="0" borderId="24" xfId="5" applyNumberFormat="1" applyFont="1" applyBorder="1"/>
    <xf numFmtId="4" fontId="8" fillId="0" borderId="24" xfId="5" applyNumberFormat="1" applyFont="1" applyBorder="1"/>
    <xf numFmtId="3" fontId="8" fillId="0" borderId="23" xfId="5" applyNumberFormat="1" applyFont="1" applyBorder="1"/>
    <xf numFmtId="4" fontId="8" fillId="0" borderId="25" xfId="5" applyNumberFormat="1" applyFont="1" applyBorder="1"/>
    <xf numFmtId="0" fontId="12" fillId="0" borderId="58" xfId="0" applyFont="1" applyBorder="1" applyAlignment="1">
      <alignment vertical="center" wrapText="1"/>
    </xf>
    <xf numFmtId="3" fontId="36" fillId="0" borderId="1" xfId="5" applyNumberFormat="1" applyFont="1" applyBorder="1"/>
    <xf numFmtId="4" fontId="36" fillId="0" borderId="1" xfId="5" applyNumberFormat="1" applyFont="1" applyBorder="1"/>
    <xf numFmtId="4" fontId="27" fillId="0" borderId="1" xfId="5" applyNumberFormat="1" applyFont="1" applyBorder="1"/>
    <xf numFmtId="3" fontId="8" fillId="0" borderId="1" xfId="5" applyNumberFormat="1" applyFont="1" applyBorder="1"/>
    <xf numFmtId="4" fontId="8" fillId="0" borderId="1" xfId="5" applyNumberFormat="1" applyFont="1" applyBorder="1"/>
    <xf numFmtId="3" fontId="36" fillId="0" borderId="8" xfId="5" applyNumberFormat="1" applyFont="1" applyBorder="1"/>
    <xf numFmtId="4" fontId="8" fillId="0" borderId="10" xfId="5" applyNumberFormat="1" applyFont="1" applyBorder="1"/>
    <xf numFmtId="4" fontId="36" fillId="0" borderId="32" xfId="5" applyNumberFormat="1" applyFont="1" applyBorder="1"/>
    <xf numFmtId="4" fontId="36" fillId="0" borderId="9" xfId="5" applyNumberFormat="1" applyFont="1" applyBorder="1"/>
    <xf numFmtId="3" fontId="8" fillId="0" borderId="8" xfId="5" applyNumberFormat="1" applyFont="1" applyBorder="1"/>
    <xf numFmtId="4" fontId="21" fillId="0" borderId="6" xfId="0" applyNumberFormat="1" applyFont="1" applyBorder="1"/>
    <xf numFmtId="4" fontId="21" fillId="0" borderId="9" xfId="0" applyNumberFormat="1" applyFont="1" applyBorder="1"/>
    <xf numFmtId="4" fontId="21" fillId="0" borderId="13" xfId="0" applyNumberFormat="1" applyFont="1" applyBorder="1"/>
    <xf numFmtId="3" fontId="37" fillId="0" borderId="0" xfId="5" applyNumberFormat="1" applyFont="1"/>
    <xf numFmtId="4" fontId="37" fillId="0" borderId="0" xfId="5" applyNumberFormat="1" applyFont="1"/>
    <xf numFmtId="3" fontId="14" fillId="0" borderId="0" xfId="5" applyNumberFormat="1" applyFont="1"/>
    <xf numFmtId="3" fontId="8" fillId="0" borderId="0" xfId="5" applyNumberFormat="1" applyFont="1"/>
    <xf numFmtId="3" fontId="7" fillId="0" borderId="0" xfId="5" applyNumberFormat="1" applyFont="1"/>
    <xf numFmtId="4" fontId="8" fillId="0" borderId="0" xfId="5" applyNumberFormat="1" applyFont="1"/>
    <xf numFmtId="3" fontId="14" fillId="3" borderId="1" xfId="5" applyNumberFormat="1" applyFont="1" applyFill="1" applyBorder="1"/>
    <xf numFmtId="4" fontId="14" fillId="3" borderId="1" xfId="5" applyNumberFormat="1" applyFont="1" applyFill="1" applyBorder="1"/>
    <xf numFmtId="3" fontId="14" fillId="3" borderId="1" xfId="5" applyNumberFormat="1" applyFont="1" applyFill="1" applyBorder="1" applyAlignment="1">
      <alignment horizontal="right"/>
    </xf>
    <xf numFmtId="4" fontId="14" fillId="3" borderId="1" xfId="5" applyNumberFormat="1" applyFont="1" applyFill="1" applyBorder="1" applyAlignment="1">
      <alignment horizontal="right"/>
    </xf>
    <xf numFmtId="3" fontId="14" fillId="3" borderId="8" xfId="5" applyNumberFormat="1" applyFont="1" applyFill="1" applyBorder="1"/>
    <xf numFmtId="3" fontId="14" fillId="3" borderId="8" xfId="5" applyNumberFormat="1" applyFont="1" applyFill="1" applyBorder="1" applyAlignment="1">
      <alignment horizontal="right"/>
    </xf>
    <xf numFmtId="0" fontId="14" fillId="0" borderId="58" xfId="0" applyFont="1" applyBorder="1" applyAlignment="1">
      <alignment horizontal="left"/>
    </xf>
    <xf numFmtId="0" fontId="14" fillId="0" borderId="62" xfId="0" applyFont="1" applyBorder="1" applyAlignment="1">
      <alignment horizontal="left"/>
    </xf>
    <xf numFmtId="4" fontId="12" fillId="3" borderId="10" xfId="2" applyNumberFormat="1" applyFont="1" applyFill="1" applyBorder="1"/>
    <xf numFmtId="3" fontId="13" fillId="3" borderId="1" xfId="0" applyNumberFormat="1" applyFont="1" applyFill="1" applyBorder="1" applyAlignment="1">
      <alignment horizontal="right"/>
    </xf>
    <xf numFmtId="4" fontId="13" fillId="3" borderId="1" xfId="0" applyNumberFormat="1" applyFont="1" applyFill="1" applyBorder="1" applyAlignment="1">
      <alignment horizontal="right"/>
    </xf>
    <xf numFmtId="3" fontId="13" fillId="3" borderId="1" xfId="0" applyNumberFormat="1" applyFont="1" applyFill="1" applyBorder="1"/>
    <xf numFmtId="4" fontId="13" fillId="3" borderId="1" xfId="0" applyNumberFormat="1" applyFont="1" applyFill="1" applyBorder="1"/>
    <xf numFmtId="3" fontId="13" fillId="3" borderId="8" xfId="0" applyNumberFormat="1" applyFont="1" applyFill="1" applyBorder="1" applyAlignment="1">
      <alignment horizontal="right"/>
    </xf>
    <xf numFmtId="3" fontId="13" fillId="3" borderId="8" xfId="0" applyNumberFormat="1" applyFont="1" applyFill="1" applyBorder="1"/>
    <xf numFmtId="4" fontId="13" fillId="3" borderId="9" xfId="0" applyNumberFormat="1" applyFont="1" applyFill="1" applyBorder="1" applyAlignment="1">
      <alignment horizontal="right"/>
    </xf>
    <xf numFmtId="4" fontId="13" fillId="3" borderId="9" xfId="0" applyNumberFormat="1" applyFont="1" applyFill="1" applyBorder="1"/>
    <xf numFmtId="3" fontId="13" fillId="3" borderId="28" xfId="0" applyNumberFormat="1" applyFont="1" applyFill="1" applyBorder="1" applyAlignment="1">
      <alignment horizontal="right"/>
    </xf>
    <xf numFmtId="3" fontId="13" fillId="3" borderId="28" xfId="0" applyNumberFormat="1" applyFont="1" applyFill="1" applyBorder="1"/>
    <xf numFmtId="3" fontId="13" fillId="3" borderId="26" xfId="0" applyNumberFormat="1" applyFont="1" applyFill="1" applyBorder="1" applyAlignment="1">
      <alignment horizontal="right"/>
    </xf>
    <xf numFmtId="3" fontId="13" fillId="3" borderId="21" xfId="0" applyNumberFormat="1" applyFont="1" applyFill="1" applyBorder="1" applyAlignment="1">
      <alignment horizontal="right"/>
    </xf>
    <xf numFmtId="4" fontId="13" fillId="3" borderId="21" xfId="0" applyNumberFormat="1" applyFont="1" applyFill="1" applyBorder="1" applyAlignment="1">
      <alignment horizontal="right"/>
    </xf>
    <xf numFmtId="3" fontId="13" fillId="4" borderId="17" xfId="0" applyNumberFormat="1" applyFont="1" applyFill="1" applyBorder="1" applyAlignment="1">
      <alignment horizontal="right"/>
    </xf>
    <xf numFmtId="3" fontId="13" fillId="4" borderId="18" xfId="0" applyNumberFormat="1" applyFont="1" applyFill="1" applyBorder="1" applyAlignment="1">
      <alignment horizontal="right"/>
    </xf>
    <xf numFmtId="4" fontId="13" fillId="4" borderId="18" xfId="0" applyNumberFormat="1" applyFont="1" applyFill="1" applyBorder="1" applyAlignment="1">
      <alignment horizontal="right"/>
    </xf>
    <xf numFmtId="4" fontId="13" fillId="4" borderId="19" xfId="0" applyNumberFormat="1" applyFont="1" applyFill="1" applyBorder="1" applyAlignment="1">
      <alignment horizontal="right"/>
    </xf>
    <xf numFmtId="3" fontId="13" fillId="4" borderId="22" xfId="0" applyNumberFormat="1" applyFont="1" applyFill="1" applyBorder="1" applyAlignment="1">
      <alignment horizontal="right"/>
    </xf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24" fillId="3" borderId="1" xfId="9" applyNumberFormat="1" applyFont="1" applyFill="1" applyBorder="1"/>
    <xf numFmtId="4" fontId="24" fillId="3" borderId="1" xfId="9" applyNumberFormat="1" applyFont="1" applyFill="1" applyBorder="1"/>
    <xf numFmtId="3" fontId="13" fillId="3" borderId="8" xfId="9" applyNumberFormat="1" applyFont="1" applyFill="1" applyBorder="1"/>
    <xf numFmtId="3" fontId="24" fillId="3" borderId="8" xfId="9" applyNumberFormat="1" applyFont="1" applyFill="1" applyBorder="1"/>
    <xf numFmtId="3" fontId="24" fillId="5" borderId="22" xfId="9" applyNumberFormat="1" applyFont="1" applyFill="1" applyBorder="1"/>
    <xf numFmtId="3" fontId="14" fillId="3" borderId="1" xfId="9" applyNumberFormat="1" applyFont="1" applyFill="1" applyBorder="1"/>
    <xf numFmtId="4" fontId="14" fillId="3" borderId="1" xfId="9" applyNumberFormat="1" applyFont="1" applyFill="1" applyBorder="1"/>
    <xf numFmtId="3" fontId="14" fillId="3" borderId="1" xfId="9" applyNumberFormat="1" applyFont="1" applyFill="1" applyBorder="1" applyAlignment="1">
      <alignment horizontal="right"/>
    </xf>
    <xf numFmtId="4" fontId="14" fillId="3" borderId="1" xfId="9" applyNumberFormat="1" applyFont="1" applyFill="1" applyBorder="1" applyAlignment="1">
      <alignment horizontal="right"/>
    </xf>
    <xf numFmtId="3" fontId="14" fillId="3" borderId="8" xfId="9" applyNumberFormat="1" applyFont="1" applyFill="1" applyBorder="1"/>
    <xf numFmtId="3" fontId="14" fillId="3" borderId="8" xfId="9" applyNumberFormat="1" applyFont="1" applyFill="1" applyBorder="1" applyAlignment="1">
      <alignment horizontal="right"/>
    </xf>
    <xf numFmtId="0" fontId="14" fillId="0" borderId="69" xfId="0" applyFont="1" applyBorder="1" applyAlignment="1">
      <alignment horizontal="left"/>
    </xf>
    <xf numFmtId="0" fontId="14" fillId="0" borderId="68" xfId="0" applyFont="1" applyBorder="1" applyAlignment="1">
      <alignment horizontal="left"/>
    </xf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 applyAlignment="1">
      <alignment horizontal="right"/>
    </xf>
    <xf numFmtId="3" fontId="13" fillId="7" borderId="17" xfId="9" applyNumberFormat="1" applyFont="1" applyFill="1" applyBorder="1"/>
    <xf numFmtId="3" fontId="13" fillId="7" borderId="18" xfId="9" applyNumberFormat="1" applyFont="1" applyFill="1" applyBorder="1"/>
    <xf numFmtId="4" fontId="13" fillId="7" borderId="18" xfId="9" applyNumberFormat="1" applyFont="1" applyFill="1" applyBorder="1"/>
    <xf numFmtId="4" fontId="13" fillId="7" borderId="19" xfId="9" applyNumberFormat="1" applyFont="1" applyFill="1" applyBorder="1"/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12" fillId="3" borderId="8" xfId="9" applyNumberFormat="1" applyFont="1" applyFill="1" applyBorder="1" applyAlignment="1">
      <alignment horizontal="right"/>
    </xf>
    <xf numFmtId="3" fontId="12" fillId="3" borderId="8" xfId="9" applyNumberFormat="1" applyFont="1" applyFill="1" applyBorder="1"/>
    <xf numFmtId="3" fontId="8" fillId="0" borderId="4" xfId="0" applyNumberFormat="1" applyFont="1" applyBorder="1"/>
    <xf numFmtId="3" fontId="8" fillId="0" borderId="5" xfId="0" applyNumberFormat="1" applyFont="1" applyBorder="1"/>
    <xf numFmtId="3" fontId="8" fillId="0" borderId="37" xfId="0" applyNumberFormat="1" applyFont="1" applyBorder="1"/>
    <xf numFmtId="4" fontId="36" fillId="0" borderId="0" xfId="8" applyNumberFormat="1" applyFont="1" applyAlignment="1">
      <alignment horizontal="center"/>
    </xf>
    <xf numFmtId="4" fontId="8" fillId="0" borderId="5" xfId="0" applyNumberFormat="1" applyFont="1" applyBorder="1"/>
    <xf numFmtId="4" fontId="8" fillId="0" borderId="6" xfId="0" applyNumberFormat="1" applyFont="1" applyBorder="1"/>
    <xf numFmtId="4" fontId="36" fillId="0" borderId="25" xfId="5" applyNumberFormat="1" applyFont="1" applyBorder="1"/>
    <xf numFmtId="4" fontId="8" fillId="0" borderId="7" xfId="0" applyNumberFormat="1" applyFont="1" applyBorder="1"/>
    <xf numFmtId="3" fontId="14" fillId="3" borderId="12" xfId="5" applyNumberFormat="1" applyFont="1" applyFill="1" applyBorder="1"/>
    <xf numFmtId="4" fontId="14" fillId="3" borderId="12" xfId="5" applyNumberFormat="1" applyFont="1" applyFill="1" applyBorder="1"/>
    <xf numFmtId="0" fontId="27" fillId="9" borderId="1" xfId="9" applyFont="1" applyFill="1" applyBorder="1"/>
    <xf numFmtId="3" fontId="24" fillId="3" borderId="11" xfId="9" applyNumberFormat="1" applyFont="1" applyFill="1" applyBorder="1"/>
    <xf numFmtId="3" fontId="24" fillId="3" borderId="12" xfId="9" applyNumberFormat="1" applyFont="1" applyFill="1" applyBorder="1"/>
    <xf numFmtId="4" fontId="24" fillId="3" borderId="12" xfId="9" applyNumberFormat="1" applyFont="1" applyFill="1" applyBorder="1"/>
    <xf numFmtId="4" fontId="22" fillId="8" borderId="22" xfId="5" applyNumberFormat="1" applyFont="1" applyFill="1" applyBorder="1" applyAlignment="1">
      <alignment horizontal="center"/>
    </xf>
    <xf numFmtId="3" fontId="12" fillId="3" borderId="1" xfId="2" applyNumberFormat="1" applyFont="1" applyFill="1" applyBorder="1"/>
    <xf numFmtId="3" fontId="12" fillId="3" borderId="8" xfId="2" applyNumberFormat="1" applyFont="1" applyFill="1" applyBorder="1"/>
    <xf numFmtId="3" fontId="14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left" vertical="center" wrapText="1"/>
    </xf>
    <xf numFmtId="4" fontId="14" fillId="0" borderId="0" xfId="5" applyNumberFormat="1" applyFont="1"/>
    <xf numFmtId="3" fontId="22" fillId="8" borderId="56" xfId="5" applyNumberFormat="1" applyFont="1" applyFill="1" applyBorder="1" applyAlignment="1">
      <alignment horizontal="center"/>
    </xf>
    <xf numFmtId="4" fontId="36" fillId="0" borderId="10" xfId="5" applyNumberFormat="1" applyFont="1" applyBorder="1"/>
    <xf numFmtId="3" fontId="36" fillId="0" borderId="28" xfId="5" applyNumberFormat="1" applyFont="1" applyBorder="1"/>
    <xf numFmtId="4" fontId="24" fillId="3" borderId="14" xfId="9" applyNumberFormat="1" applyFont="1" applyFill="1" applyBorder="1"/>
    <xf numFmtId="3" fontId="13" fillId="3" borderId="11" xfId="9" applyNumberFormat="1" applyFont="1" applyFill="1" applyBorder="1"/>
    <xf numFmtId="3" fontId="13" fillId="3" borderId="12" xfId="9" applyNumberFormat="1" applyFont="1" applyFill="1" applyBorder="1"/>
    <xf numFmtId="4" fontId="13" fillId="3" borderId="12" xfId="9" applyNumberFormat="1" applyFont="1" applyFill="1" applyBorder="1"/>
    <xf numFmtId="4" fontId="13" fillId="3" borderId="14" xfId="9" applyNumberFormat="1" applyFont="1" applyFill="1" applyBorder="1"/>
    <xf numFmtId="3" fontId="13" fillId="3" borderId="8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3" fontId="37" fillId="3" borderId="8" xfId="5" applyNumberFormat="1" applyFont="1" applyFill="1" applyBorder="1"/>
    <xf numFmtId="3" fontId="13" fillId="3" borderId="11" xfId="5" applyNumberFormat="1" applyFont="1" applyFill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3" fontId="27" fillId="0" borderId="0" xfId="5" applyNumberFormat="1" applyFont="1" applyAlignment="1">
      <alignment horizontal="center"/>
    </xf>
    <xf numFmtId="3" fontId="39" fillId="7" borderId="38" xfId="5" applyNumberFormat="1" applyFont="1" applyFill="1" applyBorder="1"/>
    <xf numFmtId="0" fontId="8" fillId="0" borderId="1" xfId="0" applyFont="1" applyBorder="1" applyProtection="1">
      <protection locked="0"/>
    </xf>
    <xf numFmtId="0" fontId="14" fillId="3" borderId="1" xfId="0" applyFont="1" applyFill="1" applyBorder="1" applyProtection="1">
      <protection locked="0"/>
    </xf>
    <xf numFmtId="0" fontId="43" fillId="0" borderId="0" xfId="5" applyFont="1" applyAlignment="1">
      <alignment horizontal="left"/>
    </xf>
    <xf numFmtId="0" fontId="43" fillId="0" borderId="0" xfId="5" applyFont="1" applyAlignment="1">
      <alignment horizontal="center"/>
    </xf>
    <xf numFmtId="0" fontId="43" fillId="0" borderId="0" xfId="5" applyFont="1" applyAlignment="1">
      <alignment horizontal="right"/>
    </xf>
    <xf numFmtId="3" fontId="36" fillId="0" borderId="46" xfId="5" applyNumberFormat="1" applyFont="1" applyBorder="1"/>
    <xf numFmtId="4" fontId="14" fillId="3" borderId="9" xfId="9" applyNumberFormat="1" applyFont="1" applyFill="1" applyBorder="1"/>
    <xf numFmtId="4" fontId="14" fillId="3" borderId="9" xfId="9" applyNumberFormat="1" applyFont="1" applyFill="1" applyBorder="1" applyAlignment="1">
      <alignment horizontal="right"/>
    </xf>
    <xf numFmtId="4" fontId="24" fillId="3" borderId="9" xfId="9" applyNumberFormat="1" applyFont="1" applyFill="1" applyBorder="1"/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0" fontId="26" fillId="0" borderId="1" xfId="9" applyFont="1" applyBorder="1" applyAlignment="1">
      <alignment horizontal="center"/>
    </xf>
    <xf numFmtId="0" fontId="24" fillId="3" borderId="4" xfId="9" applyFont="1" applyFill="1" applyBorder="1" applyAlignment="1">
      <alignment horizontal="center"/>
    </xf>
    <xf numFmtId="0" fontId="24" fillId="3" borderId="5" xfId="9" applyFont="1" applyFill="1" applyBorder="1" applyAlignment="1">
      <alignment horizontal="center"/>
    </xf>
    <xf numFmtId="0" fontId="28" fillId="3" borderId="71" xfId="9" applyFont="1" applyFill="1" applyBorder="1" applyAlignment="1">
      <alignment horizontal="center"/>
    </xf>
    <xf numFmtId="0" fontId="24" fillId="3" borderId="37" xfId="9" applyFont="1" applyFill="1" applyBorder="1"/>
    <xf numFmtId="4" fontId="36" fillId="0" borderId="5" xfId="5" applyNumberFormat="1" applyFont="1" applyBorder="1"/>
    <xf numFmtId="4" fontId="14" fillId="6" borderId="70" xfId="5" applyNumberFormat="1" applyFont="1" applyFill="1" applyBorder="1"/>
    <xf numFmtId="4" fontId="12" fillId="3" borderId="1" xfId="2" applyNumberFormat="1" applyFont="1" applyFill="1" applyBorder="1"/>
    <xf numFmtId="4" fontId="27" fillId="0" borderId="5" xfId="5" applyNumberFormat="1" applyFont="1" applyBorder="1"/>
    <xf numFmtId="0" fontId="8" fillId="0" borderId="1" xfId="5" applyFont="1" applyBorder="1" applyAlignment="1">
      <alignment horizontal="left"/>
    </xf>
    <xf numFmtId="0" fontId="8" fillId="2" borderId="1" xfId="5" applyFont="1" applyFill="1" applyBorder="1" applyAlignment="1">
      <alignment horizontal="left"/>
    </xf>
    <xf numFmtId="3" fontId="24" fillId="5" borderId="17" xfId="9" applyNumberFormat="1" applyFont="1" applyFill="1" applyBorder="1"/>
    <xf numFmtId="3" fontId="39" fillId="7" borderId="70" xfId="5" applyNumberFormat="1" applyFont="1" applyFill="1" applyBorder="1"/>
    <xf numFmtId="3" fontId="14" fillId="6" borderId="70" xfId="5" applyNumberFormat="1" applyFont="1" applyFill="1" applyBorder="1"/>
    <xf numFmtId="4" fontId="12" fillId="4" borderId="18" xfId="2" applyNumberFormat="1" applyFont="1" applyFill="1" applyBorder="1"/>
    <xf numFmtId="4" fontId="12" fillId="4" borderId="19" xfId="2" applyNumberFormat="1" applyFont="1" applyFill="1" applyBorder="1"/>
    <xf numFmtId="0" fontId="12" fillId="4" borderId="20" xfId="2" applyFont="1" applyFill="1" applyBorder="1"/>
    <xf numFmtId="3" fontId="12" fillId="4" borderId="17" xfId="2" applyNumberFormat="1" applyFont="1" applyFill="1" applyBorder="1"/>
    <xf numFmtId="3" fontId="12" fillId="4" borderId="18" xfId="2" applyNumberFormat="1" applyFont="1" applyFill="1" applyBorder="1"/>
    <xf numFmtId="3" fontId="24" fillId="5" borderId="70" xfId="9" applyNumberFormat="1" applyFont="1" applyFill="1" applyBorder="1"/>
    <xf numFmtId="3" fontId="13" fillId="0" borderId="47" xfId="2" applyNumberFormat="1" applyFont="1" applyBorder="1" applyAlignment="1">
      <alignment horizontal="center" vertical="center" wrapText="1"/>
    </xf>
    <xf numFmtId="3" fontId="13" fillId="0" borderId="12" xfId="2" applyNumberFormat="1" applyFont="1" applyBorder="1" applyAlignment="1">
      <alignment horizontal="center" vertical="center" wrapText="1"/>
    </xf>
    <xf numFmtId="0" fontId="12" fillId="3" borderId="9" xfId="2" applyFont="1" applyFill="1" applyBorder="1"/>
    <xf numFmtId="0" fontId="12" fillId="3" borderId="30" xfId="2" applyFont="1" applyFill="1" applyBorder="1"/>
    <xf numFmtId="3" fontId="13" fillId="7" borderId="22" xfId="9" applyNumberFormat="1" applyFont="1" applyFill="1" applyBorder="1"/>
    <xf numFmtId="3" fontId="13" fillId="0" borderId="61" xfId="2" applyNumberFormat="1" applyFont="1" applyBorder="1" applyAlignment="1">
      <alignment horizontal="center" vertical="center" wrapText="1"/>
    </xf>
    <xf numFmtId="3" fontId="13" fillId="0" borderId="70" xfId="2" applyNumberFormat="1" applyFont="1" applyBorder="1" applyAlignment="1">
      <alignment horizontal="center" vertical="center" wrapText="1"/>
    </xf>
    <xf numFmtId="3" fontId="36" fillId="0" borderId="4" xfId="5" applyNumberFormat="1" applyFont="1" applyBorder="1"/>
    <xf numFmtId="3" fontId="36" fillId="0" borderId="5" xfId="5" applyNumberFormat="1" applyFont="1" applyBorder="1"/>
    <xf numFmtId="4" fontId="13" fillId="0" borderId="47" xfId="2" applyNumberFormat="1" applyFont="1" applyBorder="1" applyAlignment="1">
      <alignment horizontal="center" vertical="center" wrapText="1"/>
    </xf>
    <xf numFmtId="4" fontId="24" fillId="5" borderId="22" xfId="9" applyNumberFormat="1" applyFont="1" applyFill="1" applyBorder="1"/>
    <xf numFmtId="4" fontId="24" fillId="5" borderId="70" xfId="9" applyNumberFormat="1" applyFont="1" applyFill="1" applyBorder="1"/>
    <xf numFmtId="4" fontId="40" fillId="0" borderId="0" xfId="0" applyNumberFormat="1" applyFont="1" applyAlignment="1">
      <alignment horizontal="left" vertical="center" wrapText="1"/>
    </xf>
    <xf numFmtId="4" fontId="14" fillId="0" borderId="0" xfId="0" applyNumberFormat="1" applyFont="1" applyAlignment="1">
      <alignment horizontal="left" vertical="center" wrapText="1"/>
    </xf>
    <xf numFmtId="4" fontId="13" fillId="0" borderId="61" xfId="2" applyNumberFormat="1" applyFont="1" applyBorder="1" applyAlignment="1">
      <alignment horizontal="center" vertical="center" wrapText="1"/>
    </xf>
    <xf numFmtId="0" fontId="9" fillId="0" borderId="6" xfId="2" applyFont="1" applyBorder="1"/>
    <xf numFmtId="3" fontId="12" fillId="3" borderId="26" xfId="2" applyNumberFormat="1" applyFont="1" applyFill="1" applyBorder="1"/>
    <xf numFmtId="3" fontId="12" fillId="3" borderId="21" xfId="2" applyNumberFormat="1" applyFont="1" applyFill="1" applyBorder="1"/>
    <xf numFmtId="4" fontId="12" fillId="3" borderId="21" xfId="2" applyNumberFormat="1" applyFont="1" applyFill="1" applyBorder="1"/>
    <xf numFmtId="3" fontId="24" fillId="5" borderId="38" xfId="9" applyNumberFormat="1" applyFont="1" applyFill="1" applyBorder="1"/>
    <xf numFmtId="4" fontId="24" fillId="3" borderId="13" xfId="9" applyNumberFormat="1" applyFont="1" applyFill="1" applyBorder="1"/>
    <xf numFmtId="4" fontId="24" fillId="5" borderId="45" xfId="9" applyNumberFormat="1" applyFont="1" applyFill="1" applyBorder="1"/>
    <xf numFmtId="3" fontId="13" fillId="7" borderId="38" xfId="9" applyNumberFormat="1" applyFont="1" applyFill="1" applyBorder="1"/>
    <xf numFmtId="3" fontId="13" fillId="3" borderId="5" xfId="0" applyNumberFormat="1" applyFont="1" applyFill="1" applyBorder="1"/>
    <xf numFmtId="4" fontId="13" fillId="3" borderId="5" xfId="0" applyNumberFormat="1" applyFont="1" applyFill="1" applyBorder="1"/>
    <xf numFmtId="4" fontId="13" fillId="4" borderId="22" xfId="0" applyNumberFormat="1" applyFont="1" applyFill="1" applyBorder="1" applyAlignment="1">
      <alignment horizontal="right"/>
    </xf>
    <xf numFmtId="4" fontId="13" fillId="4" borderId="72" xfId="0" applyNumberFormat="1" applyFont="1" applyFill="1" applyBorder="1" applyAlignment="1">
      <alignment horizontal="right"/>
    </xf>
    <xf numFmtId="0" fontId="13" fillId="7" borderId="61" xfId="9" applyFont="1" applyFill="1" applyBorder="1"/>
    <xf numFmtId="0" fontId="14" fillId="3" borderId="12" xfId="9" applyFont="1" applyFill="1" applyBorder="1"/>
    <xf numFmtId="4" fontId="13" fillId="7" borderId="20" xfId="9" applyNumberFormat="1" applyFont="1" applyFill="1" applyBorder="1"/>
    <xf numFmtId="4" fontId="27" fillId="0" borderId="0" xfId="5" applyNumberFormat="1" applyFont="1" applyAlignment="1">
      <alignment horizontal="center"/>
    </xf>
    <xf numFmtId="3" fontId="14" fillId="0" borderId="47" xfId="2" applyNumberFormat="1" applyFont="1" applyBorder="1" applyAlignment="1">
      <alignment horizontal="center" vertical="center" wrapText="1"/>
    </xf>
    <xf numFmtId="4" fontId="14" fillId="0" borderId="47" xfId="2" applyNumberFormat="1" applyFont="1" applyBorder="1" applyAlignment="1">
      <alignment horizontal="center" vertical="center" wrapText="1"/>
    </xf>
    <xf numFmtId="3" fontId="27" fillId="0" borderId="23" xfId="5" applyNumberFormat="1" applyFont="1" applyBorder="1"/>
    <xf numFmtId="3" fontId="27" fillId="0" borderId="24" xfId="5" applyNumberFormat="1" applyFont="1" applyBorder="1"/>
    <xf numFmtId="3" fontId="14" fillId="4" borderId="17" xfId="0" applyNumberFormat="1" applyFont="1" applyFill="1" applyBorder="1"/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3" fontId="27" fillId="0" borderId="1" xfId="5" applyNumberFormat="1" applyFont="1" applyBorder="1"/>
    <xf numFmtId="3" fontId="27" fillId="0" borderId="8" xfId="5" applyNumberFormat="1" applyFont="1" applyBorder="1"/>
    <xf numFmtId="3" fontId="39" fillId="7" borderId="47" xfId="5" applyNumberFormat="1" applyFont="1" applyFill="1" applyBorder="1"/>
    <xf numFmtId="4" fontId="39" fillId="7" borderId="47" xfId="5" applyNumberFormat="1" applyFont="1" applyFill="1" applyBorder="1"/>
    <xf numFmtId="4" fontId="39" fillId="7" borderId="63" xfId="5" applyNumberFormat="1" applyFont="1" applyFill="1" applyBorder="1"/>
    <xf numFmtId="3" fontId="22" fillId="8" borderId="22" xfId="5" applyNumberFormat="1" applyFont="1" applyFill="1" applyBorder="1" applyAlignment="1">
      <alignment horizontal="center"/>
    </xf>
    <xf numFmtId="3" fontId="7" fillId="0" borderId="1" xfId="0" applyNumberFormat="1" applyFont="1" applyBorder="1"/>
    <xf numFmtId="3" fontId="9" fillId="0" borderId="1" xfId="0" applyNumberFormat="1" applyFont="1" applyBorder="1"/>
    <xf numFmtId="4" fontId="7" fillId="0" borderId="1" xfId="0" applyNumberFormat="1" applyFont="1" applyBorder="1"/>
    <xf numFmtId="4" fontId="14" fillId="0" borderId="63" xfId="2" applyNumberFormat="1" applyFont="1" applyBorder="1" applyAlignment="1">
      <alignment horizontal="center" vertical="center" wrapText="1"/>
    </xf>
    <xf numFmtId="4" fontId="9" fillId="0" borderId="1" xfId="0" applyNumberFormat="1" applyFont="1" applyBorder="1"/>
    <xf numFmtId="0" fontId="7" fillId="0" borderId="7" xfId="0" applyFont="1" applyBorder="1"/>
    <xf numFmtId="0" fontId="7" fillId="0" borderId="10" xfId="0" applyFont="1" applyBorder="1"/>
    <xf numFmtId="0" fontId="13" fillId="3" borderId="10" xfId="0" applyFont="1" applyFill="1" applyBorder="1"/>
    <xf numFmtId="0" fontId="9" fillId="0" borderId="10" xfId="2" applyFont="1" applyBorder="1"/>
    <xf numFmtId="0" fontId="13" fillId="3" borderId="27" xfId="0" applyFont="1" applyFill="1" applyBorder="1"/>
    <xf numFmtId="0" fontId="13" fillId="4" borderId="19" xfId="0" applyFont="1" applyFill="1" applyBorder="1"/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4" xfId="0" applyFont="1" applyBorder="1"/>
    <xf numFmtId="0" fontId="7" fillId="0" borderId="24" xfId="0" applyFont="1" applyBorder="1" applyAlignment="1">
      <alignment horizontal="left"/>
    </xf>
    <xf numFmtId="0" fontId="7" fillId="0" borderId="25" xfId="0" applyFont="1" applyBorder="1"/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4" xfId="0" applyFont="1" applyBorder="1" applyAlignment="1">
      <alignment horizontal="left"/>
    </xf>
    <xf numFmtId="0" fontId="9" fillId="0" borderId="25" xfId="0" applyFont="1" applyBorder="1"/>
    <xf numFmtId="0" fontId="9" fillId="0" borderId="10" xfId="0" applyFont="1" applyBorder="1"/>
    <xf numFmtId="3" fontId="7" fillId="0" borderId="5" xfId="5" applyNumberFormat="1" applyFont="1" applyBorder="1"/>
    <xf numFmtId="2" fontId="4" fillId="0" borderId="0" xfId="9" applyNumberFormat="1"/>
    <xf numFmtId="2" fontId="24" fillId="5" borderId="72" xfId="9" applyNumberFormat="1" applyFont="1" applyFill="1" applyBorder="1"/>
    <xf numFmtId="2" fontId="15" fillId="4" borderId="19" xfId="0" applyNumberFormat="1" applyFont="1" applyFill="1" applyBorder="1"/>
    <xf numFmtId="2" fontId="8" fillId="0" borderId="7" xfId="0" applyNumberFormat="1" applyFont="1" applyBorder="1"/>
    <xf numFmtId="2" fontId="8" fillId="0" borderId="10" xfId="0" applyNumberFormat="1" applyFont="1" applyBorder="1"/>
    <xf numFmtId="2" fontId="8" fillId="0" borderId="14" xfId="0" applyNumberFormat="1" applyFont="1" applyBorder="1"/>
    <xf numFmtId="3" fontId="36" fillId="9" borderId="1" xfId="5" applyNumberFormat="1" applyFont="1" applyFill="1" applyBorder="1"/>
    <xf numFmtId="3" fontId="7" fillId="9" borderId="1" xfId="5" applyNumberFormat="1" applyFont="1" applyFill="1" applyBorder="1"/>
    <xf numFmtId="4" fontId="36" fillId="9" borderId="1" xfId="5" applyNumberFormat="1" applyFont="1" applyFill="1" applyBorder="1"/>
    <xf numFmtId="4" fontId="27" fillId="9" borderId="1" xfId="5" applyNumberFormat="1" applyFont="1" applyFill="1" applyBorder="1"/>
    <xf numFmtId="3" fontId="13" fillId="3" borderId="26" xfId="9" applyNumberFormat="1" applyFont="1" applyFill="1" applyBorder="1"/>
    <xf numFmtId="3" fontId="13" fillId="3" borderId="21" xfId="9" applyNumberFormat="1" applyFont="1" applyFill="1" applyBorder="1"/>
    <xf numFmtId="4" fontId="13" fillId="3" borderId="21" xfId="9" applyNumberFormat="1" applyFont="1" applyFill="1" applyBorder="1"/>
    <xf numFmtId="3" fontId="13" fillId="7" borderId="47" xfId="9" applyNumberFormat="1" applyFont="1" applyFill="1" applyBorder="1"/>
    <xf numFmtId="4" fontId="13" fillId="7" borderId="47" xfId="9" applyNumberFormat="1" applyFont="1" applyFill="1" applyBorder="1"/>
    <xf numFmtId="0" fontId="22" fillId="8" borderId="19" xfId="8" applyFont="1" applyFill="1" applyBorder="1" applyAlignment="1">
      <alignment horizontal="center"/>
    </xf>
    <xf numFmtId="0" fontId="27" fillId="0" borderId="7" xfId="9" applyFont="1" applyBorder="1"/>
    <xf numFmtId="0" fontId="27" fillId="0" borderId="10" xfId="9" applyFont="1" applyBorder="1"/>
    <xf numFmtId="0" fontId="27" fillId="3" borderId="8" xfId="9" applyFont="1" applyFill="1" applyBorder="1" applyAlignment="1">
      <alignment horizontal="center"/>
    </xf>
    <xf numFmtId="0" fontId="14" fillId="3" borderId="67" xfId="9" applyFont="1" applyFill="1" applyBorder="1" applyAlignment="1">
      <alignment horizontal="left"/>
    </xf>
    <xf numFmtId="0" fontId="14" fillId="3" borderId="67" xfId="9" applyFont="1" applyFill="1" applyBorder="1"/>
    <xf numFmtId="0" fontId="8" fillId="3" borderId="67" xfId="9" applyFont="1" applyFill="1" applyBorder="1"/>
    <xf numFmtId="0" fontId="8" fillId="3" borderId="8" xfId="9" applyFont="1" applyFill="1" applyBorder="1" applyAlignment="1">
      <alignment horizontal="center"/>
    </xf>
    <xf numFmtId="0" fontId="27" fillId="3" borderId="26" xfId="9" applyFont="1" applyFill="1" applyBorder="1" applyAlignment="1">
      <alignment horizontal="center"/>
    </xf>
    <xf numFmtId="0" fontId="14" fillId="3" borderId="54" xfId="9" applyFont="1" applyFill="1" applyBorder="1"/>
    <xf numFmtId="0" fontId="13" fillId="7" borderId="19" xfId="9" applyFont="1" applyFill="1" applyBorder="1"/>
    <xf numFmtId="4" fontId="13" fillId="3" borderId="30" xfId="9" applyNumberFormat="1" applyFont="1" applyFill="1" applyBorder="1"/>
    <xf numFmtId="4" fontId="13" fillId="7" borderId="61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4" fontId="12" fillId="3" borderId="9" xfId="9" applyNumberFormat="1" applyFont="1" applyFill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37" fillId="3" borderId="9" xfId="5" applyNumberFormat="1" applyFont="1" applyFill="1" applyBorder="1"/>
    <xf numFmtId="4" fontId="13" fillId="3" borderId="13" xfId="5" applyNumberFormat="1" applyFont="1" applyFill="1" applyBorder="1"/>
    <xf numFmtId="3" fontId="22" fillId="10" borderId="34" xfId="5" applyNumberFormat="1" applyFont="1" applyFill="1" applyBorder="1" applyAlignment="1">
      <alignment horizontal="center"/>
    </xf>
    <xf numFmtId="3" fontId="22" fillId="10" borderId="18" xfId="5" applyNumberFormat="1" applyFont="1" applyFill="1" applyBorder="1" applyAlignment="1">
      <alignment horizontal="center"/>
    </xf>
    <xf numFmtId="3" fontId="13" fillId="7" borderId="33" xfId="9" applyNumberFormat="1" applyFont="1" applyFill="1" applyBorder="1"/>
    <xf numFmtId="3" fontId="13" fillId="7" borderId="34" xfId="9" applyNumberFormat="1" applyFont="1" applyFill="1" applyBorder="1"/>
    <xf numFmtId="4" fontId="13" fillId="7" borderId="34" xfId="9" applyNumberFormat="1" applyFont="1" applyFill="1" applyBorder="1"/>
    <xf numFmtId="4" fontId="13" fillId="7" borderId="35" xfId="9" applyNumberFormat="1" applyFont="1" applyFill="1" applyBorder="1"/>
    <xf numFmtId="3" fontId="8" fillId="0" borderId="23" xfId="0" applyNumberFormat="1" applyFont="1" applyBorder="1"/>
    <xf numFmtId="3" fontId="8" fillId="0" borderId="24" xfId="0" applyNumberFormat="1" applyFont="1" applyBorder="1"/>
    <xf numFmtId="4" fontId="8" fillId="0" borderId="24" xfId="0" applyNumberFormat="1" applyFont="1" applyBorder="1"/>
    <xf numFmtId="4" fontId="8" fillId="0" borderId="25" xfId="0" applyNumberFormat="1" applyFont="1" applyBorder="1"/>
    <xf numFmtId="3" fontId="15" fillId="10" borderId="18" xfId="0" applyNumberFormat="1" applyFont="1" applyFill="1" applyBorder="1"/>
    <xf numFmtId="3" fontId="12" fillId="10" borderId="18" xfId="2" applyNumberFormat="1" applyFont="1" applyFill="1" applyBorder="1"/>
    <xf numFmtId="3" fontId="13" fillId="10" borderId="18" xfId="9" applyNumberFormat="1" applyFont="1" applyFill="1" applyBorder="1"/>
    <xf numFmtId="3" fontId="36" fillId="0" borderId="10" xfId="5" applyNumberFormat="1" applyFont="1" applyBorder="1"/>
    <xf numFmtId="3" fontId="15" fillId="10" borderId="17" xfId="0" applyNumberFormat="1" applyFont="1" applyFill="1" applyBorder="1"/>
    <xf numFmtId="4" fontId="15" fillId="10" borderId="19" xfId="0" applyNumberFormat="1" applyFont="1" applyFill="1" applyBorder="1"/>
    <xf numFmtId="3" fontId="0" fillId="0" borderId="1" xfId="0" applyNumberFormat="1" applyBorder="1"/>
    <xf numFmtId="4" fontId="39" fillId="7" borderId="61" xfId="5" applyNumberFormat="1" applyFont="1" applyFill="1" applyBorder="1"/>
    <xf numFmtId="4" fontId="39" fillId="10" borderId="19" xfId="5" applyNumberFormat="1" applyFont="1" applyFill="1" applyBorder="1"/>
    <xf numFmtId="3" fontId="14" fillId="10" borderId="23" xfId="14" applyNumberFormat="1" applyFont="1" applyFill="1" applyBorder="1" applyAlignment="1">
      <alignment horizontal="center" wrapText="1"/>
    </xf>
    <xf numFmtId="3" fontId="14" fillId="10" borderId="24" xfId="14" applyNumberFormat="1" applyFont="1" applyFill="1" applyBorder="1" applyAlignment="1">
      <alignment horizontal="center"/>
    </xf>
    <xf numFmtId="4" fontId="14" fillId="10" borderId="25" xfId="14" applyNumberFormat="1" applyFont="1" applyFill="1" applyBorder="1" applyAlignment="1">
      <alignment horizontal="center" wrapText="1"/>
    </xf>
    <xf numFmtId="3" fontId="13" fillId="10" borderId="9" xfId="5" applyNumberFormat="1" applyFont="1" applyFill="1" applyBorder="1"/>
    <xf numFmtId="3" fontId="13" fillId="10" borderId="9" xfId="5" applyNumberFormat="1" applyFont="1" applyFill="1" applyBorder="1" applyAlignment="1">
      <alignment horizontal="right"/>
    </xf>
    <xf numFmtId="3" fontId="37" fillId="10" borderId="9" xfId="5" applyNumberFormat="1" applyFont="1" applyFill="1" applyBorder="1"/>
    <xf numFmtId="3" fontId="13" fillId="10" borderId="13" xfId="5" applyNumberFormat="1" applyFont="1" applyFill="1" applyBorder="1"/>
    <xf numFmtId="3" fontId="22" fillId="10" borderId="33" xfId="5" applyNumberFormat="1" applyFont="1" applyFill="1" applyBorder="1" applyAlignment="1">
      <alignment horizontal="center"/>
    </xf>
    <xf numFmtId="4" fontId="22" fillId="10" borderId="35" xfId="5" applyNumberFormat="1" applyFont="1" applyFill="1" applyBorder="1" applyAlignment="1">
      <alignment horizontal="center"/>
    </xf>
    <xf numFmtId="3" fontId="39" fillId="10" borderId="40" xfId="5" applyNumberFormat="1" applyFont="1" applyFill="1" applyBorder="1"/>
    <xf numFmtId="3" fontId="39" fillId="10" borderId="20" xfId="5" applyNumberFormat="1" applyFont="1" applyFill="1" applyBorder="1"/>
    <xf numFmtId="3" fontId="21" fillId="0" borderId="6" xfId="0" applyNumberFormat="1" applyFont="1" applyBorder="1"/>
    <xf numFmtId="3" fontId="21" fillId="0" borderId="9" xfId="0" applyNumberFormat="1" applyFont="1" applyBorder="1"/>
    <xf numFmtId="3" fontId="21" fillId="0" borderId="13" xfId="0" applyNumberFormat="1" applyFont="1" applyBorder="1"/>
    <xf numFmtId="3" fontId="15" fillId="10" borderId="20" xfId="0" applyNumberFormat="1" applyFont="1" applyFill="1" applyBorder="1"/>
    <xf numFmtId="3" fontId="15" fillId="10" borderId="40" xfId="0" applyNumberFormat="1" applyFont="1" applyFill="1" applyBorder="1"/>
    <xf numFmtId="3" fontId="21" fillId="0" borderId="2" xfId="0" applyNumberFormat="1" applyFont="1" applyBorder="1"/>
    <xf numFmtId="3" fontId="21" fillId="0" borderId="3" xfId="0" applyNumberFormat="1" applyFont="1" applyBorder="1"/>
    <xf numFmtId="3" fontId="21" fillId="0" borderId="16" xfId="0" applyNumberFormat="1" applyFont="1" applyBorder="1"/>
    <xf numFmtId="4" fontId="14" fillId="3" borderId="9" xfId="5" applyNumberFormat="1" applyFont="1" applyFill="1" applyBorder="1"/>
    <xf numFmtId="4" fontId="14" fillId="3" borderId="9" xfId="5" applyNumberFormat="1" applyFont="1" applyFill="1" applyBorder="1" applyAlignment="1">
      <alignment horizontal="right"/>
    </xf>
    <xf numFmtId="4" fontId="14" fillId="3" borderId="13" xfId="5" applyNumberFormat="1" applyFont="1" applyFill="1" applyBorder="1"/>
    <xf numFmtId="3" fontId="14" fillId="10" borderId="1" xfId="5" applyNumberFormat="1" applyFont="1" applyFill="1" applyBorder="1"/>
    <xf numFmtId="3" fontId="14" fillId="10" borderId="1" xfId="5" applyNumberFormat="1" applyFont="1" applyFill="1" applyBorder="1" applyAlignment="1">
      <alignment horizontal="right"/>
    </xf>
    <xf numFmtId="3" fontId="22" fillId="10" borderId="17" xfId="5" applyNumberFormat="1" applyFont="1" applyFill="1" applyBorder="1" applyAlignment="1">
      <alignment horizontal="center"/>
    </xf>
    <xf numFmtId="3" fontId="14" fillId="10" borderId="21" xfId="5" applyNumberFormat="1" applyFont="1" applyFill="1" applyBorder="1"/>
    <xf numFmtId="3" fontId="14" fillId="10" borderId="17" xfId="5" applyNumberFormat="1" applyFont="1" applyFill="1" applyBorder="1"/>
    <xf numFmtId="3" fontId="14" fillId="10" borderId="18" xfId="5" applyNumberFormat="1" applyFont="1" applyFill="1" applyBorder="1"/>
    <xf numFmtId="4" fontId="22" fillId="10" borderId="19" xfId="5" applyNumberFormat="1" applyFont="1" applyFill="1" applyBorder="1" applyAlignment="1">
      <alignment horizontal="center"/>
    </xf>
    <xf numFmtId="3" fontId="12" fillId="10" borderId="1" xfId="2" applyNumberFormat="1" applyFont="1" applyFill="1" applyBorder="1"/>
    <xf numFmtId="3" fontId="12" fillId="10" borderId="21" xfId="2" applyNumberFormat="1" applyFont="1" applyFill="1" applyBorder="1"/>
    <xf numFmtId="3" fontId="13" fillId="10" borderId="1" xfId="9" applyNumberFormat="1" applyFont="1" applyFill="1" applyBorder="1"/>
    <xf numFmtId="3" fontId="13" fillId="10" borderId="1" xfId="0" applyNumberFormat="1" applyFont="1" applyFill="1" applyBorder="1" applyAlignment="1">
      <alignment horizontal="right"/>
    </xf>
    <xf numFmtId="3" fontId="13" fillId="10" borderId="1" xfId="0" applyNumberFormat="1" applyFont="1" applyFill="1" applyBorder="1"/>
    <xf numFmtId="3" fontId="13" fillId="10" borderId="21" xfId="0" applyNumberFormat="1" applyFont="1" applyFill="1" applyBorder="1" applyAlignment="1">
      <alignment horizontal="right"/>
    </xf>
    <xf numFmtId="3" fontId="13" fillId="10" borderId="17" xfId="0" applyNumberFormat="1" applyFont="1" applyFill="1" applyBorder="1" applyAlignment="1">
      <alignment horizontal="right"/>
    </xf>
    <xf numFmtId="3" fontId="13" fillId="10" borderId="18" xfId="0" applyNumberFormat="1" applyFont="1" applyFill="1" applyBorder="1" applyAlignment="1">
      <alignment horizontal="right"/>
    </xf>
    <xf numFmtId="3" fontId="13" fillId="10" borderId="21" xfId="0" applyNumberFormat="1" applyFont="1" applyFill="1" applyBorder="1"/>
    <xf numFmtId="3" fontId="13" fillId="10" borderId="17" xfId="0" applyNumberFormat="1" applyFont="1" applyFill="1" applyBorder="1"/>
    <xf numFmtId="3" fontId="13" fillId="10" borderId="18" xfId="0" applyNumberFormat="1" applyFont="1" applyFill="1" applyBorder="1"/>
    <xf numFmtId="3" fontId="24" fillId="10" borderId="1" xfId="9" applyNumberFormat="1" applyFont="1" applyFill="1" applyBorder="1"/>
    <xf numFmtId="3" fontId="4" fillId="0" borderId="1" xfId="9" applyNumberFormat="1" applyBorder="1"/>
    <xf numFmtId="3" fontId="24" fillId="10" borderId="21" xfId="9" applyNumberFormat="1" applyFont="1" applyFill="1" applyBorder="1"/>
    <xf numFmtId="3" fontId="24" fillId="10" borderId="17" xfId="9" applyNumberFormat="1" applyFont="1" applyFill="1" applyBorder="1"/>
    <xf numFmtId="3" fontId="24" fillId="10" borderId="18" xfId="9" applyNumberFormat="1" applyFont="1" applyFill="1" applyBorder="1"/>
    <xf numFmtId="3" fontId="14" fillId="10" borderId="1" xfId="9" applyNumberFormat="1" applyFont="1" applyFill="1" applyBorder="1"/>
    <xf numFmtId="3" fontId="14" fillId="10" borderId="1" xfId="9" applyNumberFormat="1" applyFont="1" applyFill="1" applyBorder="1" applyAlignment="1">
      <alignment horizontal="right"/>
    </xf>
    <xf numFmtId="3" fontId="13" fillId="10" borderId="1" xfId="9" applyNumberFormat="1" applyFont="1" applyFill="1" applyBorder="1" applyAlignment="1">
      <alignment horizontal="right"/>
    </xf>
    <xf numFmtId="3" fontId="13" fillId="10" borderId="21" xfId="9" applyNumberFormat="1" applyFont="1" applyFill="1" applyBorder="1"/>
    <xf numFmtId="3" fontId="13" fillId="10" borderId="17" xfId="9" applyNumberFormat="1" applyFont="1" applyFill="1" applyBorder="1"/>
    <xf numFmtId="4" fontId="13" fillId="10" borderId="19" xfId="9" applyNumberFormat="1" applyFont="1" applyFill="1" applyBorder="1"/>
    <xf numFmtId="3" fontId="12" fillId="10" borderId="1" xfId="9" applyNumberFormat="1" applyFont="1" applyFill="1" applyBorder="1" applyAlignment="1">
      <alignment horizontal="right"/>
    </xf>
    <xf numFmtId="3" fontId="12" fillId="10" borderId="1" xfId="9" applyNumberFormat="1" applyFont="1" applyFill="1" applyBorder="1"/>
    <xf numFmtId="3" fontId="27" fillId="0" borderId="1" xfId="9" applyNumberFormat="1" applyFont="1" applyBorder="1"/>
    <xf numFmtId="3" fontId="24" fillId="10" borderId="47" xfId="9" applyNumberFormat="1" applyFont="1" applyFill="1" applyBorder="1"/>
    <xf numFmtId="4" fontId="7" fillId="0" borderId="9" xfId="0" applyNumberFormat="1" applyFont="1" applyBorder="1"/>
    <xf numFmtId="3" fontId="27" fillId="8" borderId="33" xfId="5" applyNumberFormat="1" applyFont="1" applyFill="1" applyBorder="1" applyAlignment="1">
      <alignment horizontal="center"/>
    </xf>
    <xf numFmtId="3" fontId="27" fillId="8" borderId="34" xfId="5" applyNumberFormat="1" applyFont="1" applyFill="1" applyBorder="1" applyAlignment="1">
      <alignment horizontal="center"/>
    </xf>
    <xf numFmtId="4" fontId="27" fillId="8" borderId="56" xfId="5" applyNumberFormat="1" applyFont="1" applyFill="1" applyBorder="1" applyAlignment="1">
      <alignment horizontal="center"/>
    </xf>
    <xf numFmtId="4" fontId="27" fillId="8" borderId="34" xfId="5" applyNumberFormat="1" applyFont="1" applyFill="1" applyBorder="1" applyAlignment="1">
      <alignment horizontal="center"/>
    </xf>
    <xf numFmtId="4" fontId="27" fillId="8" borderId="35" xfId="5" applyNumberFormat="1" applyFont="1" applyFill="1" applyBorder="1" applyAlignment="1">
      <alignment horizontal="center"/>
    </xf>
    <xf numFmtId="3" fontId="14" fillId="6" borderId="38" xfId="5" applyNumberFormat="1" applyFont="1" applyFill="1" applyBorder="1"/>
    <xf numFmtId="3" fontId="14" fillId="6" borderId="47" xfId="5" applyNumberFormat="1" applyFont="1" applyFill="1" applyBorder="1"/>
    <xf numFmtId="4" fontId="14" fillId="6" borderId="47" xfId="5" applyNumberFormat="1" applyFont="1" applyFill="1" applyBorder="1"/>
    <xf numFmtId="4" fontId="14" fillId="6" borderId="61" xfId="5" applyNumberFormat="1" applyFont="1" applyFill="1" applyBorder="1"/>
    <xf numFmtId="3" fontId="7" fillId="0" borderId="24" xfId="0" applyNumberFormat="1" applyFont="1" applyBorder="1"/>
    <xf numFmtId="3" fontId="14" fillId="3" borderId="11" xfId="5" applyNumberFormat="1" applyFont="1" applyFill="1" applyBorder="1"/>
    <xf numFmtId="4" fontId="14" fillId="3" borderId="14" xfId="5" applyNumberFormat="1" applyFont="1" applyFill="1" applyBorder="1"/>
    <xf numFmtId="3" fontId="7" fillId="0" borderId="0" xfId="0" applyNumberFormat="1" applyFont="1"/>
    <xf numFmtId="3" fontId="24" fillId="5" borderId="47" xfId="9" applyNumberFormat="1" applyFont="1" applyFill="1" applyBorder="1"/>
    <xf numFmtId="4" fontId="24" fillId="5" borderId="47" xfId="9" applyNumberFormat="1" applyFont="1" applyFill="1" applyBorder="1"/>
    <xf numFmtId="4" fontId="27" fillId="0" borderId="32" xfId="5" applyNumberFormat="1" applyFont="1" applyBorder="1"/>
    <xf numFmtId="4" fontId="27" fillId="0" borderId="9" xfId="5" applyNumberFormat="1" applyFont="1" applyBorder="1"/>
    <xf numFmtId="3" fontId="15" fillId="4" borderId="33" xfId="0" applyNumberFormat="1" applyFont="1" applyFill="1" applyBorder="1"/>
    <xf numFmtId="3" fontId="15" fillId="4" borderId="34" xfId="0" applyNumberFormat="1" applyFont="1" applyFill="1" applyBorder="1"/>
    <xf numFmtId="4" fontId="15" fillId="4" borderId="34" xfId="0" applyNumberFormat="1" applyFont="1" applyFill="1" applyBorder="1"/>
    <xf numFmtId="3" fontId="39" fillId="4" borderId="47" xfId="5" applyNumberFormat="1" applyFont="1" applyFill="1" applyBorder="1"/>
    <xf numFmtId="3" fontId="24" fillId="4" borderId="70" xfId="9" applyNumberFormat="1" applyFont="1" applyFill="1" applyBorder="1"/>
    <xf numFmtId="3" fontId="13" fillId="4" borderId="18" xfId="9" applyNumberFormat="1" applyFont="1" applyFill="1" applyBorder="1"/>
    <xf numFmtId="4" fontId="15" fillId="4" borderId="36" xfId="0" applyNumberFormat="1" applyFont="1" applyFill="1" applyBorder="1"/>
    <xf numFmtId="4" fontId="14" fillId="6" borderId="44" xfId="5" applyNumberFormat="1" applyFont="1" applyFill="1" applyBorder="1"/>
    <xf numFmtId="4" fontId="36" fillId="0" borderId="6" xfId="5" applyNumberFormat="1" applyFont="1" applyBorder="1"/>
    <xf numFmtId="4" fontId="13" fillId="3" borderId="30" xfId="0" applyNumberFormat="1" applyFont="1" applyFill="1" applyBorder="1" applyAlignment="1">
      <alignment horizontal="right"/>
    </xf>
    <xf numFmtId="4" fontId="13" fillId="3" borderId="6" xfId="0" applyNumberFormat="1" applyFont="1" applyFill="1" applyBorder="1"/>
    <xf numFmtId="2" fontId="36" fillId="0" borderId="32" xfId="5" applyNumberFormat="1" applyFont="1" applyBorder="1"/>
    <xf numFmtId="2" fontId="36" fillId="0" borderId="6" xfId="5" applyNumberFormat="1" applyFont="1" applyBorder="1"/>
    <xf numFmtId="2" fontId="36" fillId="0" borderId="9" xfId="5" applyNumberFormat="1" applyFont="1" applyBorder="1"/>
    <xf numFmtId="4" fontId="24" fillId="5" borderId="44" xfId="9" applyNumberFormat="1" applyFont="1" applyFill="1" applyBorder="1"/>
    <xf numFmtId="4" fontId="36" fillId="9" borderId="9" xfId="5" applyNumberFormat="1" applyFont="1" applyFill="1" applyBorder="1"/>
    <xf numFmtId="3" fontId="13" fillId="4" borderId="47" xfId="9" applyNumberFormat="1" applyFont="1" applyFill="1" applyBorder="1"/>
    <xf numFmtId="4" fontId="13" fillId="3" borderId="13" xfId="9" applyNumberFormat="1" applyFont="1" applyFill="1" applyBorder="1"/>
    <xf numFmtId="4" fontId="13" fillId="7" borderId="63" xfId="9" applyNumberFormat="1" applyFont="1" applyFill="1" applyBorder="1"/>
    <xf numFmtId="3" fontId="39" fillId="7" borderId="60" xfId="5" applyNumberFormat="1" applyFont="1" applyFill="1" applyBorder="1"/>
    <xf numFmtId="0" fontId="8" fillId="9" borderId="28" xfId="9" applyFont="1" applyFill="1" applyBorder="1"/>
    <xf numFmtId="0" fontId="27" fillId="9" borderId="28" xfId="9" applyFont="1" applyFill="1" applyBorder="1"/>
    <xf numFmtId="3" fontId="8" fillId="0" borderId="46" xfId="5" applyNumberFormat="1" applyFont="1" applyBorder="1"/>
    <xf numFmtId="3" fontId="8" fillId="0" borderId="28" xfId="5" applyNumberFormat="1" applyFont="1" applyBorder="1"/>
    <xf numFmtId="3" fontId="13" fillId="7" borderId="70" xfId="9" applyNumberFormat="1" applyFont="1" applyFill="1" applyBorder="1"/>
    <xf numFmtId="3" fontId="14" fillId="3" borderId="28" xfId="9" applyNumberFormat="1" applyFont="1" applyFill="1" applyBorder="1"/>
    <xf numFmtId="3" fontId="14" fillId="3" borderId="28" xfId="9" applyNumberFormat="1" applyFont="1" applyFill="1" applyBorder="1" applyAlignment="1">
      <alignment horizontal="right"/>
    </xf>
    <xf numFmtId="3" fontId="24" fillId="3" borderId="28" xfId="9" applyNumberFormat="1" applyFont="1" applyFill="1" applyBorder="1"/>
    <xf numFmtId="3" fontId="24" fillId="3" borderId="41" xfId="9" applyNumberFormat="1" applyFont="1" applyFill="1" applyBorder="1"/>
    <xf numFmtId="3" fontId="8" fillId="0" borderId="46" xfId="0" applyNumberFormat="1" applyFont="1" applyBorder="1"/>
    <xf numFmtId="4" fontId="15" fillId="4" borderId="35" xfId="0" applyNumberFormat="1" applyFont="1" applyFill="1" applyBorder="1"/>
    <xf numFmtId="4" fontId="8" fillId="0" borderId="32" xfId="0" applyNumberFormat="1" applyFont="1" applyBorder="1"/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37" fillId="3" borderId="28" xfId="5" applyNumberFormat="1" applyFont="1" applyFill="1" applyBorder="1"/>
    <xf numFmtId="3" fontId="13" fillId="3" borderId="41" xfId="5" applyNumberFormat="1" applyFont="1" applyFill="1" applyBorder="1"/>
    <xf numFmtId="3" fontId="14" fillId="3" borderId="28" xfId="5" applyNumberFormat="1" applyFont="1" applyFill="1" applyBorder="1"/>
    <xf numFmtId="3" fontId="14" fillId="3" borderId="28" xfId="5" applyNumberFormat="1" applyFont="1" applyFill="1" applyBorder="1" applyAlignment="1">
      <alignment horizontal="right"/>
    </xf>
    <xf numFmtId="3" fontId="14" fillId="3" borderId="41" xfId="5" applyNumberFormat="1" applyFont="1" applyFill="1" applyBorder="1"/>
    <xf numFmtId="3" fontId="12" fillId="3" borderId="28" xfId="2" applyNumberFormat="1" applyFont="1" applyFill="1" applyBorder="1"/>
    <xf numFmtId="0" fontId="13" fillId="3" borderId="10" xfId="5" applyFont="1" applyFill="1" applyBorder="1" applyAlignment="1">
      <alignment horizontal="left"/>
    </xf>
    <xf numFmtId="0" fontId="7" fillId="0" borderId="28" xfId="5" applyFont="1" applyBorder="1" applyAlignment="1">
      <alignment horizontal="center"/>
    </xf>
    <xf numFmtId="3" fontId="13" fillId="10" borderId="3" xfId="5" applyNumberFormat="1" applyFont="1" applyFill="1" applyBorder="1"/>
    <xf numFmtId="3" fontId="13" fillId="10" borderId="3" xfId="5" applyNumberFormat="1" applyFont="1" applyFill="1" applyBorder="1" applyAlignment="1">
      <alignment horizontal="right"/>
    </xf>
    <xf numFmtId="3" fontId="37" fillId="10" borderId="3" xfId="5" applyNumberFormat="1" applyFont="1" applyFill="1" applyBorder="1"/>
    <xf numFmtId="3" fontId="13" fillId="10" borderId="16" xfId="5" applyNumberFormat="1" applyFont="1" applyFill="1" applyBorder="1"/>
    <xf numFmtId="3" fontId="14" fillId="10" borderId="8" xfId="5" applyNumberFormat="1" applyFont="1" applyFill="1" applyBorder="1"/>
    <xf numFmtId="3" fontId="14" fillId="10" borderId="8" xfId="5" applyNumberFormat="1" applyFont="1" applyFill="1" applyBorder="1" applyAlignment="1">
      <alignment horizontal="right"/>
    </xf>
    <xf numFmtId="3" fontId="14" fillId="10" borderId="26" xfId="5" applyNumberFormat="1" applyFont="1" applyFill="1" applyBorder="1"/>
    <xf numFmtId="4" fontId="14" fillId="10" borderId="19" xfId="5" applyNumberFormat="1" applyFont="1" applyFill="1" applyBorder="1"/>
    <xf numFmtId="3" fontId="12" fillId="10" borderId="8" xfId="2" applyNumberFormat="1" applyFont="1" applyFill="1" applyBorder="1"/>
    <xf numFmtId="4" fontId="12" fillId="10" borderId="10" xfId="2" applyNumberFormat="1" applyFont="1" applyFill="1" applyBorder="1"/>
    <xf numFmtId="3" fontId="14" fillId="0" borderId="8" xfId="0" applyNumberFormat="1" applyFont="1" applyBorder="1"/>
    <xf numFmtId="4" fontId="0" fillId="0" borderId="10" xfId="0" applyNumberFormat="1" applyBorder="1"/>
    <xf numFmtId="4" fontId="12" fillId="10" borderId="27" xfId="2" applyNumberFormat="1" applyFont="1" applyFill="1" applyBorder="1"/>
    <xf numFmtId="3" fontId="13" fillId="10" borderId="8" xfId="0" applyNumberFormat="1" applyFont="1" applyFill="1" applyBorder="1" applyAlignment="1">
      <alignment horizontal="right"/>
    </xf>
    <xf numFmtId="4" fontId="13" fillId="10" borderId="10" xfId="0" applyNumberFormat="1" applyFont="1" applyFill="1" applyBorder="1" applyAlignment="1">
      <alignment horizontal="right"/>
    </xf>
    <xf numFmtId="3" fontId="13" fillId="10" borderId="8" xfId="0" applyNumberFormat="1" applyFont="1" applyFill="1" applyBorder="1"/>
    <xf numFmtId="4" fontId="13" fillId="10" borderId="10" xfId="0" applyNumberFormat="1" applyFont="1" applyFill="1" applyBorder="1"/>
    <xf numFmtId="3" fontId="13" fillId="10" borderId="26" xfId="0" applyNumberFormat="1" applyFont="1" applyFill="1" applyBorder="1" applyAlignment="1">
      <alignment horizontal="right"/>
    </xf>
    <xf numFmtId="4" fontId="13" fillId="10" borderId="27" xfId="0" applyNumberFormat="1" applyFont="1" applyFill="1" applyBorder="1" applyAlignment="1">
      <alignment horizontal="right"/>
    </xf>
    <xf numFmtId="4" fontId="13" fillId="10" borderId="19" xfId="0" applyNumberFormat="1" applyFont="1" applyFill="1" applyBorder="1" applyAlignment="1">
      <alignment horizontal="right"/>
    </xf>
    <xf numFmtId="3" fontId="13" fillId="10" borderId="26" xfId="0" applyNumberFormat="1" applyFont="1" applyFill="1" applyBorder="1"/>
    <xf numFmtId="4" fontId="13" fillId="10" borderId="27" xfId="0" applyNumberFormat="1" applyFont="1" applyFill="1" applyBorder="1"/>
    <xf numFmtId="4" fontId="13" fillId="10" borderId="19" xfId="0" applyNumberFormat="1" applyFont="1" applyFill="1" applyBorder="1"/>
    <xf numFmtId="3" fontId="13" fillId="10" borderId="50" xfId="0" applyNumberFormat="1" applyFont="1" applyFill="1" applyBorder="1"/>
    <xf numFmtId="3" fontId="13" fillId="10" borderId="53" xfId="0" applyNumberFormat="1" applyFont="1" applyFill="1" applyBorder="1"/>
    <xf numFmtId="4" fontId="13" fillId="10" borderId="73" xfId="0" applyNumberFormat="1" applyFont="1" applyFill="1" applyBorder="1"/>
    <xf numFmtId="4" fontId="24" fillId="5" borderId="61" xfId="9" applyNumberFormat="1" applyFont="1" applyFill="1" applyBorder="1"/>
    <xf numFmtId="3" fontId="24" fillId="5" borderId="44" xfId="9" applyNumberFormat="1" applyFont="1" applyFill="1" applyBorder="1"/>
    <xf numFmtId="4" fontId="13" fillId="10" borderId="10" xfId="9" applyNumberFormat="1" applyFont="1" applyFill="1" applyBorder="1"/>
    <xf numFmtId="3" fontId="24" fillId="10" borderId="8" xfId="9" applyNumberFormat="1" applyFont="1" applyFill="1" applyBorder="1"/>
    <xf numFmtId="4" fontId="24" fillId="10" borderId="10" xfId="9" applyNumberFormat="1" applyFont="1" applyFill="1" applyBorder="1"/>
    <xf numFmtId="4" fontId="4" fillId="0" borderId="10" xfId="9" applyNumberFormat="1" applyBorder="1"/>
    <xf numFmtId="3" fontId="24" fillId="10" borderId="26" xfId="9" applyNumberFormat="1" applyFont="1" applyFill="1" applyBorder="1"/>
    <xf numFmtId="4" fontId="24" fillId="10" borderId="27" xfId="9" applyNumberFormat="1" applyFont="1" applyFill="1" applyBorder="1"/>
    <xf numFmtId="4" fontId="24" fillId="10" borderId="19" xfId="9" applyNumberFormat="1" applyFont="1" applyFill="1" applyBorder="1"/>
    <xf numFmtId="4" fontId="14" fillId="10" borderId="10" xfId="9" applyNumberFormat="1" applyFont="1" applyFill="1" applyBorder="1"/>
    <xf numFmtId="4" fontId="14" fillId="10" borderId="10" xfId="9" applyNumberFormat="1" applyFont="1" applyFill="1" applyBorder="1" applyAlignment="1">
      <alignment horizontal="right"/>
    </xf>
    <xf numFmtId="4" fontId="27" fillId="0" borderId="10" xfId="9" applyNumberFormat="1" applyFont="1" applyBorder="1"/>
    <xf numFmtId="4" fontId="24" fillId="10" borderId="63" xfId="9" applyNumberFormat="1" applyFont="1" applyFill="1" applyBorder="1"/>
    <xf numFmtId="4" fontId="13" fillId="10" borderId="10" xfId="9" applyNumberFormat="1" applyFont="1" applyFill="1" applyBorder="1" applyAlignment="1">
      <alignment horizontal="right"/>
    </xf>
    <xf numFmtId="4" fontId="13" fillId="10" borderId="27" xfId="9" applyNumberFormat="1" applyFont="1" applyFill="1" applyBorder="1"/>
    <xf numFmtId="4" fontId="36" fillId="0" borderId="7" xfId="5" applyNumberFormat="1" applyFont="1" applyBorder="1"/>
    <xf numFmtId="4" fontId="12" fillId="10" borderId="10" xfId="9" applyNumberFormat="1" applyFont="1" applyFill="1" applyBorder="1" applyAlignment="1">
      <alignment horizontal="right"/>
    </xf>
    <xf numFmtId="4" fontId="12" fillId="10" borderId="10" xfId="9" applyNumberFormat="1" applyFont="1" applyFill="1" applyBorder="1"/>
    <xf numFmtId="3" fontId="8" fillId="0" borderId="5" xfId="5" applyNumberFormat="1" applyFont="1" applyBorder="1"/>
    <xf numFmtId="3" fontId="8" fillId="0" borderId="37" xfId="5" applyNumberFormat="1" applyFont="1" applyBorder="1"/>
    <xf numFmtId="4" fontId="8" fillId="0" borderId="5" xfId="5" applyNumberFormat="1" applyFont="1" applyBorder="1"/>
    <xf numFmtId="3" fontId="14" fillId="10" borderId="28" xfId="9" applyNumberFormat="1" applyFont="1" applyFill="1" applyBorder="1"/>
    <xf numFmtId="3" fontId="14" fillId="10" borderId="28" xfId="9" applyNumberFormat="1" applyFont="1" applyFill="1" applyBorder="1" applyAlignment="1">
      <alignment horizontal="right"/>
    </xf>
    <xf numFmtId="3" fontId="4" fillId="0" borderId="28" xfId="9" applyNumberFormat="1" applyBorder="1"/>
    <xf numFmtId="3" fontId="27" fillId="0" borderId="28" xfId="9" applyNumberFormat="1" applyFont="1" applyBorder="1"/>
    <xf numFmtId="3" fontId="14" fillId="0" borderId="28" xfId="0" applyNumberFormat="1" applyFont="1" applyBorder="1"/>
    <xf numFmtId="3" fontId="24" fillId="10" borderId="28" xfId="9" applyNumberFormat="1" applyFont="1" applyFill="1" applyBorder="1"/>
    <xf numFmtId="3" fontId="24" fillId="10" borderId="70" xfId="9" applyNumberFormat="1" applyFont="1" applyFill="1" applyBorder="1"/>
    <xf numFmtId="3" fontId="4" fillId="9" borderId="0" xfId="9" applyNumberFormat="1" applyFill="1"/>
    <xf numFmtId="4" fontId="8" fillId="0" borderId="7" xfId="5" applyNumberFormat="1" applyFont="1" applyBorder="1"/>
    <xf numFmtId="3" fontId="12" fillId="3" borderId="29" xfId="2" applyNumberFormat="1" applyFont="1" applyFill="1" applyBorder="1"/>
    <xf numFmtId="3" fontId="36" fillId="0" borderId="50" xfId="5" applyNumberFormat="1" applyFont="1" applyBorder="1"/>
    <xf numFmtId="4" fontId="13" fillId="3" borderId="27" xfId="0" applyNumberFormat="1" applyFont="1" applyFill="1" applyBorder="1" applyAlignment="1">
      <alignment horizontal="right"/>
    </xf>
    <xf numFmtId="3" fontId="13" fillId="3" borderId="29" xfId="0" applyNumberFormat="1" applyFont="1" applyFill="1" applyBorder="1" applyAlignment="1">
      <alignment horizontal="right"/>
    </xf>
    <xf numFmtId="3" fontId="36" fillId="0" borderId="52" xfId="5" applyNumberFormat="1" applyFont="1" applyBorder="1"/>
    <xf numFmtId="3" fontId="13" fillId="3" borderId="29" xfId="0" applyNumberFormat="1" applyFont="1" applyFill="1" applyBorder="1"/>
    <xf numFmtId="3" fontId="13" fillId="3" borderId="21" xfId="0" applyNumberFormat="1" applyFont="1" applyFill="1" applyBorder="1"/>
    <xf numFmtId="4" fontId="13" fillId="3" borderId="21" xfId="0" applyNumberFormat="1" applyFont="1" applyFill="1" applyBorder="1"/>
    <xf numFmtId="4" fontId="13" fillId="3" borderId="30" xfId="0" applyNumberFormat="1" applyFont="1" applyFill="1" applyBorder="1"/>
    <xf numFmtId="4" fontId="13" fillId="3" borderId="27" xfId="0" applyNumberFormat="1" applyFont="1" applyFill="1" applyBorder="1"/>
    <xf numFmtId="3" fontId="36" fillId="0" borderId="37" xfId="5" applyNumberFormat="1" applyFont="1" applyBorder="1"/>
    <xf numFmtId="3" fontId="13" fillId="4" borderId="17" xfId="0" applyNumberFormat="1" applyFont="1" applyFill="1" applyBorder="1"/>
    <xf numFmtId="3" fontId="13" fillId="4" borderId="22" xfId="0" applyNumberFormat="1" applyFont="1" applyFill="1" applyBorder="1"/>
    <xf numFmtId="4" fontId="13" fillId="4" borderId="22" xfId="0" applyNumberFormat="1" applyFont="1" applyFill="1" applyBorder="1"/>
    <xf numFmtId="4" fontId="13" fillId="4" borderId="72" xfId="0" applyNumberFormat="1" applyFont="1" applyFill="1" applyBorder="1"/>
    <xf numFmtId="3" fontId="36" fillId="0" borderId="26" xfId="5" applyNumberFormat="1" applyFont="1" applyBorder="1"/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3" fontId="12" fillId="10" borderId="18" xfId="0" applyNumberFormat="1" applyFont="1" applyFill="1" applyBorder="1" applyAlignment="1">
      <alignment horizontal="right"/>
    </xf>
    <xf numFmtId="3" fontId="15" fillId="10" borderId="34" xfId="0" applyNumberFormat="1" applyFont="1" applyFill="1" applyBorder="1"/>
    <xf numFmtId="4" fontId="12" fillId="4" borderId="20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4" fillId="11" borderId="23" xfId="14" applyNumberFormat="1" applyFont="1" applyFill="1" applyBorder="1" applyAlignment="1">
      <alignment horizontal="center" wrapText="1"/>
    </xf>
    <xf numFmtId="3" fontId="14" fillId="11" borderId="24" xfId="14" applyNumberFormat="1" applyFont="1" applyFill="1" applyBorder="1" applyAlignment="1">
      <alignment horizontal="center"/>
    </xf>
    <xf numFmtId="4" fontId="14" fillId="11" borderId="25" xfId="14" applyNumberFormat="1" applyFont="1" applyFill="1" applyBorder="1" applyAlignment="1">
      <alignment horizontal="center" wrapText="1"/>
    </xf>
    <xf numFmtId="3" fontId="22" fillId="11" borderId="33" xfId="5" applyNumberFormat="1" applyFont="1" applyFill="1" applyBorder="1" applyAlignment="1">
      <alignment horizontal="center"/>
    </xf>
    <xf numFmtId="3" fontId="22" fillId="11" borderId="34" xfId="5" applyNumberFormat="1" applyFont="1" applyFill="1" applyBorder="1" applyAlignment="1">
      <alignment horizontal="center"/>
    </xf>
    <xf numFmtId="4" fontId="22" fillId="11" borderId="35" xfId="5" applyNumberFormat="1" applyFont="1" applyFill="1" applyBorder="1" applyAlignment="1">
      <alignment horizontal="center"/>
    </xf>
    <xf numFmtId="3" fontId="14" fillId="11" borderId="32" xfId="14" applyNumberFormat="1" applyFont="1" applyFill="1" applyBorder="1" applyAlignment="1">
      <alignment horizontal="center"/>
    </xf>
    <xf numFmtId="4" fontId="13" fillId="11" borderId="10" xfId="5" applyNumberFormat="1" applyFont="1" applyFill="1" applyBorder="1"/>
    <xf numFmtId="4" fontId="13" fillId="11" borderId="10" xfId="5" applyNumberFormat="1" applyFont="1" applyFill="1" applyBorder="1" applyAlignment="1">
      <alignment horizontal="right"/>
    </xf>
    <xf numFmtId="4" fontId="37" fillId="11" borderId="10" xfId="5" applyNumberFormat="1" applyFont="1" applyFill="1" applyBorder="1"/>
    <xf numFmtId="4" fontId="13" fillId="11" borderId="14" xfId="5" applyNumberFormat="1" applyFont="1" applyFill="1" applyBorder="1"/>
    <xf numFmtId="3" fontId="22" fillId="11" borderId="17" xfId="5" applyNumberFormat="1" applyFont="1" applyFill="1" applyBorder="1" applyAlignment="1">
      <alignment horizontal="center"/>
    </xf>
    <xf numFmtId="3" fontId="22" fillId="11" borderId="18" xfId="5" applyNumberFormat="1" applyFont="1" applyFill="1" applyBorder="1" applyAlignment="1">
      <alignment horizontal="center"/>
    </xf>
    <xf numFmtId="4" fontId="22" fillId="11" borderId="19" xfId="5" applyNumberFormat="1" applyFont="1" applyFill="1" applyBorder="1" applyAlignment="1">
      <alignment horizontal="center"/>
    </xf>
    <xf numFmtId="3" fontId="15" fillId="11" borderId="20" xfId="0" applyNumberFormat="1" applyFont="1" applyFill="1" applyBorder="1"/>
    <xf numFmtId="4" fontId="15" fillId="11" borderId="19" xfId="0" applyNumberFormat="1" applyFont="1" applyFill="1" applyBorder="1"/>
    <xf numFmtId="3" fontId="15" fillId="11" borderId="40" xfId="0" applyNumberFormat="1" applyFont="1" applyFill="1" applyBorder="1"/>
    <xf numFmtId="3" fontId="14" fillId="11" borderId="8" xfId="5" applyNumberFormat="1" applyFont="1" applyFill="1" applyBorder="1"/>
    <xf numFmtId="3" fontId="14" fillId="11" borderId="1" xfId="5" applyNumberFormat="1" applyFont="1" applyFill="1" applyBorder="1"/>
    <xf numFmtId="4" fontId="14" fillId="11" borderId="10" xfId="5" applyNumberFormat="1" applyFont="1" applyFill="1" applyBorder="1"/>
    <xf numFmtId="3" fontId="14" fillId="11" borderId="8" xfId="5" applyNumberFormat="1" applyFont="1" applyFill="1" applyBorder="1" applyAlignment="1">
      <alignment horizontal="right"/>
    </xf>
    <xf numFmtId="3" fontId="14" fillId="11" borderId="1" xfId="5" applyNumberFormat="1" applyFont="1" applyFill="1" applyBorder="1" applyAlignment="1">
      <alignment horizontal="right"/>
    </xf>
    <xf numFmtId="4" fontId="14" fillId="11" borderId="10" xfId="5" applyNumberFormat="1" applyFont="1" applyFill="1" applyBorder="1" applyAlignment="1">
      <alignment horizontal="right"/>
    </xf>
    <xf numFmtId="3" fontId="15" fillId="11" borderId="17" xfId="0" applyNumberFormat="1" applyFont="1" applyFill="1" applyBorder="1"/>
    <xf numFmtId="3" fontId="15" fillId="11" borderId="18" xfId="0" applyNumberFormat="1" applyFont="1" applyFill="1" applyBorder="1"/>
    <xf numFmtId="3" fontId="22" fillId="8" borderId="35" xfId="5" applyNumberFormat="1" applyFont="1" applyFill="1" applyBorder="1" applyAlignment="1">
      <alignment horizontal="center"/>
    </xf>
    <xf numFmtId="3" fontId="12" fillId="11" borderId="8" xfId="2" applyNumberFormat="1" applyFont="1" applyFill="1" applyBorder="1"/>
    <xf numFmtId="3" fontId="12" fillId="11" borderId="1" xfId="2" applyNumberFormat="1" applyFont="1" applyFill="1" applyBorder="1"/>
    <xf numFmtId="4" fontId="12" fillId="11" borderId="10" xfId="2" applyNumberFormat="1" applyFont="1" applyFill="1" applyBorder="1"/>
    <xf numFmtId="3" fontId="12" fillId="11" borderId="26" xfId="2" applyNumberFormat="1" applyFont="1" applyFill="1" applyBorder="1"/>
    <xf numFmtId="3" fontId="12" fillId="11" borderId="21" xfId="2" applyNumberFormat="1" applyFont="1" applyFill="1" applyBorder="1"/>
    <xf numFmtId="4" fontId="12" fillId="11" borderId="27" xfId="2" applyNumberFormat="1" applyFont="1" applyFill="1" applyBorder="1"/>
    <xf numFmtId="3" fontId="13" fillId="4" borderId="70" xfId="0" applyNumberFormat="1" applyFont="1" applyFill="1" applyBorder="1" applyAlignment="1">
      <alignment horizontal="right"/>
    </xf>
    <xf numFmtId="4" fontId="13" fillId="4" borderId="70" xfId="0" applyNumberFormat="1" applyFont="1" applyFill="1" applyBorder="1" applyAlignment="1">
      <alignment horizontal="right"/>
    </xf>
    <xf numFmtId="4" fontId="13" fillId="4" borderId="45" xfId="0" applyNumberFormat="1" applyFont="1" applyFill="1" applyBorder="1" applyAlignment="1">
      <alignment horizontal="right"/>
    </xf>
    <xf numFmtId="3" fontId="13" fillId="3" borderId="11" xfId="0" applyNumberFormat="1" applyFont="1" applyFill="1" applyBorder="1" applyAlignment="1">
      <alignment horizontal="right"/>
    </xf>
    <xf numFmtId="3" fontId="13" fillId="3" borderId="12" xfId="0" applyNumberFormat="1" applyFont="1" applyFill="1" applyBorder="1" applyAlignment="1">
      <alignment horizontal="right"/>
    </xf>
    <xf numFmtId="3" fontId="13" fillId="3" borderId="11" xfId="0" applyNumberFormat="1" applyFont="1" applyFill="1" applyBorder="1"/>
    <xf numFmtId="3" fontId="13" fillId="3" borderId="12" xfId="0" applyNumberFormat="1" applyFont="1" applyFill="1" applyBorder="1"/>
    <xf numFmtId="3" fontId="13" fillId="4" borderId="70" xfId="0" applyNumberFormat="1" applyFont="1" applyFill="1" applyBorder="1"/>
    <xf numFmtId="4" fontId="13" fillId="4" borderId="70" xfId="0" applyNumberFormat="1" applyFont="1" applyFill="1" applyBorder="1"/>
    <xf numFmtId="4" fontId="13" fillId="4" borderId="45" xfId="0" applyNumberFormat="1" applyFont="1" applyFill="1" applyBorder="1"/>
    <xf numFmtId="4" fontId="13" fillId="3" borderId="12" xfId="0" applyNumberFormat="1" applyFont="1" applyFill="1" applyBorder="1"/>
    <xf numFmtId="4" fontId="13" fillId="3" borderId="14" xfId="0" applyNumberFormat="1" applyFont="1" applyFill="1" applyBorder="1"/>
    <xf numFmtId="4" fontId="13" fillId="3" borderId="12" xfId="0" applyNumberFormat="1" applyFont="1" applyFill="1" applyBorder="1" applyAlignment="1">
      <alignment horizontal="right"/>
    </xf>
    <xf numFmtId="4" fontId="13" fillId="3" borderId="14" xfId="0" applyNumberFormat="1" applyFont="1" applyFill="1" applyBorder="1" applyAlignment="1">
      <alignment horizontal="right"/>
    </xf>
    <xf numFmtId="3" fontId="13" fillId="11" borderId="8" xfId="0" applyNumberFormat="1" applyFont="1" applyFill="1" applyBorder="1" applyAlignment="1">
      <alignment horizontal="right"/>
    </xf>
    <xf numFmtId="3" fontId="13" fillId="11" borderId="1" xfId="0" applyNumberFormat="1" applyFont="1" applyFill="1" applyBorder="1" applyAlignment="1">
      <alignment horizontal="right"/>
    </xf>
    <xf numFmtId="4" fontId="13" fillId="11" borderId="10" xfId="0" applyNumberFormat="1" applyFont="1" applyFill="1" applyBorder="1" applyAlignment="1">
      <alignment horizontal="right"/>
    </xf>
    <xf numFmtId="3" fontId="13" fillId="11" borderId="8" xfId="0" applyNumberFormat="1" applyFont="1" applyFill="1" applyBorder="1"/>
    <xf numFmtId="3" fontId="13" fillId="11" borderId="1" xfId="0" applyNumberFormat="1" applyFont="1" applyFill="1" applyBorder="1"/>
    <xf numFmtId="4" fontId="13" fillId="11" borderId="10" xfId="0" applyNumberFormat="1" applyFont="1" applyFill="1" applyBorder="1"/>
    <xf numFmtId="3" fontId="13" fillId="11" borderId="26" xfId="0" applyNumberFormat="1" applyFont="1" applyFill="1" applyBorder="1" applyAlignment="1">
      <alignment horizontal="right"/>
    </xf>
    <xf numFmtId="3" fontId="13" fillId="11" borderId="21" xfId="0" applyNumberFormat="1" applyFont="1" applyFill="1" applyBorder="1" applyAlignment="1">
      <alignment horizontal="right"/>
    </xf>
    <xf numFmtId="4" fontId="13" fillId="11" borderId="27" xfId="0" applyNumberFormat="1" applyFont="1" applyFill="1" applyBorder="1" applyAlignment="1">
      <alignment horizontal="right"/>
    </xf>
    <xf numFmtId="3" fontId="13" fillId="11" borderId="17" xfId="0" applyNumberFormat="1" applyFont="1" applyFill="1" applyBorder="1" applyAlignment="1">
      <alignment horizontal="right"/>
    </xf>
    <xf numFmtId="3" fontId="13" fillId="11" borderId="18" xfId="0" applyNumberFormat="1" applyFont="1" applyFill="1" applyBorder="1" applyAlignment="1">
      <alignment horizontal="right"/>
    </xf>
    <xf numFmtId="4" fontId="13" fillId="11" borderId="19" xfId="0" applyNumberFormat="1" applyFont="1" applyFill="1" applyBorder="1" applyAlignment="1">
      <alignment horizontal="right"/>
    </xf>
    <xf numFmtId="3" fontId="13" fillId="11" borderId="26" xfId="0" applyNumberFormat="1" applyFont="1" applyFill="1" applyBorder="1"/>
    <xf numFmtId="3" fontId="13" fillId="11" borderId="21" xfId="0" applyNumberFormat="1" applyFont="1" applyFill="1" applyBorder="1"/>
    <xf numFmtId="3" fontId="13" fillId="11" borderId="17" xfId="0" applyNumberFormat="1" applyFont="1" applyFill="1" applyBorder="1"/>
    <xf numFmtId="3" fontId="13" fillId="11" borderId="18" xfId="0" applyNumberFormat="1" applyFont="1" applyFill="1" applyBorder="1"/>
    <xf numFmtId="4" fontId="13" fillId="11" borderId="19" xfId="9" applyNumberFormat="1" applyFont="1" applyFill="1" applyBorder="1"/>
    <xf numFmtId="4" fontId="14" fillId="11" borderId="10" xfId="9" applyNumberFormat="1" applyFont="1" applyFill="1" applyBorder="1"/>
    <xf numFmtId="4" fontId="14" fillId="11" borderId="10" xfId="9" applyNumberFormat="1" applyFont="1" applyFill="1" applyBorder="1" applyAlignment="1">
      <alignment horizontal="right"/>
    </xf>
    <xf numFmtId="4" fontId="24" fillId="11" borderId="10" xfId="9" applyNumberFormat="1" applyFont="1" applyFill="1" applyBorder="1"/>
    <xf numFmtId="4" fontId="24" fillId="11" borderId="63" xfId="9" applyNumberFormat="1" applyFont="1" applyFill="1" applyBorder="1"/>
    <xf numFmtId="4" fontId="24" fillId="11" borderId="19" xfId="9" applyNumberFormat="1" applyFont="1" applyFill="1" applyBorder="1"/>
    <xf numFmtId="4" fontId="24" fillId="11" borderId="27" xfId="9" applyNumberFormat="1" applyFont="1" applyFill="1" applyBorder="1"/>
    <xf numFmtId="3" fontId="12" fillId="10" borderId="28" xfId="9" applyNumberFormat="1" applyFont="1" applyFill="1" applyBorder="1" applyAlignment="1">
      <alignment horizontal="right"/>
    </xf>
    <xf numFmtId="3" fontId="13" fillId="10" borderId="28" xfId="9" applyNumberFormat="1" applyFont="1" applyFill="1" applyBorder="1"/>
    <xf numFmtId="3" fontId="12" fillId="10" borderId="28" xfId="9" applyNumberFormat="1" applyFont="1" applyFill="1" applyBorder="1"/>
    <xf numFmtId="3" fontId="13" fillId="10" borderId="28" xfId="9" applyNumberFormat="1" applyFont="1" applyFill="1" applyBorder="1" applyAlignment="1">
      <alignment horizontal="right"/>
    </xf>
    <xf numFmtId="3" fontId="13" fillId="10" borderId="29" xfId="9" applyNumberFormat="1" applyFont="1" applyFill="1" applyBorder="1"/>
    <xf numFmtId="3" fontId="12" fillId="11" borderId="18" xfId="0" applyNumberFormat="1" applyFont="1" applyFill="1" applyBorder="1" applyAlignment="1">
      <alignment horizontal="right"/>
    </xf>
    <xf numFmtId="3" fontId="14" fillId="11" borderId="47" xfId="5" applyNumberFormat="1" applyFont="1" applyFill="1" applyBorder="1"/>
    <xf numFmtId="3" fontId="15" fillId="11" borderId="34" xfId="0" applyNumberFormat="1" applyFont="1" applyFill="1" applyBorder="1"/>
    <xf numFmtId="4" fontId="13" fillId="10" borderId="9" xfId="5" applyNumberFormat="1" applyFont="1" applyFill="1" applyBorder="1"/>
    <xf numFmtId="4" fontId="13" fillId="10" borderId="9" xfId="5" applyNumberFormat="1" applyFont="1" applyFill="1" applyBorder="1" applyAlignment="1">
      <alignment horizontal="right"/>
    </xf>
    <xf numFmtId="4" fontId="37" fillId="10" borderId="9" xfId="5" applyNumberFormat="1" applyFont="1" applyFill="1" applyBorder="1"/>
    <xf numFmtId="4" fontId="13" fillId="10" borderId="13" xfId="5" applyNumberFormat="1" applyFont="1" applyFill="1" applyBorder="1"/>
    <xf numFmtId="3" fontId="39" fillId="11" borderId="60" xfId="5" applyNumberFormat="1" applyFont="1" applyFill="1" applyBorder="1"/>
    <xf numFmtId="3" fontId="39" fillId="11" borderId="61" xfId="5" applyNumberFormat="1" applyFont="1" applyFill="1" applyBorder="1"/>
    <xf numFmtId="3" fontId="13" fillId="11" borderId="1" xfId="5" applyNumberFormat="1" applyFont="1" applyFill="1" applyBorder="1"/>
    <xf numFmtId="3" fontId="13" fillId="11" borderId="1" xfId="5" applyNumberFormat="1" applyFont="1" applyFill="1" applyBorder="1" applyAlignment="1">
      <alignment horizontal="right"/>
    </xf>
    <xf numFmtId="3" fontId="37" fillId="11" borderId="1" xfId="5" applyNumberFormat="1" applyFont="1" applyFill="1" applyBorder="1"/>
    <xf numFmtId="3" fontId="13" fillId="11" borderId="8" xfId="5" applyNumberFormat="1" applyFont="1" applyFill="1" applyBorder="1"/>
    <xf numFmtId="3" fontId="13" fillId="11" borderId="8" xfId="5" applyNumberFormat="1" applyFont="1" applyFill="1" applyBorder="1" applyAlignment="1">
      <alignment horizontal="right"/>
    </xf>
    <xf numFmtId="3" fontId="37" fillId="11" borderId="8" xfId="5" applyNumberFormat="1" applyFont="1" applyFill="1" applyBorder="1"/>
    <xf numFmtId="3" fontId="13" fillId="11" borderId="11" xfId="5" applyNumberFormat="1" applyFont="1" applyFill="1" applyBorder="1"/>
    <xf numFmtId="3" fontId="13" fillId="11" borderId="12" xfId="5" applyNumberFormat="1" applyFont="1" applyFill="1" applyBorder="1"/>
    <xf numFmtId="4" fontId="14" fillId="10" borderId="9" xfId="5" applyNumberFormat="1" applyFont="1" applyFill="1" applyBorder="1"/>
    <xf numFmtId="4" fontId="14" fillId="10" borderId="9" xfId="5" applyNumberFormat="1" applyFont="1" applyFill="1" applyBorder="1" applyAlignment="1">
      <alignment horizontal="right"/>
    </xf>
    <xf numFmtId="4" fontId="14" fillId="10" borderId="30" xfId="5" applyNumberFormat="1" applyFont="1" applyFill="1" applyBorder="1"/>
    <xf numFmtId="3" fontId="14" fillId="11" borderId="38" xfId="5" applyNumberFormat="1" applyFont="1" applyFill="1" applyBorder="1"/>
    <xf numFmtId="4" fontId="14" fillId="11" borderId="63" xfId="5" applyNumberFormat="1" applyFont="1" applyFill="1" applyBorder="1"/>
    <xf numFmtId="3" fontId="14" fillId="11" borderId="11" xfId="5" applyNumberFormat="1" applyFont="1" applyFill="1" applyBorder="1"/>
    <xf numFmtId="3" fontId="14" fillId="11" borderId="12" xfId="5" applyNumberFormat="1" applyFont="1" applyFill="1" applyBorder="1"/>
    <xf numFmtId="4" fontId="14" fillId="11" borderId="14" xfId="5" applyNumberFormat="1" applyFont="1" applyFill="1" applyBorder="1"/>
    <xf numFmtId="1" fontId="4" fillId="0" borderId="0" xfId="9" applyNumberFormat="1"/>
    <xf numFmtId="3" fontId="2" fillId="0" borderId="0" xfId="9" applyNumberFormat="1" applyFont="1"/>
    <xf numFmtId="4" fontId="2" fillId="0" borderId="0" xfId="9" applyNumberFormat="1" applyFont="1"/>
    <xf numFmtId="2" fontId="2" fillId="0" borderId="0" xfId="9" applyNumberFormat="1" applyFont="1"/>
    <xf numFmtId="1" fontId="14" fillId="11" borderId="23" xfId="14" applyNumberFormat="1" applyFont="1" applyFill="1" applyBorder="1" applyAlignment="1">
      <alignment horizontal="center" wrapText="1"/>
    </xf>
    <xf numFmtId="1" fontId="14" fillId="11" borderId="24" xfId="14" applyNumberFormat="1" applyFont="1" applyFill="1" applyBorder="1" applyAlignment="1">
      <alignment horizontal="center"/>
    </xf>
    <xf numFmtId="1" fontId="14" fillId="11" borderId="32" xfId="14" applyNumberFormat="1" applyFont="1" applyFill="1" applyBorder="1" applyAlignment="1">
      <alignment horizontal="center"/>
    </xf>
    <xf numFmtId="1" fontId="22" fillId="11" borderId="17" xfId="5" applyNumberFormat="1" applyFont="1" applyFill="1" applyBorder="1" applyAlignment="1">
      <alignment horizontal="center"/>
    </xf>
    <xf numFmtId="1" fontId="22" fillId="11" borderId="18" xfId="5" applyNumberFormat="1" applyFont="1" applyFill="1" applyBorder="1" applyAlignment="1">
      <alignment horizontal="center"/>
    </xf>
    <xf numFmtId="4" fontId="27" fillId="0" borderId="25" xfId="5" applyNumberFormat="1" applyFont="1" applyBorder="1"/>
    <xf numFmtId="3" fontId="14" fillId="10" borderId="8" xfId="9" applyNumberFormat="1" applyFont="1" applyFill="1" applyBorder="1"/>
    <xf numFmtId="1" fontId="14" fillId="11" borderId="10" xfId="9" applyNumberFormat="1" applyFont="1" applyFill="1" applyBorder="1"/>
    <xf numFmtId="4" fontId="27" fillId="0" borderId="10" xfId="5" applyNumberFormat="1" applyFont="1" applyBorder="1"/>
    <xf numFmtId="1" fontId="24" fillId="11" borderId="10" xfId="9" applyNumberFormat="1" applyFont="1" applyFill="1" applyBorder="1"/>
    <xf numFmtId="3" fontId="51" fillId="0" borderId="1" xfId="9" applyNumberFormat="1" applyFont="1" applyBorder="1"/>
    <xf numFmtId="4" fontId="51" fillId="0" borderId="10" xfId="9" applyNumberFormat="1" applyFont="1" applyBorder="1"/>
    <xf numFmtId="3" fontId="51" fillId="0" borderId="8" xfId="9" applyNumberFormat="1" applyFont="1" applyBorder="1"/>
    <xf numFmtId="3" fontId="27" fillId="0" borderId="8" xfId="9" applyNumberFormat="1" applyFont="1" applyBorder="1"/>
    <xf numFmtId="1" fontId="24" fillId="11" borderId="27" xfId="9" applyNumberFormat="1" applyFont="1" applyFill="1" applyBorder="1"/>
    <xf numFmtId="3" fontId="24" fillId="11" borderId="19" xfId="9" applyNumberFormat="1" applyFont="1" applyFill="1" applyBorder="1"/>
    <xf numFmtId="3" fontId="11" fillId="0" borderId="0" xfId="0" applyNumberFormat="1" applyFont="1"/>
    <xf numFmtId="4" fontId="11" fillId="0" borderId="0" xfId="0" applyNumberFormat="1" applyFont="1"/>
    <xf numFmtId="1" fontId="15" fillId="11" borderId="19" xfId="0" applyNumberFormat="1" applyFont="1" applyFill="1" applyBorder="1"/>
    <xf numFmtId="3" fontId="2" fillId="9" borderId="0" xfId="9" applyNumberFormat="1" applyFont="1" applyFill="1"/>
    <xf numFmtId="3" fontId="27" fillId="0" borderId="46" xfId="5" applyNumberFormat="1" applyFont="1" applyBorder="1"/>
    <xf numFmtId="3" fontId="27" fillId="0" borderId="28" xfId="5" applyNumberFormat="1" applyFont="1" applyBorder="1"/>
    <xf numFmtId="3" fontId="14" fillId="11" borderId="10" xfId="9" applyNumberFormat="1" applyFont="1" applyFill="1" applyBorder="1"/>
    <xf numFmtId="3" fontId="14" fillId="11" borderId="10" xfId="9" applyNumberFormat="1" applyFont="1" applyFill="1" applyBorder="1" applyAlignment="1">
      <alignment horizontal="right"/>
    </xf>
    <xf numFmtId="0" fontId="27" fillId="0" borderId="0" xfId="9" applyFont="1"/>
    <xf numFmtId="3" fontId="51" fillId="0" borderId="28" xfId="9" applyNumberFormat="1" applyFont="1" applyBorder="1"/>
    <xf numFmtId="3" fontId="11" fillId="0" borderId="1" xfId="0" applyNumberFormat="1" applyFont="1" applyBorder="1"/>
    <xf numFmtId="4" fontId="11" fillId="0" borderId="10" xfId="0" applyNumberFormat="1" applyFont="1" applyBorder="1"/>
    <xf numFmtId="3" fontId="24" fillId="11" borderId="10" xfId="9" applyNumberFormat="1" applyFont="1" applyFill="1" applyBorder="1"/>
    <xf numFmtId="3" fontId="24" fillId="11" borderId="63" xfId="9" applyNumberFormat="1" applyFont="1" applyFill="1" applyBorder="1"/>
    <xf numFmtId="3" fontId="15" fillId="11" borderId="19" xfId="0" applyNumberFormat="1" applyFont="1" applyFill="1" applyBorder="1"/>
    <xf numFmtId="3" fontId="14" fillId="10" borderId="8" xfId="9" applyNumberFormat="1" applyFont="1" applyFill="1" applyBorder="1" applyAlignment="1">
      <alignment horizontal="right"/>
    </xf>
    <xf numFmtId="3" fontId="14" fillId="3" borderId="11" xfId="9" applyNumberFormat="1" applyFont="1" applyFill="1" applyBorder="1"/>
    <xf numFmtId="3" fontId="14" fillId="3" borderId="12" xfId="9" applyNumberFormat="1" applyFont="1" applyFill="1" applyBorder="1"/>
    <xf numFmtId="4" fontId="14" fillId="3" borderId="12" xfId="9" applyNumberFormat="1" applyFont="1" applyFill="1" applyBorder="1"/>
    <xf numFmtId="4" fontId="14" fillId="3" borderId="14" xfId="9" applyNumberFormat="1" applyFont="1" applyFill="1" applyBorder="1"/>
    <xf numFmtId="3" fontId="14" fillId="3" borderId="41" xfId="9" applyNumberFormat="1" applyFont="1" applyFill="1" applyBorder="1"/>
    <xf numFmtId="3" fontId="14" fillId="10" borderId="26" xfId="9" applyNumberFormat="1" applyFont="1" applyFill="1" applyBorder="1"/>
    <xf numFmtId="3" fontId="14" fillId="10" borderId="21" xfId="9" applyNumberFormat="1" applyFont="1" applyFill="1" applyBorder="1"/>
    <xf numFmtId="4" fontId="14" fillId="10" borderId="27" xfId="9" applyNumberFormat="1" applyFont="1" applyFill="1" applyBorder="1"/>
    <xf numFmtId="3" fontId="14" fillId="11" borderId="27" xfId="9" applyNumberFormat="1" applyFont="1" applyFill="1" applyBorder="1"/>
    <xf numFmtId="4" fontId="14" fillId="11" borderId="27" xfId="9" applyNumberFormat="1" applyFont="1" applyFill="1" applyBorder="1"/>
    <xf numFmtId="3" fontId="13" fillId="11" borderId="19" xfId="9" applyNumberFormat="1" applyFont="1" applyFill="1" applyBorder="1"/>
    <xf numFmtId="3" fontId="2" fillId="0" borderId="0" xfId="9" applyNumberFormat="1" applyFont="1" applyAlignment="1">
      <alignment horizontal="right"/>
    </xf>
    <xf numFmtId="4" fontId="2" fillId="0" borderId="0" xfId="9" applyNumberFormat="1" applyFont="1" applyAlignment="1">
      <alignment horizontal="right"/>
    </xf>
    <xf numFmtId="3" fontId="2" fillId="9" borderId="0" xfId="9" applyNumberFormat="1" applyFont="1" applyFill="1" applyAlignment="1">
      <alignment horizontal="right"/>
    </xf>
    <xf numFmtId="3" fontId="52" fillId="0" borderId="4" xfId="5" applyNumberFormat="1" applyFont="1" applyBorder="1"/>
    <xf numFmtId="3" fontId="52" fillId="0" borderId="5" xfId="5" applyNumberFormat="1" applyFont="1" applyBorder="1"/>
    <xf numFmtId="3" fontId="52" fillId="0" borderId="8" xfId="5" applyNumberFormat="1" applyFont="1" applyBorder="1"/>
    <xf numFmtId="3" fontId="52" fillId="0" borderId="1" xfId="5" applyNumberFormat="1" applyFont="1" applyBorder="1"/>
    <xf numFmtId="3" fontId="12" fillId="11" borderId="10" xfId="9" applyNumberFormat="1" applyFont="1" applyFill="1" applyBorder="1" applyAlignment="1">
      <alignment horizontal="right"/>
    </xf>
    <xf numFmtId="3" fontId="13" fillId="11" borderId="10" xfId="9" applyNumberFormat="1" applyFont="1" applyFill="1" applyBorder="1"/>
    <xf numFmtId="3" fontId="12" fillId="11" borderId="10" xfId="9" applyNumberFormat="1" applyFont="1" applyFill="1" applyBorder="1"/>
    <xf numFmtId="3" fontId="52" fillId="0" borderId="28" xfId="5" applyNumberFormat="1" applyFont="1" applyBorder="1"/>
    <xf numFmtId="3" fontId="13" fillId="11" borderId="10" xfId="9" applyNumberFormat="1" applyFont="1" applyFill="1" applyBorder="1" applyAlignment="1">
      <alignment horizontal="right"/>
    </xf>
    <xf numFmtId="0" fontId="52" fillId="0" borderId="0" xfId="9" applyFont="1"/>
    <xf numFmtId="3" fontId="52" fillId="0" borderId="8" xfId="9" applyNumberFormat="1" applyFont="1" applyBorder="1"/>
    <xf numFmtId="3" fontId="52" fillId="0" borderId="1" xfId="9" applyNumberFormat="1" applyFont="1" applyBorder="1"/>
    <xf numFmtId="3" fontId="53" fillId="0" borderId="8" xfId="0" applyNumberFormat="1" applyFont="1" applyBorder="1"/>
    <xf numFmtId="3" fontId="54" fillId="0" borderId="1" xfId="0" applyNumberFormat="1" applyFont="1" applyBorder="1"/>
    <xf numFmtId="3" fontId="13" fillId="11" borderId="27" xfId="9" applyNumberFormat="1" applyFont="1" applyFill="1" applyBorder="1"/>
    <xf numFmtId="0" fontId="4" fillId="9" borderId="0" xfId="9" applyFill="1"/>
    <xf numFmtId="3" fontId="9" fillId="0" borderId="1" xfId="0" applyNumberFormat="1" applyFont="1" applyBorder="1" applyAlignment="1">
      <alignment horizontal="right"/>
    </xf>
    <xf numFmtId="3" fontId="12" fillId="10" borderId="29" xfId="2" applyNumberFormat="1" applyFont="1" applyFill="1" applyBorder="1"/>
    <xf numFmtId="3" fontId="12" fillId="12" borderId="21" xfId="2" applyNumberFormat="1" applyFont="1" applyFill="1" applyBorder="1"/>
    <xf numFmtId="4" fontId="12" fillId="10" borderId="18" xfId="2" applyNumberFormat="1" applyFont="1" applyFill="1" applyBorder="1"/>
    <xf numFmtId="3" fontId="12" fillId="12" borderId="18" xfId="2" applyNumberFormat="1" applyFont="1" applyFill="1" applyBorder="1"/>
    <xf numFmtId="4" fontId="12" fillId="12" borderId="19" xfId="2" applyNumberFormat="1" applyFont="1" applyFill="1" applyBorder="1"/>
    <xf numFmtId="0" fontId="1" fillId="0" borderId="0" xfId="5" applyFont="1" applyAlignment="1">
      <alignment horizontal="center"/>
    </xf>
    <xf numFmtId="3" fontId="12" fillId="4" borderId="22" xfId="2" applyNumberFormat="1" applyFont="1" applyFill="1" applyBorder="1"/>
    <xf numFmtId="3" fontId="36" fillId="0" borderId="21" xfId="5" applyNumberFormat="1" applyFont="1" applyBorder="1"/>
    <xf numFmtId="4" fontId="36" fillId="0" borderId="21" xfId="5" applyNumberFormat="1" applyFont="1" applyBorder="1"/>
    <xf numFmtId="4" fontId="36" fillId="0" borderId="27" xfId="5" applyNumberFormat="1" applyFont="1" applyBorder="1"/>
    <xf numFmtId="4" fontId="36" fillId="0" borderId="30" xfId="5" applyNumberFormat="1" applyFont="1" applyBorder="1"/>
    <xf numFmtId="3" fontId="36" fillId="0" borderId="29" xfId="5" applyNumberFormat="1" applyFont="1" applyBorder="1"/>
    <xf numFmtId="3" fontId="12" fillId="4" borderId="22" xfId="0" applyNumberFormat="1" applyFont="1" applyFill="1" applyBorder="1" applyAlignment="1">
      <alignment horizontal="right"/>
    </xf>
    <xf numFmtId="3" fontId="15" fillId="4" borderId="56" xfId="0" applyNumberFormat="1" applyFont="1" applyFill="1" applyBorder="1"/>
    <xf numFmtId="3" fontId="14" fillId="11" borderId="46" xfId="14" applyNumberFormat="1" applyFont="1" applyFill="1" applyBorder="1" applyAlignment="1">
      <alignment horizontal="center" wrapText="1"/>
    </xf>
    <xf numFmtId="3" fontId="22" fillId="11" borderId="56" xfId="5" applyNumberFormat="1" applyFont="1" applyFill="1" applyBorder="1" applyAlignment="1">
      <alignment horizontal="center"/>
    </xf>
    <xf numFmtId="3" fontId="12" fillId="11" borderId="22" xfId="0" applyNumberFormat="1" applyFont="1" applyFill="1" applyBorder="1" applyAlignment="1">
      <alignment horizontal="right"/>
    </xf>
    <xf numFmtId="3" fontId="12" fillId="10" borderId="17" xfId="0" applyNumberFormat="1" applyFont="1" applyFill="1" applyBorder="1" applyAlignment="1">
      <alignment horizontal="right"/>
    </xf>
    <xf numFmtId="4" fontId="12" fillId="10" borderId="19" xfId="0" applyNumberFormat="1" applyFont="1" applyFill="1" applyBorder="1" applyAlignment="1">
      <alignment horizontal="right"/>
    </xf>
    <xf numFmtId="3" fontId="15" fillId="11" borderId="56" xfId="0" applyNumberFormat="1" applyFont="1" applyFill="1" applyBorder="1"/>
    <xf numFmtId="3" fontId="15" fillId="10" borderId="33" xfId="0" applyNumberFormat="1" applyFont="1" applyFill="1" applyBorder="1"/>
    <xf numFmtId="4" fontId="15" fillId="10" borderId="35" xfId="0" applyNumberFormat="1" applyFont="1" applyFill="1" applyBorder="1"/>
    <xf numFmtId="0" fontId="49" fillId="0" borderId="0" xfId="0" applyFont="1"/>
    <xf numFmtId="3" fontId="22" fillId="0" borderId="0" xfId="9" applyNumberFormat="1" applyFont="1"/>
    <xf numFmtId="4" fontId="22" fillId="0" borderId="0" xfId="9" applyNumberFormat="1" applyFont="1"/>
    <xf numFmtId="3" fontId="27" fillId="0" borderId="0" xfId="9" applyNumberFormat="1" applyFont="1"/>
    <xf numFmtId="3" fontId="27" fillId="0" borderId="0" xfId="9" applyNumberFormat="1" applyFont="1" applyAlignment="1">
      <alignment horizontal="right"/>
    </xf>
    <xf numFmtId="4" fontId="27" fillId="0" borderId="0" xfId="9" applyNumberFormat="1" applyFont="1"/>
    <xf numFmtId="4" fontId="27" fillId="11" borderId="19" xfId="5" applyNumberFormat="1" applyFont="1" applyFill="1" applyBorder="1" applyAlignment="1">
      <alignment horizontal="center"/>
    </xf>
    <xf numFmtId="4" fontId="27" fillId="0" borderId="7" xfId="5" applyNumberFormat="1" applyFont="1" applyBorder="1"/>
    <xf numFmtId="4" fontId="14" fillId="11" borderId="19" xfId="9" applyNumberFormat="1" applyFont="1" applyFill="1" applyBorder="1"/>
    <xf numFmtId="4" fontId="12" fillId="11" borderId="19" xfId="0" applyNumberFormat="1" applyFont="1" applyFill="1" applyBorder="1" applyAlignment="1">
      <alignment horizontal="right"/>
    </xf>
    <xf numFmtId="4" fontId="14" fillId="0" borderId="0" xfId="0" applyNumberFormat="1" applyFont="1"/>
    <xf numFmtId="4" fontId="15" fillId="11" borderId="35" xfId="0" applyNumberFormat="1" applyFont="1" applyFill="1" applyBorder="1"/>
    <xf numFmtId="4" fontId="39" fillId="11" borderId="63" xfId="5" applyNumberFormat="1" applyFont="1" applyFill="1" applyBorder="1"/>
    <xf numFmtId="4" fontId="13" fillId="11" borderId="27" xfId="0" applyNumberFormat="1" applyFont="1" applyFill="1" applyBorder="1"/>
    <xf numFmtId="4" fontId="13" fillId="11" borderId="19" xfId="0" applyNumberFormat="1" applyFont="1" applyFill="1" applyBorder="1"/>
    <xf numFmtId="4" fontId="12" fillId="12" borderId="21" xfId="2" applyNumberFormat="1" applyFont="1" applyFill="1" applyBorder="1"/>
    <xf numFmtId="3" fontId="12" fillId="3" borderId="28" xfId="9" applyNumberFormat="1" applyFont="1" applyFill="1" applyBorder="1" applyAlignment="1">
      <alignment horizontal="right"/>
    </xf>
    <xf numFmtId="3" fontId="13" fillId="3" borderId="28" xfId="9" applyNumberFormat="1" applyFont="1" applyFill="1" applyBorder="1"/>
    <xf numFmtId="3" fontId="12" fillId="3" borderId="28" xfId="9" applyNumberFormat="1" applyFont="1" applyFill="1" applyBorder="1"/>
    <xf numFmtId="3" fontId="13" fillId="3" borderId="28" xfId="9" applyNumberFormat="1" applyFont="1" applyFill="1" applyBorder="1" applyAlignment="1">
      <alignment horizontal="right"/>
    </xf>
    <xf numFmtId="3" fontId="13" fillId="3" borderId="41" xfId="9" applyNumberFormat="1" applyFont="1" applyFill="1" applyBorder="1"/>
    <xf numFmtId="4" fontId="13" fillId="0" borderId="63" xfId="2" applyNumberFormat="1" applyFont="1" applyBorder="1" applyAlignment="1">
      <alignment horizontal="center" vertical="center" wrapText="1"/>
    </xf>
    <xf numFmtId="3" fontId="8" fillId="0" borderId="29" xfId="5" applyNumberFormat="1" applyFont="1" applyBorder="1"/>
    <xf numFmtId="3" fontId="12" fillId="3" borderId="46" xfId="9" applyNumberFormat="1" applyFont="1" applyFill="1" applyBorder="1" applyAlignment="1">
      <alignment horizontal="right"/>
    </xf>
    <xf numFmtId="3" fontId="27" fillId="8" borderId="18" xfId="5" applyNumberFormat="1" applyFont="1" applyFill="1" applyBorder="1" applyAlignment="1">
      <alignment horizontal="center"/>
    </xf>
    <xf numFmtId="3" fontId="14" fillId="3" borderId="46" xfId="9" applyNumberFormat="1" applyFont="1" applyFill="1" applyBorder="1"/>
    <xf numFmtId="4" fontId="12" fillId="3" borderId="9" xfId="2" applyNumberFormat="1" applyFont="1" applyFill="1" applyBorder="1"/>
    <xf numFmtId="4" fontId="12" fillId="3" borderId="30" xfId="2" applyNumberFormat="1" applyFont="1" applyFill="1" applyBorder="1"/>
    <xf numFmtId="3" fontId="12" fillId="3" borderId="11" xfId="2" applyNumberFormat="1" applyFont="1" applyFill="1" applyBorder="1"/>
    <xf numFmtId="3" fontId="12" fillId="3" borderId="12" xfId="2" applyNumberFormat="1" applyFont="1" applyFill="1" applyBorder="1"/>
    <xf numFmtId="3" fontId="14" fillId="4" borderId="47" xfId="5" applyNumberFormat="1" applyFont="1" applyFill="1" applyBorder="1"/>
    <xf numFmtId="4" fontId="14" fillId="6" borderId="63" xfId="5" applyNumberFormat="1" applyFont="1" applyFill="1" applyBorder="1"/>
    <xf numFmtId="4" fontId="12" fillId="3" borderId="12" xfId="2" applyNumberFormat="1" applyFont="1" applyFill="1" applyBorder="1"/>
    <xf numFmtId="4" fontId="12" fillId="3" borderId="14" xfId="2" applyNumberFormat="1" applyFont="1" applyFill="1" applyBorder="1"/>
    <xf numFmtId="3" fontId="8" fillId="9" borderId="1" xfId="5" applyNumberFormat="1" applyFont="1" applyFill="1" applyBorder="1"/>
    <xf numFmtId="0" fontId="11" fillId="0" borderId="0" xfId="7"/>
    <xf numFmtId="0" fontId="49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6" fillId="0" borderId="0" xfId="0" applyFont="1"/>
    <xf numFmtId="0" fontId="48" fillId="0" borderId="0" xfId="0" applyFont="1"/>
    <xf numFmtId="3" fontId="14" fillId="0" borderId="51" xfId="0" applyNumberFormat="1" applyFont="1" applyBorder="1" applyAlignment="1">
      <alignment horizontal="center" vertical="center" wrapText="1"/>
    </xf>
    <xf numFmtId="3" fontId="14" fillId="0" borderId="21" xfId="0" applyNumberFormat="1" applyFont="1" applyBorder="1" applyAlignment="1">
      <alignment horizontal="center" vertical="center" wrapText="1"/>
    </xf>
    <xf numFmtId="3" fontId="14" fillId="0" borderId="47" xfId="0" applyNumberFormat="1" applyFont="1" applyBorder="1" applyAlignment="1">
      <alignment horizontal="center" vertical="center" wrapText="1"/>
    </xf>
    <xf numFmtId="3" fontId="24" fillId="0" borderId="9" xfId="0" applyNumberFormat="1" applyFont="1" applyBorder="1" applyAlignment="1">
      <alignment horizontal="center" vertical="center" wrapText="1"/>
    </xf>
    <xf numFmtId="3" fontId="24" fillId="0" borderId="28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3" fontId="13" fillId="0" borderId="21" xfId="2" applyNumberFormat="1" applyFont="1" applyBorder="1" applyAlignment="1">
      <alignment horizontal="center" vertical="center" wrapText="1"/>
    </xf>
    <xf numFmtId="3" fontId="13" fillId="0" borderId="47" xfId="2" applyNumberFormat="1" applyFont="1" applyBorder="1" applyAlignment="1">
      <alignment horizontal="center" vertical="center" wrapText="1"/>
    </xf>
    <xf numFmtId="3" fontId="14" fillId="0" borderId="9" xfId="0" applyNumberFormat="1" applyFont="1" applyBorder="1" applyAlignment="1">
      <alignment horizontal="left"/>
    </xf>
    <xf numFmtId="3" fontId="14" fillId="0" borderId="28" xfId="0" applyNumberFormat="1" applyFont="1" applyBorder="1" applyAlignment="1">
      <alignment horizontal="left"/>
    </xf>
    <xf numFmtId="3" fontId="24" fillId="0" borderId="48" xfId="0" applyNumberFormat="1" applyFont="1" applyBorder="1" applyAlignment="1">
      <alignment horizontal="center" vertical="center" wrapText="1"/>
    </xf>
    <xf numFmtId="3" fontId="14" fillId="4" borderId="1" xfId="2" applyNumberFormat="1" applyFont="1" applyFill="1" applyBorder="1" applyAlignment="1">
      <alignment horizontal="center" vertical="center" wrapText="1"/>
    </xf>
    <xf numFmtId="3" fontId="14" fillId="4" borderId="12" xfId="2" applyNumberFormat="1" applyFont="1" applyFill="1" applyBorder="1" applyAlignment="1">
      <alignment horizontal="center" vertical="center" wrapText="1"/>
    </xf>
    <xf numFmtId="3" fontId="14" fillId="5" borderId="21" xfId="0" applyNumberFormat="1" applyFont="1" applyFill="1" applyBorder="1" applyAlignment="1">
      <alignment horizontal="center" vertical="center" wrapText="1"/>
    </xf>
    <xf numFmtId="3" fontId="14" fillId="5" borderId="53" xfId="0" applyNumberFormat="1" applyFont="1" applyFill="1" applyBorder="1" applyAlignment="1">
      <alignment horizontal="center" vertical="center" wrapText="1"/>
    </xf>
    <xf numFmtId="3" fontId="14" fillId="5" borderId="47" xfId="0" applyNumberFormat="1" applyFont="1" applyFill="1" applyBorder="1" applyAlignment="1">
      <alignment horizontal="center" vertical="center" wrapText="1"/>
    </xf>
    <xf numFmtId="3" fontId="45" fillId="4" borderId="58" xfId="0" applyNumberFormat="1" applyFont="1" applyFill="1" applyBorder="1" applyAlignment="1">
      <alignment horizontal="center" wrapText="1"/>
    </xf>
    <xf numFmtId="3" fontId="45" fillId="4" borderId="55" xfId="0" applyNumberFormat="1" applyFont="1" applyFill="1" applyBorder="1" applyAlignment="1">
      <alignment horizontal="center"/>
    </xf>
    <xf numFmtId="3" fontId="45" fillId="4" borderId="57" xfId="0" applyNumberFormat="1" applyFont="1" applyFill="1" applyBorder="1" applyAlignment="1">
      <alignment horizontal="center"/>
    </xf>
    <xf numFmtId="3" fontId="45" fillId="4" borderId="60" xfId="0" applyNumberFormat="1" applyFont="1" applyFill="1" applyBorder="1" applyAlignment="1">
      <alignment horizontal="center"/>
    </xf>
    <xf numFmtId="3" fontId="45" fillId="4" borderId="45" xfId="0" applyNumberFormat="1" applyFont="1" applyFill="1" applyBorder="1" applyAlignment="1">
      <alignment horizontal="center"/>
    </xf>
    <xf numFmtId="3" fontId="45" fillId="4" borderId="44" xfId="0" applyNumberFormat="1" applyFont="1" applyFill="1" applyBorder="1" applyAlignment="1">
      <alignment horizontal="center"/>
    </xf>
    <xf numFmtId="3" fontId="23" fillId="5" borderId="64" xfId="0" applyNumberFormat="1" applyFont="1" applyFill="1" applyBorder="1" applyAlignment="1">
      <alignment horizontal="center" vertical="center"/>
    </xf>
    <xf numFmtId="3" fontId="23" fillId="5" borderId="65" xfId="0" applyNumberFormat="1" applyFont="1" applyFill="1" applyBorder="1" applyAlignment="1">
      <alignment horizontal="center" vertical="center"/>
    </xf>
    <xf numFmtId="3" fontId="14" fillId="0" borderId="36" xfId="0" applyNumberFormat="1" applyFont="1" applyBorder="1" applyAlignment="1">
      <alignment horizontal="left"/>
    </xf>
    <xf numFmtId="3" fontId="14" fillId="0" borderId="55" xfId="0" applyNumberFormat="1" applyFont="1" applyBorder="1" applyAlignment="1">
      <alignment horizontal="left"/>
    </xf>
    <xf numFmtId="3" fontId="14" fillId="0" borderId="56" xfId="0" applyNumberFormat="1" applyFont="1" applyBorder="1" applyAlignment="1">
      <alignment horizontal="left"/>
    </xf>
    <xf numFmtId="3" fontId="14" fillId="4" borderId="33" xfId="2" applyNumberFormat="1" applyFont="1" applyFill="1" applyBorder="1" applyAlignment="1">
      <alignment horizontal="center" vertical="center" wrapText="1"/>
    </xf>
    <xf numFmtId="3" fontId="14" fillId="4" borderId="50" xfId="2" applyNumberFormat="1" applyFont="1" applyFill="1" applyBorder="1" applyAlignment="1">
      <alignment horizontal="center" vertical="center" wrapText="1"/>
    </xf>
    <xf numFmtId="3" fontId="14" fillId="4" borderId="38" xfId="2" applyNumberFormat="1" applyFont="1" applyFill="1" applyBorder="1" applyAlignment="1">
      <alignment horizontal="center" vertical="center" wrapText="1"/>
    </xf>
    <xf numFmtId="4" fontId="14" fillId="4" borderId="5" xfId="0" applyNumberFormat="1" applyFont="1" applyFill="1" applyBorder="1" applyAlignment="1">
      <alignment horizontal="center" vertical="center" wrapText="1"/>
    </xf>
    <xf numFmtId="4" fontId="14" fillId="4" borderId="1" xfId="0" applyNumberFormat="1" applyFont="1" applyFill="1" applyBorder="1" applyAlignment="1">
      <alignment horizontal="center" vertical="center" wrapText="1"/>
    </xf>
    <xf numFmtId="4" fontId="14" fillId="4" borderId="12" xfId="0" applyNumberFormat="1" applyFont="1" applyFill="1" applyBorder="1" applyAlignment="1">
      <alignment horizontal="center" vertical="center" wrapText="1"/>
    </xf>
    <xf numFmtId="4" fontId="14" fillId="0" borderId="36" xfId="0" applyNumberFormat="1" applyFont="1" applyBorder="1" applyAlignment="1">
      <alignment horizontal="left"/>
    </xf>
    <xf numFmtId="4" fontId="14" fillId="0" borderId="57" xfId="0" applyNumberFormat="1" applyFont="1" applyBorder="1" applyAlignment="1">
      <alignment horizontal="left"/>
    </xf>
    <xf numFmtId="4" fontId="14" fillId="0" borderId="6" xfId="0" applyNumberFormat="1" applyFont="1" applyBorder="1" applyAlignment="1">
      <alignment horizontal="left"/>
    </xf>
    <xf numFmtId="4" fontId="14" fillId="0" borderId="31" xfId="0" applyNumberFormat="1" applyFont="1" applyBorder="1" applyAlignment="1">
      <alignment horizontal="left"/>
    </xf>
    <xf numFmtId="3" fontId="14" fillId="5" borderId="1" xfId="2" applyNumberFormat="1" applyFont="1" applyFill="1" applyBorder="1" applyAlignment="1">
      <alignment horizontal="center" vertical="center" wrapText="1"/>
    </xf>
    <xf numFmtId="3" fontId="14" fillId="5" borderId="12" xfId="2" applyNumberFormat="1" applyFont="1" applyFill="1" applyBorder="1" applyAlignment="1">
      <alignment horizontal="center" vertical="center" wrapText="1"/>
    </xf>
    <xf numFmtId="3" fontId="47" fillId="5" borderId="30" xfId="0" applyNumberFormat="1" applyFont="1" applyFill="1" applyBorder="1" applyAlignment="1">
      <alignment horizontal="center" vertical="center" wrapText="1"/>
    </xf>
    <xf numFmtId="3" fontId="47" fillId="5" borderId="49" xfId="0" applyNumberFormat="1" applyFont="1" applyFill="1" applyBorder="1" applyAlignment="1">
      <alignment horizontal="center" vertical="center" wrapText="1"/>
    </xf>
    <xf numFmtId="3" fontId="47" fillId="5" borderId="29" xfId="0" applyNumberFormat="1" applyFont="1" applyFill="1" applyBorder="1" applyAlignment="1">
      <alignment horizontal="center" vertical="center" wrapText="1"/>
    </xf>
    <xf numFmtId="3" fontId="47" fillId="5" borderId="6" xfId="0" applyNumberFormat="1" applyFont="1" applyFill="1" applyBorder="1" applyAlignment="1">
      <alignment horizontal="center" vertical="center" wrapText="1"/>
    </xf>
    <xf numFmtId="3" fontId="47" fillId="5" borderId="39" xfId="0" applyNumberFormat="1" applyFont="1" applyFill="1" applyBorder="1" applyAlignment="1">
      <alignment horizontal="center" vertical="center" wrapText="1"/>
    </xf>
    <xf numFmtId="3" fontId="47" fillId="5" borderId="37" xfId="0" applyNumberFormat="1" applyFont="1" applyFill="1" applyBorder="1" applyAlignment="1">
      <alignment horizontal="center" vertical="center" wrapText="1"/>
    </xf>
    <xf numFmtId="4" fontId="14" fillId="5" borderId="30" xfId="0" applyNumberFormat="1" applyFont="1" applyFill="1" applyBorder="1" applyAlignment="1">
      <alignment horizontal="center" vertical="center"/>
    </xf>
    <xf numFmtId="4" fontId="14" fillId="5" borderId="49" xfId="0" applyNumberFormat="1" applyFont="1" applyFill="1" applyBorder="1" applyAlignment="1">
      <alignment horizontal="center" vertical="center"/>
    </xf>
    <xf numFmtId="4" fontId="14" fillId="5" borderId="54" xfId="0" applyNumberFormat="1" applyFont="1" applyFill="1" applyBorder="1" applyAlignment="1">
      <alignment horizontal="center" vertical="center"/>
    </xf>
    <xf numFmtId="4" fontId="14" fillId="5" borderId="6" xfId="0" applyNumberFormat="1" applyFont="1" applyFill="1" applyBorder="1" applyAlignment="1">
      <alignment horizontal="center" vertical="center"/>
    </xf>
    <xf numFmtId="4" fontId="14" fillId="5" borderId="39" xfId="0" applyNumberFormat="1" applyFont="1" applyFill="1" applyBorder="1" applyAlignment="1">
      <alignment horizontal="center" vertical="center"/>
    </xf>
    <xf numFmtId="4" fontId="14" fillId="5" borderId="31" xfId="0" applyNumberFormat="1" applyFont="1" applyFill="1" applyBorder="1" applyAlignment="1">
      <alignment horizontal="center" vertical="center"/>
    </xf>
    <xf numFmtId="0" fontId="14" fillId="0" borderId="58" xfId="0" applyFont="1" applyBorder="1" applyAlignment="1">
      <alignment horizontal="center" wrapText="1"/>
    </xf>
    <xf numFmtId="0" fontId="14" fillId="0" borderId="55" xfId="0" applyFont="1" applyBorder="1" applyAlignment="1">
      <alignment horizontal="center" wrapText="1"/>
    </xf>
    <xf numFmtId="0" fontId="14" fillId="0" borderId="57" xfId="0" applyFont="1" applyBorder="1" applyAlignment="1">
      <alignment horizontal="center" wrapText="1"/>
    </xf>
    <xf numFmtId="0" fontId="14" fillId="0" borderId="6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44" xfId="0" applyFont="1" applyBorder="1" applyAlignment="1">
      <alignment horizontal="center" wrapText="1"/>
    </xf>
    <xf numFmtId="3" fontId="13" fillId="5" borderId="1" xfId="2" applyNumberFormat="1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13" fillId="4" borderId="1" xfId="2" applyNumberFormat="1" applyFont="1" applyFill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14" fillId="0" borderId="5" xfId="0" applyNumberFormat="1" applyFont="1" applyBorder="1" applyAlignment="1">
      <alignment horizontal="left"/>
    </xf>
    <xf numFmtId="3" fontId="14" fillId="0" borderId="1" xfId="0" applyNumberFormat="1" applyFont="1" applyBorder="1" applyAlignment="1">
      <alignment horizontal="left"/>
    </xf>
    <xf numFmtId="3" fontId="12" fillId="4" borderId="1" xfId="2" applyNumberFormat="1" applyFont="1" applyFill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12" fillId="4" borderId="4" xfId="2" applyNumberFormat="1" applyFont="1" applyFill="1" applyBorder="1" applyAlignment="1">
      <alignment horizontal="center" vertical="center" wrapText="1"/>
    </xf>
    <xf numFmtId="3" fontId="12" fillId="4" borderId="8" xfId="2" applyNumberFormat="1" applyFont="1" applyFill="1" applyBorder="1" applyAlignment="1">
      <alignment horizontal="center" vertical="center" wrapText="1"/>
    </xf>
    <xf numFmtId="3" fontId="12" fillId="4" borderId="11" xfId="2" applyNumberFormat="1" applyFont="1" applyFill="1" applyBorder="1" applyAlignment="1">
      <alignment horizontal="center" vertical="center" wrapText="1"/>
    </xf>
    <xf numFmtId="3" fontId="45" fillId="11" borderId="23" xfId="0" applyNumberFormat="1" applyFont="1" applyFill="1" applyBorder="1" applyAlignment="1">
      <alignment horizontal="center" wrapText="1"/>
    </xf>
    <xf numFmtId="3" fontId="45" fillId="11" borderId="24" xfId="0" applyNumberFormat="1" applyFont="1" applyFill="1" applyBorder="1" applyAlignment="1">
      <alignment horizontal="center"/>
    </xf>
    <xf numFmtId="3" fontId="45" fillId="11" borderId="32" xfId="0" applyNumberFormat="1" applyFont="1" applyFill="1" applyBorder="1" applyAlignment="1">
      <alignment horizontal="center"/>
    </xf>
    <xf numFmtId="3" fontId="45" fillId="11" borderId="25" xfId="0" applyNumberFormat="1" applyFont="1" applyFill="1" applyBorder="1" applyAlignment="1">
      <alignment horizontal="center"/>
    </xf>
    <xf numFmtId="3" fontId="45" fillId="11" borderId="11" xfId="0" applyNumberFormat="1" applyFont="1" applyFill="1" applyBorder="1" applyAlignment="1">
      <alignment horizontal="center"/>
    </xf>
    <xf numFmtId="3" fontId="45" fillId="11" borderId="12" xfId="0" applyNumberFormat="1" applyFont="1" applyFill="1" applyBorder="1" applyAlignment="1">
      <alignment horizontal="center"/>
    </xf>
    <xf numFmtId="3" fontId="45" fillId="11" borderId="13" xfId="0" applyNumberFormat="1" applyFont="1" applyFill="1" applyBorder="1" applyAlignment="1">
      <alignment horizontal="center"/>
    </xf>
    <xf numFmtId="3" fontId="45" fillId="11" borderId="14" xfId="0" applyNumberFormat="1" applyFont="1" applyFill="1" applyBorder="1" applyAlignment="1">
      <alignment horizontal="center"/>
    </xf>
    <xf numFmtId="3" fontId="14" fillId="0" borderId="58" xfId="0" applyNumberFormat="1" applyFont="1" applyBorder="1" applyAlignment="1">
      <alignment horizontal="center" wrapText="1"/>
    </xf>
    <xf numFmtId="3" fontId="14" fillId="0" borderId="55" xfId="0" applyNumberFormat="1" applyFont="1" applyBorder="1" applyAlignment="1">
      <alignment horizontal="center" wrapText="1"/>
    </xf>
    <xf numFmtId="3" fontId="14" fillId="0" borderId="57" xfId="0" applyNumberFormat="1" applyFont="1" applyBorder="1" applyAlignment="1">
      <alignment horizontal="center" wrapText="1"/>
    </xf>
    <xf numFmtId="3" fontId="14" fillId="0" borderId="60" xfId="0" applyNumberFormat="1" applyFont="1" applyBorder="1" applyAlignment="1">
      <alignment horizontal="center" wrapText="1"/>
    </xf>
    <xf numFmtId="3" fontId="14" fillId="0" borderId="45" xfId="0" applyNumberFormat="1" applyFont="1" applyBorder="1" applyAlignment="1">
      <alignment horizontal="center" wrapText="1"/>
    </xf>
    <xf numFmtId="3" fontId="14" fillId="0" borderId="44" xfId="0" applyNumberFormat="1" applyFont="1" applyBorder="1" applyAlignment="1">
      <alignment horizontal="center" wrapText="1"/>
    </xf>
    <xf numFmtId="3" fontId="24" fillId="0" borderId="21" xfId="0" applyNumberFormat="1" applyFont="1" applyBorder="1" applyAlignment="1">
      <alignment horizontal="center" vertical="center" wrapText="1"/>
    </xf>
    <xf numFmtId="3" fontId="24" fillId="0" borderId="47" xfId="0" applyNumberFormat="1" applyFont="1" applyBorder="1" applyAlignment="1">
      <alignment horizontal="center" vertical="center" wrapText="1"/>
    </xf>
    <xf numFmtId="4" fontId="14" fillId="5" borderId="21" xfId="0" applyNumberFormat="1" applyFont="1" applyFill="1" applyBorder="1" applyAlignment="1">
      <alignment horizontal="center" vertical="center" wrapText="1"/>
    </xf>
    <xf numFmtId="4" fontId="14" fillId="5" borderId="5" xfId="0" applyNumberFormat="1" applyFont="1" applyFill="1" applyBorder="1" applyAlignment="1">
      <alignment horizontal="center" vertical="center" wrapText="1"/>
    </xf>
    <xf numFmtId="4" fontId="24" fillId="4" borderId="30" xfId="0" applyNumberFormat="1" applyFont="1" applyFill="1" applyBorder="1" applyAlignment="1">
      <alignment horizontal="center" vertical="center" wrapText="1"/>
    </xf>
    <xf numFmtId="4" fontId="24" fillId="4" borderId="29" xfId="0" applyNumberFormat="1" applyFont="1" applyFill="1" applyBorder="1" applyAlignment="1">
      <alignment horizontal="center" vertical="center" wrapText="1"/>
    </xf>
    <xf numFmtId="4" fontId="24" fillId="4" borderId="6" xfId="0" applyNumberFormat="1" applyFont="1" applyFill="1" applyBorder="1" applyAlignment="1">
      <alignment horizontal="center" vertical="center" wrapText="1"/>
    </xf>
    <xf numFmtId="4" fontId="24" fillId="4" borderId="37" xfId="0" applyNumberFormat="1" applyFont="1" applyFill="1" applyBorder="1" applyAlignment="1">
      <alignment horizontal="center" vertical="center" wrapText="1"/>
    </xf>
    <xf numFmtId="3" fontId="47" fillId="4" borderId="1" xfId="0" applyNumberFormat="1" applyFont="1" applyFill="1" applyBorder="1" applyAlignment="1">
      <alignment horizontal="center" vertical="center" wrapText="1"/>
    </xf>
    <xf numFmtId="4" fontId="14" fillId="0" borderId="5" xfId="0" applyNumberFormat="1" applyFont="1" applyBorder="1" applyAlignment="1">
      <alignment horizontal="left"/>
    </xf>
    <xf numFmtId="4" fontId="14" fillId="0" borderId="7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horizontal="left"/>
    </xf>
    <xf numFmtId="4" fontId="14" fillId="0" borderId="10" xfId="0" applyNumberFormat="1" applyFont="1" applyBorder="1" applyAlignment="1">
      <alignment horizontal="left"/>
    </xf>
    <xf numFmtId="4" fontId="14" fillId="5" borderId="29" xfId="0" applyNumberFormat="1" applyFont="1" applyFill="1" applyBorder="1" applyAlignment="1">
      <alignment horizontal="center" vertical="center"/>
    </xf>
    <xf numFmtId="4" fontId="14" fillId="5" borderId="37" xfId="0" applyNumberFormat="1" applyFont="1" applyFill="1" applyBorder="1" applyAlignment="1">
      <alignment horizontal="center" vertical="center"/>
    </xf>
    <xf numFmtId="3" fontId="46" fillId="5" borderId="49" xfId="0" applyNumberFormat="1" applyFont="1" applyFill="1" applyBorder="1" applyAlignment="1">
      <alignment horizontal="center" vertical="center"/>
    </xf>
    <xf numFmtId="3" fontId="46" fillId="5" borderId="29" xfId="0" applyNumberFormat="1" applyFont="1" applyFill="1" applyBorder="1" applyAlignment="1">
      <alignment horizontal="center" vertical="center"/>
    </xf>
    <xf numFmtId="3" fontId="46" fillId="5" borderId="0" xfId="0" applyNumberFormat="1" applyFont="1" applyFill="1" applyAlignment="1">
      <alignment horizontal="center" vertical="center"/>
    </xf>
    <xf numFmtId="3" fontId="46" fillId="5" borderId="52" xfId="0" applyNumberFormat="1" applyFont="1" applyFill="1" applyBorder="1" applyAlignment="1">
      <alignment horizontal="center" vertical="center"/>
    </xf>
    <xf numFmtId="3" fontId="46" fillId="5" borderId="39" xfId="0" applyNumberFormat="1" applyFont="1" applyFill="1" applyBorder="1" applyAlignment="1">
      <alignment horizontal="center" vertical="center"/>
    </xf>
    <xf numFmtId="3" fontId="46" fillId="5" borderId="37" xfId="0" applyNumberFormat="1" applyFont="1" applyFill="1" applyBorder="1" applyAlignment="1">
      <alignment horizontal="center" vertical="center"/>
    </xf>
    <xf numFmtId="3" fontId="46" fillId="5" borderId="21" xfId="0" applyNumberFormat="1" applyFont="1" applyFill="1" applyBorder="1" applyAlignment="1">
      <alignment horizontal="center" vertical="center" wrapText="1"/>
    </xf>
    <xf numFmtId="3" fontId="46" fillId="5" borderId="53" xfId="0" applyNumberFormat="1" applyFont="1" applyFill="1" applyBorder="1" applyAlignment="1">
      <alignment horizontal="center" vertical="center" wrapText="1"/>
    </xf>
    <xf numFmtId="3" fontId="46" fillId="5" borderId="47" xfId="0" applyNumberFormat="1" applyFont="1" applyFill="1" applyBorder="1" applyAlignment="1">
      <alignment horizontal="center" vertical="center" wrapText="1"/>
    </xf>
    <xf numFmtId="4" fontId="46" fillId="5" borderId="9" xfId="0" applyNumberFormat="1" applyFont="1" applyFill="1" applyBorder="1" applyAlignment="1">
      <alignment horizontal="center" vertical="center"/>
    </xf>
    <xf numFmtId="4" fontId="46" fillId="5" borderId="48" xfId="0" applyNumberFormat="1" applyFont="1" applyFill="1" applyBorder="1" applyAlignment="1">
      <alignment horizontal="center" vertical="center"/>
    </xf>
    <xf numFmtId="4" fontId="46" fillId="5" borderId="67" xfId="0" applyNumberFormat="1" applyFont="1" applyFill="1" applyBorder="1" applyAlignment="1">
      <alignment horizontal="center" vertical="center"/>
    </xf>
    <xf numFmtId="3" fontId="45" fillId="10" borderId="23" xfId="0" applyNumberFormat="1" applyFont="1" applyFill="1" applyBorder="1" applyAlignment="1">
      <alignment horizontal="center" wrapText="1"/>
    </xf>
    <xf numFmtId="3" fontId="45" fillId="10" borderId="24" xfId="0" applyNumberFormat="1" applyFont="1" applyFill="1" applyBorder="1" applyAlignment="1">
      <alignment horizontal="center"/>
    </xf>
    <xf numFmtId="3" fontId="45" fillId="10" borderId="25" xfId="0" applyNumberFormat="1" applyFont="1" applyFill="1" applyBorder="1" applyAlignment="1">
      <alignment horizontal="center"/>
    </xf>
    <xf numFmtId="3" fontId="45" fillId="10" borderId="11" xfId="0" applyNumberFormat="1" applyFont="1" applyFill="1" applyBorder="1" applyAlignment="1">
      <alignment horizontal="center"/>
    </xf>
    <xf numFmtId="3" fontId="45" fillId="10" borderId="12" xfId="0" applyNumberFormat="1" applyFont="1" applyFill="1" applyBorder="1" applyAlignment="1">
      <alignment horizontal="center"/>
    </xf>
    <xf numFmtId="3" fontId="45" fillId="10" borderId="14" xfId="0" applyNumberFormat="1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5" applyFont="1" applyAlignment="1">
      <alignment horizontal="left"/>
    </xf>
    <xf numFmtId="1" fontId="45" fillId="11" borderId="23" xfId="0" applyNumberFormat="1" applyFont="1" applyFill="1" applyBorder="1" applyAlignment="1">
      <alignment horizontal="center" wrapText="1"/>
    </xf>
    <xf numFmtId="1" fontId="45" fillId="11" borderId="24" xfId="0" applyNumberFormat="1" applyFont="1" applyFill="1" applyBorder="1" applyAlignment="1">
      <alignment horizontal="center"/>
    </xf>
    <xf numFmtId="1" fontId="45" fillId="11" borderId="32" xfId="0" applyNumberFormat="1" applyFont="1" applyFill="1" applyBorder="1" applyAlignment="1">
      <alignment horizontal="center"/>
    </xf>
    <xf numFmtId="1" fontId="45" fillId="11" borderId="11" xfId="0" applyNumberFormat="1" applyFont="1" applyFill="1" applyBorder="1" applyAlignment="1">
      <alignment horizontal="center"/>
    </xf>
    <xf numFmtId="1" fontId="45" fillId="11" borderId="12" xfId="0" applyNumberFormat="1" applyFont="1" applyFill="1" applyBorder="1" applyAlignment="1">
      <alignment horizontal="center"/>
    </xf>
    <xf numFmtId="1" fontId="45" fillId="11" borderId="13" xfId="0" applyNumberFormat="1" applyFont="1" applyFill="1" applyBorder="1" applyAlignment="1">
      <alignment horizontal="center"/>
    </xf>
    <xf numFmtId="3" fontId="12" fillId="4" borderId="23" xfId="2" applyNumberFormat="1" applyFont="1" applyFill="1" applyBorder="1" applyAlignment="1">
      <alignment horizontal="center" vertical="center" wrapText="1"/>
    </xf>
    <xf numFmtId="3" fontId="14" fillId="0" borderId="37" xfId="0" applyNumberFormat="1" applyFont="1" applyBorder="1" applyAlignment="1">
      <alignment horizontal="left"/>
    </xf>
    <xf numFmtId="3" fontId="13" fillId="5" borderId="28" xfId="2" applyNumberFormat="1" applyFont="1" applyFill="1" applyBorder="1" applyAlignment="1">
      <alignment horizontal="center" vertical="center" wrapText="1"/>
    </xf>
    <xf numFmtId="3" fontId="13" fillId="5" borderId="41" xfId="2" applyNumberFormat="1" applyFont="1" applyFill="1" applyBorder="1" applyAlignment="1">
      <alignment horizontal="center" vertical="center" wrapText="1"/>
    </xf>
    <xf numFmtId="4" fontId="18" fillId="0" borderId="0" xfId="0" applyNumberFormat="1" applyFont="1" applyAlignment="1">
      <alignment horizontal="left" wrapText="1"/>
    </xf>
    <xf numFmtId="3" fontId="12" fillId="4" borderId="37" xfId="2" applyNumberFormat="1" applyFont="1" applyFill="1" applyBorder="1" applyAlignment="1">
      <alignment horizontal="center" vertical="center" wrapText="1"/>
    </xf>
    <xf numFmtId="3" fontId="12" fillId="4" borderId="28" xfId="2" applyNumberFormat="1" applyFont="1" applyFill="1" applyBorder="1" applyAlignment="1">
      <alignment horizontal="center" vertical="center" wrapText="1"/>
    </xf>
    <xf numFmtId="3" fontId="12" fillId="4" borderId="41" xfId="2" applyNumberFormat="1" applyFont="1" applyFill="1" applyBorder="1" applyAlignment="1">
      <alignment horizontal="center" vertical="center" wrapText="1"/>
    </xf>
    <xf numFmtId="3" fontId="45" fillId="11" borderId="46" xfId="0" applyNumberFormat="1" applyFont="1" applyFill="1" applyBorder="1" applyAlignment="1">
      <alignment horizontal="center" wrapText="1"/>
    </xf>
    <xf numFmtId="3" fontId="45" fillId="11" borderId="41" xfId="0" applyNumberFormat="1" applyFont="1" applyFill="1" applyBorder="1" applyAlignment="1">
      <alignment horizontal="center"/>
    </xf>
    <xf numFmtId="4" fontId="14" fillId="0" borderId="9" xfId="0" applyNumberFormat="1" applyFont="1" applyBorder="1" applyAlignment="1">
      <alignment horizontal="left"/>
    </xf>
  </cellXfs>
  <cellStyles count="15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  <cellStyle name="normální_Tabč4" xfId="14" xr:uid="{D1E893F2-3E16-4CBD-BBF1-BA162986F69C}"/>
  </cellStyles>
  <dxfs count="0"/>
  <tableStyles count="0" defaultTableStyle="TableStyleMedium2" defaultPivotStyle="PivotStyleLight16"/>
  <colors>
    <mruColors>
      <color rgb="FFCCECFF"/>
      <color rgb="FFFF66FF"/>
      <color rgb="FFFABF8F"/>
      <color rgb="FF99FF99"/>
      <color rgb="FF99CCFF"/>
      <color rgb="FFCCFF66"/>
      <color rgb="FFCC3300"/>
      <color rgb="FFCC6600"/>
      <color rgb="FFA6A6A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R30"/>
  <sheetViews>
    <sheetView zoomScaleNormal="100" workbookViewId="0">
      <selection activeCell="R25" sqref="R25"/>
    </sheetView>
  </sheetViews>
  <sheetFormatPr defaultColWidth="9.140625" defaultRowHeight="15" customHeight="1"/>
  <cols>
    <col min="1" max="1" width="4" style="221" customWidth="1"/>
    <col min="2" max="2" width="6.7109375" style="221" customWidth="1"/>
    <col min="3" max="16" width="9.140625" style="221"/>
    <col min="17" max="17" width="20.85546875" style="221" customWidth="1"/>
    <col min="18" max="16384" width="9.140625" style="221"/>
  </cols>
  <sheetData>
    <row r="1" spans="1:18" ht="15" customHeight="1">
      <c r="A1" s="1099" t="s">
        <v>886</v>
      </c>
    </row>
    <row r="3" spans="1:18" ht="15" customHeight="1">
      <c r="A3" s="221" t="s">
        <v>850</v>
      </c>
    </row>
    <row r="5" spans="1:18" ht="15" customHeight="1">
      <c r="A5" s="1093" t="s">
        <v>851</v>
      </c>
    </row>
    <row r="7" spans="1:18" ht="15" customHeight="1">
      <c r="A7" s="221" t="s">
        <v>852</v>
      </c>
      <c r="B7" s="1093" t="s">
        <v>878</v>
      </c>
      <c r="O7" s="3"/>
    </row>
    <row r="8" spans="1:18" ht="15" customHeight="1">
      <c r="A8" s="221" t="s">
        <v>853</v>
      </c>
      <c r="B8" s="221" t="s">
        <v>881</v>
      </c>
      <c r="O8" s="1058"/>
      <c r="P8" s="1058"/>
      <c r="Q8" s="1058"/>
      <c r="R8" s="1058"/>
    </row>
    <row r="9" spans="1:18" ht="15" customHeight="1">
      <c r="B9" s="221" t="s">
        <v>882</v>
      </c>
      <c r="O9" s="1058"/>
      <c r="P9" s="1058"/>
      <c r="Q9" s="1058"/>
      <c r="R9" s="1058"/>
    </row>
    <row r="10" spans="1:18" ht="15" customHeight="1">
      <c r="A10" s="221" t="s">
        <v>873</v>
      </c>
      <c r="B10" s="221" t="s">
        <v>879</v>
      </c>
      <c r="D10" s="1058"/>
      <c r="E10" s="1058"/>
      <c r="F10" s="1058"/>
      <c r="G10" s="1058"/>
      <c r="H10" s="1058"/>
      <c r="I10" s="1058"/>
      <c r="J10" s="1058"/>
      <c r="K10" s="1058"/>
      <c r="L10" s="1058"/>
      <c r="M10" s="1058"/>
      <c r="N10" s="1058"/>
      <c r="O10" s="1058"/>
      <c r="P10" s="1058"/>
      <c r="Q10" s="1058"/>
      <c r="R10" s="1058"/>
    </row>
    <row r="11" spans="1:18" ht="15" customHeight="1">
      <c r="A11" s="221" t="s">
        <v>874</v>
      </c>
      <c r="B11" s="221" t="s">
        <v>885</v>
      </c>
      <c r="D11" s="1058"/>
      <c r="E11" s="1058"/>
      <c r="F11" s="1058"/>
      <c r="G11" s="1058"/>
      <c r="H11" s="1058"/>
      <c r="I11" s="1058"/>
      <c r="J11" s="1058"/>
      <c r="K11" s="1058"/>
      <c r="L11" s="1058"/>
      <c r="M11" s="1058"/>
      <c r="N11" s="1058"/>
      <c r="O11" s="1058"/>
      <c r="P11" s="1058"/>
      <c r="Q11" s="1058"/>
      <c r="R11" s="1058"/>
    </row>
    <row r="12" spans="1:18" ht="15" customHeight="1">
      <c r="A12" s="221" t="s">
        <v>880</v>
      </c>
      <c r="B12" s="221" t="s">
        <v>883</v>
      </c>
    </row>
    <row r="13" spans="1:18" ht="15" customHeight="1">
      <c r="A13" s="221" t="s">
        <v>884</v>
      </c>
      <c r="B13" s="221" t="s">
        <v>875</v>
      </c>
      <c r="D13" s="1058"/>
      <c r="E13" s="1058"/>
      <c r="F13" s="1058"/>
      <c r="G13" s="1058"/>
      <c r="H13" s="1058"/>
      <c r="I13" s="1058"/>
      <c r="J13" s="1058"/>
      <c r="K13" s="1058"/>
      <c r="L13" s="1058"/>
      <c r="M13" s="1058"/>
      <c r="N13" s="1058"/>
      <c r="O13" s="1058"/>
      <c r="P13" s="1058"/>
      <c r="Q13" s="1058"/>
      <c r="R13" s="1058"/>
    </row>
    <row r="14" spans="1:18" ht="15" customHeight="1">
      <c r="D14" s="1058"/>
      <c r="E14" s="1058"/>
      <c r="F14" s="1058"/>
      <c r="G14" s="1058"/>
      <c r="H14" s="1058"/>
      <c r="I14" s="1058"/>
      <c r="J14" s="1058"/>
      <c r="K14" s="1058"/>
      <c r="L14" s="1058"/>
      <c r="M14" s="1058"/>
      <c r="N14" s="1058"/>
      <c r="O14" s="1058"/>
      <c r="P14" s="1058"/>
      <c r="Q14" s="1058"/>
      <c r="R14" s="1058"/>
    </row>
    <row r="15" spans="1:18" ht="15" customHeight="1">
      <c r="A15" s="221" t="s">
        <v>872</v>
      </c>
      <c r="C15" s="1094"/>
      <c r="D15" s="1058"/>
      <c r="E15" s="1058"/>
      <c r="F15" s="1058"/>
      <c r="G15" s="1058"/>
      <c r="H15" s="1058"/>
      <c r="I15" s="1058"/>
      <c r="J15" s="1058"/>
      <c r="K15" s="1058"/>
      <c r="L15" s="1058"/>
      <c r="M15" s="1058"/>
      <c r="N15" s="1058"/>
      <c r="O15" s="1058"/>
      <c r="P15" s="1058"/>
      <c r="Q15" s="1058"/>
    </row>
    <row r="16" spans="1:18" ht="15" customHeight="1">
      <c r="A16" s="221" t="s">
        <v>852</v>
      </c>
      <c r="B16" s="1095" t="s">
        <v>865</v>
      </c>
    </row>
    <row r="17" spans="1:8" ht="15" customHeight="1">
      <c r="B17" s="1096" t="s">
        <v>871</v>
      </c>
    </row>
    <row r="18" spans="1:8" ht="15" customHeight="1">
      <c r="B18" s="1096" t="s">
        <v>866</v>
      </c>
    </row>
    <row r="19" spans="1:8" ht="15" customHeight="1">
      <c r="B19" s="1097" t="s">
        <v>854</v>
      </c>
    </row>
    <row r="20" spans="1:8" ht="15" customHeight="1">
      <c r="B20" s="1097" t="s">
        <v>867</v>
      </c>
    </row>
    <row r="21" spans="1:8" ht="15" customHeight="1">
      <c r="B21" s="1097" t="s">
        <v>856</v>
      </c>
    </row>
    <row r="22" spans="1:8" ht="15" customHeight="1">
      <c r="B22" s="1097"/>
    </row>
    <row r="23" spans="1:8" ht="15" customHeight="1">
      <c r="A23" s="221" t="s">
        <v>853</v>
      </c>
      <c r="B23" s="1095" t="s">
        <v>870</v>
      </c>
    </row>
    <row r="24" spans="1:8" ht="15" customHeight="1">
      <c r="B24" s="1096" t="s">
        <v>876</v>
      </c>
    </row>
    <row r="25" spans="1:8" ht="15" customHeight="1">
      <c r="B25" s="1096" t="s">
        <v>868</v>
      </c>
    </row>
    <row r="26" spans="1:8" ht="15" customHeight="1">
      <c r="B26" s="1097" t="s">
        <v>869</v>
      </c>
    </row>
    <row r="27" spans="1:8" ht="15" customHeight="1">
      <c r="B27" s="1097" t="s">
        <v>867</v>
      </c>
    </row>
    <row r="29" spans="1:8" ht="15" customHeight="1">
      <c r="B29" s="221" t="s">
        <v>887</v>
      </c>
    </row>
    <row r="30" spans="1:8" ht="15" customHeight="1">
      <c r="B30" s="221" t="s">
        <v>855</v>
      </c>
      <c r="D30" s="1098"/>
      <c r="E30" s="1098"/>
      <c r="F30" s="1098"/>
      <c r="G30" s="1098"/>
      <c r="H30" s="1098"/>
    </row>
  </sheetData>
  <pageMargins left="0.19685039370078741" right="0.19685039370078741" top="0.59055118110236227" bottom="0.39370078740157483" header="0.31496062992125984" footer="0.31496062992125984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CK159"/>
  <sheetViews>
    <sheetView tabSelected="1" zoomScaleNormal="100" workbookViewId="0">
      <pane xSplit="8" ySplit="11" topLeftCell="I36" activePane="bottomRight" state="frozen"/>
      <selection activeCell="V6" sqref="V6:BK10"/>
      <selection pane="topRight" activeCell="V6" sqref="V6:BK10"/>
      <selection pane="bottomLeft" activeCell="V6" sqref="V6:BK10"/>
      <selection pane="bottomRight" activeCell="P5" sqref="P5"/>
    </sheetView>
  </sheetViews>
  <sheetFormatPr defaultColWidth="9.140625" defaultRowHeight="15"/>
  <cols>
    <col min="1" max="1" width="5" style="308" customWidth="1"/>
    <col min="2" max="2" width="6.140625" style="250" bestFit="1" customWidth="1"/>
    <col min="3" max="3" width="10.7109375" style="361" customWidth="1"/>
    <col min="4" max="4" width="7.85546875" style="250" bestFit="1" customWidth="1"/>
    <col min="5" max="5" width="36.140625" style="250" customWidth="1"/>
    <col min="6" max="6" width="5.7109375" style="250" customWidth="1"/>
    <col min="7" max="7" width="10.28515625" style="250" customWidth="1"/>
    <col min="8" max="8" width="8" style="250" customWidth="1"/>
    <col min="9" max="18" width="10.85546875" style="314" customWidth="1"/>
    <col min="19" max="19" width="10.85546875" style="315" customWidth="1"/>
    <col min="20" max="21" width="9.28515625" style="315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314" customWidth="1"/>
    <col min="29" max="38" width="10.28515625" style="314" customWidth="1"/>
    <col min="39" max="39" width="10.28515625" style="315" customWidth="1"/>
    <col min="40" max="41" width="10.42578125" style="315" customWidth="1"/>
    <col min="42" max="42" width="9.140625" style="314" customWidth="1"/>
    <col min="43" max="43" width="9.7109375" style="314" customWidth="1"/>
    <col min="44" max="44" width="10.140625" style="314" customWidth="1"/>
    <col min="45" max="45" width="9.140625" style="314" customWidth="1"/>
    <col min="46" max="46" width="9.7109375" style="314" customWidth="1"/>
    <col min="47" max="47" width="9.140625" style="314" customWidth="1"/>
    <col min="48" max="48" width="9.7109375" style="314" customWidth="1"/>
    <col min="49" max="49" width="11" style="314" customWidth="1"/>
    <col min="50" max="51" width="9.140625" style="314" customWidth="1"/>
    <col min="52" max="52" width="9.140625" style="315" customWidth="1"/>
    <col min="53" max="53" width="9.85546875" style="315" customWidth="1"/>
    <col min="54" max="57" width="9.140625" style="315" customWidth="1"/>
    <col min="58" max="58" width="10.5703125" style="1060" customWidth="1"/>
    <col min="59" max="63" width="9.140625" style="315" customWidth="1"/>
    <col min="64" max="73" width="10.85546875" style="315" customWidth="1"/>
    <col min="74" max="76" width="9.28515625" style="315" customWidth="1"/>
    <col min="77" max="81" width="9.7109375" style="314" customWidth="1"/>
    <col min="82" max="82" width="9.7109375" style="315" customWidth="1"/>
    <col min="83" max="87" width="9.140625" style="250"/>
    <col min="88" max="88" width="9.140625" style="315"/>
    <col min="89" max="16384" width="9.140625" style="250"/>
  </cols>
  <sheetData>
    <row r="1" spans="1:89">
      <c r="A1" s="398" t="s">
        <v>2</v>
      </c>
      <c r="B1" s="398"/>
      <c r="C1" s="248"/>
      <c r="D1" s="398"/>
      <c r="E1" s="398"/>
      <c r="F1" s="249"/>
      <c r="G1" s="249"/>
      <c r="H1" s="249"/>
      <c r="AM1" s="314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9">
      <c r="A2" s="398" t="s">
        <v>3</v>
      </c>
      <c r="B2" s="398"/>
      <c r="C2" s="248"/>
      <c r="D2" s="398"/>
      <c r="E2" s="398"/>
      <c r="F2" s="249"/>
      <c r="G2" s="249"/>
      <c r="H2" s="249"/>
    </row>
    <row r="3" spans="1:89">
      <c r="A3" s="1216" t="s">
        <v>4</v>
      </c>
      <c r="B3" s="1216"/>
      <c r="C3" s="1216"/>
      <c r="D3" s="1216"/>
      <c r="E3" s="1216"/>
      <c r="F3" s="249"/>
      <c r="G3" s="249"/>
      <c r="H3" s="249"/>
      <c r="I3" s="970"/>
      <c r="J3" s="970"/>
      <c r="K3" s="970"/>
      <c r="L3" s="970"/>
      <c r="M3" s="970"/>
      <c r="N3" s="970"/>
      <c r="O3" s="970"/>
      <c r="P3" s="970"/>
      <c r="Q3" s="970"/>
      <c r="R3" s="970"/>
      <c r="S3" s="971"/>
      <c r="T3" s="971"/>
      <c r="U3" s="971"/>
      <c r="V3" s="970"/>
      <c r="W3" s="970"/>
      <c r="X3" s="970"/>
      <c r="Y3" s="970"/>
      <c r="Z3" s="970"/>
      <c r="AA3" s="970"/>
      <c r="AB3" s="970"/>
      <c r="AC3" s="970"/>
      <c r="AQ3" s="506"/>
      <c r="AR3" s="506"/>
      <c r="AS3" s="506"/>
    </row>
    <row r="4" spans="1:89">
      <c r="A4" s="251"/>
      <c r="B4" s="398"/>
      <c r="C4" s="398"/>
      <c r="D4" s="398"/>
      <c r="E4" s="398"/>
      <c r="F4" s="249"/>
      <c r="G4" s="249"/>
      <c r="H4" s="249"/>
      <c r="AR4" s="505"/>
      <c r="AS4" s="505"/>
    </row>
    <row r="5" spans="1:89" ht="16.5" thickBot="1">
      <c r="A5" s="181" t="s">
        <v>890</v>
      </c>
      <c r="B5" s="51"/>
      <c r="C5" s="51"/>
      <c r="D5" s="51"/>
      <c r="E5" s="52"/>
      <c r="F5" s="252"/>
      <c r="G5" s="252"/>
      <c r="H5" s="252"/>
      <c r="J5" s="970"/>
      <c r="K5" s="970"/>
      <c r="L5" s="970"/>
      <c r="M5" s="970"/>
      <c r="N5" s="970"/>
      <c r="O5" s="970"/>
      <c r="P5" s="970"/>
      <c r="Q5" s="970"/>
      <c r="R5" s="970"/>
      <c r="S5" s="971"/>
      <c r="T5" s="971"/>
      <c r="U5" s="971"/>
      <c r="V5" s="992"/>
      <c r="W5" s="970"/>
      <c r="X5" s="970"/>
      <c r="Y5" s="970"/>
      <c r="Z5" s="970"/>
      <c r="AA5" s="970"/>
      <c r="AB5" s="970"/>
      <c r="AC5" s="970"/>
      <c r="AR5" s="505"/>
      <c r="AS5" s="505"/>
    </row>
    <row r="6" spans="1:89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116" t="s">
        <v>877</v>
      </c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8"/>
      <c r="V6" s="1122" t="s">
        <v>888</v>
      </c>
      <c r="W6" s="1122"/>
      <c r="X6" s="1122"/>
      <c r="Y6" s="1122"/>
      <c r="Z6" s="1122"/>
      <c r="AA6" s="1122"/>
      <c r="AB6" s="1122"/>
      <c r="AC6" s="1122"/>
      <c r="AD6" s="1122"/>
      <c r="AE6" s="1122"/>
      <c r="AF6" s="1122"/>
      <c r="AG6" s="1122"/>
      <c r="AH6" s="1122"/>
      <c r="AI6" s="1122"/>
      <c r="AJ6" s="1122"/>
      <c r="AK6" s="1122"/>
      <c r="AL6" s="1122"/>
      <c r="AM6" s="1122"/>
      <c r="AN6" s="1122"/>
      <c r="AO6" s="1122"/>
      <c r="AP6" s="1122"/>
      <c r="AQ6" s="1122"/>
      <c r="AR6" s="1122"/>
      <c r="AS6" s="1122"/>
      <c r="AT6" s="1122"/>
      <c r="AU6" s="1122"/>
      <c r="AV6" s="1122"/>
      <c r="AW6" s="1122"/>
      <c r="AX6" s="1122"/>
      <c r="AY6" s="1122"/>
      <c r="AZ6" s="1122"/>
      <c r="BA6" s="1122"/>
      <c r="BB6" s="1122"/>
      <c r="BC6" s="1122"/>
      <c r="BD6" s="1122"/>
      <c r="BE6" s="1122"/>
      <c r="BF6" s="1122"/>
      <c r="BG6" s="1122"/>
      <c r="BH6" s="1122"/>
      <c r="BI6" s="1122"/>
      <c r="BJ6" s="1122"/>
      <c r="BK6" s="1123"/>
      <c r="BL6" s="1116" t="s">
        <v>889</v>
      </c>
      <c r="BM6" s="1117"/>
      <c r="BN6" s="1117"/>
      <c r="BO6" s="1117"/>
      <c r="BP6" s="1117"/>
      <c r="BQ6" s="1117"/>
      <c r="BR6" s="1117"/>
      <c r="BS6" s="1117"/>
      <c r="BT6" s="1117"/>
      <c r="BU6" s="1117"/>
      <c r="BV6" s="1117"/>
      <c r="BW6" s="1117"/>
      <c r="BX6" s="1118"/>
      <c r="BY6" s="1209" t="s">
        <v>847</v>
      </c>
      <c r="BZ6" s="1210"/>
      <c r="CA6" s="1210"/>
      <c r="CB6" s="1210"/>
      <c r="CC6" s="1210"/>
      <c r="CD6" s="1211"/>
      <c r="CE6" s="1168" t="s">
        <v>847</v>
      </c>
      <c r="CF6" s="1169"/>
      <c r="CG6" s="1169"/>
      <c r="CH6" s="1169"/>
      <c r="CI6" s="1170"/>
      <c r="CJ6" s="1171"/>
    </row>
    <row r="7" spans="1:89" ht="16.5" customHeight="1" thickBot="1">
      <c r="A7" s="251"/>
      <c r="B7" s="253"/>
      <c r="C7" s="89"/>
      <c r="D7" s="254"/>
      <c r="E7" s="253"/>
      <c r="F7" s="249"/>
      <c r="G7" s="249"/>
      <c r="H7" s="249"/>
      <c r="I7" s="1119"/>
      <c r="J7" s="1120"/>
      <c r="K7" s="1120"/>
      <c r="L7" s="1120"/>
      <c r="M7" s="1120"/>
      <c r="N7" s="1120"/>
      <c r="O7" s="1120"/>
      <c r="P7" s="1120"/>
      <c r="Q7" s="1120"/>
      <c r="R7" s="1120"/>
      <c r="S7" s="1120"/>
      <c r="T7" s="1120"/>
      <c r="U7" s="1121"/>
      <c r="V7" s="1140" t="s">
        <v>807</v>
      </c>
      <c r="W7" s="1140"/>
      <c r="X7" s="1140"/>
      <c r="Y7" s="1140"/>
      <c r="Z7" s="1140"/>
      <c r="AA7" s="1140"/>
      <c r="AB7" s="1140"/>
      <c r="AC7" s="1140"/>
      <c r="AD7" s="1140"/>
      <c r="AE7" s="1140"/>
      <c r="AF7" s="1140"/>
      <c r="AG7" s="1141"/>
      <c r="AH7" s="1139" t="s">
        <v>808</v>
      </c>
      <c r="AI7" s="1140"/>
      <c r="AJ7" s="1140"/>
      <c r="AK7" s="1140"/>
      <c r="AL7" s="1140"/>
      <c r="AM7" s="1140"/>
      <c r="AN7" s="1140"/>
      <c r="AO7" s="1141"/>
      <c r="AP7" s="1190" t="s">
        <v>822</v>
      </c>
      <c r="AQ7" s="1190"/>
      <c r="AR7" s="1190"/>
      <c r="AS7" s="1113" t="s">
        <v>5</v>
      </c>
      <c r="AT7" s="1113" t="s">
        <v>275</v>
      </c>
      <c r="AU7" s="1197" t="s">
        <v>796</v>
      </c>
      <c r="AV7" s="1197"/>
      <c r="AW7" s="1197"/>
      <c r="AX7" s="1198"/>
      <c r="AY7" s="1203" t="s">
        <v>288</v>
      </c>
      <c r="AZ7" s="1206" t="s">
        <v>809</v>
      </c>
      <c r="BA7" s="1207"/>
      <c r="BB7" s="1207"/>
      <c r="BC7" s="1207"/>
      <c r="BD7" s="1207"/>
      <c r="BE7" s="1207"/>
      <c r="BF7" s="1207"/>
      <c r="BG7" s="1207"/>
      <c r="BH7" s="1207"/>
      <c r="BI7" s="1207"/>
      <c r="BJ7" s="1207"/>
      <c r="BK7" s="1208"/>
      <c r="BL7" s="1119"/>
      <c r="BM7" s="1120"/>
      <c r="BN7" s="1120"/>
      <c r="BO7" s="1120"/>
      <c r="BP7" s="1120"/>
      <c r="BQ7" s="1120"/>
      <c r="BR7" s="1120"/>
      <c r="BS7" s="1120"/>
      <c r="BT7" s="1120"/>
      <c r="BU7" s="1120"/>
      <c r="BV7" s="1120"/>
      <c r="BW7" s="1120"/>
      <c r="BX7" s="1121"/>
      <c r="BY7" s="1212"/>
      <c r="BZ7" s="1213"/>
      <c r="CA7" s="1213"/>
      <c r="CB7" s="1213"/>
      <c r="CC7" s="1213"/>
      <c r="CD7" s="1214"/>
      <c r="CE7" s="1172"/>
      <c r="CF7" s="1173"/>
      <c r="CG7" s="1173"/>
      <c r="CH7" s="1173"/>
      <c r="CI7" s="1174"/>
      <c r="CJ7" s="1175"/>
    </row>
    <row r="8" spans="1:89" ht="15" customHeight="1">
      <c r="A8" s="255"/>
      <c r="B8" s="256"/>
      <c r="C8" s="256"/>
      <c r="D8" s="256"/>
      <c r="E8" s="256"/>
      <c r="F8" s="256"/>
      <c r="G8" s="256"/>
      <c r="H8" s="256"/>
      <c r="I8" s="1127" t="s">
        <v>6</v>
      </c>
      <c r="J8" s="1124" t="s">
        <v>777</v>
      </c>
      <c r="K8" s="1125"/>
      <c r="L8" s="1125"/>
      <c r="M8" s="1125"/>
      <c r="N8" s="1125"/>
      <c r="O8" s="1125"/>
      <c r="P8" s="1125"/>
      <c r="Q8" s="1125"/>
      <c r="R8" s="1126"/>
      <c r="S8" s="1130" t="s">
        <v>813</v>
      </c>
      <c r="T8" s="1133" t="s">
        <v>814</v>
      </c>
      <c r="U8" s="1134"/>
      <c r="V8" s="1143"/>
      <c r="W8" s="1143"/>
      <c r="X8" s="1143"/>
      <c r="Y8" s="1143"/>
      <c r="Z8" s="1143"/>
      <c r="AA8" s="1143"/>
      <c r="AB8" s="1143"/>
      <c r="AC8" s="1143"/>
      <c r="AD8" s="1143"/>
      <c r="AE8" s="1143"/>
      <c r="AF8" s="1143"/>
      <c r="AG8" s="1144"/>
      <c r="AH8" s="1142"/>
      <c r="AI8" s="1143"/>
      <c r="AJ8" s="1143"/>
      <c r="AK8" s="1143"/>
      <c r="AL8" s="1143"/>
      <c r="AM8" s="1143"/>
      <c r="AN8" s="1143"/>
      <c r="AO8" s="1144"/>
      <c r="AP8" s="1190"/>
      <c r="AQ8" s="1190"/>
      <c r="AR8" s="1190"/>
      <c r="AS8" s="1114"/>
      <c r="AT8" s="1114"/>
      <c r="AU8" s="1199"/>
      <c r="AV8" s="1199"/>
      <c r="AW8" s="1199"/>
      <c r="AX8" s="1200"/>
      <c r="AY8" s="1204"/>
      <c r="AZ8" s="1145" t="s">
        <v>276</v>
      </c>
      <c r="BA8" s="1195"/>
      <c r="BB8" s="1184" t="s">
        <v>277</v>
      </c>
      <c r="BC8" s="1186" t="s">
        <v>860</v>
      </c>
      <c r="BD8" s="1187"/>
      <c r="BE8" s="1184" t="s">
        <v>787</v>
      </c>
      <c r="BF8" s="1184"/>
      <c r="BG8" s="1145" t="s">
        <v>278</v>
      </c>
      <c r="BH8" s="1195"/>
      <c r="BI8" s="1145" t="s">
        <v>823</v>
      </c>
      <c r="BJ8" s="1146"/>
      <c r="BK8" s="1147"/>
      <c r="BL8" s="1223" t="s">
        <v>6</v>
      </c>
      <c r="BM8" s="1224" t="s">
        <v>777</v>
      </c>
      <c r="BN8" s="1161"/>
      <c r="BO8" s="1161"/>
      <c r="BP8" s="1161"/>
      <c r="BQ8" s="1161"/>
      <c r="BR8" s="1161"/>
      <c r="BS8" s="1161"/>
      <c r="BT8" s="1161"/>
      <c r="BU8" s="1161"/>
      <c r="BV8" s="1130" t="s">
        <v>813</v>
      </c>
      <c r="BW8" s="1191" t="s">
        <v>778</v>
      </c>
      <c r="BX8" s="1192"/>
      <c r="BY8" s="1151" t="s">
        <v>846</v>
      </c>
      <c r="BZ8" s="1152"/>
      <c r="CA8" s="1152"/>
      <c r="CB8" s="1152"/>
      <c r="CC8" s="1152"/>
      <c r="CD8" s="1153"/>
      <c r="CE8" s="1176" t="s">
        <v>861</v>
      </c>
      <c r="CF8" s="1177"/>
      <c r="CG8" s="1177"/>
      <c r="CH8" s="1177"/>
      <c r="CI8" s="1177"/>
      <c r="CJ8" s="1178"/>
    </row>
    <row r="9" spans="1:89" ht="19.5" customHeight="1" thickBot="1">
      <c r="A9" s="257" t="s">
        <v>775</v>
      </c>
      <c r="B9" s="89"/>
      <c r="C9" s="89"/>
      <c r="D9" s="258"/>
      <c r="E9" s="89"/>
      <c r="F9" s="259"/>
      <c r="G9" s="260"/>
      <c r="H9" s="260"/>
      <c r="I9" s="1128"/>
      <c r="J9" s="1137" t="s">
        <v>268</v>
      </c>
      <c r="K9" s="1108" t="s">
        <v>827</v>
      </c>
      <c r="L9" s="1109"/>
      <c r="M9" s="1111" t="s">
        <v>274</v>
      </c>
      <c r="N9" s="1108" t="s">
        <v>834</v>
      </c>
      <c r="O9" s="1109"/>
      <c r="P9" s="1111" t="s">
        <v>5</v>
      </c>
      <c r="Q9" s="1111" t="s">
        <v>1</v>
      </c>
      <c r="R9" s="1111" t="s">
        <v>7</v>
      </c>
      <c r="S9" s="1131"/>
      <c r="T9" s="1135"/>
      <c r="U9" s="1136"/>
      <c r="V9" s="1110" t="s">
        <v>279</v>
      </c>
      <c r="W9" s="1104"/>
      <c r="X9" s="1100" t="s">
        <v>812</v>
      </c>
      <c r="Y9" s="1100" t="s">
        <v>811</v>
      </c>
      <c r="Z9" s="1105" t="s">
        <v>860</v>
      </c>
      <c r="AA9" s="1105"/>
      <c r="AB9" s="1182"/>
      <c r="AC9" s="1105" t="s">
        <v>278</v>
      </c>
      <c r="AD9" s="1105"/>
      <c r="AE9" s="1103" t="s">
        <v>788</v>
      </c>
      <c r="AF9" s="1104"/>
      <c r="AG9" s="1106" t="s">
        <v>788</v>
      </c>
      <c r="AH9" s="1103" t="s">
        <v>280</v>
      </c>
      <c r="AI9" s="1104"/>
      <c r="AJ9" s="1101" t="s">
        <v>810</v>
      </c>
      <c r="AK9" s="1103" t="s">
        <v>281</v>
      </c>
      <c r="AL9" s="1104"/>
      <c r="AM9" s="1103" t="s">
        <v>745</v>
      </c>
      <c r="AN9" s="1104"/>
      <c r="AO9" s="1106" t="s">
        <v>745</v>
      </c>
      <c r="AP9" s="1190"/>
      <c r="AQ9" s="1190"/>
      <c r="AR9" s="1190"/>
      <c r="AS9" s="1114"/>
      <c r="AT9" s="1114"/>
      <c r="AU9" s="1201"/>
      <c r="AV9" s="1201"/>
      <c r="AW9" s="1201"/>
      <c r="AX9" s="1202"/>
      <c r="AY9" s="1204"/>
      <c r="AZ9" s="1148"/>
      <c r="BA9" s="1196"/>
      <c r="BB9" s="1185"/>
      <c r="BC9" s="1188"/>
      <c r="BD9" s="1189"/>
      <c r="BE9" s="1185"/>
      <c r="BF9" s="1185"/>
      <c r="BG9" s="1148"/>
      <c r="BH9" s="1196"/>
      <c r="BI9" s="1148"/>
      <c r="BJ9" s="1149"/>
      <c r="BK9" s="1150"/>
      <c r="BL9" s="1166"/>
      <c r="BM9" s="1225" t="s">
        <v>268</v>
      </c>
      <c r="BN9" s="1108" t="s">
        <v>827</v>
      </c>
      <c r="BO9" s="1109"/>
      <c r="BP9" s="1159" t="s">
        <v>274</v>
      </c>
      <c r="BQ9" s="1162" t="s">
        <v>834</v>
      </c>
      <c r="BR9" s="1162"/>
      <c r="BS9" s="1163" t="s">
        <v>5</v>
      </c>
      <c r="BT9" s="1163" t="s">
        <v>1</v>
      </c>
      <c r="BU9" s="1163" t="s">
        <v>7</v>
      </c>
      <c r="BV9" s="1131"/>
      <c r="BW9" s="1193"/>
      <c r="BX9" s="1194"/>
      <c r="BY9" s="1154"/>
      <c r="BZ9" s="1155"/>
      <c r="CA9" s="1155"/>
      <c r="CB9" s="1155"/>
      <c r="CC9" s="1155"/>
      <c r="CD9" s="1156"/>
      <c r="CE9" s="1179"/>
      <c r="CF9" s="1180"/>
      <c r="CG9" s="1180"/>
      <c r="CH9" s="1180"/>
      <c r="CI9" s="1180"/>
      <c r="CJ9" s="1181"/>
    </row>
    <row r="10" spans="1:89" ht="34.5" thickBot="1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129"/>
      <c r="J10" s="1138"/>
      <c r="K10" s="587" t="s">
        <v>805</v>
      </c>
      <c r="L10" s="587" t="s">
        <v>806</v>
      </c>
      <c r="M10" s="1112"/>
      <c r="N10" s="587" t="s">
        <v>805</v>
      </c>
      <c r="O10" s="587" t="s">
        <v>806</v>
      </c>
      <c r="P10" s="1112"/>
      <c r="Q10" s="1112"/>
      <c r="R10" s="1112"/>
      <c r="S10" s="1132"/>
      <c r="T10" s="588" t="s">
        <v>805</v>
      </c>
      <c r="U10" s="604" t="s">
        <v>806</v>
      </c>
      <c r="V10" s="562" t="s">
        <v>805</v>
      </c>
      <c r="W10" s="556" t="s">
        <v>806</v>
      </c>
      <c r="X10" s="1100"/>
      <c r="Y10" s="1100"/>
      <c r="Z10" s="556" t="s">
        <v>805</v>
      </c>
      <c r="AA10" s="561" t="s">
        <v>806</v>
      </c>
      <c r="AB10" s="1183"/>
      <c r="AC10" s="556" t="s">
        <v>805</v>
      </c>
      <c r="AD10" s="561" t="s">
        <v>806</v>
      </c>
      <c r="AE10" s="556" t="s">
        <v>805</v>
      </c>
      <c r="AF10" s="561" t="s">
        <v>806</v>
      </c>
      <c r="AG10" s="1107"/>
      <c r="AH10" s="557" t="s">
        <v>805</v>
      </c>
      <c r="AI10" s="557" t="s">
        <v>806</v>
      </c>
      <c r="AJ10" s="1102"/>
      <c r="AK10" s="556" t="s">
        <v>805</v>
      </c>
      <c r="AL10" s="556" t="s">
        <v>806</v>
      </c>
      <c r="AM10" s="556" t="s">
        <v>805</v>
      </c>
      <c r="AN10" s="556" t="s">
        <v>806</v>
      </c>
      <c r="AO10" s="1107"/>
      <c r="AP10" s="556" t="s">
        <v>805</v>
      </c>
      <c r="AQ10" s="556" t="s">
        <v>806</v>
      </c>
      <c r="AR10" s="556" t="s">
        <v>256</v>
      </c>
      <c r="AS10" s="1115"/>
      <c r="AT10" s="1115"/>
      <c r="AU10" s="403" t="s">
        <v>277</v>
      </c>
      <c r="AV10" s="403" t="s">
        <v>278</v>
      </c>
      <c r="AW10" s="403"/>
      <c r="AX10" s="403" t="s">
        <v>746</v>
      </c>
      <c r="AY10" s="1205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67"/>
      <c r="BM10" s="1226"/>
      <c r="BN10" s="557" t="s">
        <v>805</v>
      </c>
      <c r="BO10" s="557" t="s">
        <v>806</v>
      </c>
      <c r="BP10" s="1160"/>
      <c r="BQ10" s="557" t="s">
        <v>805</v>
      </c>
      <c r="BR10" s="557" t="s">
        <v>806</v>
      </c>
      <c r="BS10" s="1164"/>
      <c r="BT10" s="1164"/>
      <c r="BU10" s="1164"/>
      <c r="BV10" s="1132"/>
      <c r="BW10" s="565" t="s">
        <v>805</v>
      </c>
      <c r="BX10" s="1079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0" t="s">
        <v>841</v>
      </c>
      <c r="CF10" s="871" t="s">
        <v>268</v>
      </c>
      <c r="CG10" s="871" t="s">
        <v>840</v>
      </c>
      <c r="CH10" s="871" t="s">
        <v>1</v>
      </c>
      <c r="CI10" s="876" t="s">
        <v>796</v>
      </c>
      <c r="CJ10" s="872" t="s">
        <v>842</v>
      </c>
    </row>
    <row r="11" spans="1:89" s="267" customFormat="1" ht="12" thickBot="1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638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40" t="s">
        <v>262</v>
      </c>
      <c r="BM11" s="508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81" t="s">
        <v>857</v>
      </c>
      <c r="CF11" s="882" t="s">
        <v>802</v>
      </c>
      <c r="CG11" s="882" t="s">
        <v>858</v>
      </c>
      <c r="CH11" s="882" t="s">
        <v>859</v>
      </c>
      <c r="CI11" s="882" t="s">
        <v>796</v>
      </c>
      <c r="CJ11" s="883" t="s">
        <v>533</v>
      </c>
    </row>
    <row r="12" spans="1:89" ht="12.95" customHeight="1">
      <c r="A12" s="268">
        <v>1</v>
      </c>
      <c r="B12" s="317">
        <v>5415</v>
      </c>
      <c r="C12" s="318">
        <v>667000135</v>
      </c>
      <c r="D12" s="317">
        <v>71011170</v>
      </c>
      <c r="E12" s="343" t="s">
        <v>766</v>
      </c>
      <c r="F12" s="317">
        <v>3111</v>
      </c>
      <c r="G12" s="344" t="s">
        <v>304</v>
      </c>
      <c r="H12" s="639" t="s">
        <v>271</v>
      </c>
      <c r="I12" s="405">
        <v>20151263</v>
      </c>
      <c r="J12" s="406">
        <v>14760759</v>
      </c>
      <c r="K12" s="406">
        <v>12964989</v>
      </c>
      <c r="L12" s="406">
        <v>1795770</v>
      </c>
      <c r="M12" s="406">
        <v>125000</v>
      </c>
      <c r="N12" s="406">
        <v>30000</v>
      </c>
      <c r="O12" s="406">
        <v>95000</v>
      </c>
      <c r="P12" s="144">
        <v>5031386</v>
      </c>
      <c r="Q12" s="144">
        <v>147608</v>
      </c>
      <c r="R12" s="406">
        <v>86510</v>
      </c>
      <c r="S12" s="407">
        <v>28.508499999999998</v>
      </c>
      <c r="T12" s="408">
        <v>22.188099999999999</v>
      </c>
      <c r="U12" s="421">
        <v>6.3203999999999994</v>
      </c>
      <c r="V12" s="411">
        <f>AH12*-1</f>
        <v>0</v>
      </c>
      <c r="W12" s="409">
        <f>AI12*-1</f>
        <v>-35000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-35000</v>
      </c>
      <c r="AG12" s="409">
        <f>SUM(AE12:AF12)</f>
        <v>-35000</v>
      </c>
      <c r="AH12" s="409">
        <v>0</v>
      </c>
      <c r="AI12" s="409">
        <v>35000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35000</v>
      </c>
      <c r="AO12" s="409">
        <f>SUM(AM12:AN12)</f>
        <v>35000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-350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-350</v>
      </c>
      <c r="AZ12" s="410">
        <v>0</v>
      </c>
      <c r="BA12" s="410">
        <v>-0.05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-0.05</v>
      </c>
      <c r="BK12" s="412">
        <f>SUM(BI12:BJ12)</f>
        <v>-0.05</v>
      </c>
      <c r="BL12" s="771">
        <f>I12+AY12</f>
        <v>20150913</v>
      </c>
      <c r="BM12" s="771">
        <f>J12+AG12</f>
        <v>14725759</v>
      </c>
      <c r="BN12" s="409">
        <f t="shared" ref="BN12:BO15" si="0">K12+AE12</f>
        <v>12964989</v>
      </c>
      <c r="BO12" s="409">
        <f t="shared" si="0"/>
        <v>1760770</v>
      </c>
      <c r="BP12" s="409">
        <f>M12+AO12</f>
        <v>160000</v>
      </c>
      <c r="BQ12" s="409">
        <f t="shared" ref="BQ12:BR15" si="1">N12+AM12</f>
        <v>30000</v>
      </c>
      <c r="BR12" s="409">
        <f t="shared" si="1"/>
        <v>130000</v>
      </c>
      <c r="BS12" s="409">
        <f t="shared" ref="BS12:BT15" si="2">P12+AS12</f>
        <v>5031386</v>
      </c>
      <c r="BT12" s="409">
        <f t="shared" si="2"/>
        <v>147258</v>
      </c>
      <c r="BU12" s="409">
        <f>R12+AX12</f>
        <v>86510</v>
      </c>
      <c r="BV12" s="410">
        <f>S12+BK12</f>
        <v>28.458499999999997</v>
      </c>
      <c r="BW12" s="410">
        <f t="shared" ref="BW12:BX15" si="3">T12+BI12</f>
        <v>22.188099999999999</v>
      </c>
      <c r="BX12" s="412">
        <f t="shared" si="3"/>
        <v>6.2703999999999995</v>
      </c>
      <c r="BY12" s="589"/>
      <c r="BZ12" s="590"/>
      <c r="CA12" s="590"/>
      <c r="CB12" s="590"/>
      <c r="CC12" s="590"/>
      <c r="CD12" s="978"/>
      <c r="CE12" s="589">
        <v>846598</v>
      </c>
      <c r="CF12" s="590">
        <v>606696</v>
      </c>
      <c r="CG12" s="590">
        <v>205063</v>
      </c>
      <c r="CH12" s="590">
        <v>6067</v>
      </c>
      <c r="CI12" s="590">
        <v>28772</v>
      </c>
      <c r="CJ12" s="978">
        <v>2.1338999999999997</v>
      </c>
      <c r="CK12" s="315"/>
    </row>
    <row r="13" spans="1:89" ht="12.95" customHeight="1">
      <c r="A13" s="280">
        <v>1</v>
      </c>
      <c r="B13" s="321">
        <v>5415</v>
      </c>
      <c r="C13" s="322">
        <v>667000135</v>
      </c>
      <c r="D13" s="321">
        <v>71011170</v>
      </c>
      <c r="E13" s="343" t="s">
        <v>766</v>
      </c>
      <c r="F13" s="321">
        <v>3111</v>
      </c>
      <c r="G13" s="284" t="s">
        <v>291</v>
      </c>
      <c r="H13" s="640" t="s">
        <v>272</v>
      </c>
      <c r="I13" s="419">
        <v>672641</v>
      </c>
      <c r="J13" s="414">
        <v>498621</v>
      </c>
      <c r="K13" s="414">
        <v>498621</v>
      </c>
      <c r="L13" s="414">
        <v>0</v>
      </c>
      <c r="M13" s="414">
        <v>0</v>
      </c>
      <c r="N13" s="414">
        <v>0</v>
      </c>
      <c r="O13" s="414">
        <v>0</v>
      </c>
      <c r="P13" s="68">
        <v>168534</v>
      </c>
      <c r="Q13" s="68">
        <v>4986</v>
      </c>
      <c r="R13" s="414">
        <v>500</v>
      </c>
      <c r="S13" s="415">
        <v>1.2999999999999998</v>
      </c>
      <c r="T13" s="416">
        <v>1.2999999999999998</v>
      </c>
      <c r="U13" s="422">
        <v>0</v>
      </c>
      <c r="V13" s="423">
        <f t="shared" ref="V13:W76" si="4">AH13*-1</f>
        <v>0</v>
      </c>
      <c r="W13" s="417">
        <f t="shared" si="4"/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6" si="5">V13+X13+Y13+Z13+AC13</f>
        <v>0</v>
      </c>
      <c r="AF13" s="417">
        <f t="shared" ref="AF13:AF76" si="6">W13+AA13+AD13+AB13</f>
        <v>0</v>
      </c>
      <c r="AG13" s="417">
        <f t="shared" ref="AG13:AG76" si="7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6" si="8">AH13+AJ13+AK13</f>
        <v>0</v>
      </c>
      <c r="AN13" s="417">
        <f t="shared" ref="AN13:AN76" si="9">AI13+AL13</f>
        <v>0</v>
      </c>
      <c r="AO13" s="417">
        <f t="shared" ref="AO13:AO76" si="10">SUM(AM13:AN13)</f>
        <v>0</v>
      </c>
      <c r="AP13" s="417">
        <f t="shared" ref="AP13:AQ76" si="11">AE13+AM13</f>
        <v>0</v>
      </c>
      <c r="AQ13" s="417">
        <f t="shared" si="11"/>
        <v>0</v>
      </c>
      <c r="AR13" s="417">
        <f t="shared" ref="AR13:AR76" si="12">SUM(AP13:AQ13)</f>
        <v>0</v>
      </c>
      <c r="AS13" s="68">
        <f t="shared" ref="AS13:AS76" si="13">ROUND((AG13+AH13+AI13+AJ13)*33.8%,0)</f>
        <v>0</v>
      </c>
      <c r="AT13" s="68">
        <f t="shared" ref="AT13:AT76" si="14">ROUND(AG13*1%,0)</f>
        <v>0</v>
      </c>
      <c r="AU13" s="417">
        <v>0</v>
      </c>
      <c r="AV13" s="417">
        <v>0</v>
      </c>
      <c r="AW13" s="417">
        <v>0</v>
      </c>
      <c r="AX13" s="417">
        <f t="shared" ref="AX13:AX76" si="15">SUM(AU13:AW13)</f>
        <v>0</v>
      </c>
      <c r="AY13" s="417">
        <f t="shared" ref="AY13:AY76" si="16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6" si="17">AZ13+BB13+BC13+BE13+BG13</f>
        <v>0</v>
      </c>
      <c r="BJ13" s="418">
        <f t="shared" ref="BJ13:BJ76" si="18">BA13+BD13+BH13+BF13</f>
        <v>0</v>
      </c>
      <c r="BK13" s="420">
        <f t="shared" ref="BK13:BK76" si="19">SUM(BI13:BJ13)</f>
        <v>0</v>
      </c>
      <c r="BL13" s="772">
        <f>I13+AY13</f>
        <v>672641</v>
      </c>
      <c r="BM13" s="772">
        <f>J13+AG13</f>
        <v>498621</v>
      </c>
      <c r="BN13" s="417">
        <f t="shared" si="0"/>
        <v>498621</v>
      </c>
      <c r="BO13" s="417">
        <f t="shared" si="0"/>
        <v>0</v>
      </c>
      <c r="BP13" s="417">
        <f>M13+AO13</f>
        <v>0</v>
      </c>
      <c r="BQ13" s="417">
        <f t="shared" si="1"/>
        <v>0</v>
      </c>
      <c r="BR13" s="417">
        <f t="shared" si="1"/>
        <v>0</v>
      </c>
      <c r="BS13" s="417">
        <f t="shared" si="2"/>
        <v>168534</v>
      </c>
      <c r="BT13" s="417">
        <f t="shared" si="2"/>
        <v>4986</v>
      </c>
      <c r="BU13" s="417">
        <f>R13+AX13</f>
        <v>500</v>
      </c>
      <c r="BV13" s="418">
        <f>S13+BK13</f>
        <v>1.2999999999999998</v>
      </c>
      <c r="BW13" s="418">
        <f t="shared" si="3"/>
        <v>1.2999999999999998</v>
      </c>
      <c r="BX13" s="420">
        <f t="shared" si="3"/>
        <v>0</v>
      </c>
      <c r="BY13" s="596"/>
      <c r="BZ13" s="595"/>
      <c r="CA13" s="595"/>
      <c r="CB13" s="595"/>
      <c r="CC13" s="595"/>
      <c r="CD13" s="981"/>
      <c r="CE13" s="596"/>
      <c r="CF13" s="595"/>
      <c r="CG13" s="595"/>
      <c r="CH13" s="595"/>
      <c r="CI13" s="595"/>
      <c r="CJ13" s="981"/>
      <c r="CK13" s="315"/>
    </row>
    <row r="14" spans="1:89" ht="12.95" customHeight="1">
      <c r="A14" s="280">
        <v>1</v>
      </c>
      <c r="B14" s="321">
        <v>5415</v>
      </c>
      <c r="C14" s="322">
        <v>667000135</v>
      </c>
      <c r="D14" s="321">
        <v>71011170</v>
      </c>
      <c r="E14" s="343" t="s">
        <v>766</v>
      </c>
      <c r="F14" s="321">
        <v>3111</v>
      </c>
      <c r="G14" s="286" t="s">
        <v>292</v>
      </c>
      <c r="H14" s="640" t="s">
        <v>271</v>
      </c>
      <c r="I14" s="419">
        <v>1068441</v>
      </c>
      <c r="J14" s="414">
        <v>792612</v>
      </c>
      <c r="K14" s="414">
        <v>792612</v>
      </c>
      <c r="L14" s="414">
        <v>0</v>
      </c>
      <c r="M14" s="414">
        <v>0</v>
      </c>
      <c r="N14" s="414">
        <v>0</v>
      </c>
      <c r="O14" s="414">
        <v>0</v>
      </c>
      <c r="P14" s="68">
        <v>267903</v>
      </c>
      <c r="Q14" s="68">
        <v>7926</v>
      </c>
      <c r="R14" s="414">
        <v>0</v>
      </c>
      <c r="S14" s="415">
        <v>1.8</v>
      </c>
      <c r="T14" s="416">
        <v>1.8</v>
      </c>
      <c r="U14" s="422">
        <v>0</v>
      </c>
      <c r="V14" s="423">
        <f t="shared" si="4"/>
        <v>0</v>
      </c>
      <c r="W14" s="417">
        <f t="shared" si="4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si="5"/>
        <v>0</v>
      </c>
      <c r="AF14" s="417">
        <f t="shared" si="6"/>
        <v>0</v>
      </c>
      <c r="AG14" s="417">
        <f t="shared" si="7"/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8"/>
        <v>0</v>
      </c>
      <c r="AN14" s="417">
        <f t="shared" si="9"/>
        <v>0</v>
      </c>
      <c r="AO14" s="417">
        <f t="shared" si="10"/>
        <v>0</v>
      </c>
      <c r="AP14" s="417">
        <f t="shared" si="11"/>
        <v>0</v>
      </c>
      <c r="AQ14" s="417">
        <f t="shared" si="11"/>
        <v>0</v>
      </c>
      <c r="AR14" s="417">
        <f t="shared" si="12"/>
        <v>0</v>
      </c>
      <c r="AS14" s="68">
        <f t="shared" si="13"/>
        <v>0</v>
      </c>
      <c r="AT14" s="68">
        <f t="shared" si="14"/>
        <v>0</v>
      </c>
      <c r="AU14" s="417">
        <v>0</v>
      </c>
      <c r="AV14" s="417">
        <v>0</v>
      </c>
      <c r="AW14" s="417">
        <v>0</v>
      </c>
      <c r="AX14" s="417">
        <f t="shared" si="15"/>
        <v>0</v>
      </c>
      <c r="AY14" s="417">
        <f t="shared" si="16"/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17"/>
        <v>0</v>
      </c>
      <c r="BJ14" s="418">
        <f t="shared" si="18"/>
        <v>0</v>
      </c>
      <c r="BK14" s="420">
        <f t="shared" si="19"/>
        <v>0</v>
      </c>
      <c r="BL14" s="772">
        <f>I14+AY14</f>
        <v>1068441</v>
      </c>
      <c r="BM14" s="772">
        <f>J14+AG14</f>
        <v>792612</v>
      </c>
      <c r="BN14" s="417">
        <f t="shared" si="0"/>
        <v>792612</v>
      </c>
      <c r="BO14" s="417">
        <f t="shared" si="0"/>
        <v>0</v>
      </c>
      <c r="BP14" s="417">
        <f>M14+AO14</f>
        <v>0</v>
      </c>
      <c r="BQ14" s="417">
        <f t="shared" si="1"/>
        <v>0</v>
      </c>
      <c r="BR14" s="417">
        <f t="shared" si="1"/>
        <v>0</v>
      </c>
      <c r="BS14" s="417">
        <f t="shared" si="2"/>
        <v>267903</v>
      </c>
      <c r="BT14" s="417">
        <f t="shared" si="2"/>
        <v>7926</v>
      </c>
      <c r="BU14" s="417">
        <f>R14+AX14</f>
        <v>0</v>
      </c>
      <c r="BV14" s="418">
        <f>S14+BK14</f>
        <v>1.8</v>
      </c>
      <c r="BW14" s="418">
        <f t="shared" si="3"/>
        <v>1.8</v>
      </c>
      <c r="BX14" s="420">
        <f t="shared" si="3"/>
        <v>0</v>
      </c>
      <c r="BY14" s="596"/>
      <c r="BZ14" s="595"/>
      <c r="CA14" s="595"/>
      <c r="CB14" s="595"/>
      <c r="CC14" s="595"/>
      <c r="CD14" s="981"/>
      <c r="CE14" s="596"/>
      <c r="CF14" s="595"/>
      <c r="CG14" s="595"/>
      <c r="CH14" s="595"/>
      <c r="CI14" s="595"/>
      <c r="CJ14" s="981"/>
      <c r="CK14" s="315"/>
    </row>
    <row r="15" spans="1:89" ht="12.95" customHeight="1" thickBot="1">
      <c r="A15" s="280">
        <v>1</v>
      </c>
      <c r="B15" s="321">
        <v>5415</v>
      </c>
      <c r="C15" s="322">
        <v>667000135</v>
      </c>
      <c r="D15" s="321">
        <v>71011170</v>
      </c>
      <c r="E15" s="343" t="s">
        <v>766</v>
      </c>
      <c r="F15" s="321">
        <v>3141</v>
      </c>
      <c r="G15" s="345" t="s">
        <v>294</v>
      </c>
      <c r="H15" s="640" t="s">
        <v>272</v>
      </c>
      <c r="I15" s="419">
        <v>2568417</v>
      </c>
      <c r="J15" s="414">
        <v>1897291</v>
      </c>
      <c r="K15" s="414">
        <v>0</v>
      </c>
      <c r="L15" s="414">
        <v>1897291</v>
      </c>
      <c r="M15" s="414">
        <v>0</v>
      </c>
      <c r="N15" s="414">
        <v>0</v>
      </c>
      <c r="O15" s="414">
        <v>0</v>
      </c>
      <c r="P15" s="68">
        <v>641285</v>
      </c>
      <c r="Q15" s="68">
        <v>18973</v>
      </c>
      <c r="R15" s="414">
        <v>10868</v>
      </c>
      <c r="S15" s="415">
        <v>5.6934000000000005</v>
      </c>
      <c r="T15" s="416">
        <v>0</v>
      </c>
      <c r="U15" s="422">
        <v>5.6934000000000005</v>
      </c>
      <c r="V15" s="423">
        <f t="shared" si="4"/>
        <v>0</v>
      </c>
      <c r="W15" s="417">
        <f t="shared" si="4"/>
        <v>0</v>
      </c>
      <c r="X15" s="417">
        <v>0</v>
      </c>
      <c r="Y15" s="417">
        <v>0</v>
      </c>
      <c r="Z15" s="417">
        <v>0</v>
      </c>
      <c r="AA15" s="417">
        <v>-56308</v>
      </c>
      <c r="AB15" s="417">
        <v>0</v>
      </c>
      <c r="AC15" s="417">
        <v>0</v>
      </c>
      <c r="AD15" s="417">
        <v>0</v>
      </c>
      <c r="AE15" s="417">
        <f t="shared" si="5"/>
        <v>0</v>
      </c>
      <c r="AF15" s="417">
        <f t="shared" si="6"/>
        <v>-56308</v>
      </c>
      <c r="AG15" s="417">
        <f t="shared" si="7"/>
        <v>-56308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8"/>
        <v>0</v>
      </c>
      <c r="AN15" s="417">
        <f t="shared" si="9"/>
        <v>0</v>
      </c>
      <c r="AO15" s="417">
        <f t="shared" si="10"/>
        <v>0</v>
      </c>
      <c r="AP15" s="417">
        <f t="shared" si="11"/>
        <v>0</v>
      </c>
      <c r="AQ15" s="417">
        <f t="shared" si="11"/>
        <v>-56308</v>
      </c>
      <c r="AR15" s="417">
        <f t="shared" si="12"/>
        <v>-56308</v>
      </c>
      <c r="AS15" s="68">
        <f t="shared" si="13"/>
        <v>-19032</v>
      </c>
      <c r="AT15" s="68">
        <f t="shared" si="14"/>
        <v>-563</v>
      </c>
      <c r="AU15" s="417">
        <v>0</v>
      </c>
      <c r="AV15" s="417">
        <v>0</v>
      </c>
      <c r="AW15" s="417">
        <v>0</v>
      </c>
      <c r="AX15" s="417">
        <f t="shared" si="15"/>
        <v>0</v>
      </c>
      <c r="AY15" s="417">
        <f t="shared" si="16"/>
        <v>-75903</v>
      </c>
      <c r="AZ15" s="418">
        <v>0</v>
      </c>
      <c r="BA15" s="418">
        <v>0</v>
      </c>
      <c r="BB15" s="418">
        <v>0</v>
      </c>
      <c r="BC15" s="418">
        <v>0</v>
      </c>
      <c r="BD15" s="418">
        <v>-0.16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7"/>
        <v>0</v>
      </c>
      <c r="BJ15" s="418">
        <f t="shared" si="18"/>
        <v>-0.16</v>
      </c>
      <c r="BK15" s="420">
        <f t="shared" si="19"/>
        <v>-0.16</v>
      </c>
      <c r="BL15" s="1080">
        <f>I15+AY15</f>
        <v>2492514</v>
      </c>
      <c r="BM15" s="772">
        <f>J15+AG15</f>
        <v>1840983</v>
      </c>
      <c r="BN15" s="417">
        <f t="shared" si="0"/>
        <v>0</v>
      </c>
      <c r="BO15" s="417">
        <f t="shared" si="0"/>
        <v>1840983</v>
      </c>
      <c r="BP15" s="417">
        <f>M15+AO15</f>
        <v>0</v>
      </c>
      <c r="BQ15" s="417">
        <f t="shared" si="1"/>
        <v>0</v>
      </c>
      <c r="BR15" s="417">
        <f t="shared" si="1"/>
        <v>0</v>
      </c>
      <c r="BS15" s="417">
        <f t="shared" si="2"/>
        <v>622253</v>
      </c>
      <c r="BT15" s="417">
        <f t="shared" si="2"/>
        <v>18410</v>
      </c>
      <c r="BU15" s="417">
        <f>R15+AX15</f>
        <v>10868</v>
      </c>
      <c r="BV15" s="418">
        <f>S15+BK15</f>
        <v>5.5334000000000003</v>
      </c>
      <c r="BW15" s="418">
        <f t="shared" si="3"/>
        <v>0</v>
      </c>
      <c r="BX15" s="420">
        <f t="shared" si="3"/>
        <v>5.5334000000000003</v>
      </c>
      <c r="BY15" s="596"/>
      <c r="BZ15" s="595"/>
      <c r="CA15" s="595"/>
      <c r="CB15" s="595"/>
      <c r="CC15" s="595"/>
      <c r="CD15" s="981"/>
      <c r="CE15" s="596"/>
      <c r="CF15" s="595"/>
      <c r="CG15" s="595"/>
      <c r="CH15" s="595"/>
      <c r="CI15" s="595"/>
      <c r="CJ15" s="981"/>
      <c r="CK15" s="315"/>
    </row>
    <row r="16" spans="1:89" ht="12.95" customHeight="1">
      <c r="A16" s="641">
        <v>1</v>
      </c>
      <c r="B16" s="275">
        <v>5415</v>
      </c>
      <c r="C16" s="346">
        <v>667000135</v>
      </c>
      <c r="D16" s="275">
        <v>71011170</v>
      </c>
      <c r="E16" s="402" t="s">
        <v>766</v>
      </c>
      <c r="F16" s="275"/>
      <c r="G16" s="347"/>
      <c r="H16" s="642"/>
      <c r="I16" s="464">
        <v>24460762</v>
      </c>
      <c r="J16" s="460">
        <v>17949283</v>
      </c>
      <c r="K16" s="460">
        <v>14256222</v>
      </c>
      <c r="L16" s="460">
        <v>3693061</v>
      </c>
      <c r="M16" s="460">
        <v>125000</v>
      </c>
      <c r="N16" s="460">
        <v>30000</v>
      </c>
      <c r="O16" s="460">
        <v>95000</v>
      </c>
      <c r="P16" s="460">
        <v>6109108</v>
      </c>
      <c r="Q16" s="460">
        <v>179493</v>
      </c>
      <c r="R16" s="460">
        <v>97878</v>
      </c>
      <c r="S16" s="461">
        <v>37.301900000000003</v>
      </c>
      <c r="T16" s="461">
        <v>25.2881</v>
      </c>
      <c r="U16" s="534">
        <v>12.0138</v>
      </c>
      <c r="V16" s="471">
        <f t="shared" ref="V16:BK16" si="20">SUM(V12:V15)</f>
        <v>0</v>
      </c>
      <c r="W16" s="467">
        <f t="shared" si="20"/>
        <v>-35000</v>
      </c>
      <c r="X16" s="467">
        <f t="shared" si="20"/>
        <v>0</v>
      </c>
      <c r="Y16" s="467">
        <f t="shared" si="20"/>
        <v>0</v>
      </c>
      <c r="Z16" s="467">
        <f t="shared" si="20"/>
        <v>0</v>
      </c>
      <c r="AA16" s="467">
        <f t="shared" si="20"/>
        <v>-56308</v>
      </c>
      <c r="AB16" s="467">
        <f t="shared" si="20"/>
        <v>0</v>
      </c>
      <c r="AC16" s="467">
        <f t="shared" si="20"/>
        <v>0</v>
      </c>
      <c r="AD16" s="467">
        <f t="shared" si="20"/>
        <v>0</v>
      </c>
      <c r="AE16" s="467">
        <f t="shared" si="20"/>
        <v>0</v>
      </c>
      <c r="AF16" s="467">
        <f t="shared" si="20"/>
        <v>-91308</v>
      </c>
      <c r="AG16" s="467">
        <f t="shared" si="20"/>
        <v>-91308</v>
      </c>
      <c r="AH16" s="467">
        <f t="shared" si="20"/>
        <v>0</v>
      </c>
      <c r="AI16" s="467">
        <f t="shared" si="20"/>
        <v>35000</v>
      </c>
      <c r="AJ16" s="467">
        <f t="shared" si="20"/>
        <v>0</v>
      </c>
      <c r="AK16" s="467">
        <f t="shared" si="20"/>
        <v>0</v>
      </c>
      <c r="AL16" s="467">
        <f t="shared" si="20"/>
        <v>0</v>
      </c>
      <c r="AM16" s="467">
        <f t="shared" si="20"/>
        <v>0</v>
      </c>
      <c r="AN16" s="467">
        <f t="shared" si="20"/>
        <v>35000</v>
      </c>
      <c r="AO16" s="467">
        <f t="shared" si="20"/>
        <v>35000</v>
      </c>
      <c r="AP16" s="467">
        <f t="shared" si="20"/>
        <v>0</v>
      </c>
      <c r="AQ16" s="467">
        <f t="shared" si="20"/>
        <v>-56308</v>
      </c>
      <c r="AR16" s="467">
        <f t="shared" si="20"/>
        <v>-56308</v>
      </c>
      <c r="AS16" s="467">
        <f t="shared" si="20"/>
        <v>-19032</v>
      </c>
      <c r="AT16" s="467">
        <f t="shared" si="20"/>
        <v>-913</v>
      </c>
      <c r="AU16" s="467">
        <f t="shared" si="20"/>
        <v>0</v>
      </c>
      <c r="AV16" s="467">
        <f t="shared" si="20"/>
        <v>0</v>
      </c>
      <c r="AW16" s="467">
        <f t="shared" si="20"/>
        <v>0</v>
      </c>
      <c r="AX16" s="467">
        <f t="shared" si="20"/>
        <v>0</v>
      </c>
      <c r="AY16" s="467">
        <f t="shared" si="20"/>
        <v>-76253</v>
      </c>
      <c r="AZ16" s="468">
        <f t="shared" si="20"/>
        <v>0</v>
      </c>
      <c r="BA16" s="468">
        <f t="shared" si="20"/>
        <v>-0.05</v>
      </c>
      <c r="BB16" s="468">
        <f t="shared" si="20"/>
        <v>0</v>
      </c>
      <c r="BC16" s="468">
        <f t="shared" si="20"/>
        <v>0</v>
      </c>
      <c r="BD16" s="468">
        <f t="shared" si="20"/>
        <v>-0.16</v>
      </c>
      <c r="BE16" s="468">
        <f t="shared" si="20"/>
        <v>0</v>
      </c>
      <c r="BF16" s="468">
        <f t="shared" si="20"/>
        <v>0</v>
      </c>
      <c r="BG16" s="468">
        <f t="shared" si="20"/>
        <v>0</v>
      </c>
      <c r="BH16" s="468">
        <f t="shared" si="20"/>
        <v>0</v>
      </c>
      <c r="BI16" s="468">
        <f t="shared" si="20"/>
        <v>0</v>
      </c>
      <c r="BJ16" s="468">
        <f t="shared" si="20"/>
        <v>-0.21000000000000002</v>
      </c>
      <c r="BK16" s="328">
        <f t="shared" si="20"/>
        <v>-0.21000000000000002</v>
      </c>
      <c r="BL16" s="1083">
        <f t="shared" ref="BL16:CG16" si="21">SUM(BL12:BL15)</f>
        <v>24384509</v>
      </c>
      <c r="BM16" s="774">
        <f t="shared" si="21"/>
        <v>17857975</v>
      </c>
      <c r="BN16" s="467">
        <f t="shared" si="21"/>
        <v>14256222</v>
      </c>
      <c r="BO16" s="467">
        <f t="shared" si="21"/>
        <v>3601753</v>
      </c>
      <c r="BP16" s="467">
        <f t="shared" si="21"/>
        <v>160000</v>
      </c>
      <c r="BQ16" s="467">
        <f t="shared" si="21"/>
        <v>30000</v>
      </c>
      <c r="BR16" s="467">
        <f t="shared" si="21"/>
        <v>130000</v>
      </c>
      <c r="BS16" s="467">
        <f t="shared" si="21"/>
        <v>6090076</v>
      </c>
      <c r="BT16" s="467">
        <f t="shared" si="21"/>
        <v>178580</v>
      </c>
      <c r="BU16" s="467">
        <f t="shared" si="21"/>
        <v>97878</v>
      </c>
      <c r="BV16" s="468">
        <f t="shared" si="21"/>
        <v>37.091899999999995</v>
      </c>
      <c r="BW16" s="468">
        <f t="shared" si="21"/>
        <v>25.2881</v>
      </c>
      <c r="BX16" s="328">
        <f t="shared" si="21"/>
        <v>11.803799999999999</v>
      </c>
      <c r="BY16" s="979">
        <f t="shared" si="21"/>
        <v>0</v>
      </c>
      <c r="BZ16" s="721">
        <f t="shared" si="21"/>
        <v>0</v>
      </c>
      <c r="CA16" s="721">
        <f t="shared" si="21"/>
        <v>0</v>
      </c>
      <c r="CB16" s="721">
        <f t="shared" si="21"/>
        <v>0</v>
      </c>
      <c r="CC16" s="721">
        <f t="shared" si="21"/>
        <v>0</v>
      </c>
      <c r="CD16" s="826">
        <f t="shared" si="21"/>
        <v>0</v>
      </c>
      <c r="CE16" s="995">
        <f t="shared" si="21"/>
        <v>846598</v>
      </c>
      <c r="CF16" s="995">
        <f t="shared" si="21"/>
        <v>606696</v>
      </c>
      <c r="CG16" s="995">
        <f t="shared" si="21"/>
        <v>205063</v>
      </c>
      <c r="CH16" s="995">
        <f t="shared" ref="CH16:CJ16" si="22">SUM(CH12:CH15)</f>
        <v>6067</v>
      </c>
      <c r="CI16" s="995">
        <f t="shared" si="22"/>
        <v>28772</v>
      </c>
      <c r="CJ16" s="933">
        <f t="shared" si="22"/>
        <v>2.1338999999999997</v>
      </c>
      <c r="CK16" s="315"/>
    </row>
    <row r="17" spans="1:89" ht="12.95" customHeight="1">
      <c r="A17" s="280">
        <v>2</v>
      </c>
      <c r="B17" s="321">
        <v>5416</v>
      </c>
      <c r="C17" s="322">
        <v>600099342</v>
      </c>
      <c r="D17" s="321">
        <v>854719</v>
      </c>
      <c r="E17" s="348" t="s">
        <v>411</v>
      </c>
      <c r="F17" s="321">
        <v>3113</v>
      </c>
      <c r="G17" s="345" t="s">
        <v>308</v>
      </c>
      <c r="H17" s="640" t="s">
        <v>271</v>
      </c>
      <c r="I17" s="419">
        <v>22372887</v>
      </c>
      <c r="J17" s="414">
        <v>16216953</v>
      </c>
      <c r="K17" s="414">
        <v>14378112</v>
      </c>
      <c r="L17" s="414">
        <v>1838841</v>
      </c>
      <c r="M17" s="414">
        <v>120000</v>
      </c>
      <c r="N17" s="414">
        <v>81600</v>
      </c>
      <c r="O17" s="414">
        <v>38400</v>
      </c>
      <c r="P17" s="68">
        <v>5521890</v>
      </c>
      <c r="Q17" s="68">
        <v>162169</v>
      </c>
      <c r="R17" s="414">
        <v>351875</v>
      </c>
      <c r="S17" s="415">
        <v>26.441399999999998</v>
      </c>
      <c r="T17" s="416">
        <v>21.084499999999998</v>
      </c>
      <c r="U17" s="422">
        <v>5.3568999999999996</v>
      </c>
      <c r="V17" s="423">
        <f t="shared" si="4"/>
        <v>-38400</v>
      </c>
      <c r="W17" s="417">
        <f t="shared" si="4"/>
        <v>-11600</v>
      </c>
      <c r="X17" s="417">
        <v>0</v>
      </c>
      <c r="Y17" s="417">
        <v>0</v>
      </c>
      <c r="Z17" s="417">
        <v>-170100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5"/>
        <v>-208500</v>
      </c>
      <c r="AF17" s="417">
        <f t="shared" si="6"/>
        <v>-11600</v>
      </c>
      <c r="AG17" s="417">
        <f t="shared" si="7"/>
        <v>-220100</v>
      </c>
      <c r="AH17" s="417">
        <v>38400</v>
      </c>
      <c r="AI17" s="417">
        <v>11600</v>
      </c>
      <c r="AJ17" s="417">
        <v>0</v>
      </c>
      <c r="AK17" s="417">
        <v>0</v>
      </c>
      <c r="AL17" s="417">
        <v>0</v>
      </c>
      <c r="AM17" s="417">
        <f t="shared" si="8"/>
        <v>38400</v>
      </c>
      <c r="AN17" s="417">
        <f t="shared" si="9"/>
        <v>11600</v>
      </c>
      <c r="AO17" s="417">
        <f t="shared" si="10"/>
        <v>50000</v>
      </c>
      <c r="AP17" s="417">
        <f t="shared" si="11"/>
        <v>-170100</v>
      </c>
      <c r="AQ17" s="417">
        <f t="shared" si="11"/>
        <v>0</v>
      </c>
      <c r="AR17" s="417">
        <f t="shared" si="12"/>
        <v>-170100</v>
      </c>
      <c r="AS17" s="68">
        <f t="shared" si="13"/>
        <v>-57494</v>
      </c>
      <c r="AT17" s="68">
        <f t="shared" si="14"/>
        <v>-2201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-229795</v>
      </c>
      <c r="AZ17" s="418">
        <v>-0.01</v>
      </c>
      <c r="BA17" s="418">
        <v>-0.03</v>
      </c>
      <c r="BB17" s="418">
        <v>0</v>
      </c>
      <c r="BC17" s="418">
        <v>-0.33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-0.34</v>
      </c>
      <c r="BJ17" s="418">
        <f t="shared" si="18"/>
        <v>-0.03</v>
      </c>
      <c r="BK17" s="420">
        <f t="shared" si="19"/>
        <v>-0.37</v>
      </c>
      <c r="BL17" s="772">
        <f>I17+AY17</f>
        <v>22143092</v>
      </c>
      <c r="BM17" s="772">
        <f>J17+AG17</f>
        <v>15996853</v>
      </c>
      <c r="BN17" s="417">
        <f t="shared" ref="BN17:BO20" si="23">K17+AE17</f>
        <v>14169612</v>
      </c>
      <c r="BO17" s="417">
        <f t="shared" si="23"/>
        <v>1827241</v>
      </c>
      <c r="BP17" s="417">
        <f>M17+AO17</f>
        <v>170000</v>
      </c>
      <c r="BQ17" s="417">
        <f t="shared" ref="BQ17:BR20" si="24">N17+AM17</f>
        <v>120000</v>
      </c>
      <c r="BR17" s="417">
        <f t="shared" si="24"/>
        <v>50000</v>
      </c>
      <c r="BS17" s="417">
        <f t="shared" ref="BS17:BT20" si="25">P17+AS17</f>
        <v>5464396</v>
      </c>
      <c r="BT17" s="417">
        <f t="shared" si="25"/>
        <v>159968</v>
      </c>
      <c r="BU17" s="417">
        <f>R17+AX17</f>
        <v>351875</v>
      </c>
      <c r="BV17" s="418">
        <f>S17+BK17</f>
        <v>26.071399999999997</v>
      </c>
      <c r="BW17" s="418">
        <f t="shared" ref="BW17:BX20" si="26">T17+BI17</f>
        <v>20.744499999999999</v>
      </c>
      <c r="BX17" s="420">
        <f t="shared" si="26"/>
        <v>5.3268999999999993</v>
      </c>
      <c r="BY17" s="596">
        <v>608218</v>
      </c>
      <c r="BZ17" s="595">
        <v>451200</v>
      </c>
      <c r="CA17" s="595">
        <v>0</v>
      </c>
      <c r="CB17" s="595">
        <v>152506</v>
      </c>
      <c r="CC17" s="595">
        <v>4512</v>
      </c>
      <c r="CD17" s="981">
        <v>0.8</v>
      </c>
      <c r="CE17" s="994">
        <v>896370</v>
      </c>
      <c r="CF17" s="595">
        <v>602533</v>
      </c>
      <c r="CG17" s="595">
        <v>203656</v>
      </c>
      <c r="CH17" s="595">
        <v>6025</v>
      </c>
      <c r="CI17" s="595">
        <v>84156</v>
      </c>
      <c r="CJ17" s="981">
        <v>1.7772999999999999</v>
      </c>
      <c r="CK17" s="315"/>
    </row>
    <row r="18" spans="1:89" ht="12.95" customHeight="1">
      <c r="A18" s="280">
        <v>2</v>
      </c>
      <c r="B18" s="321">
        <v>5416</v>
      </c>
      <c r="C18" s="322">
        <v>600099342</v>
      </c>
      <c r="D18" s="321">
        <v>854719</v>
      </c>
      <c r="E18" s="348" t="s">
        <v>411</v>
      </c>
      <c r="F18" s="321">
        <v>3113</v>
      </c>
      <c r="G18" s="284" t="s">
        <v>291</v>
      </c>
      <c r="H18" s="640" t="s">
        <v>272</v>
      </c>
      <c r="I18" s="419">
        <v>2159390</v>
      </c>
      <c r="J18" s="414">
        <v>1556007</v>
      </c>
      <c r="K18" s="414">
        <v>1556007</v>
      </c>
      <c r="L18" s="414">
        <v>0</v>
      </c>
      <c r="M18" s="414">
        <v>0</v>
      </c>
      <c r="N18" s="414">
        <v>0</v>
      </c>
      <c r="O18" s="414">
        <v>0</v>
      </c>
      <c r="P18" s="68">
        <v>525930</v>
      </c>
      <c r="Q18" s="68">
        <v>15560</v>
      </c>
      <c r="R18" s="414">
        <v>61893</v>
      </c>
      <c r="S18" s="415">
        <v>4.18</v>
      </c>
      <c r="T18" s="416">
        <v>4.18</v>
      </c>
      <c r="U18" s="422">
        <v>0</v>
      </c>
      <c r="V18" s="423">
        <f t="shared" si="4"/>
        <v>0</v>
      </c>
      <c r="W18" s="417">
        <f t="shared" si="4"/>
        <v>0</v>
      </c>
      <c r="X18" s="417">
        <v>-18568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5"/>
        <v>-18568</v>
      </c>
      <c r="AF18" s="417">
        <f t="shared" si="6"/>
        <v>0</v>
      </c>
      <c r="AG18" s="417">
        <f t="shared" si="7"/>
        <v>-18568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8"/>
        <v>0</v>
      </c>
      <c r="AN18" s="417">
        <f t="shared" si="9"/>
        <v>0</v>
      </c>
      <c r="AO18" s="417">
        <f t="shared" si="10"/>
        <v>0</v>
      </c>
      <c r="AP18" s="417">
        <f t="shared" si="11"/>
        <v>-18568</v>
      </c>
      <c r="AQ18" s="417">
        <f t="shared" si="11"/>
        <v>0</v>
      </c>
      <c r="AR18" s="417">
        <f t="shared" si="12"/>
        <v>-18568</v>
      </c>
      <c r="AS18" s="68">
        <f t="shared" si="13"/>
        <v>-6276</v>
      </c>
      <c r="AT18" s="68">
        <f t="shared" si="14"/>
        <v>-186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-25030</v>
      </c>
      <c r="AZ18" s="418">
        <v>0</v>
      </c>
      <c r="BA18" s="418">
        <v>0</v>
      </c>
      <c r="BB18" s="418">
        <v>-0.04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-0.04</v>
      </c>
      <c r="BJ18" s="418">
        <f t="shared" si="18"/>
        <v>0</v>
      </c>
      <c r="BK18" s="420">
        <f t="shared" si="19"/>
        <v>-0.04</v>
      </c>
      <c r="BL18" s="772">
        <f>I18+AY18</f>
        <v>2134360</v>
      </c>
      <c r="BM18" s="772">
        <f>J18+AG18</f>
        <v>1537439</v>
      </c>
      <c r="BN18" s="417">
        <f t="shared" si="23"/>
        <v>1537439</v>
      </c>
      <c r="BO18" s="417">
        <f t="shared" si="23"/>
        <v>0</v>
      </c>
      <c r="BP18" s="417">
        <f>M18+AO18</f>
        <v>0</v>
      </c>
      <c r="BQ18" s="417">
        <f t="shared" si="24"/>
        <v>0</v>
      </c>
      <c r="BR18" s="417">
        <f t="shared" si="24"/>
        <v>0</v>
      </c>
      <c r="BS18" s="417">
        <f t="shared" si="25"/>
        <v>519654</v>
      </c>
      <c r="BT18" s="417">
        <f t="shared" si="25"/>
        <v>15374</v>
      </c>
      <c r="BU18" s="417">
        <f>R18+AX18</f>
        <v>61893</v>
      </c>
      <c r="BV18" s="418">
        <f>S18+BK18</f>
        <v>4.1399999999999997</v>
      </c>
      <c r="BW18" s="418">
        <f t="shared" si="26"/>
        <v>4.1399999999999997</v>
      </c>
      <c r="BX18" s="420">
        <f t="shared" si="26"/>
        <v>0</v>
      </c>
      <c r="BY18" s="596"/>
      <c r="BZ18" s="595"/>
      <c r="CA18" s="595"/>
      <c r="CB18" s="595"/>
      <c r="CC18" s="595"/>
      <c r="CD18" s="981"/>
      <c r="CE18" s="596"/>
      <c r="CF18" s="595"/>
      <c r="CG18" s="595"/>
      <c r="CH18" s="595"/>
      <c r="CI18" s="595"/>
      <c r="CJ18" s="981"/>
      <c r="CK18" s="315"/>
    </row>
    <row r="19" spans="1:89" ht="12.95" customHeight="1">
      <c r="A19" s="280">
        <v>2</v>
      </c>
      <c r="B19" s="321">
        <v>5416</v>
      </c>
      <c r="C19" s="322">
        <v>600099342</v>
      </c>
      <c r="D19" s="321">
        <v>854719</v>
      </c>
      <c r="E19" s="348" t="s">
        <v>411</v>
      </c>
      <c r="F19" s="321">
        <v>3143</v>
      </c>
      <c r="G19" s="284" t="s">
        <v>595</v>
      </c>
      <c r="H19" s="640" t="s">
        <v>271</v>
      </c>
      <c r="I19" s="419">
        <v>2062656</v>
      </c>
      <c r="J19" s="414">
        <v>1530160</v>
      </c>
      <c r="K19" s="414">
        <v>1530160</v>
      </c>
      <c r="L19" s="414">
        <v>0</v>
      </c>
      <c r="M19" s="414">
        <v>0</v>
      </c>
      <c r="N19" s="414">
        <v>0</v>
      </c>
      <c r="O19" s="414">
        <v>0</v>
      </c>
      <c r="P19" s="68">
        <v>517194</v>
      </c>
      <c r="Q19" s="68">
        <v>15302</v>
      </c>
      <c r="R19" s="414">
        <v>0</v>
      </c>
      <c r="S19" s="415">
        <v>2.8571</v>
      </c>
      <c r="T19" s="416">
        <v>2.8571</v>
      </c>
      <c r="U19" s="422">
        <v>0</v>
      </c>
      <c r="V19" s="423">
        <f t="shared" si="4"/>
        <v>0</v>
      </c>
      <c r="W19" s="417">
        <f t="shared" si="4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5"/>
        <v>0</v>
      </c>
      <c r="AF19" s="417">
        <f t="shared" si="6"/>
        <v>0</v>
      </c>
      <c r="AG19" s="417">
        <f t="shared" si="7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8"/>
        <v>0</v>
      </c>
      <c r="AN19" s="417">
        <f t="shared" si="9"/>
        <v>0</v>
      </c>
      <c r="AO19" s="417">
        <f t="shared" si="10"/>
        <v>0</v>
      </c>
      <c r="AP19" s="417">
        <f t="shared" si="11"/>
        <v>0</v>
      </c>
      <c r="AQ19" s="417">
        <f t="shared" si="11"/>
        <v>0</v>
      </c>
      <c r="AR19" s="417">
        <f t="shared" si="12"/>
        <v>0</v>
      </c>
      <c r="AS19" s="68">
        <f t="shared" si="13"/>
        <v>0</v>
      </c>
      <c r="AT19" s="68">
        <f t="shared" si="14"/>
        <v>0</v>
      </c>
      <c r="AU19" s="417">
        <v>0</v>
      </c>
      <c r="AV19" s="417">
        <v>0</v>
      </c>
      <c r="AW19" s="417">
        <v>0</v>
      </c>
      <c r="AX19" s="417">
        <f t="shared" si="15"/>
        <v>0</v>
      </c>
      <c r="AY19" s="417">
        <f t="shared" si="16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7"/>
        <v>0</v>
      </c>
      <c r="BJ19" s="418">
        <f t="shared" si="18"/>
        <v>0</v>
      </c>
      <c r="BK19" s="420">
        <f t="shared" si="19"/>
        <v>0</v>
      </c>
      <c r="BL19" s="772">
        <f>I19+AY19</f>
        <v>2062656</v>
      </c>
      <c r="BM19" s="772">
        <f>J19+AG19</f>
        <v>1530160</v>
      </c>
      <c r="BN19" s="417">
        <f t="shared" si="23"/>
        <v>1530160</v>
      </c>
      <c r="BO19" s="417">
        <f t="shared" si="23"/>
        <v>0</v>
      </c>
      <c r="BP19" s="417">
        <f>M19+AO19</f>
        <v>0</v>
      </c>
      <c r="BQ19" s="417">
        <f t="shared" si="24"/>
        <v>0</v>
      </c>
      <c r="BR19" s="417">
        <f t="shared" si="24"/>
        <v>0</v>
      </c>
      <c r="BS19" s="417">
        <f t="shared" si="25"/>
        <v>517194</v>
      </c>
      <c r="BT19" s="417">
        <f t="shared" si="25"/>
        <v>15302</v>
      </c>
      <c r="BU19" s="417">
        <f>R19+AX19</f>
        <v>0</v>
      </c>
      <c r="BV19" s="418">
        <f>S19+BK19</f>
        <v>2.8571</v>
      </c>
      <c r="BW19" s="418">
        <f t="shared" si="26"/>
        <v>2.8571</v>
      </c>
      <c r="BX19" s="420">
        <f t="shared" si="26"/>
        <v>0</v>
      </c>
      <c r="BY19" s="596"/>
      <c r="BZ19" s="595"/>
      <c r="CA19" s="595"/>
      <c r="CB19" s="595"/>
      <c r="CC19" s="595"/>
      <c r="CD19" s="981"/>
      <c r="CE19" s="596"/>
      <c r="CF19" s="595"/>
      <c r="CG19" s="595"/>
      <c r="CH19" s="595"/>
      <c r="CI19" s="595"/>
      <c r="CJ19" s="981"/>
      <c r="CK19" s="315"/>
    </row>
    <row r="20" spans="1:89" ht="12.95" customHeight="1">
      <c r="A20" s="280">
        <v>2</v>
      </c>
      <c r="B20" s="321">
        <v>5416</v>
      </c>
      <c r="C20" s="322">
        <v>600099342</v>
      </c>
      <c r="D20" s="321">
        <v>854719</v>
      </c>
      <c r="E20" s="348" t="s">
        <v>411</v>
      </c>
      <c r="F20" s="321">
        <v>3143</v>
      </c>
      <c r="G20" s="284" t="s">
        <v>596</v>
      </c>
      <c r="H20" s="640" t="s">
        <v>272</v>
      </c>
      <c r="I20" s="419">
        <v>63009</v>
      </c>
      <c r="J20" s="414">
        <v>45100</v>
      </c>
      <c r="K20" s="414">
        <v>0</v>
      </c>
      <c r="L20" s="414">
        <v>45100</v>
      </c>
      <c r="M20" s="414">
        <v>0</v>
      </c>
      <c r="N20" s="414">
        <v>0</v>
      </c>
      <c r="O20" s="414">
        <v>0</v>
      </c>
      <c r="P20" s="68">
        <v>15244</v>
      </c>
      <c r="Q20" s="68">
        <v>451</v>
      </c>
      <c r="R20" s="414">
        <v>2214</v>
      </c>
      <c r="S20" s="415">
        <v>0.1739</v>
      </c>
      <c r="T20" s="416">
        <v>0</v>
      </c>
      <c r="U20" s="422">
        <v>0.1739</v>
      </c>
      <c r="V20" s="423">
        <f t="shared" si="4"/>
        <v>0</v>
      </c>
      <c r="W20" s="417">
        <f t="shared" si="4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5"/>
        <v>0</v>
      </c>
      <c r="AF20" s="417">
        <f t="shared" si="6"/>
        <v>0</v>
      </c>
      <c r="AG20" s="417">
        <f t="shared" si="7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8"/>
        <v>0</v>
      </c>
      <c r="AN20" s="417">
        <f t="shared" si="9"/>
        <v>0</v>
      </c>
      <c r="AO20" s="417">
        <f t="shared" si="10"/>
        <v>0</v>
      </c>
      <c r="AP20" s="417">
        <f t="shared" si="11"/>
        <v>0</v>
      </c>
      <c r="AQ20" s="417">
        <f t="shared" si="11"/>
        <v>0</v>
      </c>
      <c r="AR20" s="417">
        <f t="shared" si="12"/>
        <v>0</v>
      </c>
      <c r="AS20" s="68">
        <f t="shared" si="13"/>
        <v>0</v>
      </c>
      <c r="AT20" s="68">
        <f t="shared" si="14"/>
        <v>0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0</v>
      </c>
      <c r="BK20" s="420">
        <f t="shared" si="19"/>
        <v>0</v>
      </c>
      <c r="BL20" s="772">
        <f>I20+AY20</f>
        <v>63009</v>
      </c>
      <c r="BM20" s="772">
        <f>J20+AG20</f>
        <v>45100</v>
      </c>
      <c r="BN20" s="417">
        <f t="shared" si="23"/>
        <v>0</v>
      </c>
      <c r="BO20" s="417">
        <f t="shared" si="23"/>
        <v>45100</v>
      </c>
      <c r="BP20" s="417">
        <f>M20+AO20</f>
        <v>0</v>
      </c>
      <c r="BQ20" s="417">
        <f t="shared" si="24"/>
        <v>0</v>
      </c>
      <c r="BR20" s="417">
        <f t="shared" si="24"/>
        <v>0</v>
      </c>
      <c r="BS20" s="417">
        <f t="shared" si="25"/>
        <v>15244</v>
      </c>
      <c r="BT20" s="417">
        <f t="shared" si="25"/>
        <v>451</v>
      </c>
      <c r="BU20" s="417">
        <f>R20+AX20</f>
        <v>2214</v>
      </c>
      <c r="BV20" s="418">
        <f>S20+BK20</f>
        <v>0.1739</v>
      </c>
      <c r="BW20" s="418">
        <f t="shared" si="26"/>
        <v>0</v>
      </c>
      <c r="BX20" s="420">
        <f t="shared" si="26"/>
        <v>0.1739</v>
      </c>
      <c r="BY20" s="596"/>
      <c r="BZ20" s="595"/>
      <c r="CA20" s="595"/>
      <c r="CB20" s="595"/>
      <c r="CC20" s="595"/>
      <c r="CD20" s="981"/>
      <c r="CE20" s="596"/>
      <c r="CF20" s="595"/>
      <c r="CG20" s="595"/>
      <c r="CH20" s="595"/>
      <c r="CI20" s="595"/>
      <c r="CJ20" s="981"/>
      <c r="CK20" s="315"/>
    </row>
    <row r="21" spans="1:89" ht="12.95" customHeight="1">
      <c r="A21" s="641">
        <v>2</v>
      </c>
      <c r="B21" s="325">
        <v>5416</v>
      </c>
      <c r="C21" s="326">
        <v>600099342</v>
      </c>
      <c r="D21" s="325">
        <v>854719</v>
      </c>
      <c r="E21" s="349" t="s">
        <v>412</v>
      </c>
      <c r="F21" s="325"/>
      <c r="G21" s="350"/>
      <c r="H21" s="643"/>
      <c r="I21" s="464">
        <v>26657942</v>
      </c>
      <c r="J21" s="460">
        <v>19348220</v>
      </c>
      <c r="K21" s="460">
        <v>17464279</v>
      </c>
      <c r="L21" s="460">
        <v>1883941</v>
      </c>
      <c r="M21" s="460">
        <v>120000</v>
      </c>
      <c r="N21" s="460">
        <v>81600</v>
      </c>
      <c r="O21" s="460">
        <v>38400</v>
      </c>
      <c r="P21" s="460">
        <v>6580258</v>
      </c>
      <c r="Q21" s="460">
        <v>193482</v>
      </c>
      <c r="R21" s="460">
        <v>415982</v>
      </c>
      <c r="S21" s="461">
        <v>33.6524</v>
      </c>
      <c r="T21" s="461">
        <v>28.121599999999997</v>
      </c>
      <c r="U21" s="534">
        <v>5.5307999999999993</v>
      </c>
      <c r="V21" s="471">
        <f t="shared" ref="V21:BK21" si="27">SUM(V17:V20)</f>
        <v>-38400</v>
      </c>
      <c r="W21" s="467">
        <f t="shared" si="27"/>
        <v>-11600</v>
      </c>
      <c r="X21" s="467">
        <f t="shared" si="27"/>
        <v>-18568</v>
      </c>
      <c r="Y21" s="467">
        <f t="shared" si="27"/>
        <v>0</v>
      </c>
      <c r="Z21" s="467">
        <f t="shared" si="27"/>
        <v>-170100</v>
      </c>
      <c r="AA21" s="467">
        <f t="shared" si="27"/>
        <v>0</v>
      </c>
      <c r="AB21" s="467">
        <f t="shared" si="27"/>
        <v>0</v>
      </c>
      <c r="AC21" s="467">
        <f t="shared" si="27"/>
        <v>0</v>
      </c>
      <c r="AD21" s="467">
        <f t="shared" si="27"/>
        <v>0</v>
      </c>
      <c r="AE21" s="467">
        <f t="shared" si="27"/>
        <v>-227068</v>
      </c>
      <c r="AF21" s="467">
        <f t="shared" si="27"/>
        <v>-11600</v>
      </c>
      <c r="AG21" s="467">
        <f t="shared" si="27"/>
        <v>-238668</v>
      </c>
      <c r="AH21" s="467">
        <f t="shared" si="27"/>
        <v>38400</v>
      </c>
      <c r="AI21" s="467">
        <f t="shared" si="27"/>
        <v>11600</v>
      </c>
      <c r="AJ21" s="467">
        <f t="shared" si="27"/>
        <v>0</v>
      </c>
      <c r="AK21" s="467">
        <f t="shared" si="27"/>
        <v>0</v>
      </c>
      <c r="AL21" s="467">
        <f t="shared" si="27"/>
        <v>0</v>
      </c>
      <c r="AM21" s="467">
        <f t="shared" si="27"/>
        <v>38400</v>
      </c>
      <c r="AN21" s="467">
        <f t="shared" si="27"/>
        <v>11600</v>
      </c>
      <c r="AO21" s="467">
        <f t="shared" si="27"/>
        <v>50000</v>
      </c>
      <c r="AP21" s="467">
        <f t="shared" si="27"/>
        <v>-188668</v>
      </c>
      <c r="AQ21" s="467">
        <f t="shared" si="27"/>
        <v>0</v>
      </c>
      <c r="AR21" s="467">
        <f t="shared" si="27"/>
        <v>-188668</v>
      </c>
      <c r="AS21" s="467">
        <f t="shared" si="27"/>
        <v>-63770</v>
      </c>
      <c r="AT21" s="467">
        <f t="shared" si="27"/>
        <v>-2387</v>
      </c>
      <c r="AU21" s="467">
        <f t="shared" si="27"/>
        <v>0</v>
      </c>
      <c r="AV21" s="467">
        <f t="shared" si="27"/>
        <v>0</v>
      </c>
      <c r="AW21" s="467">
        <f t="shared" si="27"/>
        <v>0</v>
      </c>
      <c r="AX21" s="467">
        <f t="shared" si="27"/>
        <v>0</v>
      </c>
      <c r="AY21" s="467">
        <f t="shared" si="27"/>
        <v>-254825</v>
      </c>
      <c r="AZ21" s="468">
        <f t="shared" si="27"/>
        <v>-0.01</v>
      </c>
      <c r="BA21" s="468">
        <f t="shared" si="27"/>
        <v>-0.03</v>
      </c>
      <c r="BB21" s="468">
        <f t="shared" si="27"/>
        <v>-0.04</v>
      </c>
      <c r="BC21" s="468">
        <f t="shared" si="27"/>
        <v>-0.33</v>
      </c>
      <c r="BD21" s="468">
        <f t="shared" si="27"/>
        <v>0</v>
      </c>
      <c r="BE21" s="468">
        <f t="shared" si="27"/>
        <v>0</v>
      </c>
      <c r="BF21" s="468">
        <f t="shared" si="27"/>
        <v>0</v>
      </c>
      <c r="BG21" s="468">
        <f t="shared" si="27"/>
        <v>0</v>
      </c>
      <c r="BH21" s="468">
        <f t="shared" si="27"/>
        <v>0</v>
      </c>
      <c r="BI21" s="468">
        <f t="shared" si="27"/>
        <v>-0.38</v>
      </c>
      <c r="BJ21" s="468">
        <f t="shared" si="27"/>
        <v>-0.03</v>
      </c>
      <c r="BK21" s="328">
        <f t="shared" si="27"/>
        <v>-0.41</v>
      </c>
      <c r="BL21" s="774">
        <f t="shared" ref="BL21:CG21" si="28">SUM(BL17:BL20)</f>
        <v>26403117</v>
      </c>
      <c r="BM21" s="774">
        <f t="shared" si="28"/>
        <v>19109552</v>
      </c>
      <c r="BN21" s="467">
        <f t="shared" si="28"/>
        <v>17237211</v>
      </c>
      <c r="BO21" s="467">
        <f t="shared" si="28"/>
        <v>1872341</v>
      </c>
      <c r="BP21" s="467">
        <f t="shared" si="28"/>
        <v>170000</v>
      </c>
      <c r="BQ21" s="467">
        <f t="shared" si="28"/>
        <v>120000</v>
      </c>
      <c r="BR21" s="467">
        <f t="shared" si="28"/>
        <v>50000</v>
      </c>
      <c r="BS21" s="467">
        <f t="shared" si="28"/>
        <v>6516488</v>
      </c>
      <c r="BT21" s="467">
        <f t="shared" si="28"/>
        <v>191095</v>
      </c>
      <c r="BU21" s="467">
        <f t="shared" si="28"/>
        <v>415982</v>
      </c>
      <c r="BV21" s="468">
        <f t="shared" si="28"/>
        <v>33.242400000000004</v>
      </c>
      <c r="BW21" s="468">
        <f t="shared" si="28"/>
        <v>27.741599999999998</v>
      </c>
      <c r="BX21" s="328">
        <f t="shared" si="28"/>
        <v>5.500799999999999</v>
      </c>
      <c r="BY21" s="979">
        <f t="shared" si="28"/>
        <v>608218</v>
      </c>
      <c r="BZ21" s="721">
        <f t="shared" si="28"/>
        <v>451200</v>
      </c>
      <c r="CA21" s="721">
        <f t="shared" si="28"/>
        <v>0</v>
      </c>
      <c r="CB21" s="721">
        <f t="shared" si="28"/>
        <v>152506</v>
      </c>
      <c r="CC21" s="721">
        <f t="shared" si="28"/>
        <v>4512</v>
      </c>
      <c r="CD21" s="826">
        <f t="shared" si="28"/>
        <v>0.8</v>
      </c>
      <c r="CE21" s="995">
        <f t="shared" si="28"/>
        <v>896370</v>
      </c>
      <c r="CF21" s="995">
        <f t="shared" si="28"/>
        <v>602533</v>
      </c>
      <c r="CG21" s="995">
        <f t="shared" si="28"/>
        <v>203656</v>
      </c>
      <c r="CH21" s="995">
        <f t="shared" ref="CH21:CJ21" si="29">SUM(CH17:CH20)</f>
        <v>6025</v>
      </c>
      <c r="CI21" s="995">
        <f t="shared" si="29"/>
        <v>84156</v>
      </c>
      <c r="CJ21" s="933">
        <f t="shared" si="29"/>
        <v>1.7772999999999999</v>
      </c>
      <c r="CK21" s="315"/>
    </row>
    <row r="22" spans="1:89" ht="12.95" customHeight="1">
      <c r="A22" s="280">
        <v>3</v>
      </c>
      <c r="B22" s="321">
        <v>5413</v>
      </c>
      <c r="C22" s="322">
        <v>600099334</v>
      </c>
      <c r="D22" s="321">
        <v>854697</v>
      </c>
      <c r="E22" s="348" t="s">
        <v>413</v>
      </c>
      <c r="F22" s="321">
        <v>3113</v>
      </c>
      <c r="G22" s="345" t="s">
        <v>308</v>
      </c>
      <c r="H22" s="640" t="s">
        <v>271</v>
      </c>
      <c r="I22" s="419">
        <v>28438630</v>
      </c>
      <c r="J22" s="414">
        <v>20542566</v>
      </c>
      <c r="K22" s="414">
        <v>18444428</v>
      </c>
      <c r="L22" s="414">
        <v>2098138</v>
      </c>
      <c r="M22" s="414">
        <v>215920</v>
      </c>
      <c r="N22" s="414">
        <v>175920</v>
      </c>
      <c r="O22" s="414">
        <v>40000</v>
      </c>
      <c r="P22" s="68">
        <v>7016368</v>
      </c>
      <c r="Q22" s="68">
        <v>205426</v>
      </c>
      <c r="R22" s="414">
        <v>458350</v>
      </c>
      <c r="S22" s="415">
        <v>32.562899999999999</v>
      </c>
      <c r="T22" s="416">
        <v>26.301200000000001</v>
      </c>
      <c r="U22" s="422">
        <v>6.2617000000000003</v>
      </c>
      <c r="V22" s="423">
        <f t="shared" si="4"/>
        <v>91920</v>
      </c>
      <c r="W22" s="417">
        <f t="shared" si="4"/>
        <v>0</v>
      </c>
      <c r="X22" s="417">
        <v>0</v>
      </c>
      <c r="Y22" s="417">
        <v>0</v>
      </c>
      <c r="Z22" s="417">
        <v>81193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5"/>
        <v>173113</v>
      </c>
      <c r="AF22" s="417">
        <f t="shared" si="6"/>
        <v>0</v>
      </c>
      <c r="AG22" s="417">
        <f t="shared" si="7"/>
        <v>173113</v>
      </c>
      <c r="AH22" s="417">
        <v>-91920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8"/>
        <v>-91920</v>
      </c>
      <c r="AN22" s="417">
        <f t="shared" si="9"/>
        <v>0</v>
      </c>
      <c r="AO22" s="417">
        <f t="shared" si="10"/>
        <v>-91920</v>
      </c>
      <c r="AP22" s="417">
        <f t="shared" si="11"/>
        <v>81193</v>
      </c>
      <c r="AQ22" s="417">
        <f t="shared" si="11"/>
        <v>0</v>
      </c>
      <c r="AR22" s="417">
        <f t="shared" si="12"/>
        <v>81193</v>
      </c>
      <c r="AS22" s="68">
        <f t="shared" si="13"/>
        <v>27443</v>
      </c>
      <c r="AT22" s="68">
        <f t="shared" si="14"/>
        <v>1731</v>
      </c>
      <c r="AU22" s="417">
        <v>0</v>
      </c>
      <c r="AV22" s="417">
        <v>0</v>
      </c>
      <c r="AW22" s="417">
        <v>0</v>
      </c>
      <c r="AX22" s="417">
        <f t="shared" si="15"/>
        <v>0</v>
      </c>
      <c r="AY22" s="417">
        <f t="shared" si="16"/>
        <v>110367</v>
      </c>
      <c r="AZ22" s="418">
        <v>0.06</v>
      </c>
      <c r="BA22" s="418">
        <v>0</v>
      </c>
      <c r="BB22" s="418">
        <v>0</v>
      </c>
      <c r="BC22" s="418">
        <v>0.18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0.24</v>
      </c>
      <c r="BJ22" s="418">
        <f t="shared" si="18"/>
        <v>0</v>
      </c>
      <c r="BK22" s="420">
        <f t="shared" si="19"/>
        <v>0.24</v>
      </c>
      <c r="BL22" s="772">
        <f>I22+AY22</f>
        <v>28548997</v>
      </c>
      <c r="BM22" s="772">
        <f>J22+AG22</f>
        <v>20715679</v>
      </c>
      <c r="BN22" s="417">
        <f t="shared" ref="BN22:BO26" si="30">K22+AE22</f>
        <v>18617541</v>
      </c>
      <c r="BO22" s="417">
        <f t="shared" si="30"/>
        <v>2098138</v>
      </c>
      <c r="BP22" s="417">
        <f>M22+AO22</f>
        <v>124000</v>
      </c>
      <c r="BQ22" s="417">
        <f t="shared" ref="BQ22:BR26" si="31">N22+AM22</f>
        <v>84000</v>
      </c>
      <c r="BR22" s="417">
        <f t="shared" si="31"/>
        <v>40000</v>
      </c>
      <c r="BS22" s="417">
        <f t="shared" ref="BS22:BT26" si="32">P22+AS22</f>
        <v>7043811</v>
      </c>
      <c r="BT22" s="417">
        <f t="shared" si="32"/>
        <v>207157</v>
      </c>
      <c r="BU22" s="417">
        <f>R22+AX22</f>
        <v>458350</v>
      </c>
      <c r="BV22" s="418">
        <f>S22+BK22</f>
        <v>32.802900000000001</v>
      </c>
      <c r="BW22" s="418">
        <f t="shared" ref="BW22:BX26" si="33">T22+BI22</f>
        <v>26.5412</v>
      </c>
      <c r="BX22" s="420">
        <f t="shared" si="33"/>
        <v>6.2617000000000003</v>
      </c>
      <c r="BY22" s="596">
        <v>608218</v>
      </c>
      <c r="BZ22" s="595">
        <v>451200</v>
      </c>
      <c r="CA22" s="595">
        <v>0</v>
      </c>
      <c r="CB22" s="595">
        <v>152506</v>
      </c>
      <c r="CC22" s="595">
        <v>4512</v>
      </c>
      <c r="CD22" s="981">
        <v>0.8</v>
      </c>
      <c r="CE22" s="994">
        <v>1035436</v>
      </c>
      <c r="CF22" s="595">
        <v>686291</v>
      </c>
      <c r="CG22" s="595">
        <v>231966</v>
      </c>
      <c r="CH22" s="595">
        <v>6863</v>
      </c>
      <c r="CI22" s="595">
        <v>110316</v>
      </c>
      <c r="CJ22" s="981">
        <v>2.0388999999999999</v>
      </c>
      <c r="CK22" s="315"/>
    </row>
    <row r="23" spans="1:89" ht="12.95" customHeight="1">
      <c r="A23" s="280">
        <v>3</v>
      </c>
      <c r="B23" s="321">
        <v>5413</v>
      </c>
      <c r="C23" s="322">
        <v>600099334</v>
      </c>
      <c r="D23" s="321">
        <v>854697</v>
      </c>
      <c r="E23" s="348" t="s">
        <v>413</v>
      </c>
      <c r="F23" s="321">
        <v>3113</v>
      </c>
      <c r="G23" s="284" t="s">
        <v>291</v>
      </c>
      <c r="H23" s="640" t="s">
        <v>272</v>
      </c>
      <c r="I23" s="419">
        <v>3057581</v>
      </c>
      <c r="J23" s="414">
        <v>2266232</v>
      </c>
      <c r="K23" s="414">
        <v>2266232</v>
      </c>
      <c r="L23" s="414">
        <v>0</v>
      </c>
      <c r="M23" s="414">
        <v>0</v>
      </c>
      <c r="N23" s="414">
        <v>0</v>
      </c>
      <c r="O23" s="414">
        <v>0</v>
      </c>
      <c r="P23" s="68">
        <v>765987</v>
      </c>
      <c r="Q23" s="68">
        <v>22662</v>
      </c>
      <c r="R23" s="414">
        <v>2700</v>
      </c>
      <c r="S23" s="415">
        <v>5.86</v>
      </c>
      <c r="T23" s="416">
        <v>5.86</v>
      </c>
      <c r="U23" s="422">
        <v>0</v>
      </c>
      <c r="V23" s="423">
        <f t="shared" si="4"/>
        <v>0</v>
      </c>
      <c r="W23" s="417">
        <f t="shared" si="4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5"/>
        <v>0</v>
      </c>
      <c r="AF23" s="417">
        <f t="shared" si="6"/>
        <v>0</v>
      </c>
      <c r="AG23" s="417">
        <f t="shared" si="7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8"/>
        <v>0</v>
      </c>
      <c r="AN23" s="417">
        <f t="shared" si="9"/>
        <v>0</v>
      </c>
      <c r="AO23" s="417">
        <f t="shared" si="10"/>
        <v>0</v>
      </c>
      <c r="AP23" s="417">
        <f t="shared" si="11"/>
        <v>0</v>
      </c>
      <c r="AQ23" s="417">
        <f t="shared" si="11"/>
        <v>0</v>
      </c>
      <c r="AR23" s="417">
        <f t="shared" si="12"/>
        <v>0</v>
      </c>
      <c r="AS23" s="68">
        <f t="shared" si="13"/>
        <v>0</v>
      </c>
      <c r="AT23" s="68">
        <f t="shared" si="14"/>
        <v>0</v>
      </c>
      <c r="AU23" s="417">
        <v>0</v>
      </c>
      <c r="AV23" s="417">
        <v>0</v>
      </c>
      <c r="AW23" s="417">
        <v>0</v>
      </c>
      <c r="AX23" s="417">
        <f t="shared" si="15"/>
        <v>0</v>
      </c>
      <c r="AY23" s="417">
        <f t="shared" si="16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7"/>
        <v>0</v>
      </c>
      <c r="BJ23" s="418">
        <f t="shared" si="18"/>
        <v>0</v>
      </c>
      <c r="BK23" s="420">
        <f t="shared" si="19"/>
        <v>0</v>
      </c>
      <c r="BL23" s="772">
        <f>I23+AY23</f>
        <v>3057581</v>
      </c>
      <c r="BM23" s="772">
        <f>J23+AG23</f>
        <v>2266232</v>
      </c>
      <c r="BN23" s="417">
        <f t="shared" si="30"/>
        <v>2266232</v>
      </c>
      <c r="BO23" s="417">
        <f t="shared" si="30"/>
        <v>0</v>
      </c>
      <c r="BP23" s="417">
        <f>M23+AO23</f>
        <v>0</v>
      </c>
      <c r="BQ23" s="417">
        <f t="shared" si="31"/>
        <v>0</v>
      </c>
      <c r="BR23" s="417">
        <f t="shared" si="31"/>
        <v>0</v>
      </c>
      <c r="BS23" s="417">
        <f t="shared" si="32"/>
        <v>765987</v>
      </c>
      <c r="BT23" s="417">
        <f t="shared" si="32"/>
        <v>22662</v>
      </c>
      <c r="BU23" s="417">
        <f>R23+AX23</f>
        <v>2700</v>
      </c>
      <c r="BV23" s="418">
        <f>S23+BK23</f>
        <v>5.86</v>
      </c>
      <c r="BW23" s="418">
        <f t="shared" si="33"/>
        <v>5.86</v>
      </c>
      <c r="BX23" s="420">
        <f t="shared" si="33"/>
        <v>0</v>
      </c>
      <c r="BY23" s="596"/>
      <c r="BZ23" s="595"/>
      <c r="CA23" s="595"/>
      <c r="CB23" s="595"/>
      <c r="CC23" s="595"/>
      <c r="CD23" s="981"/>
      <c r="CE23" s="596"/>
      <c r="CF23" s="595"/>
      <c r="CG23" s="595"/>
      <c r="CH23" s="595"/>
      <c r="CI23" s="595"/>
      <c r="CJ23" s="981"/>
      <c r="CK23" s="315"/>
    </row>
    <row r="24" spans="1:89" ht="12.95" customHeight="1">
      <c r="A24" s="280">
        <v>3</v>
      </c>
      <c r="B24" s="321">
        <v>5413</v>
      </c>
      <c r="C24" s="322">
        <v>600099334</v>
      </c>
      <c r="D24" s="321">
        <v>854697</v>
      </c>
      <c r="E24" s="348" t="s">
        <v>413</v>
      </c>
      <c r="F24" s="321">
        <v>3143</v>
      </c>
      <c r="G24" s="284" t="s">
        <v>595</v>
      </c>
      <c r="H24" s="640" t="s">
        <v>271</v>
      </c>
      <c r="I24" s="419">
        <v>2045566</v>
      </c>
      <c r="J24" s="414">
        <v>1517482</v>
      </c>
      <c r="K24" s="414">
        <v>1517482</v>
      </c>
      <c r="L24" s="414">
        <v>0</v>
      </c>
      <c r="M24" s="414">
        <v>0</v>
      </c>
      <c r="N24" s="414">
        <v>0</v>
      </c>
      <c r="O24" s="414">
        <v>0</v>
      </c>
      <c r="P24" s="68">
        <v>512909</v>
      </c>
      <c r="Q24" s="68">
        <v>15175</v>
      </c>
      <c r="R24" s="414">
        <v>0</v>
      </c>
      <c r="S24" s="415">
        <v>2.8</v>
      </c>
      <c r="T24" s="416">
        <v>2.8</v>
      </c>
      <c r="U24" s="422">
        <v>0</v>
      </c>
      <c r="V24" s="423">
        <f t="shared" si="4"/>
        <v>0</v>
      </c>
      <c r="W24" s="417">
        <f t="shared" si="4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5"/>
        <v>0</v>
      </c>
      <c r="AF24" s="417">
        <f t="shared" si="6"/>
        <v>0</v>
      </c>
      <c r="AG24" s="417">
        <f t="shared" si="7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8"/>
        <v>0</v>
      </c>
      <c r="AN24" s="417">
        <f t="shared" si="9"/>
        <v>0</v>
      </c>
      <c r="AO24" s="417">
        <f t="shared" si="10"/>
        <v>0</v>
      </c>
      <c r="AP24" s="417">
        <f t="shared" si="11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>I24+AY24</f>
        <v>2045566</v>
      </c>
      <c r="BM24" s="772">
        <f>J24+AG24</f>
        <v>1517482</v>
      </c>
      <c r="BN24" s="417">
        <f t="shared" si="30"/>
        <v>1517482</v>
      </c>
      <c r="BO24" s="417">
        <f t="shared" si="30"/>
        <v>0</v>
      </c>
      <c r="BP24" s="417">
        <f>M24+AO24</f>
        <v>0</v>
      </c>
      <c r="BQ24" s="417">
        <f t="shared" si="31"/>
        <v>0</v>
      </c>
      <c r="BR24" s="417">
        <f t="shared" si="31"/>
        <v>0</v>
      </c>
      <c r="BS24" s="417">
        <f t="shared" si="32"/>
        <v>512909</v>
      </c>
      <c r="BT24" s="417">
        <f t="shared" si="32"/>
        <v>15175</v>
      </c>
      <c r="BU24" s="417">
        <f>R24+AX24</f>
        <v>0</v>
      </c>
      <c r="BV24" s="418">
        <f>S24+BK24</f>
        <v>2.8</v>
      </c>
      <c r="BW24" s="418">
        <f t="shared" si="33"/>
        <v>2.8</v>
      </c>
      <c r="BX24" s="420">
        <f t="shared" si="33"/>
        <v>0</v>
      </c>
      <c r="BY24" s="596"/>
      <c r="BZ24" s="595"/>
      <c r="CA24" s="595"/>
      <c r="CB24" s="595"/>
      <c r="CC24" s="595"/>
      <c r="CD24" s="981"/>
      <c r="CE24" s="596"/>
      <c r="CF24" s="595"/>
      <c r="CG24" s="595"/>
      <c r="CH24" s="595"/>
      <c r="CI24" s="595"/>
      <c r="CJ24" s="981"/>
      <c r="CK24" s="315"/>
    </row>
    <row r="25" spans="1:89" ht="12.95" customHeight="1">
      <c r="A25" s="280">
        <v>3</v>
      </c>
      <c r="B25" s="321">
        <v>5413</v>
      </c>
      <c r="C25" s="322">
        <v>600099334</v>
      </c>
      <c r="D25" s="321">
        <v>854697</v>
      </c>
      <c r="E25" s="348" t="s">
        <v>413</v>
      </c>
      <c r="F25" s="321">
        <v>3143</v>
      </c>
      <c r="G25" s="284" t="s">
        <v>596</v>
      </c>
      <c r="H25" s="640" t="s">
        <v>272</v>
      </c>
      <c r="I25" s="419">
        <v>69156</v>
      </c>
      <c r="J25" s="414">
        <v>49500</v>
      </c>
      <c r="K25" s="414">
        <v>0</v>
      </c>
      <c r="L25" s="414">
        <v>49500</v>
      </c>
      <c r="M25" s="414">
        <v>0</v>
      </c>
      <c r="N25" s="414">
        <v>0</v>
      </c>
      <c r="O25" s="414">
        <v>0</v>
      </c>
      <c r="P25" s="68">
        <v>16731</v>
      </c>
      <c r="Q25" s="68">
        <v>495</v>
      </c>
      <c r="R25" s="414">
        <v>2430</v>
      </c>
      <c r="S25" s="415">
        <v>0.185</v>
      </c>
      <c r="T25" s="416">
        <v>0</v>
      </c>
      <c r="U25" s="422">
        <v>0.185</v>
      </c>
      <c r="V25" s="423">
        <f t="shared" si="4"/>
        <v>0</v>
      </c>
      <c r="W25" s="417">
        <f t="shared" si="4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5"/>
        <v>0</v>
      </c>
      <c r="AF25" s="417">
        <f t="shared" si="6"/>
        <v>0</v>
      </c>
      <c r="AG25" s="417">
        <f t="shared" si="7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8"/>
        <v>0</v>
      </c>
      <c r="AN25" s="417">
        <f t="shared" si="9"/>
        <v>0</v>
      </c>
      <c r="AO25" s="417">
        <f t="shared" si="10"/>
        <v>0</v>
      </c>
      <c r="AP25" s="417">
        <f t="shared" si="11"/>
        <v>0</v>
      </c>
      <c r="AQ25" s="417">
        <f t="shared" si="11"/>
        <v>0</v>
      </c>
      <c r="AR25" s="417">
        <f t="shared" si="12"/>
        <v>0</v>
      </c>
      <c r="AS25" s="68">
        <f t="shared" si="13"/>
        <v>0</v>
      </c>
      <c r="AT25" s="68">
        <f t="shared" si="14"/>
        <v>0</v>
      </c>
      <c r="AU25" s="417">
        <v>0</v>
      </c>
      <c r="AV25" s="417">
        <v>0</v>
      </c>
      <c r="AW25" s="417">
        <v>0</v>
      </c>
      <c r="AX25" s="417">
        <f t="shared" si="15"/>
        <v>0</v>
      </c>
      <c r="AY25" s="417">
        <f t="shared" si="16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7"/>
        <v>0</v>
      </c>
      <c r="BJ25" s="418">
        <f t="shared" si="18"/>
        <v>0</v>
      </c>
      <c r="BK25" s="420">
        <f t="shared" si="19"/>
        <v>0</v>
      </c>
      <c r="BL25" s="772">
        <f>I25+AY25</f>
        <v>69156</v>
      </c>
      <c r="BM25" s="772">
        <f>J25+AG25</f>
        <v>49500</v>
      </c>
      <c r="BN25" s="417">
        <f t="shared" si="30"/>
        <v>0</v>
      </c>
      <c r="BO25" s="417">
        <f t="shared" si="30"/>
        <v>49500</v>
      </c>
      <c r="BP25" s="417">
        <f>M25+AO25</f>
        <v>0</v>
      </c>
      <c r="BQ25" s="417">
        <f t="shared" si="31"/>
        <v>0</v>
      </c>
      <c r="BR25" s="417">
        <f t="shared" si="31"/>
        <v>0</v>
      </c>
      <c r="BS25" s="417">
        <f t="shared" si="32"/>
        <v>16731</v>
      </c>
      <c r="BT25" s="417">
        <f t="shared" si="32"/>
        <v>495</v>
      </c>
      <c r="BU25" s="417">
        <f>R25+AX25</f>
        <v>2430</v>
      </c>
      <c r="BV25" s="418">
        <f>S25+BK25</f>
        <v>0.185</v>
      </c>
      <c r="BW25" s="418">
        <f t="shared" si="33"/>
        <v>0</v>
      </c>
      <c r="BX25" s="420">
        <f t="shared" si="33"/>
        <v>0.185</v>
      </c>
      <c r="BY25" s="596"/>
      <c r="BZ25" s="595"/>
      <c r="CA25" s="595"/>
      <c r="CB25" s="595"/>
      <c r="CC25" s="595"/>
      <c r="CD25" s="981"/>
      <c r="CE25" s="596"/>
      <c r="CF25" s="595"/>
      <c r="CG25" s="595"/>
      <c r="CH25" s="595"/>
      <c r="CI25" s="595"/>
      <c r="CJ25" s="981"/>
      <c r="CK25" s="315"/>
    </row>
    <row r="26" spans="1:89" ht="12.95" customHeight="1">
      <c r="A26" s="280">
        <v>3</v>
      </c>
      <c r="B26" s="321">
        <v>5413</v>
      </c>
      <c r="C26" s="322">
        <v>600099334</v>
      </c>
      <c r="D26" s="321">
        <v>854697</v>
      </c>
      <c r="E26" s="348" t="s">
        <v>413</v>
      </c>
      <c r="F26" s="321">
        <v>3143</v>
      </c>
      <c r="G26" s="345" t="s">
        <v>414</v>
      </c>
      <c r="H26" s="640" t="s">
        <v>272</v>
      </c>
      <c r="I26" s="419">
        <v>403747</v>
      </c>
      <c r="J26" s="414">
        <v>298180</v>
      </c>
      <c r="K26" s="414">
        <v>243180</v>
      </c>
      <c r="L26" s="629">
        <v>55000</v>
      </c>
      <c r="M26" s="414">
        <v>0</v>
      </c>
      <c r="N26" s="414">
        <v>0</v>
      </c>
      <c r="O26" s="414">
        <v>0</v>
      </c>
      <c r="P26" s="630">
        <v>100785</v>
      </c>
      <c r="Q26" s="630">
        <v>2982</v>
      </c>
      <c r="R26" s="629">
        <v>1800</v>
      </c>
      <c r="S26" s="631">
        <v>0.69</v>
      </c>
      <c r="T26" s="632">
        <v>0.48</v>
      </c>
      <c r="U26" s="764">
        <v>0.21000000000000002</v>
      </c>
      <c r="V26" s="423">
        <f t="shared" si="4"/>
        <v>0</v>
      </c>
      <c r="W26" s="417">
        <f t="shared" si="4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5"/>
        <v>0</v>
      </c>
      <c r="AF26" s="417">
        <f t="shared" si="6"/>
        <v>0</v>
      </c>
      <c r="AG26" s="417">
        <f t="shared" si="7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8"/>
        <v>0</v>
      </c>
      <c r="AN26" s="417">
        <f t="shared" si="9"/>
        <v>0</v>
      </c>
      <c r="AO26" s="417">
        <f t="shared" si="10"/>
        <v>0</v>
      </c>
      <c r="AP26" s="417">
        <f t="shared" si="11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0</v>
      </c>
      <c r="BK26" s="420">
        <f t="shared" si="19"/>
        <v>0</v>
      </c>
      <c r="BL26" s="772">
        <f>I26+AY26</f>
        <v>403747</v>
      </c>
      <c r="BM26" s="772">
        <f>J26+AG26</f>
        <v>298180</v>
      </c>
      <c r="BN26" s="417">
        <f t="shared" si="30"/>
        <v>243180</v>
      </c>
      <c r="BO26" s="417">
        <f t="shared" si="30"/>
        <v>55000</v>
      </c>
      <c r="BP26" s="417">
        <f>M26+AO26</f>
        <v>0</v>
      </c>
      <c r="BQ26" s="417">
        <f t="shared" si="31"/>
        <v>0</v>
      </c>
      <c r="BR26" s="417">
        <f t="shared" si="31"/>
        <v>0</v>
      </c>
      <c r="BS26" s="417">
        <f t="shared" si="32"/>
        <v>100785</v>
      </c>
      <c r="BT26" s="417">
        <f t="shared" si="32"/>
        <v>2982</v>
      </c>
      <c r="BU26" s="417">
        <f>R26+AX26</f>
        <v>1800</v>
      </c>
      <c r="BV26" s="418">
        <f>S26+BK26</f>
        <v>0.69</v>
      </c>
      <c r="BW26" s="418">
        <f t="shared" si="33"/>
        <v>0.48</v>
      </c>
      <c r="BX26" s="420">
        <f t="shared" si="33"/>
        <v>0.21000000000000002</v>
      </c>
      <c r="BY26" s="596"/>
      <c r="BZ26" s="595"/>
      <c r="CA26" s="595"/>
      <c r="CB26" s="595"/>
      <c r="CC26" s="595"/>
      <c r="CD26" s="981"/>
      <c r="CE26" s="596"/>
      <c r="CF26" s="595"/>
      <c r="CG26" s="595"/>
      <c r="CH26" s="595"/>
      <c r="CI26" s="595"/>
      <c r="CJ26" s="981"/>
      <c r="CK26" s="315"/>
    </row>
    <row r="27" spans="1:89" ht="12.95" customHeight="1">
      <c r="A27" s="641">
        <v>3</v>
      </c>
      <c r="B27" s="325">
        <v>5413</v>
      </c>
      <c r="C27" s="326">
        <v>600099334</v>
      </c>
      <c r="D27" s="325">
        <v>854697</v>
      </c>
      <c r="E27" s="349" t="s">
        <v>415</v>
      </c>
      <c r="F27" s="325"/>
      <c r="G27" s="350"/>
      <c r="H27" s="643"/>
      <c r="I27" s="464">
        <v>34014680</v>
      </c>
      <c r="J27" s="460">
        <v>24673960</v>
      </c>
      <c r="K27" s="460">
        <v>22471322</v>
      </c>
      <c r="L27" s="460">
        <v>2202638</v>
      </c>
      <c r="M27" s="460">
        <v>215920</v>
      </c>
      <c r="N27" s="460">
        <v>175920</v>
      </c>
      <c r="O27" s="460">
        <v>40000</v>
      </c>
      <c r="P27" s="460">
        <v>8412780</v>
      </c>
      <c r="Q27" s="460">
        <v>246740</v>
      </c>
      <c r="R27" s="460">
        <v>465280</v>
      </c>
      <c r="S27" s="461">
        <v>42.097899999999996</v>
      </c>
      <c r="T27" s="461">
        <v>35.441199999999995</v>
      </c>
      <c r="U27" s="534">
        <v>6.6566999999999998</v>
      </c>
      <c r="V27" s="471">
        <f t="shared" ref="V27:BK27" si="34">SUM(V22:V26)</f>
        <v>91920</v>
      </c>
      <c r="W27" s="467">
        <f t="shared" si="34"/>
        <v>0</v>
      </c>
      <c r="X27" s="467">
        <f t="shared" si="34"/>
        <v>0</v>
      </c>
      <c r="Y27" s="467">
        <f t="shared" si="34"/>
        <v>0</v>
      </c>
      <c r="Z27" s="467">
        <f t="shared" si="34"/>
        <v>81193</v>
      </c>
      <c r="AA27" s="467">
        <f t="shared" si="34"/>
        <v>0</v>
      </c>
      <c r="AB27" s="467">
        <f t="shared" si="34"/>
        <v>0</v>
      </c>
      <c r="AC27" s="467">
        <f t="shared" si="34"/>
        <v>0</v>
      </c>
      <c r="AD27" s="467">
        <f t="shared" si="34"/>
        <v>0</v>
      </c>
      <c r="AE27" s="467">
        <f t="shared" si="34"/>
        <v>173113</v>
      </c>
      <c r="AF27" s="467">
        <f t="shared" si="34"/>
        <v>0</v>
      </c>
      <c r="AG27" s="467">
        <f t="shared" si="34"/>
        <v>173113</v>
      </c>
      <c r="AH27" s="467">
        <f t="shared" si="34"/>
        <v>-91920</v>
      </c>
      <c r="AI27" s="467">
        <f t="shared" si="34"/>
        <v>0</v>
      </c>
      <c r="AJ27" s="467">
        <f t="shared" si="34"/>
        <v>0</v>
      </c>
      <c r="AK27" s="467">
        <f t="shared" si="34"/>
        <v>0</v>
      </c>
      <c r="AL27" s="467">
        <f t="shared" si="34"/>
        <v>0</v>
      </c>
      <c r="AM27" s="467">
        <f t="shared" si="34"/>
        <v>-91920</v>
      </c>
      <c r="AN27" s="467">
        <f t="shared" si="34"/>
        <v>0</v>
      </c>
      <c r="AO27" s="467">
        <f t="shared" si="34"/>
        <v>-91920</v>
      </c>
      <c r="AP27" s="467">
        <f t="shared" si="34"/>
        <v>81193</v>
      </c>
      <c r="AQ27" s="467">
        <f t="shared" si="34"/>
        <v>0</v>
      </c>
      <c r="AR27" s="467">
        <f t="shared" si="34"/>
        <v>81193</v>
      </c>
      <c r="AS27" s="467">
        <f t="shared" si="34"/>
        <v>27443</v>
      </c>
      <c r="AT27" s="467">
        <f t="shared" si="34"/>
        <v>1731</v>
      </c>
      <c r="AU27" s="467">
        <f t="shared" si="34"/>
        <v>0</v>
      </c>
      <c r="AV27" s="467">
        <f t="shared" si="34"/>
        <v>0</v>
      </c>
      <c r="AW27" s="467">
        <f t="shared" si="34"/>
        <v>0</v>
      </c>
      <c r="AX27" s="467">
        <f t="shared" si="34"/>
        <v>0</v>
      </c>
      <c r="AY27" s="467">
        <f t="shared" si="34"/>
        <v>110367</v>
      </c>
      <c r="AZ27" s="468">
        <f t="shared" si="34"/>
        <v>0.06</v>
      </c>
      <c r="BA27" s="468">
        <f t="shared" si="34"/>
        <v>0</v>
      </c>
      <c r="BB27" s="468">
        <f t="shared" si="34"/>
        <v>0</v>
      </c>
      <c r="BC27" s="468">
        <f t="shared" si="34"/>
        <v>0.18</v>
      </c>
      <c r="BD27" s="468">
        <f t="shared" si="34"/>
        <v>0</v>
      </c>
      <c r="BE27" s="468">
        <f t="shared" si="34"/>
        <v>0</v>
      </c>
      <c r="BF27" s="468">
        <f t="shared" si="34"/>
        <v>0</v>
      </c>
      <c r="BG27" s="468">
        <f t="shared" si="34"/>
        <v>0</v>
      </c>
      <c r="BH27" s="468">
        <f t="shared" si="34"/>
        <v>0</v>
      </c>
      <c r="BI27" s="468">
        <f t="shared" si="34"/>
        <v>0.24</v>
      </c>
      <c r="BJ27" s="468">
        <f t="shared" si="34"/>
        <v>0</v>
      </c>
      <c r="BK27" s="328">
        <f t="shared" si="34"/>
        <v>0.24</v>
      </c>
      <c r="BL27" s="774">
        <f t="shared" ref="BL27:CG27" si="35">SUM(BL22:BL26)</f>
        <v>34125047</v>
      </c>
      <c r="BM27" s="774">
        <f t="shared" si="35"/>
        <v>24847073</v>
      </c>
      <c r="BN27" s="467">
        <f t="shared" si="35"/>
        <v>22644435</v>
      </c>
      <c r="BO27" s="467">
        <f t="shared" si="35"/>
        <v>2202638</v>
      </c>
      <c r="BP27" s="467">
        <f t="shared" si="35"/>
        <v>124000</v>
      </c>
      <c r="BQ27" s="467">
        <f t="shared" si="35"/>
        <v>84000</v>
      </c>
      <c r="BR27" s="467">
        <f t="shared" si="35"/>
        <v>40000</v>
      </c>
      <c r="BS27" s="467">
        <f t="shared" si="35"/>
        <v>8440223</v>
      </c>
      <c r="BT27" s="467">
        <f t="shared" si="35"/>
        <v>248471</v>
      </c>
      <c r="BU27" s="467">
        <f t="shared" si="35"/>
        <v>465280</v>
      </c>
      <c r="BV27" s="468">
        <f t="shared" si="35"/>
        <v>42.337899999999998</v>
      </c>
      <c r="BW27" s="468">
        <f t="shared" si="35"/>
        <v>35.681199999999997</v>
      </c>
      <c r="BX27" s="328">
        <f t="shared" si="35"/>
        <v>6.6566999999999998</v>
      </c>
      <c r="BY27" s="979">
        <f t="shared" si="35"/>
        <v>608218</v>
      </c>
      <c r="BZ27" s="721">
        <f t="shared" si="35"/>
        <v>451200</v>
      </c>
      <c r="CA27" s="721">
        <f t="shared" si="35"/>
        <v>0</v>
      </c>
      <c r="CB27" s="721">
        <f t="shared" si="35"/>
        <v>152506</v>
      </c>
      <c r="CC27" s="721">
        <f t="shared" si="35"/>
        <v>4512</v>
      </c>
      <c r="CD27" s="826">
        <f t="shared" si="35"/>
        <v>0.8</v>
      </c>
      <c r="CE27" s="995">
        <f t="shared" si="35"/>
        <v>1035436</v>
      </c>
      <c r="CF27" s="995">
        <f t="shared" si="35"/>
        <v>686291</v>
      </c>
      <c r="CG27" s="995">
        <f t="shared" si="35"/>
        <v>231966</v>
      </c>
      <c r="CH27" s="995">
        <f t="shared" ref="CH27:CJ27" si="36">SUM(CH22:CH26)</f>
        <v>6863</v>
      </c>
      <c r="CI27" s="995">
        <f t="shared" si="36"/>
        <v>110316</v>
      </c>
      <c r="CJ27" s="933">
        <f t="shared" si="36"/>
        <v>2.0388999999999999</v>
      </c>
      <c r="CK27" s="315"/>
    </row>
    <row r="28" spans="1:89" ht="12.95" customHeight="1">
      <c r="A28" s="280">
        <v>4</v>
      </c>
      <c r="B28" s="321">
        <v>5475</v>
      </c>
      <c r="C28" s="322">
        <v>600099385</v>
      </c>
      <c r="D28" s="321">
        <v>854735</v>
      </c>
      <c r="E28" s="348" t="s">
        <v>416</v>
      </c>
      <c r="F28" s="321">
        <v>3231</v>
      </c>
      <c r="G28" s="345" t="s">
        <v>397</v>
      </c>
      <c r="H28" s="640" t="s">
        <v>271</v>
      </c>
      <c r="I28" s="419">
        <v>15411973</v>
      </c>
      <c r="J28" s="414">
        <v>11401792</v>
      </c>
      <c r="K28" s="414">
        <v>10782030</v>
      </c>
      <c r="L28" s="414">
        <v>619762</v>
      </c>
      <c r="M28" s="414">
        <v>8400</v>
      </c>
      <c r="N28" s="414">
        <v>8400</v>
      </c>
      <c r="O28" s="414">
        <v>0</v>
      </c>
      <c r="P28" s="68">
        <v>3856645</v>
      </c>
      <c r="Q28" s="68">
        <v>114018</v>
      </c>
      <c r="R28" s="414">
        <v>31118</v>
      </c>
      <c r="S28" s="415">
        <v>18.784300000000002</v>
      </c>
      <c r="T28" s="416">
        <v>17.045500000000001</v>
      </c>
      <c r="U28" s="422">
        <v>1.7387999999999999</v>
      </c>
      <c r="V28" s="423">
        <f t="shared" si="4"/>
        <v>1750</v>
      </c>
      <c r="W28" s="417">
        <f t="shared" si="4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5"/>
        <v>1750</v>
      </c>
      <c r="AF28" s="417">
        <f t="shared" si="6"/>
        <v>0</v>
      </c>
      <c r="AG28" s="417">
        <f t="shared" si="7"/>
        <v>1750</v>
      </c>
      <c r="AH28" s="417">
        <v>-1750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8"/>
        <v>-1750</v>
      </c>
      <c r="AN28" s="417">
        <f t="shared" si="9"/>
        <v>0</v>
      </c>
      <c r="AO28" s="417">
        <f t="shared" si="10"/>
        <v>-1750</v>
      </c>
      <c r="AP28" s="417">
        <f t="shared" si="11"/>
        <v>0</v>
      </c>
      <c r="AQ28" s="417">
        <f t="shared" si="11"/>
        <v>0</v>
      </c>
      <c r="AR28" s="417">
        <f t="shared" si="12"/>
        <v>0</v>
      </c>
      <c r="AS28" s="68">
        <f t="shared" si="13"/>
        <v>0</v>
      </c>
      <c r="AT28" s="68">
        <f t="shared" si="14"/>
        <v>18</v>
      </c>
      <c r="AU28" s="417">
        <v>0</v>
      </c>
      <c r="AV28" s="417">
        <v>0</v>
      </c>
      <c r="AW28" s="417">
        <v>0</v>
      </c>
      <c r="AX28" s="417">
        <f t="shared" si="15"/>
        <v>0</v>
      </c>
      <c r="AY28" s="417">
        <f t="shared" si="16"/>
        <v>18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7"/>
        <v>0</v>
      </c>
      <c r="BJ28" s="418">
        <f t="shared" si="18"/>
        <v>0</v>
      </c>
      <c r="BK28" s="420">
        <f t="shared" si="19"/>
        <v>0</v>
      </c>
      <c r="BL28" s="772">
        <f>I28+AY28</f>
        <v>15411991</v>
      </c>
      <c r="BM28" s="772">
        <f>J28+AG28</f>
        <v>11403542</v>
      </c>
      <c r="BN28" s="417">
        <f>K28+AE28</f>
        <v>10783780</v>
      </c>
      <c r="BO28" s="417">
        <f>L28+AF28</f>
        <v>619762</v>
      </c>
      <c r="BP28" s="417">
        <f>M28+AO28</f>
        <v>6650</v>
      </c>
      <c r="BQ28" s="417">
        <f>N28+AM28</f>
        <v>6650</v>
      </c>
      <c r="BR28" s="417">
        <f>O28+AN28</f>
        <v>0</v>
      </c>
      <c r="BS28" s="417">
        <f>P28+AS28</f>
        <v>3856645</v>
      </c>
      <c r="BT28" s="417">
        <f>Q28+AT28</f>
        <v>114036</v>
      </c>
      <c r="BU28" s="417">
        <f>R28+AX28</f>
        <v>31118</v>
      </c>
      <c r="BV28" s="418">
        <f>S28+BK28</f>
        <v>18.784300000000002</v>
      </c>
      <c r="BW28" s="418">
        <f>T28+BI28</f>
        <v>17.045500000000001</v>
      </c>
      <c r="BX28" s="420">
        <f>U28+BJ28</f>
        <v>1.7387999999999999</v>
      </c>
      <c r="BY28" s="596"/>
      <c r="BZ28" s="595"/>
      <c r="CA28" s="595"/>
      <c r="CB28" s="595"/>
      <c r="CC28" s="595"/>
      <c r="CD28" s="981"/>
      <c r="CE28" s="596">
        <v>284820</v>
      </c>
      <c r="CF28" s="595">
        <v>203720</v>
      </c>
      <c r="CG28" s="595">
        <v>68857</v>
      </c>
      <c r="CH28" s="595">
        <v>2037</v>
      </c>
      <c r="CI28" s="595">
        <v>10206</v>
      </c>
      <c r="CJ28" s="981">
        <v>0.57140000000000002</v>
      </c>
      <c r="CK28" s="315"/>
    </row>
    <row r="29" spans="1:89" ht="12.95" customHeight="1">
      <c r="A29" s="641">
        <v>4</v>
      </c>
      <c r="B29" s="325">
        <v>5475</v>
      </c>
      <c r="C29" s="326">
        <v>600099385</v>
      </c>
      <c r="D29" s="325">
        <v>854735</v>
      </c>
      <c r="E29" s="349" t="s">
        <v>417</v>
      </c>
      <c r="F29" s="325"/>
      <c r="G29" s="350"/>
      <c r="H29" s="643"/>
      <c r="I29" s="464">
        <v>15411973</v>
      </c>
      <c r="J29" s="460">
        <v>11401792</v>
      </c>
      <c r="K29" s="460">
        <v>10782030</v>
      </c>
      <c r="L29" s="460">
        <v>619762</v>
      </c>
      <c r="M29" s="460">
        <v>8400</v>
      </c>
      <c r="N29" s="460">
        <v>8400</v>
      </c>
      <c r="O29" s="460">
        <v>0</v>
      </c>
      <c r="P29" s="460">
        <v>3856645</v>
      </c>
      <c r="Q29" s="460">
        <v>114018</v>
      </c>
      <c r="R29" s="460">
        <v>31118</v>
      </c>
      <c r="S29" s="461">
        <v>18.784300000000002</v>
      </c>
      <c r="T29" s="461">
        <v>17.045500000000001</v>
      </c>
      <c r="U29" s="534">
        <v>1.7387999999999999</v>
      </c>
      <c r="V29" s="471">
        <f t="shared" ref="V29:BK29" si="37">SUM(V28)</f>
        <v>1750</v>
      </c>
      <c r="W29" s="467">
        <f t="shared" si="37"/>
        <v>0</v>
      </c>
      <c r="X29" s="467">
        <f t="shared" si="37"/>
        <v>0</v>
      </c>
      <c r="Y29" s="467">
        <f t="shared" si="37"/>
        <v>0</v>
      </c>
      <c r="Z29" s="467">
        <f t="shared" si="37"/>
        <v>0</v>
      </c>
      <c r="AA29" s="467">
        <f t="shared" si="37"/>
        <v>0</v>
      </c>
      <c r="AB29" s="467">
        <f t="shared" si="37"/>
        <v>0</v>
      </c>
      <c r="AC29" s="467">
        <f t="shared" si="37"/>
        <v>0</v>
      </c>
      <c r="AD29" s="467">
        <f t="shared" si="37"/>
        <v>0</v>
      </c>
      <c r="AE29" s="467">
        <f t="shared" si="37"/>
        <v>1750</v>
      </c>
      <c r="AF29" s="467">
        <f t="shared" si="37"/>
        <v>0</v>
      </c>
      <c r="AG29" s="467">
        <f t="shared" si="37"/>
        <v>1750</v>
      </c>
      <c r="AH29" s="467">
        <f t="shared" si="37"/>
        <v>-1750</v>
      </c>
      <c r="AI29" s="467">
        <f t="shared" si="37"/>
        <v>0</v>
      </c>
      <c r="AJ29" s="467">
        <f t="shared" si="37"/>
        <v>0</v>
      </c>
      <c r="AK29" s="467">
        <f t="shared" si="37"/>
        <v>0</v>
      </c>
      <c r="AL29" s="467">
        <f t="shared" si="37"/>
        <v>0</v>
      </c>
      <c r="AM29" s="467">
        <f t="shared" si="37"/>
        <v>-1750</v>
      </c>
      <c r="AN29" s="467">
        <f t="shared" si="37"/>
        <v>0</v>
      </c>
      <c r="AO29" s="467">
        <f t="shared" si="37"/>
        <v>-1750</v>
      </c>
      <c r="AP29" s="467">
        <f t="shared" si="37"/>
        <v>0</v>
      </c>
      <c r="AQ29" s="467">
        <f t="shared" si="37"/>
        <v>0</v>
      </c>
      <c r="AR29" s="467">
        <f t="shared" si="37"/>
        <v>0</v>
      </c>
      <c r="AS29" s="467">
        <f t="shared" si="37"/>
        <v>0</v>
      </c>
      <c r="AT29" s="467">
        <f t="shared" si="37"/>
        <v>18</v>
      </c>
      <c r="AU29" s="467">
        <f t="shared" si="37"/>
        <v>0</v>
      </c>
      <c r="AV29" s="467">
        <f t="shared" si="37"/>
        <v>0</v>
      </c>
      <c r="AW29" s="467">
        <f t="shared" si="37"/>
        <v>0</v>
      </c>
      <c r="AX29" s="467">
        <f t="shared" si="37"/>
        <v>0</v>
      </c>
      <c r="AY29" s="467">
        <f t="shared" si="37"/>
        <v>18</v>
      </c>
      <c r="AZ29" s="468">
        <f t="shared" si="37"/>
        <v>0</v>
      </c>
      <c r="BA29" s="468">
        <f t="shared" si="37"/>
        <v>0</v>
      </c>
      <c r="BB29" s="468">
        <f t="shared" si="37"/>
        <v>0</v>
      </c>
      <c r="BC29" s="468">
        <f t="shared" si="37"/>
        <v>0</v>
      </c>
      <c r="BD29" s="468">
        <f t="shared" si="37"/>
        <v>0</v>
      </c>
      <c r="BE29" s="468">
        <f t="shared" si="37"/>
        <v>0</v>
      </c>
      <c r="BF29" s="468">
        <f t="shared" si="37"/>
        <v>0</v>
      </c>
      <c r="BG29" s="468">
        <f t="shared" si="37"/>
        <v>0</v>
      </c>
      <c r="BH29" s="468">
        <f t="shared" si="37"/>
        <v>0</v>
      </c>
      <c r="BI29" s="468">
        <f t="shared" si="37"/>
        <v>0</v>
      </c>
      <c r="BJ29" s="468">
        <f t="shared" si="37"/>
        <v>0</v>
      </c>
      <c r="BK29" s="328">
        <f t="shared" si="37"/>
        <v>0</v>
      </c>
      <c r="BL29" s="774">
        <f t="shared" ref="BL29:CG29" si="38">SUM(BL28)</f>
        <v>15411991</v>
      </c>
      <c r="BM29" s="774">
        <f t="shared" si="38"/>
        <v>11403542</v>
      </c>
      <c r="BN29" s="467">
        <f t="shared" si="38"/>
        <v>10783780</v>
      </c>
      <c r="BO29" s="467">
        <f t="shared" si="38"/>
        <v>619762</v>
      </c>
      <c r="BP29" s="467">
        <f t="shared" si="38"/>
        <v>6650</v>
      </c>
      <c r="BQ29" s="467">
        <f t="shared" si="38"/>
        <v>6650</v>
      </c>
      <c r="BR29" s="467">
        <f t="shared" si="38"/>
        <v>0</v>
      </c>
      <c r="BS29" s="467">
        <f t="shared" si="38"/>
        <v>3856645</v>
      </c>
      <c r="BT29" s="467">
        <f t="shared" si="38"/>
        <v>114036</v>
      </c>
      <c r="BU29" s="467">
        <f t="shared" si="38"/>
        <v>31118</v>
      </c>
      <c r="BV29" s="468">
        <f t="shared" si="38"/>
        <v>18.784300000000002</v>
      </c>
      <c r="BW29" s="468">
        <f t="shared" si="38"/>
        <v>17.045500000000001</v>
      </c>
      <c r="BX29" s="328">
        <f t="shared" si="38"/>
        <v>1.7387999999999999</v>
      </c>
      <c r="BY29" s="979">
        <f t="shared" si="38"/>
        <v>0</v>
      </c>
      <c r="BZ29" s="721">
        <f t="shared" si="38"/>
        <v>0</v>
      </c>
      <c r="CA29" s="721">
        <f t="shared" si="38"/>
        <v>0</v>
      </c>
      <c r="CB29" s="721">
        <f t="shared" si="38"/>
        <v>0</v>
      </c>
      <c r="CC29" s="721">
        <f t="shared" si="38"/>
        <v>0</v>
      </c>
      <c r="CD29" s="826">
        <f t="shared" si="38"/>
        <v>0</v>
      </c>
      <c r="CE29" s="995">
        <f t="shared" si="38"/>
        <v>284820</v>
      </c>
      <c r="CF29" s="995">
        <f t="shared" si="38"/>
        <v>203720</v>
      </c>
      <c r="CG29" s="995">
        <f t="shared" si="38"/>
        <v>68857</v>
      </c>
      <c r="CH29" s="995">
        <f t="shared" ref="CH29:CJ29" si="39">SUM(CH28)</f>
        <v>2037</v>
      </c>
      <c r="CI29" s="995">
        <f t="shared" si="39"/>
        <v>10206</v>
      </c>
      <c r="CJ29" s="933">
        <f t="shared" si="39"/>
        <v>0.57140000000000002</v>
      </c>
      <c r="CK29" s="315"/>
    </row>
    <row r="30" spans="1:89" ht="12.95" customHeight="1">
      <c r="A30" s="280">
        <v>5</v>
      </c>
      <c r="B30" s="321">
        <v>5402</v>
      </c>
      <c r="C30" s="322">
        <v>600098958</v>
      </c>
      <c r="D30" s="321">
        <v>70983623</v>
      </c>
      <c r="E30" s="348" t="s">
        <v>835</v>
      </c>
      <c r="F30" s="321">
        <v>3111</v>
      </c>
      <c r="G30" s="345" t="s">
        <v>304</v>
      </c>
      <c r="H30" s="640" t="s">
        <v>271</v>
      </c>
      <c r="I30" s="419">
        <v>1767535</v>
      </c>
      <c r="J30" s="414">
        <v>1284254</v>
      </c>
      <c r="K30" s="414">
        <v>1206236</v>
      </c>
      <c r="L30" s="414">
        <v>78018</v>
      </c>
      <c r="M30" s="414">
        <v>20000</v>
      </c>
      <c r="N30" s="414">
        <v>0</v>
      </c>
      <c r="O30" s="414">
        <v>20000</v>
      </c>
      <c r="P30" s="68">
        <v>440838</v>
      </c>
      <c r="Q30" s="68">
        <v>12843</v>
      </c>
      <c r="R30" s="414">
        <v>9600</v>
      </c>
      <c r="S30" s="415">
        <v>2.3327</v>
      </c>
      <c r="T30" s="416">
        <v>2</v>
      </c>
      <c r="U30" s="422">
        <v>0.3327</v>
      </c>
      <c r="V30" s="423">
        <f t="shared" si="4"/>
        <v>0</v>
      </c>
      <c r="W30" s="417">
        <f t="shared" si="4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5"/>
        <v>0</v>
      </c>
      <c r="AF30" s="417">
        <f t="shared" si="6"/>
        <v>0</v>
      </c>
      <c r="AG30" s="417">
        <f t="shared" si="7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8"/>
        <v>0</v>
      </c>
      <c r="AN30" s="417">
        <f t="shared" si="9"/>
        <v>0</v>
      </c>
      <c r="AO30" s="417">
        <f t="shared" si="10"/>
        <v>0</v>
      </c>
      <c r="AP30" s="417">
        <f t="shared" si="11"/>
        <v>0</v>
      </c>
      <c r="AQ30" s="417">
        <f t="shared" si="11"/>
        <v>0</v>
      </c>
      <c r="AR30" s="417">
        <f t="shared" si="12"/>
        <v>0</v>
      </c>
      <c r="AS30" s="68">
        <f t="shared" si="13"/>
        <v>0</v>
      </c>
      <c r="AT30" s="68">
        <f t="shared" si="14"/>
        <v>0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0</v>
      </c>
      <c r="BK30" s="420">
        <f t="shared" si="19"/>
        <v>0</v>
      </c>
      <c r="BL30" s="772">
        <f t="shared" ref="BL30:BL35" si="40">I30+AY30</f>
        <v>1767535</v>
      </c>
      <c r="BM30" s="772">
        <f t="shared" ref="BM30:BM35" si="41">J30+AG30</f>
        <v>1284254</v>
      </c>
      <c r="BN30" s="417">
        <f t="shared" ref="BN30:BO35" si="42">K30+AE30</f>
        <v>1206236</v>
      </c>
      <c r="BO30" s="417">
        <f t="shared" si="42"/>
        <v>78018</v>
      </c>
      <c r="BP30" s="417">
        <f t="shared" ref="BP30:BP35" si="43">M30+AO30</f>
        <v>20000</v>
      </c>
      <c r="BQ30" s="417">
        <f t="shared" ref="BQ30:BR35" si="44">N30+AM30</f>
        <v>0</v>
      </c>
      <c r="BR30" s="417">
        <f t="shared" si="44"/>
        <v>20000</v>
      </c>
      <c r="BS30" s="417">
        <f t="shared" ref="BS30:BT35" si="45">P30+AS30</f>
        <v>440838</v>
      </c>
      <c r="BT30" s="417">
        <f t="shared" si="45"/>
        <v>12843</v>
      </c>
      <c r="BU30" s="417">
        <f t="shared" ref="BU30:BU35" si="46">R30+AX30</f>
        <v>9600</v>
      </c>
      <c r="BV30" s="418">
        <f t="shared" ref="BV30:BV35" si="47">S30+BK30</f>
        <v>2.3327</v>
      </c>
      <c r="BW30" s="418">
        <f t="shared" ref="BW30:BX35" si="48">T30+BI30</f>
        <v>2</v>
      </c>
      <c r="BX30" s="420">
        <f t="shared" si="48"/>
        <v>0.3327</v>
      </c>
      <c r="BY30" s="596"/>
      <c r="BZ30" s="595"/>
      <c r="CA30" s="595"/>
      <c r="CB30" s="595"/>
      <c r="CC30" s="595"/>
      <c r="CD30" s="981"/>
      <c r="CE30" s="596">
        <v>45587</v>
      </c>
      <c r="CF30" s="595">
        <v>31450</v>
      </c>
      <c r="CG30" s="595">
        <v>10630</v>
      </c>
      <c r="CH30" s="595">
        <v>315</v>
      </c>
      <c r="CI30" s="595">
        <v>3192</v>
      </c>
      <c r="CJ30" s="981">
        <v>0.126</v>
      </c>
      <c r="CK30" s="315"/>
    </row>
    <row r="31" spans="1:89" ht="12.95" customHeight="1">
      <c r="A31" s="280">
        <v>5</v>
      </c>
      <c r="B31" s="321">
        <v>5402</v>
      </c>
      <c r="C31" s="322">
        <v>600098958</v>
      </c>
      <c r="D31" s="321">
        <v>70983623</v>
      </c>
      <c r="E31" s="348" t="s">
        <v>789</v>
      </c>
      <c r="F31" s="321">
        <v>3117</v>
      </c>
      <c r="G31" s="345" t="s">
        <v>308</v>
      </c>
      <c r="H31" s="640" t="s">
        <v>271</v>
      </c>
      <c r="I31" s="419">
        <v>5150298</v>
      </c>
      <c r="J31" s="414">
        <v>3768175</v>
      </c>
      <c r="K31" s="414">
        <v>3034277</v>
      </c>
      <c r="L31" s="414">
        <v>733898</v>
      </c>
      <c r="M31" s="414">
        <v>0</v>
      </c>
      <c r="N31" s="414">
        <v>0</v>
      </c>
      <c r="O31" s="414">
        <v>0</v>
      </c>
      <c r="P31" s="68">
        <v>1273642</v>
      </c>
      <c r="Q31" s="68">
        <v>37681</v>
      </c>
      <c r="R31" s="414">
        <v>70800</v>
      </c>
      <c r="S31" s="415">
        <v>7.02</v>
      </c>
      <c r="T31" s="416">
        <v>4.9090999999999996</v>
      </c>
      <c r="U31" s="422">
        <v>2.1109</v>
      </c>
      <c r="V31" s="423">
        <f t="shared" si="4"/>
        <v>0</v>
      </c>
      <c r="W31" s="417">
        <f t="shared" si="4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5"/>
        <v>0</v>
      </c>
      <c r="AF31" s="417">
        <f t="shared" si="6"/>
        <v>0</v>
      </c>
      <c r="AG31" s="417">
        <f t="shared" si="7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8"/>
        <v>0</v>
      </c>
      <c r="AN31" s="417">
        <f t="shared" si="9"/>
        <v>0</v>
      </c>
      <c r="AO31" s="417">
        <f t="shared" si="10"/>
        <v>0</v>
      </c>
      <c r="AP31" s="417">
        <f t="shared" si="11"/>
        <v>0</v>
      </c>
      <c r="AQ31" s="417">
        <f t="shared" si="11"/>
        <v>0</v>
      </c>
      <c r="AR31" s="417">
        <f t="shared" si="12"/>
        <v>0</v>
      </c>
      <c r="AS31" s="68">
        <f t="shared" si="13"/>
        <v>0</v>
      </c>
      <c r="AT31" s="68">
        <f t="shared" si="14"/>
        <v>0</v>
      </c>
      <c r="AU31" s="417">
        <v>0</v>
      </c>
      <c r="AV31" s="417">
        <v>0</v>
      </c>
      <c r="AW31" s="417">
        <v>0</v>
      </c>
      <c r="AX31" s="417">
        <f t="shared" si="15"/>
        <v>0</v>
      </c>
      <c r="AY31" s="417">
        <f t="shared" si="16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7"/>
        <v>0</v>
      </c>
      <c r="BJ31" s="418">
        <f t="shared" si="18"/>
        <v>0</v>
      </c>
      <c r="BK31" s="420">
        <f t="shared" si="19"/>
        <v>0</v>
      </c>
      <c r="BL31" s="772">
        <f t="shared" si="40"/>
        <v>5150298</v>
      </c>
      <c r="BM31" s="772">
        <f t="shared" si="41"/>
        <v>3768175</v>
      </c>
      <c r="BN31" s="417">
        <f t="shared" si="42"/>
        <v>3034277</v>
      </c>
      <c r="BO31" s="417">
        <f t="shared" si="42"/>
        <v>733898</v>
      </c>
      <c r="BP31" s="417">
        <f t="shared" si="43"/>
        <v>0</v>
      </c>
      <c r="BQ31" s="417">
        <f t="shared" si="44"/>
        <v>0</v>
      </c>
      <c r="BR31" s="417">
        <f t="shared" si="44"/>
        <v>0</v>
      </c>
      <c r="BS31" s="417">
        <f t="shared" si="45"/>
        <v>1273642</v>
      </c>
      <c r="BT31" s="417">
        <f t="shared" si="45"/>
        <v>37681</v>
      </c>
      <c r="BU31" s="417">
        <f t="shared" si="46"/>
        <v>70800</v>
      </c>
      <c r="BV31" s="418">
        <f t="shared" si="47"/>
        <v>7.02</v>
      </c>
      <c r="BW31" s="418">
        <f t="shared" si="48"/>
        <v>4.9090999999999996</v>
      </c>
      <c r="BX31" s="420">
        <f t="shared" si="48"/>
        <v>2.1109</v>
      </c>
      <c r="BY31" s="596"/>
      <c r="BZ31" s="595"/>
      <c r="CA31" s="595"/>
      <c r="CB31" s="595"/>
      <c r="CC31" s="595"/>
      <c r="CD31" s="981"/>
      <c r="CE31" s="596">
        <v>329880</v>
      </c>
      <c r="CF31" s="595">
        <v>235531</v>
      </c>
      <c r="CG31" s="595">
        <v>79610</v>
      </c>
      <c r="CH31" s="595">
        <v>2355</v>
      </c>
      <c r="CI31" s="595">
        <v>12384</v>
      </c>
      <c r="CJ31" s="981">
        <v>0.67749999999999999</v>
      </c>
      <c r="CK31" s="315"/>
    </row>
    <row r="32" spans="1:89" ht="12.95" customHeight="1">
      <c r="A32" s="280">
        <v>5</v>
      </c>
      <c r="B32" s="321">
        <v>5402</v>
      </c>
      <c r="C32" s="322">
        <v>600098958</v>
      </c>
      <c r="D32" s="321">
        <v>70983623</v>
      </c>
      <c r="E32" s="348" t="s">
        <v>789</v>
      </c>
      <c r="F32" s="321">
        <v>3117</v>
      </c>
      <c r="G32" s="284" t="s">
        <v>291</v>
      </c>
      <c r="H32" s="640" t="s">
        <v>272</v>
      </c>
      <c r="I32" s="419">
        <v>630362</v>
      </c>
      <c r="J32" s="414">
        <v>467628</v>
      </c>
      <c r="K32" s="414">
        <v>467628</v>
      </c>
      <c r="L32" s="414">
        <v>0</v>
      </c>
      <c r="M32" s="414">
        <v>0</v>
      </c>
      <c r="N32" s="414">
        <v>0</v>
      </c>
      <c r="O32" s="414">
        <v>0</v>
      </c>
      <c r="P32" s="68">
        <v>158058</v>
      </c>
      <c r="Q32" s="68">
        <v>4676</v>
      </c>
      <c r="R32" s="414">
        <v>0</v>
      </c>
      <c r="S32" s="415">
        <v>1.57</v>
      </c>
      <c r="T32" s="416">
        <v>1.57</v>
      </c>
      <c r="U32" s="422">
        <v>0</v>
      </c>
      <c r="V32" s="423">
        <f t="shared" si="4"/>
        <v>0</v>
      </c>
      <c r="W32" s="417">
        <f t="shared" si="4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5"/>
        <v>0</v>
      </c>
      <c r="AF32" s="417">
        <f t="shared" si="6"/>
        <v>0</v>
      </c>
      <c r="AG32" s="417">
        <f t="shared" si="7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8"/>
        <v>0</v>
      </c>
      <c r="AN32" s="417">
        <f t="shared" si="9"/>
        <v>0</v>
      </c>
      <c r="AO32" s="417">
        <f t="shared" si="10"/>
        <v>0</v>
      </c>
      <c r="AP32" s="417">
        <f t="shared" si="11"/>
        <v>0</v>
      </c>
      <c r="AQ32" s="417">
        <f t="shared" si="11"/>
        <v>0</v>
      </c>
      <c r="AR32" s="417">
        <f t="shared" si="12"/>
        <v>0</v>
      </c>
      <c r="AS32" s="68">
        <f t="shared" si="13"/>
        <v>0</v>
      </c>
      <c r="AT32" s="68">
        <f t="shared" si="14"/>
        <v>0</v>
      </c>
      <c r="AU32" s="417">
        <v>2500</v>
      </c>
      <c r="AV32" s="417">
        <v>0</v>
      </c>
      <c r="AW32" s="417">
        <v>0</v>
      </c>
      <c r="AX32" s="417">
        <f t="shared" si="15"/>
        <v>2500</v>
      </c>
      <c r="AY32" s="417">
        <f t="shared" si="16"/>
        <v>2500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7"/>
        <v>0</v>
      </c>
      <c r="BJ32" s="418">
        <f t="shared" si="18"/>
        <v>0</v>
      </c>
      <c r="BK32" s="420">
        <f t="shared" si="19"/>
        <v>0</v>
      </c>
      <c r="BL32" s="772">
        <f t="shared" si="40"/>
        <v>632862</v>
      </c>
      <c r="BM32" s="772">
        <f t="shared" si="41"/>
        <v>467628</v>
      </c>
      <c r="BN32" s="417">
        <f t="shared" si="42"/>
        <v>467628</v>
      </c>
      <c r="BO32" s="417">
        <f t="shared" si="42"/>
        <v>0</v>
      </c>
      <c r="BP32" s="417">
        <f t="shared" si="43"/>
        <v>0</v>
      </c>
      <c r="BQ32" s="417">
        <f t="shared" si="44"/>
        <v>0</v>
      </c>
      <c r="BR32" s="417">
        <f t="shared" si="44"/>
        <v>0</v>
      </c>
      <c r="BS32" s="417">
        <f t="shared" si="45"/>
        <v>158058</v>
      </c>
      <c r="BT32" s="417">
        <f t="shared" si="45"/>
        <v>4676</v>
      </c>
      <c r="BU32" s="417">
        <f t="shared" si="46"/>
        <v>2500</v>
      </c>
      <c r="BV32" s="418">
        <f t="shared" si="47"/>
        <v>1.57</v>
      </c>
      <c r="BW32" s="418">
        <f t="shared" si="48"/>
        <v>1.57</v>
      </c>
      <c r="BX32" s="420">
        <f t="shared" si="48"/>
        <v>0</v>
      </c>
      <c r="BY32" s="596"/>
      <c r="BZ32" s="595"/>
      <c r="CA32" s="595"/>
      <c r="CB32" s="595"/>
      <c r="CC32" s="595"/>
      <c r="CD32" s="981"/>
      <c r="CE32" s="596"/>
      <c r="CF32" s="595"/>
      <c r="CG32" s="595"/>
      <c r="CH32" s="595"/>
      <c r="CI32" s="595"/>
      <c r="CJ32" s="981"/>
      <c r="CK32" s="315"/>
    </row>
    <row r="33" spans="1:89" ht="12.95" customHeight="1">
      <c r="A33" s="280">
        <v>5</v>
      </c>
      <c r="B33" s="321">
        <v>5402</v>
      </c>
      <c r="C33" s="322">
        <v>600098958</v>
      </c>
      <c r="D33" s="321">
        <v>70983623</v>
      </c>
      <c r="E33" s="348" t="s">
        <v>789</v>
      </c>
      <c r="F33" s="321">
        <v>3141</v>
      </c>
      <c r="G33" s="345" t="s">
        <v>294</v>
      </c>
      <c r="H33" s="640" t="s">
        <v>272</v>
      </c>
      <c r="I33" s="419">
        <v>985530</v>
      </c>
      <c r="J33" s="414">
        <v>723119</v>
      </c>
      <c r="K33" s="414">
        <v>0</v>
      </c>
      <c r="L33" s="414">
        <v>723119</v>
      </c>
      <c r="M33" s="414">
        <v>5000</v>
      </c>
      <c r="N33" s="414">
        <v>0</v>
      </c>
      <c r="O33" s="414">
        <v>5000</v>
      </c>
      <c r="P33" s="68">
        <v>246104</v>
      </c>
      <c r="Q33" s="68">
        <v>7231</v>
      </c>
      <c r="R33" s="414">
        <v>4076</v>
      </c>
      <c r="S33" s="415">
        <v>2.1633</v>
      </c>
      <c r="T33" s="416">
        <v>0</v>
      </c>
      <c r="U33" s="422">
        <v>2.1633</v>
      </c>
      <c r="V33" s="423">
        <f t="shared" si="4"/>
        <v>0</v>
      </c>
      <c r="W33" s="417">
        <f t="shared" si="4"/>
        <v>0</v>
      </c>
      <c r="X33" s="417">
        <v>0</v>
      </c>
      <c r="Y33" s="417">
        <v>0</v>
      </c>
      <c r="Z33" s="417">
        <v>0</v>
      </c>
      <c r="AA33" s="417">
        <v>18283</v>
      </c>
      <c r="AB33" s="417">
        <v>0</v>
      </c>
      <c r="AC33" s="417">
        <v>0</v>
      </c>
      <c r="AD33" s="417">
        <v>0</v>
      </c>
      <c r="AE33" s="417">
        <f t="shared" si="5"/>
        <v>0</v>
      </c>
      <c r="AF33" s="417">
        <f t="shared" si="6"/>
        <v>18283</v>
      </c>
      <c r="AG33" s="417">
        <f t="shared" si="7"/>
        <v>18283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8"/>
        <v>0</v>
      </c>
      <c r="AN33" s="417">
        <f t="shared" si="9"/>
        <v>0</v>
      </c>
      <c r="AO33" s="417">
        <f t="shared" si="10"/>
        <v>0</v>
      </c>
      <c r="AP33" s="417">
        <f t="shared" si="11"/>
        <v>0</v>
      </c>
      <c r="AQ33" s="417">
        <f t="shared" si="11"/>
        <v>18283</v>
      </c>
      <c r="AR33" s="417">
        <f t="shared" si="12"/>
        <v>18283</v>
      </c>
      <c r="AS33" s="68">
        <f t="shared" si="13"/>
        <v>6180</v>
      </c>
      <c r="AT33" s="68">
        <f t="shared" si="14"/>
        <v>183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24646</v>
      </c>
      <c r="AZ33" s="418">
        <v>0</v>
      </c>
      <c r="BA33" s="418">
        <v>0</v>
      </c>
      <c r="BB33" s="418">
        <v>0</v>
      </c>
      <c r="BC33" s="418">
        <v>0</v>
      </c>
      <c r="BD33" s="418">
        <v>0.05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</v>
      </c>
      <c r="BJ33" s="418">
        <f t="shared" si="18"/>
        <v>0.05</v>
      </c>
      <c r="BK33" s="420">
        <f t="shared" si="19"/>
        <v>0.05</v>
      </c>
      <c r="BL33" s="772">
        <f t="shared" si="40"/>
        <v>1010176</v>
      </c>
      <c r="BM33" s="772">
        <f t="shared" si="41"/>
        <v>741402</v>
      </c>
      <c r="BN33" s="417">
        <f t="shared" si="42"/>
        <v>0</v>
      </c>
      <c r="BO33" s="417">
        <f t="shared" si="42"/>
        <v>741402</v>
      </c>
      <c r="BP33" s="417">
        <f t="shared" si="43"/>
        <v>5000</v>
      </c>
      <c r="BQ33" s="417">
        <f t="shared" si="44"/>
        <v>0</v>
      </c>
      <c r="BR33" s="417">
        <f t="shared" si="44"/>
        <v>5000</v>
      </c>
      <c r="BS33" s="417">
        <f t="shared" si="45"/>
        <v>252284</v>
      </c>
      <c r="BT33" s="417">
        <f t="shared" si="45"/>
        <v>7414</v>
      </c>
      <c r="BU33" s="417">
        <f t="shared" si="46"/>
        <v>4076</v>
      </c>
      <c r="BV33" s="418">
        <f t="shared" si="47"/>
        <v>2.2132999999999998</v>
      </c>
      <c r="BW33" s="418">
        <f t="shared" si="48"/>
        <v>0</v>
      </c>
      <c r="BX33" s="420">
        <f t="shared" si="48"/>
        <v>2.2132999999999998</v>
      </c>
      <c r="BY33" s="596"/>
      <c r="BZ33" s="595"/>
      <c r="CA33" s="595"/>
      <c r="CB33" s="595"/>
      <c r="CC33" s="595"/>
      <c r="CD33" s="981"/>
      <c r="CE33" s="596"/>
      <c r="CF33" s="595"/>
      <c r="CG33" s="595"/>
      <c r="CH33" s="595"/>
      <c r="CI33" s="595"/>
      <c r="CJ33" s="981"/>
      <c r="CK33" s="315"/>
    </row>
    <row r="34" spans="1:89" ht="12.95" customHeight="1">
      <c r="A34" s="280">
        <v>5</v>
      </c>
      <c r="B34" s="321">
        <v>5402</v>
      </c>
      <c r="C34" s="322">
        <v>600098958</v>
      </c>
      <c r="D34" s="321">
        <v>70983623</v>
      </c>
      <c r="E34" s="348" t="s">
        <v>789</v>
      </c>
      <c r="F34" s="321">
        <v>3143</v>
      </c>
      <c r="G34" s="284" t="s">
        <v>595</v>
      </c>
      <c r="H34" s="640" t="s">
        <v>271</v>
      </c>
      <c r="I34" s="419">
        <v>1324900</v>
      </c>
      <c r="J34" s="414">
        <v>982863</v>
      </c>
      <c r="K34" s="414">
        <v>982863</v>
      </c>
      <c r="L34" s="414">
        <v>0</v>
      </c>
      <c r="M34" s="414">
        <v>0</v>
      </c>
      <c r="N34" s="414">
        <v>0</v>
      </c>
      <c r="O34" s="414">
        <v>0</v>
      </c>
      <c r="P34" s="68">
        <v>332208</v>
      </c>
      <c r="Q34" s="68">
        <v>9829</v>
      </c>
      <c r="R34" s="414">
        <v>0</v>
      </c>
      <c r="S34" s="415">
        <v>2.0177</v>
      </c>
      <c r="T34" s="416">
        <v>2.0177</v>
      </c>
      <c r="U34" s="422">
        <v>0</v>
      </c>
      <c r="V34" s="423">
        <f t="shared" si="4"/>
        <v>0</v>
      </c>
      <c r="W34" s="417">
        <f t="shared" si="4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5"/>
        <v>0</v>
      </c>
      <c r="AF34" s="417">
        <f t="shared" si="6"/>
        <v>0</v>
      </c>
      <c r="AG34" s="417">
        <f t="shared" si="7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8"/>
        <v>0</v>
      </c>
      <c r="AN34" s="417">
        <f t="shared" si="9"/>
        <v>0</v>
      </c>
      <c r="AO34" s="417">
        <f t="shared" si="10"/>
        <v>0</v>
      </c>
      <c r="AP34" s="417">
        <f t="shared" si="11"/>
        <v>0</v>
      </c>
      <c r="AQ34" s="417">
        <f t="shared" si="11"/>
        <v>0</v>
      </c>
      <c r="AR34" s="417">
        <f t="shared" si="12"/>
        <v>0</v>
      </c>
      <c r="AS34" s="68">
        <f t="shared" si="13"/>
        <v>0</v>
      </c>
      <c r="AT34" s="68">
        <f t="shared" si="14"/>
        <v>0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0</v>
      </c>
      <c r="BK34" s="420">
        <f t="shared" si="19"/>
        <v>0</v>
      </c>
      <c r="BL34" s="772">
        <f t="shared" si="40"/>
        <v>1324900</v>
      </c>
      <c r="BM34" s="772">
        <f t="shared" si="41"/>
        <v>982863</v>
      </c>
      <c r="BN34" s="417">
        <f t="shared" si="42"/>
        <v>982863</v>
      </c>
      <c r="BO34" s="417">
        <f t="shared" si="42"/>
        <v>0</v>
      </c>
      <c r="BP34" s="417">
        <f t="shared" si="43"/>
        <v>0</v>
      </c>
      <c r="BQ34" s="417">
        <f t="shared" si="44"/>
        <v>0</v>
      </c>
      <c r="BR34" s="417">
        <f t="shared" si="44"/>
        <v>0</v>
      </c>
      <c r="BS34" s="417">
        <f t="shared" si="45"/>
        <v>332208</v>
      </c>
      <c r="BT34" s="417">
        <f t="shared" si="45"/>
        <v>9829</v>
      </c>
      <c r="BU34" s="417">
        <f t="shared" si="46"/>
        <v>0</v>
      </c>
      <c r="BV34" s="418">
        <f t="shared" si="47"/>
        <v>2.0177</v>
      </c>
      <c r="BW34" s="418">
        <f t="shared" si="48"/>
        <v>2.0177</v>
      </c>
      <c r="BX34" s="420">
        <f t="shared" si="48"/>
        <v>0</v>
      </c>
      <c r="BY34" s="596"/>
      <c r="BZ34" s="595"/>
      <c r="CA34" s="595"/>
      <c r="CB34" s="595"/>
      <c r="CC34" s="595"/>
      <c r="CD34" s="981"/>
      <c r="CE34" s="596"/>
      <c r="CF34" s="595"/>
      <c r="CG34" s="595"/>
      <c r="CH34" s="595"/>
      <c r="CI34" s="595"/>
      <c r="CJ34" s="981"/>
      <c r="CK34" s="315"/>
    </row>
    <row r="35" spans="1:89" ht="12.95" customHeight="1">
      <c r="A35" s="280">
        <v>5</v>
      </c>
      <c r="B35" s="321">
        <v>5402</v>
      </c>
      <c r="C35" s="322">
        <v>600098958</v>
      </c>
      <c r="D35" s="321">
        <v>70983623</v>
      </c>
      <c r="E35" s="348" t="s">
        <v>789</v>
      </c>
      <c r="F35" s="321">
        <v>3143</v>
      </c>
      <c r="G35" s="284" t="s">
        <v>596</v>
      </c>
      <c r="H35" s="640" t="s">
        <v>272</v>
      </c>
      <c r="I35" s="419">
        <v>36115</v>
      </c>
      <c r="J35" s="414">
        <v>25850</v>
      </c>
      <c r="K35" s="414">
        <v>0</v>
      </c>
      <c r="L35" s="414">
        <v>25850</v>
      </c>
      <c r="M35" s="414">
        <v>0</v>
      </c>
      <c r="N35" s="414">
        <v>0</v>
      </c>
      <c r="O35" s="414">
        <v>0</v>
      </c>
      <c r="P35" s="68">
        <v>8738</v>
      </c>
      <c r="Q35" s="68">
        <v>258</v>
      </c>
      <c r="R35" s="414">
        <v>1269</v>
      </c>
      <c r="S35" s="415">
        <v>9.5299999999999996E-2</v>
      </c>
      <c r="T35" s="416">
        <v>0</v>
      </c>
      <c r="U35" s="422">
        <v>9.5299999999999996E-2</v>
      </c>
      <c r="V35" s="423">
        <f t="shared" si="4"/>
        <v>0</v>
      </c>
      <c r="W35" s="417">
        <f t="shared" si="4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5"/>
        <v>0</v>
      </c>
      <c r="AF35" s="417">
        <f t="shared" si="6"/>
        <v>0</v>
      </c>
      <c r="AG35" s="417">
        <f t="shared" si="7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8"/>
        <v>0</v>
      </c>
      <c r="AN35" s="417">
        <f t="shared" si="9"/>
        <v>0</v>
      </c>
      <c r="AO35" s="417">
        <f t="shared" si="10"/>
        <v>0</v>
      </c>
      <c r="AP35" s="417">
        <f t="shared" si="11"/>
        <v>0</v>
      </c>
      <c r="AQ35" s="417">
        <f t="shared" si="11"/>
        <v>0</v>
      </c>
      <c r="AR35" s="417">
        <f t="shared" si="12"/>
        <v>0</v>
      </c>
      <c r="AS35" s="68">
        <f t="shared" si="13"/>
        <v>0</v>
      </c>
      <c r="AT35" s="68">
        <f t="shared" si="14"/>
        <v>0</v>
      </c>
      <c r="AU35" s="417">
        <v>0</v>
      </c>
      <c r="AV35" s="417">
        <v>0</v>
      </c>
      <c r="AW35" s="417">
        <v>0</v>
      </c>
      <c r="AX35" s="417">
        <f t="shared" si="15"/>
        <v>0</v>
      </c>
      <c r="AY35" s="417">
        <f t="shared" si="16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7"/>
        <v>0</v>
      </c>
      <c r="BJ35" s="418">
        <f t="shared" si="18"/>
        <v>0</v>
      </c>
      <c r="BK35" s="420">
        <f t="shared" si="19"/>
        <v>0</v>
      </c>
      <c r="BL35" s="772">
        <f t="shared" si="40"/>
        <v>36115</v>
      </c>
      <c r="BM35" s="772">
        <f t="shared" si="41"/>
        <v>25850</v>
      </c>
      <c r="BN35" s="417">
        <f t="shared" si="42"/>
        <v>0</v>
      </c>
      <c r="BO35" s="417">
        <f t="shared" si="42"/>
        <v>25850</v>
      </c>
      <c r="BP35" s="417">
        <f t="shared" si="43"/>
        <v>0</v>
      </c>
      <c r="BQ35" s="417">
        <f t="shared" si="44"/>
        <v>0</v>
      </c>
      <c r="BR35" s="417">
        <f t="shared" si="44"/>
        <v>0</v>
      </c>
      <c r="BS35" s="417">
        <f t="shared" si="45"/>
        <v>8738</v>
      </c>
      <c r="BT35" s="417">
        <f t="shared" si="45"/>
        <v>258</v>
      </c>
      <c r="BU35" s="417">
        <f t="shared" si="46"/>
        <v>1269</v>
      </c>
      <c r="BV35" s="418">
        <f t="shared" si="47"/>
        <v>9.5299999999999996E-2</v>
      </c>
      <c r="BW35" s="418">
        <f t="shared" si="48"/>
        <v>0</v>
      </c>
      <c r="BX35" s="420">
        <f t="shared" si="48"/>
        <v>9.5299999999999996E-2</v>
      </c>
      <c r="BY35" s="596"/>
      <c r="BZ35" s="595"/>
      <c r="CA35" s="595"/>
      <c r="CB35" s="595"/>
      <c r="CC35" s="595"/>
      <c r="CD35" s="981"/>
      <c r="CE35" s="596"/>
      <c r="CF35" s="595"/>
      <c r="CG35" s="595"/>
      <c r="CH35" s="595"/>
      <c r="CI35" s="595"/>
      <c r="CJ35" s="981"/>
      <c r="CK35" s="315"/>
    </row>
    <row r="36" spans="1:89" ht="12.95" customHeight="1">
      <c r="A36" s="641">
        <v>5</v>
      </c>
      <c r="B36" s="325">
        <v>5402</v>
      </c>
      <c r="C36" s="326">
        <v>600098958</v>
      </c>
      <c r="D36" s="325">
        <v>70983623</v>
      </c>
      <c r="E36" s="349" t="s">
        <v>790</v>
      </c>
      <c r="F36" s="325"/>
      <c r="G36" s="350"/>
      <c r="H36" s="643"/>
      <c r="I36" s="477">
        <v>9894740</v>
      </c>
      <c r="J36" s="475">
        <v>7251889</v>
      </c>
      <c r="K36" s="475">
        <v>5691004</v>
      </c>
      <c r="L36" s="475">
        <v>1560885</v>
      </c>
      <c r="M36" s="475">
        <v>25000</v>
      </c>
      <c r="N36" s="475">
        <v>0</v>
      </c>
      <c r="O36" s="475">
        <v>25000</v>
      </c>
      <c r="P36" s="475">
        <v>2459588</v>
      </c>
      <c r="Q36" s="475">
        <v>72518</v>
      </c>
      <c r="R36" s="475">
        <v>85745</v>
      </c>
      <c r="S36" s="476">
        <v>15.198999999999998</v>
      </c>
      <c r="T36" s="476">
        <v>10.496799999999999</v>
      </c>
      <c r="U36" s="535">
        <v>4.7021999999999995</v>
      </c>
      <c r="V36" s="472">
        <f t="shared" ref="V36:BK36" si="49">SUM(V30:V35)</f>
        <v>0</v>
      </c>
      <c r="W36" s="469">
        <f t="shared" si="49"/>
        <v>0</v>
      </c>
      <c r="X36" s="469">
        <f t="shared" si="49"/>
        <v>0</v>
      </c>
      <c r="Y36" s="469">
        <f t="shared" si="49"/>
        <v>0</v>
      </c>
      <c r="Z36" s="469">
        <f t="shared" si="49"/>
        <v>0</v>
      </c>
      <c r="AA36" s="469">
        <f t="shared" si="49"/>
        <v>18283</v>
      </c>
      <c r="AB36" s="469">
        <f t="shared" si="49"/>
        <v>0</v>
      </c>
      <c r="AC36" s="469">
        <f t="shared" si="49"/>
        <v>0</v>
      </c>
      <c r="AD36" s="469">
        <f t="shared" si="49"/>
        <v>0</v>
      </c>
      <c r="AE36" s="469">
        <f t="shared" si="49"/>
        <v>0</v>
      </c>
      <c r="AF36" s="469">
        <f t="shared" si="49"/>
        <v>18283</v>
      </c>
      <c r="AG36" s="469">
        <f t="shared" si="49"/>
        <v>18283</v>
      </c>
      <c r="AH36" s="469">
        <f t="shared" si="49"/>
        <v>0</v>
      </c>
      <c r="AI36" s="469">
        <f t="shared" si="49"/>
        <v>0</v>
      </c>
      <c r="AJ36" s="469">
        <f t="shared" si="49"/>
        <v>0</v>
      </c>
      <c r="AK36" s="469">
        <f t="shared" si="49"/>
        <v>0</v>
      </c>
      <c r="AL36" s="469">
        <f t="shared" si="49"/>
        <v>0</v>
      </c>
      <c r="AM36" s="469">
        <f t="shared" si="49"/>
        <v>0</v>
      </c>
      <c r="AN36" s="469">
        <f t="shared" si="49"/>
        <v>0</v>
      </c>
      <c r="AO36" s="469">
        <f t="shared" si="49"/>
        <v>0</v>
      </c>
      <c r="AP36" s="469">
        <f t="shared" si="49"/>
        <v>0</v>
      </c>
      <c r="AQ36" s="469">
        <f t="shared" si="49"/>
        <v>18283</v>
      </c>
      <c r="AR36" s="469">
        <f t="shared" si="49"/>
        <v>18283</v>
      </c>
      <c r="AS36" s="469">
        <f t="shared" si="49"/>
        <v>6180</v>
      </c>
      <c r="AT36" s="469">
        <f t="shared" si="49"/>
        <v>183</v>
      </c>
      <c r="AU36" s="469">
        <f t="shared" si="49"/>
        <v>2500</v>
      </c>
      <c r="AV36" s="469">
        <f t="shared" si="49"/>
        <v>0</v>
      </c>
      <c r="AW36" s="469">
        <f t="shared" si="49"/>
        <v>0</v>
      </c>
      <c r="AX36" s="469">
        <f t="shared" si="49"/>
        <v>2500</v>
      </c>
      <c r="AY36" s="469">
        <f t="shared" si="49"/>
        <v>27146</v>
      </c>
      <c r="AZ36" s="470">
        <f t="shared" si="49"/>
        <v>0</v>
      </c>
      <c r="BA36" s="470">
        <f t="shared" si="49"/>
        <v>0</v>
      </c>
      <c r="BB36" s="470">
        <f t="shared" si="49"/>
        <v>0</v>
      </c>
      <c r="BC36" s="470">
        <f t="shared" si="49"/>
        <v>0</v>
      </c>
      <c r="BD36" s="470">
        <f t="shared" si="49"/>
        <v>0.05</v>
      </c>
      <c r="BE36" s="470">
        <f t="shared" si="49"/>
        <v>0</v>
      </c>
      <c r="BF36" s="470">
        <f t="shared" si="49"/>
        <v>0</v>
      </c>
      <c r="BG36" s="470">
        <f t="shared" si="49"/>
        <v>0</v>
      </c>
      <c r="BH36" s="470">
        <f t="shared" si="49"/>
        <v>0</v>
      </c>
      <c r="BI36" s="470">
        <f t="shared" si="49"/>
        <v>0</v>
      </c>
      <c r="BJ36" s="470">
        <f t="shared" si="49"/>
        <v>0.05</v>
      </c>
      <c r="BK36" s="333">
        <f t="shared" si="49"/>
        <v>0.05</v>
      </c>
      <c r="BL36" s="775">
        <f t="shared" ref="BL36:CG36" si="50">SUM(BL30:BL35)</f>
        <v>9921886</v>
      </c>
      <c r="BM36" s="775">
        <f t="shared" si="50"/>
        <v>7270172</v>
      </c>
      <c r="BN36" s="469">
        <f t="shared" si="50"/>
        <v>5691004</v>
      </c>
      <c r="BO36" s="469">
        <f t="shared" si="50"/>
        <v>1579168</v>
      </c>
      <c r="BP36" s="469">
        <f t="shared" si="50"/>
        <v>25000</v>
      </c>
      <c r="BQ36" s="469">
        <f t="shared" si="50"/>
        <v>0</v>
      </c>
      <c r="BR36" s="469">
        <f t="shared" si="50"/>
        <v>25000</v>
      </c>
      <c r="BS36" s="469">
        <f t="shared" si="50"/>
        <v>2465768</v>
      </c>
      <c r="BT36" s="469">
        <f t="shared" si="50"/>
        <v>72701</v>
      </c>
      <c r="BU36" s="469">
        <f t="shared" si="50"/>
        <v>88245</v>
      </c>
      <c r="BV36" s="470">
        <f t="shared" si="50"/>
        <v>15.248999999999999</v>
      </c>
      <c r="BW36" s="470">
        <f t="shared" si="50"/>
        <v>10.496799999999999</v>
      </c>
      <c r="BX36" s="333">
        <f t="shared" si="50"/>
        <v>4.7522000000000002</v>
      </c>
      <c r="BY36" s="1004">
        <f t="shared" si="50"/>
        <v>0</v>
      </c>
      <c r="BZ36" s="722">
        <f t="shared" si="50"/>
        <v>0</v>
      </c>
      <c r="CA36" s="722">
        <f t="shared" si="50"/>
        <v>0</v>
      </c>
      <c r="CB36" s="722">
        <f t="shared" si="50"/>
        <v>0</v>
      </c>
      <c r="CC36" s="722">
        <f t="shared" si="50"/>
        <v>0</v>
      </c>
      <c r="CD36" s="827">
        <f t="shared" si="50"/>
        <v>0</v>
      </c>
      <c r="CE36" s="996">
        <f t="shared" si="50"/>
        <v>375467</v>
      </c>
      <c r="CF36" s="996">
        <f t="shared" si="50"/>
        <v>266981</v>
      </c>
      <c r="CG36" s="996">
        <f t="shared" si="50"/>
        <v>90240</v>
      </c>
      <c r="CH36" s="996">
        <f t="shared" ref="CH36:CJ36" si="51">SUM(CH30:CH35)</f>
        <v>2670</v>
      </c>
      <c r="CI36" s="996">
        <f t="shared" si="51"/>
        <v>15576</v>
      </c>
      <c r="CJ36" s="934">
        <f t="shared" si="51"/>
        <v>0.80349999999999999</v>
      </c>
      <c r="CK36" s="315"/>
    </row>
    <row r="37" spans="1:89" ht="12.95" customHeight="1">
      <c r="A37" s="280">
        <v>6</v>
      </c>
      <c r="B37" s="281">
        <v>5405</v>
      </c>
      <c r="C37" s="330">
        <v>600099121</v>
      </c>
      <c r="D37" s="281">
        <v>70695521</v>
      </c>
      <c r="E37" s="283" t="s">
        <v>418</v>
      </c>
      <c r="F37" s="281">
        <v>3111</v>
      </c>
      <c r="G37" s="345" t="s">
        <v>304</v>
      </c>
      <c r="H37" s="640" t="s">
        <v>271</v>
      </c>
      <c r="I37" s="419">
        <v>1646020</v>
      </c>
      <c r="J37" s="414">
        <v>1215149</v>
      </c>
      <c r="K37" s="414">
        <v>1126940</v>
      </c>
      <c r="L37" s="414">
        <v>88209</v>
      </c>
      <c r="M37" s="414">
        <v>0</v>
      </c>
      <c r="N37" s="414">
        <v>0</v>
      </c>
      <c r="O37" s="414">
        <v>0</v>
      </c>
      <c r="P37" s="68">
        <v>410720</v>
      </c>
      <c r="Q37" s="68">
        <v>12151</v>
      </c>
      <c r="R37" s="414">
        <v>8000</v>
      </c>
      <c r="S37" s="415">
        <v>2.2888999999999999</v>
      </c>
      <c r="T37" s="416">
        <v>1.9355</v>
      </c>
      <c r="U37" s="422">
        <v>0.35339999999999999</v>
      </c>
      <c r="V37" s="423">
        <f t="shared" si="4"/>
        <v>0</v>
      </c>
      <c r="W37" s="417">
        <f t="shared" si="4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5"/>
        <v>0</v>
      </c>
      <c r="AF37" s="417">
        <f t="shared" si="6"/>
        <v>0</v>
      </c>
      <c r="AG37" s="417">
        <f t="shared" si="7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8"/>
        <v>0</v>
      </c>
      <c r="AN37" s="417">
        <f t="shared" si="9"/>
        <v>0</v>
      </c>
      <c r="AO37" s="417">
        <f t="shared" si="10"/>
        <v>0</v>
      </c>
      <c r="AP37" s="417">
        <f t="shared" si="11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 t="shared" ref="BL37:BL42" si="52">I37+AY37</f>
        <v>1646020</v>
      </c>
      <c r="BM37" s="772">
        <f t="shared" ref="BM37:BM42" si="53">J37+AG37</f>
        <v>1215149</v>
      </c>
      <c r="BN37" s="417">
        <f t="shared" ref="BN37:BO42" si="54">K37+AE37</f>
        <v>1126940</v>
      </c>
      <c r="BO37" s="417">
        <f t="shared" si="54"/>
        <v>88209</v>
      </c>
      <c r="BP37" s="417">
        <f t="shared" ref="BP37:BP42" si="55">M37+AO37</f>
        <v>0</v>
      </c>
      <c r="BQ37" s="417">
        <f t="shared" ref="BQ37:BR42" si="56">N37+AM37</f>
        <v>0</v>
      </c>
      <c r="BR37" s="417">
        <f t="shared" si="56"/>
        <v>0</v>
      </c>
      <c r="BS37" s="417">
        <f t="shared" ref="BS37:BT42" si="57">P37+AS37</f>
        <v>410720</v>
      </c>
      <c r="BT37" s="417">
        <f t="shared" si="57"/>
        <v>12151</v>
      </c>
      <c r="BU37" s="417">
        <f t="shared" ref="BU37:BU42" si="58">R37+AX37</f>
        <v>8000</v>
      </c>
      <c r="BV37" s="418">
        <f t="shared" ref="BV37:BV42" si="59">S37+BK37</f>
        <v>2.2888999999999999</v>
      </c>
      <c r="BW37" s="418">
        <f t="shared" ref="BW37:BX42" si="60">T37+BI37</f>
        <v>1.9355</v>
      </c>
      <c r="BX37" s="420">
        <f t="shared" si="60"/>
        <v>0.35339999999999999</v>
      </c>
      <c r="BY37" s="596"/>
      <c r="BZ37" s="595"/>
      <c r="CA37" s="595"/>
      <c r="CB37" s="595"/>
      <c r="CC37" s="595"/>
      <c r="CD37" s="981"/>
      <c r="CE37" s="596">
        <v>40815</v>
      </c>
      <c r="CF37" s="595">
        <v>28305</v>
      </c>
      <c r="CG37" s="595">
        <v>9567</v>
      </c>
      <c r="CH37" s="595">
        <v>283</v>
      </c>
      <c r="CI37" s="595">
        <v>2660</v>
      </c>
      <c r="CJ37" s="981">
        <v>0.1134</v>
      </c>
      <c r="CK37" s="315"/>
    </row>
    <row r="38" spans="1:89" ht="12.95" customHeight="1">
      <c r="A38" s="280">
        <v>6</v>
      </c>
      <c r="B38" s="321">
        <v>5405</v>
      </c>
      <c r="C38" s="322">
        <v>600099121</v>
      </c>
      <c r="D38" s="281">
        <v>70695521</v>
      </c>
      <c r="E38" s="348" t="s">
        <v>418</v>
      </c>
      <c r="F38" s="321">
        <v>3113</v>
      </c>
      <c r="G38" s="345" t="s">
        <v>308</v>
      </c>
      <c r="H38" s="640" t="s">
        <v>271</v>
      </c>
      <c r="I38" s="419">
        <v>9362086</v>
      </c>
      <c r="J38" s="414">
        <v>6805089</v>
      </c>
      <c r="K38" s="414">
        <v>5987211</v>
      </c>
      <c r="L38" s="414">
        <v>817878</v>
      </c>
      <c r="M38" s="414">
        <v>0</v>
      </c>
      <c r="N38" s="414">
        <v>0</v>
      </c>
      <c r="O38" s="414">
        <v>0</v>
      </c>
      <c r="P38" s="68">
        <v>2300120</v>
      </c>
      <c r="Q38" s="68">
        <v>68052</v>
      </c>
      <c r="R38" s="414">
        <v>188825</v>
      </c>
      <c r="S38" s="415">
        <v>12.1615</v>
      </c>
      <c r="T38" s="416">
        <v>10.063800000000001</v>
      </c>
      <c r="U38" s="422">
        <v>2.0976999999999997</v>
      </c>
      <c r="V38" s="423">
        <f t="shared" si="4"/>
        <v>0</v>
      </c>
      <c r="W38" s="417">
        <f t="shared" si="4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5"/>
        <v>0</v>
      </c>
      <c r="AF38" s="417">
        <f t="shared" si="6"/>
        <v>0</v>
      </c>
      <c r="AG38" s="417">
        <f t="shared" si="7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8"/>
        <v>0</v>
      </c>
      <c r="AN38" s="417">
        <f t="shared" si="9"/>
        <v>0</v>
      </c>
      <c r="AO38" s="417">
        <f t="shared" si="10"/>
        <v>0</v>
      </c>
      <c r="AP38" s="417">
        <f t="shared" si="11"/>
        <v>0</v>
      </c>
      <c r="AQ38" s="417">
        <f t="shared" si="11"/>
        <v>0</v>
      </c>
      <c r="AR38" s="417">
        <f t="shared" si="12"/>
        <v>0</v>
      </c>
      <c r="AS38" s="68">
        <f t="shared" si="13"/>
        <v>0</v>
      </c>
      <c r="AT38" s="68">
        <f t="shared" si="14"/>
        <v>0</v>
      </c>
      <c r="AU38" s="417">
        <v>0</v>
      </c>
      <c r="AV38" s="417">
        <v>0</v>
      </c>
      <c r="AW38" s="417">
        <v>0</v>
      </c>
      <c r="AX38" s="417">
        <f t="shared" si="15"/>
        <v>0</v>
      </c>
      <c r="AY38" s="417">
        <f t="shared" si="16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7"/>
        <v>0</v>
      </c>
      <c r="BJ38" s="418">
        <f t="shared" si="18"/>
        <v>0</v>
      </c>
      <c r="BK38" s="420">
        <f t="shared" si="19"/>
        <v>0</v>
      </c>
      <c r="BL38" s="772">
        <f t="shared" si="52"/>
        <v>9362086</v>
      </c>
      <c r="BM38" s="772">
        <f t="shared" si="53"/>
        <v>6805089</v>
      </c>
      <c r="BN38" s="417">
        <f t="shared" si="54"/>
        <v>5987211</v>
      </c>
      <c r="BO38" s="417">
        <f t="shared" si="54"/>
        <v>817878</v>
      </c>
      <c r="BP38" s="417">
        <f t="shared" si="55"/>
        <v>0</v>
      </c>
      <c r="BQ38" s="417">
        <f t="shared" si="56"/>
        <v>0</v>
      </c>
      <c r="BR38" s="417">
        <f t="shared" si="56"/>
        <v>0</v>
      </c>
      <c r="BS38" s="417">
        <f t="shared" si="57"/>
        <v>2300120</v>
      </c>
      <c r="BT38" s="417">
        <f t="shared" si="57"/>
        <v>68052</v>
      </c>
      <c r="BU38" s="417">
        <f t="shared" si="58"/>
        <v>188825</v>
      </c>
      <c r="BV38" s="418">
        <f t="shared" si="59"/>
        <v>12.1615</v>
      </c>
      <c r="BW38" s="418">
        <f t="shared" si="60"/>
        <v>10.063800000000001</v>
      </c>
      <c r="BX38" s="420">
        <f t="shared" si="60"/>
        <v>2.0976999999999997</v>
      </c>
      <c r="BY38" s="596"/>
      <c r="BZ38" s="595"/>
      <c r="CA38" s="595"/>
      <c r="CB38" s="595"/>
      <c r="CC38" s="595"/>
      <c r="CD38" s="981"/>
      <c r="CE38" s="596">
        <v>398348</v>
      </c>
      <c r="CF38" s="595">
        <v>262497</v>
      </c>
      <c r="CG38" s="595">
        <v>88724</v>
      </c>
      <c r="CH38" s="595">
        <v>2625</v>
      </c>
      <c r="CI38" s="595">
        <v>44502</v>
      </c>
      <c r="CJ38" s="981">
        <v>0.67330000000000001</v>
      </c>
      <c r="CK38" s="315"/>
    </row>
    <row r="39" spans="1:89" ht="12.95" customHeight="1">
      <c r="A39" s="280">
        <v>6</v>
      </c>
      <c r="B39" s="321">
        <v>5405</v>
      </c>
      <c r="C39" s="322">
        <v>600099121</v>
      </c>
      <c r="D39" s="281">
        <v>70695521</v>
      </c>
      <c r="E39" s="348" t="s">
        <v>418</v>
      </c>
      <c r="F39" s="321">
        <v>3113</v>
      </c>
      <c r="G39" s="284" t="s">
        <v>291</v>
      </c>
      <c r="H39" s="640" t="s">
        <v>272</v>
      </c>
      <c r="I39" s="419">
        <v>2709524</v>
      </c>
      <c r="J39" s="414">
        <v>2010033</v>
      </c>
      <c r="K39" s="414">
        <v>2010033</v>
      </c>
      <c r="L39" s="414">
        <v>0</v>
      </c>
      <c r="M39" s="414">
        <v>0</v>
      </c>
      <c r="N39" s="414">
        <v>0</v>
      </c>
      <c r="O39" s="414">
        <v>0</v>
      </c>
      <c r="P39" s="68">
        <v>679391</v>
      </c>
      <c r="Q39" s="68">
        <v>20100</v>
      </c>
      <c r="R39" s="414">
        <v>0</v>
      </c>
      <c r="S39" s="415">
        <v>5.61</v>
      </c>
      <c r="T39" s="416">
        <v>5.61</v>
      </c>
      <c r="U39" s="422">
        <v>0</v>
      </c>
      <c r="V39" s="423">
        <f t="shared" si="4"/>
        <v>0</v>
      </c>
      <c r="W39" s="417">
        <f t="shared" si="4"/>
        <v>0</v>
      </c>
      <c r="X39" s="417">
        <v>63364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5"/>
        <v>63364</v>
      </c>
      <c r="AF39" s="417">
        <f t="shared" si="6"/>
        <v>0</v>
      </c>
      <c r="AG39" s="417">
        <f t="shared" si="7"/>
        <v>63364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8"/>
        <v>0</v>
      </c>
      <c r="AN39" s="417">
        <f t="shared" si="9"/>
        <v>0</v>
      </c>
      <c r="AO39" s="417">
        <f t="shared" si="10"/>
        <v>0</v>
      </c>
      <c r="AP39" s="417">
        <f t="shared" si="11"/>
        <v>63364</v>
      </c>
      <c r="AQ39" s="417">
        <f t="shared" si="11"/>
        <v>0</v>
      </c>
      <c r="AR39" s="417">
        <f t="shared" si="12"/>
        <v>63364</v>
      </c>
      <c r="AS39" s="68">
        <f t="shared" si="13"/>
        <v>21417</v>
      </c>
      <c r="AT39" s="68">
        <f t="shared" si="14"/>
        <v>634</v>
      </c>
      <c r="AU39" s="417">
        <v>0</v>
      </c>
      <c r="AV39" s="417">
        <v>0</v>
      </c>
      <c r="AW39" s="417">
        <v>0</v>
      </c>
      <c r="AX39" s="417">
        <f t="shared" si="15"/>
        <v>0</v>
      </c>
      <c r="AY39" s="417">
        <f t="shared" si="16"/>
        <v>85415</v>
      </c>
      <c r="AZ39" s="418">
        <v>0</v>
      </c>
      <c r="BA39" s="418">
        <v>0</v>
      </c>
      <c r="BB39" s="418">
        <v>0.22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7"/>
        <v>0.22</v>
      </c>
      <c r="BJ39" s="418">
        <f t="shared" si="18"/>
        <v>0</v>
      </c>
      <c r="BK39" s="420">
        <f t="shared" si="19"/>
        <v>0.22</v>
      </c>
      <c r="BL39" s="772">
        <f t="shared" si="52"/>
        <v>2794939</v>
      </c>
      <c r="BM39" s="772">
        <f t="shared" si="53"/>
        <v>2073397</v>
      </c>
      <c r="BN39" s="417">
        <f t="shared" si="54"/>
        <v>2073397</v>
      </c>
      <c r="BO39" s="417">
        <f t="shared" si="54"/>
        <v>0</v>
      </c>
      <c r="BP39" s="417">
        <f t="shared" si="55"/>
        <v>0</v>
      </c>
      <c r="BQ39" s="417">
        <f t="shared" si="56"/>
        <v>0</v>
      </c>
      <c r="BR39" s="417">
        <f t="shared" si="56"/>
        <v>0</v>
      </c>
      <c r="BS39" s="417">
        <f t="shared" si="57"/>
        <v>700808</v>
      </c>
      <c r="BT39" s="417">
        <f t="shared" si="57"/>
        <v>20734</v>
      </c>
      <c r="BU39" s="417">
        <f t="shared" si="58"/>
        <v>0</v>
      </c>
      <c r="BV39" s="418">
        <f t="shared" si="59"/>
        <v>5.83</v>
      </c>
      <c r="BW39" s="418">
        <f t="shared" si="60"/>
        <v>5.83</v>
      </c>
      <c r="BX39" s="420">
        <f t="shared" si="60"/>
        <v>0</v>
      </c>
      <c r="BY39" s="596"/>
      <c r="BZ39" s="595"/>
      <c r="CA39" s="595"/>
      <c r="CB39" s="595"/>
      <c r="CC39" s="595"/>
      <c r="CD39" s="981"/>
      <c r="CE39" s="596"/>
      <c r="CF39" s="595"/>
      <c r="CG39" s="595"/>
      <c r="CH39" s="595"/>
      <c r="CI39" s="595"/>
      <c r="CJ39" s="981"/>
      <c r="CK39" s="315"/>
    </row>
    <row r="40" spans="1:89" ht="12.95" customHeight="1">
      <c r="A40" s="280">
        <v>6</v>
      </c>
      <c r="B40" s="321">
        <v>5405</v>
      </c>
      <c r="C40" s="322">
        <v>600099121</v>
      </c>
      <c r="D40" s="281">
        <v>70695521</v>
      </c>
      <c r="E40" s="348" t="s">
        <v>418</v>
      </c>
      <c r="F40" s="321">
        <v>3141</v>
      </c>
      <c r="G40" s="345" t="s">
        <v>294</v>
      </c>
      <c r="H40" s="640" t="s">
        <v>272</v>
      </c>
      <c r="I40" s="419">
        <v>1139499</v>
      </c>
      <c r="J40" s="414">
        <v>841353</v>
      </c>
      <c r="K40" s="414">
        <v>1751</v>
      </c>
      <c r="L40" s="414">
        <v>839602</v>
      </c>
      <c r="M40" s="414">
        <v>0</v>
      </c>
      <c r="N40" s="414">
        <v>0</v>
      </c>
      <c r="O40" s="414">
        <v>0</v>
      </c>
      <c r="P40" s="68">
        <v>284377</v>
      </c>
      <c r="Q40" s="68">
        <v>8413</v>
      </c>
      <c r="R40" s="414">
        <v>5356</v>
      </c>
      <c r="S40" s="415">
        <v>2.52</v>
      </c>
      <c r="T40" s="416">
        <v>0</v>
      </c>
      <c r="U40" s="422">
        <v>2.52</v>
      </c>
      <c r="V40" s="423">
        <f t="shared" si="4"/>
        <v>0</v>
      </c>
      <c r="W40" s="417">
        <f t="shared" si="4"/>
        <v>0</v>
      </c>
      <c r="X40" s="417">
        <v>0</v>
      </c>
      <c r="Y40" s="417">
        <v>0</v>
      </c>
      <c r="Z40" s="417">
        <v>0</v>
      </c>
      <c r="AA40" s="417">
        <v>-22754</v>
      </c>
      <c r="AB40" s="417">
        <v>0</v>
      </c>
      <c r="AC40" s="417">
        <v>0</v>
      </c>
      <c r="AD40" s="417">
        <v>0</v>
      </c>
      <c r="AE40" s="417">
        <f t="shared" si="5"/>
        <v>0</v>
      </c>
      <c r="AF40" s="417">
        <f t="shared" si="6"/>
        <v>-22754</v>
      </c>
      <c r="AG40" s="417">
        <f t="shared" si="7"/>
        <v>-22754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8"/>
        <v>0</v>
      </c>
      <c r="AN40" s="417">
        <f t="shared" si="9"/>
        <v>0</v>
      </c>
      <c r="AO40" s="417">
        <f t="shared" si="10"/>
        <v>0</v>
      </c>
      <c r="AP40" s="417">
        <f t="shared" si="11"/>
        <v>0</v>
      </c>
      <c r="AQ40" s="417">
        <f t="shared" si="11"/>
        <v>-22754</v>
      </c>
      <c r="AR40" s="417">
        <f t="shared" si="12"/>
        <v>-22754</v>
      </c>
      <c r="AS40" s="68">
        <f t="shared" si="13"/>
        <v>-7691</v>
      </c>
      <c r="AT40" s="68">
        <f t="shared" si="14"/>
        <v>-228</v>
      </c>
      <c r="AU40" s="417">
        <v>0</v>
      </c>
      <c r="AV40" s="417">
        <v>0</v>
      </c>
      <c r="AW40" s="417">
        <v>0</v>
      </c>
      <c r="AX40" s="417">
        <f t="shared" si="15"/>
        <v>0</v>
      </c>
      <c r="AY40" s="417">
        <f t="shared" si="16"/>
        <v>-30673</v>
      </c>
      <c r="AZ40" s="418">
        <v>0</v>
      </c>
      <c r="BA40" s="418">
        <v>0</v>
      </c>
      <c r="BB40" s="418">
        <v>0</v>
      </c>
      <c r="BC40" s="418">
        <v>0</v>
      </c>
      <c r="BD40" s="418">
        <v>-0.06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</v>
      </c>
      <c r="BJ40" s="418">
        <f t="shared" si="18"/>
        <v>-0.06</v>
      </c>
      <c r="BK40" s="420">
        <f t="shared" si="19"/>
        <v>-0.06</v>
      </c>
      <c r="BL40" s="772">
        <f t="shared" si="52"/>
        <v>1108826</v>
      </c>
      <c r="BM40" s="772">
        <f t="shared" si="53"/>
        <v>818599</v>
      </c>
      <c r="BN40" s="417">
        <f t="shared" si="54"/>
        <v>1751</v>
      </c>
      <c r="BO40" s="417">
        <f t="shared" si="54"/>
        <v>816848</v>
      </c>
      <c r="BP40" s="417">
        <f t="shared" si="55"/>
        <v>0</v>
      </c>
      <c r="BQ40" s="417">
        <f t="shared" si="56"/>
        <v>0</v>
      </c>
      <c r="BR40" s="417">
        <f t="shared" si="56"/>
        <v>0</v>
      </c>
      <c r="BS40" s="417">
        <f t="shared" si="57"/>
        <v>276686</v>
      </c>
      <c r="BT40" s="417">
        <f t="shared" si="57"/>
        <v>8185</v>
      </c>
      <c r="BU40" s="417">
        <f t="shared" si="58"/>
        <v>5356</v>
      </c>
      <c r="BV40" s="418">
        <f t="shared" si="59"/>
        <v>2.46</v>
      </c>
      <c r="BW40" s="418">
        <f t="shared" si="60"/>
        <v>0</v>
      </c>
      <c r="BX40" s="420">
        <f t="shared" si="60"/>
        <v>2.46</v>
      </c>
      <c r="BY40" s="596"/>
      <c r="BZ40" s="595"/>
      <c r="CA40" s="595"/>
      <c r="CB40" s="595"/>
      <c r="CC40" s="595"/>
      <c r="CD40" s="981"/>
      <c r="CE40" s="596"/>
      <c r="CF40" s="595"/>
      <c r="CG40" s="595"/>
      <c r="CH40" s="595"/>
      <c r="CI40" s="595"/>
      <c r="CJ40" s="981"/>
      <c r="CK40" s="315"/>
    </row>
    <row r="41" spans="1:89" ht="12.95" customHeight="1">
      <c r="A41" s="280">
        <v>6</v>
      </c>
      <c r="B41" s="321">
        <v>5405</v>
      </c>
      <c r="C41" s="322">
        <v>600099121</v>
      </c>
      <c r="D41" s="281">
        <v>70695521</v>
      </c>
      <c r="E41" s="348" t="s">
        <v>418</v>
      </c>
      <c r="F41" s="321">
        <v>3143</v>
      </c>
      <c r="G41" s="284" t="s">
        <v>595</v>
      </c>
      <c r="H41" s="640" t="s">
        <v>271</v>
      </c>
      <c r="I41" s="419">
        <v>717992</v>
      </c>
      <c r="J41" s="414">
        <v>532635</v>
      </c>
      <c r="K41" s="414">
        <v>532635</v>
      </c>
      <c r="L41" s="414">
        <v>0</v>
      </c>
      <c r="M41" s="414">
        <v>0</v>
      </c>
      <c r="N41" s="414">
        <v>0</v>
      </c>
      <c r="O41" s="414">
        <v>0</v>
      </c>
      <c r="P41" s="68">
        <v>180031</v>
      </c>
      <c r="Q41" s="68">
        <v>5326</v>
      </c>
      <c r="R41" s="414">
        <v>0</v>
      </c>
      <c r="S41" s="415">
        <v>1</v>
      </c>
      <c r="T41" s="416">
        <v>1</v>
      </c>
      <c r="U41" s="422">
        <v>0</v>
      </c>
      <c r="V41" s="423">
        <f t="shared" si="4"/>
        <v>0</v>
      </c>
      <c r="W41" s="417">
        <f t="shared" si="4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5"/>
        <v>0</v>
      </c>
      <c r="AF41" s="417">
        <f t="shared" si="6"/>
        <v>0</v>
      </c>
      <c r="AG41" s="417">
        <f t="shared" si="7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8"/>
        <v>0</v>
      </c>
      <c r="AN41" s="417">
        <f t="shared" si="9"/>
        <v>0</v>
      </c>
      <c r="AO41" s="417">
        <f t="shared" si="10"/>
        <v>0</v>
      </c>
      <c r="AP41" s="417">
        <f t="shared" si="11"/>
        <v>0</v>
      </c>
      <c r="AQ41" s="417">
        <f t="shared" si="11"/>
        <v>0</v>
      </c>
      <c r="AR41" s="417">
        <f t="shared" si="12"/>
        <v>0</v>
      </c>
      <c r="AS41" s="68">
        <f t="shared" si="13"/>
        <v>0</v>
      </c>
      <c r="AT41" s="68">
        <f t="shared" si="14"/>
        <v>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</v>
      </c>
      <c r="BK41" s="420">
        <f t="shared" si="19"/>
        <v>0</v>
      </c>
      <c r="BL41" s="772">
        <f t="shared" si="52"/>
        <v>717992</v>
      </c>
      <c r="BM41" s="772">
        <f t="shared" si="53"/>
        <v>532635</v>
      </c>
      <c r="BN41" s="417">
        <f t="shared" si="54"/>
        <v>532635</v>
      </c>
      <c r="BO41" s="417">
        <f t="shared" si="54"/>
        <v>0</v>
      </c>
      <c r="BP41" s="417">
        <f t="shared" si="55"/>
        <v>0</v>
      </c>
      <c r="BQ41" s="417">
        <f t="shared" si="56"/>
        <v>0</v>
      </c>
      <c r="BR41" s="417">
        <f t="shared" si="56"/>
        <v>0</v>
      </c>
      <c r="BS41" s="417">
        <f t="shared" si="57"/>
        <v>180031</v>
      </c>
      <c r="BT41" s="417">
        <f t="shared" si="57"/>
        <v>5326</v>
      </c>
      <c r="BU41" s="417">
        <f t="shared" si="58"/>
        <v>0</v>
      </c>
      <c r="BV41" s="418">
        <f t="shared" si="59"/>
        <v>1</v>
      </c>
      <c r="BW41" s="418">
        <f t="shared" si="60"/>
        <v>1</v>
      </c>
      <c r="BX41" s="420">
        <f t="shared" si="60"/>
        <v>0</v>
      </c>
      <c r="BY41" s="596"/>
      <c r="BZ41" s="595"/>
      <c r="CA41" s="595"/>
      <c r="CB41" s="595"/>
      <c r="CC41" s="595"/>
      <c r="CD41" s="981"/>
      <c r="CE41" s="596"/>
      <c r="CF41" s="595"/>
      <c r="CG41" s="595"/>
      <c r="CH41" s="595"/>
      <c r="CI41" s="595"/>
      <c r="CJ41" s="981"/>
      <c r="CK41" s="315"/>
    </row>
    <row r="42" spans="1:89" ht="12.95" customHeight="1">
      <c r="A42" s="280">
        <v>6</v>
      </c>
      <c r="B42" s="321">
        <v>5405</v>
      </c>
      <c r="C42" s="322">
        <v>600099121</v>
      </c>
      <c r="D42" s="281">
        <v>70695521</v>
      </c>
      <c r="E42" s="348" t="s">
        <v>418</v>
      </c>
      <c r="F42" s="321">
        <v>3143</v>
      </c>
      <c r="G42" s="284" t="s">
        <v>596</v>
      </c>
      <c r="H42" s="640" t="s">
        <v>272</v>
      </c>
      <c r="I42" s="419">
        <v>19210</v>
      </c>
      <c r="J42" s="414">
        <v>13750</v>
      </c>
      <c r="K42" s="414">
        <v>0</v>
      </c>
      <c r="L42" s="414">
        <v>13750</v>
      </c>
      <c r="M42" s="414">
        <v>0</v>
      </c>
      <c r="N42" s="414">
        <v>0</v>
      </c>
      <c r="O42" s="414">
        <v>0</v>
      </c>
      <c r="P42" s="68">
        <v>4647</v>
      </c>
      <c r="Q42" s="68">
        <v>138</v>
      </c>
      <c r="R42" s="414">
        <v>675</v>
      </c>
      <c r="S42" s="415">
        <v>5.4699999999999999E-2</v>
      </c>
      <c r="T42" s="416">
        <v>0</v>
      </c>
      <c r="U42" s="422">
        <v>5.4699999999999999E-2</v>
      </c>
      <c r="V42" s="423">
        <f t="shared" si="4"/>
        <v>0</v>
      </c>
      <c r="W42" s="417">
        <f t="shared" si="4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5"/>
        <v>0</v>
      </c>
      <c r="AF42" s="417">
        <f t="shared" si="6"/>
        <v>0</v>
      </c>
      <c r="AG42" s="417">
        <f t="shared" si="7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8"/>
        <v>0</v>
      </c>
      <c r="AN42" s="417">
        <f t="shared" si="9"/>
        <v>0</v>
      </c>
      <c r="AO42" s="417">
        <f t="shared" si="10"/>
        <v>0</v>
      </c>
      <c r="AP42" s="417">
        <f t="shared" si="11"/>
        <v>0</v>
      </c>
      <c r="AQ42" s="417">
        <f t="shared" si="11"/>
        <v>0</v>
      </c>
      <c r="AR42" s="417">
        <f t="shared" si="12"/>
        <v>0</v>
      </c>
      <c r="AS42" s="68">
        <f t="shared" si="13"/>
        <v>0</v>
      </c>
      <c r="AT42" s="68">
        <f t="shared" si="14"/>
        <v>0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0</v>
      </c>
      <c r="BK42" s="420">
        <f t="shared" si="19"/>
        <v>0</v>
      </c>
      <c r="BL42" s="772">
        <f t="shared" si="52"/>
        <v>19210</v>
      </c>
      <c r="BM42" s="772">
        <f t="shared" si="53"/>
        <v>13750</v>
      </c>
      <c r="BN42" s="417">
        <f t="shared" si="54"/>
        <v>0</v>
      </c>
      <c r="BO42" s="417">
        <f t="shared" si="54"/>
        <v>13750</v>
      </c>
      <c r="BP42" s="417">
        <f t="shared" si="55"/>
        <v>0</v>
      </c>
      <c r="BQ42" s="417">
        <f t="shared" si="56"/>
        <v>0</v>
      </c>
      <c r="BR42" s="417">
        <f t="shared" si="56"/>
        <v>0</v>
      </c>
      <c r="BS42" s="417">
        <f t="shared" si="57"/>
        <v>4647</v>
      </c>
      <c r="BT42" s="417">
        <f t="shared" si="57"/>
        <v>138</v>
      </c>
      <c r="BU42" s="417">
        <f t="shared" si="58"/>
        <v>675</v>
      </c>
      <c r="BV42" s="418">
        <f t="shared" si="59"/>
        <v>5.4699999999999999E-2</v>
      </c>
      <c r="BW42" s="418">
        <f t="shared" si="60"/>
        <v>0</v>
      </c>
      <c r="BX42" s="420">
        <f t="shared" si="60"/>
        <v>5.4699999999999999E-2</v>
      </c>
      <c r="BY42" s="596"/>
      <c r="BZ42" s="595"/>
      <c r="CA42" s="595"/>
      <c r="CB42" s="595"/>
      <c r="CC42" s="595"/>
      <c r="CD42" s="981"/>
      <c r="CE42" s="596"/>
      <c r="CF42" s="595"/>
      <c r="CG42" s="595"/>
      <c r="CH42" s="595"/>
      <c r="CI42" s="595"/>
      <c r="CJ42" s="981"/>
      <c r="CK42" s="315"/>
    </row>
    <row r="43" spans="1:89" ht="12.95" customHeight="1">
      <c r="A43" s="641">
        <v>6</v>
      </c>
      <c r="B43" s="352">
        <v>5405</v>
      </c>
      <c r="C43" s="332">
        <v>600099121</v>
      </c>
      <c r="D43" s="352">
        <v>70695521</v>
      </c>
      <c r="E43" s="349" t="s">
        <v>419</v>
      </c>
      <c r="F43" s="352"/>
      <c r="G43" s="353"/>
      <c r="H43" s="644"/>
      <c r="I43" s="477">
        <v>15594331</v>
      </c>
      <c r="J43" s="475">
        <v>11418009</v>
      </c>
      <c r="K43" s="475">
        <v>9658570</v>
      </c>
      <c r="L43" s="475">
        <v>1759439</v>
      </c>
      <c r="M43" s="475">
        <v>0</v>
      </c>
      <c r="N43" s="475">
        <v>0</v>
      </c>
      <c r="O43" s="475">
        <v>0</v>
      </c>
      <c r="P43" s="475">
        <v>3859286</v>
      </c>
      <c r="Q43" s="475">
        <v>114180</v>
      </c>
      <c r="R43" s="475">
        <v>202856</v>
      </c>
      <c r="S43" s="476">
        <v>23.635100000000001</v>
      </c>
      <c r="T43" s="476">
        <v>18.609300000000001</v>
      </c>
      <c r="U43" s="535">
        <v>5.0258000000000003</v>
      </c>
      <c r="V43" s="472">
        <f t="shared" ref="V43:BK43" si="61">SUM(V37:V42)</f>
        <v>0</v>
      </c>
      <c r="W43" s="469">
        <f t="shared" si="61"/>
        <v>0</v>
      </c>
      <c r="X43" s="469">
        <f t="shared" si="61"/>
        <v>63364</v>
      </c>
      <c r="Y43" s="469">
        <f t="shared" si="61"/>
        <v>0</v>
      </c>
      <c r="Z43" s="469">
        <f t="shared" si="61"/>
        <v>0</v>
      </c>
      <c r="AA43" s="469">
        <f t="shared" si="61"/>
        <v>-22754</v>
      </c>
      <c r="AB43" s="469">
        <f t="shared" si="61"/>
        <v>0</v>
      </c>
      <c r="AC43" s="469">
        <f t="shared" si="61"/>
        <v>0</v>
      </c>
      <c r="AD43" s="469">
        <f t="shared" si="61"/>
        <v>0</v>
      </c>
      <c r="AE43" s="469">
        <f t="shared" si="61"/>
        <v>63364</v>
      </c>
      <c r="AF43" s="469">
        <f t="shared" si="61"/>
        <v>-22754</v>
      </c>
      <c r="AG43" s="469">
        <f t="shared" si="61"/>
        <v>40610</v>
      </c>
      <c r="AH43" s="469">
        <f t="shared" si="61"/>
        <v>0</v>
      </c>
      <c r="AI43" s="469">
        <f t="shared" si="61"/>
        <v>0</v>
      </c>
      <c r="AJ43" s="469">
        <f t="shared" si="61"/>
        <v>0</v>
      </c>
      <c r="AK43" s="469">
        <f t="shared" si="61"/>
        <v>0</v>
      </c>
      <c r="AL43" s="469">
        <f t="shared" si="61"/>
        <v>0</v>
      </c>
      <c r="AM43" s="469">
        <f t="shared" si="61"/>
        <v>0</v>
      </c>
      <c r="AN43" s="469">
        <f t="shared" si="61"/>
        <v>0</v>
      </c>
      <c r="AO43" s="469">
        <f t="shared" si="61"/>
        <v>0</v>
      </c>
      <c r="AP43" s="469">
        <f t="shared" si="61"/>
        <v>63364</v>
      </c>
      <c r="AQ43" s="469">
        <f t="shared" si="61"/>
        <v>-22754</v>
      </c>
      <c r="AR43" s="469">
        <f t="shared" si="61"/>
        <v>40610</v>
      </c>
      <c r="AS43" s="469">
        <f t="shared" si="61"/>
        <v>13726</v>
      </c>
      <c r="AT43" s="469">
        <f t="shared" si="61"/>
        <v>406</v>
      </c>
      <c r="AU43" s="469">
        <f t="shared" si="61"/>
        <v>0</v>
      </c>
      <c r="AV43" s="469">
        <f t="shared" si="61"/>
        <v>0</v>
      </c>
      <c r="AW43" s="469">
        <f t="shared" si="61"/>
        <v>0</v>
      </c>
      <c r="AX43" s="469">
        <f t="shared" si="61"/>
        <v>0</v>
      </c>
      <c r="AY43" s="469">
        <f t="shared" si="61"/>
        <v>54742</v>
      </c>
      <c r="AZ43" s="470">
        <f t="shared" si="61"/>
        <v>0</v>
      </c>
      <c r="BA43" s="470">
        <f t="shared" si="61"/>
        <v>0</v>
      </c>
      <c r="BB43" s="470">
        <f t="shared" si="61"/>
        <v>0.22</v>
      </c>
      <c r="BC43" s="470">
        <f t="shared" si="61"/>
        <v>0</v>
      </c>
      <c r="BD43" s="470">
        <f t="shared" si="61"/>
        <v>-0.06</v>
      </c>
      <c r="BE43" s="470">
        <f t="shared" si="61"/>
        <v>0</v>
      </c>
      <c r="BF43" s="470">
        <f t="shared" si="61"/>
        <v>0</v>
      </c>
      <c r="BG43" s="470">
        <f t="shared" si="61"/>
        <v>0</v>
      </c>
      <c r="BH43" s="470">
        <f t="shared" si="61"/>
        <v>0</v>
      </c>
      <c r="BI43" s="470">
        <f t="shared" si="61"/>
        <v>0.22</v>
      </c>
      <c r="BJ43" s="470">
        <f t="shared" si="61"/>
        <v>-0.06</v>
      </c>
      <c r="BK43" s="333">
        <f t="shared" si="61"/>
        <v>0.16</v>
      </c>
      <c r="BL43" s="775">
        <f t="shared" ref="BL43:CG43" si="62">SUM(BL37:BL42)</f>
        <v>15649073</v>
      </c>
      <c r="BM43" s="775">
        <f t="shared" si="62"/>
        <v>11458619</v>
      </c>
      <c r="BN43" s="469">
        <f t="shared" si="62"/>
        <v>9721934</v>
      </c>
      <c r="BO43" s="469">
        <f t="shared" si="62"/>
        <v>1736685</v>
      </c>
      <c r="BP43" s="469">
        <f t="shared" si="62"/>
        <v>0</v>
      </c>
      <c r="BQ43" s="469">
        <f t="shared" si="62"/>
        <v>0</v>
      </c>
      <c r="BR43" s="469">
        <f t="shared" si="62"/>
        <v>0</v>
      </c>
      <c r="BS43" s="469">
        <f t="shared" si="62"/>
        <v>3873012</v>
      </c>
      <c r="BT43" s="469">
        <f t="shared" si="62"/>
        <v>114586</v>
      </c>
      <c r="BU43" s="469">
        <f t="shared" si="62"/>
        <v>202856</v>
      </c>
      <c r="BV43" s="470">
        <f t="shared" si="62"/>
        <v>23.795100000000001</v>
      </c>
      <c r="BW43" s="470">
        <f t="shared" si="62"/>
        <v>18.8293</v>
      </c>
      <c r="BX43" s="333">
        <f t="shared" si="62"/>
        <v>4.9657999999999998</v>
      </c>
      <c r="BY43" s="1004">
        <f t="shared" si="62"/>
        <v>0</v>
      </c>
      <c r="BZ43" s="722">
        <f t="shared" si="62"/>
        <v>0</v>
      </c>
      <c r="CA43" s="722">
        <f t="shared" si="62"/>
        <v>0</v>
      </c>
      <c r="CB43" s="722">
        <f t="shared" si="62"/>
        <v>0</v>
      </c>
      <c r="CC43" s="722">
        <f t="shared" si="62"/>
        <v>0</v>
      </c>
      <c r="CD43" s="827">
        <f t="shared" si="62"/>
        <v>0</v>
      </c>
      <c r="CE43" s="996">
        <f t="shared" si="62"/>
        <v>439163</v>
      </c>
      <c r="CF43" s="996">
        <f t="shared" si="62"/>
        <v>290802</v>
      </c>
      <c r="CG43" s="996">
        <f t="shared" si="62"/>
        <v>98291</v>
      </c>
      <c r="CH43" s="996">
        <f t="shared" ref="CH43:CJ43" si="63">SUM(CH37:CH42)</f>
        <v>2908</v>
      </c>
      <c r="CI43" s="996">
        <f t="shared" si="63"/>
        <v>47162</v>
      </c>
      <c r="CJ43" s="934">
        <f t="shared" si="63"/>
        <v>0.78669999999999995</v>
      </c>
      <c r="CK43" s="315"/>
    </row>
    <row r="44" spans="1:89" ht="12.95" customHeight="1">
      <c r="A44" s="280">
        <v>7</v>
      </c>
      <c r="B44" s="321">
        <v>5410</v>
      </c>
      <c r="C44" s="322">
        <v>600099318</v>
      </c>
      <c r="D44" s="281">
        <v>854778</v>
      </c>
      <c r="E44" s="348" t="s">
        <v>420</v>
      </c>
      <c r="F44" s="321">
        <v>3111</v>
      </c>
      <c r="G44" s="345" t="s">
        <v>304</v>
      </c>
      <c r="H44" s="640" t="s">
        <v>271</v>
      </c>
      <c r="I44" s="419">
        <v>3749609</v>
      </c>
      <c r="J44" s="414">
        <v>2736995</v>
      </c>
      <c r="K44" s="414">
        <v>2487368</v>
      </c>
      <c r="L44" s="414">
        <v>249627</v>
      </c>
      <c r="M44" s="414">
        <v>30000</v>
      </c>
      <c r="N44" s="414">
        <v>15000</v>
      </c>
      <c r="O44" s="414">
        <v>15000</v>
      </c>
      <c r="P44" s="68">
        <v>935244</v>
      </c>
      <c r="Q44" s="68">
        <v>27370</v>
      </c>
      <c r="R44" s="414">
        <v>20000</v>
      </c>
      <c r="S44" s="415">
        <v>5.7902000000000005</v>
      </c>
      <c r="T44" s="416">
        <v>4.7300000000000004</v>
      </c>
      <c r="U44" s="422">
        <v>1.0602</v>
      </c>
      <c r="V44" s="423">
        <f t="shared" si="4"/>
        <v>0</v>
      </c>
      <c r="W44" s="417">
        <f t="shared" si="4"/>
        <v>0</v>
      </c>
      <c r="X44" s="417">
        <v>0</v>
      </c>
      <c r="Y44" s="417">
        <v>0</v>
      </c>
      <c r="Z44" s="417">
        <v>0</v>
      </c>
      <c r="AA44" s="417">
        <v>0</v>
      </c>
      <c r="AB44" s="417">
        <v>0</v>
      </c>
      <c r="AC44" s="417">
        <v>0</v>
      </c>
      <c r="AD44" s="417">
        <v>0</v>
      </c>
      <c r="AE44" s="417">
        <f t="shared" si="5"/>
        <v>0</v>
      </c>
      <c r="AF44" s="417">
        <f t="shared" si="6"/>
        <v>0</v>
      </c>
      <c r="AG44" s="417">
        <f t="shared" si="7"/>
        <v>0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8"/>
        <v>0</v>
      </c>
      <c r="AN44" s="417">
        <f t="shared" si="9"/>
        <v>0</v>
      </c>
      <c r="AO44" s="417">
        <f t="shared" si="10"/>
        <v>0</v>
      </c>
      <c r="AP44" s="417">
        <f t="shared" si="11"/>
        <v>0</v>
      </c>
      <c r="AQ44" s="417">
        <f t="shared" si="11"/>
        <v>0</v>
      </c>
      <c r="AR44" s="417">
        <f t="shared" si="12"/>
        <v>0</v>
      </c>
      <c r="AS44" s="68">
        <f t="shared" si="13"/>
        <v>0</v>
      </c>
      <c r="AT44" s="68">
        <f t="shared" si="14"/>
        <v>0</v>
      </c>
      <c r="AU44" s="417">
        <v>0</v>
      </c>
      <c r="AV44" s="417">
        <v>0</v>
      </c>
      <c r="AW44" s="417">
        <v>0</v>
      </c>
      <c r="AX44" s="417">
        <f t="shared" si="15"/>
        <v>0</v>
      </c>
      <c r="AY44" s="417">
        <f t="shared" si="16"/>
        <v>0</v>
      </c>
      <c r="AZ44" s="418">
        <v>0</v>
      </c>
      <c r="BA44" s="418">
        <v>0</v>
      </c>
      <c r="BB44" s="418">
        <v>0</v>
      </c>
      <c r="BC44" s="418">
        <v>0</v>
      </c>
      <c r="BD44" s="418">
        <v>0</v>
      </c>
      <c r="BE44" s="418">
        <v>0</v>
      </c>
      <c r="BF44" s="418">
        <v>0</v>
      </c>
      <c r="BG44" s="418">
        <v>0</v>
      </c>
      <c r="BH44" s="418">
        <v>0</v>
      </c>
      <c r="BI44" s="418">
        <f t="shared" si="17"/>
        <v>0</v>
      </c>
      <c r="BJ44" s="418">
        <f t="shared" si="18"/>
        <v>0</v>
      </c>
      <c r="BK44" s="420">
        <f t="shared" si="19"/>
        <v>0</v>
      </c>
      <c r="BL44" s="772">
        <f t="shared" ref="BL44:BL49" si="64">I44+AY44</f>
        <v>3749609</v>
      </c>
      <c r="BM44" s="772">
        <f t="shared" ref="BM44:BM49" si="65">J44+AG44</f>
        <v>2736995</v>
      </c>
      <c r="BN44" s="417">
        <f t="shared" ref="BN44:BO49" si="66">K44+AE44</f>
        <v>2487368</v>
      </c>
      <c r="BO44" s="417">
        <f t="shared" si="66"/>
        <v>249627</v>
      </c>
      <c r="BP44" s="417">
        <f t="shared" ref="BP44:BP49" si="67">M44+AO44</f>
        <v>30000</v>
      </c>
      <c r="BQ44" s="417">
        <f t="shared" ref="BQ44:BR49" si="68">N44+AM44</f>
        <v>15000</v>
      </c>
      <c r="BR44" s="417">
        <f t="shared" si="68"/>
        <v>15000</v>
      </c>
      <c r="BS44" s="417">
        <f t="shared" ref="BS44:BT49" si="69">P44+AS44</f>
        <v>935244</v>
      </c>
      <c r="BT44" s="417">
        <f t="shared" si="69"/>
        <v>27370</v>
      </c>
      <c r="BU44" s="417">
        <f t="shared" ref="BU44:BU49" si="70">R44+AX44</f>
        <v>20000</v>
      </c>
      <c r="BV44" s="418">
        <f t="shared" ref="BV44:BV49" si="71">S44+BK44</f>
        <v>5.7902000000000005</v>
      </c>
      <c r="BW44" s="418">
        <f t="shared" ref="BW44:BX49" si="72">T44+BI44</f>
        <v>4.7300000000000004</v>
      </c>
      <c r="BX44" s="420">
        <f t="shared" si="72"/>
        <v>1.0602</v>
      </c>
      <c r="BY44" s="596"/>
      <c r="BZ44" s="595"/>
      <c r="CA44" s="595"/>
      <c r="CB44" s="595"/>
      <c r="CC44" s="595"/>
      <c r="CD44" s="981"/>
      <c r="CE44" s="596">
        <v>121115</v>
      </c>
      <c r="CF44" s="595">
        <v>84915</v>
      </c>
      <c r="CG44" s="595">
        <v>28701</v>
      </c>
      <c r="CH44" s="595">
        <v>849</v>
      </c>
      <c r="CI44" s="595">
        <v>6650</v>
      </c>
      <c r="CJ44" s="981">
        <v>0.3402</v>
      </c>
      <c r="CK44" s="315"/>
    </row>
    <row r="45" spans="1:89" ht="12.95" customHeight="1">
      <c r="A45" s="280">
        <v>7</v>
      </c>
      <c r="B45" s="321">
        <v>5410</v>
      </c>
      <c r="C45" s="322">
        <v>600099318</v>
      </c>
      <c r="D45" s="281">
        <v>854778</v>
      </c>
      <c r="E45" s="348" t="s">
        <v>420</v>
      </c>
      <c r="F45" s="321">
        <v>3113</v>
      </c>
      <c r="G45" s="345" t="s">
        <v>308</v>
      </c>
      <c r="H45" s="640" t="s">
        <v>271</v>
      </c>
      <c r="I45" s="419">
        <v>14102354</v>
      </c>
      <c r="J45" s="414">
        <v>10274277</v>
      </c>
      <c r="K45" s="414">
        <v>8719283</v>
      </c>
      <c r="L45" s="414">
        <v>1554994</v>
      </c>
      <c r="M45" s="414">
        <v>30000</v>
      </c>
      <c r="N45" s="414">
        <v>10000</v>
      </c>
      <c r="O45" s="414">
        <v>20000</v>
      </c>
      <c r="P45" s="68">
        <v>3482845</v>
      </c>
      <c r="Q45" s="68">
        <v>102742</v>
      </c>
      <c r="R45" s="414">
        <v>212490</v>
      </c>
      <c r="S45" s="415">
        <v>17.6615</v>
      </c>
      <c r="T45" s="416">
        <v>13.018099999999999</v>
      </c>
      <c r="U45" s="422">
        <v>4.6434000000000006</v>
      </c>
      <c r="V45" s="423">
        <f t="shared" si="4"/>
        <v>0</v>
      </c>
      <c r="W45" s="417">
        <f t="shared" si="4"/>
        <v>0</v>
      </c>
      <c r="X45" s="417">
        <v>0</v>
      </c>
      <c r="Y45" s="417">
        <v>0</v>
      </c>
      <c r="Z45" s="417">
        <v>-154340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5"/>
        <v>-154340</v>
      </c>
      <c r="AF45" s="417">
        <f t="shared" si="6"/>
        <v>0</v>
      </c>
      <c r="AG45" s="417">
        <f t="shared" si="7"/>
        <v>-154340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8"/>
        <v>0</v>
      </c>
      <c r="AN45" s="417">
        <f t="shared" si="9"/>
        <v>0</v>
      </c>
      <c r="AO45" s="417">
        <f t="shared" si="10"/>
        <v>0</v>
      </c>
      <c r="AP45" s="417">
        <f t="shared" si="11"/>
        <v>-154340</v>
      </c>
      <c r="AQ45" s="417">
        <f t="shared" si="11"/>
        <v>0</v>
      </c>
      <c r="AR45" s="417">
        <f t="shared" si="12"/>
        <v>-154340</v>
      </c>
      <c r="AS45" s="68">
        <f t="shared" si="13"/>
        <v>-52167</v>
      </c>
      <c r="AT45" s="68">
        <f t="shared" si="14"/>
        <v>-1543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-208050</v>
      </c>
      <c r="AZ45" s="418">
        <v>0</v>
      </c>
      <c r="BA45" s="418">
        <v>0</v>
      </c>
      <c r="BB45" s="418">
        <v>0</v>
      </c>
      <c r="BC45" s="418">
        <v>-0.3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-0.3</v>
      </c>
      <c r="BJ45" s="418">
        <f t="shared" si="18"/>
        <v>0</v>
      </c>
      <c r="BK45" s="420">
        <f t="shared" si="19"/>
        <v>-0.3</v>
      </c>
      <c r="BL45" s="772">
        <f t="shared" si="64"/>
        <v>13894304</v>
      </c>
      <c r="BM45" s="772">
        <f t="shared" si="65"/>
        <v>10119937</v>
      </c>
      <c r="BN45" s="417">
        <f t="shared" si="66"/>
        <v>8564943</v>
      </c>
      <c r="BO45" s="417">
        <f t="shared" si="66"/>
        <v>1554994</v>
      </c>
      <c r="BP45" s="417">
        <f t="shared" si="67"/>
        <v>30000</v>
      </c>
      <c r="BQ45" s="417">
        <f t="shared" si="68"/>
        <v>10000</v>
      </c>
      <c r="BR45" s="417">
        <f t="shared" si="68"/>
        <v>20000</v>
      </c>
      <c r="BS45" s="417">
        <f t="shared" si="69"/>
        <v>3430678</v>
      </c>
      <c r="BT45" s="417">
        <f t="shared" si="69"/>
        <v>101199</v>
      </c>
      <c r="BU45" s="417">
        <f t="shared" si="70"/>
        <v>212490</v>
      </c>
      <c r="BV45" s="418">
        <f t="shared" si="71"/>
        <v>17.361499999999999</v>
      </c>
      <c r="BW45" s="418">
        <f t="shared" si="72"/>
        <v>12.718099999999998</v>
      </c>
      <c r="BX45" s="420">
        <f t="shared" si="72"/>
        <v>4.6434000000000006</v>
      </c>
      <c r="BY45" s="596">
        <v>152054</v>
      </c>
      <c r="BZ45" s="595">
        <v>112800</v>
      </c>
      <c r="CA45" s="595">
        <v>0</v>
      </c>
      <c r="CB45" s="595">
        <v>38126</v>
      </c>
      <c r="CC45" s="595">
        <v>1128</v>
      </c>
      <c r="CD45" s="981">
        <v>0.2</v>
      </c>
      <c r="CE45" s="994">
        <v>729134</v>
      </c>
      <c r="CF45" s="595">
        <v>505501</v>
      </c>
      <c r="CG45" s="595">
        <v>170860</v>
      </c>
      <c r="CH45" s="595">
        <v>5055</v>
      </c>
      <c r="CI45" s="595">
        <v>47718</v>
      </c>
      <c r="CJ45" s="981">
        <v>1.4903999999999999</v>
      </c>
      <c r="CK45" s="315"/>
    </row>
    <row r="46" spans="1:89" ht="12.95" customHeight="1">
      <c r="A46" s="280">
        <v>7</v>
      </c>
      <c r="B46" s="321">
        <v>5410</v>
      </c>
      <c r="C46" s="322">
        <v>600099318</v>
      </c>
      <c r="D46" s="281">
        <v>854778</v>
      </c>
      <c r="E46" s="348" t="s">
        <v>420</v>
      </c>
      <c r="F46" s="321">
        <v>3113</v>
      </c>
      <c r="G46" s="284" t="s">
        <v>291</v>
      </c>
      <c r="H46" s="640" t="s">
        <v>272</v>
      </c>
      <c r="I46" s="419">
        <v>828132</v>
      </c>
      <c r="J46" s="414">
        <v>614341</v>
      </c>
      <c r="K46" s="414">
        <v>614341</v>
      </c>
      <c r="L46" s="414">
        <v>0</v>
      </c>
      <c r="M46" s="414">
        <v>0</v>
      </c>
      <c r="N46" s="414">
        <v>0</v>
      </c>
      <c r="O46" s="414">
        <v>0</v>
      </c>
      <c r="P46" s="68">
        <v>207647</v>
      </c>
      <c r="Q46" s="68">
        <v>6144</v>
      </c>
      <c r="R46" s="414">
        <v>0</v>
      </c>
      <c r="S46" s="415">
        <v>1.71</v>
      </c>
      <c r="T46" s="416">
        <v>1.71</v>
      </c>
      <c r="U46" s="422">
        <v>0</v>
      </c>
      <c r="V46" s="423">
        <f t="shared" si="4"/>
        <v>0</v>
      </c>
      <c r="W46" s="417">
        <f t="shared" si="4"/>
        <v>0</v>
      </c>
      <c r="X46" s="417">
        <v>13723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5"/>
        <v>13723</v>
      </c>
      <c r="AF46" s="417">
        <f t="shared" si="6"/>
        <v>0</v>
      </c>
      <c r="AG46" s="417">
        <f t="shared" si="7"/>
        <v>13723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8"/>
        <v>0</v>
      </c>
      <c r="AN46" s="417">
        <f t="shared" si="9"/>
        <v>0</v>
      </c>
      <c r="AO46" s="417">
        <f t="shared" si="10"/>
        <v>0</v>
      </c>
      <c r="AP46" s="417">
        <f t="shared" si="11"/>
        <v>13723</v>
      </c>
      <c r="AQ46" s="417">
        <f t="shared" si="11"/>
        <v>0</v>
      </c>
      <c r="AR46" s="417">
        <f t="shared" si="12"/>
        <v>13723</v>
      </c>
      <c r="AS46" s="68">
        <f t="shared" si="13"/>
        <v>4638</v>
      </c>
      <c r="AT46" s="68">
        <f t="shared" si="14"/>
        <v>137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18498</v>
      </c>
      <c r="AZ46" s="418">
        <v>0</v>
      </c>
      <c r="BA46" s="418">
        <v>0</v>
      </c>
      <c r="BB46" s="418">
        <v>0.02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0.02</v>
      </c>
      <c r="BJ46" s="418">
        <f t="shared" si="18"/>
        <v>0</v>
      </c>
      <c r="BK46" s="420">
        <f t="shared" si="19"/>
        <v>0.02</v>
      </c>
      <c r="BL46" s="772">
        <f t="shared" si="64"/>
        <v>846630</v>
      </c>
      <c r="BM46" s="772">
        <f t="shared" si="65"/>
        <v>628064</v>
      </c>
      <c r="BN46" s="417">
        <f t="shared" si="66"/>
        <v>628064</v>
      </c>
      <c r="BO46" s="417">
        <f t="shared" si="66"/>
        <v>0</v>
      </c>
      <c r="BP46" s="417">
        <f t="shared" si="67"/>
        <v>0</v>
      </c>
      <c r="BQ46" s="417">
        <f t="shared" si="68"/>
        <v>0</v>
      </c>
      <c r="BR46" s="417">
        <f t="shared" si="68"/>
        <v>0</v>
      </c>
      <c r="BS46" s="417">
        <f t="shared" si="69"/>
        <v>212285</v>
      </c>
      <c r="BT46" s="417">
        <f t="shared" si="69"/>
        <v>6281</v>
      </c>
      <c r="BU46" s="417">
        <f t="shared" si="70"/>
        <v>0</v>
      </c>
      <c r="BV46" s="418">
        <f t="shared" si="71"/>
        <v>1.73</v>
      </c>
      <c r="BW46" s="418">
        <f t="shared" si="72"/>
        <v>1.73</v>
      </c>
      <c r="BX46" s="420">
        <f t="shared" si="72"/>
        <v>0</v>
      </c>
      <c r="BY46" s="596"/>
      <c r="BZ46" s="595"/>
      <c r="CA46" s="595"/>
      <c r="CB46" s="595"/>
      <c r="CC46" s="595"/>
      <c r="CD46" s="981"/>
      <c r="CE46" s="596"/>
      <c r="CF46" s="595"/>
      <c r="CG46" s="595"/>
      <c r="CH46" s="595"/>
      <c r="CI46" s="595"/>
      <c r="CJ46" s="981"/>
      <c r="CK46" s="315"/>
    </row>
    <row r="47" spans="1:89" ht="12.95" customHeight="1">
      <c r="A47" s="280">
        <v>7</v>
      </c>
      <c r="B47" s="321">
        <v>5410</v>
      </c>
      <c r="C47" s="322">
        <v>600099318</v>
      </c>
      <c r="D47" s="281">
        <v>854778</v>
      </c>
      <c r="E47" s="348" t="s">
        <v>420</v>
      </c>
      <c r="F47" s="321">
        <v>3141</v>
      </c>
      <c r="G47" s="345" t="s">
        <v>294</v>
      </c>
      <c r="H47" s="640" t="s">
        <v>272</v>
      </c>
      <c r="I47" s="419">
        <v>1989573</v>
      </c>
      <c r="J47" s="414">
        <v>1467558</v>
      </c>
      <c r="K47" s="414">
        <v>0</v>
      </c>
      <c r="L47" s="414">
        <v>1467558</v>
      </c>
      <c r="M47" s="414">
        <v>0</v>
      </c>
      <c r="N47" s="414">
        <v>0</v>
      </c>
      <c r="O47" s="414">
        <v>0</v>
      </c>
      <c r="P47" s="68">
        <v>496035</v>
      </c>
      <c r="Q47" s="68">
        <v>14676</v>
      </c>
      <c r="R47" s="414">
        <v>11304</v>
      </c>
      <c r="S47" s="415">
        <v>4.4033000000000007</v>
      </c>
      <c r="T47" s="416">
        <v>0</v>
      </c>
      <c r="U47" s="422">
        <v>4.4033000000000007</v>
      </c>
      <c r="V47" s="423">
        <f t="shared" si="4"/>
        <v>0</v>
      </c>
      <c r="W47" s="417">
        <f t="shared" si="4"/>
        <v>0</v>
      </c>
      <c r="X47" s="417">
        <v>0</v>
      </c>
      <c r="Y47" s="417">
        <v>0</v>
      </c>
      <c r="Z47" s="417">
        <v>0</v>
      </c>
      <c r="AA47" s="417">
        <v>-8653</v>
      </c>
      <c r="AB47" s="417">
        <v>0</v>
      </c>
      <c r="AC47" s="417">
        <v>0</v>
      </c>
      <c r="AD47" s="417">
        <v>0</v>
      </c>
      <c r="AE47" s="417">
        <f t="shared" si="5"/>
        <v>0</v>
      </c>
      <c r="AF47" s="417">
        <f t="shared" si="6"/>
        <v>-8653</v>
      </c>
      <c r="AG47" s="417">
        <f t="shared" si="7"/>
        <v>-8653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8"/>
        <v>0</v>
      </c>
      <c r="AN47" s="417">
        <f t="shared" si="9"/>
        <v>0</v>
      </c>
      <c r="AO47" s="417">
        <f t="shared" si="10"/>
        <v>0</v>
      </c>
      <c r="AP47" s="417">
        <f t="shared" si="11"/>
        <v>0</v>
      </c>
      <c r="AQ47" s="417">
        <f t="shared" si="11"/>
        <v>-8653</v>
      </c>
      <c r="AR47" s="417">
        <f t="shared" si="12"/>
        <v>-8653</v>
      </c>
      <c r="AS47" s="68">
        <f t="shared" si="13"/>
        <v>-2925</v>
      </c>
      <c r="AT47" s="68">
        <f t="shared" si="14"/>
        <v>-87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-11665</v>
      </c>
      <c r="AZ47" s="418">
        <v>0</v>
      </c>
      <c r="BA47" s="418">
        <v>0</v>
      </c>
      <c r="BB47" s="418">
        <v>0</v>
      </c>
      <c r="BC47" s="418">
        <v>0</v>
      </c>
      <c r="BD47" s="418">
        <v>-0.03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-0.03</v>
      </c>
      <c r="BK47" s="420">
        <f t="shared" si="19"/>
        <v>-0.03</v>
      </c>
      <c r="BL47" s="772">
        <f t="shared" si="64"/>
        <v>1977908</v>
      </c>
      <c r="BM47" s="772">
        <f t="shared" si="65"/>
        <v>1458905</v>
      </c>
      <c r="BN47" s="417">
        <f t="shared" si="66"/>
        <v>0</v>
      </c>
      <c r="BO47" s="417">
        <f t="shared" si="66"/>
        <v>1458905</v>
      </c>
      <c r="BP47" s="417">
        <f t="shared" si="67"/>
        <v>0</v>
      </c>
      <c r="BQ47" s="417">
        <f t="shared" si="68"/>
        <v>0</v>
      </c>
      <c r="BR47" s="417">
        <f t="shared" si="68"/>
        <v>0</v>
      </c>
      <c r="BS47" s="417">
        <f t="shared" si="69"/>
        <v>493110</v>
      </c>
      <c r="BT47" s="417">
        <f t="shared" si="69"/>
        <v>14589</v>
      </c>
      <c r="BU47" s="417">
        <f t="shared" si="70"/>
        <v>11304</v>
      </c>
      <c r="BV47" s="418">
        <f t="shared" si="71"/>
        <v>4.3733000000000004</v>
      </c>
      <c r="BW47" s="418">
        <f t="shared" si="72"/>
        <v>0</v>
      </c>
      <c r="BX47" s="420">
        <f t="shared" si="72"/>
        <v>4.3733000000000004</v>
      </c>
      <c r="BY47" s="596"/>
      <c r="BZ47" s="595"/>
      <c r="CA47" s="595"/>
      <c r="CB47" s="595"/>
      <c r="CC47" s="595"/>
      <c r="CD47" s="981"/>
      <c r="CE47" s="596"/>
      <c r="CF47" s="595"/>
      <c r="CG47" s="595"/>
      <c r="CH47" s="595"/>
      <c r="CI47" s="595"/>
      <c r="CJ47" s="981"/>
      <c r="CK47" s="315"/>
    </row>
    <row r="48" spans="1:89" ht="12.95" customHeight="1">
      <c r="A48" s="280">
        <v>7</v>
      </c>
      <c r="B48" s="321">
        <v>5410</v>
      </c>
      <c r="C48" s="322">
        <v>600099318</v>
      </c>
      <c r="D48" s="281">
        <v>854778</v>
      </c>
      <c r="E48" s="348" t="s">
        <v>420</v>
      </c>
      <c r="F48" s="321">
        <v>3143</v>
      </c>
      <c r="G48" s="284" t="s">
        <v>595</v>
      </c>
      <c r="H48" s="640" t="s">
        <v>271</v>
      </c>
      <c r="I48" s="419">
        <v>877268</v>
      </c>
      <c r="J48" s="414">
        <v>650792</v>
      </c>
      <c r="K48" s="414">
        <v>650792</v>
      </c>
      <c r="L48" s="414">
        <v>0</v>
      </c>
      <c r="M48" s="414">
        <v>0</v>
      </c>
      <c r="N48" s="414">
        <v>0</v>
      </c>
      <c r="O48" s="414">
        <v>0</v>
      </c>
      <c r="P48" s="68">
        <v>219968</v>
      </c>
      <c r="Q48" s="68">
        <v>6508</v>
      </c>
      <c r="R48" s="414">
        <v>0</v>
      </c>
      <c r="S48" s="415">
        <v>1.2942</v>
      </c>
      <c r="T48" s="416">
        <v>1.2942</v>
      </c>
      <c r="U48" s="422">
        <v>0</v>
      </c>
      <c r="V48" s="423">
        <f t="shared" si="4"/>
        <v>0</v>
      </c>
      <c r="W48" s="417">
        <f t="shared" si="4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5"/>
        <v>0</v>
      </c>
      <c r="AF48" s="417">
        <f t="shared" si="6"/>
        <v>0</v>
      </c>
      <c r="AG48" s="417">
        <f t="shared" si="7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8"/>
        <v>0</v>
      </c>
      <c r="AN48" s="417">
        <f t="shared" si="9"/>
        <v>0</v>
      </c>
      <c r="AO48" s="417">
        <f t="shared" si="10"/>
        <v>0</v>
      </c>
      <c r="AP48" s="417">
        <f t="shared" si="11"/>
        <v>0</v>
      </c>
      <c r="AQ48" s="417">
        <f t="shared" si="11"/>
        <v>0</v>
      </c>
      <c r="AR48" s="417">
        <f t="shared" si="12"/>
        <v>0</v>
      </c>
      <c r="AS48" s="68">
        <f t="shared" si="13"/>
        <v>0</v>
      </c>
      <c r="AT48" s="68">
        <f t="shared" si="14"/>
        <v>0</v>
      </c>
      <c r="AU48" s="417">
        <v>0</v>
      </c>
      <c r="AV48" s="417">
        <v>0</v>
      </c>
      <c r="AW48" s="417">
        <v>0</v>
      </c>
      <c r="AX48" s="417">
        <f t="shared" si="15"/>
        <v>0</v>
      </c>
      <c r="AY48" s="417">
        <f t="shared" si="16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7"/>
        <v>0</v>
      </c>
      <c r="BJ48" s="418">
        <f t="shared" si="18"/>
        <v>0</v>
      </c>
      <c r="BK48" s="420">
        <f t="shared" si="19"/>
        <v>0</v>
      </c>
      <c r="BL48" s="772">
        <f t="shared" si="64"/>
        <v>877268</v>
      </c>
      <c r="BM48" s="772">
        <f t="shared" si="65"/>
        <v>650792</v>
      </c>
      <c r="BN48" s="417">
        <f t="shared" si="66"/>
        <v>650792</v>
      </c>
      <c r="BO48" s="417">
        <f t="shared" si="66"/>
        <v>0</v>
      </c>
      <c r="BP48" s="417">
        <f t="shared" si="67"/>
        <v>0</v>
      </c>
      <c r="BQ48" s="417">
        <f t="shared" si="68"/>
        <v>0</v>
      </c>
      <c r="BR48" s="417">
        <f t="shared" si="68"/>
        <v>0</v>
      </c>
      <c r="BS48" s="417">
        <f t="shared" si="69"/>
        <v>219968</v>
      </c>
      <c r="BT48" s="417">
        <f t="shared" si="69"/>
        <v>6508</v>
      </c>
      <c r="BU48" s="417">
        <f t="shared" si="70"/>
        <v>0</v>
      </c>
      <c r="BV48" s="418">
        <f t="shared" si="71"/>
        <v>1.2942</v>
      </c>
      <c r="BW48" s="418">
        <f t="shared" si="72"/>
        <v>1.2942</v>
      </c>
      <c r="BX48" s="420">
        <f t="shared" si="72"/>
        <v>0</v>
      </c>
      <c r="BY48" s="596"/>
      <c r="BZ48" s="595"/>
      <c r="CA48" s="595"/>
      <c r="CB48" s="595"/>
      <c r="CC48" s="595"/>
      <c r="CD48" s="981"/>
      <c r="CE48" s="596"/>
      <c r="CF48" s="595"/>
      <c r="CG48" s="595"/>
      <c r="CH48" s="595"/>
      <c r="CI48" s="595"/>
      <c r="CJ48" s="981"/>
      <c r="CK48" s="315"/>
    </row>
    <row r="49" spans="1:89" ht="12.95" customHeight="1">
      <c r="A49" s="280">
        <v>7</v>
      </c>
      <c r="B49" s="321">
        <v>5410</v>
      </c>
      <c r="C49" s="322">
        <v>600099318</v>
      </c>
      <c r="D49" s="281">
        <v>854778</v>
      </c>
      <c r="E49" s="348" t="s">
        <v>420</v>
      </c>
      <c r="F49" s="321">
        <v>3143</v>
      </c>
      <c r="G49" s="284" t="s">
        <v>596</v>
      </c>
      <c r="H49" s="640" t="s">
        <v>272</v>
      </c>
      <c r="I49" s="419">
        <v>35124</v>
      </c>
      <c r="J49" s="414">
        <v>25155</v>
      </c>
      <c r="K49" s="414">
        <v>405</v>
      </c>
      <c r="L49" s="414">
        <v>24750</v>
      </c>
      <c r="M49" s="414">
        <v>0</v>
      </c>
      <c r="N49" s="414">
        <v>0</v>
      </c>
      <c r="O49" s="414">
        <v>0</v>
      </c>
      <c r="P49" s="68">
        <v>8502</v>
      </c>
      <c r="Q49" s="68">
        <v>252</v>
      </c>
      <c r="R49" s="414">
        <v>1215</v>
      </c>
      <c r="S49" s="415">
        <v>9.2499999999999999E-2</v>
      </c>
      <c r="T49" s="416">
        <v>0</v>
      </c>
      <c r="U49" s="422">
        <v>9.2499999999999999E-2</v>
      </c>
      <c r="V49" s="423">
        <f t="shared" si="4"/>
        <v>0</v>
      </c>
      <c r="W49" s="417">
        <f t="shared" si="4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5"/>
        <v>0</v>
      </c>
      <c r="AF49" s="417">
        <f t="shared" si="6"/>
        <v>0</v>
      </c>
      <c r="AG49" s="417">
        <f t="shared" si="7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8"/>
        <v>0</v>
      </c>
      <c r="AN49" s="417">
        <f t="shared" si="9"/>
        <v>0</v>
      </c>
      <c r="AO49" s="417">
        <f t="shared" si="10"/>
        <v>0</v>
      </c>
      <c r="AP49" s="417">
        <f t="shared" si="11"/>
        <v>0</v>
      </c>
      <c r="AQ49" s="417">
        <f t="shared" si="11"/>
        <v>0</v>
      </c>
      <c r="AR49" s="417">
        <f t="shared" si="12"/>
        <v>0</v>
      </c>
      <c r="AS49" s="68">
        <f t="shared" si="13"/>
        <v>0</v>
      </c>
      <c r="AT49" s="68">
        <f t="shared" si="14"/>
        <v>0</v>
      </c>
      <c r="AU49" s="417">
        <v>0</v>
      </c>
      <c r="AV49" s="417">
        <v>0</v>
      </c>
      <c r="AW49" s="417">
        <v>0</v>
      </c>
      <c r="AX49" s="417">
        <f t="shared" si="15"/>
        <v>0</v>
      </c>
      <c r="AY49" s="417">
        <f t="shared" si="16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0</v>
      </c>
      <c r="BK49" s="420">
        <f t="shared" si="19"/>
        <v>0</v>
      </c>
      <c r="BL49" s="772">
        <f t="shared" si="64"/>
        <v>35124</v>
      </c>
      <c r="BM49" s="772">
        <f t="shared" si="65"/>
        <v>25155</v>
      </c>
      <c r="BN49" s="417">
        <f t="shared" si="66"/>
        <v>405</v>
      </c>
      <c r="BO49" s="417">
        <f t="shared" si="66"/>
        <v>24750</v>
      </c>
      <c r="BP49" s="417">
        <f t="shared" si="67"/>
        <v>0</v>
      </c>
      <c r="BQ49" s="417">
        <f t="shared" si="68"/>
        <v>0</v>
      </c>
      <c r="BR49" s="417">
        <f t="shared" si="68"/>
        <v>0</v>
      </c>
      <c r="BS49" s="417">
        <f t="shared" si="69"/>
        <v>8502</v>
      </c>
      <c r="BT49" s="417">
        <f t="shared" si="69"/>
        <v>252</v>
      </c>
      <c r="BU49" s="417">
        <f t="shared" si="70"/>
        <v>1215</v>
      </c>
      <c r="BV49" s="418">
        <f t="shared" si="71"/>
        <v>9.2499999999999999E-2</v>
      </c>
      <c r="BW49" s="418">
        <f t="shared" si="72"/>
        <v>0</v>
      </c>
      <c r="BX49" s="420">
        <f t="shared" si="72"/>
        <v>9.2499999999999999E-2</v>
      </c>
      <c r="BY49" s="596"/>
      <c r="BZ49" s="595"/>
      <c r="CA49" s="595"/>
      <c r="CB49" s="595"/>
      <c r="CC49" s="595"/>
      <c r="CD49" s="981"/>
      <c r="CE49" s="596"/>
      <c r="CF49" s="595"/>
      <c r="CG49" s="595"/>
      <c r="CH49" s="595"/>
      <c r="CI49" s="595"/>
      <c r="CJ49" s="981"/>
      <c r="CK49" s="315"/>
    </row>
    <row r="50" spans="1:89" ht="12.95" customHeight="1">
      <c r="A50" s="641">
        <v>7</v>
      </c>
      <c r="B50" s="325">
        <v>5410</v>
      </c>
      <c r="C50" s="326">
        <v>600099318</v>
      </c>
      <c r="D50" s="325">
        <v>854778</v>
      </c>
      <c r="E50" s="349" t="s">
        <v>421</v>
      </c>
      <c r="F50" s="325"/>
      <c r="G50" s="350"/>
      <c r="H50" s="643"/>
      <c r="I50" s="464">
        <v>21582060</v>
      </c>
      <c r="J50" s="460">
        <v>15769118</v>
      </c>
      <c r="K50" s="460">
        <v>12472189</v>
      </c>
      <c r="L50" s="460">
        <v>3296929</v>
      </c>
      <c r="M50" s="460">
        <v>60000</v>
      </c>
      <c r="N50" s="460">
        <v>25000</v>
      </c>
      <c r="O50" s="460">
        <v>35000</v>
      </c>
      <c r="P50" s="460">
        <v>5350241</v>
      </c>
      <c r="Q50" s="460">
        <v>157692</v>
      </c>
      <c r="R50" s="460">
        <v>245009</v>
      </c>
      <c r="S50" s="461">
        <v>30.951700000000006</v>
      </c>
      <c r="T50" s="461">
        <v>20.752300000000002</v>
      </c>
      <c r="U50" s="534">
        <v>10.199400000000001</v>
      </c>
      <c r="V50" s="471">
        <f t="shared" ref="V50:BK50" si="73">SUM(V44:V49)</f>
        <v>0</v>
      </c>
      <c r="W50" s="467">
        <f t="shared" si="73"/>
        <v>0</v>
      </c>
      <c r="X50" s="467">
        <f t="shared" si="73"/>
        <v>13723</v>
      </c>
      <c r="Y50" s="467">
        <f t="shared" si="73"/>
        <v>0</v>
      </c>
      <c r="Z50" s="467">
        <f t="shared" si="73"/>
        <v>-154340</v>
      </c>
      <c r="AA50" s="467">
        <f t="shared" si="73"/>
        <v>-8653</v>
      </c>
      <c r="AB50" s="467">
        <f t="shared" si="73"/>
        <v>0</v>
      </c>
      <c r="AC50" s="467">
        <f t="shared" si="73"/>
        <v>0</v>
      </c>
      <c r="AD50" s="467">
        <f t="shared" si="73"/>
        <v>0</v>
      </c>
      <c r="AE50" s="467">
        <f t="shared" si="73"/>
        <v>-140617</v>
      </c>
      <c r="AF50" s="467">
        <f t="shared" si="73"/>
        <v>-8653</v>
      </c>
      <c r="AG50" s="467">
        <f t="shared" si="73"/>
        <v>-149270</v>
      </c>
      <c r="AH50" s="467">
        <f t="shared" si="73"/>
        <v>0</v>
      </c>
      <c r="AI50" s="467">
        <f t="shared" si="73"/>
        <v>0</v>
      </c>
      <c r="AJ50" s="467">
        <f t="shared" si="73"/>
        <v>0</v>
      </c>
      <c r="AK50" s="467">
        <f t="shared" si="73"/>
        <v>0</v>
      </c>
      <c r="AL50" s="467">
        <f t="shared" si="73"/>
        <v>0</v>
      </c>
      <c r="AM50" s="467">
        <f t="shared" si="73"/>
        <v>0</v>
      </c>
      <c r="AN50" s="467">
        <f t="shared" si="73"/>
        <v>0</v>
      </c>
      <c r="AO50" s="467">
        <f t="shared" si="73"/>
        <v>0</v>
      </c>
      <c r="AP50" s="467">
        <f t="shared" si="73"/>
        <v>-140617</v>
      </c>
      <c r="AQ50" s="467">
        <f t="shared" si="73"/>
        <v>-8653</v>
      </c>
      <c r="AR50" s="467">
        <f t="shared" si="73"/>
        <v>-149270</v>
      </c>
      <c r="AS50" s="467">
        <f t="shared" si="73"/>
        <v>-50454</v>
      </c>
      <c r="AT50" s="467">
        <f t="shared" si="73"/>
        <v>-1493</v>
      </c>
      <c r="AU50" s="467">
        <f t="shared" si="73"/>
        <v>0</v>
      </c>
      <c r="AV50" s="467">
        <f t="shared" si="73"/>
        <v>0</v>
      </c>
      <c r="AW50" s="467">
        <f t="shared" si="73"/>
        <v>0</v>
      </c>
      <c r="AX50" s="467">
        <f t="shared" si="73"/>
        <v>0</v>
      </c>
      <c r="AY50" s="467">
        <f t="shared" si="73"/>
        <v>-201217</v>
      </c>
      <c r="AZ50" s="468">
        <f t="shared" si="73"/>
        <v>0</v>
      </c>
      <c r="BA50" s="468">
        <f t="shared" si="73"/>
        <v>0</v>
      </c>
      <c r="BB50" s="468">
        <f t="shared" si="73"/>
        <v>0.02</v>
      </c>
      <c r="BC50" s="468">
        <f t="shared" si="73"/>
        <v>-0.3</v>
      </c>
      <c r="BD50" s="468">
        <f t="shared" si="73"/>
        <v>-0.03</v>
      </c>
      <c r="BE50" s="468">
        <f t="shared" si="73"/>
        <v>0</v>
      </c>
      <c r="BF50" s="468">
        <f t="shared" si="73"/>
        <v>0</v>
      </c>
      <c r="BG50" s="468">
        <f t="shared" si="73"/>
        <v>0</v>
      </c>
      <c r="BH50" s="468">
        <f t="shared" si="73"/>
        <v>0</v>
      </c>
      <c r="BI50" s="468">
        <f t="shared" si="73"/>
        <v>-0.27999999999999997</v>
      </c>
      <c r="BJ50" s="468">
        <f t="shared" si="73"/>
        <v>-0.03</v>
      </c>
      <c r="BK50" s="328">
        <f t="shared" si="73"/>
        <v>-0.30999999999999994</v>
      </c>
      <c r="BL50" s="774">
        <f t="shared" ref="BL50:CG50" si="74">SUM(BL44:BL49)</f>
        <v>21380843</v>
      </c>
      <c r="BM50" s="774">
        <f t="shared" si="74"/>
        <v>15619848</v>
      </c>
      <c r="BN50" s="467">
        <f t="shared" si="74"/>
        <v>12331572</v>
      </c>
      <c r="BO50" s="467">
        <f t="shared" si="74"/>
        <v>3288276</v>
      </c>
      <c r="BP50" s="467">
        <f t="shared" si="74"/>
        <v>60000</v>
      </c>
      <c r="BQ50" s="467">
        <f t="shared" si="74"/>
        <v>25000</v>
      </c>
      <c r="BR50" s="467">
        <f t="shared" si="74"/>
        <v>35000</v>
      </c>
      <c r="BS50" s="467">
        <f t="shared" si="74"/>
        <v>5299787</v>
      </c>
      <c r="BT50" s="467">
        <f t="shared" si="74"/>
        <v>156199</v>
      </c>
      <c r="BU50" s="467">
        <f t="shared" si="74"/>
        <v>245009</v>
      </c>
      <c r="BV50" s="468">
        <f t="shared" si="74"/>
        <v>30.6417</v>
      </c>
      <c r="BW50" s="468">
        <f t="shared" si="74"/>
        <v>20.472299999999997</v>
      </c>
      <c r="BX50" s="328">
        <f t="shared" si="74"/>
        <v>10.169400000000001</v>
      </c>
      <c r="BY50" s="979">
        <f t="shared" si="74"/>
        <v>152054</v>
      </c>
      <c r="BZ50" s="721">
        <f t="shared" si="74"/>
        <v>112800</v>
      </c>
      <c r="CA50" s="721">
        <f t="shared" si="74"/>
        <v>0</v>
      </c>
      <c r="CB50" s="721">
        <f t="shared" si="74"/>
        <v>38126</v>
      </c>
      <c r="CC50" s="721">
        <f t="shared" si="74"/>
        <v>1128</v>
      </c>
      <c r="CD50" s="826">
        <f t="shared" si="74"/>
        <v>0.2</v>
      </c>
      <c r="CE50" s="995">
        <f t="shared" si="74"/>
        <v>850249</v>
      </c>
      <c r="CF50" s="995">
        <f t="shared" si="74"/>
        <v>590416</v>
      </c>
      <c r="CG50" s="995">
        <f t="shared" si="74"/>
        <v>199561</v>
      </c>
      <c r="CH50" s="995">
        <f t="shared" ref="CH50:CJ50" si="75">SUM(CH44:CH49)</f>
        <v>5904</v>
      </c>
      <c r="CI50" s="995">
        <f t="shared" si="75"/>
        <v>54368</v>
      </c>
      <c r="CJ50" s="933">
        <f t="shared" si="75"/>
        <v>1.8306</v>
      </c>
      <c r="CK50" s="315"/>
    </row>
    <row r="51" spans="1:89" ht="12.95" customHeight="1">
      <c r="A51" s="280">
        <v>8</v>
      </c>
      <c r="B51" s="321">
        <v>5476</v>
      </c>
      <c r="C51" s="322">
        <v>650046072</v>
      </c>
      <c r="D51" s="281">
        <v>71002723</v>
      </c>
      <c r="E51" s="348" t="s">
        <v>422</v>
      </c>
      <c r="F51" s="321">
        <v>3111</v>
      </c>
      <c r="G51" s="345" t="s">
        <v>304</v>
      </c>
      <c r="H51" s="640" t="s">
        <v>271</v>
      </c>
      <c r="I51" s="419">
        <v>2986615</v>
      </c>
      <c r="J51" s="414">
        <v>2203424</v>
      </c>
      <c r="K51" s="414">
        <v>2027006</v>
      </c>
      <c r="L51" s="414">
        <v>176418</v>
      </c>
      <c r="M51" s="414">
        <v>0</v>
      </c>
      <c r="N51" s="414">
        <v>0</v>
      </c>
      <c r="O51" s="414">
        <v>0</v>
      </c>
      <c r="P51" s="68">
        <v>744757</v>
      </c>
      <c r="Q51" s="68">
        <v>22034</v>
      </c>
      <c r="R51" s="414">
        <v>16400</v>
      </c>
      <c r="S51" s="415">
        <v>4.2068000000000003</v>
      </c>
      <c r="T51" s="416">
        <v>3.5</v>
      </c>
      <c r="U51" s="422">
        <v>0.70679999999999998</v>
      </c>
      <c r="V51" s="423">
        <f t="shared" si="4"/>
        <v>0</v>
      </c>
      <c r="W51" s="417">
        <f t="shared" si="4"/>
        <v>0</v>
      </c>
      <c r="X51" s="417">
        <v>0</v>
      </c>
      <c r="Y51" s="417">
        <v>0</v>
      </c>
      <c r="Z51" s="417">
        <v>-73496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5"/>
        <v>-73496</v>
      </c>
      <c r="AF51" s="417">
        <f t="shared" si="6"/>
        <v>0</v>
      </c>
      <c r="AG51" s="417">
        <f t="shared" si="7"/>
        <v>-73496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8"/>
        <v>0</v>
      </c>
      <c r="AN51" s="417">
        <f t="shared" si="9"/>
        <v>0</v>
      </c>
      <c r="AO51" s="417">
        <f t="shared" si="10"/>
        <v>0</v>
      </c>
      <c r="AP51" s="417">
        <f t="shared" si="11"/>
        <v>-73496</v>
      </c>
      <c r="AQ51" s="417">
        <f t="shared" si="11"/>
        <v>0</v>
      </c>
      <c r="AR51" s="417">
        <f t="shared" si="12"/>
        <v>-73496</v>
      </c>
      <c r="AS51" s="68">
        <f t="shared" si="13"/>
        <v>-24842</v>
      </c>
      <c r="AT51" s="68">
        <f t="shared" si="14"/>
        <v>-735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-99073</v>
      </c>
      <c r="AZ51" s="418">
        <v>0</v>
      </c>
      <c r="BA51" s="418">
        <v>0</v>
      </c>
      <c r="BB51" s="418">
        <v>0</v>
      </c>
      <c r="BC51" s="418">
        <v>-0.17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-0.17</v>
      </c>
      <c r="BJ51" s="418">
        <f t="shared" si="18"/>
        <v>0</v>
      </c>
      <c r="BK51" s="420">
        <f t="shared" si="19"/>
        <v>-0.17</v>
      </c>
      <c r="BL51" s="772">
        <f t="shared" ref="BL51:BL57" si="76">I51+AY51</f>
        <v>2887542</v>
      </c>
      <c r="BM51" s="772">
        <f t="shared" ref="BM51:BM57" si="77">J51+AG51</f>
        <v>2129928</v>
      </c>
      <c r="BN51" s="417">
        <f t="shared" ref="BN51:BO57" si="78">K51+AE51</f>
        <v>1953510</v>
      </c>
      <c r="BO51" s="417">
        <f t="shared" si="78"/>
        <v>176418</v>
      </c>
      <c r="BP51" s="417">
        <f t="shared" ref="BP51:BP57" si="79">M51+AO51</f>
        <v>0</v>
      </c>
      <c r="BQ51" s="417">
        <f t="shared" ref="BQ51:BR57" si="80">N51+AM51</f>
        <v>0</v>
      </c>
      <c r="BR51" s="417">
        <f t="shared" si="80"/>
        <v>0</v>
      </c>
      <c r="BS51" s="417">
        <f t="shared" ref="BS51:BT57" si="81">P51+AS51</f>
        <v>719915</v>
      </c>
      <c r="BT51" s="417">
        <f t="shared" si="81"/>
        <v>21299</v>
      </c>
      <c r="BU51" s="417">
        <f t="shared" ref="BU51:BU57" si="82">R51+AX51</f>
        <v>16400</v>
      </c>
      <c r="BV51" s="418">
        <f t="shared" ref="BV51:BV57" si="83">S51+BK51</f>
        <v>4.0368000000000004</v>
      </c>
      <c r="BW51" s="418">
        <f t="shared" ref="BW51:BX57" si="84">T51+BI51</f>
        <v>3.33</v>
      </c>
      <c r="BX51" s="420">
        <f t="shared" si="84"/>
        <v>0.70679999999999998</v>
      </c>
      <c r="BY51" s="596"/>
      <c r="BZ51" s="595"/>
      <c r="CA51" s="595"/>
      <c r="CB51" s="595"/>
      <c r="CC51" s="595"/>
      <c r="CD51" s="981"/>
      <c r="CE51" s="596">
        <v>81763</v>
      </c>
      <c r="CF51" s="595">
        <v>56610</v>
      </c>
      <c r="CG51" s="595">
        <v>19134</v>
      </c>
      <c r="CH51" s="595">
        <v>566</v>
      </c>
      <c r="CI51" s="595">
        <v>5453</v>
      </c>
      <c r="CJ51" s="981">
        <v>0.2268</v>
      </c>
      <c r="CK51" s="315"/>
    </row>
    <row r="52" spans="1:89" ht="12.95" customHeight="1">
      <c r="A52" s="280">
        <v>8</v>
      </c>
      <c r="B52" s="321">
        <v>5476</v>
      </c>
      <c r="C52" s="322">
        <v>650046072</v>
      </c>
      <c r="D52" s="281">
        <v>71002723</v>
      </c>
      <c r="E52" s="348" t="s">
        <v>422</v>
      </c>
      <c r="F52" s="321">
        <v>3113</v>
      </c>
      <c r="G52" s="345" t="s">
        <v>308</v>
      </c>
      <c r="H52" s="640" t="s">
        <v>271</v>
      </c>
      <c r="I52" s="419">
        <v>13057882</v>
      </c>
      <c r="J52" s="414">
        <v>9466188</v>
      </c>
      <c r="K52" s="414">
        <v>8231355</v>
      </c>
      <c r="L52" s="414">
        <v>1234833</v>
      </c>
      <c r="M52" s="414">
        <v>95000</v>
      </c>
      <c r="N52" s="414">
        <v>55000</v>
      </c>
      <c r="O52" s="414">
        <v>40000</v>
      </c>
      <c r="P52" s="68">
        <v>3231682</v>
      </c>
      <c r="Q52" s="68">
        <v>94662</v>
      </c>
      <c r="R52" s="414">
        <v>170350</v>
      </c>
      <c r="S52" s="415">
        <v>16.0045</v>
      </c>
      <c r="T52" s="416">
        <v>12.567299999999999</v>
      </c>
      <c r="U52" s="422">
        <v>3.4371999999999998</v>
      </c>
      <c r="V52" s="423">
        <f t="shared" si="4"/>
        <v>0</v>
      </c>
      <c r="W52" s="417">
        <f t="shared" si="4"/>
        <v>0</v>
      </c>
      <c r="X52" s="417">
        <v>0</v>
      </c>
      <c r="Y52" s="417">
        <v>9930</v>
      </c>
      <c r="Z52" s="417">
        <v>28118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5"/>
        <v>38048</v>
      </c>
      <c r="AF52" s="417">
        <f t="shared" si="6"/>
        <v>0</v>
      </c>
      <c r="AG52" s="417">
        <f t="shared" si="7"/>
        <v>38048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8"/>
        <v>0</v>
      </c>
      <c r="AN52" s="417">
        <f t="shared" si="9"/>
        <v>0</v>
      </c>
      <c r="AO52" s="417">
        <f t="shared" si="10"/>
        <v>0</v>
      </c>
      <c r="AP52" s="417">
        <f t="shared" si="11"/>
        <v>38048</v>
      </c>
      <c r="AQ52" s="417">
        <f t="shared" si="11"/>
        <v>0</v>
      </c>
      <c r="AR52" s="417">
        <f t="shared" si="12"/>
        <v>38048</v>
      </c>
      <c r="AS52" s="68">
        <f t="shared" si="13"/>
        <v>12860</v>
      </c>
      <c r="AT52" s="68">
        <f t="shared" si="14"/>
        <v>380</v>
      </c>
      <c r="AU52" s="417">
        <v>0</v>
      </c>
      <c r="AV52" s="417">
        <v>0</v>
      </c>
      <c r="AW52" s="417">
        <v>0</v>
      </c>
      <c r="AX52" s="417">
        <f t="shared" si="15"/>
        <v>0</v>
      </c>
      <c r="AY52" s="417">
        <f t="shared" si="16"/>
        <v>51288</v>
      </c>
      <c r="AZ52" s="418">
        <v>0</v>
      </c>
      <c r="BA52" s="418">
        <v>0</v>
      </c>
      <c r="BB52" s="418">
        <v>0</v>
      </c>
      <c r="BC52" s="418">
        <v>0.05</v>
      </c>
      <c r="BD52" s="418">
        <v>0</v>
      </c>
      <c r="BE52" s="418">
        <v>0.01</v>
      </c>
      <c r="BF52" s="418">
        <v>0</v>
      </c>
      <c r="BG52" s="418">
        <v>0</v>
      </c>
      <c r="BH52" s="418">
        <v>0</v>
      </c>
      <c r="BI52" s="418">
        <f t="shared" si="17"/>
        <v>6.0000000000000005E-2</v>
      </c>
      <c r="BJ52" s="418">
        <f t="shared" si="18"/>
        <v>0</v>
      </c>
      <c r="BK52" s="420">
        <f t="shared" si="19"/>
        <v>6.0000000000000005E-2</v>
      </c>
      <c r="BL52" s="772">
        <f t="shared" si="76"/>
        <v>13109170</v>
      </c>
      <c r="BM52" s="772">
        <f t="shared" si="77"/>
        <v>9504236</v>
      </c>
      <c r="BN52" s="417">
        <f t="shared" si="78"/>
        <v>8269403</v>
      </c>
      <c r="BO52" s="417">
        <f t="shared" si="78"/>
        <v>1234833</v>
      </c>
      <c r="BP52" s="417">
        <f t="shared" si="79"/>
        <v>95000</v>
      </c>
      <c r="BQ52" s="417">
        <f t="shared" si="80"/>
        <v>55000</v>
      </c>
      <c r="BR52" s="417">
        <f t="shared" si="80"/>
        <v>40000</v>
      </c>
      <c r="BS52" s="417">
        <f t="shared" si="81"/>
        <v>3244542</v>
      </c>
      <c r="BT52" s="417">
        <f t="shared" si="81"/>
        <v>95042</v>
      </c>
      <c r="BU52" s="417">
        <f t="shared" si="82"/>
        <v>170350</v>
      </c>
      <c r="BV52" s="418">
        <f t="shared" si="83"/>
        <v>16.064499999999999</v>
      </c>
      <c r="BW52" s="418">
        <f t="shared" si="84"/>
        <v>12.6273</v>
      </c>
      <c r="BX52" s="420">
        <f t="shared" si="84"/>
        <v>3.4371999999999998</v>
      </c>
      <c r="BY52" s="596">
        <v>304109</v>
      </c>
      <c r="BZ52" s="595">
        <v>225600</v>
      </c>
      <c r="CA52" s="595">
        <v>0</v>
      </c>
      <c r="CB52" s="595">
        <v>76253</v>
      </c>
      <c r="CC52" s="595">
        <v>2256</v>
      </c>
      <c r="CD52" s="981">
        <v>0.4</v>
      </c>
      <c r="CE52" s="994">
        <v>592060</v>
      </c>
      <c r="CF52" s="595">
        <v>409033</v>
      </c>
      <c r="CG52" s="595">
        <v>138254</v>
      </c>
      <c r="CH52" s="595">
        <v>4091</v>
      </c>
      <c r="CI52" s="595">
        <v>40682</v>
      </c>
      <c r="CJ52" s="981">
        <v>1.1413</v>
      </c>
      <c r="CK52" s="315"/>
    </row>
    <row r="53" spans="1:89" ht="12.95" customHeight="1">
      <c r="A53" s="280">
        <v>8</v>
      </c>
      <c r="B53" s="321">
        <v>5476</v>
      </c>
      <c r="C53" s="322">
        <v>650046072</v>
      </c>
      <c r="D53" s="281">
        <v>71002723</v>
      </c>
      <c r="E53" s="348" t="s">
        <v>422</v>
      </c>
      <c r="F53" s="321">
        <v>3113</v>
      </c>
      <c r="G53" s="284" t="s">
        <v>291</v>
      </c>
      <c r="H53" s="640" t="s">
        <v>272</v>
      </c>
      <c r="I53" s="419">
        <v>863352</v>
      </c>
      <c r="J53" s="414">
        <v>638095</v>
      </c>
      <c r="K53" s="414">
        <v>638095</v>
      </c>
      <c r="L53" s="414">
        <v>0</v>
      </c>
      <c r="M53" s="414">
        <v>0</v>
      </c>
      <c r="N53" s="414">
        <v>0</v>
      </c>
      <c r="O53" s="414">
        <v>0</v>
      </c>
      <c r="P53" s="68">
        <v>215676</v>
      </c>
      <c r="Q53" s="68">
        <v>6381</v>
      </c>
      <c r="R53" s="414">
        <v>3200</v>
      </c>
      <c r="S53" s="415">
        <v>1.8099999999999998</v>
      </c>
      <c r="T53" s="416">
        <v>1.8099999999999998</v>
      </c>
      <c r="U53" s="422">
        <v>0</v>
      </c>
      <c r="V53" s="423">
        <f t="shared" si="4"/>
        <v>0</v>
      </c>
      <c r="W53" s="417">
        <f t="shared" si="4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5"/>
        <v>0</v>
      </c>
      <c r="AF53" s="417">
        <f t="shared" si="6"/>
        <v>0</v>
      </c>
      <c r="AG53" s="417">
        <f t="shared" si="7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8"/>
        <v>0</v>
      </c>
      <c r="AN53" s="417">
        <f t="shared" si="9"/>
        <v>0</v>
      </c>
      <c r="AO53" s="417">
        <f t="shared" si="10"/>
        <v>0</v>
      </c>
      <c r="AP53" s="417">
        <f t="shared" si="11"/>
        <v>0</v>
      </c>
      <c r="AQ53" s="417">
        <f t="shared" si="11"/>
        <v>0</v>
      </c>
      <c r="AR53" s="417">
        <f t="shared" si="12"/>
        <v>0</v>
      </c>
      <c r="AS53" s="68">
        <f t="shared" si="13"/>
        <v>0</v>
      </c>
      <c r="AT53" s="68">
        <f t="shared" si="14"/>
        <v>0</v>
      </c>
      <c r="AU53" s="417">
        <v>0</v>
      </c>
      <c r="AV53" s="417">
        <v>0</v>
      </c>
      <c r="AW53" s="417">
        <v>0</v>
      </c>
      <c r="AX53" s="417">
        <f t="shared" si="15"/>
        <v>0</v>
      </c>
      <c r="AY53" s="417">
        <f t="shared" si="16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7"/>
        <v>0</v>
      </c>
      <c r="BJ53" s="418">
        <f t="shared" si="18"/>
        <v>0</v>
      </c>
      <c r="BK53" s="420">
        <f t="shared" si="19"/>
        <v>0</v>
      </c>
      <c r="BL53" s="772">
        <f t="shared" si="76"/>
        <v>863352</v>
      </c>
      <c r="BM53" s="772">
        <f t="shared" si="77"/>
        <v>638095</v>
      </c>
      <c r="BN53" s="417">
        <f t="shared" si="78"/>
        <v>638095</v>
      </c>
      <c r="BO53" s="417">
        <f t="shared" si="78"/>
        <v>0</v>
      </c>
      <c r="BP53" s="417">
        <f t="shared" si="79"/>
        <v>0</v>
      </c>
      <c r="BQ53" s="417">
        <f t="shared" si="80"/>
        <v>0</v>
      </c>
      <c r="BR53" s="417">
        <f t="shared" si="80"/>
        <v>0</v>
      </c>
      <c r="BS53" s="417">
        <f t="shared" si="81"/>
        <v>215676</v>
      </c>
      <c r="BT53" s="417">
        <f t="shared" si="81"/>
        <v>6381</v>
      </c>
      <c r="BU53" s="417">
        <f t="shared" si="82"/>
        <v>3200</v>
      </c>
      <c r="BV53" s="418">
        <f t="shared" si="83"/>
        <v>1.8099999999999998</v>
      </c>
      <c r="BW53" s="418">
        <f t="shared" si="84"/>
        <v>1.8099999999999998</v>
      </c>
      <c r="BX53" s="420">
        <f t="shared" si="84"/>
        <v>0</v>
      </c>
      <c r="BY53" s="596"/>
      <c r="BZ53" s="595"/>
      <c r="CA53" s="595"/>
      <c r="CB53" s="595"/>
      <c r="CC53" s="595"/>
      <c r="CD53" s="981"/>
      <c r="CE53" s="596"/>
      <c r="CF53" s="595"/>
      <c r="CG53" s="595"/>
      <c r="CH53" s="595"/>
      <c r="CI53" s="595"/>
      <c r="CJ53" s="981"/>
      <c r="CK53" s="315"/>
    </row>
    <row r="54" spans="1:89" ht="12.95" customHeight="1">
      <c r="A54" s="280">
        <v>8</v>
      </c>
      <c r="B54" s="321">
        <v>5476</v>
      </c>
      <c r="C54" s="322">
        <v>650046072</v>
      </c>
      <c r="D54" s="281">
        <v>71002723</v>
      </c>
      <c r="E54" s="348" t="s">
        <v>422</v>
      </c>
      <c r="F54" s="321">
        <v>3141</v>
      </c>
      <c r="G54" s="345" t="s">
        <v>294</v>
      </c>
      <c r="H54" s="640" t="s">
        <v>272</v>
      </c>
      <c r="I54" s="419">
        <v>1736024</v>
      </c>
      <c r="J54" s="414">
        <v>1281062</v>
      </c>
      <c r="K54" s="414">
        <v>0</v>
      </c>
      <c r="L54" s="414">
        <v>1281062</v>
      </c>
      <c r="M54" s="414">
        <v>0</v>
      </c>
      <c r="N54" s="414">
        <v>0</v>
      </c>
      <c r="O54" s="414">
        <v>0</v>
      </c>
      <c r="P54" s="68">
        <v>432999</v>
      </c>
      <c r="Q54" s="68">
        <v>12811</v>
      </c>
      <c r="R54" s="414">
        <v>9152</v>
      </c>
      <c r="S54" s="415">
        <v>3.84</v>
      </c>
      <c r="T54" s="416">
        <v>0</v>
      </c>
      <c r="U54" s="422">
        <v>3.84</v>
      </c>
      <c r="V54" s="423">
        <f t="shared" si="4"/>
        <v>0</v>
      </c>
      <c r="W54" s="417">
        <f t="shared" si="4"/>
        <v>0</v>
      </c>
      <c r="X54" s="417">
        <v>0</v>
      </c>
      <c r="Y54" s="417">
        <v>0</v>
      </c>
      <c r="Z54" s="417">
        <v>0</v>
      </c>
      <c r="AA54" s="417">
        <v>-35563</v>
      </c>
      <c r="AB54" s="417">
        <v>0</v>
      </c>
      <c r="AC54" s="417">
        <v>0</v>
      </c>
      <c r="AD54" s="417">
        <v>0</v>
      </c>
      <c r="AE54" s="417">
        <f t="shared" si="5"/>
        <v>0</v>
      </c>
      <c r="AF54" s="417">
        <f t="shared" si="6"/>
        <v>-35563</v>
      </c>
      <c r="AG54" s="417">
        <f t="shared" si="7"/>
        <v>-35563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8"/>
        <v>0</v>
      </c>
      <c r="AN54" s="417">
        <f t="shared" si="9"/>
        <v>0</v>
      </c>
      <c r="AO54" s="417">
        <f t="shared" si="10"/>
        <v>0</v>
      </c>
      <c r="AP54" s="417">
        <f t="shared" si="11"/>
        <v>0</v>
      </c>
      <c r="AQ54" s="417">
        <f t="shared" si="11"/>
        <v>-35563</v>
      </c>
      <c r="AR54" s="417">
        <f t="shared" si="12"/>
        <v>-35563</v>
      </c>
      <c r="AS54" s="68">
        <f t="shared" si="13"/>
        <v>-12020</v>
      </c>
      <c r="AT54" s="68">
        <f t="shared" si="14"/>
        <v>-356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-47939</v>
      </c>
      <c r="AZ54" s="418">
        <v>0</v>
      </c>
      <c r="BA54" s="418">
        <v>0</v>
      </c>
      <c r="BB54" s="418">
        <v>0</v>
      </c>
      <c r="BC54" s="418">
        <v>0</v>
      </c>
      <c r="BD54" s="418">
        <v>-0.11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-0.11</v>
      </c>
      <c r="BK54" s="420">
        <f t="shared" si="19"/>
        <v>-0.11</v>
      </c>
      <c r="BL54" s="772">
        <f t="shared" si="76"/>
        <v>1688085</v>
      </c>
      <c r="BM54" s="772">
        <f t="shared" si="77"/>
        <v>1245499</v>
      </c>
      <c r="BN54" s="417">
        <f t="shared" si="78"/>
        <v>0</v>
      </c>
      <c r="BO54" s="417">
        <f t="shared" si="78"/>
        <v>1245499</v>
      </c>
      <c r="BP54" s="417">
        <f t="shared" si="79"/>
        <v>0</v>
      </c>
      <c r="BQ54" s="417">
        <f t="shared" si="80"/>
        <v>0</v>
      </c>
      <c r="BR54" s="417">
        <f t="shared" si="80"/>
        <v>0</v>
      </c>
      <c r="BS54" s="417">
        <f t="shared" si="81"/>
        <v>420979</v>
      </c>
      <c r="BT54" s="417">
        <f t="shared" si="81"/>
        <v>12455</v>
      </c>
      <c r="BU54" s="417">
        <f t="shared" si="82"/>
        <v>9152</v>
      </c>
      <c r="BV54" s="418">
        <f t="shared" si="83"/>
        <v>3.73</v>
      </c>
      <c r="BW54" s="418">
        <f t="shared" si="84"/>
        <v>0</v>
      </c>
      <c r="BX54" s="420">
        <f t="shared" si="84"/>
        <v>3.73</v>
      </c>
      <c r="BY54" s="596"/>
      <c r="BZ54" s="595"/>
      <c r="CA54" s="595"/>
      <c r="CB54" s="595"/>
      <c r="CC54" s="595"/>
      <c r="CD54" s="981"/>
      <c r="CE54" s="596"/>
      <c r="CF54" s="595"/>
      <c r="CG54" s="595"/>
      <c r="CH54" s="595"/>
      <c r="CI54" s="595"/>
      <c r="CJ54" s="981"/>
      <c r="CK54" s="315"/>
    </row>
    <row r="55" spans="1:89" ht="12.95" customHeight="1">
      <c r="A55" s="280">
        <v>8</v>
      </c>
      <c r="B55" s="321">
        <v>5476</v>
      </c>
      <c r="C55" s="322">
        <v>650046072</v>
      </c>
      <c r="D55" s="281">
        <v>71002723</v>
      </c>
      <c r="E55" s="348" t="s">
        <v>422</v>
      </c>
      <c r="F55" s="321">
        <v>3143</v>
      </c>
      <c r="G55" s="284" t="s">
        <v>595</v>
      </c>
      <c r="H55" s="640" t="s">
        <v>271</v>
      </c>
      <c r="I55" s="419">
        <v>826634</v>
      </c>
      <c r="J55" s="414">
        <v>613230</v>
      </c>
      <c r="K55" s="414">
        <v>613230</v>
      </c>
      <c r="L55" s="414">
        <v>0</v>
      </c>
      <c r="M55" s="414">
        <v>0</v>
      </c>
      <c r="N55" s="414">
        <v>0</v>
      </c>
      <c r="O55" s="414">
        <v>0</v>
      </c>
      <c r="P55" s="68">
        <v>207272</v>
      </c>
      <c r="Q55" s="68">
        <v>6132</v>
      </c>
      <c r="R55" s="414">
        <v>0</v>
      </c>
      <c r="S55" s="415">
        <v>1.3</v>
      </c>
      <c r="T55" s="416">
        <v>1.3</v>
      </c>
      <c r="U55" s="422">
        <v>0</v>
      </c>
      <c r="V55" s="423">
        <f t="shared" si="4"/>
        <v>0</v>
      </c>
      <c r="W55" s="417">
        <f t="shared" si="4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5"/>
        <v>0</v>
      </c>
      <c r="AF55" s="417">
        <f t="shared" si="6"/>
        <v>0</v>
      </c>
      <c r="AG55" s="417">
        <f t="shared" si="7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8"/>
        <v>0</v>
      </c>
      <c r="AN55" s="417">
        <f t="shared" si="9"/>
        <v>0</v>
      </c>
      <c r="AO55" s="417">
        <f t="shared" si="10"/>
        <v>0</v>
      </c>
      <c r="AP55" s="417">
        <f t="shared" si="11"/>
        <v>0</v>
      </c>
      <c r="AQ55" s="417">
        <f t="shared" si="11"/>
        <v>0</v>
      </c>
      <c r="AR55" s="417">
        <f t="shared" si="12"/>
        <v>0</v>
      </c>
      <c r="AS55" s="68">
        <f t="shared" si="13"/>
        <v>0</v>
      </c>
      <c r="AT55" s="68">
        <f t="shared" si="14"/>
        <v>0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0</v>
      </c>
      <c r="BK55" s="420">
        <f t="shared" si="19"/>
        <v>0</v>
      </c>
      <c r="BL55" s="772">
        <f t="shared" si="76"/>
        <v>826634</v>
      </c>
      <c r="BM55" s="772">
        <f t="shared" si="77"/>
        <v>613230</v>
      </c>
      <c r="BN55" s="417">
        <f t="shared" si="78"/>
        <v>613230</v>
      </c>
      <c r="BO55" s="417">
        <f t="shared" si="78"/>
        <v>0</v>
      </c>
      <c r="BP55" s="417">
        <f t="shared" si="79"/>
        <v>0</v>
      </c>
      <c r="BQ55" s="417">
        <f t="shared" si="80"/>
        <v>0</v>
      </c>
      <c r="BR55" s="417">
        <f t="shared" si="80"/>
        <v>0</v>
      </c>
      <c r="BS55" s="417">
        <f t="shared" si="81"/>
        <v>207272</v>
      </c>
      <c r="BT55" s="417">
        <f t="shared" si="81"/>
        <v>6132</v>
      </c>
      <c r="BU55" s="417">
        <f t="shared" si="82"/>
        <v>0</v>
      </c>
      <c r="BV55" s="418">
        <f t="shared" si="83"/>
        <v>1.3</v>
      </c>
      <c r="BW55" s="418">
        <f t="shared" si="84"/>
        <v>1.3</v>
      </c>
      <c r="BX55" s="420">
        <f t="shared" si="84"/>
        <v>0</v>
      </c>
      <c r="BY55" s="596"/>
      <c r="BZ55" s="595"/>
      <c r="CA55" s="595"/>
      <c r="CB55" s="595"/>
      <c r="CC55" s="595"/>
      <c r="CD55" s="981"/>
      <c r="CE55" s="596"/>
      <c r="CF55" s="595"/>
      <c r="CG55" s="595"/>
      <c r="CH55" s="595"/>
      <c r="CI55" s="595"/>
      <c r="CJ55" s="981"/>
      <c r="CK55" s="315"/>
    </row>
    <row r="56" spans="1:89" ht="12.95" customHeight="1">
      <c r="A56" s="280">
        <v>8</v>
      </c>
      <c r="B56" s="321">
        <v>5476</v>
      </c>
      <c r="C56" s="322">
        <v>650046072</v>
      </c>
      <c r="D56" s="281">
        <v>71002723</v>
      </c>
      <c r="E56" s="348" t="s">
        <v>422</v>
      </c>
      <c r="F56" s="321">
        <v>3143</v>
      </c>
      <c r="G56" s="284" t="s">
        <v>596</v>
      </c>
      <c r="H56" s="640" t="s">
        <v>272</v>
      </c>
      <c r="I56" s="419">
        <v>36883</v>
      </c>
      <c r="J56" s="414">
        <v>26400</v>
      </c>
      <c r="K56" s="414">
        <v>0</v>
      </c>
      <c r="L56" s="414">
        <v>26400</v>
      </c>
      <c r="M56" s="414">
        <v>0</v>
      </c>
      <c r="N56" s="414">
        <v>0</v>
      </c>
      <c r="O56" s="414">
        <v>0</v>
      </c>
      <c r="P56" s="68">
        <v>8923</v>
      </c>
      <c r="Q56" s="68">
        <v>264</v>
      </c>
      <c r="R56" s="414">
        <v>1296</v>
      </c>
      <c r="S56" s="415">
        <v>9.6699999999999994E-2</v>
      </c>
      <c r="T56" s="416">
        <v>0</v>
      </c>
      <c r="U56" s="422">
        <v>9.6699999999999994E-2</v>
      </c>
      <c r="V56" s="423">
        <f t="shared" si="4"/>
        <v>0</v>
      </c>
      <c r="W56" s="417">
        <f t="shared" si="4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5"/>
        <v>0</v>
      </c>
      <c r="AF56" s="417">
        <f t="shared" si="6"/>
        <v>0</v>
      </c>
      <c r="AG56" s="417">
        <f t="shared" si="7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8"/>
        <v>0</v>
      </c>
      <c r="AN56" s="417">
        <f t="shared" si="9"/>
        <v>0</v>
      </c>
      <c r="AO56" s="417">
        <f t="shared" si="10"/>
        <v>0</v>
      </c>
      <c r="AP56" s="417">
        <f t="shared" si="11"/>
        <v>0</v>
      </c>
      <c r="AQ56" s="417">
        <f t="shared" si="11"/>
        <v>0</v>
      </c>
      <c r="AR56" s="417">
        <f t="shared" si="12"/>
        <v>0</v>
      </c>
      <c r="AS56" s="68">
        <f t="shared" si="13"/>
        <v>0</v>
      </c>
      <c r="AT56" s="68">
        <f t="shared" si="14"/>
        <v>0</v>
      </c>
      <c r="AU56" s="417">
        <v>0</v>
      </c>
      <c r="AV56" s="417">
        <v>0</v>
      </c>
      <c r="AW56" s="417">
        <v>0</v>
      </c>
      <c r="AX56" s="417">
        <f t="shared" si="15"/>
        <v>0</v>
      </c>
      <c r="AY56" s="417">
        <f t="shared" si="16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17"/>
        <v>0</v>
      </c>
      <c r="BJ56" s="418">
        <f t="shared" si="18"/>
        <v>0</v>
      </c>
      <c r="BK56" s="420">
        <f t="shared" si="19"/>
        <v>0</v>
      </c>
      <c r="BL56" s="772">
        <f t="shared" si="76"/>
        <v>36883</v>
      </c>
      <c r="BM56" s="772">
        <f t="shared" si="77"/>
        <v>26400</v>
      </c>
      <c r="BN56" s="417">
        <f t="shared" si="78"/>
        <v>0</v>
      </c>
      <c r="BO56" s="417">
        <f t="shared" si="78"/>
        <v>26400</v>
      </c>
      <c r="BP56" s="417">
        <f t="shared" si="79"/>
        <v>0</v>
      </c>
      <c r="BQ56" s="417">
        <f t="shared" si="80"/>
        <v>0</v>
      </c>
      <c r="BR56" s="417">
        <f t="shared" si="80"/>
        <v>0</v>
      </c>
      <c r="BS56" s="417">
        <f t="shared" si="81"/>
        <v>8923</v>
      </c>
      <c r="BT56" s="417">
        <f t="shared" si="81"/>
        <v>264</v>
      </c>
      <c r="BU56" s="417">
        <f t="shared" si="82"/>
        <v>1296</v>
      </c>
      <c r="BV56" s="418">
        <f t="shared" si="83"/>
        <v>9.6699999999999994E-2</v>
      </c>
      <c r="BW56" s="418">
        <f t="shared" si="84"/>
        <v>0</v>
      </c>
      <c r="BX56" s="420">
        <f t="shared" si="84"/>
        <v>9.6699999999999994E-2</v>
      </c>
      <c r="BY56" s="596"/>
      <c r="BZ56" s="595"/>
      <c r="CA56" s="595"/>
      <c r="CB56" s="595"/>
      <c r="CC56" s="595"/>
      <c r="CD56" s="981"/>
      <c r="CE56" s="596"/>
      <c r="CF56" s="595"/>
      <c r="CG56" s="595"/>
      <c r="CH56" s="595"/>
      <c r="CI56" s="595"/>
      <c r="CJ56" s="981"/>
      <c r="CK56" s="315"/>
    </row>
    <row r="57" spans="1:89" ht="12.95" customHeight="1">
      <c r="A57" s="280">
        <v>8</v>
      </c>
      <c r="B57" s="321">
        <v>5476</v>
      </c>
      <c r="C57" s="322">
        <v>650046072</v>
      </c>
      <c r="D57" s="281">
        <v>71002723</v>
      </c>
      <c r="E57" s="348" t="s">
        <v>422</v>
      </c>
      <c r="F57" s="321">
        <v>3231</v>
      </c>
      <c r="G57" s="345" t="s">
        <v>295</v>
      </c>
      <c r="H57" s="640" t="s">
        <v>271</v>
      </c>
      <c r="I57" s="419">
        <v>7527836</v>
      </c>
      <c r="J57" s="414">
        <v>5573717</v>
      </c>
      <c r="K57" s="414">
        <v>5247323</v>
      </c>
      <c r="L57" s="414">
        <v>326394</v>
      </c>
      <c r="M57" s="414">
        <v>0</v>
      </c>
      <c r="N57" s="414">
        <v>0</v>
      </c>
      <c r="O57" s="414">
        <v>0</v>
      </c>
      <c r="P57" s="68">
        <v>1883916</v>
      </c>
      <c r="Q57" s="68">
        <v>55737</v>
      </c>
      <c r="R57" s="414">
        <v>14466</v>
      </c>
      <c r="S57" s="415">
        <v>9.2324999999999999</v>
      </c>
      <c r="T57" s="416">
        <v>8.3169000000000004</v>
      </c>
      <c r="U57" s="422">
        <v>0.91559999999999997</v>
      </c>
      <c r="V57" s="423">
        <f t="shared" si="4"/>
        <v>0</v>
      </c>
      <c r="W57" s="417">
        <f t="shared" si="4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5"/>
        <v>0</v>
      </c>
      <c r="AF57" s="417">
        <f t="shared" si="6"/>
        <v>0</v>
      </c>
      <c r="AG57" s="417">
        <f t="shared" si="7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8"/>
        <v>0</v>
      </c>
      <c r="AN57" s="417">
        <f t="shared" si="9"/>
        <v>0</v>
      </c>
      <c r="AO57" s="417">
        <f t="shared" si="10"/>
        <v>0</v>
      </c>
      <c r="AP57" s="417">
        <f t="shared" si="11"/>
        <v>0</v>
      </c>
      <c r="AQ57" s="417">
        <f t="shared" si="11"/>
        <v>0</v>
      </c>
      <c r="AR57" s="417">
        <f t="shared" si="12"/>
        <v>0</v>
      </c>
      <c r="AS57" s="68">
        <f t="shared" si="13"/>
        <v>0</v>
      </c>
      <c r="AT57" s="68">
        <f t="shared" si="14"/>
        <v>0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</v>
      </c>
      <c r="BK57" s="420">
        <f t="shared" si="19"/>
        <v>0</v>
      </c>
      <c r="BL57" s="772">
        <f t="shared" si="76"/>
        <v>7527836</v>
      </c>
      <c r="BM57" s="772">
        <f t="shared" si="77"/>
        <v>5573717</v>
      </c>
      <c r="BN57" s="417">
        <f t="shared" si="78"/>
        <v>5247323</v>
      </c>
      <c r="BO57" s="417">
        <f t="shared" si="78"/>
        <v>326394</v>
      </c>
      <c r="BP57" s="417">
        <f t="shared" si="79"/>
        <v>0</v>
      </c>
      <c r="BQ57" s="417">
        <f t="shared" si="80"/>
        <v>0</v>
      </c>
      <c r="BR57" s="417">
        <f t="shared" si="80"/>
        <v>0</v>
      </c>
      <c r="BS57" s="417">
        <f t="shared" si="81"/>
        <v>1883916</v>
      </c>
      <c r="BT57" s="417">
        <f t="shared" si="81"/>
        <v>55737</v>
      </c>
      <c r="BU57" s="417">
        <f t="shared" si="82"/>
        <v>14466</v>
      </c>
      <c r="BV57" s="418">
        <f t="shared" si="83"/>
        <v>9.2324999999999999</v>
      </c>
      <c r="BW57" s="418">
        <f t="shared" si="84"/>
        <v>8.3169000000000004</v>
      </c>
      <c r="BX57" s="420">
        <f t="shared" si="84"/>
        <v>0.91559999999999997</v>
      </c>
      <c r="BY57" s="596"/>
      <c r="BZ57" s="595"/>
      <c r="CA57" s="595"/>
      <c r="CB57" s="595"/>
      <c r="CC57" s="595"/>
      <c r="CD57" s="981"/>
      <c r="CE57" s="596">
        <v>149820</v>
      </c>
      <c r="CF57" s="595">
        <v>107640</v>
      </c>
      <c r="CG57" s="595">
        <v>36382</v>
      </c>
      <c r="CH57" s="595">
        <v>1076</v>
      </c>
      <c r="CI57" s="595">
        <v>4722</v>
      </c>
      <c r="CJ57" s="981">
        <v>0.30180000000000001</v>
      </c>
      <c r="CK57" s="315"/>
    </row>
    <row r="58" spans="1:89" ht="12.95" customHeight="1">
      <c r="A58" s="641">
        <v>8</v>
      </c>
      <c r="B58" s="325">
        <v>5476</v>
      </c>
      <c r="C58" s="326">
        <v>650046072</v>
      </c>
      <c r="D58" s="325">
        <v>71002723</v>
      </c>
      <c r="E58" s="349" t="s">
        <v>423</v>
      </c>
      <c r="F58" s="325"/>
      <c r="G58" s="350"/>
      <c r="H58" s="643"/>
      <c r="I58" s="464">
        <v>27035226</v>
      </c>
      <c r="J58" s="460">
        <v>19802116</v>
      </c>
      <c r="K58" s="460">
        <v>16757009</v>
      </c>
      <c r="L58" s="460">
        <v>3045107</v>
      </c>
      <c r="M58" s="460">
        <v>95000</v>
      </c>
      <c r="N58" s="460">
        <v>55000</v>
      </c>
      <c r="O58" s="460">
        <v>40000</v>
      </c>
      <c r="P58" s="460">
        <v>6725225</v>
      </c>
      <c r="Q58" s="460">
        <v>198021</v>
      </c>
      <c r="R58" s="460">
        <v>214864</v>
      </c>
      <c r="S58" s="461">
        <v>36.490499999999997</v>
      </c>
      <c r="T58" s="461">
        <v>27.494199999999999</v>
      </c>
      <c r="U58" s="534">
        <v>8.9962999999999997</v>
      </c>
      <c r="V58" s="471">
        <f t="shared" ref="V58:BK58" si="85">SUM(V51:V57)</f>
        <v>0</v>
      </c>
      <c r="W58" s="467">
        <f t="shared" si="85"/>
        <v>0</v>
      </c>
      <c r="X58" s="467">
        <f t="shared" si="85"/>
        <v>0</v>
      </c>
      <c r="Y58" s="467">
        <f t="shared" si="85"/>
        <v>9930</v>
      </c>
      <c r="Z58" s="467">
        <f t="shared" si="85"/>
        <v>-45378</v>
      </c>
      <c r="AA58" s="467">
        <f t="shared" si="85"/>
        <v>-35563</v>
      </c>
      <c r="AB58" s="467">
        <f t="shared" si="85"/>
        <v>0</v>
      </c>
      <c r="AC58" s="467">
        <f t="shared" si="85"/>
        <v>0</v>
      </c>
      <c r="AD58" s="467">
        <f t="shared" si="85"/>
        <v>0</v>
      </c>
      <c r="AE58" s="467">
        <f t="shared" si="85"/>
        <v>-35448</v>
      </c>
      <c r="AF58" s="467">
        <f t="shared" si="85"/>
        <v>-35563</v>
      </c>
      <c r="AG58" s="467">
        <f t="shared" si="85"/>
        <v>-71011</v>
      </c>
      <c r="AH58" s="467">
        <f t="shared" si="85"/>
        <v>0</v>
      </c>
      <c r="AI58" s="467">
        <f t="shared" si="85"/>
        <v>0</v>
      </c>
      <c r="AJ58" s="467">
        <f t="shared" si="85"/>
        <v>0</v>
      </c>
      <c r="AK58" s="467">
        <f t="shared" si="85"/>
        <v>0</v>
      </c>
      <c r="AL58" s="467">
        <f t="shared" si="85"/>
        <v>0</v>
      </c>
      <c r="AM58" s="467">
        <f t="shared" si="85"/>
        <v>0</v>
      </c>
      <c r="AN58" s="467">
        <f t="shared" si="85"/>
        <v>0</v>
      </c>
      <c r="AO58" s="467">
        <f t="shared" si="85"/>
        <v>0</v>
      </c>
      <c r="AP58" s="467">
        <f t="shared" si="85"/>
        <v>-35448</v>
      </c>
      <c r="AQ58" s="467">
        <f t="shared" si="85"/>
        <v>-35563</v>
      </c>
      <c r="AR58" s="467">
        <f t="shared" si="85"/>
        <v>-71011</v>
      </c>
      <c r="AS58" s="467">
        <f t="shared" si="85"/>
        <v>-24002</v>
      </c>
      <c r="AT58" s="467">
        <f t="shared" si="85"/>
        <v>-711</v>
      </c>
      <c r="AU58" s="467">
        <f t="shared" si="85"/>
        <v>0</v>
      </c>
      <c r="AV58" s="467">
        <f t="shared" si="85"/>
        <v>0</v>
      </c>
      <c r="AW58" s="467">
        <f t="shared" si="85"/>
        <v>0</v>
      </c>
      <c r="AX58" s="467">
        <f t="shared" si="85"/>
        <v>0</v>
      </c>
      <c r="AY58" s="467">
        <f t="shared" si="85"/>
        <v>-95724</v>
      </c>
      <c r="AZ58" s="468">
        <f t="shared" si="85"/>
        <v>0</v>
      </c>
      <c r="BA58" s="468">
        <f t="shared" si="85"/>
        <v>0</v>
      </c>
      <c r="BB58" s="468">
        <f t="shared" si="85"/>
        <v>0</v>
      </c>
      <c r="BC58" s="468">
        <f t="shared" si="85"/>
        <v>-0.12000000000000001</v>
      </c>
      <c r="BD58" s="468">
        <f t="shared" si="85"/>
        <v>-0.11</v>
      </c>
      <c r="BE58" s="468">
        <f t="shared" si="85"/>
        <v>0.01</v>
      </c>
      <c r="BF58" s="468">
        <f t="shared" si="85"/>
        <v>0</v>
      </c>
      <c r="BG58" s="468">
        <f t="shared" si="85"/>
        <v>0</v>
      </c>
      <c r="BH58" s="468">
        <f t="shared" si="85"/>
        <v>0</v>
      </c>
      <c r="BI58" s="468">
        <f t="shared" si="85"/>
        <v>-0.11000000000000001</v>
      </c>
      <c r="BJ58" s="468">
        <f t="shared" si="85"/>
        <v>-0.11</v>
      </c>
      <c r="BK58" s="328">
        <f t="shared" si="85"/>
        <v>-0.22000000000000003</v>
      </c>
      <c r="BL58" s="774">
        <f t="shared" ref="BL58:CG58" si="86">SUM(BL51:BL57)</f>
        <v>26939502</v>
      </c>
      <c r="BM58" s="774">
        <f t="shared" si="86"/>
        <v>19731105</v>
      </c>
      <c r="BN58" s="467">
        <f t="shared" si="86"/>
        <v>16721561</v>
      </c>
      <c r="BO58" s="467">
        <f t="shared" si="86"/>
        <v>3009544</v>
      </c>
      <c r="BP58" s="467">
        <f t="shared" si="86"/>
        <v>95000</v>
      </c>
      <c r="BQ58" s="467">
        <f t="shared" si="86"/>
        <v>55000</v>
      </c>
      <c r="BR58" s="467">
        <f t="shared" si="86"/>
        <v>40000</v>
      </c>
      <c r="BS58" s="467">
        <f t="shared" si="86"/>
        <v>6701223</v>
      </c>
      <c r="BT58" s="467">
        <f t="shared" si="86"/>
        <v>197310</v>
      </c>
      <c r="BU58" s="467">
        <f t="shared" si="86"/>
        <v>214864</v>
      </c>
      <c r="BV58" s="468">
        <f t="shared" si="86"/>
        <v>36.270499999999998</v>
      </c>
      <c r="BW58" s="468">
        <f t="shared" si="86"/>
        <v>27.3842</v>
      </c>
      <c r="BX58" s="328">
        <f t="shared" si="86"/>
        <v>8.8863000000000003</v>
      </c>
      <c r="BY58" s="979">
        <f t="shared" si="86"/>
        <v>304109</v>
      </c>
      <c r="BZ58" s="721">
        <f t="shared" si="86"/>
        <v>225600</v>
      </c>
      <c r="CA58" s="721">
        <f t="shared" si="86"/>
        <v>0</v>
      </c>
      <c r="CB58" s="721">
        <f t="shared" si="86"/>
        <v>76253</v>
      </c>
      <c r="CC58" s="721">
        <f t="shared" si="86"/>
        <v>2256</v>
      </c>
      <c r="CD58" s="826">
        <f t="shared" si="86"/>
        <v>0.4</v>
      </c>
      <c r="CE58" s="995">
        <f t="shared" si="86"/>
        <v>823643</v>
      </c>
      <c r="CF58" s="995">
        <f t="shared" si="86"/>
        <v>573283</v>
      </c>
      <c r="CG58" s="995">
        <f t="shared" si="86"/>
        <v>193770</v>
      </c>
      <c r="CH58" s="995">
        <f t="shared" ref="CH58:CJ58" si="87">SUM(CH51:CH57)</f>
        <v>5733</v>
      </c>
      <c r="CI58" s="995">
        <f t="shared" si="87"/>
        <v>50857</v>
      </c>
      <c r="CJ58" s="933">
        <f t="shared" si="87"/>
        <v>1.6699000000000002</v>
      </c>
      <c r="CK58" s="315"/>
    </row>
    <row r="59" spans="1:89" ht="12.95" customHeight="1">
      <c r="A59" s="280">
        <v>9</v>
      </c>
      <c r="B59" s="321">
        <v>5414</v>
      </c>
      <c r="C59" s="322">
        <v>600099008</v>
      </c>
      <c r="D59" s="281">
        <v>70695555</v>
      </c>
      <c r="E59" s="348" t="s">
        <v>424</v>
      </c>
      <c r="F59" s="321">
        <v>3111</v>
      </c>
      <c r="G59" s="345" t="s">
        <v>304</v>
      </c>
      <c r="H59" s="640" t="s">
        <v>271</v>
      </c>
      <c r="I59" s="419">
        <v>1868709</v>
      </c>
      <c r="J59" s="414">
        <v>1379755</v>
      </c>
      <c r="K59" s="414">
        <v>1206673</v>
      </c>
      <c r="L59" s="414">
        <v>173082</v>
      </c>
      <c r="M59" s="414">
        <v>0</v>
      </c>
      <c r="N59" s="414">
        <v>0</v>
      </c>
      <c r="O59" s="414">
        <v>0</v>
      </c>
      <c r="P59" s="68">
        <v>466357</v>
      </c>
      <c r="Q59" s="68">
        <v>13797</v>
      </c>
      <c r="R59" s="414">
        <v>8800</v>
      </c>
      <c r="S59" s="415">
        <v>2.589</v>
      </c>
      <c r="T59" s="416">
        <v>2</v>
      </c>
      <c r="U59" s="422">
        <v>0.58899999999999997</v>
      </c>
      <c r="V59" s="423">
        <f t="shared" si="4"/>
        <v>0</v>
      </c>
      <c r="W59" s="417">
        <f t="shared" si="4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5"/>
        <v>0</v>
      </c>
      <c r="AF59" s="417">
        <f t="shared" si="6"/>
        <v>0</v>
      </c>
      <c r="AG59" s="417">
        <f t="shared" si="7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8"/>
        <v>0</v>
      </c>
      <c r="AN59" s="417">
        <f t="shared" si="9"/>
        <v>0</v>
      </c>
      <c r="AO59" s="417">
        <f t="shared" si="10"/>
        <v>0</v>
      </c>
      <c r="AP59" s="417">
        <f t="shared" si="11"/>
        <v>0</v>
      </c>
      <c r="AQ59" s="417">
        <f t="shared" si="11"/>
        <v>0</v>
      </c>
      <c r="AR59" s="417">
        <f t="shared" si="12"/>
        <v>0</v>
      </c>
      <c r="AS59" s="68">
        <f t="shared" si="13"/>
        <v>0</v>
      </c>
      <c r="AT59" s="68">
        <f t="shared" si="14"/>
        <v>0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0</v>
      </c>
      <c r="BJ59" s="418">
        <f t="shared" si="18"/>
        <v>0</v>
      </c>
      <c r="BK59" s="420">
        <f t="shared" si="19"/>
        <v>0</v>
      </c>
      <c r="BL59" s="772">
        <f>I59+AY59</f>
        <v>1868709</v>
      </c>
      <c r="BM59" s="772">
        <f>J59+AG59</f>
        <v>1379755</v>
      </c>
      <c r="BN59" s="417">
        <f>K59+AE59</f>
        <v>1206673</v>
      </c>
      <c r="BO59" s="417">
        <f>L59+AF59</f>
        <v>173082</v>
      </c>
      <c r="BP59" s="417">
        <f>M59+AO59</f>
        <v>0</v>
      </c>
      <c r="BQ59" s="417">
        <f>N59+AM59</f>
        <v>0</v>
      </c>
      <c r="BR59" s="417">
        <f>O59+AN59</f>
        <v>0</v>
      </c>
      <c r="BS59" s="417">
        <f>P59+AS59</f>
        <v>466357</v>
      </c>
      <c r="BT59" s="417">
        <f>Q59+AT59</f>
        <v>13797</v>
      </c>
      <c r="BU59" s="417">
        <f>R59+AX59</f>
        <v>8800</v>
      </c>
      <c r="BV59" s="418">
        <f>S59+BK59</f>
        <v>2.589</v>
      </c>
      <c r="BW59" s="418">
        <f>T59+BI59</f>
        <v>2</v>
      </c>
      <c r="BX59" s="420">
        <f>U59+BJ59</f>
        <v>0.58899999999999997</v>
      </c>
      <c r="BY59" s="596"/>
      <c r="BZ59" s="595"/>
      <c r="CA59" s="595"/>
      <c r="CB59" s="595"/>
      <c r="CC59" s="595"/>
      <c r="CD59" s="981"/>
      <c r="CE59" s="596">
        <v>77795</v>
      </c>
      <c r="CF59" s="595">
        <v>55541</v>
      </c>
      <c r="CG59" s="595">
        <v>18773</v>
      </c>
      <c r="CH59" s="595">
        <v>555</v>
      </c>
      <c r="CI59" s="595">
        <v>2926</v>
      </c>
      <c r="CJ59" s="981">
        <v>0.189</v>
      </c>
      <c r="CK59" s="315"/>
    </row>
    <row r="60" spans="1:89" ht="12.95" customHeight="1">
      <c r="A60" s="280">
        <v>9</v>
      </c>
      <c r="B60" s="321">
        <v>5414</v>
      </c>
      <c r="C60" s="322">
        <v>600099008</v>
      </c>
      <c r="D60" s="281">
        <v>70695555</v>
      </c>
      <c r="E60" s="348" t="s">
        <v>424</v>
      </c>
      <c r="F60" s="321">
        <v>3141</v>
      </c>
      <c r="G60" s="345" t="s">
        <v>294</v>
      </c>
      <c r="H60" s="640" t="s">
        <v>272</v>
      </c>
      <c r="I60" s="419">
        <v>153420</v>
      </c>
      <c r="J60" s="414">
        <v>113258</v>
      </c>
      <c r="K60" s="414">
        <v>0</v>
      </c>
      <c r="L60" s="414">
        <v>113258</v>
      </c>
      <c r="M60" s="414">
        <v>0</v>
      </c>
      <c r="N60" s="414">
        <v>0</v>
      </c>
      <c r="O60" s="414">
        <v>0</v>
      </c>
      <c r="P60" s="68">
        <v>38281</v>
      </c>
      <c r="Q60" s="68">
        <v>1133</v>
      </c>
      <c r="R60" s="414">
        <v>748</v>
      </c>
      <c r="S60" s="415">
        <v>0.3367</v>
      </c>
      <c r="T60" s="416">
        <v>0</v>
      </c>
      <c r="U60" s="422">
        <v>0.3367</v>
      </c>
      <c r="V60" s="423">
        <f t="shared" si="4"/>
        <v>0</v>
      </c>
      <c r="W60" s="417">
        <f t="shared" si="4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5"/>
        <v>0</v>
      </c>
      <c r="AF60" s="417">
        <f t="shared" si="6"/>
        <v>0</v>
      </c>
      <c r="AG60" s="417">
        <f t="shared" si="7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8"/>
        <v>0</v>
      </c>
      <c r="AN60" s="417">
        <f t="shared" si="9"/>
        <v>0</v>
      </c>
      <c r="AO60" s="417">
        <f t="shared" si="10"/>
        <v>0</v>
      </c>
      <c r="AP60" s="417">
        <f t="shared" si="11"/>
        <v>0</v>
      </c>
      <c r="AQ60" s="417">
        <f t="shared" si="11"/>
        <v>0</v>
      </c>
      <c r="AR60" s="417">
        <f t="shared" si="12"/>
        <v>0</v>
      </c>
      <c r="AS60" s="68">
        <f t="shared" si="13"/>
        <v>0</v>
      </c>
      <c r="AT60" s="68">
        <f t="shared" si="14"/>
        <v>0</v>
      </c>
      <c r="AU60" s="417">
        <v>0</v>
      </c>
      <c r="AV60" s="417">
        <v>0</v>
      </c>
      <c r="AW60" s="417">
        <v>0</v>
      </c>
      <c r="AX60" s="417">
        <f t="shared" si="15"/>
        <v>0</v>
      </c>
      <c r="AY60" s="417">
        <f t="shared" si="16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7"/>
        <v>0</v>
      </c>
      <c r="BJ60" s="418">
        <f t="shared" si="18"/>
        <v>0</v>
      </c>
      <c r="BK60" s="420">
        <f t="shared" si="19"/>
        <v>0</v>
      </c>
      <c r="BL60" s="772">
        <f>I60+AY60</f>
        <v>153420</v>
      </c>
      <c r="BM60" s="772">
        <f>J60+AG60</f>
        <v>113258</v>
      </c>
      <c r="BN60" s="417">
        <f>K60+AE60</f>
        <v>0</v>
      </c>
      <c r="BO60" s="417">
        <f>L60+AF60</f>
        <v>113258</v>
      </c>
      <c r="BP60" s="417">
        <f>M60+AO60</f>
        <v>0</v>
      </c>
      <c r="BQ60" s="417">
        <f>N60+AM60</f>
        <v>0</v>
      </c>
      <c r="BR60" s="417">
        <f>O60+AN60</f>
        <v>0</v>
      </c>
      <c r="BS60" s="417">
        <f>P60+AS60</f>
        <v>38281</v>
      </c>
      <c r="BT60" s="417">
        <f>Q60+AT60</f>
        <v>1133</v>
      </c>
      <c r="BU60" s="417">
        <f>R60+AX60</f>
        <v>748</v>
      </c>
      <c r="BV60" s="418">
        <f>S60+BK60</f>
        <v>0.3367</v>
      </c>
      <c r="BW60" s="418">
        <f>T60+BI60</f>
        <v>0</v>
      </c>
      <c r="BX60" s="420">
        <f>U60+BJ60</f>
        <v>0.3367</v>
      </c>
      <c r="BY60" s="596"/>
      <c r="BZ60" s="595"/>
      <c r="CA60" s="595"/>
      <c r="CB60" s="595"/>
      <c r="CC60" s="595"/>
      <c r="CD60" s="981"/>
      <c r="CE60" s="596"/>
      <c r="CF60" s="595"/>
      <c r="CG60" s="595"/>
      <c r="CH60" s="595"/>
      <c r="CI60" s="595"/>
      <c r="CJ60" s="981"/>
      <c r="CK60" s="315"/>
    </row>
    <row r="61" spans="1:89" ht="12.95" customHeight="1">
      <c r="A61" s="645">
        <v>9</v>
      </c>
      <c r="B61" s="325">
        <v>5414</v>
      </c>
      <c r="C61" s="326">
        <v>600099008</v>
      </c>
      <c r="D61" s="325">
        <v>70695555</v>
      </c>
      <c r="E61" s="349" t="s">
        <v>425</v>
      </c>
      <c r="F61" s="325"/>
      <c r="G61" s="350"/>
      <c r="H61" s="643"/>
      <c r="I61" s="464">
        <v>2022129</v>
      </c>
      <c r="J61" s="460">
        <v>1493013</v>
      </c>
      <c r="K61" s="460">
        <v>1206673</v>
      </c>
      <c r="L61" s="460">
        <v>286340</v>
      </c>
      <c r="M61" s="460">
        <v>0</v>
      </c>
      <c r="N61" s="460">
        <v>0</v>
      </c>
      <c r="O61" s="460">
        <v>0</v>
      </c>
      <c r="P61" s="460">
        <v>504638</v>
      </c>
      <c r="Q61" s="460">
        <v>14930</v>
      </c>
      <c r="R61" s="460">
        <v>9548</v>
      </c>
      <c r="S61" s="461">
        <v>2.9257</v>
      </c>
      <c r="T61" s="461">
        <v>2</v>
      </c>
      <c r="U61" s="534">
        <v>0.92569999999999997</v>
      </c>
      <c r="V61" s="471">
        <f t="shared" ref="V61:BK61" si="88">SUM(V59:V60)</f>
        <v>0</v>
      </c>
      <c r="W61" s="467">
        <f t="shared" si="88"/>
        <v>0</v>
      </c>
      <c r="X61" s="467">
        <f t="shared" si="88"/>
        <v>0</v>
      </c>
      <c r="Y61" s="467">
        <f t="shared" si="88"/>
        <v>0</v>
      </c>
      <c r="Z61" s="467">
        <f t="shared" si="88"/>
        <v>0</v>
      </c>
      <c r="AA61" s="467">
        <f t="shared" si="88"/>
        <v>0</v>
      </c>
      <c r="AB61" s="467">
        <f t="shared" si="88"/>
        <v>0</v>
      </c>
      <c r="AC61" s="467">
        <f t="shared" si="88"/>
        <v>0</v>
      </c>
      <c r="AD61" s="467">
        <f t="shared" si="88"/>
        <v>0</v>
      </c>
      <c r="AE61" s="467">
        <f t="shared" si="88"/>
        <v>0</v>
      </c>
      <c r="AF61" s="467">
        <f t="shared" si="88"/>
        <v>0</v>
      </c>
      <c r="AG61" s="467">
        <f t="shared" si="88"/>
        <v>0</v>
      </c>
      <c r="AH61" s="467">
        <f t="shared" si="88"/>
        <v>0</v>
      </c>
      <c r="AI61" s="467">
        <f t="shared" si="88"/>
        <v>0</v>
      </c>
      <c r="AJ61" s="467">
        <f t="shared" si="88"/>
        <v>0</v>
      </c>
      <c r="AK61" s="467">
        <f t="shared" si="88"/>
        <v>0</v>
      </c>
      <c r="AL61" s="467">
        <f t="shared" si="88"/>
        <v>0</v>
      </c>
      <c r="AM61" s="467">
        <f t="shared" si="88"/>
        <v>0</v>
      </c>
      <c r="AN61" s="467">
        <f t="shared" si="88"/>
        <v>0</v>
      </c>
      <c r="AO61" s="467">
        <f t="shared" si="88"/>
        <v>0</v>
      </c>
      <c r="AP61" s="467">
        <f t="shared" si="88"/>
        <v>0</v>
      </c>
      <c r="AQ61" s="467">
        <f t="shared" si="88"/>
        <v>0</v>
      </c>
      <c r="AR61" s="467">
        <f t="shared" si="88"/>
        <v>0</v>
      </c>
      <c r="AS61" s="467">
        <f t="shared" si="88"/>
        <v>0</v>
      </c>
      <c r="AT61" s="467">
        <f t="shared" si="88"/>
        <v>0</v>
      </c>
      <c r="AU61" s="467">
        <f t="shared" si="88"/>
        <v>0</v>
      </c>
      <c r="AV61" s="467">
        <f t="shared" si="88"/>
        <v>0</v>
      </c>
      <c r="AW61" s="467">
        <f t="shared" si="88"/>
        <v>0</v>
      </c>
      <c r="AX61" s="467">
        <f t="shared" si="88"/>
        <v>0</v>
      </c>
      <c r="AY61" s="467">
        <f t="shared" si="88"/>
        <v>0</v>
      </c>
      <c r="AZ61" s="468">
        <f t="shared" si="88"/>
        <v>0</v>
      </c>
      <c r="BA61" s="468">
        <f t="shared" si="88"/>
        <v>0</v>
      </c>
      <c r="BB61" s="468">
        <f t="shared" si="88"/>
        <v>0</v>
      </c>
      <c r="BC61" s="468">
        <f t="shared" si="88"/>
        <v>0</v>
      </c>
      <c r="BD61" s="468">
        <f t="shared" si="88"/>
        <v>0</v>
      </c>
      <c r="BE61" s="468">
        <f t="shared" si="88"/>
        <v>0</v>
      </c>
      <c r="BF61" s="468">
        <f t="shared" si="88"/>
        <v>0</v>
      </c>
      <c r="BG61" s="468">
        <f t="shared" si="88"/>
        <v>0</v>
      </c>
      <c r="BH61" s="468">
        <f t="shared" si="88"/>
        <v>0</v>
      </c>
      <c r="BI61" s="468">
        <f t="shared" si="88"/>
        <v>0</v>
      </c>
      <c r="BJ61" s="468">
        <f t="shared" si="88"/>
        <v>0</v>
      </c>
      <c r="BK61" s="328">
        <f t="shared" si="88"/>
        <v>0</v>
      </c>
      <c r="BL61" s="774">
        <f t="shared" ref="BL61:CG61" si="89">SUM(BL59:BL60)</f>
        <v>2022129</v>
      </c>
      <c r="BM61" s="774">
        <f t="shared" si="89"/>
        <v>1493013</v>
      </c>
      <c r="BN61" s="467">
        <f t="shared" si="89"/>
        <v>1206673</v>
      </c>
      <c r="BO61" s="467">
        <f t="shared" si="89"/>
        <v>286340</v>
      </c>
      <c r="BP61" s="467">
        <f t="shared" si="89"/>
        <v>0</v>
      </c>
      <c r="BQ61" s="467">
        <f t="shared" si="89"/>
        <v>0</v>
      </c>
      <c r="BR61" s="467">
        <f t="shared" si="89"/>
        <v>0</v>
      </c>
      <c r="BS61" s="467">
        <f t="shared" si="89"/>
        <v>504638</v>
      </c>
      <c r="BT61" s="467">
        <f t="shared" si="89"/>
        <v>14930</v>
      </c>
      <c r="BU61" s="467">
        <f t="shared" si="89"/>
        <v>9548</v>
      </c>
      <c r="BV61" s="468">
        <f t="shared" si="89"/>
        <v>2.9257</v>
      </c>
      <c r="BW61" s="468">
        <f t="shared" si="89"/>
        <v>2</v>
      </c>
      <c r="BX61" s="328">
        <f t="shared" si="89"/>
        <v>0.92569999999999997</v>
      </c>
      <c r="BY61" s="979">
        <f t="shared" si="89"/>
        <v>0</v>
      </c>
      <c r="BZ61" s="721">
        <f t="shared" si="89"/>
        <v>0</v>
      </c>
      <c r="CA61" s="721">
        <f t="shared" si="89"/>
        <v>0</v>
      </c>
      <c r="CB61" s="721">
        <f t="shared" si="89"/>
        <v>0</v>
      </c>
      <c r="CC61" s="721">
        <f t="shared" si="89"/>
        <v>0</v>
      </c>
      <c r="CD61" s="826">
        <f t="shared" si="89"/>
        <v>0</v>
      </c>
      <c r="CE61" s="995">
        <f t="shared" si="89"/>
        <v>77795</v>
      </c>
      <c r="CF61" s="995">
        <f t="shared" si="89"/>
        <v>55541</v>
      </c>
      <c r="CG61" s="995">
        <f t="shared" si="89"/>
        <v>18773</v>
      </c>
      <c r="CH61" s="995">
        <f t="shared" ref="CH61:CJ61" si="90">SUM(CH59:CH60)</f>
        <v>555</v>
      </c>
      <c r="CI61" s="995">
        <f t="shared" si="90"/>
        <v>2926</v>
      </c>
      <c r="CJ61" s="933">
        <f t="shared" si="90"/>
        <v>0.189</v>
      </c>
      <c r="CK61" s="315"/>
    </row>
    <row r="62" spans="1:89" ht="12.95" customHeight="1">
      <c r="A62" s="280">
        <v>10</v>
      </c>
      <c r="B62" s="321">
        <v>5483</v>
      </c>
      <c r="C62" s="322">
        <v>600098460</v>
      </c>
      <c r="D62" s="281">
        <v>72745207</v>
      </c>
      <c r="E62" s="348" t="s">
        <v>426</v>
      </c>
      <c r="F62" s="321">
        <v>3111</v>
      </c>
      <c r="G62" s="345" t="s">
        <v>304</v>
      </c>
      <c r="H62" s="640" t="s">
        <v>271</v>
      </c>
      <c r="I62" s="419">
        <v>1883282</v>
      </c>
      <c r="J62" s="414">
        <v>1328428</v>
      </c>
      <c r="K62" s="414">
        <v>1172355</v>
      </c>
      <c r="L62" s="414">
        <v>156073</v>
      </c>
      <c r="M62" s="414">
        <v>63200</v>
      </c>
      <c r="N62" s="414">
        <v>56000</v>
      </c>
      <c r="O62" s="414">
        <v>7200</v>
      </c>
      <c r="P62" s="68">
        <v>470370</v>
      </c>
      <c r="Q62" s="68">
        <v>13284</v>
      </c>
      <c r="R62" s="414">
        <v>8000</v>
      </c>
      <c r="S62" s="415">
        <v>2.5915000000000004</v>
      </c>
      <c r="T62" s="416">
        <v>2.0718000000000001</v>
      </c>
      <c r="U62" s="422">
        <v>0.51969999999999994</v>
      </c>
      <c r="V62" s="423">
        <f t="shared" si="4"/>
        <v>0</v>
      </c>
      <c r="W62" s="417">
        <f t="shared" si="4"/>
        <v>-1440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5"/>
        <v>0</v>
      </c>
      <c r="AF62" s="417">
        <f t="shared" si="6"/>
        <v>-1440</v>
      </c>
      <c r="AG62" s="417">
        <f t="shared" si="7"/>
        <v>-1440</v>
      </c>
      <c r="AH62" s="417">
        <v>0</v>
      </c>
      <c r="AI62" s="417">
        <v>1440</v>
      </c>
      <c r="AJ62" s="417">
        <v>0</v>
      </c>
      <c r="AK62" s="417">
        <v>0</v>
      </c>
      <c r="AL62" s="417">
        <v>0</v>
      </c>
      <c r="AM62" s="417">
        <f t="shared" si="8"/>
        <v>0</v>
      </c>
      <c r="AN62" s="417">
        <f t="shared" si="9"/>
        <v>1440</v>
      </c>
      <c r="AO62" s="417">
        <f t="shared" si="10"/>
        <v>1440</v>
      </c>
      <c r="AP62" s="417">
        <f t="shared" si="11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-14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-14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>I62+AY62</f>
        <v>1883268</v>
      </c>
      <c r="BM62" s="772">
        <f>J62+AG62</f>
        <v>1326988</v>
      </c>
      <c r="BN62" s="417">
        <f t="shared" ref="BN62:BO64" si="91">K62+AE62</f>
        <v>1172355</v>
      </c>
      <c r="BO62" s="417">
        <f t="shared" si="91"/>
        <v>154633</v>
      </c>
      <c r="BP62" s="417">
        <f>M62+AO62</f>
        <v>64640</v>
      </c>
      <c r="BQ62" s="417">
        <f t="shared" ref="BQ62:BR64" si="92">N62+AM62</f>
        <v>56000</v>
      </c>
      <c r="BR62" s="417">
        <f t="shared" si="92"/>
        <v>8640</v>
      </c>
      <c r="BS62" s="417">
        <f t="shared" ref="BS62:BT64" si="93">P62+AS62</f>
        <v>470370</v>
      </c>
      <c r="BT62" s="417">
        <f t="shared" si="93"/>
        <v>13270</v>
      </c>
      <c r="BU62" s="417">
        <f>R62+AX62</f>
        <v>8000</v>
      </c>
      <c r="BV62" s="418">
        <f>S62+BK62</f>
        <v>2.5915000000000004</v>
      </c>
      <c r="BW62" s="418">
        <f t="shared" ref="BW62:BX64" si="94">T62+BI62</f>
        <v>2.0718000000000001</v>
      </c>
      <c r="BX62" s="420">
        <f t="shared" si="94"/>
        <v>0.51969999999999994</v>
      </c>
      <c r="BY62" s="596"/>
      <c r="BZ62" s="595"/>
      <c r="CA62" s="595"/>
      <c r="CB62" s="595"/>
      <c r="CC62" s="595"/>
      <c r="CD62" s="981"/>
      <c r="CE62" s="596">
        <v>73290</v>
      </c>
      <c r="CF62" s="595">
        <v>52396</v>
      </c>
      <c r="CG62" s="595">
        <v>17710</v>
      </c>
      <c r="CH62" s="595">
        <v>524</v>
      </c>
      <c r="CI62" s="595">
        <v>2660</v>
      </c>
      <c r="CJ62" s="981">
        <v>0.1764</v>
      </c>
      <c r="CK62" s="315"/>
    </row>
    <row r="63" spans="1:89" ht="12.95" customHeight="1">
      <c r="A63" s="280">
        <v>10</v>
      </c>
      <c r="B63" s="321">
        <v>5483</v>
      </c>
      <c r="C63" s="322">
        <v>600098460</v>
      </c>
      <c r="D63" s="281">
        <v>72745207</v>
      </c>
      <c r="E63" s="348" t="s">
        <v>426</v>
      </c>
      <c r="F63" s="321">
        <v>3111</v>
      </c>
      <c r="G63" s="284" t="s">
        <v>291</v>
      </c>
      <c r="H63" s="640" t="s">
        <v>272</v>
      </c>
      <c r="I63" s="419">
        <v>0</v>
      </c>
      <c r="J63" s="414">
        <v>0</v>
      </c>
      <c r="K63" s="414">
        <v>0</v>
      </c>
      <c r="L63" s="414">
        <v>0</v>
      </c>
      <c r="M63" s="414">
        <v>0</v>
      </c>
      <c r="N63" s="414">
        <v>0</v>
      </c>
      <c r="O63" s="414">
        <v>0</v>
      </c>
      <c r="P63" s="68">
        <v>0</v>
      </c>
      <c r="Q63" s="68">
        <v>0</v>
      </c>
      <c r="R63" s="414">
        <v>0</v>
      </c>
      <c r="S63" s="415">
        <v>0</v>
      </c>
      <c r="T63" s="416">
        <v>0</v>
      </c>
      <c r="U63" s="422">
        <v>0</v>
      </c>
      <c r="V63" s="423">
        <f t="shared" si="4"/>
        <v>0</v>
      </c>
      <c r="W63" s="417">
        <f t="shared" si="4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5"/>
        <v>0</v>
      </c>
      <c r="AF63" s="417">
        <f t="shared" si="6"/>
        <v>0</v>
      </c>
      <c r="AG63" s="417">
        <f t="shared" si="7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8"/>
        <v>0</v>
      </c>
      <c r="AN63" s="417">
        <f t="shared" si="9"/>
        <v>0</v>
      </c>
      <c r="AO63" s="417">
        <f t="shared" si="10"/>
        <v>0</v>
      </c>
      <c r="AP63" s="417">
        <f t="shared" si="11"/>
        <v>0</v>
      </c>
      <c r="AQ63" s="417">
        <f t="shared" si="11"/>
        <v>0</v>
      </c>
      <c r="AR63" s="417">
        <f t="shared" si="12"/>
        <v>0</v>
      </c>
      <c r="AS63" s="68">
        <f t="shared" si="13"/>
        <v>0</v>
      </c>
      <c r="AT63" s="68">
        <f t="shared" si="14"/>
        <v>0</v>
      </c>
      <c r="AU63" s="417">
        <v>0</v>
      </c>
      <c r="AV63" s="417">
        <v>0</v>
      </c>
      <c r="AW63" s="417">
        <v>0</v>
      </c>
      <c r="AX63" s="417">
        <f t="shared" si="15"/>
        <v>0</v>
      </c>
      <c r="AY63" s="417">
        <f t="shared" si="16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7"/>
        <v>0</v>
      </c>
      <c r="BJ63" s="418">
        <f t="shared" si="18"/>
        <v>0</v>
      </c>
      <c r="BK63" s="420">
        <f t="shared" si="19"/>
        <v>0</v>
      </c>
      <c r="BL63" s="772">
        <f>I63+AY63</f>
        <v>0</v>
      </c>
      <c r="BM63" s="772">
        <f>J63+AG63</f>
        <v>0</v>
      </c>
      <c r="BN63" s="417">
        <f t="shared" si="91"/>
        <v>0</v>
      </c>
      <c r="BO63" s="417">
        <f t="shared" si="91"/>
        <v>0</v>
      </c>
      <c r="BP63" s="417">
        <f>M63+AO63</f>
        <v>0</v>
      </c>
      <c r="BQ63" s="417">
        <f t="shared" si="92"/>
        <v>0</v>
      </c>
      <c r="BR63" s="417">
        <f t="shared" si="92"/>
        <v>0</v>
      </c>
      <c r="BS63" s="417">
        <f t="shared" si="93"/>
        <v>0</v>
      </c>
      <c r="BT63" s="417">
        <f t="shared" si="93"/>
        <v>0</v>
      </c>
      <c r="BU63" s="417">
        <f>R63+AX63</f>
        <v>0</v>
      </c>
      <c r="BV63" s="418">
        <f>S63+BK63</f>
        <v>0</v>
      </c>
      <c r="BW63" s="418">
        <f t="shared" si="94"/>
        <v>0</v>
      </c>
      <c r="BX63" s="420">
        <f t="shared" si="94"/>
        <v>0</v>
      </c>
      <c r="BY63" s="596"/>
      <c r="BZ63" s="595"/>
      <c r="CA63" s="595"/>
      <c r="CB63" s="595"/>
      <c r="CC63" s="595"/>
      <c r="CD63" s="981"/>
      <c r="CE63" s="596"/>
      <c r="CF63" s="595"/>
      <c r="CG63" s="595"/>
      <c r="CH63" s="595"/>
      <c r="CI63" s="595"/>
      <c r="CJ63" s="981"/>
      <c r="CK63" s="315"/>
    </row>
    <row r="64" spans="1:89" ht="12.95" customHeight="1">
      <c r="A64" s="280">
        <v>10</v>
      </c>
      <c r="B64" s="321">
        <v>5483</v>
      </c>
      <c r="C64" s="322">
        <v>600098460</v>
      </c>
      <c r="D64" s="281">
        <v>72745207</v>
      </c>
      <c r="E64" s="348" t="s">
        <v>426</v>
      </c>
      <c r="F64" s="321">
        <v>3141</v>
      </c>
      <c r="G64" s="345" t="s">
        <v>294</v>
      </c>
      <c r="H64" s="640" t="s">
        <v>272</v>
      </c>
      <c r="I64" s="419">
        <v>355159</v>
      </c>
      <c r="J64" s="414">
        <v>262699</v>
      </c>
      <c r="K64" s="414">
        <v>0</v>
      </c>
      <c r="L64" s="414">
        <v>262699</v>
      </c>
      <c r="M64" s="414">
        <v>0</v>
      </c>
      <c r="N64" s="414">
        <v>0</v>
      </c>
      <c r="O64" s="414">
        <v>0</v>
      </c>
      <c r="P64" s="68">
        <v>88793</v>
      </c>
      <c r="Q64" s="68">
        <v>2627</v>
      </c>
      <c r="R64" s="414">
        <v>1040</v>
      </c>
      <c r="S64" s="415">
        <v>0.78669999999999995</v>
      </c>
      <c r="T64" s="416">
        <v>0</v>
      </c>
      <c r="U64" s="422">
        <v>0.78669999999999995</v>
      </c>
      <c r="V64" s="423">
        <f t="shared" si="4"/>
        <v>0</v>
      </c>
      <c r="W64" s="417">
        <f t="shared" si="4"/>
        <v>0</v>
      </c>
      <c r="X64" s="417">
        <v>0</v>
      </c>
      <c r="Y64" s="417">
        <v>0</v>
      </c>
      <c r="Z64" s="417">
        <v>0</v>
      </c>
      <c r="AA64" s="417">
        <v>-10721</v>
      </c>
      <c r="AB64" s="417">
        <v>0</v>
      </c>
      <c r="AC64" s="417">
        <v>0</v>
      </c>
      <c r="AD64" s="417">
        <v>0</v>
      </c>
      <c r="AE64" s="417">
        <f t="shared" si="5"/>
        <v>0</v>
      </c>
      <c r="AF64" s="417">
        <f t="shared" si="6"/>
        <v>-10721</v>
      </c>
      <c r="AG64" s="417">
        <f t="shared" si="7"/>
        <v>-10721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8"/>
        <v>0</v>
      </c>
      <c r="AN64" s="417">
        <f t="shared" si="9"/>
        <v>0</v>
      </c>
      <c r="AO64" s="417">
        <f t="shared" si="10"/>
        <v>0</v>
      </c>
      <c r="AP64" s="417">
        <f t="shared" si="11"/>
        <v>0</v>
      </c>
      <c r="AQ64" s="417">
        <f t="shared" si="11"/>
        <v>-10721</v>
      </c>
      <c r="AR64" s="417">
        <f t="shared" si="12"/>
        <v>-10721</v>
      </c>
      <c r="AS64" s="68">
        <f t="shared" si="13"/>
        <v>-3624</v>
      </c>
      <c r="AT64" s="68">
        <f t="shared" si="14"/>
        <v>-107</v>
      </c>
      <c r="AU64" s="417">
        <v>0</v>
      </c>
      <c r="AV64" s="417">
        <v>0</v>
      </c>
      <c r="AW64" s="417">
        <v>0</v>
      </c>
      <c r="AX64" s="417">
        <f t="shared" si="15"/>
        <v>0</v>
      </c>
      <c r="AY64" s="417">
        <f t="shared" si="16"/>
        <v>-14452</v>
      </c>
      <c r="AZ64" s="418">
        <v>0</v>
      </c>
      <c r="BA64" s="418">
        <v>0</v>
      </c>
      <c r="BB64" s="418">
        <v>0</v>
      </c>
      <c r="BC64" s="418">
        <v>0</v>
      </c>
      <c r="BD64" s="418">
        <v>-0.03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-0.03</v>
      </c>
      <c r="BK64" s="420">
        <f t="shared" si="19"/>
        <v>-0.03</v>
      </c>
      <c r="BL64" s="772">
        <f>I64+AY64</f>
        <v>340707</v>
      </c>
      <c r="BM64" s="772">
        <f>J64+AG64</f>
        <v>251978</v>
      </c>
      <c r="BN64" s="417">
        <f t="shared" si="91"/>
        <v>0</v>
      </c>
      <c r="BO64" s="417">
        <f t="shared" si="91"/>
        <v>251978</v>
      </c>
      <c r="BP64" s="417">
        <f>M64+AO64</f>
        <v>0</v>
      </c>
      <c r="BQ64" s="417">
        <f t="shared" si="92"/>
        <v>0</v>
      </c>
      <c r="BR64" s="417">
        <f t="shared" si="92"/>
        <v>0</v>
      </c>
      <c r="BS64" s="417">
        <f t="shared" si="93"/>
        <v>85169</v>
      </c>
      <c r="BT64" s="417">
        <f t="shared" si="93"/>
        <v>2520</v>
      </c>
      <c r="BU64" s="417">
        <f>R64+AX64</f>
        <v>1040</v>
      </c>
      <c r="BV64" s="418">
        <f>S64+BK64</f>
        <v>0.75669999999999993</v>
      </c>
      <c r="BW64" s="418">
        <f t="shared" si="94"/>
        <v>0</v>
      </c>
      <c r="BX64" s="420">
        <f t="shared" si="94"/>
        <v>0.75669999999999993</v>
      </c>
      <c r="BY64" s="596"/>
      <c r="BZ64" s="595"/>
      <c r="CA64" s="595"/>
      <c r="CB64" s="595"/>
      <c r="CC64" s="595"/>
      <c r="CD64" s="981"/>
      <c r="CE64" s="596"/>
      <c r="CF64" s="595"/>
      <c r="CG64" s="595"/>
      <c r="CH64" s="595"/>
      <c r="CI64" s="595"/>
      <c r="CJ64" s="981"/>
      <c r="CK64" s="315"/>
    </row>
    <row r="65" spans="1:89" ht="12.95" customHeight="1">
      <c r="A65" s="641">
        <v>10</v>
      </c>
      <c r="B65" s="325">
        <v>5483</v>
      </c>
      <c r="C65" s="326">
        <v>600098460</v>
      </c>
      <c r="D65" s="325">
        <v>72745207</v>
      </c>
      <c r="E65" s="349" t="s">
        <v>427</v>
      </c>
      <c r="F65" s="325"/>
      <c r="G65" s="350"/>
      <c r="H65" s="643"/>
      <c r="I65" s="464">
        <v>2238441</v>
      </c>
      <c r="J65" s="460">
        <v>1591127</v>
      </c>
      <c r="K65" s="460">
        <v>1172355</v>
      </c>
      <c r="L65" s="460">
        <v>418772</v>
      </c>
      <c r="M65" s="460">
        <v>63200</v>
      </c>
      <c r="N65" s="460">
        <v>56000</v>
      </c>
      <c r="O65" s="460">
        <v>7200</v>
      </c>
      <c r="P65" s="460">
        <v>559163</v>
      </c>
      <c r="Q65" s="460">
        <v>15911</v>
      </c>
      <c r="R65" s="460">
        <v>9040</v>
      </c>
      <c r="S65" s="461">
        <v>3.3782000000000005</v>
      </c>
      <c r="T65" s="461">
        <v>2.0718000000000001</v>
      </c>
      <c r="U65" s="534">
        <v>1.3064</v>
      </c>
      <c r="V65" s="471">
        <f t="shared" ref="V65:BK65" si="95">SUM(V62:V64)</f>
        <v>0</v>
      </c>
      <c r="W65" s="467">
        <f t="shared" si="95"/>
        <v>-1440</v>
      </c>
      <c r="X65" s="467">
        <f t="shared" si="95"/>
        <v>0</v>
      </c>
      <c r="Y65" s="467">
        <f t="shared" si="95"/>
        <v>0</v>
      </c>
      <c r="Z65" s="467">
        <f t="shared" si="95"/>
        <v>0</v>
      </c>
      <c r="AA65" s="467">
        <f t="shared" si="95"/>
        <v>-10721</v>
      </c>
      <c r="AB65" s="467">
        <f t="shared" si="95"/>
        <v>0</v>
      </c>
      <c r="AC65" s="467">
        <f t="shared" si="95"/>
        <v>0</v>
      </c>
      <c r="AD65" s="467">
        <f t="shared" si="95"/>
        <v>0</v>
      </c>
      <c r="AE65" s="467">
        <f t="shared" si="95"/>
        <v>0</v>
      </c>
      <c r="AF65" s="467">
        <f t="shared" si="95"/>
        <v>-12161</v>
      </c>
      <c r="AG65" s="467">
        <f t="shared" si="95"/>
        <v>-12161</v>
      </c>
      <c r="AH65" s="467">
        <f t="shared" si="95"/>
        <v>0</v>
      </c>
      <c r="AI65" s="467">
        <f t="shared" si="95"/>
        <v>1440</v>
      </c>
      <c r="AJ65" s="467">
        <f t="shared" si="95"/>
        <v>0</v>
      </c>
      <c r="AK65" s="467">
        <f t="shared" si="95"/>
        <v>0</v>
      </c>
      <c r="AL65" s="467">
        <f t="shared" si="95"/>
        <v>0</v>
      </c>
      <c r="AM65" s="467">
        <f t="shared" si="95"/>
        <v>0</v>
      </c>
      <c r="AN65" s="467">
        <f t="shared" si="95"/>
        <v>1440</v>
      </c>
      <c r="AO65" s="467">
        <f t="shared" si="95"/>
        <v>1440</v>
      </c>
      <c r="AP65" s="467">
        <f t="shared" si="95"/>
        <v>0</v>
      </c>
      <c r="AQ65" s="467">
        <f t="shared" si="95"/>
        <v>-10721</v>
      </c>
      <c r="AR65" s="467">
        <f t="shared" si="95"/>
        <v>-10721</v>
      </c>
      <c r="AS65" s="467">
        <f t="shared" si="95"/>
        <v>-3624</v>
      </c>
      <c r="AT65" s="467">
        <f t="shared" si="95"/>
        <v>-121</v>
      </c>
      <c r="AU65" s="467">
        <f t="shared" si="95"/>
        <v>0</v>
      </c>
      <c r="AV65" s="467">
        <f t="shared" si="95"/>
        <v>0</v>
      </c>
      <c r="AW65" s="467">
        <f t="shared" si="95"/>
        <v>0</v>
      </c>
      <c r="AX65" s="467">
        <f t="shared" si="95"/>
        <v>0</v>
      </c>
      <c r="AY65" s="467">
        <f t="shared" si="95"/>
        <v>-14466</v>
      </c>
      <c r="AZ65" s="468">
        <f t="shared" si="95"/>
        <v>0</v>
      </c>
      <c r="BA65" s="468">
        <f t="shared" si="95"/>
        <v>0</v>
      </c>
      <c r="BB65" s="468">
        <f t="shared" si="95"/>
        <v>0</v>
      </c>
      <c r="BC65" s="468">
        <f t="shared" si="95"/>
        <v>0</v>
      </c>
      <c r="BD65" s="468">
        <f t="shared" si="95"/>
        <v>-0.03</v>
      </c>
      <c r="BE65" s="468">
        <f t="shared" si="95"/>
        <v>0</v>
      </c>
      <c r="BF65" s="468">
        <f t="shared" si="95"/>
        <v>0</v>
      </c>
      <c r="BG65" s="468">
        <f t="shared" si="95"/>
        <v>0</v>
      </c>
      <c r="BH65" s="468">
        <f t="shared" si="95"/>
        <v>0</v>
      </c>
      <c r="BI65" s="468">
        <f t="shared" si="95"/>
        <v>0</v>
      </c>
      <c r="BJ65" s="468">
        <f t="shared" si="95"/>
        <v>-0.03</v>
      </c>
      <c r="BK65" s="328">
        <f t="shared" si="95"/>
        <v>-0.03</v>
      </c>
      <c r="BL65" s="774">
        <f t="shared" ref="BL65:CG65" si="96">SUM(BL62:BL64)</f>
        <v>2223975</v>
      </c>
      <c r="BM65" s="774">
        <f t="shared" si="96"/>
        <v>1578966</v>
      </c>
      <c r="BN65" s="467">
        <f t="shared" si="96"/>
        <v>1172355</v>
      </c>
      <c r="BO65" s="467">
        <f t="shared" si="96"/>
        <v>406611</v>
      </c>
      <c r="BP65" s="467">
        <f t="shared" si="96"/>
        <v>64640</v>
      </c>
      <c r="BQ65" s="467">
        <f t="shared" si="96"/>
        <v>56000</v>
      </c>
      <c r="BR65" s="467">
        <f t="shared" si="96"/>
        <v>8640</v>
      </c>
      <c r="BS65" s="467">
        <f t="shared" si="96"/>
        <v>555539</v>
      </c>
      <c r="BT65" s="467">
        <f t="shared" si="96"/>
        <v>15790</v>
      </c>
      <c r="BU65" s="467">
        <f t="shared" si="96"/>
        <v>9040</v>
      </c>
      <c r="BV65" s="468">
        <f t="shared" si="96"/>
        <v>3.3482000000000003</v>
      </c>
      <c r="BW65" s="468">
        <f t="shared" si="96"/>
        <v>2.0718000000000001</v>
      </c>
      <c r="BX65" s="328">
        <f t="shared" si="96"/>
        <v>1.2763999999999998</v>
      </c>
      <c r="BY65" s="979">
        <f t="shared" si="96"/>
        <v>0</v>
      </c>
      <c r="BZ65" s="721">
        <f t="shared" si="96"/>
        <v>0</v>
      </c>
      <c r="CA65" s="721">
        <f t="shared" si="96"/>
        <v>0</v>
      </c>
      <c r="CB65" s="721">
        <f t="shared" si="96"/>
        <v>0</v>
      </c>
      <c r="CC65" s="721">
        <f t="shared" si="96"/>
        <v>0</v>
      </c>
      <c r="CD65" s="826">
        <f t="shared" si="96"/>
        <v>0</v>
      </c>
      <c r="CE65" s="995">
        <f t="shared" si="96"/>
        <v>73290</v>
      </c>
      <c r="CF65" s="995">
        <f t="shared" si="96"/>
        <v>52396</v>
      </c>
      <c r="CG65" s="995">
        <f t="shared" si="96"/>
        <v>17710</v>
      </c>
      <c r="CH65" s="995">
        <f t="shared" ref="CH65:CJ65" si="97">SUM(CH62:CH64)</f>
        <v>524</v>
      </c>
      <c r="CI65" s="995">
        <f t="shared" si="97"/>
        <v>2660</v>
      </c>
      <c r="CJ65" s="933">
        <f t="shared" si="97"/>
        <v>0.1764</v>
      </c>
      <c r="CK65" s="315"/>
    </row>
    <row r="66" spans="1:89" ht="12.95" customHeight="1">
      <c r="A66" s="280">
        <v>11</v>
      </c>
      <c r="B66" s="321">
        <v>5430</v>
      </c>
      <c r="C66" s="322">
        <v>650026144</v>
      </c>
      <c r="D66" s="281">
        <v>70695148</v>
      </c>
      <c r="E66" s="348" t="s">
        <v>428</v>
      </c>
      <c r="F66" s="321">
        <v>3111</v>
      </c>
      <c r="G66" s="345" t="s">
        <v>304</v>
      </c>
      <c r="H66" s="640" t="s">
        <v>271</v>
      </c>
      <c r="I66" s="419">
        <v>2412920</v>
      </c>
      <c r="J66" s="414">
        <v>1760950</v>
      </c>
      <c r="K66" s="414">
        <v>1584532</v>
      </c>
      <c r="L66" s="414">
        <v>176418</v>
      </c>
      <c r="M66" s="414">
        <v>20000</v>
      </c>
      <c r="N66" s="414">
        <v>20000</v>
      </c>
      <c r="O66" s="414">
        <v>0</v>
      </c>
      <c r="P66" s="68">
        <v>601961</v>
      </c>
      <c r="Q66" s="68">
        <v>17609</v>
      </c>
      <c r="R66" s="414">
        <v>12400</v>
      </c>
      <c r="S66" s="415">
        <v>3.6768000000000001</v>
      </c>
      <c r="T66" s="416">
        <v>2.97</v>
      </c>
      <c r="U66" s="422">
        <v>0.70679999999999998</v>
      </c>
      <c r="V66" s="423">
        <f t="shared" si="4"/>
        <v>20000</v>
      </c>
      <c r="W66" s="417">
        <f t="shared" si="4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5"/>
        <v>20000</v>
      </c>
      <c r="AF66" s="417">
        <f t="shared" si="6"/>
        <v>0</v>
      </c>
      <c r="AG66" s="417">
        <f t="shared" si="7"/>
        <v>20000</v>
      </c>
      <c r="AH66" s="417">
        <v>-20000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8"/>
        <v>-20000</v>
      </c>
      <c r="AN66" s="417">
        <f t="shared" si="9"/>
        <v>0</v>
      </c>
      <c r="AO66" s="417">
        <f t="shared" si="10"/>
        <v>-20000</v>
      </c>
      <c r="AP66" s="417">
        <f t="shared" si="11"/>
        <v>0</v>
      </c>
      <c r="AQ66" s="417">
        <f t="shared" si="11"/>
        <v>0</v>
      </c>
      <c r="AR66" s="417">
        <f t="shared" si="12"/>
        <v>0</v>
      </c>
      <c r="AS66" s="68">
        <f t="shared" si="13"/>
        <v>0</v>
      </c>
      <c r="AT66" s="68">
        <f t="shared" si="14"/>
        <v>200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200</v>
      </c>
      <c r="AZ66" s="418">
        <v>0.03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0.03</v>
      </c>
      <c r="BJ66" s="418">
        <f t="shared" si="18"/>
        <v>0</v>
      </c>
      <c r="BK66" s="420">
        <f t="shared" si="19"/>
        <v>0.03</v>
      </c>
      <c r="BL66" s="772">
        <f t="shared" ref="BL66:BL71" si="98">I66+AY66</f>
        <v>2413120</v>
      </c>
      <c r="BM66" s="772">
        <f t="shared" ref="BM66:BM71" si="99">J66+AG66</f>
        <v>1780950</v>
      </c>
      <c r="BN66" s="417">
        <f t="shared" ref="BN66:BO71" si="100">K66+AE66</f>
        <v>1604532</v>
      </c>
      <c r="BO66" s="417">
        <f t="shared" si="100"/>
        <v>176418</v>
      </c>
      <c r="BP66" s="417">
        <f t="shared" ref="BP66:BP71" si="101">M66+AO66</f>
        <v>0</v>
      </c>
      <c r="BQ66" s="417">
        <f t="shared" ref="BQ66:BR71" si="102">N66+AM66</f>
        <v>0</v>
      </c>
      <c r="BR66" s="417">
        <f t="shared" si="102"/>
        <v>0</v>
      </c>
      <c r="BS66" s="417">
        <f t="shared" ref="BS66:BT71" si="103">P66+AS66</f>
        <v>601961</v>
      </c>
      <c r="BT66" s="417">
        <f t="shared" si="103"/>
        <v>17809</v>
      </c>
      <c r="BU66" s="417">
        <f t="shared" ref="BU66:BU71" si="104">R66+AX66</f>
        <v>12400</v>
      </c>
      <c r="BV66" s="418">
        <f t="shared" ref="BV66:BV71" si="105">S66+BK66</f>
        <v>3.7067999999999999</v>
      </c>
      <c r="BW66" s="418">
        <f t="shared" ref="BW66:BX71" si="106">T66+BI66</f>
        <v>3</v>
      </c>
      <c r="BX66" s="420">
        <f t="shared" si="106"/>
        <v>0.70679999999999998</v>
      </c>
      <c r="BY66" s="596"/>
      <c r="BZ66" s="595"/>
      <c r="CA66" s="595"/>
      <c r="CB66" s="595"/>
      <c r="CC66" s="595"/>
      <c r="CD66" s="981"/>
      <c r="CE66" s="596">
        <v>80433</v>
      </c>
      <c r="CF66" s="595">
        <v>56610</v>
      </c>
      <c r="CG66" s="595">
        <v>19134</v>
      </c>
      <c r="CH66" s="595">
        <v>566</v>
      </c>
      <c r="CI66" s="595">
        <v>4123</v>
      </c>
      <c r="CJ66" s="981">
        <v>0.2268</v>
      </c>
      <c r="CK66" s="315"/>
    </row>
    <row r="67" spans="1:89" ht="12.95" customHeight="1">
      <c r="A67" s="280">
        <v>11</v>
      </c>
      <c r="B67" s="321">
        <v>5430</v>
      </c>
      <c r="C67" s="322">
        <v>650026144</v>
      </c>
      <c r="D67" s="281">
        <v>70695148</v>
      </c>
      <c r="E67" s="348" t="s">
        <v>428</v>
      </c>
      <c r="F67" s="321">
        <v>3117</v>
      </c>
      <c r="G67" s="345" t="s">
        <v>308</v>
      </c>
      <c r="H67" s="640" t="s">
        <v>271</v>
      </c>
      <c r="I67" s="419">
        <v>3758615</v>
      </c>
      <c r="J67" s="414">
        <v>2748123</v>
      </c>
      <c r="K67" s="414">
        <v>2174139</v>
      </c>
      <c r="L67" s="414">
        <v>573984</v>
      </c>
      <c r="M67" s="414">
        <v>9600</v>
      </c>
      <c r="N67" s="414">
        <v>0</v>
      </c>
      <c r="O67" s="414">
        <v>9600</v>
      </c>
      <c r="P67" s="68">
        <v>932111</v>
      </c>
      <c r="Q67" s="68">
        <v>27481</v>
      </c>
      <c r="R67" s="414">
        <v>41300</v>
      </c>
      <c r="S67" s="415">
        <v>4.9437000000000006</v>
      </c>
      <c r="T67" s="416">
        <v>3.3635999999999999</v>
      </c>
      <c r="U67" s="422">
        <v>1.5800999999999998</v>
      </c>
      <c r="V67" s="423">
        <f t="shared" si="4"/>
        <v>0</v>
      </c>
      <c r="W67" s="417">
        <f t="shared" si="4"/>
        <v>-4800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5"/>
        <v>0</v>
      </c>
      <c r="AF67" s="417">
        <f t="shared" si="6"/>
        <v>-4800</v>
      </c>
      <c r="AG67" s="417">
        <f t="shared" si="7"/>
        <v>-4800</v>
      </c>
      <c r="AH67" s="417">
        <v>0</v>
      </c>
      <c r="AI67" s="417">
        <v>4800</v>
      </c>
      <c r="AJ67" s="417">
        <v>0</v>
      </c>
      <c r="AK67" s="417">
        <v>0</v>
      </c>
      <c r="AL67" s="417">
        <v>0</v>
      </c>
      <c r="AM67" s="417">
        <f t="shared" si="8"/>
        <v>0</v>
      </c>
      <c r="AN67" s="417">
        <f t="shared" si="9"/>
        <v>4800</v>
      </c>
      <c r="AO67" s="417">
        <f t="shared" si="10"/>
        <v>4800</v>
      </c>
      <c r="AP67" s="417">
        <f t="shared" si="11"/>
        <v>0</v>
      </c>
      <c r="AQ67" s="417">
        <f t="shared" si="11"/>
        <v>0</v>
      </c>
      <c r="AR67" s="417">
        <f t="shared" si="12"/>
        <v>0</v>
      </c>
      <c r="AS67" s="68">
        <f t="shared" si="13"/>
        <v>0</v>
      </c>
      <c r="AT67" s="68">
        <f t="shared" si="14"/>
        <v>-48</v>
      </c>
      <c r="AU67" s="417">
        <v>0</v>
      </c>
      <c r="AV67" s="417">
        <v>0</v>
      </c>
      <c r="AW67" s="417">
        <v>0</v>
      </c>
      <c r="AX67" s="417">
        <f t="shared" si="15"/>
        <v>0</v>
      </c>
      <c r="AY67" s="417">
        <f t="shared" si="16"/>
        <v>-48</v>
      </c>
      <c r="AZ67" s="418">
        <v>0</v>
      </c>
      <c r="BA67" s="418">
        <v>-0.01</v>
      </c>
      <c r="BB67" s="418">
        <v>0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7"/>
        <v>0</v>
      </c>
      <c r="BJ67" s="418">
        <f t="shared" si="18"/>
        <v>-0.01</v>
      </c>
      <c r="BK67" s="420">
        <f t="shared" si="19"/>
        <v>-0.01</v>
      </c>
      <c r="BL67" s="772">
        <f t="shared" si="98"/>
        <v>3758567</v>
      </c>
      <c r="BM67" s="772">
        <f t="shared" si="99"/>
        <v>2743323</v>
      </c>
      <c r="BN67" s="417">
        <f t="shared" si="100"/>
        <v>2174139</v>
      </c>
      <c r="BO67" s="417">
        <f t="shared" si="100"/>
        <v>569184</v>
      </c>
      <c r="BP67" s="417">
        <f t="shared" si="101"/>
        <v>14400</v>
      </c>
      <c r="BQ67" s="417">
        <f t="shared" si="102"/>
        <v>0</v>
      </c>
      <c r="BR67" s="417">
        <f t="shared" si="102"/>
        <v>14400</v>
      </c>
      <c r="BS67" s="417">
        <f t="shared" si="103"/>
        <v>932111</v>
      </c>
      <c r="BT67" s="417">
        <f t="shared" si="103"/>
        <v>27433</v>
      </c>
      <c r="BU67" s="417">
        <f t="shared" si="104"/>
        <v>41300</v>
      </c>
      <c r="BV67" s="418">
        <f t="shared" si="105"/>
        <v>4.9337000000000009</v>
      </c>
      <c r="BW67" s="418">
        <f t="shared" si="106"/>
        <v>3.3635999999999999</v>
      </c>
      <c r="BX67" s="420">
        <f t="shared" si="106"/>
        <v>1.5700999999999998</v>
      </c>
      <c r="BY67" s="596"/>
      <c r="BZ67" s="595"/>
      <c r="CA67" s="595"/>
      <c r="CB67" s="595"/>
      <c r="CC67" s="595"/>
      <c r="CD67" s="981"/>
      <c r="CE67" s="596">
        <v>259718</v>
      </c>
      <c r="CF67" s="595">
        <v>187310</v>
      </c>
      <c r="CG67" s="595">
        <v>63311</v>
      </c>
      <c r="CH67" s="595">
        <v>1873</v>
      </c>
      <c r="CI67" s="595">
        <v>7224</v>
      </c>
      <c r="CJ67" s="981">
        <v>0.51680000000000004</v>
      </c>
      <c r="CK67" s="315"/>
    </row>
    <row r="68" spans="1:89" ht="12.95" customHeight="1">
      <c r="A68" s="280">
        <v>11</v>
      </c>
      <c r="B68" s="321">
        <v>5430</v>
      </c>
      <c r="C68" s="322">
        <v>650026144</v>
      </c>
      <c r="D68" s="281">
        <v>70695148</v>
      </c>
      <c r="E68" s="348" t="s">
        <v>428</v>
      </c>
      <c r="F68" s="321">
        <v>3117</v>
      </c>
      <c r="G68" s="284" t="s">
        <v>291</v>
      </c>
      <c r="H68" s="640" t="s">
        <v>272</v>
      </c>
      <c r="I68" s="419">
        <v>188862</v>
      </c>
      <c r="J68" s="414">
        <v>140105</v>
      </c>
      <c r="K68" s="414">
        <v>140105</v>
      </c>
      <c r="L68" s="414">
        <v>0</v>
      </c>
      <c r="M68" s="414">
        <v>0</v>
      </c>
      <c r="N68" s="414">
        <v>0</v>
      </c>
      <c r="O68" s="414">
        <v>0</v>
      </c>
      <c r="P68" s="68">
        <v>47356</v>
      </c>
      <c r="Q68" s="68">
        <v>1401</v>
      </c>
      <c r="R68" s="414">
        <v>0</v>
      </c>
      <c r="S68" s="415">
        <v>0.36</v>
      </c>
      <c r="T68" s="416">
        <v>0.36</v>
      </c>
      <c r="U68" s="422">
        <v>0</v>
      </c>
      <c r="V68" s="423">
        <f t="shared" si="4"/>
        <v>0</v>
      </c>
      <c r="W68" s="417">
        <f t="shared" si="4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5"/>
        <v>0</v>
      </c>
      <c r="AF68" s="417">
        <f t="shared" si="6"/>
        <v>0</v>
      </c>
      <c r="AG68" s="417">
        <f t="shared" si="7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8"/>
        <v>0</v>
      </c>
      <c r="AN68" s="417">
        <f t="shared" si="9"/>
        <v>0</v>
      </c>
      <c r="AO68" s="417">
        <f t="shared" si="10"/>
        <v>0</v>
      </c>
      <c r="AP68" s="417">
        <f t="shared" si="11"/>
        <v>0</v>
      </c>
      <c r="AQ68" s="417">
        <f t="shared" si="11"/>
        <v>0</v>
      </c>
      <c r="AR68" s="417">
        <f t="shared" si="12"/>
        <v>0</v>
      </c>
      <c r="AS68" s="68">
        <f t="shared" si="13"/>
        <v>0</v>
      </c>
      <c r="AT68" s="68">
        <f t="shared" si="14"/>
        <v>0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</v>
      </c>
      <c r="BK68" s="420">
        <f t="shared" si="19"/>
        <v>0</v>
      </c>
      <c r="BL68" s="772">
        <f t="shared" si="98"/>
        <v>188862</v>
      </c>
      <c r="BM68" s="772">
        <f t="shared" si="99"/>
        <v>140105</v>
      </c>
      <c r="BN68" s="417">
        <f t="shared" si="100"/>
        <v>140105</v>
      </c>
      <c r="BO68" s="417">
        <f t="shared" si="100"/>
        <v>0</v>
      </c>
      <c r="BP68" s="417">
        <f t="shared" si="101"/>
        <v>0</v>
      </c>
      <c r="BQ68" s="417">
        <f t="shared" si="102"/>
        <v>0</v>
      </c>
      <c r="BR68" s="417">
        <f t="shared" si="102"/>
        <v>0</v>
      </c>
      <c r="BS68" s="417">
        <f t="shared" si="103"/>
        <v>47356</v>
      </c>
      <c r="BT68" s="417">
        <f t="shared" si="103"/>
        <v>1401</v>
      </c>
      <c r="BU68" s="417">
        <f t="shared" si="104"/>
        <v>0</v>
      </c>
      <c r="BV68" s="418">
        <f t="shared" si="105"/>
        <v>0.36</v>
      </c>
      <c r="BW68" s="418">
        <f t="shared" si="106"/>
        <v>0.36</v>
      </c>
      <c r="BX68" s="420">
        <f t="shared" si="106"/>
        <v>0</v>
      </c>
      <c r="BY68" s="596"/>
      <c r="BZ68" s="595"/>
      <c r="CA68" s="595"/>
      <c r="CB68" s="595"/>
      <c r="CC68" s="595"/>
      <c r="CD68" s="981"/>
      <c r="CE68" s="596"/>
      <c r="CF68" s="595"/>
      <c r="CG68" s="595"/>
      <c r="CH68" s="595"/>
      <c r="CI68" s="595"/>
      <c r="CJ68" s="981"/>
      <c r="CK68" s="315"/>
    </row>
    <row r="69" spans="1:89" ht="12.95" customHeight="1">
      <c r="A69" s="280">
        <v>11</v>
      </c>
      <c r="B69" s="281">
        <v>5430</v>
      </c>
      <c r="C69" s="330">
        <v>650026144</v>
      </c>
      <c r="D69" s="281">
        <v>70695148</v>
      </c>
      <c r="E69" s="283" t="s">
        <v>428</v>
      </c>
      <c r="F69" s="281">
        <v>3141</v>
      </c>
      <c r="G69" s="345" t="s">
        <v>294</v>
      </c>
      <c r="H69" s="640" t="s">
        <v>272</v>
      </c>
      <c r="I69" s="419">
        <v>839314</v>
      </c>
      <c r="J69" s="414">
        <v>620361</v>
      </c>
      <c r="K69" s="414">
        <v>0</v>
      </c>
      <c r="L69" s="414">
        <v>620361</v>
      </c>
      <c r="M69" s="414">
        <v>0</v>
      </c>
      <c r="N69" s="414">
        <v>0</v>
      </c>
      <c r="O69" s="414">
        <v>0</v>
      </c>
      <c r="P69" s="68">
        <v>209682</v>
      </c>
      <c r="Q69" s="68">
        <v>6203</v>
      </c>
      <c r="R69" s="414">
        <v>3068</v>
      </c>
      <c r="S69" s="415">
        <v>1.8599999999999999</v>
      </c>
      <c r="T69" s="416">
        <v>0</v>
      </c>
      <c r="U69" s="422">
        <v>1.8599999999999999</v>
      </c>
      <c r="V69" s="423">
        <f t="shared" si="4"/>
        <v>0</v>
      </c>
      <c r="W69" s="417">
        <f t="shared" si="4"/>
        <v>0</v>
      </c>
      <c r="X69" s="417">
        <v>0</v>
      </c>
      <c r="Y69" s="417">
        <v>0</v>
      </c>
      <c r="Z69" s="417">
        <v>0</v>
      </c>
      <c r="AA69" s="417">
        <v>-10275</v>
      </c>
      <c r="AB69" s="417">
        <v>0</v>
      </c>
      <c r="AC69" s="417">
        <v>0</v>
      </c>
      <c r="AD69" s="417">
        <v>0</v>
      </c>
      <c r="AE69" s="417">
        <f t="shared" si="5"/>
        <v>0</v>
      </c>
      <c r="AF69" s="417">
        <f t="shared" si="6"/>
        <v>-10275</v>
      </c>
      <c r="AG69" s="417">
        <f t="shared" si="7"/>
        <v>-10275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8"/>
        <v>0</v>
      </c>
      <c r="AN69" s="417">
        <f t="shared" si="9"/>
        <v>0</v>
      </c>
      <c r="AO69" s="417">
        <f t="shared" si="10"/>
        <v>0</v>
      </c>
      <c r="AP69" s="417">
        <f t="shared" si="11"/>
        <v>0</v>
      </c>
      <c r="AQ69" s="417">
        <f t="shared" si="11"/>
        <v>-10275</v>
      </c>
      <c r="AR69" s="417">
        <f t="shared" si="12"/>
        <v>-10275</v>
      </c>
      <c r="AS69" s="68">
        <f t="shared" si="13"/>
        <v>-3473</v>
      </c>
      <c r="AT69" s="68">
        <f t="shared" si="14"/>
        <v>-103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-13851</v>
      </c>
      <c r="AZ69" s="418">
        <v>0</v>
      </c>
      <c r="BA69" s="418">
        <v>0</v>
      </c>
      <c r="BB69" s="418">
        <v>0</v>
      </c>
      <c r="BC69" s="418">
        <v>0</v>
      </c>
      <c r="BD69" s="418">
        <v>-0.03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-0.03</v>
      </c>
      <c r="BK69" s="420">
        <f t="shared" si="19"/>
        <v>-0.03</v>
      </c>
      <c r="BL69" s="772">
        <f t="shared" si="98"/>
        <v>825463</v>
      </c>
      <c r="BM69" s="772">
        <f t="shared" si="99"/>
        <v>610086</v>
      </c>
      <c r="BN69" s="417">
        <f t="shared" si="100"/>
        <v>0</v>
      </c>
      <c r="BO69" s="417">
        <f t="shared" si="100"/>
        <v>610086</v>
      </c>
      <c r="BP69" s="417">
        <f t="shared" si="101"/>
        <v>0</v>
      </c>
      <c r="BQ69" s="417">
        <f t="shared" si="102"/>
        <v>0</v>
      </c>
      <c r="BR69" s="417">
        <f t="shared" si="102"/>
        <v>0</v>
      </c>
      <c r="BS69" s="417">
        <f t="shared" si="103"/>
        <v>206209</v>
      </c>
      <c r="BT69" s="417">
        <f t="shared" si="103"/>
        <v>6100</v>
      </c>
      <c r="BU69" s="417">
        <f t="shared" si="104"/>
        <v>3068</v>
      </c>
      <c r="BV69" s="418">
        <f t="shared" si="105"/>
        <v>1.8299999999999998</v>
      </c>
      <c r="BW69" s="418">
        <f t="shared" si="106"/>
        <v>0</v>
      </c>
      <c r="BX69" s="420">
        <f t="shared" si="106"/>
        <v>1.8299999999999998</v>
      </c>
      <c r="BY69" s="596"/>
      <c r="BZ69" s="595"/>
      <c r="CA69" s="595"/>
      <c r="CB69" s="595"/>
      <c r="CC69" s="595"/>
      <c r="CD69" s="981"/>
      <c r="CE69" s="596"/>
      <c r="CF69" s="595"/>
      <c r="CG69" s="595"/>
      <c r="CH69" s="595"/>
      <c r="CI69" s="595"/>
      <c r="CJ69" s="981"/>
      <c r="CK69" s="315"/>
    </row>
    <row r="70" spans="1:89" ht="12.95" customHeight="1">
      <c r="A70" s="280">
        <v>11</v>
      </c>
      <c r="B70" s="321">
        <v>5430</v>
      </c>
      <c r="C70" s="322">
        <v>650026144</v>
      </c>
      <c r="D70" s="281">
        <v>70695148</v>
      </c>
      <c r="E70" s="348" t="s">
        <v>428</v>
      </c>
      <c r="F70" s="321">
        <v>3143</v>
      </c>
      <c r="G70" s="284" t="s">
        <v>595</v>
      </c>
      <c r="H70" s="640" t="s">
        <v>271</v>
      </c>
      <c r="I70" s="419">
        <v>637155</v>
      </c>
      <c r="J70" s="414">
        <v>472667</v>
      </c>
      <c r="K70" s="414">
        <v>472667</v>
      </c>
      <c r="L70" s="414">
        <v>0</v>
      </c>
      <c r="M70" s="414">
        <v>0</v>
      </c>
      <c r="N70" s="414">
        <v>0</v>
      </c>
      <c r="O70" s="414">
        <v>0</v>
      </c>
      <c r="P70" s="68">
        <v>159761</v>
      </c>
      <c r="Q70" s="68">
        <v>4727</v>
      </c>
      <c r="R70" s="414">
        <v>0</v>
      </c>
      <c r="S70" s="415">
        <v>0.88070000000000004</v>
      </c>
      <c r="T70" s="416">
        <v>0.88070000000000004</v>
      </c>
      <c r="U70" s="422">
        <v>0</v>
      </c>
      <c r="V70" s="423">
        <f t="shared" si="4"/>
        <v>0</v>
      </c>
      <c r="W70" s="417">
        <f t="shared" si="4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5"/>
        <v>0</v>
      </c>
      <c r="AF70" s="417">
        <f t="shared" si="6"/>
        <v>0</v>
      </c>
      <c r="AG70" s="417">
        <f t="shared" si="7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8"/>
        <v>0</v>
      </c>
      <c r="AN70" s="417">
        <f t="shared" si="9"/>
        <v>0</v>
      </c>
      <c r="AO70" s="417">
        <f t="shared" si="10"/>
        <v>0</v>
      </c>
      <c r="AP70" s="417">
        <f t="shared" si="11"/>
        <v>0</v>
      </c>
      <c r="AQ70" s="417">
        <f t="shared" si="11"/>
        <v>0</v>
      </c>
      <c r="AR70" s="417">
        <f t="shared" si="12"/>
        <v>0</v>
      </c>
      <c r="AS70" s="68">
        <f t="shared" si="13"/>
        <v>0</v>
      </c>
      <c r="AT70" s="68">
        <f t="shared" si="14"/>
        <v>0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0</v>
      </c>
      <c r="BK70" s="420">
        <f t="shared" si="19"/>
        <v>0</v>
      </c>
      <c r="BL70" s="772">
        <f t="shared" si="98"/>
        <v>637155</v>
      </c>
      <c r="BM70" s="772">
        <f t="shared" si="99"/>
        <v>472667</v>
      </c>
      <c r="BN70" s="417">
        <f t="shared" si="100"/>
        <v>472667</v>
      </c>
      <c r="BO70" s="417">
        <f t="shared" si="100"/>
        <v>0</v>
      </c>
      <c r="BP70" s="417">
        <f t="shared" si="101"/>
        <v>0</v>
      </c>
      <c r="BQ70" s="417">
        <f t="shared" si="102"/>
        <v>0</v>
      </c>
      <c r="BR70" s="417">
        <f t="shared" si="102"/>
        <v>0</v>
      </c>
      <c r="BS70" s="417">
        <f t="shared" si="103"/>
        <v>159761</v>
      </c>
      <c r="BT70" s="417">
        <f t="shared" si="103"/>
        <v>4727</v>
      </c>
      <c r="BU70" s="417">
        <f t="shared" si="104"/>
        <v>0</v>
      </c>
      <c r="BV70" s="418">
        <f t="shared" si="105"/>
        <v>0.88070000000000004</v>
      </c>
      <c r="BW70" s="418">
        <f t="shared" si="106"/>
        <v>0.88070000000000004</v>
      </c>
      <c r="BX70" s="420">
        <f t="shared" si="106"/>
        <v>0</v>
      </c>
      <c r="BY70" s="596"/>
      <c r="BZ70" s="595"/>
      <c r="CA70" s="595"/>
      <c r="CB70" s="595"/>
      <c r="CC70" s="595"/>
      <c r="CD70" s="981"/>
      <c r="CE70" s="596"/>
      <c r="CF70" s="595"/>
      <c r="CG70" s="595"/>
      <c r="CH70" s="595"/>
      <c r="CI70" s="595"/>
      <c r="CJ70" s="981"/>
      <c r="CK70" s="315"/>
    </row>
    <row r="71" spans="1:89" ht="12.95" customHeight="1">
      <c r="A71" s="280">
        <v>11</v>
      </c>
      <c r="B71" s="321">
        <v>5430</v>
      </c>
      <c r="C71" s="322">
        <v>650026144</v>
      </c>
      <c r="D71" s="281">
        <v>70695148</v>
      </c>
      <c r="E71" s="348" t="s">
        <v>428</v>
      </c>
      <c r="F71" s="321">
        <v>3143</v>
      </c>
      <c r="G71" s="284" t="s">
        <v>596</v>
      </c>
      <c r="H71" s="640" t="s">
        <v>272</v>
      </c>
      <c r="I71" s="419">
        <v>19978</v>
      </c>
      <c r="J71" s="414">
        <v>14300</v>
      </c>
      <c r="K71" s="414">
        <v>0</v>
      </c>
      <c r="L71" s="414">
        <v>14300</v>
      </c>
      <c r="M71" s="414">
        <v>0</v>
      </c>
      <c r="N71" s="414">
        <v>0</v>
      </c>
      <c r="O71" s="414">
        <v>0</v>
      </c>
      <c r="P71" s="68">
        <v>4833</v>
      </c>
      <c r="Q71" s="68">
        <v>143</v>
      </c>
      <c r="R71" s="414">
        <v>702</v>
      </c>
      <c r="S71" s="415">
        <v>5.6099999999999997E-2</v>
      </c>
      <c r="T71" s="416">
        <v>0</v>
      </c>
      <c r="U71" s="422">
        <v>5.6099999999999997E-2</v>
      </c>
      <c r="V71" s="423">
        <f t="shared" si="4"/>
        <v>0</v>
      </c>
      <c r="W71" s="417">
        <f t="shared" si="4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5"/>
        <v>0</v>
      </c>
      <c r="AF71" s="417">
        <f t="shared" si="6"/>
        <v>0</v>
      </c>
      <c r="AG71" s="417">
        <f t="shared" si="7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8"/>
        <v>0</v>
      </c>
      <c r="AN71" s="417">
        <f t="shared" si="9"/>
        <v>0</v>
      </c>
      <c r="AO71" s="417">
        <f t="shared" si="10"/>
        <v>0</v>
      </c>
      <c r="AP71" s="417">
        <f t="shared" si="11"/>
        <v>0</v>
      </c>
      <c r="AQ71" s="417">
        <f t="shared" si="11"/>
        <v>0</v>
      </c>
      <c r="AR71" s="417">
        <f t="shared" si="12"/>
        <v>0</v>
      </c>
      <c r="AS71" s="68">
        <f t="shared" si="13"/>
        <v>0</v>
      </c>
      <c r="AT71" s="68">
        <f t="shared" si="14"/>
        <v>0</v>
      </c>
      <c r="AU71" s="417">
        <v>0</v>
      </c>
      <c r="AV71" s="417">
        <v>0</v>
      </c>
      <c r="AW71" s="417">
        <v>0</v>
      </c>
      <c r="AX71" s="417">
        <f t="shared" si="15"/>
        <v>0</v>
      </c>
      <c r="AY71" s="417">
        <f t="shared" si="16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7"/>
        <v>0</v>
      </c>
      <c r="BJ71" s="418">
        <f t="shared" si="18"/>
        <v>0</v>
      </c>
      <c r="BK71" s="420">
        <f t="shared" si="19"/>
        <v>0</v>
      </c>
      <c r="BL71" s="772">
        <f t="shared" si="98"/>
        <v>19978</v>
      </c>
      <c r="BM71" s="772">
        <f t="shared" si="99"/>
        <v>14300</v>
      </c>
      <c r="BN71" s="417">
        <f t="shared" si="100"/>
        <v>0</v>
      </c>
      <c r="BO71" s="417">
        <f t="shared" si="100"/>
        <v>14300</v>
      </c>
      <c r="BP71" s="417">
        <f t="shared" si="101"/>
        <v>0</v>
      </c>
      <c r="BQ71" s="417">
        <f t="shared" si="102"/>
        <v>0</v>
      </c>
      <c r="BR71" s="417">
        <f t="shared" si="102"/>
        <v>0</v>
      </c>
      <c r="BS71" s="417">
        <f t="shared" si="103"/>
        <v>4833</v>
      </c>
      <c r="BT71" s="417">
        <f t="shared" si="103"/>
        <v>143</v>
      </c>
      <c r="BU71" s="417">
        <f t="shared" si="104"/>
        <v>702</v>
      </c>
      <c r="BV71" s="418">
        <f t="shared" si="105"/>
        <v>5.6099999999999997E-2</v>
      </c>
      <c r="BW71" s="418">
        <f t="shared" si="106"/>
        <v>0</v>
      </c>
      <c r="BX71" s="420">
        <f t="shared" si="106"/>
        <v>5.6099999999999997E-2</v>
      </c>
      <c r="BY71" s="596"/>
      <c r="BZ71" s="595"/>
      <c r="CA71" s="595"/>
      <c r="CB71" s="595"/>
      <c r="CC71" s="595"/>
      <c r="CD71" s="981"/>
      <c r="CE71" s="596"/>
      <c r="CF71" s="595"/>
      <c r="CG71" s="595"/>
      <c r="CH71" s="595"/>
      <c r="CI71" s="595"/>
      <c r="CJ71" s="981"/>
      <c r="CK71" s="315"/>
    </row>
    <row r="72" spans="1:89" ht="12.95" customHeight="1">
      <c r="A72" s="641">
        <v>11</v>
      </c>
      <c r="B72" s="325">
        <v>5430</v>
      </c>
      <c r="C72" s="326">
        <v>650026144</v>
      </c>
      <c r="D72" s="325">
        <v>70695148</v>
      </c>
      <c r="E72" s="349" t="s">
        <v>429</v>
      </c>
      <c r="F72" s="325"/>
      <c r="G72" s="350"/>
      <c r="H72" s="643"/>
      <c r="I72" s="464">
        <v>7856844</v>
      </c>
      <c r="J72" s="460">
        <v>5756506</v>
      </c>
      <c r="K72" s="460">
        <v>4371443</v>
      </c>
      <c r="L72" s="460">
        <v>1385063</v>
      </c>
      <c r="M72" s="460">
        <v>29600</v>
      </c>
      <c r="N72" s="460">
        <v>20000</v>
      </c>
      <c r="O72" s="460">
        <v>9600</v>
      </c>
      <c r="P72" s="460">
        <v>1955704</v>
      </c>
      <c r="Q72" s="460">
        <v>57564</v>
      </c>
      <c r="R72" s="460">
        <v>57470</v>
      </c>
      <c r="S72" s="461">
        <v>11.7773</v>
      </c>
      <c r="T72" s="461">
        <v>7.5743000000000009</v>
      </c>
      <c r="U72" s="534">
        <v>4.2029999999999994</v>
      </c>
      <c r="V72" s="471">
        <f t="shared" ref="V72:BK72" si="107">SUM(V66:V71)</f>
        <v>20000</v>
      </c>
      <c r="W72" s="467">
        <f t="shared" si="107"/>
        <v>-4800</v>
      </c>
      <c r="X72" s="467">
        <f t="shared" si="107"/>
        <v>0</v>
      </c>
      <c r="Y72" s="467">
        <f t="shared" si="107"/>
        <v>0</v>
      </c>
      <c r="Z72" s="467">
        <f t="shared" si="107"/>
        <v>0</v>
      </c>
      <c r="AA72" s="467">
        <f t="shared" si="107"/>
        <v>-10275</v>
      </c>
      <c r="AB72" s="467">
        <f t="shared" si="107"/>
        <v>0</v>
      </c>
      <c r="AC72" s="467">
        <f t="shared" si="107"/>
        <v>0</v>
      </c>
      <c r="AD72" s="467">
        <f t="shared" si="107"/>
        <v>0</v>
      </c>
      <c r="AE72" s="467">
        <f t="shared" si="107"/>
        <v>20000</v>
      </c>
      <c r="AF72" s="467">
        <f t="shared" si="107"/>
        <v>-15075</v>
      </c>
      <c r="AG72" s="467">
        <f t="shared" si="107"/>
        <v>4925</v>
      </c>
      <c r="AH72" s="467">
        <f t="shared" si="107"/>
        <v>-20000</v>
      </c>
      <c r="AI72" s="467">
        <f t="shared" si="107"/>
        <v>4800</v>
      </c>
      <c r="AJ72" s="467">
        <f t="shared" si="107"/>
        <v>0</v>
      </c>
      <c r="AK72" s="467">
        <f t="shared" si="107"/>
        <v>0</v>
      </c>
      <c r="AL72" s="467">
        <f t="shared" si="107"/>
        <v>0</v>
      </c>
      <c r="AM72" s="467">
        <f t="shared" si="107"/>
        <v>-20000</v>
      </c>
      <c r="AN72" s="467">
        <f t="shared" si="107"/>
        <v>4800</v>
      </c>
      <c r="AO72" s="467">
        <f t="shared" si="107"/>
        <v>-15200</v>
      </c>
      <c r="AP72" s="467">
        <f t="shared" si="107"/>
        <v>0</v>
      </c>
      <c r="AQ72" s="467">
        <f t="shared" si="107"/>
        <v>-10275</v>
      </c>
      <c r="AR72" s="467">
        <f t="shared" si="107"/>
        <v>-10275</v>
      </c>
      <c r="AS72" s="467">
        <f t="shared" si="107"/>
        <v>-3473</v>
      </c>
      <c r="AT72" s="467">
        <f t="shared" si="107"/>
        <v>49</v>
      </c>
      <c r="AU72" s="467">
        <f t="shared" si="107"/>
        <v>0</v>
      </c>
      <c r="AV72" s="467">
        <f t="shared" si="107"/>
        <v>0</v>
      </c>
      <c r="AW72" s="467">
        <f t="shared" si="107"/>
        <v>0</v>
      </c>
      <c r="AX72" s="467">
        <f t="shared" si="107"/>
        <v>0</v>
      </c>
      <c r="AY72" s="467">
        <f t="shared" si="107"/>
        <v>-13699</v>
      </c>
      <c r="AZ72" s="468">
        <f t="shared" si="107"/>
        <v>0.03</v>
      </c>
      <c r="BA72" s="468">
        <f t="shared" si="107"/>
        <v>-0.01</v>
      </c>
      <c r="BB72" s="468">
        <f t="shared" si="107"/>
        <v>0</v>
      </c>
      <c r="BC72" s="468">
        <f t="shared" si="107"/>
        <v>0</v>
      </c>
      <c r="BD72" s="468">
        <f t="shared" si="107"/>
        <v>-0.03</v>
      </c>
      <c r="BE72" s="468">
        <f t="shared" si="107"/>
        <v>0</v>
      </c>
      <c r="BF72" s="468">
        <f t="shared" si="107"/>
        <v>0</v>
      </c>
      <c r="BG72" s="468">
        <f t="shared" si="107"/>
        <v>0</v>
      </c>
      <c r="BH72" s="468">
        <f t="shared" si="107"/>
        <v>0</v>
      </c>
      <c r="BI72" s="468">
        <f t="shared" si="107"/>
        <v>0.03</v>
      </c>
      <c r="BJ72" s="468">
        <f t="shared" si="107"/>
        <v>-0.04</v>
      </c>
      <c r="BK72" s="328">
        <f t="shared" si="107"/>
        <v>-1.0000000000000002E-2</v>
      </c>
      <c r="BL72" s="774">
        <f t="shared" ref="BL72:CG72" si="108">SUM(BL66:BL71)</f>
        <v>7843145</v>
      </c>
      <c r="BM72" s="774">
        <f t="shared" si="108"/>
        <v>5761431</v>
      </c>
      <c r="BN72" s="467">
        <f t="shared" si="108"/>
        <v>4391443</v>
      </c>
      <c r="BO72" s="467">
        <f t="shared" si="108"/>
        <v>1369988</v>
      </c>
      <c r="BP72" s="467">
        <f t="shared" si="108"/>
        <v>14400</v>
      </c>
      <c r="BQ72" s="467">
        <f t="shared" si="108"/>
        <v>0</v>
      </c>
      <c r="BR72" s="467">
        <f t="shared" si="108"/>
        <v>14400</v>
      </c>
      <c r="BS72" s="467">
        <f t="shared" si="108"/>
        <v>1952231</v>
      </c>
      <c r="BT72" s="467">
        <f t="shared" si="108"/>
        <v>57613</v>
      </c>
      <c r="BU72" s="467">
        <f t="shared" si="108"/>
        <v>57470</v>
      </c>
      <c r="BV72" s="468">
        <f t="shared" si="108"/>
        <v>11.767300000000002</v>
      </c>
      <c r="BW72" s="468">
        <f t="shared" si="108"/>
        <v>7.6043000000000003</v>
      </c>
      <c r="BX72" s="328">
        <f t="shared" si="108"/>
        <v>4.1629999999999994</v>
      </c>
      <c r="BY72" s="979">
        <f t="shared" si="108"/>
        <v>0</v>
      </c>
      <c r="BZ72" s="721">
        <f t="shared" si="108"/>
        <v>0</v>
      </c>
      <c r="CA72" s="721">
        <f t="shared" si="108"/>
        <v>0</v>
      </c>
      <c r="CB72" s="721">
        <f t="shared" si="108"/>
        <v>0</v>
      </c>
      <c r="CC72" s="721">
        <f t="shared" si="108"/>
        <v>0</v>
      </c>
      <c r="CD72" s="826">
        <f t="shared" si="108"/>
        <v>0</v>
      </c>
      <c r="CE72" s="995">
        <f t="shared" si="108"/>
        <v>340151</v>
      </c>
      <c r="CF72" s="995">
        <f t="shared" si="108"/>
        <v>243920</v>
      </c>
      <c r="CG72" s="995">
        <f t="shared" si="108"/>
        <v>82445</v>
      </c>
      <c r="CH72" s="995">
        <f t="shared" ref="CH72:CJ72" si="109">SUM(CH66:CH71)</f>
        <v>2439</v>
      </c>
      <c r="CI72" s="995">
        <f t="shared" si="109"/>
        <v>11347</v>
      </c>
      <c r="CJ72" s="933">
        <f t="shared" si="109"/>
        <v>0.74360000000000004</v>
      </c>
      <c r="CK72" s="315"/>
    </row>
    <row r="73" spans="1:89" ht="12.95" customHeight="1">
      <c r="A73" s="280">
        <v>12</v>
      </c>
      <c r="B73" s="321">
        <v>5431</v>
      </c>
      <c r="C73" s="322">
        <v>600099016</v>
      </c>
      <c r="D73" s="281">
        <v>70698112</v>
      </c>
      <c r="E73" s="348" t="s">
        <v>430</v>
      </c>
      <c r="F73" s="321">
        <v>3111</v>
      </c>
      <c r="G73" s="345" t="s">
        <v>304</v>
      </c>
      <c r="H73" s="640" t="s">
        <v>271</v>
      </c>
      <c r="I73" s="419">
        <v>1696436</v>
      </c>
      <c r="J73" s="414">
        <v>1246399</v>
      </c>
      <c r="K73" s="414">
        <v>1148381</v>
      </c>
      <c r="L73" s="414">
        <v>98018</v>
      </c>
      <c r="M73" s="414">
        <v>5000</v>
      </c>
      <c r="N73" s="414">
        <v>5000</v>
      </c>
      <c r="O73" s="414">
        <v>0</v>
      </c>
      <c r="P73" s="68">
        <v>422973</v>
      </c>
      <c r="Q73" s="68">
        <v>12464</v>
      </c>
      <c r="R73" s="414">
        <v>9600</v>
      </c>
      <c r="S73" s="415">
        <v>2.3927</v>
      </c>
      <c r="T73" s="416">
        <v>2</v>
      </c>
      <c r="U73" s="422">
        <v>0.39269999999999999</v>
      </c>
      <c r="V73" s="423">
        <f t="shared" si="4"/>
        <v>0</v>
      </c>
      <c r="W73" s="417">
        <f t="shared" si="4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5"/>
        <v>0</v>
      </c>
      <c r="AF73" s="417">
        <f t="shared" si="6"/>
        <v>0</v>
      </c>
      <c r="AG73" s="417">
        <f t="shared" si="7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8"/>
        <v>0</v>
      </c>
      <c r="AN73" s="417">
        <f t="shared" si="9"/>
        <v>0</v>
      </c>
      <c r="AO73" s="417">
        <f t="shared" si="10"/>
        <v>0</v>
      </c>
      <c r="AP73" s="417">
        <f t="shared" si="11"/>
        <v>0</v>
      </c>
      <c r="AQ73" s="417">
        <f t="shared" si="11"/>
        <v>0</v>
      </c>
      <c r="AR73" s="417">
        <f t="shared" si="12"/>
        <v>0</v>
      </c>
      <c r="AS73" s="68">
        <f t="shared" si="13"/>
        <v>0</v>
      </c>
      <c r="AT73" s="68">
        <f t="shared" si="14"/>
        <v>0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</v>
      </c>
      <c r="BJ73" s="418">
        <f t="shared" si="18"/>
        <v>0</v>
      </c>
      <c r="BK73" s="420">
        <f t="shared" si="19"/>
        <v>0</v>
      </c>
      <c r="BL73" s="772">
        <f t="shared" ref="BL73:BL78" si="110">I73+AY73</f>
        <v>1696436</v>
      </c>
      <c r="BM73" s="772">
        <f t="shared" ref="BM73:BM78" si="111">J73+AG73</f>
        <v>1246399</v>
      </c>
      <c r="BN73" s="417">
        <f t="shared" ref="BN73:BO78" si="112">K73+AE73</f>
        <v>1148381</v>
      </c>
      <c r="BO73" s="417">
        <f t="shared" si="112"/>
        <v>98018</v>
      </c>
      <c r="BP73" s="417">
        <f t="shared" ref="BP73:BP78" si="113">M73+AO73</f>
        <v>5000</v>
      </c>
      <c r="BQ73" s="417">
        <f t="shared" ref="BQ73:BR78" si="114">N73+AM73</f>
        <v>5000</v>
      </c>
      <c r="BR73" s="417">
        <f t="shared" si="114"/>
        <v>0</v>
      </c>
      <c r="BS73" s="417">
        <f t="shared" ref="BS73:BT78" si="115">P73+AS73</f>
        <v>422973</v>
      </c>
      <c r="BT73" s="417">
        <f t="shared" si="115"/>
        <v>12464</v>
      </c>
      <c r="BU73" s="417">
        <f t="shared" ref="BU73:BU78" si="116">R73+AX73</f>
        <v>9600</v>
      </c>
      <c r="BV73" s="418">
        <f t="shared" ref="BV73:BV78" si="117">S73+BK73</f>
        <v>2.3927</v>
      </c>
      <c r="BW73" s="418">
        <f t="shared" ref="BW73:BX78" si="118">T73+BI73</f>
        <v>2</v>
      </c>
      <c r="BX73" s="420">
        <f t="shared" si="118"/>
        <v>0.39269999999999999</v>
      </c>
      <c r="BY73" s="596"/>
      <c r="BZ73" s="595"/>
      <c r="CA73" s="595"/>
      <c r="CB73" s="595"/>
      <c r="CC73" s="595"/>
      <c r="CD73" s="981"/>
      <c r="CE73" s="596">
        <v>45587</v>
      </c>
      <c r="CF73" s="595">
        <v>31450</v>
      </c>
      <c r="CG73" s="595">
        <v>10630</v>
      </c>
      <c r="CH73" s="595">
        <v>315</v>
      </c>
      <c r="CI73" s="595">
        <v>3192</v>
      </c>
      <c r="CJ73" s="981">
        <v>0.126</v>
      </c>
      <c r="CK73" s="315"/>
    </row>
    <row r="74" spans="1:89" ht="12.95" customHeight="1">
      <c r="A74" s="280">
        <v>12</v>
      </c>
      <c r="B74" s="321">
        <v>5431</v>
      </c>
      <c r="C74" s="322">
        <v>600099016</v>
      </c>
      <c r="D74" s="281">
        <v>70698112</v>
      </c>
      <c r="E74" s="348" t="s">
        <v>430</v>
      </c>
      <c r="F74" s="321">
        <v>3117</v>
      </c>
      <c r="G74" s="345" t="s">
        <v>308</v>
      </c>
      <c r="H74" s="640" t="s">
        <v>271</v>
      </c>
      <c r="I74" s="419">
        <v>3335917</v>
      </c>
      <c r="J74" s="414">
        <v>2442398</v>
      </c>
      <c r="K74" s="414">
        <v>2042091</v>
      </c>
      <c r="L74" s="414">
        <v>400307</v>
      </c>
      <c r="M74" s="414">
        <v>5000</v>
      </c>
      <c r="N74" s="414">
        <v>5000</v>
      </c>
      <c r="O74" s="414">
        <v>0</v>
      </c>
      <c r="P74" s="68">
        <v>827220</v>
      </c>
      <c r="Q74" s="68">
        <v>24424</v>
      </c>
      <c r="R74" s="414">
        <v>36875</v>
      </c>
      <c r="S74" s="415">
        <v>4.5201999999999991</v>
      </c>
      <c r="T74" s="416">
        <v>3.4998999999999998</v>
      </c>
      <c r="U74" s="422">
        <v>1.0203</v>
      </c>
      <c r="V74" s="423">
        <f t="shared" si="4"/>
        <v>0</v>
      </c>
      <c r="W74" s="417">
        <f t="shared" si="4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5"/>
        <v>0</v>
      </c>
      <c r="AF74" s="417">
        <f t="shared" si="6"/>
        <v>0</v>
      </c>
      <c r="AG74" s="417">
        <f t="shared" si="7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8"/>
        <v>0</v>
      </c>
      <c r="AN74" s="417">
        <f t="shared" si="9"/>
        <v>0</v>
      </c>
      <c r="AO74" s="417">
        <f t="shared" si="10"/>
        <v>0</v>
      </c>
      <c r="AP74" s="417">
        <f t="shared" si="11"/>
        <v>0</v>
      </c>
      <c r="AQ74" s="417">
        <f t="shared" si="11"/>
        <v>0</v>
      </c>
      <c r="AR74" s="417">
        <f t="shared" si="12"/>
        <v>0</v>
      </c>
      <c r="AS74" s="68">
        <f t="shared" si="13"/>
        <v>0</v>
      </c>
      <c r="AT74" s="68">
        <f t="shared" si="14"/>
        <v>0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0</v>
      </c>
      <c r="BK74" s="420">
        <f t="shared" si="19"/>
        <v>0</v>
      </c>
      <c r="BL74" s="772">
        <f t="shared" si="110"/>
        <v>3335917</v>
      </c>
      <c r="BM74" s="772">
        <f t="shared" si="111"/>
        <v>2442398</v>
      </c>
      <c r="BN74" s="417">
        <f t="shared" si="112"/>
        <v>2042091</v>
      </c>
      <c r="BO74" s="417">
        <f t="shared" si="112"/>
        <v>400307</v>
      </c>
      <c r="BP74" s="417">
        <f t="shared" si="113"/>
        <v>5000</v>
      </c>
      <c r="BQ74" s="417">
        <f t="shared" si="114"/>
        <v>5000</v>
      </c>
      <c r="BR74" s="417">
        <f t="shared" si="114"/>
        <v>0</v>
      </c>
      <c r="BS74" s="417">
        <f t="shared" si="115"/>
        <v>827220</v>
      </c>
      <c r="BT74" s="417">
        <f t="shared" si="115"/>
        <v>24424</v>
      </c>
      <c r="BU74" s="417">
        <f t="shared" si="116"/>
        <v>36875</v>
      </c>
      <c r="BV74" s="418">
        <f t="shared" si="117"/>
        <v>4.5201999999999991</v>
      </c>
      <c r="BW74" s="418">
        <f t="shared" si="118"/>
        <v>3.4998999999999998</v>
      </c>
      <c r="BX74" s="420">
        <f t="shared" si="118"/>
        <v>1.0203</v>
      </c>
      <c r="BY74" s="596"/>
      <c r="BZ74" s="595"/>
      <c r="CA74" s="595"/>
      <c r="CB74" s="595"/>
      <c r="CC74" s="595"/>
      <c r="CD74" s="981"/>
      <c r="CE74" s="596">
        <v>179655</v>
      </c>
      <c r="CF74" s="595">
        <v>128491</v>
      </c>
      <c r="CG74" s="595">
        <v>43430</v>
      </c>
      <c r="CH74" s="595">
        <v>1284</v>
      </c>
      <c r="CI74" s="595">
        <v>6450</v>
      </c>
      <c r="CJ74" s="981">
        <v>0.32750000000000001</v>
      </c>
      <c r="CK74" s="315"/>
    </row>
    <row r="75" spans="1:89" ht="12.95" customHeight="1">
      <c r="A75" s="280">
        <v>12</v>
      </c>
      <c r="B75" s="321">
        <v>5431</v>
      </c>
      <c r="C75" s="322">
        <v>600099016</v>
      </c>
      <c r="D75" s="281">
        <v>70698112</v>
      </c>
      <c r="E75" s="348" t="s">
        <v>430</v>
      </c>
      <c r="F75" s="321">
        <v>3117</v>
      </c>
      <c r="G75" s="284" t="s">
        <v>291</v>
      </c>
      <c r="H75" s="640" t="s">
        <v>272</v>
      </c>
      <c r="I75" s="419">
        <v>837234</v>
      </c>
      <c r="J75" s="414">
        <v>621093</v>
      </c>
      <c r="K75" s="414">
        <v>621093</v>
      </c>
      <c r="L75" s="414">
        <v>0</v>
      </c>
      <c r="M75" s="414">
        <v>0</v>
      </c>
      <c r="N75" s="414">
        <v>0</v>
      </c>
      <c r="O75" s="414">
        <v>0</v>
      </c>
      <c r="P75" s="68">
        <v>209929</v>
      </c>
      <c r="Q75" s="68">
        <v>6212</v>
      </c>
      <c r="R75" s="414">
        <v>0</v>
      </c>
      <c r="S75" s="415">
        <v>1.88</v>
      </c>
      <c r="T75" s="416">
        <v>1.88</v>
      </c>
      <c r="U75" s="422">
        <v>0</v>
      </c>
      <c r="V75" s="423">
        <f t="shared" si="4"/>
        <v>0</v>
      </c>
      <c r="W75" s="417">
        <f t="shared" si="4"/>
        <v>0</v>
      </c>
      <c r="X75" s="417">
        <v>30900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5"/>
        <v>30900</v>
      </c>
      <c r="AF75" s="417">
        <f t="shared" si="6"/>
        <v>0</v>
      </c>
      <c r="AG75" s="417">
        <f t="shared" si="7"/>
        <v>30900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8"/>
        <v>0</v>
      </c>
      <c r="AN75" s="417">
        <f t="shared" si="9"/>
        <v>0</v>
      </c>
      <c r="AO75" s="417">
        <f t="shared" si="10"/>
        <v>0</v>
      </c>
      <c r="AP75" s="417">
        <f t="shared" si="11"/>
        <v>30900</v>
      </c>
      <c r="AQ75" s="417">
        <f t="shared" si="11"/>
        <v>0</v>
      </c>
      <c r="AR75" s="417">
        <f t="shared" si="12"/>
        <v>30900</v>
      </c>
      <c r="AS75" s="68">
        <f t="shared" si="13"/>
        <v>10444</v>
      </c>
      <c r="AT75" s="68">
        <f t="shared" si="14"/>
        <v>309</v>
      </c>
      <c r="AU75" s="417">
        <v>0</v>
      </c>
      <c r="AV75" s="417">
        <v>0</v>
      </c>
      <c r="AW75" s="417">
        <v>0</v>
      </c>
      <c r="AX75" s="417">
        <f t="shared" si="15"/>
        <v>0</v>
      </c>
      <c r="AY75" s="417">
        <f t="shared" si="16"/>
        <v>41653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7"/>
        <v>0</v>
      </c>
      <c r="BJ75" s="418">
        <f t="shared" si="18"/>
        <v>0</v>
      </c>
      <c r="BK75" s="420">
        <f t="shared" si="19"/>
        <v>0</v>
      </c>
      <c r="BL75" s="772">
        <f t="shared" si="110"/>
        <v>878887</v>
      </c>
      <c r="BM75" s="772">
        <f t="shared" si="111"/>
        <v>651993</v>
      </c>
      <c r="BN75" s="417">
        <f t="shared" si="112"/>
        <v>651993</v>
      </c>
      <c r="BO75" s="417">
        <f t="shared" si="112"/>
        <v>0</v>
      </c>
      <c r="BP75" s="417">
        <f t="shared" si="113"/>
        <v>0</v>
      </c>
      <c r="BQ75" s="417">
        <f t="shared" si="114"/>
        <v>0</v>
      </c>
      <c r="BR75" s="417">
        <f t="shared" si="114"/>
        <v>0</v>
      </c>
      <c r="BS75" s="417">
        <f t="shared" si="115"/>
        <v>220373</v>
      </c>
      <c r="BT75" s="417">
        <f t="shared" si="115"/>
        <v>6521</v>
      </c>
      <c r="BU75" s="417">
        <f t="shared" si="116"/>
        <v>0</v>
      </c>
      <c r="BV75" s="418">
        <f t="shared" si="117"/>
        <v>1.88</v>
      </c>
      <c r="BW75" s="418">
        <f t="shared" si="118"/>
        <v>1.88</v>
      </c>
      <c r="BX75" s="420">
        <f t="shared" si="118"/>
        <v>0</v>
      </c>
      <c r="BY75" s="596"/>
      <c r="BZ75" s="595"/>
      <c r="CA75" s="595"/>
      <c r="CB75" s="595"/>
      <c r="CC75" s="595"/>
      <c r="CD75" s="981"/>
      <c r="CE75" s="596"/>
      <c r="CF75" s="595"/>
      <c r="CG75" s="595"/>
      <c r="CH75" s="595"/>
      <c r="CI75" s="595"/>
      <c r="CJ75" s="981"/>
      <c r="CK75" s="315"/>
    </row>
    <row r="76" spans="1:89" ht="12.95" customHeight="1">
      <c r="A76" s="280">
        <v>12</v>
      </c>
      <c r="B76" s="321">
        <v>5431</v>
      </c>
      <c r="C76" s="322">
        <v>600099016</v>
      </c>
      <c r="D76" s="281">
        <v>70698112</v>
      </c>
      <c r="E76" s="348" t="s">
        <v>430</v>
      </c>
      <c r="F76" s="321">
        <v>3141</v>
      </c>
      <c r="G76" s="345" t="s">
        <v>294</v>
      </c>
      <c r="H76" s="640" t="s">
        <v>272</v>
      </c>
      <c r="I76" s="419">
        <v>715630</v>
      </c>
      <c r="J76" s="414">
        <v>519067</v>
      </c>
      <c r="K76" s="414">
        <v>0</v>
      </c>
      <c r="L76" s="414">
        <v>519067</v>
      </c>
      <c r="M76" s="414">
        <v>10000</v>
      </c>
      <c r="N76" s="414">
        <v>0</v>
      </c>
      <c r="O76" s="414">
        <v>10000</v>
      </c>
      <c r="P76" s="68">
        <v>178824</v>
      </c>
      <c r="Q76" s="68">
        <v>5191</v>
      </c>
      <c r="R76" s="414">
        <v>2548</v>
      </c>
      <c r="S76" s="415">
        <v>1.59</v>
      </c>
      <c r="T76" s="416">
        <v>0</v>
      </c>
      <c r="U76" s="422">
        <v>1.59</v>
      </c>
      <c r="V76" s="423">
        <f t="shared" si="4"/>
        <v>0</v>
      </c>
      <c r="W76" s="417">
        <f t="shared" si="4"/>
        <v>0</v>
      </c>
      <c r="X76" s="417">
        <v>0</v>
      </c>
      <c r="Y76" s="417">
        <v>0</v>
      </c>
      <c r="Z76" s="417">
        <v>0</v>
      </c>
      <c r="AA76" s="417">
        <v>-1327</v>
      </c>
      <c r="AB76" s="417">
        <v>0</v>
      </c>
      <c r="AC76" s="417">
        <v>0</v>
      </c>
      <c r="AD76" s="417">
        <v>0</v>
      </c>
      <c r="AE76" s="417">
        <f t="shared" si="5"/>
        <v>0</v>
      </c>
      <c r="AF76" s="417">
        <f t="shared" si="6"/>
        <v>-1327</v>
      </c>
      <c r="AG76" s="417">
        <f t="shared" si="7"/>
        <v>-1327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8"/>
        <v>0</v>
      </c>
      <c r="AN76" s="417">
        <f t="shared" si="9"/>
        <v>0</v>
      </c>
      <c r="AO76" s="417">
        <f t="shared" si="10"/>
        <v>0</v>
      </c>
      <c r="AP76" s="417">
        <f t="shared" si="11"/>
        <v>0</v>
      </c>
      <c r="AQ76" s="417">
        <f t="shared" si="11"/>
        <v>-1327</v>
      </c>
      <c r="AR76" s="417">
        <f t="shared" si="12"/>
        <v>-1327</v>
      </c>
      <c r="AS76" s="68">
        <f t="shared" si="13"/>
        <v>-449</v>
      </c>
      <c r="AT76" s="68">
        <f t="shared" si="14"/>
        <v>-13</v>
      </c>
      <c r="AU76" s="417">
        <v>0</v>
      </c>
      <c r="AV76" s="417">
        <v>0</v>
      </c>
      <c r="AW76" s="417">
        <v>0</v>
      </c>
      <c r="AX76" s="417">
        <f t="shared" si="15"/>
        <v>0</v>
      </c>
      <c r="AY76" s="417">
        <f t="shared" si="16"/>
        <v>-1789</v>
      </c>
      <c r="AZ76" s="418">
        <v>0</v>
      </c>
      <c r="BA76" s="418">
        <v>0</v>
      </c>
      <c r="BB76" s="418">
        <v>0</v>
      </c>
      <c r="BC76" s="418">
        <v>0</v>
      </c>
      <c r="BD76" s="418">
        <v>-0.01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7"/>
        <v>0</v>
      </c>
      <c r="BJ76" s="418">
        <f t="shared" si="18"/>
        <v>-0.01</v>
      </c>
      <c r="BK76" s="420">
        <f t="shared" si="19"/>
        <v>-0.01</v>
      </c>
      <c r="BL76" s="772">
        <f t="shared" si="110"/>
        <v>713841</v>
      </c>
      <c r="BM76" s="772">
        <f t="shared" si="111"/>
        <v>517740</v>
      </c>
      <c r="BN76" s="417">
        <f t="shared" si="112"/>
        <v>0</v>
      </c>
      <c r="BO76" s="417">
        <f t="shared" si="112"/>
        <v>517740</v>
      </c>
      <c r="BP76" s="417">
        <f t="shared" si="113"/>
        <v>10000</v>
      </c>
      <c r="BQ76" s="417">
        <f t="shared" si="114"/>
        <v>0</v>
      </c>
      <c r="BR76" s="417">
        <f t="shared" si="114"/>
        <v>10000</v>
      </c>
      <c r="BS76" s="417">
        <f t="shared" si="115"/>
        <v>178375</v>
      </c>
      <c r="BT76" s="417">
        <f t="shared" si="115"/>
        <v>5178</v>
      </c>
      <c r="BU76" s="417">
        <f t="shared" si="116"/>
        <v>2548</v>
      </c>
      <c r="BV76" s="418">
        <f t="shared" si="117"/>
        <v>1.58</v>
      </c>
      <c r="BW76" s="418">
        <f t="shared" si="118"/>
        <v>0</v>
      </c>
      <c r="BX76" s="420">
        <f t="shared" si="118"/>
        <v>1.58</v>
      </c>
      <c r="BY76" s="596"/>
      <c r="BZ76" s="595"/>
      <c r="CA76" s="595"/>
      <c r="CB76" s="595"/>
      <c r="CC76" s="595"/>
      <c r="CD76" s="981"/>
      <c r="CE76" s="596"/>
      <c r="CF76" s="595"/>
      <c r="CG76" s="595"/>
      <c r="CH76" s="595"/>
      <c r="CI76" s="595"/>
      <c r="CJ76" s="981"/>
      <c r="CK76" s="315"/>
    </row>
    <row r="77" spans="1:89" ht="12.95" customHeight="1">
      <c r="A77" s="280">
        <v>12</v>
      </c>
      <c r="B77" s="321">
        <v>5431</v>
      </c>
      <c r="C77" s="322">
        <v>600099016</v>
      </c>
      <c r="D77" s="281">
        <v>70698112</v>
      </c>
      <c r="E77" s="348" t="s">
        <v>430</v>
      </c>
      <c r="F77" s="321">
        <v>3143</v>
      </c>
      <c r="G77" s="284" t="s">
        <v>595</v>
      </c>
      <c r="H77" s="640" t="s">
        <v>271</v>
      </c>
      <c r="I77" s="419">
        <v>421186</v>
      </c>
      <c r="J77" s="414">
        <v>312452</v>
      </c>
      <c r="K77" s="414">
        <v>312452</v>
      </c>
      <c r="L77" s="414">
        <v>0</v>
      </c>
      <c r="M77" s="414">
        <v>0</v>
      </c>
      <c r="N77" s="414">
        <v>0</v>
      </c>
      <c r="O77" s="414">
        <v>0</v>
      </c>
      <c r="P77" s="68">
        <v>105609</v>
      </c>
      <c r="Q77" s="68">
        <v>3125</v>
      </c>
      <c r="R77" s="414">
        <v>0</v>
      </c>
      <c r="S77" s="415">
        <v>0.67800000000000005</v>
      </c>
      <c r="T77" s="416">
        <v>0.67800000000000005</v>
      </c>
      <c r="U77" s="422">
        <v>0</v>
      </c>
      <c r="V77" s="423">
        <f t="shared" ref="V77:W136" si="119">AH77*-1</f>
        <v>0</v>
      </c>
      <c r="W77" s="417">
        <f t="shared" si="119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ref="AE77:AE136" si="120">V77+X77+Y77+Z77+AC77</f>
        <v>0</v>
      </c>
      <c r="AF77" s="417">
        <f t="shared" ref="AF77:AF136" si="121">W77+AA77+AD77+AB77</f>
        <v>0</v>
      </c>
      <c r="AG77" s="417">
        <f t="shared" ref="AG77:AG136" si="122">SUM(AE77:AF77)</f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136" si="123">AH77+AJ77+AK77</f>
        <v>0</v>
      </c>
      <c r="AN77" s="417">
        <f t="shared" ref="AN77:AN136" si="124">AI77+AL77</f>
        <v>0</v>
      </c>
      <c r="AO77" s="417">
        <f t="shared" ref="AO77:AO136" si="125">SUM(AM77:AN77)</f>
        <v>0</v>
      </c>
      <c r="AP77" s="417">
        <f t="shared" ref="AP77:AQ136" si="126">AE77+AM77</f>
        <v>0</v>
      </c>
      <c r="AQ77" s="417">
        <f t="shared" si="126"/>
        <v>0</v>
      </c>
      <c r="AR77" s="417">
        <f t="shared" ref="AR77:AR136" si="127">SUM(AP77:AQ77)</f>
        <v>0</v>
      </c>
      <c r="AS77" s="68">
        <f t="shared" ref="AS77:AS136" si="128">ROUND((AG77+AH77+AI77+AJ77)*33.8%,0)</f>
        <v>0</v>
      </c>
      <c r="AT77" s="68">
        <f t="shared" ref="AT77:AT136" si="129">ROUND(AG77*1%,0)</f>
        <v>0</v>
      </c>
      <c r="AU77" s="417">
        <v>0</v>
      </c>
      <c r="AV77" s="417">
        <v>0</v>
      </c>
      <c r="AW77" s="417">
        <v>0</v>
      </c>
      <c r="AX77" s="417">
        <f t="shared" ref="AX77:AX136" si="130">SUM(AU77:AW77)</f>
        <v>0</v>
      </c>
      <c r="AY77" s="417">
        <f t="shared" ref="AY77:AY136" si="131">AR77+AS77+AT77+AX77</f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ref="BI77:BI136" si="132">AZ77+BB77+BC77+BE77+BG77</f>
        <v>0</v>
      </c>
      <c r="BJ77" s="418">
        <f t="shared" ref="BJ77:BJ136" si="133">BA77+BD77+BH77+BF77</f>
        <v>0</v>
      </c>
      <c r="BK77" s="420">
        <f t="shared" ref="BK77:BK136" si="134">SUM(BI77:BJ77)</f>
        <v>0</v>
      </c>
      <c r="BL77" s="772">
        <f t="shared" si="110"/>
        <v>421186</v>
      </c>
      <c r="BM77" s="772">
        <f t="shared" si="111"/>
        <v>312452</v>
      </c>
      <c r="BN77" s="417">
        <f t="shared" si="112"/>
        <v>312452</v>
      </c>
      <c r="BO77" s="417">
        <f t="shared" si="112"/>
        <v>0</v>
      </c>
      <c r="BP77" s="417">
        <f t="shared" si="113"/>
        <v>0</v>
      </c>
      <c r="BQ77" s="417">
        <f t="shared" si="114"/>
        <v>0</v>
      </c>
      <c r="BR77" s="417">
        <f t="shared" si="114"/>
        <v>0</v>
      </c>
      <c r="BS77" s="417">
        <f t="shared" si="115"/>
        <v>105609</v>
      </c>
      <c r="BT77" s="417">
        <f t="shared" si="115"/>
        <v>3125</v>
      </c>
      <c r="BU77" s="417">
        <f t="shared" si="116"/>
        <v>0</v>
      </c>
      <c r="BV77" s="418">
        <f t="shared" si="117"/>
        <v>0.67800000000000005</v>
      </c>
      <c r="BW77" s="418">
        <f t="shared" si="118"/>
        <v>0.67800000000000005</v>
      </c>
      <c r="BX77" s="420">
        <f t="shared" si="118"/>
        <v>0</v>
      </c>
      <c r="BY77" s="596"/>
      <c r="BZ77" s="595"/>
      <c r="CA77" s="595"/>
      <c r="CB77" s="595"/>
      <c r="CC77" s="595"/>
      <c r="CD77" s="981"/>
      <c r="CE77" s="596"/>
      <c r="CF77" s="595"/>
      <c r="CG77" s="595"/>
      <c r="CH77" s="595"/>
      <c r="CI77" s="595"/>
      <c r="CJ77" s="981"/>
      <c r="CK77" s="315"/>
    </row>
    <row r="78" spans="1:89" ht="12.95" customHeight="1">
      <c r="A78" s="280">
        <v>12</v>
      </c>
      <c r="B78" s="321">
        <v>5431</v>
      </c>
      <c r="C78" s="322">
        <v>600099016</v>
      </c>
      <c r="D78" s="281">
        <v>70698112</v>
      </c>
      <c r="E78" s="348" t="s">
        <v>430</v>
      </c>
      <c r="F78" s="321">
        <v>3143</v>
      </c>
      <c r="G78" s="284" t="s">
        <v>596</v>
      </c>
      <c r="H78" s="640" t="s">
        <v>272</v>
      </c>
      <c r="I78" s="419">
        <v>15368</v>
      </c>
      <c r="J78" s="414">
        <v>11000</v>
      </c>
      <c r="K78" s="414">
        <v>0</v>
      </c>
      <c r="L78" s="414">
        <v>11000</v>
      </c>
      <c r="M78" s="414">
        <v>0</v>
      </c>
      <c r="N78" s="414">
        <v>0</v>
      </c>
      <c r="O78" s="414">
        <v>0</v>
      </c>
      <c r="P78" s="68">
        <v>3718</v>
      </c>
      <c r="Q78" s="68">
        <v>110</v>
      </c>
      <c r="R78" s="414">
        <v>540</v>
      </c>
      <c r="S78" s="415">
        <v>3.78E-2</v>
      </c>
      <c r="T78" s="416">
        <v>0</v>
      </c>
      <c r="U78" s="422">
        <v>3.78E-2</v>
      </c>
      <c r="V78" s="423">
        <f t="shared" si="119"/>
        <v>0</v>
      </c>
      <c r="W78" s="417">
        <f t="shared" si="119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si="120"/>
        <v>0</v>
      </c>
      <c r="AF78" s="417">
        <f t="shared" si="121"/>
        <v>0</v>
      </c>
      <c r="AG78" s="417">
        <f t="shared" si="122"/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si="123"/>
        <v>0</v>
      </c>
      <c r="AN78" s="417">
        <f t="shared" si="124"/>
        <v>0</v>
      </c>
      <c r="AO78" s="417">
        <f t="shared" si="125"/>
        <v>0</v>
      </c>
      <c r="AP78" s="417">
        <f t="shared" si="126"/>
        <v>0</v>
      </c>
      <c r="AQ78" s="417">
        <f t="shared" si="126"/>
        <v>0</v>
      </c>
      <c r="AR78" s="417">
        <f t="shared" si="127"/>
        <v>0</v>
      </c>
      <c r="AS78" s="68">
        <f t="shared" si="128"/>
        <v>0</v>
      </c>
      <c r="AT78" s="68">
        <f t="shared" si="129"/>
        <v>0</v>
      </c>
      <c r="AU78" s="417">
        <v>0</v>
      </c>
      <c r="AV78" s="417">
        <v>0</v>
      </c>
      <c r="AW78" s="417">
        <v>0</v>
      </c>
      <c r="AX78" s="417">
        <f t="shared" si="130"/>
        <v>0</v>
      </c>
      <c r="AY78" s="417">
        <f t="shared" si="131"/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si="132"/>
        <v>0</v>
      </c>
      <c r="BJ78" s="418">
        <f t="shared" si="133"/>
        <v>0</v>
      </c>
      <c r="BK78" s="420">
        <f t="shared" si="134"/>
        <v>0</v>
      </c>
      <c r="BL78" s="772">
        <f t="shared" si="110"/>
        <v>15368</v>
      </c>
      <c r="BM78" s="772">
        <f t="shared" si="111"/>
        <v>11000</v>
      </c>
      <c r="BN78" s="417">
        <f t="shared" si="112"/>
        <v>0</v>
      </c>
      <c r="BO78" s="417">
        <f t="shared" si="112"/>
        <v>11000</v>
      </c>
      <c r="BP78" s="417">
        <f t="shared" si="113"/>
        <v>0</v>
      </c>
      <c r="BQ78" s="417">
        <f t="shared" si="114"/>
        <v>0</v>
      </c>
      <c r="BR78" s="417">
        <f t="shared" si="114"/>
        <v>0</v>
      </c>
      <c r="BS78" s="417">
        <f t="shared" si="115"/>
        <v>3718</v>
      </c>
      <c r="BT78" s="417">
        <f t="shared" si="115"/>
        <v>110</v>
      </c>
      <c r="BU78" s="417">
        <f t="shared" si="116"/>
        <v>540</v>
      </c>
      <c r="BV78" s="418">
        <f t="shared" si="117"/>
        <v>3.78E-2</v>
      </c>
      <c r="BW78" s="418">
        <f t="shared" si="118"/>
        <v>0</v>
      </c>
      <c r="BX78" s="420">
        <f t="shared" si="118"/>
        <v>3.78E-2</v>
      </c>
      <c r="BY78" s="596"/>
      <c r="BZ78" s="595"/>
      <c r="CA78" s="595"/>
      <c r="CB78" s="595"/>
      <c r="CC78" s="595"/>
      <c r="CD78" s="981"/>
      <c r="CE78" s="596"/>
      <c r="CF78" s="595"/>
      <c r="CG78" s="595"/>
      <c r="CH78" s="595"/>
      <c r="CI78" s="595"/>
      <c r="CJ78" s="981"/>
      <c r="CK78" s="315"/>
    </row>
    <row r="79" spans="1:89" ht="12.95" customHeight="1">
      <c r="A79" s="641">
        <v>12</v>
      </c>
      <c r="B79" s="325">
        <v>5431</v>
      </c>
      <c r="C79" s="326">
        <v>600099016</v>
      </c>
      <c r="D79" s="325">
        <v>70698112</v>
      </c>
      <c r="E79" s="349" t="s">
        <v>431</v>
      </c>
      <c r="F79" s="352"/>
      <c r="G79" s="353"/>
      <c r="H79" s="644"/>
      <c r="I79" s="477">
        <v>7021771</v>
      </c>
      <c r="J79" s="475">
        <v>5152409</v>
      </c>
      <c r="K79" s="475">
        <v>4124017</v>
      </c>
      <c r="L79" s="475">
        <v>1028392</v>
      </c>
      <c r="M79" s="475">
        <v>20000</v>
      </c>
      <c r="N79" s="475">
        <v>10000</v>
      </c>
      <c r="O79" s="475">
        <v>10000</v>
      </c>
      <c r="P79" s="475">
        <v>1748273</v>
      </c>
      <c r="Q79" s="475">
        <v>51526</v>
      </c>
      <c r="R79" s="475">
        <v>49563</v>
      </c>
      <c r="S79" s="476">
        <v>11.098700000000001</v>
      </c>
      <c r="T79" s="476">
        <v>8.0579000000000001</v>
      </c>
      <c r="U79" s="535">
        <v>3.0407999999999999</v>
      </c>
      <c r="V79" s="472">
        <f t="shared" ref="V79:BK79" si="135">SUM(V73:V78)</f>
        <v>0</v>
      </c>
      <c r="W79" s="469">
        <f t="shared" si="135"/>
        <v>0</v>
      </c>
      <c r="X79" s="469">
        <f t="shared" si="135"/>
        <v>30900</v>
      </c>
      <c r="Y79" s="469">
        <f t="shared" si="135"/>
        <v>0</v>
      </c>
      <c r="Z79" s="469">
        <f t="shared" si="135"/>
        <v>0</v>
      </c>
      <c r="AA79" s="469">
        <f t="shared" si="135"/>
        <v>-1327</v>
      </c>
      <c r="AB79" s="469">
        <f t="shared" si="135"/>
        <v>0</v>
      </c>
      <c r="AC79" s="469">
        <f t="shared" si="135"/>
        <v>0</v>
      </c>
      <c r="AD79" s="469">
        <f t="shared" si="135"/>
        <v>0</v>
      </c>
      <c r="AE79" s="469">
        <f t="shared" si="135"/>
        <v>30900</v>
      </c>
      <c r="AF79" s="469">
        <f t="shared" si="135"/>
        <v>-1327</v>
      </c>
      <c r="AG79" s="469">
        <f t="shared" si="135"/>
        <v>29573</v>
      </c>
      <c r="AH79" s="469">
        <f t="shared" si="135"/>
        <v>0</v>
      </c>
      <c r="AI79" s="469">
        <f t="shared" si="135"/>
        <v>0</v>
      </c>
      <c r="AJ79" s="469">
        <f t="shared" si="135"/>
        <v>0</v>
      </c>
      <c r="AK79" s="469">
        <f t="shared" si="135"/>
        <v>0</v>
      </c>
      <c r="AL79" s="469">
        <f t="shared" si="135"/>
        <v>0</v>
      </c>
      <c r="AM79" s="469">
        <f t="shared" si="135"/>
        <v>0</v>
      </c>
      <c r="AN79" s="469">
        <f t="shared" si="135"/>
        <v>0</v>
      </c>
      <c r="AO79" s="469">
        <f t="shared" si="135"/>
        <v>0</v>
      </c>
      <c r="AP79" s="469">
        <f t="shared" si="135"/>
        <v>30900</v>
      </c>
      <c r="AQ79" s="469">
        <f t="shared" si="135"/>
        <v>-1327</v>
      </c>
      <c r="AR79" s="469">
        <f t="shared" si="135"/>
        <v>29573</v>
      </c>
      <c r="AS79" s="469">
        <f t="shared" si="135"/>
        <v>9995</v>
      </c>
      <c r="AT79" s="469">
        <f t="shared" si="135"/>
        <v>296</v>
      </c>
      <c r="AU79" s="469">
        <f t="shared" si="135"/>
        <v>0</v>
      </c>
      <c r="AV79" s="469">
        <f t="shared" si="135"/>
        <v>0</v>
      </c>
      <c r="AW79" s="469">
        <f t="shared" si="135"/>
        <v>0</v>
      </c>
      <c r="AX79" s="469">
        <f t="shared" si="135"/>
        <v>0</v>
      </c>
      <c r="AY79" s="469">
        <f t="shared" si="135"/>
        <v>39864</v>
      </c>
      <c r="AZ79" s="470">
        <f t="shared" si="135"/>
        <v>0</v>
      </c>
      <c r="BA79" s="470">
        <f t="shared" si="135"/>
        <v>0</v>
      </c>
      <c r="BB79" s="470">
        <f t="shared" si="135"/>
        <v>0</v>
      </c>
      <c r="BC79" s="470">
        <f t="shared" si="135"/>
        <v>0</v>
      </c>
      <c r="BD79" s="470">
        <f t="shared" si="135"/>
        <v>-0.01</v>
      </c>
      <c r="BE79" s="470">
        <f t="shared" si="135"/>
        <v>0</v>
      </c>
      <c r="BF79" s="470">
        <f t="shared" si="135"/>
        <v>0</v>
      </c>
      <c r="BG79" s="470">
        <f t="shared" si="135"/>
        <v>0</v>
      </c>
      <c r="BH79" s="470">
        <f t="shared" si="135"/>
        <v>0</v>
      </c>
      <c r="BI79" s="470">
        <f t="shared" si="135"/>
        <v>0</v>
      </c>
      <c r="BJ79" s="470">
        <f t="shared" si="135"/>
        <v>-0.01</v>
      </c>
      <c r="BK79" s="333">
        <f t="shared" si="135"/>
        <v>-0.01</v>
      </c>
      <c r="BL79" s="775">
        <f t="shared" ref="BL79:CG79" si="136">SUM(BL73:BL78)</f>
        <v>7061635</v>
      </c>
      <c r="BM79" s="775">
        <f t="shared" si="136"/>
        <v>5181982</v>
      </c>
      <c r="BN79" s="469">
        <f t="shared" si="136"/>
        <v>4154917</v>
      </c>
      <c r="BO79" s="469">
        <f t="shared" si="136"/>
        <v>1027065</v>
      </c>
      <c r="BP79" s="469">
        <f t="shared" si="136"/>
        <v>20000</v>
      </c>
      <c r="BQ79" s="469">
        <f t="shared" si="136"/>
        <v>10000</v>
      </c>
      <c r="BR79" s="469">
        <f t="shared" si="136"/>
        <v>10000</v>
      </c>
      <c r="BS79" s="469">
        <f t="shared" si="136"/>
        <v>1758268</v>
      </c>
      <c r="BT79" s="469">
        <f t="shared" si="136"/>
        <v>51822</v>
      </c>
      <c r="BU79" s="469">
        <f t="shared" si="136"/>
        <v>49563</v>
      </c>
      <c r="BV79" s="470">
        <f t="shared" si="136"/>
        <v>11.088700000000001</v>
      </c>
      <c r="BW79" s="470">
        <f t="shared" si="136"/>
        <v>8.0579000000000001</v>
      </c>
      <c r="BX79" s="333">
        <f t="shared" si="136"/>
        <v>3.0308000000000002</v>
      </c>
      <c r="BY79" s="1004">
        <f t="shared" si="136"/>
        <v>0</v>
      </c>
      <c r="BZ79" s="722">
        <f t="shared" si="136"/>
        <v>0</v>
      </c>
      <c r="CA79" s="722">
        <f t="shared" si="136"/>
        <v>0</v>
      </c>
      <c r="CB79" s="722">
        <f t="shared" si="136"/>
        <v>0</v>
      </c>
      <c r="CC79" s="722">
        <f t="shared" si="136"/>
        <v>0</v>
      </c>
      <c r="CD79" s="827">
        <f t="shared" si="136"/>
        <v>0</v>
      </c>
      <c r="CE79" s="996">
        <f t="shared" si="136"/>
        <v>225242</v>
      </c>
      <c r="CF79" s="996">
        <f t="shared" si="136"/>
        <v>159941</v>
      </c>
      <c r="CG79" s="996">
        <f t="shared" si="136"/>
        <v>54060</v>
      </c>
      <c r="CH79" s="996">
        <f t="shared" ref="CH79:CJ79" si="137">SUM(CH73:CH78)</f>
        <v>1599</v>
      </c>
      <c r="CI79" s="996">
        <f t="shared" si="137"/>
        <v>9642</v>
      </c>
      <c r="CJ79" s="934">
        <f t="shared" si="137"/>
        <v>0.45350000000000001</v>
      </c>
      <c r="CK79" s="315"/>
    </row>
    <row r="80" spans="1:89" ht="12.95" customHeight="1">
      <c r="A80" s="280">
        <v>13</v>
      </c>
      <c r="B80" s="321">
        <v>5487</v>
      </c>
      <c r="C80" s="322">
        <v>600098796</v>
      </c>
      <c r="D80" s="281">
        <v>71006753</v>
      </c>
      <c r="E80" s="348" t="s">
        <v>432</v>
      </c>
      <c r="F80" s="321">
        <v>3111</v>
      </c>
      <c r="G80" s="345" t="s">
        <v>304</v>
      </c>
      <c r="H80" s="640" t="s">
        <v>271</v>
      </c>
      <c r="I80" s="419">
        <v>1265513</v>
      </c>
      <c r="J80" s="414">
        <v>903382</v>
      </c>
      <c r="K80" s="414">
        <v>800250</v>
      </c>
      <c r="L80" s="414">
        <v>103132</v>
      </c>
      <c r="M80" s="414">
        <v>33000</v>
      </c>
      <c r="N80" s="414">
        <v>0</v>
      </c>
      <c r="O80" s="414">
        <v>33000</v>
      </c>
      <c r="P80" s="68">
        <v>316497</v>
      </c>
      <c r="Q80" s="68">
        <v>9034</v>
      </c>
      <c r="R80" s="414">
        <v>3600</v>
      </c>
      <c r="S80" s="415">
        <v>1.9289999999999998</v>
      </c>
      <c r="T80" s="416">
        <v>1.5980000000000001</v>
      </c>
      <c r="U80" s="422">
        <v>0.33099999999999996</v>
      </c>
      <c r="V80" s="423">
        <f t="shared" si="119"/>
        <v>0</v>
      </c>
      <c r="W80" s="417">
        <f t="shared" si="119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20"/>
        <v>0</v>
      </c>
      <c r="AF80" s="417">
        <f t="shared" si="121"/>
        <v>0</v>
      </c>
      <c r="AG80" s="417">
        <f t="shared" si="122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23"/>
        <v>0</v>
      </c>
      <c r="AN80" s="417">
        <f t="shared" si="124"/>
        <v>0</v>
      </c>
      <c r="AO80" s="417">
        <f t="shared" si="125"/>
        <v>0</v>
      </c>
      <c r="AP80" s="417">
        <f t="shared" si="126"/>
        <v>0</v>
      </c>
      <c r="AQ80" s="417">
        <f t="shared" si="126"/>
        <v>0</v>
      </c>
      <c r="AR80" s="417">
        <f t="shared" si="127"/>
        <v>0</v>
      </c>
      <c r="AS80" s="68">
        <f t="shared" si="128"/>
        <v>0</v>
      </c>
      <c r="AT80" s="68">
        <f t="shared" si="129"/>
        <v>0</v>
      </c>
      <c r="AU80" s="417">
        <v>0</v>
      </c>
      <c r="AV80" s="417">
        <v>0</v>
      </c>
      <c r="AW80" s="417">
        <v>0</v>
      </c>
      <c r="AX80" s="417">
        <f t="shared" si="130"/>
        <v>0</v>
      </c>
      <c r="AY80" s="417">
        <f t="shared" si="131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32"/>
        <v>0</v>
      </c>
      <c r="BJ80" s="418">
        <f t="shared" si="133"/>
        <v>0</v>
      </c>
      <c r="BK80" s="420">
        <f t="shared" si="134"/>
        <v>0</v>
      </c>
      <c r="BL80" s="772">
        <f>I80+AY80</f>
        <v>1265513</v>
      </c>
      <c r="BM80" s="772">
        <f>J80+AG80</f>
        <v>903382</v>
      </c>
      <c r="BN80" s="417">
        <f t="shared" ref="BN80:BO82" si="138">K80+AE80</f>
        <v>800250</v>
      </c>
      <c r="BO80" s="417">
        <f t="shared" si="138"/>
        <v>103132</v>
      </c>
      <c r="BP80" s="417">
        <f>M80+AO80</f>
        <v>33000</v>
      </c>
      <c r="BQ80" s="417">
        <f t="shared" ref="BQ80:BR82" si="139">N80+AM80</f>
        <v>0</v>
      </c>
      <c r="BR80" s="417">
        <f t="shared" si="139"/>
        <v>33000</v>
      </c>
      <c r="BS80" s="417">
        <f t="shared" ref="BS80:BT82" si="140">P80+AS80</f>
        <v>316497</v>
      </c>
      <c r="BT80" s="417">
        <f t="shared" si="140"/>
        <v>9034</v>
      </c>
      <c r="BU80" s="417">
        <f>R80+AX80</f>
        <v>3600</v>
      </c>
      <c r="BV80" s="418">
        <f>S80+BK80</f>
        <v>1.9289999999999998</v>
      </c>
      <c r="BW80" s="418">
        <f t="shared" ref="BW80:BX82" si="141">T80+BI80</f>
        <v>1.5980000000000001</v>
      </c>
      <c r="BX80" s="420">
        <f t="shared" si="141"/>
        <v>0.33099999999999996</v>
      </c>
      <c r="BY80" s="596"/>
      <c r="BZ80" s="595"/>
      <c r="CA80" s="595"/>
      <c r="CB80" s="595"/>
      <c r="CC80" s="595"/>
      <c r="CD80" s="981"/>
      <c r="CE80" s="596">
        <v>60087</v>
      </c>
      <c r="CF80" s="595">
        <v>43687</v>
      </c>
      <c r="CG80" s="595">
        <v>14766</v>
      </c>
      <c r="CH80" s="595">
        <v>437</v>
      </c>
      <c r="CI80" s="595">
        <v>1197</v>
      </c>
      <c r="CJ80" s="981">
        <v>0.14150000000000001</v>
      </c>
      <c r="CK80" s="315"/>
    </row>
    <row r="81" spans="1:89" ht="12.95" customHeight="1">
      <c r="A81" s="280">
        <v>13</v>
      </c>
      <c r="B81" s="321">
        <v>5487</v>
      </c>
      <c r="C81" s="322">
        <v>600098796</v>
      </c>
      <c r="D81" s="281">
        <v>71006753</v>
      </c>
      <c r="E81" s="348" t="s">
        <v>432</v>
      </c>
      <c r="F81" s="321">
        <v>3111</v>
      </c>
      <c r="G81" s="284" t="s">
        <v>291</v>
      </c>
      <c r="H81" s="640" t="s">
        <v>272</v>
      </c>
      <c r="I81" s="419">
        <v>0</v>
      </c>
      <c r="J81" s="414">
        <v>0</v>
      </c>
      <c r="K81" s="414">
        <v>0</v>
      </c>
      <c r="L81" s="414">
        <v>0</v>
      </c>
      <c r="M81" s="414">
        <v>0</v>
      </c>
      <c r="N81" s="414">
        <v>0</v>
      </c>
      <c r="O81" s="414">
        <v>0</v>
      </c>
      <c r="P81" s="68">
        <v>0</v>
      </c>
      <c r="Q81" s="68">
        <v>0</v>
      </c>
      <c r="R81" s="414">
        <v>0</v>
      </c>
      <c r="S81" s="415">
        <v>0</v>
      </c>
      <c r="T81" s="416">
        <v>0</v>
      </c>
      <c r="U81" s="422">
        <v>0</v>
      </c>
      <c r="V81" s="423">
        <f t="shared" si="119"/>
        <v>0</v>
      </c>
      <c r="W81" s="417">
        <f t="shared" si="119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20"/>
        <v>0</v>
      </c>
      <c r="AF81" s="417">
        <f t="shared" si="121"/>
        <v>0</v>
      </c>
      <c r="AG81" s="417">
        <f t="shared" si="122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23"/>
        <v>0</v>
      </c>
      <c r="AN81" s="417">
        <f t="shared" si="124"/>
        <v>0</v>
      </c>
      <c r="AO81" s="417">
        <f t="shared" si="125"/>
        <v>0</v>
      </c>
      <c r="AP81" s="417">
        <f t="shared" si="126"/>
        <v>0</v>
      </c>
      <c r="AQ81" s="417">
        <f t="shared" si="126"/>
        <v>0</v>
      </c>
      <c r="AR81" s="417">
        <f t="shared" si="127"/>
        <v>0</v>
      </c>
      <c r="AS81" s="68">
        <f t="shared" si="128"/>
        <v>0</v>
      </c>
      <c r="AT81" s="68">
        <f t="shared" si="129"/>
        <v>0</v>
      </c>
      <c r="AU81" s="417">
        <v>0</v>
      </c>
      <c r="AV81" s="417">
        <v>0</v>
      </c>
      <c r="AW81" s="417">
        <v>0</v>
      </c>
      <c r="AX81" s="417">
        <f t="shared" si="130"/>
        <v>0</v>
      </c>
      <c r="AY81" s="417">
        <f t="shared" si="131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32"/>
        <v>0</v>
      </c>
      <c r="BJ81" s="418">
        <f t="shared" si="133"/>
        <v>0</v>
      </c>
      <c r="BK81" s="420">
        <f t="shared" si="134"/>
        <v>0</v>
      </c>
      <c r="BL81" s="772">
        <f>I81+AY81</f>
        <v>0</v>
      </c>
      <c r="BM81" s="772">
        <f>J81+AG81</f>
        <v>0</v>
      </c>
      <c r="BN81" s="417">
        <f t="shared" si="138"/>
        <v>0</v>
      </c>
      <c r="BO81" s="417">
        <f t="shared" si="138"/>
        <v>0</v>
      </c>
      <c r="BP81" s="417">
        <f>M81+AO81</f>
        <v>0</v>
      </c>
      <c r="BQ81" s="417">
        <f t="shared" si="139"/>
        <v>0</v>
      </c>
      <c r="BR81" s="417">
        <f t="shared" si="139"/>
        <v>0</v>
      </c>
      <c r="BS81" s="417">
        <f t="shared" si="140"/>
        <v>0</v>
      </c>
      <c r="BT81" s="417">
        <f t="shared" si="140"/>
        <v>0</v>
      </c>
      <c r="BU81" s="417">
        <f>R81+AX81</f>
        <v>0</v>
      </c>
      <c r="BV81" s="418">
        <f>S81+BK81</f>
        <v>0</v>
      </c>
      <c r="BW81" s="418">
        <f t="shared" si="141"/>
        <v>0</v>
      </c>
      <c r="BX81" s="420">
        <f t="shared" si="141"/>
        <v>0</v>
      </c>
      <c r="BY81" s="596"/>
      <c r="BZ81" s="595"/>
      <c r="CA81" s="595"/>
      <c r="CB81" s="595"/>
      <c r="CC81" s="595"/>
      <c r="CD81" s="981"/>
      <c r="CE81" s="596"/>
      <c r="CF81" s="595"/>
      <c r="CG81" s="595"/>
      <c r="CH81" s="595"/>
      <c r="CI81" s="595"/>
      <c r="CJ81" s="981"/>
      <c r="CK81" s="315"/>
    </row>
    <row r="82" spans="1:89" ht="12.95" customHeight="1">
      <c r="A82" s="280">
        <v>13</v>
      </c>
      <c r="B82" s="321">
        <v>5487</v>
      </c>
      <c r="C82" s="322">
        <v>600098796</v>
      </c>
      <c r="D82" s="281">
        <v>71006753</v>
      </c>
      <c r="E82" s="348" t="s">
        <v>432</v>
      </c>
      <c r="F82" s="321">
        <v>3141</v>
      </c>
      <c r="G82" s="345" t="s">
        <v>294</v>
      </c>
      <c r="H82" s="640" t="s">
        <v>272</v>
      </c>
      <c r="I82" s="419">
        <v>172215</v>
      </c>
      <c r="J82" s="414">
        <v>127409</v>
      </c>
      <c r="K82" s="414">
        <v>833</v>
      </c>
      <c r="L82" s="414">
        <v>126576</v>
      </c>
      <c r="M82" s="414">
        <v>0</v>
      </c>
      <c r="N82" s="414">
        <v>0</v>
      </c>
      <c r="O82" s="414">
        <v>0</v>
      </c>
      <c r="P82" s="68">
        <v>43064</v>
      </c>
      <c r="Q82" s="68">
        <v>1274</v>
      </c>
      <c r="R82" s="414">
        <v>468</v>
      </c>
      <c r="S82" s="415">
        <v>0.38330000000000003</v>
      </c>
      <c r="T82" s="416">
        <v>0</v>
      </c>
      <c r="U82" s="422">
        <v>0.38330000000000003</v>
      </c>
      <c r="V82" s="423">
        <f t="shared" si="119"/>
        <v>0</v>
      </c>
      <c r="W82" s="417">
        <f t="shared" si="119"/>
        <v>0</v>
      </c>
      <c r="X82" s="417">
        <v>0</v>
      </c>
      <c r="Y82" s="417">
        <v>0</v>
      </c>
      <c r="Z82" s="417">
        <v>0</v>
      </c>
      <c r="AA82" s="417">
        <v>3855</v>
      </c>
      <c r="AB82" s="417">
        <v>0</v>
      </c>
      <c r="AC82" s="417">
        <v>0</v>
      </c>
      <c r="AD82" s="417">
        <v>0</v>
      </c>
      <c r="AE82" s="417">
        <f t="shared" si="120"/>
        <v>0</v>
      </c>
      <c r="AF82" s="417">
        <f t="shared" si="121"/>
        <v>3855</v>
      </c>
      <c r="AG82" s="417">
        <f t="shared" si="122"/>
        <v>3855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23"/>
        <v>0</v>
      </c>
      <c r="AN82" s="417">
        <f t="shared" si="124"/>
        <v>0</v>
      </c>
      <c r="AO82" s="417">
        <f t="shared" si="125"/>
        <v>0</v>
      </c>
      <c r="AP82" s="417">
        <f t="shared" si="126"/>
        <v>0</v>
      </c>
      <c r="AQ82" s="417">
        <f t="shared" si="126"/>
        <v>3855</v>
      </c>
      <c r="AR82" s="417">
        <f t="shared" si="127"/>
        <v>3855</v>
      </c>
      <c r="AS82" s="68">
        <f t="shared" si="128"/>
        <v>1303</v>
      </c>
      <c r="AT82" s="68">
        <f t="shared" si="129"/>
        <v>39</v>
      </c>
      <c r="AU82" s="417">
        <v>0</v>
      </c>
      <c r="AV82" s="417">
        <v>0</v>
      </c>
      <c r="AW82" s="417">
        <v>0</v>
      </c>
      <c r="AX82" s="417">
        <f t="shared" si="130"/>
        <v>0</v>
      </c>
      <c r="AY82" s="417">
        <f t="shared" si="131"/>
        <v>5197</v>
      </c>
      <c r="AZ82" s="418">
        <v>0</v>
      </c>
      <c r="BA82" s="418">
        <v>0</v>
      </c>
      <c r="BB82" s="418">
        <v>0</v>
      </c>
      <c r="BC82" s="418">
        <v>0</v>
      </c>
      <c r="BD82" s="418">
        <v>0.01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32"/>
        <v>0</v>
      </c>
      <c r="BJ82" s="418">
        <f t="shared" si="133"/>
        <v>0.01</v>
      </c>
      <c r="BK82" s="420">
        <f t="shared" si="134"/>
        <v>0.01</v>
      </c>
      <c r="BL82" s="772">
        <f>I82+AY82</f>
        <v>177412</v>
      </c>
      <c r="BM82" s="772">
        <f>J82+AG82</f>
        <v>131264</v>
      </c>
      <c r="BN82" s="417">
        <f t="shared" si="138"/>
        <v>833</v>
      </c>
      <c r="BO82" s="417">
        <f t="shared" si="138"/>
        <v>130431</v>
      </c>
      <c r="BP82" s="417">
        <f>M82+AO82</f>
        <v>0</v>
      </c>
      <c r="BQ82" s="417">
        <f t="shared" si="139"/>
        <v>0</v>
      </c>
      <c r="BR82" s="417">
        <f t="shared" si="139"/>
        <v>0</v>
      </c>
      <c r="BS82" s="417">
        <f t="shared" si="140"/>
        <v>44367</v>
      </c>
      <c r="BT82" s="417">
        <f t="shared" si="140"/>
        <v>1313</v>
      </c>
      <c r="BU82" s="417">
        <f>R82+AX82</f>
        <v>468</v>
      </c>
      <c r="BV82" s="418">
        <f>S82+BK82</f>
        <v>0.39330000000000004</v>
      </c>
      <c r="BW82" s="418">
        <f t="shared" si="141"/>
        <v>0</v>
      </c>
      <c r="BX82" s="420">
        <f t="shared" si="141"/>
        <v>0.39330000000000004</v>
      </c>
      <c r="BY82" s="596"/>
      <c r="BZ82" s="595"/>
      <c r="CA82" s="595"/>
      <c r="CB82" s="595"/>
      <c r="CC82" s="595"/>
      <c r="CD82" s="981"/>
      <c r="CE82" s="596"/>
      <c r="CF82" s="595"/>
      <c r="CG82" s="595"/>
      <c r="CH82" s="595"/>
      <c r="CI82" s="595"/>
      <c r="CJ82" s="981"/>
      <c r="CK82" s="315"/>
    </row>
    <row r="83" spans="1:89" ht="12.95" customHeight="1">
      <c r="A83" s="641">
        <v>13</v>
      </c>
      <c r="B83" s="325">
        <v>5487</v>
      </c>
      <c r="C83" s="326">
        <v>600098796</v>
      </c>
      <c r="D83" s="325">
        <v>71006753</v>
      </c>
      <c r="E83" s="349" t="s">
        <v>433</v>
      </c>
      <c r="F83" s="325"/>
      <c r="G83" s="350"/>
      <c r="H83" s="643"/>
      <c r="I83" s="464">
        <v>1437728</v>
      </c>
      <c r="J83" s="460">
        <v>1030791</v>
      </c>
      <c r="K83" s="460">
        <v>801083</v>
      </c>
      <c r="L83" s="460">
        <v>229708</v>
      </c>
      <c r="M83" s="460">
        <v>33000</v>
      </c>
      <c r="N83" s="460">
        <v>0</v>
      </c>
      <c r="O83" s="460">
        <v>33000</v>
      </c>
      <c r="P83" s="460">
        <v>359561</v>
      </c>
      <c r="Q83" s="460">
        <v>10308</v>
      </c>
      <c r="R83" s="460">
        <v>4068</v>
      </c>
      <c r="S83" s="461">
        <v>2.3123</v>
      </c>
      <c r="T83" s="461">
        <v>1.5980000000000001</v>
      </c>
      <c r="U83" s="534">
        <v>0.71429999999999993</v>
      </c>
      <c r="V83" s="471">
        <f t="shared" ref="V83:BK83" si="142">SUM(V80:V82)</f>
        <v>0</v>
      </c>
      <c r="W83" s="467">
        <f t="shared" si="142"/>
        <v>0</v>
      </c>
      <c r="X83" s="467">
        <f t="shared" si="142"/>
        <v>0</v>
      </c>
      <c r="Y83" s="467">
        <f t="shared" si="142"/>
        <v>0</v>
      </c>
      <c r="Z83" s="467">
        <f t="shared" si="142"/>
        <v>0</v>
      </c>
      <c r="AA83" s="467">
        <f t="shared" si="142"/>
        <v>3855</v>
      </c>
      <c r="AB83" s="467">
        <f t="shared" si="142"/>
        <v>0</v>
      </c>
      <c r="AC83" s="467">
        <f t="shared" si="142"/>
        <v>0</v>
      </c>
      <c r="AD83" s="467">
        <f t="shared" si="142"/>
        <v>0</v>
      </c>
      <c r="AE83" s="467">
        <f t="shared" si="142"/>
        <v>0</v>
      </c>
      <c r="AF83" s="467">
        <f t="shared" si="142"/>
        <v>3855</v>
      </c>
      <c r="AG83" s="467">
        <f t="shared" si="142"/>
        <v>3855</v>
      </c>
      <c r="AH83" s="467">
        <f t="shared" si="142"/>
        <v>0</v>
      </c>
      <c r="AI83" s="467">
        <f t="shared" si="142"/>
        <v>0</v>
      </c>
      <c r="AJ83" s="467">
        <f t="shared" si="142"/>
        <v>0</v>
      </c>
      <c r="AK83" s="467">
        <f t="shared" si="142"/>
        <v>0</v>
      </c>
      <c r="AL83" s="467">
        <f t="shared" si="142"/>
        <v>0</v>
      </c>
      <c r="AM83" s="467">
        <f t="shared" si="142"/>
        <v>0</v>
      </c>
      <c r="AN83" s="467">
        <f t="shared" si="142"/>
        <v>0</v>
      </c>
      <c r="AO83" s="467">
        <f t="shared" si="142"/>
        <v>0</v>
      </c>
      <c r="AP83" s="467">
        <f t="shared" si="142"/>
        <v>0</v>
      </c>
      <c r="AQ83" s="467">
        <f t="shared" si="142"/>
        <v>3855</v>
      </c>
      <c r="AR83" s="467">
        <f t="shared" si="142"/>
        <v>3855</v>
      </c>
      <c r="AS83" s="467">
        <f t="shared" si="142"/>
        <v>1303</v>
      </c>
      <c r="AT83" s="467">
        <f t="shared" si="142"/>
        <v>39</v>
      </c>
      <c r="AU83" s="467">
        <f t="shared" si="142"/>
        <v>0</v>
      </c>
      <c r="AV83" s="467">
        <f t="shared" si="142"/>
        <v>0</v>
      </c>
      <c r="AW83" s="467">
        <f t="shared" si="142"/>
        <v>0</v>
      </c>
      <c r="AX83" s="467">
        <f t="shared" si="142"/>
        <v>0</v>
      </c>
      <c r="AY83" s="467">
        <f t="shared" si="142"/>
        <v>5197</v>
      </c>
      <c r="AZ83" s="468">
        <f t="shared" si="142"/>
        <v>0</v>
      </c>
      <c r="BA83" s="468">
        <f t="shared" si="142"/>
        <v>0</v>
      </c>
      <c r="BB83" s="468">
        <f t="shared" si="142"/>
        <v>0</v>
      </c>
      <c r="BC83" s="468">
        <f t="shared" si="142"/>
        <v>0</v>
      </c>
      <c r="BD83" s="468">
        <f t="shared" si="142"/>
        <v>0.01</v>
      </c>
      <c r="BE83" s="468">
        <f t="shared" si="142"/>
        <v>0</v>
      </c>
      <c r="BF83" s="468">
        <f t="shared" si="142"/>
        <v>0</v>
      </c>
      <c r="BG83" s="468">
        <f t="shared" si="142"/>
        <v>0</v>
      </c>
      <c r="BH83" s="468">
        <f t="shared" si="142"/>
        <v>0</v>
      </c>
      <c r="BI83" s="468">
        <f t="shared" si="142"/>
        <v>0</v>
      </c>
      <c r="BJ83" s="468">
        <f t="shared" si="142"/>
        <v>0.01</v>
      </c>
      <c r="BK83" s="328">
        <f t="shared" si="142"/>
        <v>0.01</v>
      </c>
      <c r="BL83" s="774">
        <f t="shared" ref="BL83:CG83" si="143">SUM(BL80:BL82)</f>
        <v>1442925</v>
      </c>
      <c r="BM83" s="774">
        <f t="shared" si="143"/>
        <v>1034646</v>
      </c>
      <c r="BN83" s="467">
        <f t="shared" si="143"/>
        <v>801083</v>
      </c>
      <c r="BO83" s="467">
        <f t="shared" si="143"/>
        <v>233563</v>
      </c>
      <c r="BP83" s="467">
        <f t="shared" si="143"/>
        <v>33000</v>
      </c>
      <c r="BQ83" s="467">
        <f t="shared" si="143"/>
        <v>0</v>
      </c>
      <c r="BR83" s="467">
        <f t="shared" si="143"/>
        <v>33000</v>
      </c>
      <c r="BS83" s="467">
        <f t="shared" si="143"/>
        <v>360864</v>
      </c>
      <c r="BT83" s="467">
        <f t="shared" si="143"/>
        <v>10347</v>
      </c>
      <c r="BU83" s="467">
        <f t="shared" si="143"/>
        <v>4068</v>
      </c>
      <c r="BV83" s="468">
        <f t="shared" si="143"/>
        <v>2.3222999999999998</v>
      </c>
      <c r="BW83" s="468">
        <f t="shared" si="143"/>
        <v>1.5980000000000001</v>
      </c>
      <c r="BX83" s="328">
        <f t="shared" si="143"/>
        <v>0.72429999999999994</v>
      </c>
      <c r="BY83" s="979">
        <f t="shared" si="143"/>
        <v>0</v>
      </c>
      <c r="BZ83" s="721">
        <f t="shared" si="143"/>
        <v>0</v>
      </c>
      <c r="CA83" s="721">
        <f t="shared" si="143"/>
        <v>0</v>
      </c>
      <c r="CB83" s="721">
        <f t="shared" si="143"/>
        <v>0</v>
      </c>
      <c r="CC83" s="721">
        <f t="shared" si="143"/>
        <v>0</v>
      </c>
      <c r="CD83" s="826">
        <f t="shared" si="143"/>
        <v>0</v>
      </c>
      <c r="CE83" s="995">
        <f t="shared" si="143"/>
        <v>60087</v>
      </c>
      <c r="CF83" s="995">
        <f t="shared" si="143"/>
        <v>43687</v>
      </c>
      <c r="CG83" s="995">
        <f t="shared" si="143"/>
        <v>14766</v>
      </c>
      <c r="CH83" s="995">
        <f t="shared" ref="CH83:CJ83" si="144">SUM(CH80:CH82)</f>
        <v>437</v>
      </c>
      <c r="CI83" s="995">
        <f t="shared" si="144"/>
        <v>1197</v>
      </c>
      <c r="CJ83" s="933">
        <f t="shared" si="144"/>
        <v>0.14150000000000001</v>
      </c>
      <c r="CK83" s="315"/>
    </row>
    <row r="84" spans="1:89" ht="12.95" customHeight="1">
      <c r="A84" s="280">
        <v>14</v>
      </c>
      <c r="B84" s="321">
        <v>5436</v>
      </c>
      <c r="C84" s="322">
        <v>600098800</v>
      </c>
      <c r="D84" s="281">
        <v>72742992</v>
      </c>
      <c r="E84" s="348" t="s">
        <v>434</v>
      </c>
      <c r="F84" s="321">
        <v>3111</v>
      </c>
      <c r="G84" s="345" t="s">
        <v>304</v>
      </c>
      <c r="H84" s="640" t="s">
        <v>271</v>
      </c>
      <c r="I84" s="419">
        <v>3967411</v>
      </c>
      <c r="J84" s="414">
        <v>2899459</v>
      </c>
      <c r="K84" s="414">
        <v>2583258</v>
      </c>
      <c r="L84" s="414">
        <v>316201</v>
      </c>
      <c r="M84" s="414">
        <v>30000</v>
      </c>
      <c r="N84" s="414">
        <v>0</v>
      </c>
      <c r="O84" s="414">
        <v>30000</v>
      </c>
      <c r="P84" s="68">
        <v>990157</v>
      </c>
      <c r="Q84" s="68">
        <v>28995</v>
      </c>
      <c r="R84" s="414">
        <v>18800</v>
      </c>
      <c r="S84" s="415">
        <v>5.2616000000000005</v>
      </c>
      <c r="T84" s="416">
        <v>4.1935000000000002</v>
      </c>
      <c r="U84" s="422">
        <v>1.0680999999999998</v>
      </c>
      <c r="V84" s="423">
        <f t="shared" si="119"/>
        <v>0</v>
      </c>
      <c r="W84" s="417">
        <f t="shared" si="119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120"/>
        <v>0</v>
      </c>
      <c r="AF84" s="417">
        <f t="shared" si="121"/>
        <v>0</v>
      </c>
      <c r="AG84" s="417">
        <f t="shared" si="122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23"/>
        <v>0</v>
      </c>
      <c r="AN84" s="417">
        <f t="shared" si="124"/>
        <v>0</v>
      </c>
      <c r="AO84" s="417">
        <f t="shared" si="125"/>
        <v>0</v>
      </c>
      <c r="AP84" s="417">
        <f t="shared" si="126"/>
        <v>0</v>
      </c>
      <c r="AQ84" s="417">
        <f t="shared" si="126"/>
        <v>0</v>
      </c>
      <c r="AR84" s="417">
        <f t="shared" si="127"/>
        <v>0</v>
      </c>
      <c r="AS84" s="68">
        <f t="shared" si="128"/>
        <v>0</v>
      </c>
      <c r="AT84" s="68">
        <f t="shared" si="129"/>
        <v>0</v>
      </c>
      <c r="AU84" s="417">
        <v>0</v>
      </c>
      <c r="AV84" s="417">
        <v>0</v>
      </c>
      <c r="AW84" s="417">
        <v>0</v>
      </c>
      <c r="AX84" s="417">
        <f t="shared" si="130"/>
        <v>0</v>
      </c>
      <c r="AY84" s="417">
        <f t="shared" si="131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32"/>
        <v>0</v>
      </c>
      <c r="BJ84" s="418">
        <f t="shared" si="133"/>
        <v>0</v>
      </c>
      <c r="BK84" s="420">
        <f t="shared" si="134"/>
        <v>0</v>
      </c>
      <c r="BL84" s="772">
        <f>I84+AY84</f>
        <v>3967411</v>
      </c>
      <c r="BM84" s="772">
        <f>J84+AG84</f>
        <v>2899459</v>
      </c>
      <c r="BN84" s="417">
        <f t="shared" ref="BN84:BO86" si="145">K84+AE84</f>
        <v>2583258</v>
      </c>
      <c r="BO84" s="417">
        <f t="shared" si="145"/>
        <v>316201</v>
      </c>
      <c r="BP84" s="417">
        <f>M84+AO84</f>
        <v>30000</v>
      </c>
      <c r="BQ84" s="417">
        <f t="shared" ref="BQ84:BR86" si="146">N84+AM84</f>
        <v>0</v>
      </c>
      <c r="BR84" s="417">
        <f t="shared" si="146"/>
        <v>30000</v>
      </c>
      <c r="BS84" s="417">
        <f t="shared" ref="BS84:BT86" si="147">P84+AS84</f>
        <v>990157</v>
      </c>
      <c r="BT84" s="417">
        <f t="shared" si="147"/>
        <v>28995</v>
      </c>
      <c r="BU84" s="417">
        <f>R84+AX84</f>
        <v>18800</v>
      </c>
      <c r="BV84" s="418">
        <f>S84+BK84</f>
        <v>5.2616000000000005</v>
      </c>
      <c r="BW84" s="418">
        <f t="shared" ref="BW84:BX86" si="148">T84+BI84</f>
        <v>4.1935000000000002</v>
      </c>
      <c r="BX84" s="420">
        <f t="shared" si="148"/>
        <v>1.0680999999999998</v>
      </c>
      <c r="BY84" s="596"/>
      <c r="BZ84" s="595"/>
      <c r="CA84" s="595"/>
      <c r="CB84" s="595"/>
      <c r="CC84" s="595"/>
      <c r="CD84" s="981"/>
      <c r="CE84" s="596">
        <v>155988</v>
      </c>
      <c r="CF84" s="595">
        <v>111081</v>
      </c>
      <c r="CG84" s="595">
        <v>37545</v>
      </c>
      <c r="CH84" s="595">
        <v>1111</v>
      </c>
      <c r="CI84" s="595">
        <v>6251</v>
      </c>
      <c r="CJ84" s="981">
        <v>0.378</v>
      </c>
      <c r="CK84" s="315"/>
    </row>
    <row r="85" spans="1:89" ht="12.95" customHeight="1">
      <c r="A85" s="280">
        <v>14</v>
      </c>
      <c r="B85" s="321">
        <v>5436</v>
      </c>
      <c r="C85" s="322">
        <v>600098800</v>
      </c>
      <c r="D85" s="281">
        <v>72742992</v>
      </c>
      <c r="E85" s="348" t="s">
        <v>434</v>
      </c>
      <c r="F85" s="321">
        <v>3111</v>
      </c>
      <c r="G85" s="345" t="s">
        <v>291</v>
      </c>
      <c r="H85" s="640" t="s">
        <v>272</v>
      </c>
      <c r="I85" s="419">
        <v>0</v>
      </c>
      <c r="J85" s="414">
        <v>0</v>
      </c>
      <c r="K85" s="414">
        <v>0</v>
      </c>
      <c r="L85" s="414">
        <v>0</v>
      </c>
      <c r="M85" s="414">
        <v>0</v>
      </c>
      <c r="N85" s="414">
        <v>0</v>
      </c>
      <c r="O85" s="414">
        <v>0</v>
      </c>
      <c r="P85" s="68">
        <v>0</v>
      </c>
      <c r="Q85" s="68">
        <v>0</v>
      </c>
      <c r="R85" s="414">
        <v>0</v>
      </c>
      <c r="S85" s="415">
        <v>0</v>
      </c>
      <c r="T85" s="416">
        <v>0</v>
      </c>
      <c r="U85" s="422">
        <v>0</v>
      </c>
      <c r="V85" s="423">
        <f t="shared" si="119"/>
        <v>0</v>
      </c>
      <c r="W85" s="417">
        <f t="shared" si="119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20"/>
        <v>0</v>
      </c>
      <c r="AF85" s="417">
        <f t="shared" si="121"/>
        <v>0</v>
      </c>
      <c r="AG85" s="417">
        <f t="shared" si="122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23"/>
        <v>0</v>
      </c>
      <c r="AN85" s="417">
        <f t="shared" si="124"/>
        <v>0</v>
      </c>
      <c r="AO85" s="417">
        <f t="shared" si="125"/>
        <v>0</v>
      </c>
      <c r="AP85" s="417">
        <f t="shared" si="126"/>
        <v>0</v>
      </c>
      <c r="AQ85" s="417">
        <f t="shared" si="126"/>
        <v>0</v>
      </c>
      <c r="AR85" s="417">
        <f t="shared" si="127"/>
        <v>0</v>
      </c>
      <c r="AS85" s="68">
        <f t="shared" si="128"/>
        <v>0</v>
      </c>
      <c r="AT85" s="68">
        <f t="shared" si="129"/>
        <v>0</v>
      </c>
      <c r="AU85" s="417">
        <v>0</v>
      </c>
      <c r="AV85" s="417">
        <v>0</v>
      </c>
      <c r="AW85" s="417">
        <v>0</v>
      </c>
      <c r="AX85" s="417">
        <f t="shared" si="130"/>
        <v>0</v>
      </c>
      <c r="AY85" s="417">
        <f t="shared" si="131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32"/>
        <v>0</v>
      </c>
      <c r="BJ85" s="418">
        <f t="shared" si="133"/>
        <v>0</v>
      </c>
      <c r="BK85" s="420">
        <f t="shared" si="134"/>
        <v>0</v>
      </c>
      <c r="BL85" s="772">
        <f>I85+AY85</f>
        <v>0</v>
      </c>
      <c r="BM85" s="772">
        <f>J85+AG85</f>
        <v>0</v>
      </c>
      <c r="BN85" s="417">
        <f t="shared" si="145"/>
        <v>0</v>
      </c>
      <c r="BO85" s="417">
        <f t="shared" si="145"/>
        <v>0</v>
      </c>
      <c r="BP85" s="417">
        <f>M85+AO85</f>
        <v>0</v>
      </c>
      <c r="BQ85" s="417">
        <f t="shared" si="146"/>
        <v>0</v>
      </c>
      <c r="BR85" s="417">
        <f t="shared" si="146"/>
        <v>0</v>
      </c>
      <c r="BS85" s="417">
        <f t="shared" si="147"/>
        <v>0</v>
      </c>
      <c r="BT85" s="417">
        <f t="shared" si="147"/>
        <v>0</v>
      </c>
      <c r="BU85" s="417">
        <f>R85+AX85</f>
        <v>0</v>
      </c>
      <c r="BV85" s="418">
        <f>S85+BK85</f>
        <v>0</v>
      </c>
      <c r="BW85" s="418">
        <f t="shared" si="148"/>
        <v>0</v>
      </c>
      <c r="BX85" s="420">
        <f t="shared" si="148"/>
        <v>0</v>
      </c>
      <c r="BY85" s="596"/>
      <c r="BZ85" s="595"/>
      <c r="CA85" s="595"/>
      <c r="CB85" s="595"/>
      <c r="CC85" s="595"/>
      <c r="CD85" s="981"/>
      <c r="CE85" s="596"/>
      <c r="CF85" s="595"/>
      <c r="CG85" s="595"/>
      <c r="CH85" s="595"/>
      <c r="CI85" s="595"/>
      <c r="CJ85" s="981"/>
      <c r="CK85" s="315"/>
    </row>
    <row r="86" spans="1:89" ht="12.95" customHeight="1">
      <c r="A86" s="280">
        <v>14</v>
      </c>
      <c r="B86" s="281">
        <v>5436</v>
      </c>
      <c r="C86" s="330">
        <v>600098800</v>
      </c>
      <c r="D86" s="281">
        <v>72742992</v>
      </c>
      <c r="E86" s="283" t="s">
        <v>434</v>
      </c>
      <c r="F86" s="281">
        <v>3141</v>
      </c>
      <c r="G86" s="345" t="s">
        <v>294</v>
      </c>
      <c r="H86" s="640" t="s">
        <v>272</v>
      </c>
      <c r="I86" s="419">
        <v>666853</v>
      </c>
      <c r="J86" s="414">
        <v>492886</v>
      </c>
      <c r="K86" s="414">
        <v>0</v>
      </c>
      <c r="L86" s="414">
        <v>492886</v>
      </c>
      <c r="M86" s="414">
        <v>0</v>
      </c>
      <c r="N86" s="414">
        <v>0</v>
      </c>
      <c r="O86" s="414">
        <v>0</v>
      </c>
      <c r="P86" s="68">
        <v>166595</v>
      </c>
      <c r="Q86" s="68">
        <v>4928</v>
      </c>
      <c r="R86" s="414">
        <v>2444</v>
      </c>
      <c r="S86" s="415">
        <v>1.4767000000000001</v>
      </c>
      <c r="T86" s="416">
        <v>0</v>
      </c>
      <c r="U86" s="422">
        <v>1.4767000000000001</v>
      </c>
      <c r="V86" s="423">
        <f t="shared" si="119"/>
        <v>0</v>
      </c>
      <c r="W86" s="417">
        <f t="shared" si="119"/>
        <v>0</v>
      </c>
      <c r="X86" s="417">
        <v>0</v>
      </c>
      <c r="Y86" s="417">
        <v>0</v>
      </c>
      <c r="Z86" s="417">
        <v>0</v>
      </c>
      <c r="AA86" s="417">
        <v>-14838</v>
      </c>
      <c r="AB86" s="417">
        <v>0</v>
      </c>
      <c r="AC86" s="417">
        <v>0</v>
      </c>
      <c r="AD86" s="417">
        <v>0</v>
      </c>
      <c r="AE86" s="417">
        <f t="shared" si="120"/>
        <v>0</v>
      </c>
      <c r="AF86" s="417">
        <f t="shared" si="121"/>
        <v>-14838</v>
      </c>
      <c r="AG86" s="417">
        <f t="shared" si="122"/>
        <v>-14838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23"/>
        <v>0</v>
      </c>
      <c r="AN86" s="417">
        <f t="shared" si="124"/>
        <v>0</v>
      </c>
      <c r="AO86" s="417">
        <f t="shared" si="125"/>
        <v>0</v>
      </c>
      <c r="AP86" s="417">
        <f t="shared" si="126"/>
        <v>0</v>
      </c>
      <c r="AQ86" s="417">
        <f t="shared" si="126"/>
        <v>-14838</v>
      </c>
      <c r="AR86" s="417">
        <f t="shared" si="127"/>
        <v>-14838</v>
      </c>
      <c r="AS86" s="68">
        <f t="shared" si="128"/>
        <v>-5015</v>
      </c>
      <c r="AT86" s="68">
        <f t="shared" si="129"/>
        <v>-148</v>
      </c>
      <c r="AU86" s="417">
        <v>0</v>
      </c>
      <c r="AV86" s="417">
        <v>0</v>
      </c>
      <c r="AW86" s="417">
        <v>0</v>
      </c>
      <c r="AX86" s="417">
        <f t="shared" si="130"/>
        <v>0</v>
      </c>
      <c r="AY86" s="417">
        <f t="shared" si="131"/>
        <v>-20001</v>
      </c>
      <c r="AZ86" s="418">
        <v>0</v>
      </c>
      <c r="BA86" s="418">
        <v>0</v>
      </c>
      <c r="BB86" s="418">
        <v>0</v>
      </c>
      <c r="BC86" s="418">
        <v>0</v>
      </c>
      <c r="BD86" s="418">
        <v>-0.04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32"/>
        <v>0</v>
      </c>
      <c r="BJ86" s="418">
        <f t="shared" si="133"/>
        <v>-0.04</v>
      </c>
      <c r="BK86" s="420">
        <f t="shared" si="134"/>
        <v>-0.04</v>
      </c>
      <c r="BL86" s="772">
        <f>I86+AY86</f>
        <v>646852</v>
      </c>
      <c r="BM86" s="772">
        <f>J86+AG86</f>
        <v>478048</v>
      </c>
      <c r="BN86" s="417">
        <f t="shared" si="145"/>
        <v>0</v>
      </c>
      <c r="BO86" s="417">
        <f t="shared" si="145"/>
        <v>478048</v>
      </c>
      <c r="BP86" s="417">
        <f>M86+AO86</f>
        <v>0</v>
      </c>
      <c r="BQ86" s="417">
        <f t="shared" si="146"/>
        <v>0</v>
      </c>
      <c r="BR86" s="417">
        <f t="shared" si="146"/>
        <v>0</v>
      </c>
      <c r="BS86" s="417">
        <f t="shared" si="147"/>
        <v>161580</v>
      </c>
      <c r="BT86" s="417">
        <f t="shared" si="147"/>
        <v>4780</v>
      </c>
      <c r="BU86" s="417">
        <f>R86+AX86</f>
        <v>2444</v>
      </c>
      <c r="BV86" s="418">
        <f>S86+BK86</f>
        <v>1.4367000000000001</v>
      </c>
      <c r="BW86" s="418">
        <f t="shared" si="148"/>
        <v>0</v>
      </c>
      <c r="BX86" s="420">
        <f t="shared" si="148"/>
        <v>1.4367000000000001</v>
      </c>
      <c r="BY86" s="596"/>
      <c r="BZ86" s="595"/>
      <c r="CA86" s="595"/>
      <c r="CB86" s="595"/>
      <c r="CC86" s="595"/>
      <c r="CD86" s="981"/>
      <c r="CE86" s="596"/>
      <c r="CF86" s="595"/>
      <c r="CG86" s="595"/>
      <c r="CH86" s="595"/>
      <c r="CI86" s="595"/>
      <c r="CJ86" s="981"/>
      <c r="CK86" s="315"/>
    </row>
    <row r="87" spans="1:89" ht="12.95" customHeight="1">
      <c r="A87" s="641">
        <v>14</v>
      </c>
      <c r="B87" s="275">
        <v>5436</v>
      </c>
      <c r="C87" s="346">
        <v>600098800</v>
      </c>
      <c r="D87" s="275">
        <v>72742992</v>
      </c>
      <c r="E87" s="288" t="s">
        <v>435</v>
      </c>
      <c r="F87" s="275"/>
      <c r="G87" s="347"/>
      <c r="H87" s="642"/>
      <c r="I87" s="464">
        <v>4634264</v>
      </c>
      <c r="J87" s="460">
        <v>3392345</v>
      </c>
      <c r="K87" s="460">
        <v>2583258</v>
      </c>
      <c r="L87" s="460">
        <v>809087</v>
      </c>
      <c r="M87" s="460">
        <v>30000</v>
      </c>
      <c r="N87" s="460">
        <v>0</v>
      </c>
      <c r="O87" s="460">
        <v>30000</v>
      </c>
      <c r="P87" s="460">
        <v>1156752</v>
      </c>
      <c r="Q87" s="460">
        <v>33923</v>
      </c>
      <c r="R87" s="460">
        <v>21244</v>
      </c>
      <c r="S87" s="461">
        <v>6.7383000000000006</v>
      </c>
      <c r="T87" s="461">
        <v>4.1935000000000002</v>
      </c>
      <c r="U87" s="534">
        <v>2.5448</v>
      </c>
      <c r="V87" s="471">
        <f t="shared" ref="V87:BK87" si="149">SUM(V84:V86)</f>
        <v>0</v>
      </c>
      <c r="W87" s="467">
        <f t="shared" si="149"/>
        <v>0</v>
      </c>
      <c r="X87" s="467">
        <f t="shared" si="149"/>
        <v>0</v>
      </c>
      <c r="Y87" s="467">
        <f t="shared" si="149"/>
        <v>0</v>
      </c>
      <c r="Z87" s="467">
        <f t="shared" si="149"/>
        <v>0</v>
      </c>
      <c r="AA87" s="467">
        <f t="shared" si="149"/>
        <v>-14838</v>
      </c>
      <c r="AB87" s="467">
        <f t="shared" si="149"/>
        <v>0</v>
      </c>
      <c r="AC87" s="467">
        <f t="shared" si="149"/>
        <v>0</v>
      </c>
      <c r="AD87" s="467">
        <f t="shared" si="149"/>
        <v>0</v>
      </c>
      <c r="AE87" s="467">
        <f t="shared" si="149"/>
        <v>0</v>
      </c>
      <c r="AF87" s="467">
        <f t="shared" si="149"/>
        <v>-14838</v>
      </c>
      <c r="AG87" s="467">
        <f t="shared" si="149"/>
        <v>-14838</v>
      </c>
      <c r="AH87" s="467">
        <f t="shared" si="149"/>
        <v>0</v>
      </c>
      <c r="AI87" s="467">
        <f t="shared" si="149"/>
        <v>0</v>
      </c>
      <c r="AJ87" s="467">
        <f t="shared" si="149"/>
        <v>0</v>
      </c>
      <c r="AK87" s="467">
        <f t="shared" si="149"/>
        <v>0</v>
      </c>
      <c r="AL87" s="467">
        <f t="shared" si="149"/>
        <v>0</v>
      </c>
      <c r="AM87" s="467">
        <f t="shared" si="149"/>
        <v>0</v>
      </c>
      <c r="AN87" s="467">
        <f t="shared" si="149"/>
        <v>0</v>
      </c>
      <c r="AO87" s="467">
        <f t="shared" si="149"/>
        <v>0</v>
      </c>
      <c r="AP87" s="467">
        <f t="shared" si="149"/>
        <v>0</v>
      </c>
      <c r="AQ87" s="467">
        <f t="shared" si="149"/>
        <v>-14838</v>
      </c>
      <c r="AR87" s="467">
        <f t="shared" si="149"/>
        <v>-14838</v>
      </c>
      <c r="AS87" s="467">
        <f t="shared" si="149"/>
        <v>-5015</v>
      </c>
      <c r="AT87" s="467">
        <f t="shared" si="149"/>
        <v>-148</v>
      </c>
      <c r="AU87" s="467">
        <f t="shared" si="149"/>
        <v>0</v>
      </c>
      <c r="AV87" s="467">
        <f t="shared" si="149"/>
        <v>0</v>
      </c>
      <c r="AW87" s="467">
        <f t="shared" si="149"/>
        <v>0</v>
      </c>
      <c r="AX87" s="467">
        <f t="shared" si="149"/>
        <v>0</v>
      </c>
      <c r="AY87" s="467">
        <f t="shared" si="149"/>
        <v>-20001</v>
      </c>
      <c r="AZ87" s="468">
        <f t="shared" si="149"/>
        <v>0</v>
      </c>
      <c r="BA87" s="468">
        <f t="shared" si="149"/>
        <v>0</v>
      </c>
      <c r="BB87" s="468">
        <f t="shared" si="149"/>
        <v>0</v>
      </c>
      <c r="BC87" s="468">
        <f t="shared" si="149"/>
        <v>0</v>
      </c>
      <c r="BD87" s="468">
        <f t="shared" si="149"/>
        <v>-0.04</v>
      </c>
      <c r="BE87" s="468">
        <f t="shared" si="149"/>
        <v>0</v>
      </c>
      <c r="BF87" s="468">
        <f t="shared" si="149"/>
        <v>0</v>
      </c>
      <c r="BG87" s="468">
        <f t="shared" si="149"/>
        <v>0</v>
      </c>
      <c r="BH87" s="468">
        <f t="shared" si="149"/>
        <v>0</v>
      </c>
      <c r="BI87" s="468">
        <f t="shared" si="149"/>
        <v>0</v>
      </c>
      <c r="BJ87" s="468">
        <f t="shared" si="149"/>
        <v>-0.04</v>
      </c>
      <c r="BK87" s="328">
        <f t="shared" si="149"/>
        <v>-0.04</v>
      </c>
      <c r="BL87" s="774">
        <f t="shared" ref="BL87:CG87" si="150">SUM(BL84:BL86)</f>
        <v>4614263</v>
      </c>
      <c r="BM87" s="774">
        <f t="shared" si="150"/>
        <v>3377507</v>
      </c>
      <c r="BN87" s="467">
        <f t="shared" si="150"/>
        <v>2583258</v>
      </c>
      <c r="BO87" s="467">
        <f t="shared" si="150"/>
        <v>794249</v>
      </c>
      <c r="BP87" s="467">
        <f t="shared" si="150"/>
        <v>30000</v>
      </c>
      <c r="BQ87" s="467">
        <f t="shared" si="150"/>
        <v>0</v>
      </c>
      <c r="BR87" s="467">
        <f t="shared" si="150"/>
        <v>30000</v>
      </c>
      <c r="BS87" s="467">
        <f t="shared" si="150"/>
        <v>1151737</v>
      </c>
      <c r="BT87" s="467">
        <f t="shared" si="150"/>
        <v>33775</v>
      </c>
      <c r="BU87" s="467">
        <f t="shared" si="150"/>
        <v>21244</v>
      </c>
      <c r="BV87" s="468">
        <f t="shared" si="150"/>
        <v>6.6983000000000006</v>
      </c>
      <c r="BW87" s="468">
        <f t="shared" si="150"/>
        <v>4.1935000000000002</v>
      </c>
      <c r="BX87" s="328">
        <f t="shared" si="150"/>
        <v>2.5047999999999999</v>
      </c>
      <c r="BY87" s="979">
        <f t="shared" si="150"/>
        <v>0</v>
      </c>
      <c r="BZ87" s="721">
        <f t="shared" si="150"/>
        <v>0</v>
      </c>
      <c r="CA87" s="721">
        <f t="shared" si="150"/>
        <v>0</v>
      </c>
      <c r="CB87" s="721">
        <f t="shared" si="150"/>
        <v>0</v>
      </c>
      <c r="CC87" s="721">
        <f t="shared" si="150"/>
        <v>0</v>
      </c>
      <c r="CD87" s="826">
        <f t="shared" si="150"/>
        <v>0</v>
      </c>
      <c r="CE87" s="995">
        <f t="shared" si="150"/>
        <v>155988</v>
      </c>
      <c r="CF87" s="995">
        <f t="shared" si="150"/>
        <v>111081</v>
      </c>
      <c r="CG87" s="995">
        <f t="shared" si="150"/>
        <v>37545</v>
      </c>
      <c r="CH87" s="995">
        <f t="shared" ref="CH87:CJ87" si="151">SUM(CH84:CH86)</f>
        <v>1111</v>
      </c>
      <c r="CI87" s="995">
        <f t="shared" si="151"/>
        <v>6251</v>
      </c>
      <c r="CJ87" s="933">
        <f t="shared" si="151"/>
        <v>0.378</v>
      </c>
      <c r="CK87" s="315"/>
    </row>
    <row r="88" spans="1:89" ht="12.95" customHeight="1">
      <c r="A88" s="280">
        <v>15</v>
      </c>
      <c r="B88" s="321">
        <v>5435</v>
      </c>
      <c r="C88" s="322">
        <v>600099199</v>
      </c>
      <c r="D88" s="281">
        <v>72743077</v>
      </c>
      <c r="E88" s="348" t="s">
        <v>436</v>
      </c>
      <c r="F88" s="321">
        <v>3113</v>
      </c>
      <c r="G88" s="345" t="s">
        <v>308</v>
      </c>
      <c r="H88" s="640" t="s">
        <v>271</v>
      </c>
      <c r="I88" s="419">
        <v>10297697</v>
      </c>
      <c r="J88" s="414">
        <v>7253359</v>
      </c>
      <c r="K88" s="414">
        <v>6297539</v>
      </c>
      <c r="L88" s="414">
        <v>955820</v>
      </c>
      <c r="M88" s="414">
        <v>277840</v>
      </c>
      <c r="N88" s="414">
        <v>227840</v>
      </c>
      <c r="O88" s="414">
        <v>50000</v>
      </c>
      <c r="P88" s="68">
        <v>2545545</v>
      </c>
      <c r="Q88" s="68">
        <v>72533</v>
      </c>
      <c r="R88" s="414">
        <v>148420</v>
      </c>
      <c r="S88" s="415">
        <v>12.365399999999999</v>
      </c>
      <c r="T88" s="416">
        <v>9.7927</v>
      </c>
      <c r="U88" s="422">
        <v>2.5726999999999998</v>
      </c>
      <c r="V88" s="423">
        <f t="shared" si="119"/>
        <v>177840</v>
      </c>
      <c r="W88" s="417">
        <f t="shared" si="119"/>
        <v>-48000</v>
      </c>
      <c r="X88" s="417">
        <v>0</v>
      </c>
      <c r="Y88" s="417">
        <v>18536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20"/>
        <v>196376</v>
      </c>
      <c r="AF88" s="417">
        <f t="shared" si="121"/>
        <v>-48000</v>
      </c>
      <c r="AG88" s="417">
        <f t="shared" si="122"/>
        <v>148376</v>
      </c>
      <c r="AH88" s="417">
        <v>-177840</v>
      </c>
      <c r="AI88" s="417">
        <v>48000</v>
      </c>
      <c r="AJ88" s="417">
        <v>0</v>
      </c>
      <c r="AK88" s="417">
        <v>0</v>
      </c>
      <c r="AL88" s="417">
        <v>0</v>
      </c>
      <c r="AM88" s="417">
        <f t="shared" si="123"/>
        <v>-177840</v>
      </c>
      <c r="AN88" s="417">
        <f t="shared" si="124"/>
        <v>48000</v>
      </c>
      <c r="AO88" s="417">
        <f t="shared" si="125"/>
        <v>-129840</v>
      </c>
      <c r="AP88" s="417">
        <f t="shared" si="126"/>
        <v>18536</v>
      </c>
      <c r="AQ88" s="417">
        <f t="shared" si="126"/>
        <v>0</v>
      </c>
      <c r="AR88" s="417">
        <f t="shared" si="127"/>
        <v>18536</v>
      </c>
      <c r="AS88" s="68">
        <f t="shared" si="128"/>
        <v>6265</v>
      </c>
      <c r="AT88" s="68">
        <f t="shared" si="129"/>
        <v>1484</v>
      </c>
      <c r="AU88" s="417">
        <v>0</v>
      </c>
      <c r="AV88" s="417">
        <v>0</v>
      </c>
      <c r="AW88" s="417">
        <v>0</v>
      </c>
      <c r="AX88" s="417">
        <f t="shared" si="130"/>
        <v>0</v>
      </c>
      <c r="AY88" s="417">
        <f t="shared" si="131"/>
        <v>26285</v>
      </c>
      <c r="AZ88" s="418">
        <v>0.01</v>
      </c>
      <c r="BA88" s="418">
        <v>-0.14000000000000001</v>
      </c>
      <c r="BB88" s="418">
        <v>0</v>
      </c>
      <c r="BC88" s="418">
        <v>0</v>
      </c>
      <c r="BD88" s="418">
        <v>0</v>
      </c>
      <c r="BE88" s="418">
        <v>0.03</v>
      </c>
      <c r="BF88" s="418">
        <v>0</v>
      </c>
      <c r="BG88" s="418">
        <v>0</v>
      </c>
      <c r="BH88" s="418">
        <v>0</v>
      </c>
      <c r="BI88" s="418">
        <f t="shared" si="132"/>
        <v>0.04</v>
      </c>
      <c r="BJ88" s="418">
        <f t="shared" si="133"/>
        <v>-0.14000000000000001</v>
      </c>
      <c r="BK88" s="420">
        <f t="shared" si="134"/>
        <v>-0.1</v>
      </c>
      <c r="BL88" s="772">
        <f>I88+AY88</f>
        <v>10323982</v>
      </c>
      <c r="BM88" s="772">
        <f>J88+AG88</f>
        <v>7401735</v>
      </c>
      <c r="BN88" s="417">
        <f t="shared" ref="BN88:BO92" si="152">K88+AE88</f>
        <v>6493915</v>
      </c>
      <c r="BO88" s="417">
        <f t="shared" si="152"/>
        <v>907820</v>
      </c>
      <c r="BP88" s="417">
        <f>M88+AO88</f>
        <v>148000</v>
      </c>
      <c r="BQ88" s="417">
        <f t="shared" ref="BQ88:BR92" si="153">N88+AM88</f>
        <v>50000</v>
      </c>
      <c r="BR88" s="417">
        <f t="shared" si="153"/>
        <v>98000</v>
      </c>
      <c r="BS88" s="417">
        <f t="shared" ref="BS88:BT92" si="154">P88+AS88</f>
        <v>2551810</v>
      </c>
      <c r="BT88" s="417">
        <f t="shared" si="154"/>
        <v>74017</v>
      </c>
      <c r="BU88" s="417">
        <f>R88+AX88</f>
        <v>148420</v>
      </c>
      <c r="BV88" s="418">
        <f>S88+BK88</f>
        <v>12.2654</v>
      </c>
      <c r="BW88" s="418">
        <f t="shared" ref="BW88:BX92" si="155">T88+BI88</f>
        <v>9.8326999999999991</v>
      </c>
      <c r="BX88" s="420">
        <f t="shared" si="155"/>
        <v>2.4326999999999996</v>
      </c>
      <c r="BY88" s="596"/>
      <c r="BZ88" s="595"/>
      <c r="CA88" s="595"/>
      <c r="CB88" s="595"/>
      <c r="CC88" s="595"/>
      <c r="CD88" s="981"/>
      <c r="CE88" s="596">
        <v>470046</v>
      </c>
      <c r="CF88" s="595">
        <v>322732</v>
      </c>
      <c r="CG88" s="595">
        <v>109083</v>
      </c>
      <c r="CH88" s="595">
        <v>3227</v>
      </c>
      <c r="CI88" s="595">
        <v>35004</v>
      </c>
      <c r="CJ88" s="981">
        <v>0.87360000000000004</v>
      </c>
      <c r="CK88" s="315"/>
    </row>
    <row r="89" spans="1:89" ht="12.95" customHeight="1">
      <c r="A89" s="280">
        <v>15</v>
      </c>
      <c r="B89" s="321">
        <v>5435</v>
      </c>
      <c r="C89" s="322">
        <v>600099199</v>
      </c>
      <c r="D89" s="281">
        <v>72743077</v>
      </c>
      <c r="E89" s="348" t="s">
        <v>436</v>
      </c>
      <c r="F89" s="321">
        <v>3113</v>
      </c>
      <c r="G89" s="284" t="s">
        <v>291</v>
      </c>
      <c r="H89" s="640" t="s">
        <v>272</v>
      </c>
      <c r="I89" s="419">
        <v>624801</v>
      </c>
      <c r="J89" s="414">
        <v>463502</v>
      </c>
      <c r="K89" s="414">
        <v>463502</v>
      </c>
      <c r="L89" s="414">
        <v>0</v>
      </c>
      <c r="M89" s="414">
        <v>0</v>
      </c>
      <c r="N89" s="414">
        <v>0</v>
      </c>
      <c r="O89" s="414">
        <v>0</v>
      </c>
      <c r="P89" s="68">
        <v>156664</v>
      </c>
      <c r="Q89" s="68">
        <v>4635</v>
      </c>
      <c r="R89" s="414">
        <v>0</v>
      </c>
      <c r="S89" s="415">
        <v>1.25</v>
      </c>
      <c r="T89" s="416">
        <v>1.25</v>
      </c>
      <c r="U89" s="422">
        <v>0</v>
      </c>
      <c r="V89" s="423">
        <f t="shared" si="119"/>
        <v>0</v>
      </c>
      <c r="W89" s="417">
        <f t="shared" si="119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20"/>
        <v>0</v>
      </c>
      <c r="AF89" s="417">
        <f t="shared" si="121"/>
        <v>0</v>
      </c>
      <c r="AG89" s="417">
        <f t="shared" si="122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23"/>
        <v>0</v>
      </c>
      <c r="AN89" s="417">
        <f t="shared" si="124"/>
        <v>0</v>
      </c>
      <c r="AO89" s="417">
        <f t="shared" si="125"/>
        <v>0</v>
      </c>
      <c r="AP89" s="417">
        <f t="shared" si="126"/>
        <v>0</v>
      </c>
      <c r="AQ89" s="417">
        <f t="shared" si="126"/>
        <v>0</v>
      </c>
      <c r="AR89" s="417">
        <f t="shared" si="127"/>
        <v>0</v>
      </c>
      <c r="AS89" s="68">
        <f t="shared" si="128"/>
        <v>0</v>
      </c>
      <c r="AT89" s="68">
        <f t="shared" si="129"/>
        <v>0</v>
      </c>
      <c r="AU89" s="417">
        <v>0</v>
      </c>
      <c r="AV89" s="417">
        <v>0</v>
      </c>
      <c r="AW89" s="417">
        <v>0</v>
      </c>
      <c r="AX89" s="417">
        <f t="shared" si="130"/>
        <v>0</v>
      </c>
      <c r="AY89" s="417">
        <f t="shared" si="131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32"/>
        <v>0</v>
      </c>
      <c r="BJ89" s="418">
        <f t="shared" si="133"/>
        <v>0</v>
      </c>
      <c r="BK89" s="420">
        <f t="shared" si="134"/>
        <v>0</v>
      </c>
      <c r="BL89" s="772">
        <f>I89+AY89</f>
        <v>624801</v>
      </c>
      <c r="BM89" s="772">
        <f>J89+AG89</f>
        <v>463502</v>
      </c>
      <c r="BN89" s="417">
        <f t="shared" si="152"/>
        <v>463502</v>
      </c>
      <c r="BO89" s="417">
        <f t="shared" si="152"/>
        <v>0</v>
      </c>
      <c r="BP89" s="417">
        <f>M89+AO89</f>
        <v>0</v>
      </c>
      <c r="BQ89" s="417">
        <f t="shared" si="153"/>
        <v>0</v>
      </c>
      <c r="BR89" s="417">
        <f t="shared" si="153"/>
        <v>0</v>
      </c>
      <c r="BS89" s="417">
        <f t="shared" si="154"/>
        <v>156664</v>
      </c>
      <c r="BT89" s="417">
        <f t="shared" si="154"/>
        <v>4635</v>
      </c>
      <c r="BU89" s="417">
        <f>R89+AX89</f>
        <v>0</v>
      </c>
      <c r="BV89" s="418">
        <f>S89+BK89</f>
        <v>1.25</v>
      </c>
      <c r="BW89" s="418">
        <f t="shared" si="155"/>
        <v>1.25</v>
      </c>
      <c r="BX89" s="420">
        <f t="shared" si="155"/>
        <v>0</v>
      </c>
      <c r="BY89" s="596"/>
      <c r="BZ89" s="595"/>
      <c r="CA89" s="595"/>
      <c r="CB89" s="595"/>
      <c r="CC89" s="595"/>
      <c r="CD89" s="981"/>
      <c r="CE89" s="596"/>
      <c r="CF89" s="595"/>
      <c r="CG89" s="595"/>
      <c r="CH89" s="595"/>
      <c r="CI89" s="595"/>
      <c r="CJ89" s="981"/>
      <c r="CK89" s="315"/>
    </row>
    <row r="90" spans="1:89" ht="12.95" customHeight="1">
      <c r="A90" s="280">
        <v>15</v>
      </c>
      <c r="B90" s="321">
        <v>5435</v>
      </c>
      <c r="C90" s="322">
        <v>600099199</v>
      </c>
      <c r="D90" s="281">
        <v>72743077</v>
      </c>
      <c r="E90" s="348" t="s">
        <v>436</v>
      </c>
      <c r="F90" s="321">
        <v>3141</v>
      </c>
      <c r="G90" s="345" t="s">
        <v>294</v>
      </c>
      <c r="H90" s="640" t="s">
        <v>272</v>
      </c>
      <c r="I90" s="419">
        <v>1007566</v>
      </c>
      <c r="J90" s="414">
        <v>742939</v>
      </c>
      <c r="K90" s="414">
        <v>0</v>
      </c>
      <c r="L90" s="414">
        <v>742939</v>
      </c>
      <c r="M90" s="414">
        <v>0</v>
      </c>
      <c r="N90" s="414">
        <v>0</v>
      </c>
      <c r="O90" s="414">
        <v>0</v>
      </c>
      <c r="P90" s="68">
        <v>251113</v>
      </c>
      <c r="Q90" s="68">
        <v>7430</v>
      </c>
      <c r="R90" s="414">
        <v>6084</v>
      </c>
      <c r="S90" s="415">
        <v>2.2267000000000001</v>
      </c>
      <c r="T90" s="416">
        <v>0</v>
      </c>
      <c r="U90" s="422">
        <v>2.2267000000000001</v>
      </c>
      <c r="V90" s="423">
        <f t="shared" si="119"/>
        <v>0</v>
      </c>
      <c r="W90" s="417">
        <f t="shared" si="119"/>
        <v>0</v>
      </c>
      <c r="X90" s="417">
        <v>0</v>
      </c>
      <c r="Y90" s="417">
        <v>0</v>
      </c>
      <c r="Z90" s="417">
        <v>0</v>
      </c>
      <c r="AA90" s="417">
        <v>19395</v>
      </c>
      <c r="AB90" s="417">
        <v>0</v>
      </c>
      <c r="AC90" s="417">
        <v>0</v>
      </c>
      <c r="AD90" s="417">
        <v>0</v>
      </c>
      <c r="AE90" s="417">
        <f t="shared" si="120"/>
        <v>0</v>
      </c>
      <c r="AF90" s="417">
        <f t="shared" si="121"/>
        <v>19395</v>
      </c>
      <c r="AG90" s="417">
        <f t="shared" si="122"/>
        <v>19395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23"/>
        <v>0</v>
      </c>
      <c r="AN90" s="417">
        <f t="shared" si="124"/>
        <v>0</v>
      </c>
      <c r="AO90" s="417">
        <f t="shared" si="125"/>
        <v>0</v>
      </c>
      <c r="AP90" s="417">
        <f t="shared" si="126"/>
        <v>0</v>
      </c>
      <c r="AQ90" s="417">
        <f t="shared" si="126"/>
        <v>19395</v>
      </c>
      <c r="AR90" s="417">
        <f t="shared" si="127"/>
        <v>19395</v>
      </c>
      <c r="AS90" s="68">
        <f t="shared" si="128"/>
        <v>6556</v>
      </c>
      <c r="AT90" s="68">
        <f t="shared" si="129"/>
        <v>194</v>
      </c>
      <c r="AU90" s="417">
        <v>0</v>
      </c>
      <c r="AV90" s="417">
        <v>0</v>
      </c>
      <c r="AW90" s="417">
        <v>0</v>
      </c>
      <c r="AX90" s="417">
        <f t="shared" si="130"/>
        <v>0</v>
      </c>
      <c r="AY90" s="417">
        <f t="shared" si="131"/>
        <v>26145</v>
      </c>
      <c r="AZ90" s="418">
        <v>0</v>
      </c>
      <c r="BA90" s="418">
        <v>0</v>
      </c>
      <c r="BB90" s="418">
        <v>0</v>
      </c>
      <c r="BC90" s="418">
        <v>0</v>
      </c>
      <c r="BD90" s="418">
        <v>0.06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32"/>
        <v>0</v>
      </c>
      <c r="BJ90" s="418">
        <f t="shared" si="133"/>
        <v>0.06</v>
      </c>
      <c r="BK90" s="420">
        <f t="shared" si="134"/>
        <v>0.06</v>
      </c>
      <c r="BL90" s="772">
        <f>I90+AY90</f>
        <v>1033711</v>
      </c>
      <c r="BM90" s="772">
        <f>J90+AG90</f>
        <v>762334</v>
      </c>
      <c r="BN90" s="417">
        <f t="shared" si="152"/>
        <v>0</v>
      </c>
      <c r="BO90" s="417">
        <f t="shared" si="152"/>
        <v>762334</v>
      </c>
      <c r="BP90" s="417">
        <f>M90+AO90</f>
        <v>0</v>
      </c>
      <c r="BQ90" s="417">
        <f t="shared" si="153"/>
        <v>0</v>
      </c>
      <c r="BR90" s="417">
        <f t="shared" si="153"/>
        <v>0</v>
      </c>
      <c r="BS90" s="417">
        <f t="shared" si="154"/>
        <v>257669</v>
      </c>
      <c r="BT90" s="417">
        <f t="shared" si="154"/>
        <v>7624</v>
      </c>
      <c r="BU90" s="417">
        <f>R90+AX90</f>
        <v>6084</v>
      </c>
      <c r="BV90" s="418">
        <f>S90+BK90</f>
        <v>2.2867000000000002</v>
      </c>
      <c r="BW90" s="418">
        <f t="shared" si="155"/>
        <v>0</v>
      </c>
      <c r="BX90" s="420">
        <f t="shared" si="155"/>
        <v>2.2867000000000002</v>
      </c>
      <c r="BY90" s="596"/>
      <c r="BZ90" s="595"/>
      <c r="CA90" s="595"/>
      <c r="CB90" s="595"/>
      <c r="CC90" s="595"/>
      <c r="CD90" s="981"/>
      <c r="CE90" s="596"/>
      <c r="CF90" s="595"/>
      <c r="CG90" s="595"/>
      <c r="CH90" s="595"/>
      <c r="CI90" s="595"/>
      <c r="CJ90" s="981"/>
      <c r="CK90" s="315"/>
    </row>
    <row r="91" spans="1:89" ht="12.95" customHeight="1">
      <c r="A91" s="280">
        <v>15</v>
      </c>
      <c r="B91" s="321">
        <v>5435</v>
      </c>
      <c r="C91" s="322">
        <v>600099199</v>
      </c>
      <c r="D91" s="281">
        <v>72743077</v>
      </c>
      <c r="E91" s="348" t="s">
        <v>436</v>
      </c>
      <c r="F91" s="321">
        <v>3143</v>
      </c>
      <c r="G91" s="284" t="s">
        <v>595</v>
      </c>
      <c r="H91" s="640" t="s">
        <v>271</v>
      </c>
      <c r="I91" s="419">
        <v>658019</v>
      </c>
      <c r="J91" s="414">
        <v>488145</v>
      </c>
      <c r="K91" s="414">
        <v>488145</v>
      </c>
      <c r="L91" s="414">
        <v>0</v>
      </c>
      <c r="M91" s="414">
        <v>0</v>
      </c>
      <c r="N91" s="414">
        <v>0</v>
      </c>
      <c r="O91" s="414">
        <v>0</v>
      </c>
      <c r="P91" s="68">
        <v>164993</v>
      </c>
      <c r="Q91" s="68">
        <v>4881</v>
      </c>
      <c r="R91" s="414">
        <v>0</v>
      </c>
      <c r="S91" s="415">
        <v>0.96430000000000005</v>
      </c>
      <c r="T91" s="416">
        <v>0.96430000000000005</v>
      </c>
      <c r="U91" s="422">
        <v>0</v>
      </c>
      <c r="V91" s="423">
        <f t="shared" si="119"/>
        <v>0</v>
      </c>
      <c r="W91" s="417">
        <f t="shared" si="119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20"/>
        <v>0</v>
      </c>
      <c r="AF91" s="417">
        <f t="shared" si="121"/>
        <v>0</v>
      </c>
      <c r="AG91" s="417">
        <f t="shared" si="122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23"/>
        <v>0</v>
      </c>
      <c r="AN91" s="417">
        <f t="shared" si="124"/>
        <v>0</v>
      </c>
      <c r="AO91" s="417">
        <f t="shared" si="125"/>
        <v>0</v>
      </c>
      <c r="AP91" s="417">
        <f t="shared" si="126"/>
        <v>0</v>
      </c>
      <c r="AQ91" s="417">
        <f t="shared" si="126"/>
        <v>0</v>
      </c>
      <c r="AR91" s="417">
        <f t="shared" si="127"/>
        <v>0</v>
      </c>
      <c r="AS91" s="68">
        <f t="shared" si="128"/>
        <v>0</v>
      </c>
      <c r="AT91" s="68">
        <f t="shared" si="129"/>
        <v>0</v>
      </c>
      <c r="AU91" s="417">
        <v>0</v>
      </c>
      <c r="AV91" s="417">
        <v>0</v>
      </c>
      <c r="AW91" s="417">
        <v>0</v>
      </c>
      <c r="AX91" s="417">
        <f t="shared" si="130"/>
        <v>0</v>
      </c>
      <c r="AY91" s="417">
        <f t="shared" si="131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32"/>
        <v>0</v>
      </c>
      <c r="BJ91" s="418">
        <f t="shared" si="133"/>
        <v>0</v>
      </c>
      <c r="BK91" s="420">
        <f t="shared" si="134"/>
        <v>0</v>
      </c>
      <c r="BL91" s="772">
        <f>I91+AY91</f>
        <v>658019</v>
      </c>
      <c r="BM91" s="772">
        <f>J91+AG91</f>
        <v>488145</v>
      </c>
      <c r="BN91" s="417">
        <f t="shared" si="152"/>
        <v>488145</v>
      </c>
      <c r="BO91" s="417">
        <f t="shared" si="152"/>
        <v>0</v>
      </c>
      <c r="BP91" s="417">
        <f>M91+AO91</f>
        <v>0</v>
      </c>
      <c r="BQ91" s="417">
        <f t="shared" si="153"/>
        <v>0</v>
      </c>
      <c r="BR91" s="417">
        <f t="shared" si="153"/>
        <v>0</v>
      </c>
      <c r="BS91" s="417">
        <f t="shared" si="154"/>
        <v>164993</v>
      </c>
      <c r="BT91" s="417">
        <f t="shared" si="154"/>
        <v>4881</v>
      </c>
      <c r="BU91" s="417">
        <f>R91+AX91</f>
        <v>0</v>
      </c>
      <c r="BV91" s="418">
        <f>S91+BK91</f>
        <v>0.96430000000000005</v>
      </c>
      <c r="BW91" s="418">
        <f t="shared" si="155"/>
        <v>0.96430000000000005</v>
      </c>
      <c r="BX91" s="420">
        <f t="shared" si="155"/>
        <v>0</v>
      </c>
      <c r="BY91" s="596"/>
      <c r="BZ91" s="595"/>
      <c r="CA91" s="595"/>
      <c r="CB91" s="595"/>
      <c r="CC91" s="595"/>
      <c r="CD91" s="981"/>
      <c r="CE91" s="596"/>
      <c r="CF91" s="595"/>
      <c r="CG91" s="595"/>
      <c r="CH91" s="595"/>
      <c r="CI91" s="595"/>
      <c r="CJ91" s="981"/>
      <c r="CK91" s="315"/>
    </row>
    <row r="92" spans="1:89" ht="12.95" customHeight="1">
      <c r="A92" s="280">
        <v>15</v>
      </c>
      <c r="B92" s="321">
        <v>5435</v>
      </c>
      <c r="C92" s="322">
        <v>600099199</v>
      </c>
      <c r="D92" s="281">
        <v>72743077</v>
      </c>
      <c r="E92" s="348" t="s">
        <v>436</v>
      </c>
      <c r="F92" s="321">
        <v>3143</v>
      </c>
      <c r="G92" s="284" t="s">
        <v>596</v>
      </c>
      <c r="H92" s="640" t="s">
        <v>272</v>
      </c>
      <c r="I92" s="419">
        <v>23052</v>
      </c>
      <c r="J92" s="414">
        <v>16500</v>
      </c>
      <c r="K92" s="414">
        <v>0</v>
      </c>
      <c r="L92" s="414">
        <v>16500</v>
      </c>
      <c r="M92" s="414">
        <v>0</v>
      </c>
      <c r="N92" s="414">
        <v>0</v>
      </c>
      <c r="O92" s="414">
        <v>0</v>
      </c>
      <c r="P92" s="68">
        <v>5577</v>
      </c>
      <c r="Q92" s="68">
        <v>165</v>
      </c>
      <c r="R92" s="414">
        <v>810</v>
      </c>
      <c r="S92" s="415">
        <v>6.1700000000000005E-2</v>
      </c>
      <c r="T92" s="416">
        <v>0</v>
      </c>
      <c r="U92" s="422">
        <v>6.1700000000000005E-2</v>
      </c>
      <c r="V92" s="423">
        <f t="shared" si="119"/>
        <v>0</v>
      </c>
      <c r="W92" s="417">
        <f t="shared" si="119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120"/>
        <v>0</v>
      </c>
      <c r="AF92" s="417">
        <f t="shared" si="121"/>
        <v>0</v>
      </c>
      <c r="AG92" s="417">
        <f t="shared" si="122"/>
        <v>0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23"/>
        <v>0</v>
      </c>
      <c r="AN92" s="417">
        <f t="shared" si="124"/>
        <v>0</v>
      </c>
      <c r="AO92" s="417">
        <f t="shared" si="125"/>
        <v>0</v>
      </c>
      <c r="AP92" s="417">
        <f t="shared" si="126"/>
        <v>0</v>
      </c>
      <c r="AQ92" s="417">
        <f t="shared" si="126"/>
        <v>0</v>
      </c>
      <c r="AR92" s="417">
        <f t="shared" si="127"/>
        <v>0</v>
      </c>
      <c r="AS92" s="68">
        <f t="shared" si="128"/>
        <v>0</v>
      </c>
      <c r="AT92" s="68">
        <f t="shared" si="129"/>
        <v>0</v>
      </c>
      <c r="AU92" s="417">
        <v>0</v>
      </c>
      <c r="AV92" s="417">
        <v>0</v>
      </c>
      <c r="AW92" s="417">
        <v>0</v>
      </c>
      <c r="AX92" s="417">
        <f t="shared" si="130"/>
        <v>0</v>
      </c>
      <c r="AY92" s="417">
        <f t="shared" si="131"/>
        <v>0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32"/>
        <v>0</v>
      </c>
      <c r="BJ92" s="418">
        <f t="shared" si="133"/>
        <v>0</v>
      </c>
      <c r="BK92" s="420">
        <f t="shared" si="134"/>
        <v>0</v>
      </c>
      <c r="BL92" s="772">
        <f>I92+AY92</f>
        <v>23052</v>
      </c>
      <c r="BM92" s="772">
        <f>J92+AG92</f>
        <v>16500</v>
      </c>
      <c r="BN92" s="417">
        <f t="shared" si="152"/>
        <v>0</v>
      </c>
      <c r="BO92" s="417">
        <f t="shared" si="152"/>
        <v>16500</v>
      </c>
      <c r="BP92" s="417">
        <f>M92+AO92</f>
        <v>0</v>
      </c>
      <c r="BQ92" s="417">
        <f t="shared" si="153"/>
        <v>0</v>
      </c>
      <c r="BR92" s="417">
        <f t="shared" si="153"/>
        <v>0</v>
      </c>
      <c r="BS92" s="417">
        <f t="shared" si="154"/>
        <v>5577</v>
      </c>
      <c r="BT92" s="417">
        <f t="shared" si="154"/>
        <v>165</v>
      </c>
      <c r="BU92" s="417">
        <f>R92+AX92</f>
        <v>810</v>
      </c>
      <c r="BV92" s="418">
        <f>S92+BK92</f>
        <v>6.1700000000000005E-2</v>
      </c>
      <c r="BW92" s="418">
        <f t="shared" si="155"/>
        <v>0</v>
      </c>
      <c r="BX92" s="420">
        <f t="shared" si="155"/>
        <v>6.1700000000000005E-2</v>
      </c>
      <c r="BY92" s="596"/>
      <c r="BZ92" s="595"/>
      <c r="CA92" s="595"/>
      <c r="CB92" s="595"/>
      <c r="CC92" s="595"/>
      <c r="CD92" s="981"/>
      <c r="CE92" s="596"/>
      <c r="CF92" s="595"/>
      <c r="CG92" s="595"/>
      <c r="CH92" s="595"/>
      <c r="CI92" s="595"/>
      <c r="CJ92" s="981"/>
      <c r="CK92" s="315"/>
    </row>
    <row r="93" spans="1:89" ht="12.95" customHeight="1">
      <c r="A93" s="641">
        <v>15</v>
      </c>
      <c r="B93" s="325">
        <v>5435</v>
      </c>
      <c r="C93" s="326">
        <v>600099199</v>
      </c>
      <c r="D93" s="325">
        <v>72743077</v>
      </c>
      <c r="E93" s="349" t="s">
        <v>437</v>
      </c>
      <c r="F93" s="325"/>
      <c r="G93" s="350"/>
      <c r="H93" s="643"/>
      <c r="I93" s="464">
        <v>12611135</v>
      </c>
      <c r="J93" s="460">
        <v>8964445</v>
      </c>
      <c r="K93" s="460">
        <v>7249186</v>
      </c>
      <c r="L93" s="460">
        <v>1715259</v>
      </c>
      <c r="M93" s="460">
        <v>277840</v>
      </c>
      <c r="N93" s="460">
        <v>227840</v>
      </c>
      <c r="O93" s="460">
        <v>50000</v>
      </c>
      <c r="P93" s="460">
        <v>3123892</v>
      </c>
      <c r="Q93" s="460">
        <v>89644</v>
      </c>
      <c r="R93" s="460">
        <v>155314</v>
      </c>
      <c r="S93" s="461">
        <v>16.868099999999998</v>
      </c>
      <c r="T93" s="461">
        <v>12.007</v>
      </c>
      <c r="U93" s="534">
        <v>4.8611000000000004</v>
      </c>
      <c r="V93" s="471">
        <f t="shared" ref="V93:BK93" si="156">SUM(V88:V92)</f>
        <v>177840</v>
      </c>
      <c r="W93" s="467">
        <f t="shared" si="156"/>
        <v>-48000</v>
      </c>
      <c r="X93" s="467">
        <f t="shared" si="156"/>
        <v>0</v>
      </c>
      <c r="Y93" s="467">
        <f t="shared" si="156"/>
        <v>18536</v>
      </c>
      <c r="Z93" s="467">
        <f t="shared" si="156"/>
        <v>0</v>
      </c>
      <c r="AA93" s="467">
        <f t="shared" si="156"/>
        <v>19395</v>
      </c>
      <c r="AB93" s="467">
        <f t="shared" si="156"/>
        <v>0</v>
      </c>
      <c r="AC93" s="467">
        <f t="shared" si="156"/>
        <v>0</v>
      </c>
      <c r="AD93" s="467">
        <f t="shared" si="156"/>
        <v>0</v>
      </c>
      <c r="AE93" s="467">
        <f t="shared" si="156"/>
        <v>196376</v>
      </c>
      <c r="AF93" s="467">
        <f t="shared" si="156"/>
        <v>-28605</v>
      </c>
      <c r="AG93" s="467">
        <f t="shared" si="156"/>
        <v>167771</v>
      </c>
      <c r="AH93" s="467">
        <f t="shared" si="156"/>
        <v>-177840</v>
      </c>
      <c r="AI93" s="467">
        <f t="shared" si="156"/>
        <v>48000</v>
      </c>
      <c r="AJ93" s="467">
        <f t="shared" si="156"/>
        <v>0</v>
      </c>
      <c r="AK93" s="467">
        <f t="shared" si="156"/>
        <v>0</v>
      </c>
      <c r="AL93" s="467">
        <f t="shared" si="156"/>
        <v>0</v>
      </c>
      <c r="AM93" s="467">
        <f t="shared" si="156"/>
        <v>-177840</v>
      </c>
      <c r="AN93" s="467">
        <f t="shared" si="156"/>
        <v>48000</v>
      </c>
      <c r="AO93" s="467">
        <f t="shared" si="156"/>
        <v>-129840</v>
      </c>
      <c r="AP93" s="467">
        <f t="shared" si="156"/>
        <v>18536</v>
      </c>
      <c r="AQ93" s="467">
        <f t="shared" si="156"/>
        <v>19395</v>
      </c>
      <c r="AR93" s="467">
        <f t="shared" si="156"/>
        <v>37931</v>
      </c>
      <c r="AS93" s="467">
        <f t="shared" si="156"/>
        <v>12821</v>
      </c>
      <c r="AT93" s="467">
        <f t="shared" si="156"/>
        <v>1678</v>
      </c>
      <c r="AU93" s="467">
        <f t="shared" si="156"/>
        <v>0</v>
      </c>
      <c r="AV93" s="467">
        <f t="shared" si="156"/>
        <v>0</v>
      </c>
      <c r="AW93" s="467">
        <f t="shared" si="156"/>
        <v>0</v>
      </c>
      <c r="AX93" s="467">
        <f t="shared" si="156"/>
        <v>0</v>
      </c>
      <c r="AY93" s="467">
        <f t="shared" si="156"/>
        <v>52430</v>
      </c>
      <c r="AZ93" s="468">
        <f t="shared" si="156"/>
        <v>0.01</v>
      </c>
      <c r="BA93" s="468">
        <f t="shared" si="156"/>
        <v>-0.14000000000000001</v>
      </c>
      <c r="BB93" s="468">
        <f t="shared" si="156"/>
        <v>0</v>
      </c>
      <c r="BC93" s="468">
        <f t="shared" si="156"/>
        <v>0</v>
      </c>
      <c r="BD93" s="468">
        <f t="shared" si="156"/>
        <v>0.06</v>
      </c>
      <c r="BE93" s="468">
        <f t="shared" si="156"/>
        <v>0.03</v>
      </c>
      <c r="BF93" s="468">
        <f t="shared" si="156"/>
        <v>0</v>
      </c>
      <c r="BG93" s="468">
        <f t="shared" si="156"/>
        <v>0</v>
      </c>
      <c r="BH93" s="468">
        <f t="shared" si="156"/>
        <v>0</v>
      </c>
      <c r="BI93" s="468">
        <f t="shared" si="156"/>
        <v>0.04</v>
      </c>
      <c r="BJ93" s="468">
        <f t="shared" si="156"/>
        <v>-8.0000000000000016E-2</v>
      </c>
      <c r="BK93" s="328">
        <f t="shared" si="156"/>
        <v>-4.0000000000000008E-2</v>
      </c>
      <c r="BL93" s="774">
        <f t="shared" ref="BL93:CG93" si="157">SUM(BL88:BL92)</f>
        <v>12663565</v>
      </c>
      <c r="BM93" s="774">
        <f t="shared" si="157"/>
        <v>9132216</v>
      </c>
      <c r="BN93" s="467">
        <f t="shared" si="157"/>
        <v>7445562</v>
      </c>
      <c r="BO93" s="467">
        <f t="shared" si="157"/>
        <v>1686654</v>
      </c>
      <c r="BP93" s="467">
        <f t="shared" si="157"/>
        <v>148000</v>
      </c>
      <c r="BQ93" s="467">
        <f t="shared" si="157"/>
        <v>50000</v>
      </c>
      <c r="BR93" s="467">
        <f t="shared" si="157"/>
        <v>98000</v>
      </c>
      <c r="BS93" s="467">
        <f t="shared" si="157"/>
        <v>3136713</v>
      </c>
      <c r="BT93" s="467">
        <f t="shared" si="157"/>
        <v>91322</v>
      </c>
      <c r="BU93" s="467">
        <f t="shared" si="157"/>
        <v>155314</v>
      </c>
      <c r="BV93" s="468">
        <f t="shared" si="157"/>
        <v>16.828099999999999</v>
      </c>
      <c r="BW93" s="468">
        <f t="shared" si="157"/>
        <v>12.046999999999999</v>
      </c>
      <c r="BX93" s="328">
        <f t="shared" si="157"/>
        <v>4.7811000000000003</v>
      </c>
      <c r="BY93" s="979">
        <f t="shared" si="157"/>
        <v>0</v>
      </c>
      <c r="BZ93" s="721">
        <f t="shared" si="157"/>
        <v>0</v>
      </c>
      <c r="CA93" s="721">
        <f t="shared" si="157"/>
        <v>0</v>
      </c>
      <c r="CB93" s="721">
        <f t="shared" si="157"/>
        <v>0</v>
      </c>
      <c r="CC93" s="721">
        <f t="shared" si="157"/>
        <v>0</v>
      </c>
      <c r="CD93" s="826">
        <f t="shared" si="157"/>
        <v>0</v>
      </c>
      <c r="CE93" s="995">
        <f t="shared" si="157"/>
        <v>470046</v>
      </c>
      <c r="CF93" s="995">
        <f t="shared" si="157"/>
        <v>322732</v>
      </c>
      <c r="CG93" s="995">
        <f t="shared" si="157"/>
        <v>109083</v>
      </c>
      <c r="CH93" s="995">
        <f t="shared" ref="CH93:CJ93" si="158">SUM(CH88:CH92)</f>
        <v>3227</v>
      </c>
      <c r="CI93" s="995">
        <f t="shared" si="158"/>
        <v>35004</v>
      </c>
      <c r="CJ93" s="933">
        <f t="shared" si="158"/>
        <v>0.87360000000000004</v>
      </c>
      <c r="CK93" s="315"/>
    </row>
    <row r="94" spans="1:89" ht="12.95" customHeight="1">
      <c r="A94" s="280">
        <v>16</v>
      </c>
      <c r="B94" s="321">
        <v>5478</v>
      </c>
      <c r="C94" s="322">
        <v>600098818</v>
      </c>
      <c r="D94" s="281">
        <v>70698031</v>
      </c>
      <c r="E94" s="769" t="s">
        <v>836</v>
      </c>
      <c r="F94" s="321">
        <v>3111</v>
      </c>
      <c r="G94" s="345" t="s">
        <v>304</v>
      </c>
      <c r="H94" s="640" t="s">
        <v>271</v>
      </c>
      <c r="I94" s="419">
        <v>9018110</v>
      </c>
      <c r="J94" s="414">
        <v>6529258</v>
      </c>
      <c r="K94" s="414">
        <v>5610835</v>
      </c>
      <c r="L94" s="414">
        <v>918423</v>
      </c>
      <c r="M94" s="414">
        <v>180669</v>
      </c>
      <c r="N94" s="414">
        <v>180669</v>
      </c>
      <c r="O94" s="414">
        <v>0</v>
      </c>
      <c r="P94" s="68">
        <v>2206890</v>
      </c>
      <c r="Q94" s="68">
        <v>65293</v>
      </c>
      <c r="R94" s="414">
        <v>36000</v>
      </c>
      <c r="S94" s="415">
        <v>12.7531</v>
      </c>
      <c r="T94" s="416">
        <v>9.7343999999999991</v>
      </c>
      <c r="U94" s="422">
        <v>3.0187000000000004</v>
      </c>
      <c r="V94" s="423">
        <f t="shared" si="119"/>
        <v>0</v>
      </c>
      <c r="W94" s="417">
        <f t="shared" si="119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20"/>
        <v>0</v>
      </c>
      <c r="AF94" s="417">
        <f t="shared" si="121"/>
        <v>0</v>
      </c>
      <c r="AG94" s="417">
        <f t="shared" si="122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23"/>
        <v>0</v>
      </c>
      <c r="AN94" s="417">
        <f t="shared" si="124"/>
        <v>0</v>
      </c>
      <c r="AO94" s="417">
        <f t="shared" si="125"/>
        <v>0</v>
      </c>
      <c r="AP94" s="417">
        <f t="shared" si="126"/>
        <v>0</v>
      </c>
      <c r="AQ94" s="417">
        <f t="shared" si="126"/>
        <v>0</v>
      </c>
      <c r="AR94" s="417">
        <f t="shared" si="127"/>
        <v>0</v>
      </c>
      <c r="AS94" s="68">
        <f t="shared" si="128"/>
        <v>0</v>
      </c>
      <c r="AT94" s="68">
        <f t="shared" si="129"/>
        <v>0</v>
      </c>
      <c r="AU94" s="417">
        <v>0</v>
      </c>
      <c r="AV94" s="417">
        <v>0</v>
      </c>
      <c r="AW94" s="417">
        <v>0</v>
      </c>
      <c r="AX94" s="417">
        <f t="shared" si="130"/>
        <v>0</v>
      </c>
      <c r="AY94" s="417">
        <f t="shared" si="131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32"/>
        <v>0</v>
      </c>
      <c r="BJ94" s="418">
        <f t="shared" si="133"/>
        <v>0</v>
      </c>
      <c r="BK94" s="420">
        <f t="shared" si="134"/>
        <v>0</v>
      </c>
      <c r="BL94" s="772">
        <f>I94+AY94</f>
        <v>9018110</v>
      </c>
      <c r="BM94" s="772">
        <f>J94+AG94</f>
        <v>6529258</v>
      </c>
      <c r="BN94" s="417">
        <f t="shared" ref="BN94:BO96" si="159">K94+AE94</f>
        <v>5610835</v>
      </c>
      <c r="BO94" s="417">
        <f t="shared" si="159"/>
        <v>918423</v>
      </c>
      <c r="BP94" s="417">
        <f>M94+AO94</f>
        <v>180669</v>
      </c>
      <c r="BQ94" s="417">
        <f t="shared" ref="BQ94:BR96" si="160">N94+AM94</f>
        <v>180669</v>
      </c>
      <c r="BR94" s="417">
        <f t="shared" si="160"/>
        <v>0</v>
      </c>
      <c r="BS94" s="417">
        <f t="shared" ref="BS94:BT96" si="161">P94+AS94</f>
        <v>2206890</v>
      </c>
      <c r="BT94" s="417">
        <f t="shared" si="161"/>
        <v>65293</v>
      </c>
      <c r="BU94" s="417">
        <f>R94+AX94</f>
        <v>36000</v>
      </c>
      <c r="BV94" s="418">
        <f>S94+BK94</f>
        <v>12.7531</v>
      </c>
      <c r="BW94" s="418">
        <f t="shared" ref="BW94:BX96" si="162">T94+BI94</f>
        <v>9.7343999999999991</v>
      </c>
      <c r="BX94" s="420">
        <f t="shared" si="162"/>
        <v>3.0187000000000004</v>
      </c>
      <c r="BY94" s="596"/>
      <c r="BZ94" s="595"/>
      <c r="CA94" s="595"/>
      <c r="CB94" s="595"/>
      <c r="CC94" s="595"/>
      <c r="CD94" s="981"/>
      <c r="CE94" s="596">
        <v>365116</v>
      </c>
      <c r="CF94" s="595">
        <v>261978</v>
      </c>
      <c r="CG94" s="595">
        <v>88548</v>
      </c>
      <c r="CH94" s="595">
        <v>2620</v>
      </c>
      <c r="CI94" s="595">
        <v>11970</v>
      </c>
      <c r="CJ94" s="981">
        <v>0.88200000000000001</v>
      </c>
      <c r="CK94" s="315"/>
    </row>
    <row r="95" spans="1:89" ht="12.95" customHeight="1">
      <c r="A95" s="280">
        <v>16</v>
      </c>
      <c r="B95" s="321">
        <v>5478</v>
      </c>
      <c r="C95" s="322">
        <v>600098818</v>
      </c>
      <c r="D95" s="281">
        <v>70698031</v>
      </c>
      <c r="E95" s="769" t="s">
        <v>438</v>
      </c>
      <c r="F95" s="321">
        <v>3111</v>
      </c>
      <c r="G95" s="345" t="s">
        <v>291</v>
      </c>
      <c r="H95" s="640" t="s">
        <v>272</v>
      </c>
      <c r="I95" s="419">
        <v>831252</v>
      </c>
      <c r="J95" s="414">
        <v>616656</v>
      </c>
      <c r="K95" s="414">
        <v>616656</v>
      </c>
      <c r="L95" s="414">
        <v>0</v>
      </c>
      <c r="M95" s="414">
        <v>0</v>
      </c>
      <c r="N95" s="414">
        <v>0</v>
      </c>
      <c r="O95" s="414">
        <v>0</v>
      </c>
      <c r="P95" s="68">
        <v>208429</v>
      </c>
      <c r="Q95" s="68">
        <v>6167</v>
      </c>
      <c r="R95" s="414">
        <v>0</v>
      </c>
      <c r="S95" s="415">
        <v>1.8299999999999998</v>
      </c>
      <c r="T95" s="416">
        <v>1.8299999999999998</v>
      </c>
      <c r="U95" s="422">
        <v>0</v>
      </c>
      <c r="V95" s="423">
        <f t="shared" si="119"/>
        <v>0</v>
      </c>
      <c r="W95" s="417">
        <f t="shared" si="119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20"/>
        <v>0</v>
      </c>
      <c r="AF95" s="417">
        <f t="shared" si="121"/>
        <v>0</v>
      </c>
      <c r="AG95" s="417">
        <f t="shared" si="122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23"/>
        <v>0</v>
      </c>
      <c r="AN95" s="417">
        <f t="shared" si="124"/>
        <v>0</v>
      </c>
      <c r="AO95" s="417">
        <f t="shared" si="125"/>
        <v>0</v>
      </c>
      <c r="AP95" s="417">
        <f t="shared" si="126"/>
        <v>0</v>
      </c>
      <c r="AQ95" s="417">
        <f t="shared" si="126"/>
        <v>0</v>
      </c>
      <c r="AR95" s="417">
        <f t="shared" si="127"/>
        <v>0</v>
      </c>
      <c r="AS95" s="68">
        <f t="shared" si="128"/>
        <v>0</v>
      </c>
      <c r="AT95" s="68">
        <f t="shared" si="129"/>
        <v>0</v>
      </c>
      <c r="AU95" s="417">
        <v>0</v>
      </c>
      <c r="AV95" s="417">
        <v>0</v>
      </c>
      <c r="AW95" s="417">
        <v>0</v>
      </c>
      <c r="AX95" s="417">
        <f t="shared" si="130"/>
        <v>0</v>
      </c>
      <c r="AY95" s="417">
        <f t="shared" si="131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32"/>
        <v>0</v>
      </c>
      <c r="BJ95" s="418">
        <f t="shared" si="133"/>
        <v>0</v>
      </c>
      <c r="BK95" s="420">
        <f t="shared" si="134"/>
        <v>0</v>
      </c>
      <c r="BL95" s="772">
        <f>I95+AY95</f>
        <v>831252</v>
      </c>
      <c r="BM95" s="772">
        <f>J95+AG95</f>
        <v>616656</v>
      </c>
      <c r="BN95" s="417">
        <f t="shared" si="159"/>
        <v>616656</v>
      </c>
      <c r="BO95" s="417">
        <f t="shared" si="159"/>
        <v>0</v>
      </c>
      <c r="BP95" s="417">
        <f>M95+AO95</f>
        <v>0</v>
      </c>
      <c r="BQ95" s="417">
        <f t="shared" si="160"/>
        <v>0</v>
      </c>
      <c r="BR95" s="417">
        <f t="shared" si="160"/>
        <v>0</v>
      </c>
      <c r="BS95" s="417">
        <f t="shared" si="161"/>
        <v>208429</v>
      </c>
      <c r="BT95" s="417">
        <f t="shared" si="161"/>
        <v>6167</v>
      </c>
      <c r="BU95" s="417">
        <f>R95+AX95</f>
        <v>0</v>
      </c>
      <c r="BV95" s="418">
        <f>S95+BK95</f>
        <v>1.8299999999999998</v>
      </c>
      <c r="BW95" s="418">
        <f t="shared" si="162"/>
        <v>1.8299999999999998</v>
      </c>
      <c r="BX95" s="420">
        <f t="shared" si="162"/>
        <v>0</v>
      </c>
      <c r="BY95" s="596"/>
      <c r="BZ95" s="595"/>
      <c r="CA95" s="595"/>
      <c r="CB95" s="595"/>
      <c r="CC95" s="595"/>
      <c r="CD95" s="981"/>
      <c r="CE95" s="596"/>
      <c r="CF95" s="595"/>
      <c r="CG95" s="595"/>
      <c r="CH95" s="595"/>
      <c r="CI95" s="595"/>
      <c r="CJ95" s="981"/>
      <c r="CK95" s="315"/>
    </row>
    <row r="96" spans="1:89" ht="12.95" customHeight="1">
      <c r="A96" s="280">
        <v>16</v>
      </c>
      <c r="B96" s="281">
        <v>5478</v>
      </c>
      <c r="C96" s="330">
        <v>600098818</v>
      </c>
      <c r="D96" s="281">
        <v>70698031</v>
      </c>
      <c r="E96" s="770" t="s">
        <v>438</v>
      </c>
      <c r="F96" s="281">
        <v>3141</v>
      </c>
      <c r="G96" s="345" t="s">
        <v>294</v>
      </c>
      <c r="H96" s="640" t="s">
        <v>272</v>
      </c>
      <c r="I96" s="419">
        <v>1284458</v>
      </c>
      <c r="J96" s="414">
        <v>949390</v>
      </c>
      <c r="K96" s="414">
        <v>0</v>
      </c>
      <c r="L96" s="414">
        <v>949390</v>
      </c>
      <c r="M96" s="414">
        <v>0</v>
      </c>
      <c r="N96" s="414">
        <v>0</v>
      </c>
      <c r="O96" s="414">
        <v>0</v>
      </c>
      <c r="P96" s="68">
        <v>320894</v>
      </c>
      <c r="Q96" s="68">
        <v>9494</v>
      </c>
      <c r="R96" s="414">
        <v>4680</v>
      </c>
      <c r="S96" s="415">
        <v>2.85</v>
      </c>
      <c r="T96" s="416">
        <v>0</v>
      </c>
      <c r="U96" s="422">
        <v>2.85</v>
      </c>
      <c r="V96" s="423">
        <f t="shared" si="119"/>
        <v>0</v>
      </c>
      <c r="W96" s="417">
        <f t="shared" si="119"/>
        <v>0</v>
      </c>
      <c r="X96" s="417">
        <v>0</v>
      </c>
      <c r="Y96" s="417">
        <v>0</v>
      </c>
      <c r="Z96" s="417">
        <v>0</v>
      </c>
      <c r="AA96" s="417">
        <v>-21729</v>
      </c>
      <c r="AB96" s="417">
        <v>0</v>
      </c>
      <c r="AC96" s="417">
        <v>0</v>
      </c>
      <c r="AD96" s="417">
        <v>0</v>
      </c>
      <c r="AE96" s="417">
        <f t="shared" si="120"/>
        <v>0</v>
      </c>
      <c r="AF96" s="417">
        <f t="shared" si="121"/>
        <v>-21729</v>
      </c>
      <c r="AG96" s="417">
        <f t="shared" si="122"/>
        <v>-21729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23"/>
        <v>0</v>
      </c>
      <c r="AN96" s="417">
        <f t="shared" si="124"/>
        <v>0</v>
      </c>
      <c r="AO96" s="417">
        <f t="shared" si="125"/>
        <v>0</v>
      </c>
      <c r="AP96" s="417">
        <f t="shared" si="126"/>
        <v>0</v>
      </c>
      <c r="AQ96" s="417">
        <f t="shared" si="126"/>
        <v>-21729</v>
      </c>
      <c r="AR96" s="417">
        <f t="shared" si="127"/>
        <v>-21729</v>
      </c>
      <c r="AS96" s="68">
        <f t="shared" si="128"/>
        <v>-7344</v>
      </c>
      <c r="AT96" s="68">
        <f t="shared" si="129"/>
        <v>-217</v>
      </c>
      <c r="AU96" s="417">
        <v>0</v>
      </c>
      <c r="AV96" s="417">
        <v>0</v>
      </c>
      <c r="AW96" s="417">
        <v>0</v>
      </c>
      <c r="AX96" s="417">
        <f t="shared" si="130"/>
        <v>0</v>
      </c>
      <c r="AY96" s="417">
        <f t="shared" si="131"/>
        <v>-29290</v>
      </c>
      <c r="AZ96" s="418">
        <v>0</v>
      </c>
      <c r="BA96" s="418">
        <v>0</v>
      </c>
      <c r="BB96" s="418">
        <v>0</v>
      </c>
      <c r="BC96" s="418">
        <v>0</v>
      </c>
      <c r="BD96" s="418">
        <v>-7.0000000000000007E-2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32"/>
        <v>0</v>
      </c>
      <c r="BJ96" s="418">
        <f t="shared" si="133"/>
        <v>-7.0000000000000007E-2</v>
      </c>
      <c r="BK96" s="420">
        <f t="shared" si="134"/>
        <v>-7.0000000000000007E-2</v>
      </c>
      <c r="BL96" s="772">
        <f>I96+AY96</f>
        <v>1255168</v>
      </c>
      <c r="BM96" s="772">
        <f>J96+AG96</f>
        <v>927661</v>
      </c>
      <c r="BN96" s="417">
        <f t="shared" si="159"/>
        <v>0</v>
      </c>
      <c r="BO96" s="417">
        <f t="shared" si="159"/>
        <v>927661</v>
      </c>
      <c r="BP96" s="417">
        <f>M96+AO96</f>
        <v>0</v>
      </c>
      <c r="BQ96" s="417">
        <f t="shared" si="160"/>
        <v>0</v>
      </c>
      <c r="BR96" s="417">
        <f t="shared" si="160"/>
        <v>0</v>
      </c>
      <c r="BS96" s="417">
        <f t="shared" si="161"/>
        <v>313550</v>
      </c>
      <c r="BT96" s="417">
        <f t="shared" si="161"/>
        <v>9277</v>
      </c>
      <c r="BU96" s="417">
        <f>R96+AX96</f>
        <v>4680</v>
      </c>
      <c r="BV96" s="418">
        <f>S96+BK96</f>
        <v>2.7800000000000002</v>
      </c>
      <c r="BW96" s="418">
        <f t="shared" si="162"/>
        <v>0</v>
      </c>
      <c r="BX96" s="420">
        <f t="shared" si="162"/>
        <v>2.7800000000000002</v>
      </c>
      <c r="BY96" s="596"/>
      <c r="BZ96" s="595"/>
      <c r="CA96" s="595"/>
      <c r="CB96" s="595"/>
      <c r="CC96" s="595"/>
      <c r="CD96" s="981"/>
      <c r="CE96" s="596"/>
      <c r="CF96" s="595"/>
      <c r="CG96" s="595"/>
      <c r="CH96" s="595"/>
      <c r="CI96" s="595"/>
      <c r="CJ96" s="981"/>
      <c r="CK96" s="315"/>
    </row>
    <row r="97" spans="1:89" ht="12.95" customHeight="1">
      <c r="A97" s="641">
        <v>16</v>
      </c>
      <c r="B97" s="275">
        <v>5478</v>
      </c>
      <c r="C97" s="346">
        <v>600098818</v>
      </c>
      <c r="D97" s="275">
        <v>70698031</v>
      </c>
      <c r="E97" s="288" t="s">
        <v>439</v>
      </c>
      <c r="F97" s="275"/>
      <c r="G97" s="347"/>
      <c r="H97" s="642"/>
      <c r="I97" s="477">
        <v>11133820</v>
      </c>
      <c r="J97" s="475">
        <v>8095304</v>
      </c>
      <c r="K97" s="475">
        <v>6227491</v>
      </c>
      <c r="L97" s="475">
        <v>1867813</v>
      </c>
      <c r="M97" s="475">
        <v>180669</v>
      </c>
      <c r="N97" s="475">
        <v>180669</v>
      </c>
      <c r="O97" s="475">
        <v>0</v>
      </c>
      <c r="P97" s="475">
        <v>2736213</v>
      </c>
      <c r="Q97" s="475">
        <v>80954</v>
      </c>
      <c r="R97" s="475">
        <v>40680</v>
      </c>
      <c r="S97" s="476">
        <v>17.4331</v>
      </c>
      <c r="T97" s="476">
        <v>11.564399999999999</v>
      </c>
      <c r="U97" s="535">
        <v>5.8687000000000005</v>
      </c>
      <c r="V97" s="472">
        <f t="shared" ref="V97:BK97" si="163">SUM(V94:V96)</f>
        <v>0</v>
      </c>
      <c r="W97" s="469">
        <f t="shared" si="163"/>
        <v>0</v>
      </c>
      <c r="X97" s="469">
        <f t="shared" si="163"/>
        <v>0</v>
      </c>
      <c r="Y97" s="469">
        <f t="shared" si="163"/>
        <v>0</v>
      </c>
      <c r="Z97" s="469">
        <f t="shared" si="163"/>
        <v>0</v>
      </c>
      <c r="AA97" s="469">
        <f t="shared" si="163"/>
        <v>-21729</v>
      </c>
      <c r="AB97" s="469">
        <f t="shared" si="163"/>
        <v>0</v>
      </c>
      <c r="AC97" s="469">
        <f t="shared" si="163"/>
        <v>0</v>
      </c>
      <c r="AD97" s="469">
        <f t="shared" si="163"/>
        <v>0</v>
      </c>
      <c r="AE97" s="469">
        <f t="shared" si="163"/>
        <v>0</v>
      </c>
      <c r="AF97" s="469">
        <f t="shared" si="163"/>
        <v>-21729</v>
      </c>
      <c r="AG97" s="469">
        <f t="shared" si="163"/>
        <v>-21729</v>
      </c>
      <c r="AH97" s="469">
        <f t="shared" si="163"/>
        <v>0</v>
      </c>
      <c r="AI97" s="469">
        <f t="shared" si="163"/>
        <v>0</v>
      </c>
      <c r="AJ97" s="469">
        <f t="shared" si="163"/>
        <v>0</v>
      </c>
      <c r="AK97" s="469">
        <f t="shared" si="163"/>
        <v>0</v>
      </c>
      <c r="AL97" s="469">
        <f t="shared" si="163"/>
        <v>0</v>
      </c>
      <c r="AM97" s="469">
        <f t="shared" si="163"/>
        <v>0</v>
      </c>
      <c r="AN97" s="469">
        <f t="shared" si="163"/>
        <v>0</v>
      </c>
      <c r="AO97" s="469">
        <f t="shared" si="163"/>
        <v>0</v>
      </c>
      <c r="AP97" s="469">
        <f t="shared" si="163"/>
        <v>0</v>
      </c>
      <c r="AQ97" s="469">
        <f t="shared" si="163"/>
        <v>-21729</v>
      </c>
      <c r="AR97" s="469">
        <f t="shared" si="163"/>
        <v>-21729</v>
      </c>
      <c r="AS97" s="469">
        <f t="shared" si="163"/>
        <v>-7344</v>
      </c>
      <c r="AT97" s="469">
        <f t="shared" si="163"/>
        <v>-217</v>
      </c>
      <c r="AU97" s="469">
        <f t="shared" si="163"/>
        <v>0</v>
      </c>
      <c r="AV97" s="469">
        <f t="shared" si="163"/>
        <v>0</v>
      </c>
      <c r="AW97" s="469">
        <f t="shared" si="163"/>
        <v>0</v>
      </c>
      <c r="AX97" s="469">
        <f t="shared" si="163"/>
        <v>0</v>
      </c>
      <c r="AY97" s="469">
        <f t="shared" si="163"/>
        <v>-29290</v>
      </c>
      <c r="AZ97" s="470">
        <f t="shared" si="163"/>
        <v>0</v>
      </c>
      <c r="BA97" s="470">
        <f t="shared" si="163"/>
        <v>0</v>
      </c>
      <c r="BB97" s="470">
        <f t="shared" si="163"/>
        <v>0</v>
      </c>
      <c r="BC97" s="470">
        <f t="shared" si="163"/>
        <v>0</v>
      </c>
      <c r="BD97" s="470">
        <f t="shared" si="163"/>
        <v>-7.0000000000000007E-2</v>
      </c>
      <c r="BE97" s="470">
        <f t="shared" si="163"/>
        <v>0</v>
      </c>
      <c r="BF97" s="470">
        <f t="shared" si="163"/>
        <v>0</v>
      </c>
      <c r="BG97" s="470">
        <f t="shared" si="163"/>
        <v>0</v>
      </c>
      <c r="BH97" s="470">
        <f t="shared" si="163"/>
        <v>0</v>
      </c>
      <c r="BI97" s="470">
        <f t="shared" si="163"/>
        <v>0</v>
      </c>
      <c r="BJ97" s="470">
        <f t="shared" si="163"/>
        <v>-7.0000000000000007E-2</v>
      </c>
      <c r="BK97" s="333">
        <f t="shared" si="163"/>
        <v>-7.0000000000000007E-2</v>
      </c>
      <c r="BL97" s="775">
        <f t="shared" ref="BL97:CG97" si="164">SUM(BL94:BL96)</f>
        <v>11104530</v>
      </c>
      <c r="BM97" s="775">
        <f t="shared" si="164"/>
        <v>8073575</v>
      </c>
      <c r="BN97" s="469">
        <f t="shared" si="164"/>
        <v>6227491</v>
      </c>
      <c r="BO97" s="469">
        <f t="shared" si="164"/>
        <v>1846084</v>
      </c>
      <c r="BP97" s="469">
        <f t="shared" si="164"/>
        <v>180669</v>
      </c>
      <c r="BQ97" s="469">
        <f t="shared" si="164"/>
        <v>180669</v>
      </c>
      <c r="BR97" s="469">
        <f t="shared" si="164"/>
        <v>0</v>
      </c>
      <c r="BS97" s="469">
        <f t="shared" si="164"/>
        <v>2728869</v>
      </c>
      <c r="BT97" s="469">
        <f t="shared" si="164"/>
        <v>80737</v>
      </c>
      <c r="BU97" s="469">
        <f t="shared" si="164"/>
        <v>40680</v>
      </c>
      <c r="BV97" s="470">
        <f t="shared" si="164"/>
        <v>17.363099999999999</v>
      </c>
      <c r="BW97" s="470">
        <f t="shared" si="164"/>
        <v>11.564399999999999</v>
      </c>
      <c r="BX97" s="333">
        <f t="shared" si="164"/>
        <v>5.7987000000000002</v>
      </c>
      <c r="BY97" s="1004">
        <f t="shared" si="164"/>
        <v>0</v>
      </c>
      <c r="BZ97" s="722">
        <f t="shared" si="164"/>
        <v>0</v>
      </c>
      <c r="CA97" s="722">
        <f t="shared" si="164"/>
        <v>0</v>
      </c>
      <c r="CB97" s="722">
        <f t="shared" si="164"/>
        <v>0</v>
      </c>
      <c r="CC97" s="722">
        <f t="shared" si="164"/>
        <v>0</v>
      </c>
      <c r="CD97" s="827">
        <f t="shared" si="164"/>
        <v>0</v>
      </c>
      <c r="CE97" s="996">
        <f t="shared" si="164"/>
        <v>365116</v>
      </c>
      <c r="CF97" s="996">
        <f t="shared" si="164"/>
        <v>261978</v>
      </c>
      <c r="CG97" s="996">
        <f t="shared" si="164"/>
        <v>88548</v>
      </c>
      <c r="CH97" s="996">
        <f t="shared" ref="CH97:CJ97" si="165">SUM(CH94:CH96)</f>
        <v>2620</v>
      </c>
      <c r="CI97" s="996">
        <f t="shared" si="165"/>
        <v>11970</v>
      </c>
      <c r="CJ97" s="934">
        <f t="shared" si="165"/>
        <v>0.88200000000000001</v>
      </c>
      <c r="CK97" s="315"/>
    </row>
    <row r="98" spans="1:89" ht="12.95" customHeight="1">
      <c r="A98" s="280">
        <v>17</v>
      </c>
      <c r="B98" s="321">
        <v>5479</v>
      </c>
      <c r="C98" s="322">
        <v>600099105</v>
      </c>
      <c r="D98" s="281">
        <v>70910600</v>
      </c>
      <c r="E98" s="525" t="s">
        <v>794</v>
      </c>
      <c r="F98" s="321">
        <v>3113</v>
      </c>
      <c r="G98" s="345" t="s">
        <v>308</v>
      </c>
      <c r="H98" s="640" t="s">
        <v>271</v>
      </c>
      <c r="I98" s="419">
        <v>17037917</v>
      </c>
      <c r="J98" s="414">
        <v>12393303</v>
      </c>
      <c r="K98" s="414">
        <v>10997753</v>
      </c>
      <c r="L98" s="414">
        <v>1395550</v>
      </c>
      <c r="M98" s="414">
        <v>50000</v>
      </c>
      <c r="N98" s="414">
        <v>50000</v>
      </c>
      <c r="O98" s="414">
        <v>0</v>
      </c>
      <c r="P98" s="68">
        <v>4205836</v>
      </c>
      <c r="Q98" s="68">
        <v>123933</v>
      </c>
      <c r="R98" s="414">
        <v>264845</v>
      </c>
      <c r="S98" s="415">
        <v>19.565799999999999</v>
      </c>
      <c r="T98" s="416">
        <v>15.550600000000001</v>
      </c>
      <c r="U98" s="422">
        <v>4.0152000000000001</v>
      </c>
      <c r="V98" s="423">
        <f t="shared" si="119"/>
        <v>32000</v>
      </c>
      <c r="W98" s="417">
        <f t="shared" si="119"/>
        <v>-12000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20"/>
        <v>32000</v>
      </c>
      <c r="AF98" s="417">
        <f t="shared" si="121"/>
        <v>-12000</v>
      </c>
      <c r="AG98" s="417">
        <f t="shared" si="122"/>
        <v>20000</v>
      </c>
      <c r="AH98" s="417">
        <v>-32000</v>
      </c>
      <c r="AI98" s="417">
        <v>12000</v>
      </c>
      <c r="AJ98" s="417">
        <v>0</v>
      </c>
      <c r="AK98" s="417">
        <v>0</v>
      </c>
      <c r="AL98" s="417">
        <v>0</v>
      </c>
      <c r="AM98" s="417">
        <f t="shared" si="123"/>
        <v>-32000</v>
      </c>
      <c r="AN98" s="417">
        <f t="shared" si="124"/>
        <v>12000</v>
      </c>
      <c r="AO98" s="417">
        <f t="shared" si="125"/>
        <v>-20000</v>
      </c>
      <c r="AP98" s="417">
        <f t="shared" si="126"/>
        <v>0</v>
      </c>
      <c r="AQ98" s="417">
        <f t="shared" si="126"/>
        <v>0</v>
      </c>
      <c r="AR98" s="417">
        <f t="shared" si="127"/>
        <v>0</v>
      </c>
      <c r="AS98" s="68">
        <f t="shared" si="128"/>
        <v>0</v>
      </c>
      <c r="AT98" s="68">
        <f t="shared" si="129"/>
        <v>200</v>
      </c>
      <c r="AU98" s="417">
        <v>0</v>
      </c>
      <c r="AV98" s="417">
        <v>0</v>
      </c>
      <c r="AW98" s="417">
        <v>0</v>
      </c>
      <c r="AX98" s="417">
        <f t="shared" si="130"/>
        <v>0</v>
      </c>
      <c r="AY98" s="417">
        <f t="shared" si="131"/>
        <v>200</v>
      </c>
      <c r="AZ98" s="418">
        <v>0.01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32"/>
        <v>0.01</v>
      </c>
      <c r="BJ98" s="418">
        <f t="shared" si="133"/>
        <v>0</v>
      </c>
      <c r="BK98" s="420">
        <f t="shared" si="134"/>
        <v>0.01</v>
      </c>
      <c r="BL98" s="772">
        <f t="shared" ref="BL98:BL104" si="166">I98+AY98</f>
        <v>17038117</v>
      </c>
      <c r="BM98" s="772">
        <f t="shared" ref="BM98:BM104" si="167">J98+AG98</f>
        <v>12413303</v>
      </c>
      <c r="BN98" s="417">
        <f t="shared" ref="BN98:BO104" si="168">K98+AE98</f>
        <v>11029753</v>
      </c>
      <c r="BO98" s="417">
        <f t="shared" si="168"/>
        <v>1383550</v>
      </c>
      <c r="BP98" s="417">
        <f t="shared" ref="BP98:BP104" si="169">M98+AO98</f>
        <v>30000</v>
      </c>
      <c r="BQ98" s="417">
        <f t="shared" ref="BQ98:BR104" si="170">N98+AM98</f>
        <v>18000</v>
      </c>
      <c r="BR98" s="417">
        <f t="shared" si="170"/>
        <v>12000</v>
      </c>
      <c r="BS98" s="417">
        <f t="shared" ref="BS98:BT104" si="171">P98+AS98</f>
        <v>4205836</v>
      </c>
      <c r="BT98" s="417">
        <f t="shared" si="171"/>
        <v>124133</v>
      </c>
      <c r="BU98" s="417">
        <f t="shared" ref="BU98:BU104" si="172">R98+AX98</f>
        <v>264845</v>
      </c>
      <c r="BV98" s="418">
        <f t="shared" ref="BV98:BV104" si="173">S98+BK98</f>
        <v>19.575800000000001</v>
      </c>
      <c r="BW98" s="418">
        <f t="shared" ref="BW98:BX104" si="174">T98+BI98</f>
        <v>15.560600000000001</v>
      </c>
      <c r="BX98" s="420">
        <f t="shared" si="174"/>
        <v>4.0152000000000001</v>
      </c>
      <c r="BY98" s="596"/>
      <c r="BZ98" s="595"/>
      <c r="CA98" s="595"/>
      <c r="CB98" s="595"/>
      <c r="CC98" s="595"/>
      <c r="CD98" s="981"/>
      <c r="CE98" s="596">
        <v>664172</v>
      </c>
      <c r="CF98" s="595">
        <v>447912</v>
      </c>
      <c r="CG98" s="595">
        <v>151394</v>
      </c>
      <c r="CH98" s="595">
        <v>4479</v>
      </c>
      <c r="CI98" s="595">
        <v>60387</v>
      </c>
      <c r="CJ98" s="981">
        <v>1.2887999999999999</v>
      </c>
      <c r="CK98" s="315"/>
    </row>
    <row r="99" spans="1:89" ht="12.95" customHeight="1">
      <c r="A99" s="280">
        <v>17</v>
      </c>
      <c r="B99" s="321">
        <v>5479</v>
      </c>
      <c r="C99" s="322">
        <v>600099105</v>
      </c>
      <c r="D99" s="281">
        <v>70910600</v>
      </c>
      <c r="E99" s="525" t="s">
        <v>794</v>
      </c>
      <c r="F99" s="321">
        <v>3113</v>
      </c>
      <c r="G99" s="286" t="s">
        <v>292</v>
      </c>
      <c r="H99" s="640" t="s">
        <v>271</v>
      </c>
      <c r="I99" s="419">
        <v>485783</v>
      </c>
      <c r="J99" s="414">
        <v>360373</v>
      </c>
      <c r="K99" s="414">
        <v>360373</v>
      </c>
      <c r="L99" s="414">
        <v>0</v>
      </c>
      <c r="M99" s="414">
        <v>0</v>
      </c>
      <c r="N99" s="414">
        <v>0</v>
      </c>
      <c r="O99" s="414">
        <v>0</v>
      </c>
      <c r="P99" s="68">
        <v>121806</v>
      </c>
      <c r="Q99" s="68">
        <v>3604</v>
      </c>
      <c r="R99" s="414">
        <v>0</v>
      </c>
      <c r="S99" s="415">
        <v>0.80559999999999998</v>
      </c>
      <c r="T99" s="416">
        <v>0.80559999999999998</v>
      </c>
      <c r="U99" s="422">
        <v>0</v>
      </c>
      <c r="V99" s="423">
        <f t="shared" si="119"/>
        <v>0</v>
      </c>
      <c r="W99" s="417">
        <f t="shared" si="119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20"/>
        <v>0</v>
      </c>
      <c r="AF99" s="417">
        <f t="shared" si="121"/>
        <v>0</v>
      </c>
      <c r="AG99" s="417">
        <f t="shared" si="122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23"/>
        <v>0</v>
      </c>
      <c r="AN99" s="417">
        <f t="shared" si="124"/>
        <v>0</v>
      </c>
      <c r="AO99" s="417">
        <f t="shared" si="125"/>
        <v>0</v>
      </c>
      <c r="AP99" s="417">
        <f t="shared" si="126"/>
        <v>0</v>
      </c>
      <c r="AQ99" s="417">
        <f t="shared" si="126"/>
        <v>0</v>
      </c>
      <c r="AR99" s="417">
        <f t="shared" si="127"/>
        <v>0</v>
      </c>
      <c r="AS99" s="68">
        <f t="shared" si="128"/>
        <v>0</v>
      </c>
      <c r="AT99" s="68">
        <f t="shared" si="129"/>
        <v>0</v>
      </c>
      <c r="AU99" s="417">
        <v>0</v>
      </c>
      <c r="AV99" s="417">
        <v>0</v>
      </c>
      <c r="AW99" s="417">
        <v>0</v>
      </c>
      <c r="AX99" s="417">
        <f t="shared" si="130"/>
        <v>0</v>
      </c>
      <c r="AY99" s="417">
        <f t="shared" si="131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32"/>
        <v>0</v>
      </c>
      <c r="BJ99" s="418">
        <f t="shared" si="133"/>
        <v>0</v>
      </c>
      <c r="BK99" s="420">
        <f t="shared" si="134"/>
        <v>0</v>
      </c>
      <c r="BL99" s="772">
        <f t="shared" si="166"/>
        <v>485783</v>
      </c>
      <c r="BM99" s="772">
        <f t="shared" si="167"/>
        <v>360373</v>
      </c>
      <c r="BN99" s="417">
        <f t="shared" si="168"/>
        <v>360373</v>
      </c>
      <c r="BO99" s="417">
        <f t="shared" si="168"/>
        <v>0</v>
      </c>
      <c r="BP99" s="417">
        <f t="shared" si="169"/>
        <v>0</v>
      </c>
      <c r="BQ99" s="417">
        <f t="shared" si="170"/>
        <v>0</v>
      </c>
      <c r="BR99" s="417">
        <f t="shared" si="170"/>
        <v>0</v>
      </c>
      <c r="BS99" s="417">
        <f t="shared" si="171"/>
        <v>121806</v>
      </c>
      <c r="BT99" s="417">
        <f t="shared" si="171"/>
        <v>3604</v>
      </c>
      <c r="BU99" s="417">
        <f t="shared" si="172"/>
        <v>0</v>
      </c>
      <c r="BV99" s="418">
        <f t="shared" si="173"/>
        <v>0.80559999999999998</v>
      </c>
      <c r="BW99" s="418">
        <f t="shared" si="174"/>
        <v>0.80559999999999998</v>
      </c>
      <c r="BX99" s="420">
        <f t="shared" si="174"/>
        <v>0</v>
      </c>
      <c r="BY99" s="596"/>
      <c r="BZ99" s="595"/>
      <c r="CA99" s="595"/>
      <c r="CB99" s="595"/>
      <c r="CC99" s="595"/>
      <c r="CD99" s="981"/>
      <c r="CE99" s="596"/>
      <c r="CF99" s="595"/>
      <c r="CG99" s="595"/>
      <c r="CH99" s="595"/>
      <c r="CI99" s="595"/>
      <c r="CJ99" s="981"/>
      <c r="CK99" s="315"/>
    </row>
    <row r="100" spans="1:89" ht="12.95" customHeight="1">
      <c r="A100" s="280">
        <v>17</v>
      </c>
      <c r="B100" s="321">
        <v>5479</v>
      </c>
      <c r="C100" s="322">
        <v>600099105</v>
      </c>
      <c r="D100" s="281">
        <v>70910600</v>
      </c>
      <c r="E100" s="525" t="s">
        <v>794</v>
      </c>
      <c r="F100" s="321">
        <v>3113</v>
      </c>
      <c r="G100" s="284" t="s">
        <v>291</v>
      </c>
      <c r="H100" s="640" t="s">
        <v>272</v>
      </c>
      <c r="I100" s="419">
        <v>2201068</v>
      </c>
      <c r="J100" s="414">
        <v>1632840</v>
      </c>
      <c r="K100" s="414">
        <v>1632840</v>
      </c>
      <c r="L100" s="414">
        <v>0</v>
      </c>
      <c r="M100" s="414">
        <v>0</v>
      </c>
      <c r="N100" s="414">
        <v>0</v>
      </c>
      <c r="O100" s="414">
        <v>0</v>
      </c>
      <c r="P100" s="68">
        <v>551900</v>
      </c>
      <c r="Q100" s="68">
        <v>16328</v>
      </c>
      <c r="R100" s="414">
        <v>0</v>
      </c>
      <c r="S100" s="415">
        <v>3.88</v>
      </c>
      <c r="T100" s="416">
        <v>3.88</v>
      </c>
      <c r="U100" s="422">
        <v>0</v>
      </c>
      <c r="V100" s="423">
        <f t="shared" si="119"/>
        <v>0</v>
      </c>
      <c r="W100" s="417">
        <f t="shared" si="119"/>
        <v>0</v>
      </c>
      <c r="X100" s="417">
        <v>62830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20"/>
        <v>62830</v>
      </c>
      <c r="AF100" s="417">
        <f t="shared" si="121"/>
        <v>0</v>
      </c>
      <c r="AG100" s="417">
        <f t="shared" si="122"/>
        <v>62830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23"/>
        <v>0</v>
      </c>
      <c r="AN100" s="417">
        <f t="shared" si="124"/>
        <v>0</v>
      </c>
      <c r="AO100" s="417">
        <f t="shared" si="125"/>
        <v>0</v>
      </c>
      <c r="AP100" s="417">
        <f t="shared" si="126"/>
        <v>62830</v>
      </c>
      <c r="AQ100" s="417">
        <f t="shared" si="126"/>
        <v>0</v>
      </c>
      <c r="AR100" s="417">
        <f t="shared" si="127"/>
        <v>62830</v>
      </c>
      <c r="AS100" s="68">
        <f t="shared" si="128"/>
        <v>21237</v>
      </c>
      <c r="AT100" s="68">
        <f t="shared" si="129"/>
        <v>628</v>
      </c>
      <c r="AU100" s="417">
        <v>0</v>
      </c>
      <c r="AV100" s="417">
        <v>0</v>
      </c>
      <c r="AW100" s="417">
        <v>0</v>
      </c>
      <c r="AX100" s="417">
        <f t="shared" si="130"/>
        <v>0</v>
      </c>
      <c r="AY100" s="417">
        <f t="shared" si="131"/>
        <v>84695</v>
      </c>
      <c r="AZ100" s="418">
        <v>0</v>
      </c>
      <c r="BA100" s="418">
        <v>0</v>
      </c>
      <c r="BB100" s="418">
        <v>0.08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32"/>
        <v>0.08</v>
      </c>
      <c r="BJ100" s="418">
        <f t="shared" si="133"/>
        <v>0</v>
      </c>
      <c r="BK100" s="420">
        <f t="shared" si="134"/>
        <v>0.08</v>
      </c>
      <c r="BL100" s="772">
        <f t="shared" si="166"/>
        <v>2285763</v>
      </c>
      <c r="BM100" s="772">
        <f t="shared" si="167"/>
        <v>1695670</v>
      </c>
      <c r="BN100" s="417">
        <f t="shared" si="168"/>
        <v>1695670</v>
      </c>
      <c r="BO100" s="417">
        <f t="shared" si="168"/>
        <v>0</v>
      </c>
      <c r="BP100" s="417">
        <f t="shared" si="169"/>
        <v>0</v>
      </c>
      <c r="BQ100" s="417">
        <f t="shared" si="170"/>
        <v>0</v>
      </c>
      <c r="BR100" s="417">
        <f t="shared" si="170"/>
        <v>0</v>
      </c>
      <c r="BS100" s="417">
        <f t="shared" si="171"/>
        <v>573137</v>
      </c>
      <c r="BT100" s="417">
        <f t="shared" si="171"/>
        <v>16956</v>
      </c>
      <c r="BU100" s="417">
        <f t="shared" si="172"/>
        <v>0</v>
      </c>
      <c r="BV100" s="418">
        <f t="shared" si="173"/>
        <v>3.96</v>
      </c>
      <c r="BW100" s="418">
        <f t="shared" si="174"/>
        <v>3.96</v>
      </c>
      <c r="BX100" s="420">
        <f t="shared" si="174"/>
        <v>0</v>
      </c>
      <c r="BY100" s="596"/>
      <c r="BZ100" s="595"/>
      <c r="CA100" s="595"/>
      <c r="CB100" s="595"/>
      <c r="CC100" s="595"/>
      <c r="CD100" s="981"/>
      <c r="CE100" s="596"/>
      <c r="CF100" s="595"/>
      <c r="CG100" s="595"/>
      <c r="CH100" s="595"/>
      <c r="CI100" s="595"/>
      <c r="CJ100" s="981"/>
      <c r="CK100" s="315"/>
    </row>
    <row r="101" spans="1:89" ht="12.95" customHeight="1">
      <c r="A101" s="280">
        <v>17</v>
      </c>
      <c r="B101" s="321">
        <v>5479</v>
      </c>
      <c r="C101" s="322">
        <v>600099105</v>
      </c>
      <c r="D101" s="281">
        <v>70910600</v>
      </c>
      <c r="E101" s="525" t="s">
        <v>794</v>
      </c>
      <c r="F101" s="321">
        <v>3141</v>
      </c>
      <c r="G101" s="345" t="s">
        <v>294</v>
      </c>
      <c r="H101" s="640" t="s">
        <v>272</v>
      </c>
      <c r="I101" s="419">
        <v>1483278</v>
      </c>
      <c r="J101" s="414">
        <v>1092948</v>
      </c>
      <c r="K101" s="414">
        <v>0</v>
      </c>
      <c r="L101" s="414">
        <v>1092948</v>
      </c>
      <c r="M101" s="414">
        <v>0</v>
      </c>
      <c r="N101" s="414">
        <v>0</v>
      </c>
      <c r="O101" s="414">
        <v>0</v>
      </c>
      <c r="P101" s="68">
        <v>369417</v>
      </c>
      <c r="Q101" s="68">
        <v>10929</v>
      </c>
      <c r="R101" s="414">
        <v>9984</v>
      </c>
      <c r="S101" s="415">
        <v>3.2766999999999999</v>
      </c>
      <c r="T101" s="416">
        <v>0</v>
      </c>
      <c r="U101" s="422">
        <v>3.2766999999999999</v>
      </c>
      <c r="V101" s="423">
        <f t="shared" si="119"/>
        <v>0</v>
      </c>
      <c r="W101" s="417">
        <f t="shared" si="119"/>
        <v>0</v>
      </c>
      <c r="X101" s="417">
        <v>0</v>
      </c>
      <c r="Y101" s="417">
        <v>0</v>
      </c>
      <c r="Z101" s="417">
        <v>0</v>
      </c>
      <c r="AA101" s="417">
        <v>5965</v>
      </c>
      <c r="AB101" s="417">
        <v>0</v>
      </c>
      <c r="AC101" s="417">
        <v>0</v>
      </c>
      <c r="AD101" s="417">
        <v>0</v>
      </c>
      <c r="AE101" s="417">
        <f t="shared" si="120"/>
        <v>0</v>
      </c>
      <c r="AF101" s="417">
        <f t="shared" si="121"/>
        <v>5965</v>
      </c>
      <c r="AG101" s="417">
        <f t="shared" si="122"/>
        <v>5965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23"/>
        <v>0</v>
      </c>
      <c r="AN101" s="417">
        <f t="shared" si="124"/>
        <v>0</v>
      </c>
      <c r="AO101" s="417">
        <f t="shared" si="125"/>
        <v>0</v>
      </c>
      <c r="AP101" s="417">
        <f t="shared" si="126"/>
        <v>0</v>
      </c>
      <c r="AQ101" s="417">
        <f t="shared" si="126"/>
        <v>5965</v>
      </c>
      <c r="AR101" s="417">
        <f t="shared" si="127"/>
        <v>5965</v>
      </c>
      <c r="AS101" s="68">
        <f t="shared" si="128"/>
        <v>2016</v>
      </c>
      <c r="AT101" s="68">
        <f t="shared" si="129"/>
        <v>60</v>
      </c>
      <c r="AU101" s="417">
        <v>0</v>
      </c>
      <c r="AV101" s="417">
        <v>0</v>
      </c>
      <c r="AW101" s="417">
        <v>0</v>
      </c>
      <c r="AX101" s="417">
        <f t="shared" si="130"/>
        <v>0</v>
      </c>
      <c r="AY101" s="417">
        <f t="shared" si="131"/>
        <v>8041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0.02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32"/>
        <v>0</v>
      </c>
      <c r="BJ101" s="418">
        <f t="shared" si="133"/>
        <v>0.02</v>
      </c>
      <c r="BK101" s="420">
        <f t="shared" si="134"/>
        <v>0.02</v>
      </c>
      <c r="BL101" s="772">
        <f t="shared" si="166"/>
        <v>1491319</v>
      </c>
      <c r="BM101" s="772">
        <f t="shared" si="167"/>
        <v>1098913</v>
      </c>
      <c r="BN101" s="417">
        <f t="shared" si="168"/>
        <v>0</v>
      </c>
      <c r="BO101" s="417">
        <f t="shared" si="168"/>
        <v>1098913</v>
      </c>
      <c r="BP101" s="417">
        <f t="shared" si="169"/>
        <v>0</v>
      </c>
      <c r="BQ101" s="417">
        <f t="shared" si="170"/>
        <v>0</v>
      </c>
      <c r="BR101" s="417">
        <f t="shared" si="170"/>
        <v>0</v>
      </c>
      <c r="BS101" s="417">
        <f t="shared" si="171"/>
        <v>371433</v>
      </c>
      <c r="BT101" s="417">
        <f t="shared" si="171"/>
        <v>10989</v>
      </c>
      <c r="BU101" s="417">
        <f t="shared" si="172"/>
        <v>9984</v>
      </c>
      <c r="BV101" s="418">
        <f t="shared" si="173"/>
        <v>3.2967</v>
      </c>
      <c r="BW101" s="418">
        <f t="shared" si="174"/>
        <v>0</v>
      </c>
      <c r="BX101" s="420">
        <f t="shared" si="174"/>
        <v>3.2967</v>
      </c>
      <c r="BY101" s="596"/>
      <c r="BZ101" s="595"/>
      <c r="CA101" s="595"/>
      <c r="CB101" s="595"/>
      <c r="CC101" s="595"/>
      <c r="CD101" s="981"/>
      <c r="CE101" s="596"/>
      <c r="CF101" s="595"/>
      <c r="CG101" s="595"/>
      <c r="CH101" s="595"/>
      <c r="CI101" s="595"/>
      <c r="CJ101" s="981"/>
      <c r="CK101" s="315"/>
    </row>
    <row r="102" spans="1:89" ht="12.95" customHeight="1">
      <c r="A102" s="280">
        <v>17</v>
      </c>
      <c r="B102" s="321">
        <v>5479</v>
      </c>
      <c r="C102" s="322">
        <v>600099105</v>
      </c>
      <c r="D102" s="281">
        <v>70910600</v>
      </c>
      <c r="E102" s="525" t="s">
        <v>794</v>
      </c>
      <c r="F102" s="321">
        <v>3143</v>
      </c>
      <c r="G102" s="284" t="s">
        <v>595</v>
      </c>
      <c r="H102" s="640" t="s">
        <v>271</v>
      </c>
      <c r="I102" s="419">
        <v>1549705</v>
      </c>
      <c r="J102" s="414">
        <v>1149633</v>
      </c>
      <c r="K102" s="414">
        <v>1149633</v>
      </c>
      <c r="L102" s="414">
        <v>0</v>
      </c>
      <c r="M102" s="414">
        <v>0</v>
      </c>
      <c r="N102" s="414">
        <v>0</v>
      </c>
      <c r="O102" s="414">
        <v>0</v>
      </c>
      <c r="P102" s="68">
        <v>388576</v>
      </c>
      <c r="Q102" s="68">
        <v>11496</v>
      </c>
      <c r="R102" s="414">
        <v>0</v>
      </c>
      <c r="S102" s="415">
        <v>2.1667000000000001</v>
      </c>
      <c r="T102" s="416">
        <v>2.1667000000000001</v>
      </c>
      <c r="U102" s="422">
        <v>0</v>
      </c>
      <c r="V102" s="423">
        <f t="shared" si="119"/>
        <v>-25000</v>
      </c>
      <c r="W102" s="417">
        <f t="shared" si="119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120"/>
        <v>-25000</v>
      </c>
      <c r="AF102" s="417">
        <f t="shared" si="121"/>
        <v>0</v>
      </c>
      <c r="AG102" s="417">
        <f t="shared" si="122"/>
        <v>-25000</v>
      </c>
      <c r="AH102" s="417">
        <v>25000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23"/>
        <v>25000</v>
      </c>
      <c r="AN102" s="417">
        <f t="shared" si="124"/>
        <v>0</v>
      </c>
      <c r="AO102" s="417">
        <f t="shared" si="125"/>
        <v>25000</v>
      </c>
      <c r="AP102" s="417">
        <f t="shared" si="126"/>
        <v>0</v>
      </c>
      <c r="AQ102" s="417">
        <f t="shared" si="126"/>
        <v>0</v>
      </c>
      <c r="AR102" s="417">
        <f t="shared" si="127"/>
        <v>0</v>
      </c>
      <c r="AS102" s="68">
        <f t="shared" si="128"/>
        <v>0</v>
      </c>
      <c r="AT102" s="68">
        <f t="shared" si="129"/>
        <v>-250</v>
      </c>
      <c r="AU102" s="417">
        <v>0</v>
      </c>
      <c r="AV102" s="417">
        <v>0</v>
      </c>
      <c r="AW102" s="417">
        <v>0</v>
      </c>
      <c r="AX102" s="417">
        <f t="shared" si="130"/>
        <v>0</v>
      </c>
      <c r="AY102" s="417">
        <f t="shared" si="131"/>
        <v>-250</v>
      </c>
      <c r="AZ102" s="418">
        <v>-0.05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418">
        <v>0</v>
      </c>
      <c r="BG102" s="418">
        <v>0</v>
      </c>
      <c r="BH102" s="418">
        <v>0</v>
      </c>
      <c r="BI102" s="418">
        <f t="shared" si="132"/>
        <v>-0.05</v>
      </c>
      <c r="BJ102" s="418">
        <f t="shared" si="133"/>
        <v>0</v>
      </c>
      <c r="BK102" s="420">
        <f t="shared" si="134"/>
        <v>-0.05</v>
      </c>
      <c r="BL102" s="772">
        <f t="shared" si="166"/>
        <v>1549455</v>
      </c>
      <c r="BM102" s="772">
        <f t="shared" si="167"/>
        <v>1124633</v>
      </c>
      <c r="BN102" s="417">
        <f t="shared" si="168"/>
        <v>1124633</v>
      </c>
      <c r="BO102" s="417">
        <f t="shared" si="168"/>
        <v>0</v>
      </c>
      <c r="BP102" s="417">
        <f t="shared" si="169"/>
        <v>25000</v>
      </c>
      <c r="BQ102" s="417">
        <f t="shared" si="170"/>
        <v>25000</v>
      </c>
      <c r="BR102" s="417">
        <f t="shared" si="170"/>
        <v>0</v>
      </c>
      <c r="BS102" s="417">
        <f t="shared" si="171"/>
        <v>388576</v>
      </c>
      <c r="BT102" s="417">
        <f t="shared" si="171"/>
        <v>11246</v>
      </c>
      <c r="BU102" s="417">
        <f t="shared" si="172"/>
        <v>0</v>
      </c>
      <c r="BV102" s="418">
        <f t="shared" si="173"/>
        <v>2.1167000000000002</v>
      </c>
      <c r="BW102" s="418">
        <f t="shared" si="174"/>
        <v>2.1167000000000002</v>
      </c>
      <c r="BX102" s="420">
        <f t="shared" si="174"/>
        <v>0</v>
      </c>
      <c r="BY102" s="596"/>
      <c r="BZ102" s="595"/>
      <c r="CA102" s="595"/>
      <c r="CB102" s="595"/>
      <c r="CC102" s="595"/>
      <c r="CD102" s="981"/>
      <c r="CE102" s="596"/>
      <c r="CF102" s="595"/>
      <c r="CG102" s="595"/>
      <c r="CH102" s="595"/>
      <c r="CI102" s="595"/>
      <c r="CJ102" s="981"/>
      <c r="CK102" s="315"/>
    </row>
    <row r="103" spans="1:89" ht="12.95" customHeight="1">
      <c r="A103" s="280">
        <v>17</v>
      </c>
      <c r="B103" s="321">
        <v>5479</v>
      </c>
      <c r="C103" s="322">
        <v>600099105</v>
      </c>
      <c r="D103" s="281">
        <v>70910600</v>
      </c>
      <c r="E103" s="525" t="s">
        <v>794</v>
      </c>
      <c r="F103" s="321">
        <v>3143</v>
      </c>
      <c r="G103" s="284" t="s">
        <v>596</v>
      </c>
      <c r="H103" s="640" t="s">
        <v>272</v>
      </c>
      <c r="I103" s="419">
        <v>50715</v>
      </c>
      <c r="J103" s="414">
        <v>36300</v>
      </c>
      <c r="K103" s="414">
        <v>0</v>
      </c>
      <c r="L103" s="414">
        <v>36300</v>
      </c>
      <c r="M103" s="414">
        <v>0</v>
      </c>
      <c r="N103" s="414">
        <v>0</v>
      </c>
      <c r="O103" s="414">
        <v>0</v>
      </c>
      <c r="P103" s="68">
        <v>12270</v>
      </c>
      <c r="Q103" s="68">
        <v>363</v>
      </c>
      <c r="R103" s="414">
        <v>1782</v>
      </c>
      <c r="S103" s="415">
        <v>0.14169999999999999</v>
      </c>
      <c r="T103" s="416">
        <v>0</v>
      </c>
      <c r="U103" s="422">
        <v>0.14169999999999999</v>
      </c>
      <c r="V103" s="423">
        <f t="shared" si="119"/>
        <v>0</v>
      </c>
      <c r="W103" s="417">
        <f t="shared" si="119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20"/>
        <v>0</v>
      </c>
      <c r="AF103" s="417">
        <f t="shared" si="121"/>
        <v>0</v>
      </c>
      <c r="AG103" s="417">
        <f t="shared" si="122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23"/>
        <v>0</v>
      </c>
      <c r="AN103" s="417">
        <f t="shared" si="124"/>
        <v>0</v>
      </c>
      <c r="AO103" s="417">
        <f t="shared" si="125"/>
        <v>0</v>
      </c>
      <c r="AP103" s="417">
        <f t="shared" si="126"/>
        <v>0</v>
      </c>
      <c r="AQ103" s="417">
        <f t="shared" si="126"/>
        <v>0</v>
      </c>
      <c r="AR103" s="417">
        <f t="shared" si="127"/>
        <v>0</v>
      </c>
      <c r="AS103" s="68">
        <f t="shared" si="128"/>
        <v>0</v>
      </c>
      <c r="AT103" s="68">
        <f t="shared" si="129"/>
        <v>0</v>
      </c>
      <c r="AU103" s="417">
        <v>0</v>
      </c>
      <c r="AV103" s="417">
        <v>0</v>
      </c>
      <c r="AW103" s="417">
        <v>0</v>
      </c>
      <c r="AX103" s="417">
        <f t="shared" si="130"/>
        <v>0</v>
      </c>
      <c r="AY103" s="417">
        <f t="shared" si="131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32"/>
        <v>0</v>
      </c>
      <c r="BJ103" s="418">
        <f t="shared" si="133"/>
        <v>0</v>
      </c>
      <c r="BK103" s="420">
        <f t="shared" si="134"/>
        <v>0</v>
      </c>
      <c r="BL103" s="772">
        <f t="shared" si="166"/>
        <v>50715</v>
      </c>
      <c r="BM103" s="772">
        <f t="shared" si="167"/>
        <v>36300</v>
      </c>
      <c r="BN103" s="417">
        <f t="shared" si="168"/>
        <v>0</v>
      </c>
      <c r="BO103" s="417">
        <f t="shared" si="168"/>
        <v>36300</v>
      </c>
      <c r="BP103" s="417">
        <f t="shared" si="169"/>
        <v>0</v>
      </c>
      <c r="BQ103" s="417">
        <f t="shared" si="170"/>
        <v>0</v>
      </c>
      <c r="BR103" s="417">
        <f t="shared" si="170"/>
        <v>0</v>
      </c>
      <c r="BS103" s="417">
        <f t="shared" si="171"/>
        <v>12270</v>
      </c>
      <c r="BT103" s="417">
        <f t="shared" si="171"/>
        <v>363</v>
      </c>
      <c r="BU103" s="417">
        <f t="shared" si="172"/>
        <v>1782</v>
      </c>
      <c r="BV103" s="418">
        <f t="shared" si="173"/>
        <v>0.14169999999999999</v>
      </c>
      <c r="BW103" s="418">
        <f t="shared" si="174"/>
        <v>0</v>
      </c>
      <c r="BX103" s="420">
        <f t="shared" si="174"/>
        <v>0.14169999999999999</v>
      </c>
      <c r="BY103" s="596"/>
      <c r="BZ103" s="595"/>
      <c r="CA103" s="595"/>
      <c r="CB103" s="595"/>
      <c r="CC103" s="595"/>
      <c r="CD103" s="981"/>
      <c r="CE103" s="596"/>
      <c r="CF103" s="595"/>
      <c r="CG103" s="595"/>
      <c r="CH103" s="595"/>
      <c r="CI103" s="595"/>
      <c r="CJ103" s="981"/>
      <c r="CK103" s="315"/>
    </row>
    <row r="104" spans="1:89" ht="12.95" customHeight="1">
      <c r="A104" s="280">
        <v>17</v>
      </c>
      <c r="B104" s="321">
        <v>5479</v>
      </c>
      <c r="C104" s="322">
        <v>600099105</v>
      </c>
      <c r="D104" s="281">
        <v>70910600</v>
      </c>
      <c r="E104" s="525" t="s">
        <v>794</v>
      </c>
      <c r="F104" s="321">
        <v>3233</v>
      </c>
      <c r="G104" s="345" t="s">
        <v>297</v>
      </c>
      <c r="H104" s="640" t="s">
        <v>272</v>
      </c>
      <c r="I104" s="419">
        <v>2460833</v>
      </c>
      <c r="J104" s="414">
        <v>1824011</v>
      </c>
      <c r="K104" s="414">
        <v>1484806</v>
      </c>
      <c r="L104" s="414">
        <v>339205</v>
      </c>
      <c r="M104" s="414">
        <v>0</v>
      </c>
      <c r="N104" s="414">
        <v>0</v>
      </c>
      <c r="O104" s="414">
        <v>0</v>
      </c>
      <c r="P104" s="68">
        <v>616516</v>
      </c>
      <c r="Q104" s="68">
        <v>18241</v>
      </c>
      <c r="R104" s="414">
        <v>2065</v>
      </c>
      <c r="S104" s="415">
        <v>3.78</v>
      </c>
      <c r="T104" s="416">
        <v>2.69</v>
      </c>
      <c r="U104" s="422">
        <v>1.0899999999999999</v>
      </c>
      <c r="V104" s="423">
        <f t="shared" si="119"/>
        <v>0</v>
      </c>
      <c r="W104" s="417">
        <f t="shared" si="119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20"/>
        <v>0</v>
      </c>
      <c r="AF104" s="417">
        <f t="shared" si="121"/>
        <v>0</v>
      </c>
      <c r="AG104" s="417">
        <f t="shared" si="122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23"/>
        <v>0</v>
      </c>
      <c r="AN104" s="417">
        <f t="shared" si="124"/>
        <v>0</v>
      </c>
      <c r="AO104" s="417">
        <f t="shared" si="125"/>
        <v>0</v>
      </c>
      <c r="AP104" s="417">
        <f t="shared" si="126"/>
        <v>0</v>
      </c>
      <c r="AQ104" s="417">
        <f t="shared" si="126"/>
        <v>0</v>
      </c>
      <c r="AR104" s="417">
        <f t="shared" si="127"/>
        <v>0</v>
      </c>
      <c r="AS104" s="68">
        <f t="shared" si="128"/>
        <v>0</v>
      </c>
      <c r="AT104" s="68">
        <f t="shared" si="129"/>
        <v>0</v>
      </c>
      <c r="AU104" s="417">
        <v>0</v>
      </c>
      <c r="AV104" s="417">
        <v>0</v>
      </c>
      <c r="AW104" s="417">
        <v>0</v>
      </c>
      <c r="AX104" s="417">
        <f t="shared" si="130"/>
        <v>0</v>
      </c>
      <c r="AY104" s="417">
        <f t="shared" si="131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32"/>
        <v>0</v>
      </c>
      <c r="BJ104" s="418">
        <f t="shared" si="133"/>
        <v>0</v>
      </c>
      <c r="BK104" s="420">
        <f t="shared" si="134"/>
        <v>0</v>
      </c>
      <c r="BL104" s="772">
        <f t="shared" si="166"/>
        <v>2460833</v>
      </c>
      <c r="BM104" s="772">
        <f t="shared" si="167"/>
        <v>1824011</v>
      </c>
      <c r="BN104" s="417">
        <f t="shared" si="168"/>
        <v>1484806</v>
      </c>
      <c r="BO104" s="417">
        <f t="shared" si="168"/>
        <v>339205</v>
      </c>
      <c r="BP104" s="417">
        <f t="shared" si="169"/>
        <v>0</v>
      </c>
      <c r="BQ104" s="417">
        <f t="shared" si="170"/>
        <v>0</v>
      </c>
      <c r="BR104" s="417">
        <f t="shared" si="170"/>
        <v>0</v>
      </c>
      <c r="BS104" s="417">
        <f t="shared" si="171"/>
        <v>616516</v>
      </c>
      <c r="BT104" s="417">
        <f t="shared" si="171"/>
        <v>18241</v>
      </c>
      <c r="BU104" s="417">
        <f t="shared" si="172"/>
        <v>2065</v>
      </c>
      <c r="BV104" s="418">
        <f t="shared" si="173"/>
        <v>3.78</v>
      </c>
      <c r="BW104" s="418">
        <f t="shared" si="174"/>
        <v>2.69</v>
      </c>
      <c r="BX104" s="420">
        <f t="shared" si="174"/>
        <v>1.0899999999999999</v>
      </c>
      <c r="BY104" s="596"/>
      <c r="BZ104" s="595"/>
      <c r="CA104" s="595"/>
      <c r="CB104" s="595"/>
      <c r="CC104" s="595"/>
      <c r="CD104" s="981"/>
      <c r="CE104" s="596"/>
      <c r="CF104" s="595"/>
      <c r="CG104" s="595"/>
      <c r="CH104" s="595"/>
      <c r="CI104" s="595"/>
      <c r="CJ104" s="981"/>
      <c r="CK104" s="315"/>
    </row>
    <row r="105" spans="1:89" ht="12.95" customHeight="1">
      <c r="A105" s="641">
        <v>17</v>
      </c>
      <c r="B105" s="325">
        <v>5479</v>
      </c>
      <c r="C105" s="326">
        <v>600099105</v>
      </c>
      <c r="D105" s="325">
        <v>70910600</v>
      </c>
      <c r="E105" s="526" t="s">
        <v>795</v>
      </c>
      <c r="F105" s="325"/>
      <c r="G105" s="350"/>
      <c r="H105" s="643"/>
      <c r="I105" s="464">
        <v>25269299</v>
      </c>
      <c r="J105" s="460">
        <v>18489408</v>
      </c>
      <c r="K105" s="460">
        <v>15625405</v>
      </c>
      <c r="L105" s="460">
        <v>2864003</v>
      </c>
      <c r="M105" s="460">
        <v>50000</v>
      </c>
      <c r="N105" s="460">
        <v>50000</v>
      </c>
      <c r="O105" s="460">
        <v>0</v>
      </c>
      <c r="P105" s="460">
        <v>6266321</v>
      </c>
      <c r="Q105" s="460">
        <v>184894</v>
      </c>
      <c r="R105" s="460">
        <v>278676</v>
      </c>
      <c r="S105" s="461">
        <v>33.616499999999995</v>
      </c>
      <c r="T105" s="461">
        <v>25.0929</v>
      </c>
      <c r="U105" s="534">
        <v>8.5236000000000001</v>
      </c>
      <c r="V105" s="471">
        <f t="shared" ref="V105:BK105" si="175">SUM(V98:V104)</f>
        <v>7000</v>
      </c>
      <c r="W105" s="467">
        <f t="shared" si="175"/>
        <v>-12000</v>
      </c>
      <c r="X105" s="467">
        <f t="shared" si="175"/>
        <v>62830</v>
      </c>
      <c r="Y105" s="467">
        <f t="shared" si="175"/>
        <v>0</v>
      </c>
      <c r="Z105" s="467">
        <f t="shared" si="175"/>
        <v>0</v>
      </c>
      <c r="AA105" s="467">
        <f t="shared" si="175"/>
        <v>5965</v>
      </c>
      <c r="AB105" s="467">
        <f t="shared" si="175"/>
        <v>0</v>
      </c>
      <c r="AC105" s="467">
        <f t="shared" si="175"/>
        <v>0</v>
      </c>
      <c r="AD105" s="467">
        <f t="shared" si="175"/>
        <v>0</v>
      </c>
      <c r="AE105" s="467">
        <f t="shared" si="175"/>
        <v>69830</v>
      </c>
      <c r="AF105" s="467">
        <f t="shared" si="175"/>
        <v>-6035</v>
      </c>
      <c r="AG105" s="467">
        <f t="shared" si="175"/>
        <v>63795</v>
      </c>
      <c r="AH105" s="467">
        <f t="shared" si="175"/>
        <v>-7000</v>
      </c>
      <c r="AI105" s="467">
        <f t="shared" si="175"/>
        <v>12000</v>
      </c>
      <c r="AJ105" s="467">
        <f t="shared" si="175"/>
        <v>0</v>
      </c>
      <c r="AK105" s="467">
        <f t="shared" si="175"/>
        <v>0</v>
      </c>
      <c r="AL105" s="467">
        <f t="shared" si="175"/>
        <v>0</v>
      </c>
      <c r="AM105" s="467">
        <f t="shared" si="175"/>
        <v>-7000</v>
      </c>
      <c r="AN105" s="467">
        <f t="shared" si="175"/>
        <v>12000</v>
      </c>
      <c r="AO105" s="467">
        <f t="shared" si="175"/>
        <v>5000</v>
      </c>
      <c r="AP105" s="467">
        <f t="shared" si="175"/>
        <v>62830</v>
      </c>
      <c r="AQ105" s="467">
        <f t="shared" si="175"/>
        <v>5965</v>
      </c>
      <c r="AR105" s="467">
        <f t="shared" si="175"/>
        <v>68795</v>
      </c>
      <c r="AS105" s="467">
        <f t="shared" si="175"/>
        <v>23253</v>
      </c>
      <c r="AT105" s="467">
        <f t="shared" si="175"/>
        <v>638</v>
      </c>
      <c r="AU105" s="467">
        <f t="shared" si="175"/>
        <v>0</v>
      </c>
      <c r="AV105" s="467">
        <f t="shared" si="175"/>
        <v>0</v>
      </c>
      <c r="AW105" s="467">
        <f t="shared" si="175"/>
        <v>0</v>
      </c>
      <c r="AX105" s="467">
        <f t="shared" si="175"/>
        <v>0</v>
      </c>
      <c r="AY105" s="467">
        <f t="shared" si="175"/>
        <v>92686</v>
      </c>
      <c r="AZ105" s="468">
        <f t="shared" si="175"/>
        <v>-0.04</v>
      </c>
      <c r="BA105" s="468">
        <f t="shared" si="175"/>
        <v>0</v>
      </c>
      <c r="BB105" s="468">
        <f t="shared" si="175"/>
        <v>0.08</v>
      </c>
      <c r="BC105" s="468">
        <f t="shared" si="175"/>
        <v>0</v>
      </c>
      <c r="BD105" s="468">
        <f t="shared" si="175"/>
        <v>0.02</v>
      </c>
      <c r="BE105" s="468">
        <f t="shared" si="175"/>
        <v>0</v>
      </c>
      <c r="BF105" s="468">
        <f t="shared" si="175"/>
        <v>0</v>
      </c>
      <c r="BG105" s="468">
        <f t="shared" si="175"/>
        <v>0</v>
      </c>
      <c r="BH105" s="468">
        <f t="shared" si="175"/>
        <v>0</v>
      </c>
      <c r="BI105" s="468">
        <f t="shared" si="175"/>
        <v>3.9999999999999994E-2</v>
      </c>
      <c r="BJ105" s="468">
        <f t="shared" si="175"/>
        <v>0.02</v>
      </c>
      <c r="BK105" s="328">
        <f t="shared" si="175"/>
        <v>0.06</v>
      </c>
      <c r="BL105" s="774">
        <f t="shared" ref="BL105:CG105" si="176">SUM(BL98:BL104)</f>
        <v>25361985</v>
      </c>
      <c r="BM105" s="774">
        <f t="shared" si="176"/>
        <v>18553203</v>
      </c>
      <c r="BN105" s="467">
        <f t="shared" si="176"/>
        <v>15695235</v>
      </c>
      <c r="BO105" s="467">
        <f t="shared" si="176"/>
        <v>2857968</v>
      </c>
      <c r="BP105" s="467">
        <f t="shared" si="176"/>
        <v>55000</v>
      </c>
      <c r="BQ105" s="467">
        <f t="shared" si="176"/>
        <v>43000</v>
      </c>
      <c r="BR105" s="467">
        <f t="shared" si="176"/>
        <v>12000</v>
      </c>
      <c r="BS105" s="467">
        <f t="shared" si="176"/>
        <v>6289574</v>
      </c>
      <c r="BT105" s="467">
        <f t="shared" si="176"/>
        <v>185532</v>
      </c>
      <c r="BU105" s="467">
        <f t="shared" si="176"/>
        <v>278676</v>
      </c>
      <c r="BV105" s="468">
        <f t="shared" si="176"/>
        <v>33.676500000000004</v>
      </c>
      <c r="BW105" s="468">
        <f t="shared" si="176"/>
        <v>25.132900000000003</v>
      </c>
      <c r="BX105" s="328">
        <f t="shared" si="176"/>
        <v>8.5435999999999996</v>
      </c>
      <c r="BY105" s="979">
        <f t="shared" si="176"/>
        <v>0</v>
      </c>
      <c r="BZ105" s="721">
        <f t="shared" si="176"/>
        <v>0</v>
      </c>
      <c r="CA105" s="721">
        <f t="shared" si="176"/>
        <v>0</v>
      </c>
      <c r="CB105" s="721">
        <f t="shared" si="176"/>
        <v>0</v>
      </c>
      <c r="CC105" s="721">
        <f t="shared" si="176"/>
        <v>0</v>
      </c>
      <c r="CD105" s="826">
        <f t="shared" si="176"/>
        <v>0</v>
      </c>
      <c r="CE105" s="995">
        <f t="shared" si="176"/>
        <v>664172</v>
      </c>
      <c r="CF105" s="995">
        <f t="shared" si="176"/>
        <v>447912</v>
      </c>
      <c r="CG105" s="995">
        <f t="shared" si="176"/>
        <v>151394</v>
      </c>
      <c r="CH105" s="995">
        <f t="shared" ref="CH105:CJ105" si="177">SUM(CH98:CH104)</f>
        <v>4479</v>
      </c>
      <c r="CI105" s="995">
        <f t="shared" si="177"/>
        <v>60387</v>
      </c>
      <c r="CJ105" s="933">
        <f t="shared" si="177"/>
        <v>1.2887999999999999</v>
      </c>
      <c r="CK105" s="315"/>
    </row>
    <row r="106" spans="1:89" ht="12.95" customHeight="1">
      <c r="A106" s="280">
        <v>18</v>
      </c>
      <c r="B106" s="321">
        <v>5442</v>
      </c>
      <c r="C106" s="322">
        <v>650030541</v>
      </c>
      <c r="D106" s="281">
        <v>75017512</v>
      </c>
      <c r="E106" s="348" t="s">
        <v>440</v>
      </c>
      <c r="F106" s="321">
        <v>3111</v>
      </c>
      <c r="G106" s="345" t="s">
        <v>304</v>
      </c>
      <c r="H106" s="640" t="s">
        <v>271</v>
      </c>
      <c r="I106" s="419">
        <v>2911181</v>
      </c>
      <c r="J106" s="414">
        <v>2148948</v>
      </c>
      <c r="K106" s="414">
        <v>1972530</v>
      </c>
      <c r="L106" s="414">
        <v>176418</v>
      </c>
      <c r="M106" s="414">
        <v>0</v>
      </c>
      <c r="N106" s="414">
        <v>0</v>
      </c>
      <c r="O106" s="414">
        <v>0</v>
      </c>
      <c r="P106" s="68">
        <v>726344</v>
      </c>
      <c r="Q106" s="68">
        <v>21489</v>
      </c>
      <c r="R106" s="414">
        <v>14400</v>
      </c>
      <c r="S106" s="415">
        <v>4.2068000000000003</v>
      </c>
      <c r="T106" s="416">
        <v>3.5</v>
      </c>
      <c r="U106" s="422">
        <v>0.70679999999999998</v>
      </c>
      <c r="V106" s="423">
        <f t="shared" si="119"/>
        <v>0</v>
      </c>
      <c r="W106" s="417">
        <f t="shared" si="119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20"/>
        <v>0</v>
      </c>
      <c r="AF106" s="417">
        <f t="shared" si="121"/>
        <v>0</v>
      </c>
      <c r="AG106" s="417">
        <f t="shared" si="122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23"/>
        <v>0</v>
      </c>
      <c r="AN106" s="417">
        <f t="shared" si="124"/>
        <v>0</v>
      </c>
      <c r="AO106" s="417">
        <f t="shared" si="125"/>
        <v>0</v>
      </c>
      <c r="AP106" s="417">
        <f t="shared" si="126"/>
        <v>0</v>
      </c>
      <c r="AQ106" s="417">
        <f t="shared" si="126"/>
        <v>0</v>
      </c>
      <c r="AR106" s="417">
        <f t="shared" si="127"/>
        <v>0</v>
      </c>
      <c r="AS106" s="68">
        <f t="shared" si="128"/>
        <v>0</v>
      </c>
      <c r="AT106" s="68">
        <f t="shared" si="129"/>
        <v>0</v>
      </c>
      <c r="AU106" s="417">
        <v>0</v>
      </c>
      <c r="AV106" s="417">
        <v>0</v>
      </c>
      <c r="AW106" s="417">
        <v>0</v>
      </c>
      <c r="AX106" s="417">
        <f t="shared" si="130"/>
        <v>0</v>
      </c>
      <c r="AY106" s="417">
        <f t="shared" si="131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32"/>
        <v>0</v>
      </c>
      <c r="BJ106" s="418">
        <f t="shared" si="133"/>
        <v>0</v>
      </c>
      <c r="BK106" s="420">
        <f t="shared" si="134"/>
        <v>0</v>
      </c>
      <c r="BL106" s="772">
        <f t="shared" ref="BL106:BL111" si="178">I106+AY106</f>
        <v>2911181</v>
      </c>
      <c r="BM106" s="772">
        <f t="shared" ref="BM106:BM111" si="179">J106+AG106</f>
        <v>2148948</v>
      </c>
      <c r="BN106" s="417">
        <f t="shared" ref="BN106:BO111" si="180">K106+AE106</f>
        <v>1972530</v>
      </c>
      <c r="BO106" s="417">
        <f t="shared" si="180"/>
        <v>176418</v>
      </c>
      <c r="BP106" s="417">
        <f t="shared" ref="BP106:BP111" si="181">M106+AO106</f>
        <v>0</v>
      </c>
      <c r="BQ106" s="417">
        <f t="shared" ref="BQ106:BR111" si="182">N106+AM106</f>
        <v>0</v>
      </c>
      <c r="BR106" s="417">
        <f t="shared" si="182"/>
        <v>0</v>
      </c>
      <c r="BS106" s="417">
        <f t="shared" ref="BS106:BT111" si="183">P106+AS106</f>
        <v>726344</v>
      </c>
      <c r="BT106" s="417">
        <f t="shared" si="183"/>
        <v>21489</v>
      </c>
      <c r="BU106" s="417">
        <f t="shared" ref="BU106:BU111" si="184">R106+AX106</f>
        <v>14400</v>
      </c>
      <c r="BV106" s="418">
        <f t="shared" ref="BV106:BV111" si="185">S106+BK106</f>
        <v>4.2068000000000003</v>
      </c>
      <c r="BW106" s="418">
        <f t="shared" ref="BW106:BX111" si="186">T106+BI106</f>
        <v>3.5</v>
      </c>
      <c r="BX106" s="420">
        <f t="shared" si="186"/>
        <v>0.70679999999999998</v>
      </c>
      <c r="BY106" s="596"/>
      <c r="BZ106" s="595"/>
      <c r="CA106" s="595"/>
      <c r="CB106" s="595"/>
      <c r="CC106" s="595"/>
      <c r="CD106" s="981"/>
      <c r="CE106" s="596">
        <v>81099</v>
      </c>
      <c r="CF106" s="595">
        <v>56610</v>
      </c>
      <c r="CG106" s="595">
        <v>19135</v>
      </c>
      <c r="CH106" s="595">
        <v>566</v>
      </c>
      <c r="CI106" s="595">
        <v>4788</v>
      </c>
      <c r="CJ106" s="981">
        <v>0.2268</v>
      </c>
      <c r="CK106" s="315"/>
    </row>
    <row r="107" spans="1:89" ht="12.95" customHeight="1">
      <c r="A107" s="280">
        <v>18</v>
      </c>
      <c r="B107" s="321">
        <v>5442</v>
      </c>
      <c r="C107" s="322">
        <v>650030541</v>
      </c>
      <c r="D107" s="281">
        <v>75017512</v>
      </c>
      <c r="E107" s="348" t="s">
        <v>440</v>
      </c>
      <c r="F107" s="321">
        <v>3113</v>
      </c>
      <c r="G107" s="345" t="s">
        <v>308</v>
      </c>
      <c r="H107" s="640" t="s">
        <v>271</v>
      </c>
      <c r="I107" s="419">
        <v>12603597</v>
      </c>
      <c r="J107" s="414">
        <v>9179245</v>
      </c>
      <c r="K107" s="414">
        <v>7915486</v>
      </c>
      <c r="L107" s="414">
        <v>1263759</v>
      </c>
      <c r="M107" s="414">
        <v>40000</v>
      </c>
      <c r="N107" s="414">
        <v>27200</v>
      </c>
      <c r="O107" s="414">
        <v>12800</v>
      </c>
      <c r="P107" s="68">
        <v>3116104</v>
      </c>
      <c r="Q107" s="68">
        <v>91793</v>
      </c>
      <c r="R107" s="414">
        <v>176455</v>
      </c>
      <c r="S107" s="415">
        <v>15.731</v>
      </c>
      <c r="T107" s="416">
        <v>12.2273</v>
      </c>
      <c r="U107" s="422">
        <v>3.5036999999999994</v>
      </c>
      <c r="V107" s="423">
        <f t="shared" si="119"/>
        <v>0</v>
      </c>
      <c r="W107" s="417">
        <f t="shared" si="119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120"/>
        <v>0</v>
      </c>
      <c r="AF107" s="417">
        <f t="shared" si="121"/>
        <v>0</v>
      </c>
      <c r="AG107" s="417">
        <f t="shared" si="122"/>
        <v>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23"/>
        <v>0</v>
      </c>
      <c r="AN107" s="417">
        <f t="shared" si="124"/>
        <v>0</v>
      </c>
      <c r="AO107" s="417">
        <f t="shared" si="125"/>
        <v>0</v>
      </c>
      <c r="AP107" s="417">
        <f t="shared" si="126"/>
        <v>0</v>
      </c>
      <c r="AQ107" s="417">
        <f t="shared" si="126"/>
        <v>0</v>
      </c>
      <c r="AR107" s="417">
        <f t="shared" si="127"/>
        <v>0</v>
      </c>
      <c r="AS107" s="68">
        <f t="shared" si="128"/>
        <v>0</v>
      </c>
      <c r="AT107" s="68">
        <f t="shared" si="129"/>
        <v>0</v>
      </c>
      <c r="AU107" s="417">
        <v>0</v>
      </c>
      <c r="AV107" s="417">
        <v>0</v>
      </c>
      <c r="AW107" s="417">
        <v>0</v>
      </c>
      <c r="AX107" s="417">
        <f t="shared" si="130"/>
        <v>0</v>
      </c>
      <c r="AY107" s="417">
        <f t="shared" si="131"/>
        <v>0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32"/>
        <v>0</v>
      </c>
      <c r="BJ107" s="418">
        <f t="shared" si="133"/>
        <v>0</v>
      </c>
      <c r="BK107" s="420">
        <f t="shared" si="134"/>
        <v>0</v>
      </c>
      <c r="BL107" s="772">
        <f t="shared" si="178"/>
        <v>12603597</v>
      </c>
      <c r="BM107" s="772">
        <f t="shared" si="179"/>
        <v>9179245</v>
      </c>
      <c r="BN107" s="417">
        <f t="shared" si="180"/>
        <v>7915486</v>
      </c>
      <c r="BO107" s="417">
        <f t="shared" si="180"/>
        <v>1263759</v>
      </c>
      <c r="BP107" s="417">
        <f t="shared" si="181"/>
        <v>40000</v>
      </c>
      <c r="BQ107" s="417">
        <f t="shared" si="182"/>
        <v>27200</v>
      </c>
      <c r="BR107" s="417">
        <f t="shared" si="182"/>
        <v>12800</v>
      </c>
      <c r="BS107" s="417">
        <f t="shared" si="183"/>
        <v>3116104</v>
      </c>
      <c r="BT107" s="417">
        <f t="shared" si="183"/>
        <v>91793</v>
      </c>
      <c r="BU107" s="417">
        <f t="shared" si="184"/>
        <v>176455</v>
      </c>
      <c r="BV107" s="418">
        <f t="shared" si="185"/>
        <v>15.731</v>
      </c>
      <c r="BW107" s="418">
        <f t="shared" si="186"/>
        <v>12.2273</v>
      </c>
      <c r="BX107" s="420">
        <f t="shared" si="186"/>
        <v>3.5036999999999994</v>
      </c>
      <c r="BY107" s="596"/>
      <c r="BZ107" s="595"/>
      <c r="CA107" s="595"/>
      <c r="CB107" s="595"/>
      <c r="CC107" s="595"/>
      <c r="CD107" s="981"/>
      <c r="CE107" s="596">
        <v>593203</v>
      </c>
      <c r="CF107" s="595">
        <v>409587</v>
      </c>
      <c r="CG107" s="595">
        <v>138440</v>
      </c>
      <c r="CH107" s="595">
        <v>4096</v>
      </c>
      <c r="CI107" s="595">
        <v>41080</v>
      </c>
      <c r="CJ107" s="981">
        <v>1.1434</v>
      </c>
      <c r="CK107" s="315"/>
    </row>
    <row r="108" spans="1:89" ht="12.95" customHeight="1">
      <c r="A108" s="280">
        <v>18</v>
      </c>
      <c r="B108" s="321">
        <v>5442</v>
      </c>
      <c r="C108" s="322">
        <v>650030541</v>
      </c>
      <c r="D108" s="281">
        <v>75017512</v>
      </c>
      <c r="E108" s="348" t="s">
        <v>440</v>
      </c>
      <c r="F108" s="321">
        <v>3113</v>
      </c>
      <c r="G108" s="284" t="s">
        <v>291</v>
      </c>
      <c r="H108" s="640" t="s">
        <v>272</v>
      </c>
      <c r="I108" s="419">
        <v>1218164</v>
      </c>
      <c r="J108" s="414">
        <v>896116</v>
      </c>
      <c r="K108" s="414">
        <v>896116</v>
      </c>
      <c r="L108" s="414">
        <v>0</v>
      </c>
      <c r="M108" s="414">
        <v>0</v>
      </c>
      <c r="N108" s="414">
        <v>0</v>
      </c>
      <c r="O108" s="414">
        <v>0</v>
      </c>
      <c r="P108" s="68">
        <v>302887</v>
      </c>
      <c r="Q108" s="68">
        <v>8961</v>
      </c>
      <c r="R108" s="414">
        <v>10200</v>
      </c>
      <c r="S108" s="415">
        <v>2.42</v>
      </c>
      <c r="T108" s="416">
        <v>2.42</v>
      </c>
      <c r="U108" s="422">
        <v>0</v>
      </c>
      <c r="V108" s="423">
        <f t="shared" si="119"/>
        <v>0</v>
      </c>
      <c r="W108" s="417">
        <f t="shared" si="119"/>
        <v>0</v>
      </c>
      <c r="X108" s="417">
        <v>-23175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20"/>
        <v>-23175</v>
      </c>
      <c r="AF108" s="417">
        <f t="shared" si="121"/>
        <v>0</v>
      </c>
      <c r="AG108" s="417">
        <f t="shared" si="122"/>
        <v>-23175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23"/>
        <v>0</v>
      </c>
      <c r="AN108" s="417">
        <f t="shared" si="124"/>
        <v>0</v>
      </c>
      <c r="AO108" s="417">
        <f t="shared" si="125"/>
        <v>0</v>
      </c>
      <c r="AP108" s="417">
        <f t="shared" si="126"/>
        <v>-23175</v>
      </c>
      <c r="AQ108" s="417">
        <f t="shared" si="126"/>
        <v>0</v>
      </c>
      <c r="AR108" s="417">
        <f t="shared" si="127"/>
        <v>-23175</v>
      </c>
      <c r="AS108" s="68">
        <f t="shared" si="128"/>
        <v>-7833</v>
      </c>
      <c r="AT108" s="68">
        <f t="shared" si="129"/>
        <v>-232</v>
      </c>
      <c r="AU108" s="417">
        <v>0</v>
      </c>
      <c r="AV108" s="417">
        <v>0</v>
      </c>
      <c r="AW108" s="417">
        <v>0</v>
      </c>
      <c r="AX108" s="417">
        <f t="shared" si="130"/>
        <v>0</v>
      </c>
      <c r="AY108" s="417">
        <f t="shared" si="131"/>
        <v>-31240</v>
      </c>
      <c r="AZ108" s="418">
        <v>0</v>
      </c>
      <c r="BA108" s="418">
        <v>0</v>
      </c>
      <c r="BB108" s="418">
        <v>-0.06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32"/>
        <v>-0.06</v>
      </c>
      <c r="BJ108" s="418">
        <f t="shared" si="133"/>
        <v>0</v>
      </c>
      <c r="BK108" s="420">
        <f t="shared" si="134"/>
        <v>-0.06</v>
      </c>
      <c r="BL108" s="772">
        <f t="shared" si="178"/>
        <v>1186924</v>
      </c>
      <c r="BM108" s="772">
        <f t="shared" si="179"/>
        <v>872941</v>
      </c>
      <c r="BN108" s="417">
        <f t="shared" si="180"/>
        <v>872941</v>
      </c>
      <c r="BO108" s="417">
        <f t="shared" si="180"/>
        <v>0</v>
      </c>
      <c r="BP108" s="417">
        <f t="shared" si="181"/>
        <v>0</v>
      </c>
      <c r="BQ108" s="417">
        <f t="shared" si="182"/>
        <v>0</v>
      </c>
      <c r="BR108" s="417">
        <f t="shared" si="182"/>
        <v>0</v>
      </c>
      <c r="BS108" s="417">
        <f t="shared" si="183"/>
        <v>295054</v>
      </c>
      <c r="BT108" s="417">
        <f t="shared" si="183"/>
        <v>8729</v>
      </c>
      <c r="BU108" s="417">
        <f t="shared" si="184"/>
        <v>10200</v>
      </c>
      <c r="BV108" s="418">
        <f t="shared" si="185"/>
        <v>2.36</v>
      </c>
      <c r="BW108" s="418">
        <f t="shared" si="186"/>
        <v>2.36</v>
      </c>
      <c r="BX108" s="420">
        <f t="shared" si="186"/>
        <v>0</v>
      </c>
      <c r="BY108" s="596"/>
      <c r="BZ108" s="595"/>
      <c r="CA108" s="595"/>
      <c r="CB108" s="595"/>
      <c r="CC108" s="595"/>
      <c r="CD108" s="981"/>
      <c r="CE108" s="596"/>
      <c r="CF108" s="595"/>
      <c r="CG108" s="595"/>
      <c r="CH108" s="595"/>
      <c r="CI108" s="595"/>
      <c r="CJ108" s="981"/>
      <c r="CK108" s="315"/>
    </row>
    <row r="109" spans="1:89" ht="12.95" customHeight="1">
      <c r="A109" s="280">
        <v>18</v>
      </c>
      <c r="B109" s="321">
        <v>5442</v>
      </c>
      <c r="C109" s="322">
        <v>650030541</v>
      </c>
      <c r="D109" s="281">
        <v>75017512</v>
      </c>
      <c r="E109" s="348" t="s">
        <v>440</v>
      </c>
      <c r="F109" s="321">
        <v>3141</v>
      </c>
      <c r="G109" s="345" t="s">
        <v>294</v>
      </c>
      <c r="H109" s="640" t="s">
        <v>272</v>
      </c>
      <c r="I109" s="419">
        <v>221745</v>
      </c>
      <c r="J109" s="414">
        <v>163592</v>
      </c>
      <c r="K109" s="414">
        <v>0</v>
      </c>
      <c r="L109" s="414">
        <v>163592</v>
      </c>
      <c r="M109" s="414">
        <v>0</v>
      </c>
      <c r="N109" s="414">
        <v>0</v>
      </c>
      <c r="O109" s="414">
        <v>0</v>
      </c>
      <c r="P109" s="68">
        <v>55294</v>
      </c>
      <c r="Q109" s="68">
        <v>1635</v>
      </c>
      <c r="R109" s="414">
        <v>1224</v>
      </c>
      <c r="S109" s="415">
        <v>0.48670000000000002</v>
      </c>
      <c r="T109" s="416">
        <v>0</v>
      </c>
      <c r="U109" s="422">
        <v>0.48670000000000002</v>
      </c>
      <c r="V109" s="423">
        <f t="shared" si="119"/>
        <v>0</v>
      </c>
      <c r="W109" s="417">
        <f t="shared" si="119"/>
        <v>0</v>
      </c>
      <c r="X109" s="417">
        <v>0</v>
      </c>
      <c r="Y109" s="417">
        <v>0</v>
      </c>
      <c r="Z109" s="417">
        <v>0</v>
      </c>
      <c r="AA109" s="417">
        <v>4226</v>
      </c>
      <c r="AB109" s="417">
        <v>0</v>
      </c>
      <c r="AC109" s="417">
        <v>0</v>
      </c>
      <c r="AD109" s="417">
        <v>0</v>
      </c>
      <c r="AE109" s="417">
        <f t="shared" si="120"/>
        <v>0</v>
      </c>
      <c r="AF109" s="417">
        <f t="shared" si="121"/>
        <v>4226</v>
      </c>
      <c r="AG109" s="417">
        <f t="shared" si="122"/>
        <v>4226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23"/>
        <v>0</v>
      </c>
      <c r="AN109" s="417">
        <f t="shared" si="124"/>
        <v>0</v>
      </c>
      <c r="AO109" s="417">
        <f t="shared" si="125"/>
        <v>0</v>
      </c>
      <c r="AP109" s="417">
        <f t="shared" si="126"/>
        <v>0</v>
      </c>
      <c r="AQ109" s="417">
        <f t="shared" si="126"/>
        <v>4226</v>
      </c>
      <c r="AR109" s="417">
        <f t="shared" si="127"/>
        <v>4226</v>
      </c>
      <c r="AS109" s="68">
        <f t="shared" si="128"/>
        <v>1428</v>
      </c>
      <c r="AT109" s="68">
        <f t="shared" si="129"/>
        <v>42</v>
      </c>
      <c r="AU109" s="417">
        <v>0</v>
      </c>
      <c r="AV109" s="417">
        <v>0</v>
      </c>
      <c r="AW109" s="417">
        <v>0</v>
      </c>
      <c r="AX109" s="417">
        <f t="shared" si="130"/>
        <v>0</v>
      </c>
      <c r="AY109" s="417">
        <f t="shared" si="131"/>
        <v>5696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0.02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32"/>
        <v>0</v>
      </c>
      <c r="BJ109" s="418">
        <f t="shared" si="133"/>
        <v>0.02</v>
      </c>
      <c r="BK109" s="420">
        <f t="shared" si="134"/>
        <v>0.02</v>
      </c>
      <c r="BL109" s="772">
        <f t="shared" si="178"/>
        <v>227441</v>
      </c>
      <c r="BM109" s="772">
        <f t="shared" si="179"/>
        <v>167818</v>
      </c>
      <c r="BN109" s="417">
        <f t="shared" si="180"/>
        <v>0</v>
      </c>
      <c r="BO109" s="417">
        <f t="shared" si="180"/>
        <v>167818</v>
      </c>
      <c r="BP109" s="417">
        <f t="shared" si="181"/>
        <v>0</v>
      </c>
      <c r="BQ109" s="417">
        <f t="shared" si="182"/>
        <v>0</v>
      </c>
      <c r="BR109" s="417">
        <f t="shared" si="182"/>
        <v>0</v>
      </c>
      <c r="BS109" s="417">
        <f t="shared" si="183"/>
        <v>56722</v>
      </c>
      <c r="BT109" s="417">
        <f t="shared" si="183"/>
        <v>1677</v>
      </c>
      <c r="BU109" s="417">
        <f t="shared" si="184"/>
        <v>1224</v>
      </c>
      <c r="BV109" s="418">
        <f t="shared" si="185"/>
        <v>0.50670000000000004</v>
      </c>
      <c r="BW109" s="418">
        <f t="shared" si="186"/>
        <v>0</v>
      </c>
      <c r="BX109" s="420">
        <f t="shared" si="186"/>
        <v>0.50670000000000004</v>
      </c>
      <c r="BY109" s="596"/>
      <c r="BZ109" s="595"/>
      <c r="CA109" s="595"/>
      <c r="CB109" s="595"/>
      <c r="CC109" s="595"/>
      <c r="CD109" s="981"/>
      <c r="CE109" s="596"/>
      <c r="CF109" s="595"/>
      <c r="CG109" s="595"/>
      <c r="CH109" s="595"/>
      <c r="CI109" s="595"/>
      <c r="CJ109" s="981"/>
      <c r="CK109" s="315"/>
    </row>
    <row r="110" spans="1:89" ht="12.95" customHeight="1">
      <c r="A110" s="280">
        <v>18</v>
      </c>
      <c r="B110" s="321">
        <v>5442</v>
      </c>
      <c r="C110" s="322">
        <v>650030541</v>
      </c>
      <c r="D110" s="281">
        <v>75017512</v>
      </c>
      <c r="E110" s="348" t="s">
        <v>440</v>
      </c>
      <c r="F110" s="321">
        <v>3143</v>
      </c>
      <c r="G110" s="284" t="s">
        <v>595</v>
      </c>
      <c r="H110" s="640" t="s">
        <v>271</v>
      </c>
      <c r="I110" s="419">
        <v>1055970</v>
      </c>
      <c r="J110" s="414">
        <v>783360</v>
      </c>
      <c r="K110" s="414">
        <v>783360</v>
      </c>
      <c r="L110" s="414">
        <v>0</v>
      </c>
      <c r="M110" s="414">
        <v>0</v>
      </c>
      <c r="N110" s="414">
        <v>0</v>
      </c>
      <c r="O110" s="414">
        <v>0</v>
      </c>
      <c r="P110" s="68">
        <v>264776</v>
      </c>
      <c r="Q110" s="68">
        <v>7834</v>
      </c>
      <c r="R110" s="414">
        <v>0</v>
      </c>
      <c r="S110" s="415">
        <v>1.6633</v>
      </c>
      <c r="T110" s="416">
        <v>1.6633</v>
      </c>
      <c r="U110" s="422">
        <v>0</v>
      </c>
      <c r="V110" s="423">
        <f t="shared" si="119"/>
        <v>0</v>
      </c>
      <c r="W110" s="417">
        <f t="shared" si="119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20"/>
        <v>0</v>
      </c>
      <c r="AF110" s="417">
        <f t="shared" si="121"/>
        <v>0</v>
      </c>
      <c r="AG110" s="417">
        <f t="shared" si="122"/>
        <v>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23"/>
        <v>0</v>
      </c>
      <c r="AN110" s="417">
        <f t="shared" si="124"/>
        <v>0</v>
      </c>
      <c r="AO110" s="417">
        <f t="shared" si="125"/>
        <v>0</v>
      </c>
      <c r="AP110" s="417">
        <f t="shared" si="126"/>
        <v>0</v>
      </c>
      <c r="AQ110" s="417">
        <f t="shared" si="126"/>
        <v>0</v>
      </c>
      <c r="AR110" s="417">
        <f t="shared" si="127"/>
        <v>0</v>
      </c>
      <c r="AS110" s="68">
        <f t="shared" si="128"/>
        <v>0</v>
      </c>
      <c r="AT110" s="68">
        <f t="shared" si="129"/>
        <v>0</v>
      </c>
      <c r="AU110" s="417">
        <v>0</v>
      </c>
      <c r="AV110" s="417">
        <v>0</v>
      </c>
      <c r="AW110" s="417">
        <v>0</v>
      </c>
      <c r="AX110" s="417">
        <f t="shared" si="130"/>
        <v>0</v>
      </c>
      <c r="AY110" s="417">
        <f t="shared" si="131"/>
        <v>0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32"/>
        <v>0</v>
      </c>
      <c r="BJ110" s="418">
        <f t="shared" si="133"/>
        <v>0</v>
      </c>
      <c r="BK110" s="420">
        <f t="shared" si="134"/>
        <v>0</v>
      </c>
      <c r="BL110" s="772">
        <f t="shared" si="178"/>
        <v>1055970</v>
      </c>
      <c r="BM110" s="772">
        <f t="shared" si="179"/>
        <v>783360</v>
      </c>
      <c r="BN110" s="417">
        <f t="shared" si="180"/>
        <v>783360</v>
      </c>
      <c r="BO110" s="417">
        <f t="shared" si="180"/>
        <v>0</v>
      </c>
      <c r="BP110" s="417">
        <f t="shared" si="181"/>
        <v>0</v>
      </c>
      <c r="BQ110" s="417">
        <f t="shared" si="182"/>
        <v>0</v>
      </c>
      <c r="BR110" s="417">
        <f t="shared" si="182"/>
        <v>0</v>
      </c>
      <c r="BS110" s="417">
        <f t="shared" si="183"/>
        <v>264776</v>
      </c>
      <c r="BT110" s="417">
        <f t="shared" si="183"/>
        <v>7834</v>
      </c>
      <c r="BU110" s="417">
        <f t="shared" si="184"/>
        <v>0</v>
      </c>
      <c r="BV110" s="418">
        <f t="shared" si="185"/>
        <v>1.6633</v>
      </c>
      <c r="BW110" s="418">
        <f t="shared" si="186"/>
        <v>1.6633</v>
      </c>
      <c r="BX110" s="420">
        <f t="shared" si="186"/>
        <v>0</v>
      </c>
      <c r="BY110" s="596"/>
      <c r="BZ110" s="595"/>
      <c r="CA110" s="595"/>
      <c r="CB110" s="595"/>
      <c r="CC110" s="595"/>
      <c r="CD110" s="981"/>
      <c r="CE110" s="596"/>
      <c r="CF110" s="595"/>
      <c r="CG110" s="595"/>
      <c r="CH110" s="595"/>
      <c r="CI110" s="595"/>
      <c r="CJ110" s="981"/>
      <c r="CK110" s="315"/>
    </row>
    <row r="111" spans="1:89" ht="12.95" customHeight="1">
      <c r="A111" s="280">
        <v>18</v>
      </c>
      <c r="B111" s="321">
        <v>5442</v>
      </c>
      <c r="C111" s="322">
        <v>650030541</v>
      </c>
      <c r="D111" s="281">
        <v>75017512</v>
      </c>
      <c r="E111" s="348" t="s">
        <v>440</v>
      </c>
      <c r="F111" s="321">
        <v>3143</v>
      </c>
      <c r="G111" s="284" t="s">
        <v>596</v>
      </c>
      <c r="H111" s="640" t="s">
        <v>272</v>
      </c>
      <c r="I111" s="419">
        <v>29967</v>
      </c>
      <c r="J111" s="414">
        <v>21450</v>
      </c>
      <c r="K111" s="414">
        <v>0</v>
      </c>
      <c r="L111" s="414">
        <v>21450</v>
      </c>
      <c r="M111" s="414">
        <v>0</v>
      </c>
      <c r="N111" s="414">
        <v>0</v>
      </c>
      <c r="O111" s="414">
        <v>0</v>
      </c>
      <c r="P111" s="68">
        <v>7250</v>
      </c>
      <c r="Q111" s="68">
        <v>214</v>
      </c>
      <c r="R111" s="414">
        <v>1053</v>
      </c>
      <c r="S111" s="415">
        <v>8.4199999999999997E-2</v>
      </c>
      <c r="T111" s="416">
        <v>0</v>
      </c>
      <c r="U111" s="422">
        <v>8.4199999999999997E-2</v>
      </c>
      <c r="V111" s="423">
        <f t="shared" si="119"/>
        <v>0</v>
      </c>
      <c r="W111" s="417">
        <f t="shared" si="119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20"/>
        <v>0</v>
      </c>
      <c r="AF111" s="417">
        <f t="shared" si="121"/>
        <v>0</v>
      </c>
      <c r="AG111" s="417">
        <f t="shared" si="122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23"/>
        <v>0</v>
      </c>
      <c r="AN111" s="417">
        <f t="shared" si="124"/>
        <v>0</v>
      </c>
      <c r="AO111" s="417">
        <f t="shared" si="125"/>
        <v>0</v>
      </c>
      <c r="AP111" s="417">
        <f t="shared" si="126"/>
        <v>0</v>
      </c>
      <c r="AQ111" s="417">
        <f t="shared" si="126"/>
        <v>0</v>
      </c>
      <c r="AR111" s="417">
        <f t="shared" si="127"/>
        <v>0</v>
      </c>
      <c r="AS111" s="68">
        <f t="shared" si="128"/>
        <v>0</v>
      </c>
      <c r="AT111" s="68">
        <f t="shared" si="129"/>
        <v>0</v>
      </c>
      <c r="AU111" s="417">
        <v>0</v>
      </c>
      <c r="AV111" s="417">
        <v>0</v>
      </c>
      <c r="AW111" s="417">
        <v>0</v>
      </c>
      <c r="AX111" s="417">
        <f t="shared" si="130"/>
        <v>0</v>
      </c>
      <c r="AY111" s="417">
        <f t="shared" si="131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32"/>
        <v>0</v>
      </c>
      <c r="BJ111" s="418">
        <f t="shared" si="133"/>
        <v>0</v>
      </c>
      <c r="BK111" s="420">
        <f t="shared" si="134"/>
        <v>0</v>
      </c>
      <c r="BL111" s="772">
        <f t="shared" si="178"/>
        <v>29967</v>
      </c>
      <c r="BM111" s="772">
        <f t="shared" si="179"/>
        <v>21450</v>
      </c>
      <c r="BN111" s="417">
        <f t="shared" si="180"/>
        <v>0</v>
      </c>
      <c r="BO111" s="417">
        <f t="shared" si="180"/>
        <v>21450</v>
      </c>
      <c r="BP111" s="417">
        <f t="shared" si="181"/>
        <v>0</v>
      </c>
      <c r="BQ111" s="417">
        <f t="shared" si="182"/>
        <v>0</v>
      </c>
      <c r="BR111" s="417">
        <f t="shared" si="182"/>
        <v>0</v>
      </c>
      <c r="BS111" s="417">
        <f t="shared" si="183"/>
        <v>7250</v>
      </c>
      <c r="BT111" s="417">
        <f t="shared" si="183"/>
        <v>214</v>
      </c>
      <c r="BU111" s="417">
        <f t="shared" si="184"/>
        <v>1053</v>
      </c>
      <c r="BV111" s="418">
        <f t="shared" si="185"/>
        <v>8.4199999999999997E-2</v>
      </c>
      <c r="BW111" s="418">
        <f t="shared" si="186"/>
        <v>0</v>
      </c>
      <c r="BX111" s="420">
        <f t="shared" si="186"/>
        <v>8.4199999999999997E-2</v>
      </c>
      <c r="BY111" s="596"/>
      <c r="BZ111" s="595"/>
      <c r="CA111" s="595"/>
      <c r="CB111" s="595"/>
      <c r="CC111" s="595"/>
      <c r="CD111" s="981"/>
      <c r="CE111" s="596"/>
      <c r="CF111" s="595"/>
      <c r="CG111" s="595"/>
      <c r="CH111" s="595"/>
      <c r="CI111" s="595"/>
      <c r="CJ111" s="981"/>
      <c r="CK111" s="315"/>
    </row>
    <row r="112" spans="1:89" ht="12.95" customHeight="1">
      <c r="A112" s="641">
        <v>18</v>
      </c>
      <c r="B112" s="325">
        <v>5442</v>
      </c>
      <c r="C112" s="326">
        <v>650030541</v>
      </c>
      <c r="D112" s="325">
        <v>75017512</v>
      </c>
      <c r="E112" s="349" t="s">
        <v>441</v>
      </c>
      <c r="F112" s="325"/>
      <c r="G112" s="350"/>
      <c r="H112" s="643"/>
      <c r="I112" s="477">
        <v>18040624</v>
      </c>
      <c r="J112" s="475">
        <v>13192711</v>
      </c>
      <c r="K112" s="475">
        <v>11567492</v>
      </c>
      <c r="L112" s="475">
        <v>1625219</v>
      </c>
      <c r="M112" s="475">
        <v>40000</v>
      </c>
      <c r="N112" s="475">
        <v>27200</v>
      </c>
      <c r="O112" s="475">
        <v>12800</v>
      </c>
      <c r="P112" s="475">
        <v>4472655</v>
      </c>
      <c r="Q112" s="475">
        <v>131926</v>
      </c>
      <c r="R112" s="475">
        <v>203332</v>
      </c>
      <c r="S112" s="476">
        <v>24.591999999999995</v>
      </c>
      <c r="T112" s="476">
        <v>19.810600000000001</v>
      </c>
      <c r="U112" s="535">
        <v>4.7813999999999997</v>
      </c>
      <c r="V112" s="472">
        <f t="shared" ref="V112:BK112" si="187">SUM(V106:V111)</f>
        <v>0</v>
      </c>
      <c r="W112" s="469">
        <f t="shared" si="187"/>
        <v>0</v>
      </c>
      <c r="X112" s="469">
        <f t="shared" si="187"/>
        <v>-23175</v>
      </c>
      <c r="Y112" s="469">
        <f t="shared" si="187"/>
        <v>0</v>
      </c>
      <c r="Z112" s="469">
        <f t="shared" si="187"/>
        <v>0</v>
      </c>
      <c r="AA112" s="469">
        <f t="shared" si="187"/>
        <v>4226</v>
      </c>
      <c r="AB112" s="469">
        <f t="shared" si="187"/>
        <v>0</v>
      </c>
      <c r="AC112" s="469">
        <f t="shared" si="187"/>
        <v>0</v>
      </c>
      <c r="AD112" s="469">
        <f t="shared" si="187"/>
        <v>0</v>
      </c>
      <c r="AE112" s="469">
        <f t="shared" si="187"/>
        <v>-23175</v>
      </c>
      <c r="AF112" s="469">
        <f t="shared" si="187"/>
        <v>4226</v>
      </c>
      <c r="AG112" s="469">
        <f t="shared" si="187"/>
        <v>-18949</v>
      </c>
      <c r="AH112" s="469">
        <f t="shared" si="187"/>
        <v>0</v>
      </c>
      <c r="AI112" s="469">
        <f t="shared" si="187"/>
        <v>0</v>
      </c>
      <c r="AJ112" s="469">
        <f t="shared" si="187"/>
        <v>0</v>
      </c>
      <c r="AK112" s="469">
        <f t="shared" si="187"/>
        <v>0</v>
      </c>
      <c r="AL112" s="469">
        <f t="shared" si="187"/>
        <v>0</v>
      </c>
      <c r="AM112" s="469">
        <f t="shared" si="187"/>
        <v>0</v>
      </c>
      <c r="AN112" s="469">
        <f t="shared" si="187"/>
        <v>0</v>
      </c>
      <c r="AO112" s="469">
        <f t="shared" si="187"/>
        <v>0</v>
      </c>
      <c r="AP112" s="469">
        <f t="shared" si="187"/>
        <v>-23175</v>
      </c>
      <c r="AQ112" s="469">
        <f t="shared" si="187"/>
        <v>4226</v>
      </c>
      <c r="AR112" s="469">
        <f t="shared" si="187"/>
        <v>-18949</v>
      </c>
      <c r="AS112" s="469">
        <f t="shared" si="187"/>
        <v>-6405</v>
      </c>
      <c r="AT112" s="469">
        <f t="shared" si="187"/>
        <v>-190</v>
      </c>
      <c r="AU112" s="469">
        <f t="shared" si="187"/>
        <v>0</v>
      </c>
      <c r="AV112" s="469">
        <f t="shared" si="187"/>
        <v>0</v>
      </c>
      <c r="AW112" s="469">
        <f t="shared" si="187"/>
        <v>0</v>
      </c>
      <c r="AX112" s="469">
        <f t="shared" si="187"/>
        <v>0</v>
      </c>
      <c r="AY112" s="469">
        <f t="shared" si="187"/>
        <v>-25544</v>
      </c>
      <c r="AZ112" s="470">
        <f t="shared" si="187"/>
        <v>0</v>
      </c>
      <c r="BA112" s="470">
        <f t="shared" si="187"/>
        <v>0</v>
      </c>
      <c r="BB112" s="470">
        <f t="shared" si="187"/>
        <v>-0.06</v>
      </c>
      <c r="BC112" s="470">
        <f t="shared" si="187"/>
        <v>0</v>
      </c>
      <c r="BD112" s="470">
        <f t="shared" si="187"/>
        <v>0.02</v>
      </c>
      <c r="BE112" s="470">
        <f t="shared" si="187"/>
        <v>0</v>
      </c>
      <c r="BF112" s="470">
        <f t="shared" si="187"/>
        <v>0</v>
      </c>
      <c r="BG112" s="470">
        <f t="shared" si="187"/>
        <v>0</v>
      </c>
      <c r="BH112" s="470">
        <f t="shared" si="187"/>
        <v>0</v>
      </c>
      <c r="BI112" s="470">
        <f t="shared" si="187"/>
        <v>-0.06</v>
      </c>
      <c r="BJ112" s="470">
        <f t="shared" si="187"/>
        <v>0.02</v>
      </c>
      <c r="BK112" s="333">
        <f t="shared" si="187"/>
        <v>-3.9999999999999994E-2</v>
      </c>
      <c r="BL112" s="775">
        <f t="shared" ref="BL112:CG112" si="188">SUM(BL106:BL111)</f>
        <v>18015080</v>
      </c>
      <c r="BM112" s="775">
        <f t="shared" si="188"/>
        <v>13173762</v>
      </c>
      <c r="BN112" s="469">
        <f t="shared" si="188"/>
        <v>11544317</v>
      </c>
      <c r="BO112" s="469">
        <f t="shared" si="188"/>
        <v>1629445</v>
      </c>
      <c r="BP112" s="469">
        <f t="shared" si="188"/>
        <v>40000</v>
      </c>
      <c r="BQ112" s="469">
        <f t="shared" si="188"/>
        <v>27200</v>
      </c>
      <c r="BR112" s="469">
        <f t="shared" si="188"/>
        <v>12800</v>
      </c>
      <c r="BS112" s="469">
        <f t="shared" si="188"/>
        <v>4466250</v>
      </c>
      <c r="BT112" s="469">
        <f t="shared" si="188"/>
        <v>131736</v>
      </c>
      <c r="BU112" s="469">
        <f t="shared" si="188"/>
        <v>203332</v>
      </c>
      <c r="BV112" s="470">
        <f t="shared" si="188"/>
        <v>24.551999999999996</v>
      </c>
      <c r="BW112" s="470">
        <f t="shared" si="188"/>
        <v>19.750599999999999</v>
      </c>
      <c r="BX112" s="333">
        <f t="shared" si="188"/>
        <v>4.8014000000000001</v>
      </c>
      <c r="BY112" s="1004">
        <f t="shared" si="188"/>
        <v>0</v>
      </c>
      <c r="BZ112" s="722">
        <f t="shared" si="188"/>
        <v>0</v>
      </c>
      <c r="CA112" s="722">
        <f t="shared" si="188"/>
        <v>0</v>
      </c>
      <c r="CB112" s="722">
        <f t="shared" si="188"/>
        <v>0</v>
      </c>
      <c r="CC112" s="722">
        <f t="shared" si="188"/>
        <v>0</v>
      </c>
      <c r="CD112" s="827">
        <f t="shared" si="188"/>
        <v>0</v>
      </c>
      <c r="CE112" s="996">
        <f t="shared" si="188"/>
        <v>674302</v>
      </c>
      <c r="CF112" s="996">
        <f t="shared" si="188"/>
        <v>466197</v>
      </c>
      <c r="CG112" s="996">
        <f t="shared" si="188"/>
        <v>157575</v>
      </c>
      <c r="CH112" s="996">
        <f t="shared" ref="CH112:CJ112" si="189">SUM(CH106:CH111)</f>
        <v>4662</v>
      </c>
      <c r="CI112" s="996">
        <f t="shared" si="189"/>
        <v>45868</v>
      </c>
      <c r="CJ112" s="934">
        <f t="shared" si="189"/>
        <v>1.3702000000000001</v>
      </c>
      <c r="CK112" s="315"/>
    </row>
    <row r="113" spans="1:89" ht="12.95" customHeight="1">
      <c r="A113" s="280">
        <v>19</v>
      </c>
      <c r="B113" s="321">
        <v>5453</v>
      </c>
      <c r="C113" s="322">
        <v>600099211</v>
      </c>
      <c r="D113" s="281">
        <v>854760</v>
      </c>
      <c r="E113" s="348" t="s">
        <v>442</v>
      </c>
      <c r="F113" s="321">
        <v>3111</v>
      </c>
      <c r="G113" s="345" t="s">
        <v>304</v>
      </c>
      <c r="H113" s="640" t="s">
        <v>271</v>
      </c>
      <c r="I113" s="419">
        <v>6977279</v>
      </c>
      <c r="J113" s="414">
        <v>5147537</v>
      </c>
      <c r="K113" s="414">
        <v>4755465</v>
      </c>
      <c r="L113" s="414">
        <v>392072</v>
      </c>
      <c r="M113" s="414">
        <v>0</v>
      </c>
      <c r="N113" s="414">
        <v>0</v>
      </c>
      <c r="O113" s="414">
        <v>0</v>
      </c>
      <c r="P113" s="68">
        <v>1739867</v>
      </c>
      <c r="Q113" s="68">
        <v>51475</v>
      </c>
      <c r="R113" s="414">
        <v>38400</v>
      </c>
      <c r="S113" s="415">
        <v>9.5708000000000002</v>
      </c>
      <c r="T113" s="416">
        <v>8</v>
      </c>
      <c r="U113" s="422">
        <v>1.5708</v>
      </c>
      <c r="V113" s="423">
        <f t="shared" si="119"/>
        <v>0</v>
      </c>
      <c r="W113" s="417">
        <f t="shared" si="119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20"/>
        <v>0</v>
      </c>
      <c r="AF113" s="417">
        <f t="shared" si="121"/>
        <v>0</v>
      </c>
      <c r="AG113" s="417">
        <f t="shared" si="122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23"/>
        <v>0</v>
      </c>
      <c r="AN113" s="417">
        <f t="shared" si="124"/>
        <v>0</v>
      </c>
      <c r="AO113" s="417">
        <f t="shared" si="125"/>
        <v>0</v>
      </c>
      <c r="AP113" s="417">
        <f t="shared" si="126"/>
        <v>0</v>
      </c>
      <c r="AQ113" s="417">
        <f t="shared" si="126"/>
        <v>0</v>
      </c>
      <c r="AR113" s="417">
        <f t="shared" si="127"/>
        <v>0</v>
      </c>
      <c r="AS113" s="68">
        <f t="shared" si="128"/>
        <v>0</v>
      </c>
      <c r="AT113" s="68">
        <f t="shared" si="129"/>
        <v>0</v>
      </c>
      <c r="AU113" s="417">
        <v>0</v>
      </c>
      <c r="AV113" s="417">
        <v>0</v>
      </c>
      <c r="AW113" s="417">
        <v>0</v>
      </c>
      <c r="AX113" s="417">
        <f t="shared" si="130"/>
        <v>0</v>
      </c>
      <c r="AY113" s="417">
        <f t="shared" si="131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32"/>
        <v>0</v>
      </c>
      <c r="BJ113" s="418">
        <f t="shared" si="133"/>
        <v>0</v>
      </c>
      <c r="BK113" s="420">
        <f t="shared" si="134"/>
        <v>0</v>
      </c>
      <c r="BL113" s="772">
        <f t="shared" ref="BL113:BL119" si="190">I113+AY113</f>
        <v>6977279</v>
      </c>
      <c r="BM113" s="772">
        <f t="shared" ref="BM113:BM119" si="191">J113+AG113</f>
        <v>5147537</v>
      </c>
      <c r="BN113" s="417">
        <f t="shared" ref="BN113:BO119" si="192">K113+AE113</f>
        <v>4755465</v>
      </c>
      <c r="BO113" s="417">
        <f t="shared" si="192"/>
        <v>392072</v>
      </c>
      <c r="BP113" s="417">
        <f t="shared" ref="BP113:BP119" si="193">M113+AO113</f>
        <v>0</v>
      </c>
      <c r="BQ113" s="417">
        <f t="shared" ref="BQ113:BR119" si="194">N113+AM113</f>
        <v>0</v>
      </c>
      <c r="BR113" s="417">
        <f t="shared" si="194"/>
        <v>0</v>
      </c>
      <c r="BS113" s="417">
        <f t="shared" ref="BS113:BT119" si="195">P113+AS113</f>
        <v>1739867</v>
      </c>
      <c r="BT113" s="417">
        <f t="shared" si="195"/>
        <v>51475</v>
      </c>
      <c r="BU113" s="417">
        <f t="shared" ref="BU113:BU119" si="196">R113+AX113</f>
        <v>38400</v>
      </c>
      <c r="BV113" s="418">
        <f t="shared" ref="BV113:BV119" si="197">S113+BK113</f>
        <v>9.5708000000000002</v>
      </c>
      <c r="BW113" s="418">
        <f t="shared" ref="BW113:BX119" si="198">T113+BI113</f>
        <v>8</v>
      </c>
      <c r="BX113" s="420">
        <f t="shared" si="198"/>
        <v>1.5708</v>
      </c>
      <c r="BY113" s="596"/>
      <c r="BZ113" s="595"/>
      <c r="CA113" s="595"/>
      <c r="CB113" s="595"/>
      <c r="CC113" s="595"/>
      <c r="CD113" s="981"/>
      <c r="CE113" s="596">
        <v>182346</v>
      </c>
      <c r="CF113" s="595">
        <v>125800</v>
      </c>
      <c r="CG113" s="595">
        <v>42520</v>
      </c>
      <c r="CH113" s="595">
        <v>1258</v>
      </c>
      <c r="CI113" s="595">
        <v>12768</v>
      </c>
      <c r="CJ113" s="981">
        <v>0.504</v>
      </c>
      <c r="CK113" s="315"/>
    </row>
    <row r="114" spans="1:89" ht="12.95" customHeight="1">
      <c r="A114" s="280">
        <v>19</v>
      </c>
      <c r="B114" s="321">
        <v>5453</v>
      </c>
      <c r="C114" s="322">
        <v>600099211</v>
      </c>
      <c r="D114" s="281">
        <v>854760</v>
      </c>
      <c r="E114" s="348" t="s">
        <v>442</v>
      </c>
      <c r="F114" s="321">
        <v>3113</v>
      </c>
      <c r="G114" s="345" t="s">
        <v>308</v>
      </c>
      <c r="H114" s="640" t="s">
        <v>271</v>
      </c>
      <c r="I114" s="419">
        <v>22065478</v>
      </c>
      <c r="J114" s="414">
        <v>16121448</v>
      </c>
      <c r="K114" s="414">
        <v>14169105</v>
      </c>
      <c r="L114" s="414">
        <v>1952343</v>
      </c>
      <c r="M114" s="414">
        <v>0</v>
      </c>
      <c r="N114" s="414">
        <v>0</v>
      </c>
      <c r="O114" s="414">
        <v>0</v>
      </c>
      <c r="P114" s="68">
        <v>5449050</v>
      </c>
      <c r="Q114" s="68">
        <v>161215</v>
      </c>
      <c r="R114" s="414">
        <v>333765</v>
      </c>
      <c r="S114" s="415">
        <v>26.7242</v>
      </c>
      <c r="T114" s="416">
        <v>20.9909</v>
      </c>
      <c r="U114" s="422">
        <v>5.7332999999999998</v>
      </c>
      <c r="V114" s="423">
        <f t="shared" si="119"/>
        <v>-25000</v>
      </c>
      <c r="W114" s="417">
        <f t="shared" si="119"/>
        <v>0</v>
      </c>
      <c r="X114" s="417">
        <v>0</v>
      </c>
      <c r="Y114" s="417">
        <v>0</v>
      </c>
      <c r="Z114" s="417">
        <v>0</v>
      </c>
      <c r="AA114" s="417">
        <v>0</v>
      </c>
      <c r="AB114" s="417">
        <v>0</v>
      </c>
      <c r="AC114" s="417">
        <v>0</v>
      </c>
      <c r="AD114" s="417">
        <v>0</v>
      </c>
      <c r="AE114" s="417">
        <f t="shared" si="120"/>
        <v>-25000</v>
      </c>
      <c r="AF114" s="417">
        <f t="shared" si="121"/>
        <v>0</v>
      </c>
      <c r="AG114" s="417">
        <f t="shared" si="122"/>
        <v>-25000</v>
      </c>
      <c r="AH114" s="417">
        <v>25000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23"/>
        <v>25000</v>
      </c>
      <c r="AN114" s="417">
        <f t="shared" si="124"/>
        <v>0</v>
      </c>
      <c r="AO114" s="417">
        <f t="shared" si="125"/>
        <v>25000</v>
      </c>
      <c r="AP114" s="417">
        <f t="shared" si="126"/>
        <v>0</v>
      </c>
      <c r="AQ114" s="417">
        <f t="shared" si="126"/>
        <v>0</v>
      </c>
      <c r="AR114" s="417">
        <f t="shared" si="127"/>
        <v>0</v>
      </c>
      <c r="AS114" s="68">
        <f t="shared" si="128"/>
        <v>0</v>
      </c>
      <c r="AT114" s="68">
        <f t="shared" si="129"/>
        <v>-250</v>
      </c>
      <c r="AU114" s="417">
        <v>0</v>
      </c>
      <c r="AV114" s="417">
        <v>0</v>
      </c>
      <c r="AW114" s="417">
        <v>0</v>
      </c>
      <c r="AX114" s="417">
        <f t="shared" si="130"/>
        <v>0</v>
      </c>
      <c r="AY114" s="417">
        <f t="shared" si="131"/>
        <v>-250</v>
      </c>
      <c r="AZ114" s="418">
        <v>-0.04</v>
      </c>
      <c r="BA114" s="418">
        <v>0</v>
      </c>
      <c r="BB114" s="418">
        <v>0</v>
      </c>
      <c r="BC114" s="418">
        <v>0</v>
      </c>
      <c r="BD114" s="418">
        <v>0</v>
      </c>
      <c r="BE114" s="418">
        <v>0</v>
      </c>
      <c r="BF114" s="418">
        <v>0</v>
      </c>
      <c r="BG114" s="418">
        <v>0</v>
      </c>
      <c r="BH114" s="418">
        <v>0</v>
      </c>
      <c r="BI114" s="418">
        <f t="shared" si="132"/>
        <v>-0.04</v>
      </c>
      <c r="BJ114" s="418">
        <f t="shared" si="133"/>
        <v>0</v>
      </c>
      <c r="BK114" s="420">
        <f t="shared" si="134"/>
        <v>-0.04</v>
      </c>
      <c r="BL114" s="772">
        <f t="shared" si="190"/>
        <v>22065228</v>
      </c>
      <c r="BM114" s="772">
        <f t="shared" si="191"/>
        <v>16096448</v>
      </c>
      <c r="BN114" s="417">
        <f t="shared" si="192"/>
        <v>14144105</v>
      </c>
      <c r="BO114" s="417">
        <f t="shared" si="192"/>
        <v>1952343</v>
      </c>
      <c r="BP114" s="417">
        <f t="shared" si="193"/>
        <v>25000</v>
      </c>
      <c r="BQ114" s="417">
        <f t="shared" si="194"/>
        <v>25000</v>
      </c>
      <c r="BR114" s="417">
        <f t="shared" si="194"/>
        <v>0</v>
      </c>
      <c r="BS114" s="417">
        <f t="shared" si="195"/>
        <v>5449050</v>
      </c>
      <c r="BT114" s="417">
        <f t="shared" si="195"/>
        <v>160965</v>
      </c>
      <c r="BU114" s="417">
        <f t="shared" si="196"/>
        <v>333765</v>
      </c>
      <c r="BV114" s="418">
        <f t="shared" si="197"/>
        <v>26.684200000000001</v>
      </c>
      <c r="BW114" s="418">
        <f t="shared" si="198"/>
        <v>20.950900000000001</v>
      </c>
      <c r="BX114" s="420">
        <f t="shared" si="198"/>
        <v>5.7332999999999998</v>
      </c>
      <c r="BY114" s="596">
        <v>304109</v>
      </c>
      <c r="BZ114" s="595">
        <v>225600</v>
      </c>
      <c r="CA114" s="595">
        <v>0</v>
      </c>
      <c r="CB114" s="595">
        <v>76253</v>
      </c>
      <c r="CC114" s="595">
        <v>2256</v>
      </c>
      <c r="CD114" s="981">
        <v>0.4</v>
      </c>
      <c r="CE114" s="994">
        <v>927017</v>
      </c>
      <c r="CF114" s="595">
        <v>626624</v>
      </c>
      <c r="CG114" s="595">
        <v>211799</v>
      </c>
      <c r="CH114" s="595">
        <v>6266</v>
      </c>
      <c r="CI114" s="595">
        <v>82328</v>
      </c>
      <c r="CJ114" s="981">
        <v>1.8403</v>
      </c>
      <c r="CK114" s="315"/>
    </row>
    <row r="115" spans="1:89" ht="12.95" customHeight="1">
      <c r="A115" s="280">
        <v>19</v>
      </c>
      <c r="B115" s="321">
        <v>5453</v>
      </c>
      <c r="C115" s="322">
        <v>600099211</v>
      </c>
      <c r="D115" s="281">
        <v>854760</v>
      </c>
      <c r="E115" s="348" t="s">
        <v>442</v>
      </c>
      <c r="F115" s="321">
        <v>3113</v>
      </c>
      <c r="G115" s="284" t="s">
        <v>291</v>
      </c>
      <c r="H115" s="640" t="s">
        <v>272</v>
      </c>
      <c r="I115" s="419">
        <v>1829090</v>
      </c>
      <c r="J115" s="414">
        <v>1353183</v>
      </c>
      <c r="K115" s="414">
        <v>1353183</v>
      </c>
      <c r="L115" s="414">
        <v>0</v>
      </c>
      <c r="M115" s="414">
        <v>0</v>
      </c>
      <c r="N115" s="414">
        <v>0</v>
      </c>
      <c r="O115" s="414">
        <v>0</v>
      </c>
      <c r="P115" s="68">
        <v>457375</v>
      </c>
      <c r="Q115" s="68">
        <v>13532</v>
      </c>
      <c r="R115" s="414">
        <v>5000</v>
      </c>
      <c r="S115" s="415">
        <v>3.2</v>
      </c>
      <c r="T115" s="416">
        <v>3.2</v>
      </c>
      <c r="U115" s="422">
        <v>0</v>
      </c>
      <c r="V115" s="423">
        <f t="shared" si="119"/>
        <v>0</v>
      </c>
      <c r="W115" s="417">
        <f t="shared" si="119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20"/>
        <v>0</v>
      </c>
      <c r="AF115" s="417">
        <f t="shared" si="121"/>
        <v>0</v>
      </c>
      <c r="AG115" s="417">
        <f t="shared" si="122"/>
        <v>0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23"/>
        <v>0</v>
      </c>
      <c r="AN115" s="417">
        <f t="shared" si="124"/>
        <v>0</v>
      </c>
      <c r="AO115" s="417">
        <f t="shared" si="125"/>
        <v>0</v>
      </c>
      <c r="AP115" s="417">
        <f t="shared" si="126"/>
        <v>0</v>
      </c>
      <c r="AQ115" s="417">
        <f t="shared" si="126"/>
        <v>0</v>
      </c>
      <c r="AR115" s="417">
        <f t="shared" si="127"/>
        <v>0</v>
      </c>
      <c r="AS115" s="68">
        <f t="shared" si="128"/>
        <v>0</v>
      </c>
      <c r="AT115" s="68">
        <f t="shared" si="129"/>
        <v>0</v>
      </c>
      <c r="AU115" s="417">
        <v>3150</v>
      </c>
      <c r="AV115" s="417">
        <v>0</v>
      </c>
      <c r="AW115" s="417">
        <v>0</v>
      </c>
      <c r="AX115" s="417">
        <f t="shared" si="130"/>
        <v>3150</v>
      </c>
      <c r="AY115" s="417">
        <f t="shared" si="131"/>
        <v>3150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32"/>
        <v>0</v>
      </c>
      <c r="BJ115" s="418">
        <f t="shared" si="133"/>
        <v>0</v>
      </c>
      <c r="BK115" s="420">
        <f t="shared" si="134"/>
        <v>0</v>
      </c>
      <c r="BL115" s="772">
        <f t="shared" si="190"/>
        <v>1832240</v>
      </c>
      <c r="BM115" s="772">
        <f t="shared" si="191"/>
        <v>1353183</v>
      </c>
      <c r="BN115" s="417">
        <f t="shared" si="192"/>
        <v>1353183</v>
      </c>
      <c r="BO115" s="417">
        <f t="shared" si="192"/>
        <v>0</v>
      </c>
      <c r="BP115" s="417">
        <f t="shared" si="193"/>
        <v>0</v>
      </c>
      <c r="BQ115" s="417">
        <f t="shared" si="194"/>
        <v>0</v>
      </c>
      <c r="BR115" s="417">
        <f t="shared" si="194"/>
        <v>0</v>
      </c>
      <c r="BS115" s="417">
        <f t="shared" si="195"/>
        <v>457375</v>
      </c>
      <c r="BT115" s="417">
        <f t="shared" si="195"/>
        <v>13532</v>
      </c>
      <c r="BU115" s="417">
        <f t="shared" si="196"/>
        <v>8150</v>
      </c>
      <c r="BV115" s="418">
        <f t="shared" si="197"/>
        <v>3.2</v>
      </c>
      <c r="BW115" s="418">
        <f t="shared" si="198"/>
        <v>3.2</v>
      </c>
      <c r="BX115" s="420">
        <f t="shared" si="198"/>
        <v>0</v>
      </c>
      <c r="BY115" s="986"/>
      <c r="BZ115" s="729"/>
      <c r="CA115" s="729"/>
      <c r="CB115" s="729"/>
      <c r="CC115" s="729"/>
      <c r="CD115" s="828"/>
      <c r="CE115" s="986"/>
      <c r="CF115" s="729"/>
      <c r="CG115" s="729"/>
      <c r="CH115" s="729"/>
      <c r="CI115" s="729"/>
      <c r="CJ115" s="828"/>
      <c r="CK115" s="315"/>
    </row>
    <row r="116" spans="1:89" ht="12.95" customHeight="1">
      <c r="A116" s="280">
        <v>19</v>
      </c>
      <c r="B116" s="321">
        <v>5453</v>
      </c>
      <c r="C116" s="322">
        <v>600099211</v>
      </c>
      <c r="D116" s="281">
        <v>854760</v>
      </c>
      <c r="E116" s="348" t="s">
        <v>442</v>
      </c>
      <c r="F116" s="321">
        <v>3141</v>
      </c>
      <c r="G116" s="345" t="s">
        <v>294</v>
      </c>
      <c r="H116" s="640" t="s">
        <v>272</v>
      </c>
      <c r="I116" s="419">
        <v>3211730</v>
      </c>
      <c r="J116" s="414">
        <v>2368702</v>
      </c>
      <c r="K116" s="414">
        <v>0</v>
      </c>
      <c r="L116" s="414">
        <v>2368702</v>
      </c>
      <c r="M116" s="414">
        <v>0</v>
      </c>
      <c r="N116" s="414">
        <v>0</v>
      </c>
      <c r="O116" s="414">
        <v>0</v>
      </c>
      <c r="P116" s="68">
        <v>800621</v>
      </c>
      <c r="Q116" s="68">
        <v>23687</v>
      </c>
      <c r="R116" s="414">
        <v>18720</v>
      </c>
      <c r="S116" s="415">
        <v>7.1033999999999997</v>
      </c>
      <c r="T116" s="416">
        <v>0</v>
      </c>
      <c r="U116" s="422">
        <v>7.1033999999999997</v>
      </c>
      <c r="V116" s="423">
        <f t="shared" si="119"/>
        <v>0</v>
      </c>
      <c r="W116" s="417">
        <f t="shared" si="119"/>
        <v>0</v>
      </c>
      <c r="X116" s="417">
        <v>0</v>
      </c>
      <c r="Y116" s="417">
        <v>0</v>
      </c>
      <c r="Z116" s="417">
        <v>0</v>
      </c>
      <c r="AA116" s="417">
        <v>-30971</v>
      </c>
      <c r="AB116" s="417">
        <v>0</v>
      </c>
      <c r="AC116" s="417">
        <v>0</v>
      </c>
      <c r="AD116" s="417">
        <v>0</v>
      </c>
      <c r="AE116" s="417">
        <f t="shared" si="120"/>
        <v>0</v>
      </c>
      <c r="AF116" s="417">
        <f t="shared" si="121"/>
        <v>-30971</v>
      </c>
      <c r="AG116" s="417">
        <f t="shared" si="122"/>
        <v>-30971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23"/>
        <v>0</v>
      </c>
      <c r="AN116" s="417">
        <f t="shared" si="124"/>
        <v>0</v>
      </c>
      <c r="AO116" s="417">
        <f t="shared" si="125"/>
        <v>0</v>
      </c>
      <c r="AP116" s="417">
        <f t="shared" si="126"/>
        <v>0</v>
      </c>
      <c r="AQ116" s="417">
        <f t="shared" si="126"/>
        <v>-30971</v>
      </c>
      <c r="AR116" s="417">
        <f t="shared" si="127"/>
        <v>-30971</v>
      </c>
      <c r="AS116" s="68">
        <f t="shared" si="128"/>
        <v>-10468</v>
      </c>
      <c r="AT116" s="68">
        <f t="shared" si="129"/>
        <v>-310</v>
      </c>
      <c r="AU116" s="417">
        <v>0</v>
      </c>
      <c r="AV116" s="417">
        <v>0</v>
      </c>
      <c r="AW116" s="417">
        <v>0</v>
      </c>
      <c r="AX116" s="417">
        <f t="shared" si="130"/>
        <v>0</v>
      </c>
      <c r="AY116" s="417">
        <f t="shared" si="131"/>
        <v>-41749</v>
      </c>
      <c r="AZ116" s="418">
        <v>0</v>
      </c>
      <c r="BA116" s="418">
        <v>0</v>
      </c>
      <c r="BB116" s="418">
        <v>0</v>
      </c>
      <c r="BC116" s="418">
        <v>0</v>
      </c>
      <c r="BD116" s="418">
        <v>-0.09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32"/>
        <v>0</v>
      </c>
      <c r="BJ116" s="418">
        <f t="shared" si="133"/>
        <v>-0.09</v>
      </c>
      <c r="BK116" s="420">
        <f t="shared" si="134"/>
        <v>-0.09</v>
      </c>
      <c r="BL116" s="772">
        <f t="shared" si="190"/>
        <v>3169981</v>
      </c>
      <c r="BM116" s="772">
        <f t="shared" si="191"/>
        <v>2337731</v>
      </c>
      <c r="BN116" s="417">
        <f t="shared" si="192"/>
        <v>0</v>
      </c>
      <c r="BO116" s="417">
        <f t="shared" si="192"/>
        <v>2337731</v>
      </c>
      <c r="BP116" s="417">
        <f t="shared" si="193"/>
        <v>0</v>
      </c>
      <c r="BQ116" s="417">
        <f t="shared" si="194"/>
        <v>0</v>
      </c>
      <c r="BR116" s="417">
        <f t="shared" si="194"/>
        <v>0</v>
      </c>
      <c r="BS116" s="417">
        <f t="shared" si="195"/>
        <v>790153</v>
      </c>
      <c r="BT116" s="417">
        <f t="shared" si="195"/>
        <v>23377</v>
      </c>
      <c r="BU116" s="417">
        <f t="shared" si="196"/>
        <v>18720</v>
      </c>
      <c r="BV116" s="418">
        <f t="shared" si="197"/>
        <v>7.0133999999999999</v>
      </c>
      <c r="BW116" s="418">
        <f t="shared" si="198"/>
        <v>0</v>
      </c>
      <c r="BX116" s="420">
        <f t="shared" si="198"/>
        <v>7.0133999999999999</v>
      </c>
      <c r="BY116" s="986"/>
      <c r="BZ116" s="729"/>
      <c r="CA116" s="729"/>
      <c r="CB116" s="729"/>
      <c r="CC116" s="729"/>
      <c r="CD116" s="828"/>
      <c r="CE116" s="986"/>
      <c r="CF116" s="729"/>
      <c r="CG116" s="729"/>
      <c r="CH116" s="729"/>
      <c r="CI116" s="729"/>
      <c r="CJ116" s="828"/>
      <c r="CK116" s="315"/>
    </row>
    <row r="117" spans="1:89" ht="12.95" customHeight="1">
      <c r="A117" s="280">
        <v>19</v>
      </c>
      <c r="B117" s="321">
        <v>5453</v>
      </c>
      <c r="C117" s="322">
        <v>600099211</v>
      </c>
      <c r="D117" s="281">
        <v>854760</v>
      </c>
      <c r="E117" s="348" t="s">
        <v>442</v>
      </c>
      <c r="F117" s="321">
        <v>3143</v>
      </c>
      <c r="G117" s="284" t="s">
        <v>595</v>
      </c>
      <c r="H117" s="640" t="s">
        <v>271</v>
      </c>
      <c r="I117" s="419">
        <v>1792828</v>
      </c>
      <c r="J117" s="414">
        <v>1329991</v>
      </c>
      <c r="K117" s="414">
        <v>1329991</v>
      </c>
      <c r="L117" s="414">
        <v>0</v>
      </c>
      <c r="M117" s="414">
        <v>0</v>
      </c>
      <c r="N117" s="414">
        <v>0</v>
      </c>
      <c r="O117" s="414">
        <v>0</v>
      </c>
      <c r="P117" s="68">
        <v>449537</v>
      </c>
      <c r="Q117" s="68">
        <v>13300</v>
      </c>
      <c r="R117" s="414">
        <v>0</v>
      </c>
      <c r="S117" s="415">
        <v>2.7160000000000002</v>
      </c>
      <c r="T117" s="416">
        <v>2.7160000000000002</v>
      </c>
      <c r="U117" s="422">
        <v>0</v>
      </c>
      <c r="V117" s="423">
        <f t="shared" si="119"/>
        <v>0</v>
      </c>
      <c r="W117" s="417">
        <f t="shared" si="119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120"/>
        <v>0</v>
      </c>
      <c r="AF117" s="417">
        <f t="shared" si="121"/>
        <v>0</v>
      </c>
      <c r="AG117" s="417">
        <f t="shared" si="122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23"/>
        <v>0</v>
      </c>
      <c r="AN117" s="417">
        <f t="shared" si="124"/>
        <v>0</v>
      </c>
      <c r="AO117" s="417">
        <f t="shared" si="125"/>
        <v>0</v>
      </c>
      <c r="AP117" s="417">
        <f t="shared" si="126"/>
        <v>0</v>
      </c>
      <c r="AQ117" s="417">
        <f t="shared" si="126"/>
        <v>0</v>
      </c>
      <c r="AR117" s="417">
        <f t="shared" si="127"/>
        <v>0</v>
      </c>
      <c r="AS117" s="68">
        <f t="shared" si="128"/>
        <v>0</v>
      </c>
      <c r="AT117" s="68">
        <f t="shared" si="129"/>
        <v>0</v>
      </c>
      <c r="AU117" s="417">
        <v>0</v>
      </c>
      <c r="AV117" s="417">
        <v>0</v>
      </c>
      <c r="AW117" s="417">
        <v>0</v>
      </c>
      <c r="AX117" s="417">
        <f t="shared" si="130"/>
        <v>0</v>
      </c>
      <c r="AY117" s="417">
        <f t="shared" si="131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32"/>
        <v>0</v>
      </c>
      <c r="BJ117" s="418">
        <f t="shared" si="133"/>
        <v>0</v>
      </c>
      <c r="BK117" s="420">
        <f t="shared" si="134"/>
        <v>0</v>
      </c>
      <c r="BL117" s="772">
        <f t="shared" si="190"/>
        <v>1792828</v>
      </c>
      <c r="BM117" s="772">
        <f t="shared" si="191"/>
        <v>1329991</v>
      </c>
      <c r="BN117" s="417">
        <f t="shared" si="192"/>
        <v>1329991</v>
      </c>
      <c r="BO117" s="417">
        <f t="shared" si="192"/>
        <v>0</v>
      </c>
      <c r="BP117" s="417">
        <f t="shared" si="193"/>
        <v>0</v>
      </c>
      <c r="BQ117" s="417">
        <f t="shared" si="194"/>
        <v>0</v>
      </c>
      <c r="BR117" s="417">
        <f t="shared" si="194"/>
        <v>0</v>
      </c>
      <c r="BS117" s="417">
        <f t="shared" si="195"/>
        <v>449537</v>
      </c>
      <c r="BT117" s="417">
        <f t="shared" si="195"/>
        <v>13300</v>
      </c>
      <c r="BU117" s="417">
        <f t="shared" si="196"/>
        <v>0</v>
      </c>
      <c r="BV117" s="418">
        <f t="shared" si="197"/>
        <v>2.7160000000000002</v>
      </c>
      <c r="BW117" s="418">
        <f t="shared" si="198"/>
        <v>2.7160000000000002</v>
      </c>
      <c r="BX117" s="420">
        <f t="shared" si="198"/>
        <v>0</v>
      </c>
      <c r="BY117" s="986"/>
      <c r="BZ117" s="729"/>
      <c r="CA117" s="729"/>
      <c r="CB117" s="729"/>
      <c r="CC117" s="729"/>
      <c r="CD117" s="828"/>
      <c r="CE117" s="986"/>
      <c r="CF117" s="729"/>
      <c r="CG117" s="729"/>
      <c r="CH117" s="729"/>
      <c r="CI117" s="729"/>
      <c r="CJ117" s="828"/>
      <c r="CK117" s="315"/>
    </row>
    <row r="118" spans="1:89" ht="12.95" customHeight="1">
      <c r="A118" s="280">
        <v>19</v>
      </c>
      <c r="B118" s="321">
        <v>5453</v>
      </c>
      <c r="C118" s="322">
        <v>600099211</v>
      </c>
      <c r="D118" s="281">
        <v>854760</v>
      </c>
      <c r="E118" s="348" t="s">
        <v>442</v>
      </c>
      <c r="F118" s="321">
        <v>3143</v>
      </c>
      <c r="G118" s="284" t="s">
        <v>596</v>
      </c>
      <c r="H118" s="640" t="s">
        <v>272</v>
      </c>
      <c r="I118" s="419">
        <v>73767</v>
      </c>
      <c r="J118" s="414">
        <v>52800</v>
      </c>
      <c r="K118" s="414">
        <v>0</v>
      </c>
      <c r="L118" s="414">
        <v>52800</v>
      </c>
      <c r="M118" s="414">
        <v>0</v>
      </c>
      <c r="N118" s="414">
        <v>0</v>
      </c>
      <c r="O118" s="414">
        <v>0</v>
      </c>
      <c r="P118" s="68">
        <v>17847</v>
      </c>
      <c r="Q118" s="68">
        <v>528</v>
      </c>
      <c r="R118" s="414">
        <v>2592</v>
      </c>
      <c r="S118" s="415">
        <v>0.20330000000000001</v>
      </c>
      <c r="T118" s="416">
        <v>0</v>
      </c>
      <c r="U118" s="422">
        <v>0.20330000000000001</v>
      </c>
      <c r="V118" s="423">
        <f t="shared" si="119"/>
        <v>0</v>
      </c>
      <c r="W118" s="417">
        <f t="shared" si="119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20"/>
        <v>0</v>
      </c>
      <c r="AF118" s="417">
        <f t="shared" si="121"/>
        <v>0</v>
      </c>
      <c r="AG118" s="417">
        <f t="shared" si="122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23"/>
        <v>0</v>
      </c>
      <c r="AN118" s="417">
        <f t="shared" si="124"/>
        <v>0</v>
      </c>
      <c r="AO118" s="417">
        <f t="shared" si="125"/>
        <v>0</v>
      </c>
      <c r="AP118" s="417">
        <f t="shared" si="126"/>
        <v>0</v>
      </c>
      <c r="AQ118" s="417">
        <f t="shared" si="126"/>
        <v>0</v>
      </c>
      <c r="AR118" s="417">
        <f t="shared" si="127"/>
        <v>0</v>
      </c>
      <c r="AS118" s="68">
        <f t="shared" si="128"/>
        <v>0</v>
      </c>
      <c r="AT118" s="68">
        <f t="shared" si="129"/>
        <v>0</v>
      </c>
      <c r="AU118" s="417">
        <v>0</v>
      </c>
      <c r="AV118" s="417">
        <v>0</v>
      </c>
      <c r="AW118" s="417">
        <v>0</v>
      </c>
      <c r="AX118" s="417">
        <f t="shared" si="130"/>
        <v>0</v>
      </c>
      <c r="AY118" s="417">
        <f t="shared" si="131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32"/>
        <v>0</v>
      </c>
      <c r="BJ118" s="418">
        <f t="shared" si="133"/>
        <v>0</v>
      </c>
      <c r="BK118" s="420">
        <f t="shared" si="134"/>
        <v>0</v>
      </c>
      <c r="BL118" s="772">
        <f t="shared" si="190"/>
        <v>73767</v>
      </c>
      <c r="BM118" s="772">
        <f t="shared" si="191"/>
        <v>52800</v>
      </c>
      <c r="BN118" s="417">
        <f t="shared" si="192"/>
        <v>0</v>
      </c>
      <c r="BO118" s="417">
        <f t="shared" si="192"/>
        <v>52800</v>
      </c>
      <c r="BP118" s="417">
        <f t="shared" si="193"/>
        <v>0</v>
      </c>
      <c r="BQ118" s="417">
        <f t="shared" si="194"/>
        <v>0</v>
      </c>
      <c r="BR118" s="417">
        <f t="shared" si="194"/>
        <v>0</v>
      </c>
      <c r="BS118" s="417">
        <f t="shared" si="195"/>
        <v>17847</v>
      </c>
      <c r="BT118" s="417">
        <f t="shared" si="195"/>
        <v>528</v>
      </c>
      <c r="BU118" s="417">
        <f t="shared" si="196"/>
        <v>2592</v>
      </c>
      <c r="BV118" s="418">
        <f t="shared" si="197"/>
        <v>0.20330000000000001</v>
      </c>
      <c r="BW118" s="418">
        <f t="shared" si="198"/>
        <v>0</v>
      </c>
      <c r="BX118" s="420">
        <f t="shared" si="198"/>
        <v>0.20330000000000001</v>
      </c>
      <c r="BY118" s="986"/>
      <c r="BZ118" s="729"/>
      <c r="CA118" s="729"/>
      <c r="CB118" s="729"/>
      <c r="CC118" s="729"/>
      <c r="CD118" s="828"/>
      <c r="CE118" s="986"/>
      <c r="CF118" s="729"/>
      <c r="CG118" s="729"/>
      <c r="CH118" s="729"/>
      <c r="CI118" s="729"/>
      <c r="CJ118" s="828"/>
      <c r="CK118" s="315"/>
    </row>
    <row r="119" spans="1:89" ht="12.95" customHeight="1">
      <c r="A119" s="280">
        <v>19</v>
      </c>
      <c r="B119" s="321">
        <v>5453</v>
      </c>
      <c r="C119" s="322">
        <v>600099211</v>
      </c>
      <c r="D119" s="281">
        <v>854760</v>
      </c>
      <c r="E119" s="348" t="s">
        <v>442</v>
      </c>
      <c r="F119" s="321">
        <v>3143</v>
      </c>
      <c r="G119" s="345" t="s">
        <v>443</v>
      </c>
      <c r="H119" s="640" t="s">
        <v>272</v>
      </c>
      <c r="I119" s="419">
        <v>336331</v>
      </c>
      <c r="J119" s="414">
        <v>249170</v>
      </c>
      <c r="K119" s="414">
        <v>235420</v>
      </c>
      <c r="L119" s="414">
        <v>13750</v>
      </c>
      <c r="M119" s="414">
        <v>0</v>
      </c>
      <c r="N119" s="414">
        <v>0</v>
      </c>
      <c r="O119" s="414">
        <v>0</v>
      </c>
      <c r="P119" s="68">
        <v>84219</v>
      </c>
      <c r="Q119" s="68">
        <v>2492</v>
      </c>
      <c r="R119" s="414">
        <v>450</v>
      </c>
      <c r="S119" s="415">
        <v>0.52</v>
      </c>
      <c r="T119" s="416">
        <v>0.47</v>
      </c>
      <c r="U119" s="422">
        <v>0.05</v>
      </c>
      <c r="V119" s="423">
        <f t="shared" si="119"/>
        <v>0</v>
      </c>
      <c r="W119" s="417">
        <f t="shared" si="119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20"/>
        <v>0</v>
      </c>
      <c r="AF119" s="417">
        <f t="shared" si="121"/>
        <v>0</v>
      </c>
      <c r="AG119" s="417">
        <f t="shared" si="122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23"/>
        <v>0</v>
      </c>
      <c r="AN119" s="417">
        <f t="shared" si="124"/>
        <v>0</v>
      </c>
      <c r="AO119" s="417">
        <f t="shared" si="125"/>
        <v>0</v>
      </c>
      <c r="AP119" s="417">
        <f t="shared" si="126"/>
        <v>0</v>
      </c>
      <c r="AQ119" s="417">
        <f t="shared" si="126"/>
        <v>0</v>
      </c>
      <c r="AR119" s="417">
        <f t="shared" si="127"/>
        <v>0</v>
      </c>
      <c r="AS119" s="68">
        <f t="shared" si="128"/>
        <v>0</v>
      </c>
      <c r="AT119" s="68">
        <f t="shared" si="129"/>
        <v>0</v>
      </c>
      <c r="AU119" s="417">
        <v>0</v>
      </c>
      <c r="AV119" s="417">
        <v>0</v>
      </c>
      <c r="AW119" s="417">
        <v>0</v>
      </c>
      <c r="AX119" s="417">
        <f t="shared" si="130"/>
        <v>0</v>
      </c>
      <c r="AY119" s="417">
        <f t="shared" si="131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32"/>
        <v>0</v>
      </c>
      <c r="BJ119" s="418">
        <f t="shared" si="133"/>
        <v>0</v>
      </c>
      <c r="BK119" s="420">
        <f t="shared" si="134"/>
        <v>0</v>
      </c>
      <c r="BL119" s="772">
        <f t="shared" si="190"/>
        <v>336331</v>
      </c>
      <c r="BM119" s="772">
        <f t="shared" si="191"/>
        <v>249170</v>
      </c>
      <c r="BN119" s="417">
        <f t="shared" si="192"/>
        <v>235420</v>
      </c>
      <c r="BO119" s="417">
        <f t="shared" si="192"/>
        <v>13750</v>
      </c>
      <c r="BP119" s="417">
        <f t="shared" si="193"/>
        <v>0</v>
      </c>
      <c r="BQ119" s="417">
        <f t="shared" si="194"/>
        <v>0</v>
      </c>
      <c r="BR119" s="417">
        <f t="shared" si="194"/>
        <v>0</v>
      </c>
      <c r="BS119" s="417">
        <f t="shared" si="195"/>
        <v>84219</v>
      </c>
      <c r="BT119" s="417">
        <f t="shared" si="195"/>
        <v>2492</v>
      </c>
      <c r="BU119" s="417">
        <f t="shared" si="196"/>
        <v>450</v>
      </c>
      <c r="BV119" s="418">
        <f t="shared" si="197"/>
        <v>0.52</v>
      </c>
      <c r="BW119" s="418">
        <f t="shared" si="198"/>
        <v>0.47</v>
      </c>
      <c r="BX119" s="420">
        <f t="shared" si="198"/>
        <v>0.05</v>
      </c>
      <c r="BY119" s="986"/>
      <c r="BZ119" s="729"/>
      <c r="CA119" s="729"/>
      <c r="CB119" s="729"/>
      <c r="CC119" s="729"/>
      <c r="CD119" s="828"/>
      <c r="CE119" s="986"/>
      <c r="CF119" s="729"/>
      <c r="CG119" s="729"/>
      <c r="CH119" s="729"/>
      <c r="CI119" s="729"/>
      <c r="CJ119" s="828"/>
      <c r="CK119" s="315"/>
    </row>
    <row r="120" spans="1:89" ht="12.95" customHeight="1">
      <c r="A120" s="641">
        <v>19</v>
      </c>
      <c r="B120" s="325">
        <v>5453</v>
      </c>
      <c r="C120" s="326">
        <v>600099211</v>
      </c>
      <c r="D120" s="325">
        <v>854760</v>
      </c>
      <c r="E120" s="349" t="s">
        <v>444</v>
      </c>
      <c r="F120" s="325"/>
      <c r="G120" s="350"/>
      <c r="H120" s="643"/>
      <c r="I120" s="464">
        <v>36286503</v>
      </c>
      <c r="J120" s="460">
        <v>26622831</v>
      </c>
      <c r="K120" s="460">
        <v>21843164</v>
      </c>
      <c r="L120" s="460">
        <v>4779667</v>
      </c>
      <c r="M120" s="460">
        <v>0</v>
      </c>
      <c r="N120" s="460">
        <v>0</v>
      </c>
      <c r="O120" s="460">
        <v>0</v>
      </c>
      <c r="P120" s="460">
        <v>8998516</v>
      </c>
      <c r="Q120" s="460">
        <v>266229</v>
      </c>
      <c r="R120" s="460">
        <v>398927</v>
      </c>
      <c r="S120" s="461">
        <v>50.037700000000008</v>
      </c>
      <c r="T120" s="461">
        <v>35.376899999999999</v>
      </c>
      <c r="U120" s="534">
        <v>14.6608</v>
      </c>
      <c r="V120" s="471">
        <f t="shared" ref="V120:BK120" si="199">SUM(V113:V119)</f>
        <v>-25000</v>
      </c>
      <c r="W120" s="467">
        <f t="shared" si="199"/>
        <v>0</v>
      </c>
      <c r="X120" s="467">
        <f t="shared" si="199"/>
        <v>0</v>
      </c>
      <c r="Y120" s="467">
        <f t="shared" si="199"/>
        <v>0</v>
      </c>
      <c r="Z120" s="467">
        <f t="shared" si="199"/>
        <v>0</v>
      </c>
      <c r="AA120" s="467">
        <f t="shared" si="199"/>
        <v>-30971</v>
      </c>
      <c r="AB120" s="467">
        <f t="shared" si="199"/>
        <v>0</v>
      </c>
      <c r="AC120" s="467">
        <f t="shared" si="199"/>
        <v>0</v>
      </c>
      <c r="AD120" s="467">
        <f t="shared" si="199"/>
        <v>0</v>
      </c>
      <c r="AE120" s="467">
        <f t="shared" si="199"/>
        <v>-25000</v>
      </c>
      <c r="AF120" s="467">
        <f t="shared" si="199"/>
        <v>-30971</v>
      </c>
      <c r="AG120" s="467">
        <f t="shared" si="199"/>
        <v>-55971</v>
      </c>
      <c r="AH120" s="467">
        <f t="shared" si="199"/>
        <v>25000</v>
      </c>
      <c r="AI120" s="467">
        <f t="shared" si="199"/>
        <v>0</v>
      </c>
      <c r="AJ120" s="467">
        <f t="shared" si="199"/>
        <v>0</v>
      </c>
      <c r="AK120" s="467">
        <f t="shared" si="199"/>
        <v>0</v>
      </c>
      <c r="AL120" s="467">
        <f t="shared" si="199"/>
        <v>0</v>
      </c>
      <c r="AM120" s="467">
        <f t="shared" si="199"/>
        <v>25000</v>
      </c>
      <c r="AN120" s="467">
        <f t="shared" si="199"/>
        <v>0</v>
      </c>
      <c r="AO120" s="467">
        <f t="shared" si="199"/>
        <v>25000</v>
      </c>
      <c r="AP120" s="467">
        <f t="shared" si="199"/>
        <v>0</v>
      </c>
      <c r="AQ120" s="467">
        <f t="shared" si="199"/>
        <v>-30971</v>
      </c>
      <c r="AR120" s="467">
        <f t="shared" si="199"/>
        <v>-30971</v>
      </c>
      <c r="AS120" s="467">
        <f t="shared" si="199"/>
        <v>-10468</v>
      </c>
      <c r="AT120" s="467">
        <f t="shared" si="199"/>
        <v>-560</v>
      </c>
      <c r="AU120" s="467">
        <f t="shared" si="199"/>
        <v>3150</v>
      </c>
      <c r="AV120" s="467">
        <f t="shared" si="199"/>
        <v>0</v>
      </c>
      <c r="AW120" s="467">
        <f t="shared" si="199"/>
        <v>0</v>
      </c>
      <c r="AX120" s="467">
        <f t="shared" si="199"/>
        <v>3150</v>
      </c>
      <c r="AY120" s="467">
        <f t="shared" si="199"/>
        <v>-38849</v>
      </c>
      <c r="AZ120" s="468">
        <f t="shared" si="199"/>
        <v>-0.04</v>
      </c>
      <c r="BA120" s="468">
        <f t="shared" si="199"/>
        <v>0</v>
      </c>
      <c r="BB120" s="468">
        <f t="shared" si="199"/>
        <v>0</v>
      </c>
      <c r="BC120" s="468">
        <f t="shared" si="199"/>
        <v>0</v>
      </c>
      <c r="BD120" s="468">
        <f t="shared" si="199"/>
        <v>-0.09</v>
      </c>
      <c r="BE120" s="468">
        <f t="shared" si="199"/>
        <v>0</v>
      </c>
      <c r="BF120" s="468">
        <f t="shared" si="199"/>
        <v>0</v>
      </c>
      <c r="BG120" s="468">
        <f t="shared" si="199"/>
        <v>0</v>
      </c>
      <c r="BH120" s="468">
        <f t="shared" si="199"/>
        <v>0</v>
      </c>
      <c r="BI120" s="468">
        <f t="shared" si="199"/>
        <v>-0.04</v>
      </c>
      <c r="BJ120" s="468">
        <f t="shared" si="199"/>
        <v>-0.09</v>
      </c>
      <c r="BK120" s="328">
        <f t="shared" si="199"/>
        <v>-0.13</v>
      </c>
      <c r="BL120" s="774">
        <f t="shared" ref="BL120:CG120" si="200">SUM(BL113:BL119)</f>
        <v>36247654</v>
      </c>
      <c r="BM120" s="774">
        <f t="shared" si="200"/>
        <v>26566860</v>
      </c>
      <c r="BN120" s="467">
        <f t="shared" si="200"/>
        <v>21818164</v>
      </c>
      <c r="BO120" s="467">
        <f t="shared" si="200"/>
        <v>4748696</v>
      </c>
      <c r="BP120" s="467">
        <f t="shared" si="200"/>
        <v>25000</v>
      </c>
      <c r="BQ120" s="467">
        <f t="shared" si="200"/>
        <v>25000</v>
      </c>
      <c r="BR120" s="467">
        <f t="shared" si="200"/>
        <v>0</v>
      </c>
      <c r="BS120" s="467">
        <f t="shared" si="200"/>
        <v>8988048</v>
      </c>
      <c r="BT120" s="467">
        <f t="shared" si="200"/>
        <v>265669</v>
      </c>
      <c r="BU120" s="467">
        <f t="shared" si="200"/>
        <v>402077</v>
      </c>
      <c r="BV120" s="468">
        <f t="shared" si="200"/>
        <v>49.907700000000006</v>
      </c>
      <c r="BW120" s="468">
        <f t="shared" si="200"/>
        <v>35.3369</v>
      </c>
      <c r="BX120" s="328">
        <f t="shared" si="200"/>
        <v>14.5708</v>
      </c>
      <c r="BY120" s="979">
        <f t="shared" si="200"/>
        <v>304109</v>
      </c>
      <c r="BZ120" s="721">
        <f t="shared" si="200"/>
        <v>225600</v>
      </c>
      <c r="CA120" s="721">
        <f t="shared" si="200"/>
        <v>0</v>
      </c>
      <c r="CB120" s="721">
        <f t="shared" si="200"/>
        <v>76253</v>
      </c>
      <c r="CC120" s="721">
        <f t="shared" si="200"/>
        <v>2256</v>
      </c>
      <c r="CD120" s="826">
        <f t="shared" si="200"/>
        <v>0.4</v>
      </c>
      <c r="CE120" s="995">
        <f t="shared" si="200"/>
        <v>1109363</v>
      </c>
      <c r="CF120" s="995">
        <f t="shared" si="200"/>
        <v>752424</v>
      </c>
      <c r="CG120" s="995">
        <f t="shared" si="200"/>
        <v>254319</v>
      </c>
      <c r="CH120" s="995">
        <f t="shared" ref="CH120:CJ120" si="201">SUM(CH113:CH119)</f>
        <v>7524</v>
      </c>
      <c r="CI120" s="995">
        <f t="shared" si="201"/>
        <v>95096</v>
      </c>
      <c r="CJ120" s="933">
        <f t="shared" si="201"/>
        <v>2.3443000000000001</v>
      </c>
      <c r="CK120" s="315"/>
    </row>
    <row r="121" spans="1:89" ht="12.95" customHeight="1">
      <c r="A121" s="280">
        <v>20</v>
      </c>
      <c r="B121" s="281">
        <v>5429</v>
      </c>
      <c r="C121" s="330">
        <v>600098656</v>
      </c>
      <c r="D121" s="281">
        <v>70698309</v>
      </c>
      <c r="E121" s="283" t="s">
        <v>445</v>
      </c>
      <c r="F121" s="281">
        <v>3111</v>
      </c>
      <c r="G121" s="345" t="s">
        <v>304</v>
      </c>
      <c r="H121" s="640" t="s">
        <v>271</v>
      </c>
      <c r="I121" s="419">
        <v>3342318</v>
      </c>
      <c r="J121" s="414">
        <v>2459746</v>
      </c>
      <c r="K121" s="414">
        <v>2136763</v>
      </c>
      <c r="L121" s="414">
        <v>322983</v>
      </c>
      <c r="M121" s="414">
        <v>10000</v>
      </c>
      <c r="N121" s="414">
        <v>6400</v>
      </c>
      <c r="O121" s="414">
        <v>3600</v>
      </c>
      <c r="P121" s="68">
        <v>834774</v>
      </c>
      <c r="Q121" s="68">
        <v>24598</v>
      </c>
      <c r="R121" s="414">
        <v>13200</v>
      </c>
      <c r="S121" s="415">
        <v>5.0795000000000003</v>
      </c>
      <c r="T121" s="416">
        <v>4</v>
      </c>
      <c r="U121" s="422">
        <v>1.0794999999999999</v>
      </c>
      <c r="V121" s="423">
        <f t="shared" si="119"/>
        <v>0</v>
      </c>
      <c r="W121" s="417">
        <f t="shared" si="119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120"/>
        <v>0</v>
      </c>
      <c r="AF121" s="417">
        <f t="shared" si="121"/>
        <v>0</v>
      </c>
      <c r="AG121" s="417">
        <f t="shared" si="122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23"/>
        <v>0</v>
      </c>
      <c r="AN121" s="417">
        <f t="shared" si="124"/>
        <v>0</v>
      </c>
      <c r="AO121" s="417">
        <f t="shared" si="125"/>
        <v>0</v>
      </c>
      <c r="AP121" s="417">
        <f t="shared" si="126"/>
        <v>0</v>
      </c>
      <c r="AQ121" s="417">
        <f t="shared" si="126"/>
        <v>0</v>
      </c>
      <c r="AR121" s="417">
        <f t="shared" si="127"/>
        <v>0</v>
      </c>
      <c r="AS121" s="68">
        <f t="shared" si="128"/>
        <v>0</v>
      </c>
      <c r="AT121" s="68">
        <f t="shared" si="129"/>
        <v>0</v>
      </c>
      <c r="AU121" s="417">
        <v>0</v>
      </c>
      <c r="AV121" s="417">
        <v>0</v>
      </c>
      <c r="AW121" s="417">
        <v>0</v>
      </c>
      <c r="AX121" s="417">
        <f t="shared" si="130"/>
        <v>0</v>
      </c>
      <c r="AY121" s="417">
        <f t="shared" si="131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32"/>
        <v>0</v>
      </c>
      <c r="BJ121" s="418">
        <f t="shared" si="133"/>
        <v>0</v>
      </c>
      <c r="BK121" s="420">
        <f t="shared" si="134"/>
        <v>0</v>
      </c>
      <c r="BL121" s="772">
        <f>I121+AY121</f>
        <v>3342318</v>
      </c>
      <c r="BM121" s="772">
        <f>J121+AG121</f>
        <v>2459746</v>
      </c>
      <c r="BN121" s="417">
        <f t="shared" ref="BN121:BO123" si="202">K121+AE121</f>
        <v>2136763</v>
      </c>
      <c r="BO121" s="417">
        <f t="shared" si="202"/>
        <v>322983</v>
      </c>
      <c r="BP121" s="417">
        <f>M121+AO121</f>
        <v>10000</v>
      </c>
      <c r="BQ121" s="417">
        <f t="shared" ref="BQ121:BR123" si="203">N121+AM121</f>
        <v>6400</v>
      </c>
      <c r="BR121" s="417">
        <f t="shared" si="203"/>
        <v>3600</v>
      </c>
      <c r="BS121" s="417">
        <f t="shared" ref="BS121:BT123" si="204">P121+AS121</f>
        <v>834774</v>
      </c>
      <c r="BT121" s="417">
        <f t="shared" si="204"/>
        <v>24598</v>
      </c>
      <c r="BU121" s="417">
        <f>R121+AX121</f>
        <v>13200</v>
      </c>
      <c r="BV121" s="418">
        <f>S121+BK121</f>
        <v>5.0795000000000003</v>
      </c>
      <c r="BW121" s="418">
        <f t="shared" ref="BW121:BX123" si="205">T121+BI121</f>
        <v>4</v>
      </c>
      <c r="BX121" s="420">
        <f t="shared" si="205"/>
        <v>1.0794999999999999</v>
      </c>
      <c r="BY121" s="986"/>
      <c r="BZ121" s="729"/>
      <c r="CA121" s="729"/>
      <c r="CB121" s="729"/>
      <c r="CC121" s="729"/>
      <c r="CD121" s="828"/>
      <c r="CE121" s="986">
        <v>145647</v>
      </c>
      <c r="CF121" s="729">
        <v>104791</v>
      </c>
      <c r="CG121" s="729">
        <v>35419</v>
      </c>
      <c r="CH121" s="729">
        <v>1048</v>
      </c>
      <c r="CI121" s="729">
        <v>4389</v>
      </c>
      <c r="CJ121" s="828">
        <v>0.3528</v>
      </c>
      <c r="CK121" s="315"/>
    </row>
    <row r="122" spans="1:89" ht="12.95" customHeight="1">
      <c r="A122" s="280">
        <v>20</v>
      </c>
      <c r="B122" s="321">
        <v>5429</v>
      </c>
      <c r="C122" s="322">
        <v>600098656</v>
      </c>
      <c r="D122" s="281">
        <v>70698309</v>
      </c>
      <c r="E122" s="348" t="s">
        <v>445</v>
      </c>
      <c r="F122" s="281">
        <v>3111</v>
      </c>
      <c r="G122" s="284" t="s">
        <v>291</v>
      </c>
      <c r="H122" s="640" t="s">
        <v>272</v>
      </c>
      <c r="I122" s="419">
        <v>0</v>
      </c>
      <c r="J122" s="414">
        <v>0</v>
      </c>
      <c r="K122" s="414">
        <v>0</v>
      </c>
      <c r="L122" s="414">
        <v>0</v>
      </c>
      <c r="M122" s="414">
        <v>0</v>
      </c>
      <c r="N122" s="414">
        <v>0</v>
      </c>
      <c r="O122" s="414">
        <v>0</v>
      </c>
      <c r="P122" s="68">
        <v>0</v>
      </c>
      <c r="Q122" s="68">
        <v>0</v>
      </c>
      <c r="R122" s="414">
        <v>0</v>
      </c>
      <c r="S122" s="415">
        <v>0</v>
      </c>
      <c r="T122" s="416">
        <v>0</v>
      </c>
      <c r="U122" s="422">
        <v>0</v>
      </c>
      <c r="V122" s="423">
        <f t="shared" si="119"/>
        <v>0</v>
      </c>
      <c r="W122" s="417">
        <f t="shared" si="119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20"/>
        <v>0</v>
      </c>
      <c r="AF122" s="417">
        <f t="shared" si="121"/>
        <v>0</v>
      </c>
      <c r="AG122" s="417">
        <f t="shared" si="122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23"/>
        <v>0</v>
      </c>
      <c r="AN122" s="417">
        <f t="shared" si="124"/>
        <v>0</v>
      </c>
      <c r="AO122" s="417">
        <f t="shared" si="125"/>
        <v>0</v>
      </c>
      <c r="AP122" s="417">
        <f t="shared" si="126"/>
        <v>0</v>
      </c>
      <c r="AQ122" s="417">
        <f t="shared" si="126"/>
        <v>0</v>
      </c>
      <c r="AR122" s="417">
        <f t="shared" si="127"/>
        <v>0</v>
      </c>
      <c r="AS122" s="68">
        <f t="shared" si="128"/>
        <v>0</v>
      </c>
      <c r="AT122" s="68">
        <f t="shared" si="129"/>
        <v>0</v>
      </c>
      <c r="AU122" s="417">
        <v>0</v>
      </c>
      <c r="AV122" s="417">
        <v>0</v>
      </c>
      <c r="AW122" s="417">
        <v>0</v>
      </c>
      <c r="AX122" s="417">
        <f t="shared" si="130"/>
        <v>0</v>
      </c>
      <c r="AY122" s="417">
        <f t="shared" si="131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32"/>
        <v>0</v>
      </c>
      <c r="BJ122" s="418">
        <f t="shared" si="133"/>
        <v>0</v>
      </c>
      <c r="BK122" s="420">
        <f t="shared" si="134"/>
        <v>0</v>
      </c>
      <c r="BL122" s="772">
        <f>I122+AY122</f>
        <v>0</v>
      </c>
      <c r="BM122" s="772">
        <f>J122+AG122</f>
        <v>0</v>
      </c>
      <c r="BN122" s="417">
        <f t="shared" si="202"/>
        <v>0</v>
      </c>
      <c r="BO122" s="417">
        <f t="shared" si="202"/>
        <v>0</v>
      </c>
      <c r="BP122" s="417">
        <f>M122+AO122</f>
        <v>0</v>
      </c>
      <c r="BQ122" s="417">
        <f t="shared" si="203"/>
        <v>0</v>
      </c>
      <c r="BR122" s="417">
        <f t="shared" si="203"/>
        <v>0</v>
      </c>
      <c r="BS122" s="417">
        <f t="shared" si="204"/>
        <v>0</v>
      </c>
      <c r="BT122" s="417">
        <f t="shared" si="204"/>
        <v>0</v>
      </c>
      <c r="BU122" s="417">
        <f>R122+AX122</f>
        <v>0</v>
      </c>
      <c r="BV122" s="418">
        <f>S122+BK122</f>
        <v>0</v>
      </c>
      <c r="BW122" s="418">
        <f t="shared" si="205"/>
        <v>0</v>
      </c>
      <c r="BX122" s="420">
        <f t="shared" si="205"/>
        <v>0</v>
      </c>
      <c r="BY122" s="986"/>
      <c r="BZ122" s="729"/>
      <c r="CA122" s="729"/>
      <c r="CB122" s="729"/>
      <c r="CC122" s="729"/>
      <c r="CD122" s="828"/>
      <c r="CE122" s="986"/>
      <c r="CF122" s="729"/>
      <c r="CG122" s="729"/>
      <c r="CH122" s="729"/>
      <c r="CI122" s="729"/>
      <c r="CJ122" s="828"/>
      <c r="CK122" s="315"/>
    </row>
    <row r="123" spans="1:89" ht="12.95" customHeight="1">
      <c r="A123" s="280">
        <v>20</v>
      </c>
      <c r="B123" s="321">
        <v>5429</v>
      </c>
      <c r="C123" s="322">
        <v>600098656</v>
      </c>
      <c r="D123" s="281">
        <v>70698309</v>
      </c>
      <c r="E123" s="348" t="s">
        <v>445</v>
      </c>
      <c r="F123" s="321">
        <v>3141</v>
      </c>
      <c r="G123" s="345" t="s">
        <v>294</v>
      </c>
      <c r="H123" s="640" t="s">
        <v>272</v>
      </c>
      <c r="I123" s="419">
        <v>673029</v>
      </c>
      <c r="J123" s="414">
        <v>497217</v>
      </c>
      <c r="K123" s="414">
        <v>0</v>
      </c>
      <c r="L123" s="414">
        <v>497217</v>
      </c>
      <c r="M123" s="414">
        <v>0</v>
      </c>
      <c r="N123" s="414">
        <v>0</v>
      </c>
      <c r="O123" s="414">
        <v>0</v>
      </c>
      <c r="P123" s="68">
        <v>168059</v>
      </c>
      <c r="Q123" s="68">
        <v>4971</v>
      </c>
      <c r="R123" s="414">
        <v>2782</v>
      </c>
      <c r="S123" s="415">
        <v>1.4967000000000001</v>
      </c>
      <c r="T123" s="416">
        <v>0</v>
      </c>
      <c r="U123" s="422">
        <v>1.4967000000000001</v>
      </c>
      <c r="V123" s="423">
        <f t="shared" si="119"/>
        <v>0</v>
      </c>
      <c r="W123" s="417">
        <f t="shared" si="119"/>
        <v>0</v>
      </c>
      <c r="X123" s="417">
        <v>0</v>
      </c>
      <c r="Y123" s="417">
        <v>0</v>
      </c>
      <c r="Z123" s="417">
        <v>0</v>
      </c>
      <c r="AA123" s="417">
        <v>-21234</v>
      </c>
      <c r="AB123" s="417">
        <v>0</v>
      </c>
      <c r="AC123" s="417">
        <v>0</v>
      </c>
      <c r="AD123" s="417">
        <v>0</v>
      </c>
      <c r="AE123" s="417">
        <f t="shared" si="120"/>
        <v>0</v>
      </c>
      <c r="AF123" s="417">
        <f t="shared" si="121"/>
        <v>-21234</v>
      </c>
      <c r="AG123" s="417">
        <f t="shared" si="122"/>
        <v>-21234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23"/>
        <v>0</v>
      </c>
      <c r="AN123" s="417">
        <f t="shared" si="124"/>
        <v>0</v>
      </c>
      <c r="AO123" s="417">
        <f t="shared" si="125"/>
        <v>0</v>
      </c>
      <c r="AP123" s="417">
        <f t="shared" si="126"/>
        <v>0</v>
      </c>
      <c r="AQ123" s="417">
        <f t="shared" si="126"/>
        <v>-21234</v>
      </c>
      <c r="AR123" s="417">
        <f t="shared" si="127"/>
        <v>-21234</v>
      </c>
      <c r="AS123" s="68">
        <f t="shared" si="128"/>
        <v>-7177</v>
      </c>
      <c r="AT123" s="68">
        <f t="shared" si="129"/>
        <v>-212</v>
      </c>
      <c r="AU123" s="417">
        <v>0</v>
      </c>
      <c r="AV123" s="417">
        <v>0</v>
      </c>
      <c r="AW123" s="417">
        <v>0</v>
      </c>
      <c r="AX123" s="417">
        <f t="shared" si="130"/>
        <v>0</v>
      </c>
      <c r="AY123" s="417">
        <f t="shared" si="131"/>
        <v>-28623</v>
      </c>
      <c r="AZ123" s="418">
        <v>0</v>
      </c>
      <c r="BA123" s="418">
        <v>0</v>
      </c>
      <c r="BB123" s="418">
        <v>0</v>
      </c>
      <c r="BC123" s="418">
        <v>0</v>
      </c>
      <c r="BD123" s="418">
        <v>-0.06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32"/>
        <v>0</v>
      </c>
      <c r="BJ123" s="418">
        <f t="shared" si="133"/>
        <v>-0.06</v>
      </c>
      <c r="BK123" s="420">
        <f t="shared" si="134"/>
        <v>-0.06</v>
      </c>
      <c r="BL123" s="772">
        <f>I123+AY123</f>
        <v>644406</v>
      </c>
      <c r="BM123" s="772">
        <f>J123+AG123</f>
        <v>475983</v>
      </c>
      <c r="BN123" s="417">
        <f t="shared" si="202"/>
        <v>0</v>
      </c>
      <c r="BO123" s="417">
        <f t="shared" si="202"/>
        <v>475983</v>
      </c>
      <c r="BP123" s="417">
        <f>M123+AO123</f>
        <v>0</v>
      </c>
      <c r="BQ123" s="417">
        <f t="shared" si="203"/>
        <v>0</v>
      </c>
      <c r="BR123" s="417">
        <f t="shared" si="203"/>
        <v>0</v>
      </c>
      <c r="BS123" s="417">
        <f t="shared" si="204"/>
        <v>160882</v>
      </c>
      <c r="BT123" s="417">
        <f t="shared" si="204"/>
        <v>4759</v>
      </c>
      <c r="BU123" s="417">
        <f>R123+AX123</f>
        <v>2782</v>
      </c>
      <c r="BV123" s="418">
        <f>S123+BK123</f>
        <v>1.4367000000000001</v>
      </c>
      <c r="BW123" s="418">
        <f t="shared" si="205"/>
        <v>0</v>
      </c>
      <c r="BX123" s="420">
        <f t="shared" si="205"/>
        <v>1.4367000000000001</v>
      </c>
      <c r="BY123" s="986"/>
      <c r="BZ123" s="729"/>
      <c r="CA123" s="729"/>
      <c r="CB123" s="729"/>
      <c r="CC123" s="729"/>
      <c r="CD123" s="828"/>
      <c r="CE123" s="986"/>
      <c r="CF123" s="729"/>
      <c r="CG123" s="729"/>
      <c r="CH123" s="729"/>
      <c r="CI123" s="729"/>
      <c r="CJ123" s="828"/>
      <c r="CK123" s="315"/>
    </row>
    <row r="124" spans="1:89" ht="12.95" customHeight="1">
      <c r="A124" s="641">
        <v>20</v>
      </c>
      <c r="B124" s="325">
        <v>5429</v>
      </c>
      <c r="C124" s="326">
        <v>600098656</v>
      </c>
      <c r="D124" s="325">
        <v>70698309</v>
      </c>
      <c r="E124" s="349" t="s">
        <v>446</v>
      </c>
      <c r="F124" s="325"/>
      <c r="G124" s="350"/>
      <c r="H124" s="643"/>
      <c r="I124" s="464">
        <v>4015347</v>
      </c>
      <c r="J124" s="460">
        <v>2956963</v>
      </c>
      <c r="K124" s="460">
        <v>2136763</v>
      </c>
      <c r="L124" s="460">
        <v>820200</v>
      </c>
      <c r="M124" s="460">
        <v>10000</v>
      </c>
      <c r="N124" s="460">
        <v>6400</v>
      </c>
      <c r="O124" s="460">
        <v>3600</v>
      </c>
      <c r="P124" s="460">
        <v>1002833</v>
      </c>
      <c r="Q124" s="460">
        <v>29569</v>
      </c>
      <c r="R124" s="460">
        <v>15982</v>
      </c>
      <c r="S124" s="461">
        <v>6.5762</v>
      </c>
      <c r="T124" s="461">
        <v>4</v>
      </c>
      <c r="U124" s="534">
        <v>2.5762</v>
      </c>
      <c r="V124" s="471">
        <f t="shared" ref="V124:BK124" si="206">SUM(V121:V123)</f>
        <v>0</v>
      </c>
      <c r="W124" s="467">
        <f t="shared" si="206"/>
        <v>0</v>
      </c>
      <c r="X124" s="467">
        <f t="shared" si="206"/>
        <v>0</v>
      </c>
      <c r="Y124" s="467">
        <f t="shared" si="206"/>
        <v>0</v>
      </c>
      <c r="Z124" s="467">
        <f t="shared" si="206"/>
        <v>0</v>
      </c>
      <c r="AA124" s="467">
        <f t="shared" si="206"/>
        <v>-21234</v>
      </c>
      <c r="AB124" s="467">
        <f t="shared" si="206"/>
        <v>0</v>
      </c>
      <c r="AC124" s="467">
        <f t="shared" si="206"/>
        <v>0</v>
      </c>
      <c r="AD124" s="467">
        <f t="shared" si="206"/>
        <v>0</v>
      </c>
      <c r="AE124" s="467">
        <f t="shared" si="206"/>
        <v>0</v>
      </c>
      <c r="AF124" s="467">
        <f t="shared" si="206"/>
        <v>-21234</v>
      </c>
      <c r="AG124" s="467">
        <f t="shared" si="206"/>
        <v>-21234</v>
      </c>
      <c r="AH124" s="467">
        <f t="shared" si="206"/>
        <v>0</v>
      </c>
      <c r="AI124" s="467">
        <f t="shared" si="206"/>
        <v>0</v>
      </c>
      <c r="AJ124" s="467">
        <f t="shared" si="206"/>
        <v>0</v>
      </c>
      <c r="AK124" s="467">
        <f t="shared" si="206"/>
        <v>0</v>
      </c>
      <c r="AL124" s="467">
        <f t="shared" si="206"/>
        <v>0</v>
      </c>
      <c r="AM124" s="467">
        <f t="shared" si="206"/>
        <v>0</v>
      </c>
      <c r="AN124" s="467">
        <f t="shared" si="206"/>
        <v>0</v>
      </c>
      <c r="AO124" s="467">
        <f t="shared" si="206"/>
        <v>0</v>
      </c>
      <c r="AP124" s="467">
        <f t="shared" si="206"/>
        <v>0</v>
      </c>
      <c r="AQ124" s="467">
        <f t="shared" si="206"/>
        <v>-21234</v>
      </c>
      <c r="AR124" s="467">
        <f t="shared" si="206"/>
        <v>-21234</v>
      </c>
      <c r="AS124" s="467">
        <f t="shared" si="206"/>
        <v>-7177</v>
      </c>
      <c r="AT124" s="467">
        <f t="shared" si="206"/>
        <v>-212</v>
      </c>
      <c r="AU124" s="467">
        <f t="shared" si="206"/>
        <v>0</v>
      </c>
      <c r="AV124" s="467">
        <f t="shared" si="206"/>
        <v>0</v>
      </c>
      <c r="AW124" s="467">
        <f t="shared" si="206"/>
        <v>0</v>
      </c>
      <c r="AX124" s="467">
        <f t="shared" si="206"/>
        <v>0</v>
      </c>
      <c r="AY124" s="467">
        <f t="shared" si="206"/>
        <v>-28623</v>
      </c>
      <c r="AZ124" s="468">
        <f t="shared" si="206"/>
        <v>0</v>
      </c>
      <c r="BA124" s="468">
        <f t="shared" si="206"/>
        <v>0</v>
      </c>
      <c r="BB124" s="468">
        <f t="shared" si="206"/>
        <v>0</v>
      </c>
      <c r="BC124" s="468">
        <f t="shared" si="206"/>
        <v>0</v>
      </c>
      <c r="BD124" s="468">
        <f t="shared" si="206"/>
        <v>-0.06</v>
      </c>
      <c r="BE124" s="468">
        <f t="shared" si="206"/>
        <v>0</v>
      </c>
      <c r="BF124" s="468">
        <f t="shared" si="206"/>
        <v>0</v>
      </c>
      <c r="BG124" s="468">
        <f t="shared" si="206"/>
        <v>0</v>
      </c>
      <c r="BH124" s="468">
        <f t="shared" si="206"/>
        <v>0</v>
      </c>
      <c r="BI124" s="468">
        <f t="shared" si="206"/>
        <v>0</v>
      </c>
      <c r="BJ124" s="468">
        <f t="shared" si="206"/>
        <v>-0.06</v>
      </c>
      <c r="BK124" s="328">
        <f t="shared" si="206"/>
        <v>-0.06</v>
      </c>
      <c r="BL124" s="774">
        <f t="shared" ref="BL124:CG124" si="207">SUM(BL121:BL123)</f>
        <v>3986724</v>
      </c>
      <c r="BM124" s="774">
        <f t="shared" si="207"/>
        <v>2935729</v>
      </c>
      <c r="BN124" s="467">
        <f t="shared" si="207"/>
        <v>2136763</v>
      </c>
      <c r="BO124" s="467">
        <f t="shared" si="207"/>
        <v>798966</v>
      </c>
      <c r="BP124" s="467">
        <f t="shared" si="207"/>
        <v>10000</v>
      </c>
      <c r="BQ124" s="467">
        <f t="shared" si="207"/>
        <v>6400</v>
      </c>
      <c r="BR124" s="467">
        <f t="shared" si="207"/>
        <v>3600</v>
      </c>
      <c r="BS124" s="467">
        <f t="shared" si="207"/>
        <v>995656</v>
      </c>
      <c r="BT124" s="467">
        <f t="shared" si="207"/>
        <v>29357</v>
      </c>
      <c r="BU124" s="467">
        <f t="shared" si="207"/>
        <v>15982</v>
      </c>
      <c r="BV124" s="468">
        <f t="shared" si="207"/>
        <v>6.5162000000000004</v>
      </c>
      <c r="BW124" s="468">
        <f t="shared" si="207"/>
        <v>4</v>
      </c>
      <c r="BX124" s="328">
        <f t="shared" si="207"/>
        <v>2.5162</v>
      </c>
      <c r="BY124" s="979">
        <f t="shared" si="207"/>
        <v>0</v>
      </c>
      <c r="BZ124" s="721">
        <f t="shared" si="207"/>
        <v>0</v>
      </c>
      <c r="CA124" s="721">
        <f t="shared" si="207"/>
        <v>0</v>
      </c>
      <c r="CB124" s="721">
        <f t="shared" si="207"/>
        <v>0</v>
      </c>
      <c r="CC124" s="721">
        <f t="shared" si="207"/>
        <v>0</v>
      </c>
      <c r="CD124" s="826">
        <f t="shared" si="207"/>
        <v>0</v>
      </c>
      <c r="CE124" s="995">
        <f t="shared" si="207"/>
        <v>145647</v>
      </c>
      <c r="CF124" s="995">
        <f t="shared" si="207"/>
        <v>104791</v>
      </c>
      <c r="CG124" s="995">
        <f t="shared" si="207"/>
        <v>35419</v>
      </c>
      <c r="CH124" s="995">
        <f t="shared" ref="CH124:CJ124" si="208">SUM(CH121:CH123)</f>
        <v>1048</v>
      </c>
      <c r="CI124" s="995">
        <f t="shared" si="208"/>
        <v>4389</v>
      </c>
      <c r="CJ124" s="933">
        <f t="shared" si="208"/>
        <v>0.3528</v>
      </c>
      <c r="CK124" s="315"/>
    </row>
    <row r="125" spans="1:89" ht="12.95" customHeight="1">
      <c r="A125" s="280">
        <v>21</v>
      </c>
      <c r="B125" s="321">
        <v>5468</v>
      </c>
      <c r="C125" s="322">
        <v>600099083</v>
      </c>
      <c r="D125" s="281">
        <v>70698317</v>
      </c>
      <c r="E125" s="348" t="s">
        <v>447</v>
      </c>
      <c r="F125" s="321">
        <v>3117</v>
      </c>
      <c r="G125" s="345" t="s">
        <v>308</v>
      </c>
      <c r="H125" s="640" t="s">
        <v>271</v>
      </c>
      <c r="I125" s="419">
        <v>2118335</v>
      </c>
      <c r="J125" s="414">
        <v>1548486</v>
      </c>
      <c r="K125" s="414">
        <v>1226942</v>
      </c>
      <c r="L125" s="414">
        <v>321544</v>
      </c>
      <c r="M125" s="414">
        <v>0</v>
      </c>
      <c r="N125" s="414">
        <v>0</v>
      </c>
      <c r="O125" s="414">
        <v>0</v>
      </c>
      <c r="P125" s="68">
        <v>523389</v>
      </c>
      <c r="Q125" s="68">
        <v>15485</v>
      </c>
      <c r="R125" s="414">
        <v>30975</v>
      </c>
      <c r="S125" s="415">
        <v>2.7945000000000002</v>
      </c>
      <c r="T125" s="416">
        <v>1.9844999999999999</v>
      </c>
      <c r="U125" s="422">
        <v>0.81</v>
      </c>
      <c r="V125" s="423">
        <f t="shared" si="119"/>
        <v>0</v>
      </c>
      <c r="W125" s="417">
        <f t="shared" si="119"/>
        <v>0</v>
      </c>
      <c r="X125" s="417">
        <v>0</v>
      </c>
      <c r="Y125" s="417">
        <v>0</v>
      </c>
      <c r="Z125" s="417">
        <v>129009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20"/>
        <v>129009</v>
      </c>
      <c r="AF125" s="417">
        <f t="shared" si="121"/>
        <v>0</v>
      </c>
      <c r="AG125" s="417">
        <f t="shared" si="122"/>
        <v>129009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23"/>
        <v>0</v>
      </c>
      <c r="AN125" s="417">
        <f t="shared" si="124"/>
        <v>0</v>
      </c>
      <c r="AO125" s="417">
        <f t="shared" si="125"/>
        <v>0</v>
      </c>
      <c r="AP125" s="417">
        <f t="shared" si="126"/>
        <v>129009</v>
      </c>
      <c r="AQ125" s="417">
        <f t="shared" si="126"/>
        <v>0</v>
      </c>
      <c r="AR125" s="417">
        <f t="shared" si="127"/>
        <v>129009</v>
      </c>
      <c r="AS125" s="68">
        <f t="shared" si="128"/>
        <v>43605</v>
      </c>
      <c r="AT125" s="68">
        <f t="shared" si="129"/>
        <v>1290</v>
      </c>
      <c r="AU125" s="417">
        <v>0</v>
      </c>
      <c r="AV125" s="417">
        <v>0</v>
      </c>
      <c r="AW125" s="417">
        <v>0</v>
      </c>
      <c r="AX125" s="417">
        <f t="shared" si="130"/>
        <v>0</v>
      </c>
      <c r="AY125" s="417">
        <f t="shared" si="131"/>
        <v>173904</v>
      </c>
      <c r="AZ125" s="418">
        <v>0</v>
      </c>
      <c r="BA125" s="418">
        <v>0</v>
      </c>
      <c r="BB125" s="418">
        <v>0</v>
      </c>
      <c r="BC125" s="418">
        <v>0.25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32"/>
        <v>0.25</v>
      </c>
      <c r="BJ125" s="418">
        <f t="shared" si="133"/>
        <v>0</v>
      </c>
      <c r="BK125" s="420">
        <f t="shared" si="134"/>
        <v>0.25</v>
      </c>
      <c r="BL125" s="772">
        <f>I125+AY125</f>
        <v>2292239</v>
      </c>
      <c r="BM125" s="772">
        <f>J125+AG125</f>
        <v>1677495</v>
      </c>
      <c r="BN125" s="417">
        <f t="shared" ref="BN125:BO129" si="209">K125+AE125</f>
        <v>1355951</v>
      </c>
      <c r="BO125" s="417">
        <f t="shared" si="209"/>
        <v>321544</v>
      </c>
      <c r="BP125" s="417">
        <f>M125+AO125</f>
        <v>0</v>
      </c>
      <c r="BQ125" s="417">
        <f t="shared" ref="BQ125:BR129" si="210">N125+AM125</f>
        <v>0</v>
      </c>
      <c r="BR125" s="417">
        <f t="shared" si="210"/>
        <v>0</v>
      </c>
      <c r="BS125" s="417">
        <f t="shared" ref="BS125:BT129" si="211">P125+AS125</f>
        <v>566994</v>
      </c>
      <c r="BT125" s="417">
        <f t="shared" si="211"/>
        <v>16775</v>
      </c>
      <c r="BU125" s="417">
        <f>R125+AX125</f>
        <v>30975</v>
      </c>
      <c r="BV125" s="418">
        <f>S125+BK125</f>
        <v>3.0445000000000002</v>
      </c>
      <c r="BW125" s="418">
        <f t="shared" ref="BW125:BX129" si="212">T125+BI125</f>
        <v>2.2344999999999997</v>
      </c>
      <c r="BX125" s="420">
        <f t="shared" si="212"/>
        <v>0.81</v>
      </c>
      <c r="BY125" s="986"/>
      <c r="BZ125" s="729"/>
      <c r="CA125" s="729"/>
      <c r="CB125" s="729"/>
      <c r="CC125" s="729"/>
      <c r="CD125" s="828"/>
      <c r="CE125" s="986">
        <v>144545</v>
      </c>
      <c r="CF125" s="729">
        <v>103210</v>
      </c>
      <c r="CG125" s="729">
        <v>34885</v>
      </c>
      <c r="CH125" s="729">
        <v>1032</v>
      </c>
      <c r="CI125" s="729">
        <v>5418</v>
      </c>
      <c r="CJ125" s="828">
        <v>0.26</v>
      </c>
      <c r="CK125" s="315"/>
    </row>
    <row r="126" spans="1:89" ht="12.95" customHeight="1">
      <c r="A126" s="280">
        <v>21</v>
      </c>
      <c r="B126" s="321">
        <v>5468</v>
      </c>
      <c r="C126" s="322">
        <v>600099083</v>
      </c>
      <c r="D126" s="281">
        <v>70698317</v>
      </c>
      <c r="E126" s="348" t="s">
        <v>447</v>
      </c>
      <c r="F126" s="321">
        <v>3117</v>
      </c>
      <c r="G126" s="284" t="s">
        <v>291</v>
      </c>
      <c r="H126" s="640" t="s">
        <v>272</v>
      </c>
      <c r="I126" s="419">
        <v>113933</v>
      </c>
      <c r="J126" s="414">
        <v>84520</v>
      </c>
      <c r="K126" s="414">
        <v>84520</v>
      </c>
      <c r="L126" s="414">
        <v>0</v>
      </c>
      <c r="M126" s="414">
        <v>0</v>
      </c>
      <c r="N126" s="414">
        <v>0</v>
      </c>
      <c r="O126" s="414">
        <v>0</v>
      </c>
      <c r="P126" s="68">
        <v>28568</v>
      </c>
      <c r="Q126" s="68">
        <v>845</v>
      </c>
      <c r="R126" s="414">
        <v>0</v>
      </c>
      <c r="S126" s="415">
        <v>0.24999999999999997</v>
      </c>
      <c r="T126" s="416">
        <v>0.24999999999999997</v>
      </c>
      <c r="U126" s="422">
        <v>0</v>
      </c>
      <c r="V126" s="423">
        <f t="shared" si="119"/>
        <v>0</v>
      </c>
      <c r="W126" s="417">
        <f t="shared" si="119"/>
        <v>0</v>
      </c>
      <c r="X126" s="417">
        <v>0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 t="shared" si="120"/>
        <v>0</v>
      </c>
      <c r="AF126" s="417">
        <f t="shared" si="121"/>
        <v>0</v>
      </c>
      <c r="AG126" s="417">
        <f t="shared" si="122"/>
        <v>0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23"/>
        <v>0</v>
      </c>
      <c r="AN126" s="417">
        <f t="shared" si="124"/>
        <v>0</v>
      </c>
      <c r="AO126" s="417">
        <f t="shared" si="125"/>
        <v>0</v>
      </c>
      <c r="AP126" s="417">
        <f t="shared" si="126"/>
        <v>0</v>
      </c>
      <c r="AQ126" s="417">
        <f t="shared" si="126"/>
        <v>0</v>
      </c>
      <c r="AR126" s="417">
        <f t="shared" si="127"/>
        <v>0</v>
      </c>
      <c r="AS126" s="68">
        <f t="shared" si="128"/>
        <v>0</v>
      </c>
      <c r="AT126" s="68">
        <f t="shared" si="129"/>
        <v>0</v>
      </c>
      <c r="AU126" s="417">
        <v>1500</v>
      </c>
      <c r="AV126" s="417">
        <v>0</v>
      </c>
      <c r="AW126" s="417">
        <v>0</v>
      </c>
      <c r="AX126" s="417">
        <f t="shared" si="130"/>
        <v>1500</v>
      </c>
      <c r="AY126" s="417">
        <f t="shared" si="131"/>
        <v>1500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</v>
      </c>
      <c r="BE126" s="418">
        <v>0</v>
      </c>
      <c r="BF126" s="418">
        <v>0</v>
      </c>
      <c r="BG126" s="418">
        <v>0</v>
      </c>
      <c r="BH126" s="418">
        <v>0</v>
      </c>
      <c r="BI126" s="418">
        <f t="shared" si="132"/>
        <v>0</v>
      </c>
      <c r="BJ126" s="418">
        <f t="shared" si="133"/>
        <v>0</v>
      </c>
      <c r="BK126" s="420">
        <f t="shared" si="134"/>
        <v>0</v>
      </c>
      <c r="BL126" s="772">
        <f>I126+AY126</f>
        <v>115433</v>
      </c>
      <c r="BM126" s="772">
        <f>J126+AG126</f>
        <v>84520</v>
      </c>
      <c r="BN126" s="417">
        <f t="shared" si="209"/>
        <v>84520</v>
      </c>
      <c r="BO126" s="417">
        <f t="shared" si="209"/>
        <v>0</v>
      </c>
      <c r="BP126" s="417">
        <f>M126+AO126</f>
        <v>0</v>
      </c>
      <c r="BQ126" s="417">
        <f t="shared" si="210"/>
        <v>0</v>
      </c>
      <c r="BR126" s="417">
        <f t="shared" si="210"/>
        <v>0</v>
      </c>
      <c r="BS126" s="417">
        <f t="shared" si="211"/>
        <v>28568</v>
      </c>
      <c r="BT126" s="417">
        <f t="shared" si="211"/>
        <v>845</v>
      </c>
      <c r="BU126" s="417">
        <f>R126+AX126</f>
        <v>1500</v>
      </c>
      <c r="BV126" s="418">
        <f>S126+BK126</f>
        <v>0.24999999999999997</v>
      </c>
      <c r="BW126" s="418">
        <f t="shared" si="212"/>
        <v>0.24999999999999997</v>
      </c>
      <c r="BX126" s="420">
        <f t="shared" si="212"/>
        <v>0</v>
      </c>
      <c r="BY126" s="986"/>
      <c r="BZ126" s="729"/>
      <c r="CA126" s="729"/>
      <c r="CB126" s="729"/>
      <c r="CC126" s="729"/>
      <c r="CD126" s="828"/>
      <c r="CE126" s="986"/>
      <c r="CF126" s="729"/>
      <c r="CG126" s="729"/>
      <c r="CH126" s="729"/>
      <c r="CI126" s="729"/>
      <c r="CJ126" s="828"/>
      <c r="CK126" s="315"/>
    </row>
    <row r="127" spans="1:89" ht="12.95" customHeight="1">
      <c r="A127" s="280">
        <v>21</v>
      </c>
      <c r="B127" s="321">
        <v>5468</v>
      </c>
      <c r="C127" s="322">
        <v>600099083</v>
      </c>
      <c r="D127" s="281">
        <v>70698317</v>
      </c>
      <c r="E127" s="348" t="s">
        <v>447</v>
      </c>
      <c r="F127" s="321">
        <v>3141</v>
      </c>
      <c r="G127" s="345" t="s">
        <v>294</v>
      </c>
      <c r="H127" s="640" t="s">
        <v>272</v>
      </c>
      <c r="I127" s="419">
        <v>99707</v>
      </c>
      <c r="J127" s="414">
        <v>73382</v>
      </c>
      <c r="K127" s="414">
        <v>0</v>
      </c>
      <c r="L127" s="414">
        <v>73382</v>
      </c>
      <c r="M127" s="414">
        <v>0</v>
      </c>
      <c r="N127" s="414">
        <v>0</v>
      </c>
      <c r="O127" s="414">
        <v>0</v>
      </c>
      <c r="P127" s="68">
        <v>24803</v>
      </c>
      <c r="Q127" s="68">
        <v>734</v>
      </c>
      <c r="R127" s="414">
        <v>788</v>
      </c>
      <c r="S127" s="415">
        <v>0.22</v>
      </c>
      <c r="T127" s="416">
        <v>0</v>
      </c>
      <c r="U127" s="422">
        <v>0.22</v>
      </c>
      <c r="V127" s="423">
        <f>AH127*-1</f>
        <v>0</v>
      </c>
      <c r="W127" s="417">
        <f>AI127*-1</f>
        <v>0</v>
      </c>
      <c r="X127" s="417">
        <v>0</v>
      </c>
      <c r="Y127" s="417">
        <v>0</v>
      </c>
      <c r="Z127" s="417">
        <v>0</v>
      </c>
      <c r="AA127" s="417">
        <v>4842</v>
      </c>
      <c r="AB127" s="417">
        <v>0</v>
      </c>
      <c r="AC127" s="417">
        <v>0</v>
      </c>
      <c r="AD127" s="417">
        <v>0</v>
      </c>
      <c r="AE127" s="417">
        <f>V127+X127+Y127+Z127+AC127</f>
        <v>0</v>
      </c>
      <c r="AF127" s="417">
        <f>W127+AA127+AD127+AB127</f>
        <v>4842</v>
      </c>
      <c r="AG127" s="417">
        <f>SUM(AE127:AF127)</f>
        <v>4842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>AH127+AJ127+AK127</f>
        <v>0</v>
      </c>
      <c r="AN127" s="417">
        <f>AI127+AL127</f>
        <v>0</v>
      </c>
      <c r="AO127" s="417">
        <f>SUM(AM127:AN127)</f>
        <v>0</v>
      </c>
      <c r="AP127" s="417">
        <f>AE127+AM127</f>
        <v>0</v>
      </c>
      <c r="AQ127" s="417">
        <f>AF127+AN127</f>
        <v>4842</v>
      </c>
      <c r="AR127" s="417">
        <f>SUM(AP127:AQ127)</f>
        <v>4842</v>
      </c>
      <c r="AS127" s="68">
        <f>ROUND((AG127+AH127+AI127+AJ127)*33.8%,0)</f>
        <v>1637</v>
      </c>
      <c r="AT127" s="68">
        <f>ROUND(AG127*1%,0)</f>
        <v>48</v>
      </c>
      <c r="AU127" s="417">
        <v>0</v>
      </c>
      <c r="AV127" s="417">
        <v>0</v>
      </c>
      <c r="AW127" s="417">
        <v>0</v>
      </c>
      <c r="AX127" s="417">
        <f>SUM(AU127:AW127)</f>
        <v>0</v>
      </c>
      <c r="AY127" s="417">
        <f>AR127+AS127+AT127+AX127</f>
        <v>6527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0.01</v>
      </c>
      <c r="BE127" s="418">
        <v>0</v>
      </c>
      <c r="BF127" s="418">
        <v>0</v>
      </c>
      <c r="BG127" s="418">
        <v>0</v>
      </c>
      <c r="BH127" s="418">
        <v>0</v>
      </c>
      <c r="BI127" s="418">
        <f>AZ127+BB127+BC127+BE127+BG127</f>
        <v>0</v>
      </c>
      <c r="BJ127" s="418">
        <f>BA127+BD127+BH127+BF127</f>
        <v>0.01</v>
      </c>
      <c r="BK127" s="420">
        <f>SUM(BI127:BJ127)</f>
        <v>0.01</v>
      </c>
      <c r="BL127" s="772">
        <f>I127+AY127</f>
        <v>106234</v>
      </c>
      <c r="BM127" s="772">
        <f>J127+AG127</f>
        <v>78224</v>
      </c>
      <c r="BN127" s="417">
        <f>K127+AE127</f>
        <v>0</v>
      </c>
      <c r="BO127" s="417">
        <f>L127+AF127</f>
        <v>78224</v>
      </c>
      <c r="BP127" s="417">
        <f>M127+AO127</f>
        <v>0</v>
      </c>
      <c r="BQ127" s="417">
        <f>N127+AM127</f>
        <v>0</v>
      </c>
      <c r="BR127" s="417">
        <f>O127+AN127</f>
        <v>0</v>
      </c>
      <c r="BS127" s="417">
        <f>P127+AS127</f>
        <v>26440</v>
      </c>
      <c r="BT127" s="417">
        <f>Q127+AT127</f>
        <v>782</v>
      </c>
      <c r="BU127" s="417">
        <f>R127+AX127</f>
        <v>788</v>
      </c>
      <c r="BV127" s="418">
        <f>S127+BK127</f>
        <v>0.23</v>
      </c>
      <c r="BW127" s="418">
        <f>T127+BI127</f>
        <v>0</v>
      </c>
      <c r="BX127" s="420">
        <f>U127+BJ127</f>
        <v>0.23</v>
      </c>
      <c r="BY127" s="986"/>
      <c r="BZ127" s="729"/>
      <c r="CA127" s="729"/>
      <c r="CB127" s="729"/>
      <c r="CC127" s="729"/>
      <c r="CD127" s="828"/>
      <c r="CE127" s="986"/>
      <c r="CF127" s="729"/>
      <c r="CG127" s="729"/>
      <c r="CH127" s="729"/>
      <c r="CI127" s="729"/>
      <c r="CJ127" s="828"/>
      <c r="CK127" s="315"/>
    </row>
    <row r="128" spans="1:89" ht="12.95" customHeight="1">
      <c r="A128" s="280">
        <v>21</v>
      </c>
      <c r="B128" s="321">
        <v>5468</v>
      </c>
      <c r="C128" s="322">
        <v>600099083</v>
      </c>
      <c r="D128" s="281">
        <v>70698317</v>
      </c>
      <c r="E128" s="348" t="s">
        <v>447</v>
      </c>
      <c r="F128" s="321">
        <v>3143</v>
      </c>
      <c r="G128" s="284" t="s">
        <v>595</v>
      </c>
      <c r="H128" s="640" t="s">
        <v>271</v>
      </c>
      <c r="I128" s="419">
        <v>673319</v>
      </c>
      <c r="J128" s="414">
        <v>499495</v>
      </c>
      <c r="K128" s="414">
        <v>499495</v>
      </c>
      <c r="L128" s="414">
        <v>0</v>
      </c>
      <c r="M128" s="414">
        <v>0</v>
      </c>
      <c r="N128" s="414">
        <v>0</v>
      </c>
      <c r="O128" s="414">
        <v>0</v>
      </c>
      <c r="P128" s="68">
        <v>168829</v>
      </c>
      <c r="Q128" s="68">
        <v>4995</v>
      </c>
      <c r="R128" s="414">
        <v>0</v>
      </c>
      <c r="S128" s="415">
        <v>0.96430000000000005</v>
      </c>
      <c r="T128" s="416">
        <v>0.96430000000000005</v>
      </c>
      <c r="U128" s="422">
        <v>0</v>
      </c>
      <c r="V128" s="423">
        <f t="shared" si="119"/>
        <v>0</v>
      </c>
      <c r="W128" s="417">
        <f t="shared" si="119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20"/>
        <v>0</v>
      </c>
      <c r="AF128" s="417">
        <f t="shared" si="121"/>
        <v>0</v>
      </c>
      <c r="AG128" s="417">
        <f t="shared" si="122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23"/>
        <v>0</v>
      </c>
      <c r="AN128" s="417">
        <f t="shared" si="124"/>
        <v>0</v>
      </c>
      <c r="AO128" s="417">
        <f t="shared" si="125"/>
        <v>0</v>
      </c>
      <c r="AP128" s="417">
        <f t="shared" si="126"/>
        <v>0</v>
      </c>
      <c r="AQ128" s="417">
        <f t="shared" si="126"/>
        <v>0</v>
      </c>
      <c r="AR128" s="417">
        <f t="shared" si="127"/>
        <v>0</v>
      </c>
      <c r="AS128" s="68">
        <f t="shared" si="128"/>
        <v>0</v>
      </c>
      <c r="AT128" s="68">
        <f t="shared" si="129"/>
        <v>0</v>
      </c>
      <c r="AU128" s="417">
        <v>0</v>
      </c>
      <c r="AV128" s="417">
        <v>0</v>
      </c>
      <c r="AW128" s="417">
        <v>0</v>
      </c>
      <c r="AX128" s="417">
        <f t="shared" si="130"/>
        <v>0</v>
      </c>
      <c r="AY128" s="417">
        <f t="shared" si="131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32"/>
        <v>0</v>
      </c>
      <c r="BJ128" s="418">
        <f t="shared" si="133"/>
        <v>0</v>
      </c>
      <c r="BK128" s="420">
        <f t="shared" si="134"/>
        <v>0</v>
      </c>
      <c r="BL128" s="772">
        <f>I128+AY128</f>
        <v>673319</v>
      </c>
      <c r="BM128" s="772">
        <f>J128+AG128</f>
        <v>499495</v>
      </c>
      <c r="BN128" s="417">
        <f t="shared" si="209"/>
        <v>499495</v>
      </c>
      <c r="BO128" s="417">
        <f t="shared" si="209"/>
        <v>0</v>
      </c>
      <c r="BP128" s="417">
        <f>M128+AO128</f>
        <v>0</v>
      </c>
      <c r="BQ128" s="417">
        <f t="shared" si="210"/>
        <v>0</v>
      </c>
      <c r="BR128" s="417">
        <f t="shared" si="210"/>
        <v>0</v>
      </c>
      <c r="BS128" s="417">
        <f t="shared" si="211"/>
        <v>168829</v>
      </c>
      <c r="BT128" s="417">
        <f t="shared" si="211"/>
        <v>4995</v>
      </c>
      <c r="BU128" s="417">
        <f>R128+AX128</f>
        <v>0</v>
      </c>
      <c r="BV128" s="418">
        <f>S128+BK128</f>
        <v>0.96430000000000005</v>
      </c>
      <c r="BW128" s="418">
        <f t="shared" si="212"/>
        <v>0.96430000000000005</v>
      </c>
      <c r="BX128" s="420">
        <f t="shared" si="212"/>
        <v>0</v>
      </c>
      <c r="BY128" s="986"/>
      <c r="BZ128" s="729"/>
      <c r="CA128" s="729"/>
      <c r="CB128" s="729"/>
      <c r="CC128" s="729"/>
      <c r="CD128" s="828"/>
      <c r="CE128" s="986"/>
      <c r="CF128" s="729"/>
      <c r="CG128" s="729"/>
      <c r="CH128" s="729"/>
      <c r="CI128" s="729"/>
      <c r="CJ128" s="828"/>
      <c r="CK128" s="315"/>
    </row>
    <row r="129" spans="1:89" ht="12.95" customHeight="1">
      <c r="A129" s="280">
        <v>21</v>
      </c>
      <c r="B129" s="321">
        <v>5468</v>
      </c>
      <c r="C129" s="322">
        <v>600099083</v>
      </c>
      <c r="D129" s="281">
        <v>70698317</v>
      </c>
      <c r="E129" s="348" t="s">
        <v>447</v>
      </c>
      <c r="F129" s="321">
        <v>3143</v>
      </c>
      <c r="G129" s="284" t="s">
        <v>596</v>
      </c>
      <c r="H129" s="640" t="s">
        <v>272</v>
      </c>
      <c r="I129" s="419">
        <v>16136</v>
      </c>
      <c r="J129" s="414">
        <v>11550</v>
      </c>
      <c r="K129" s="414">
        <v>0</v>
      </c>
      <c r="L129" s="414">
        <v>11550</v>
      </c>
      <c r="M129" s="414">
        <v>0</v>
      </c>
      <c r="N129" s="414">
        <v>0</v>
      </c>
      <c r="O129" s="414">
        <v>0</v>
      </c>
      <c r="P129" s="68">
        <v>3904</v>
      </c>
      <c r="Q129" s="68">
        <v>115</v>
      </c>
      <c r="R129" s="414">
        <v>567</v>
      </c>
      <c r="S129" s="415">
        <v>3.9199999999999999E-2</v>
      </c>
      <c r="T129" s="416">
        <v>0</v>
      </c>
      <c r="U129" s="422">
        <v>3.9199999999999999E-2</v>
      </c>
      <c r="V129" s="423">
        <f t="shared" si="119"/>
        <v>0</v>
      </c>
      <c r="W129" s="417">
        <f t="shared" si="119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20"/>
        <v>0</v>
      </c>
      <c r="AF129" s="417">
        <f t="shared" si="121"/>
        <v>0</v>
      </c>
      <c r="AG129" s="417">
        <f t="shared" si="122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23"/>
        <v>0</v>
      </c>
      <c r="AN129" s="417">
        <f t="shared" si="124"/>
        <v>0</v>
      </c>
      <c r="AO129" s="417">
        <f t="shared" si="125"/>
        <v>0</v>
      </c>
      <c r="AP129" s="417">
        <f t="shared" si="126"/>
        <v>0</v>
      </c>
      <c r="AQ129" s="417">
        <f t="shared" si="126"/>
        <v>0</v>
      </c>
      <c r="AR129" s="417">
        <f t="shared" si="127"/>
        <v>0</v>
      </c>
      <c r="AS129" s="68">
        <f t="shared" si="128"/>
        <v>0</v>
      </c>
      <c r="AT129" s="68">
        <f t="shared" si="129"/>
        <v>0</v>
      </c>
      <c r="AU129" s="417">
        <v>0</v>
      </c>
      <c r="AV129" s="417">
        <v>0</v>
      </c>
      <c r="AW129" s="417">
        <v>0</v>
      </c>
      <c r="AX129" s="417">
        <f t="shared" si="130"/>
        <v>0</v>
      </c>
      <c r="AY129" s="417">
        <f t="shared" si="131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32"/>
        <v>0</v>
      </c>
      <c r="BJ129" s="418">
        <f t="shared" si="133"/>
        <v>0</v>
      </c>
      <c r="BK129" s="420">
        <f t="shared" si="134"/>
        <v>0</v>
      </c>
      <c r="BL129" s="772">
        <f>I129+AY129</f>
        <v>16136</v>
      </c>
      <c r="BM129" s="772">
        <f>J129+AG129</f>
        <v>11550</v>
      </c>
      <c r="BN129" s="417">
        <f t="shared" si="209"/>
        <v>0</v>
      </c>
      <c r="BO129" s="417">
        <f t="shared" si="209"/>
        <v>11550</v>
      </c>
      <c r="BP129" s="417">
        <f>M129+AO129</f>
        <v>0</v>
      </c>
      <c r="BQ129" s="417">
        <f t="shared" si="210"/>
        <v>0</v>
      </c>
      <c r="BR129" s="417">
        <f t="shared" si="210"/>
        <v>0</v>
      </c>
      <c r="BS129" s="417">
        <f t="shared" si="211"/>
        <v>3904</v>
      </c>
      <c r="BT129" s="417">
        <f t="shared" si="211"/>
        <v>115</v>
      </c>
      <c r="BU129" s="417">
        <f>R129+AX129</f>
        <v>567</v>
      </c>
      <c r="BV129" s="418">
        <f>S129+BK129</f>
        <v>3.9199999999999999E-2</v>
      </c>
      <c r="BW129" s="418">
        <f t="shared" si="212"/>
        <v>0</v>
      </c>
      <c r="BX129" s="420">
        <f t="shared" si="212"/>
        <v>3.9199999999999999E-2</v>
      </c>
      <c r="BY129" s="986"/>
      <c r="BZ129" s="729"/>
      <c r="CA129" s="729"/>
      <c r="CB129" s="729"/>
      <c r="CC129" s="729"/>
      <c r="CD129" s="828"/>
      <c r="CE129" s="986"/>
      <c r="CF129" s="729"/>
      <c r="CG129" s="729"/>
      <c r="CH129" s="729"/>
      <c r="CI129" s="729"/>
      <c r="CJ129" s="828"/>
      <c r="CK129" s="315"/>
    </row>
    <row r="130" spans="1:89" ht="12.95" customHeight="1">
      <c r="A130" s="641">
        <v>21</v>
      </c>
      <c r="B130" s="325">
        <v>5468</v>
      </c>
      <c r="C130" s="326">
        <v>600099083</v>
      </c>
      <c r="D130" s="325">
        <v>70698317</v>
      </c>
      <c r="E130" s="349" t="s">
        <v>448</v>
      </c>
      <c r="F130" s="325"/>
      <c r="G130" s="350"/>
      <c r="H130" s="643"/>
      <c r="I130" s="464">
        <v>3021430</v>
      </c>
      <c r="J130" s="460">
        <v>2217433</v>
      </c>
      <c r="K130" s="460">
        <v>1810957</v>
      </c>
      <c r="L130" s="460">
        <v>406476</v>
      </c>
      <c r="M130" s="460">
        <v>0</v>
      </c>
      <c r="N130" s="460">
        <v>0</v>
      </c>
      <c r="O130" s="460">
        <v>0</v>
      </c>
      <c r="P130" s="460">
        <v>749493</v>
      </c>
      <c r="Q130" s="460">
        <v>22174</v>
      </c>
      <c r="R130" s="460">
        <v>32330</v>
      </c>
      <c r="S130" s="461">
        <v>4.2679999999999998</v>
      </c>
      <c r="T130" s="461">
        <v>3.1987999999999999</v>
      </c>
      <c r="U130" s="534">
        <v>1.0692000000000002</v>
      </c>
      <c r="V130" s="471">
        <f t="shared" ref="V130:BA130" si="213">SUM(V125:V129)</f>
        <v>0</v>
      </c>
      <c r="W130" s="467">
        <f t="shared" si="213"/>
        <v>0</v>
      </c>
      <c r="X130" s="467">
        <f t="shared" si="213"/>
        <v>0</v>
      </c>
      <c r="Y130" s="467">
        <f t="shared" si="213"/>
        <v>0</v>
      </c>
      <c r="Z130" s="467">
        <f t="shared" si="213"/>
        <v>129009</v>
      </c>
      <c r="AA130" s="467">
        <f t="shared" si="213"/>
        <v>4842</v>
      </c>
      <c r="AB130" s="467">
        <f t="shared" si="213"/>
        <v>0</v>
      </c>
      <c r="AC130" s="467">
        <f t="shared" si="213"/>
        <v>0</v>
      </c>
      <c r="AD130" s="467">
        <f t="shared" si="213"/>
        <v>0</v>
      </c>
      <c r="AE130" s="467">
        <f t="shared" si="213"/>
        <v>129009</v>
      </c>
      <c r="AF130" s="467">
        <f t="shared" si="213"/>
        <v>4842</v>
      </c>
      <c r="AG130" s="467">
        <f t="shared" si="213"/>
        <v>133851</v>
      </c>
      <c r="AH130" s="467">
        <f t="shared" si="213"/>
        <v>0</v>
      </c>
      <c r="AI130" s="467">
        <f t="shared" si="213"/>
        <v>0</v>
      </c>
      <c r="AJ130" s="467">
        <f t="shared" si="213"/>
        <v>0</v>
      </c>
      <c r="AK130" s="467">
        <f t="shared" si="213"/>
        <v>0</v>
      </c>
      <c r="AL130" s="467">
        <f t="shared" si="213"/>
        <v>0</v>
      </c>
      <c r="AM130" s="467">
        <f t="shared" si="213"/>
        <v>0</v>
      </c>
      <c r="AN130" s="467">
        <f t="shared" si="213"/>
        <v>0</v>
      </c>
      <c r="AO130" s="467">
        <f t="shared" si="213"/>
        <v>0</v>
      </c>
      <c r="AP130" s="467">
        <f t="shared" si="213"/>
        <v>129009</v>
      </c>
      <c r="AQ130" s="467">
        <f t="shared" si="213"/>
        <v>4842</v>
      </c>
      <c r="AR130" s="467">
        <f t="shared" si="213"/>
        <v>133851</v>
      </c>
      <c r="AS130" s="467">
        <f t="shared" si="213"/>
        <v>45242</v>
      </c>
      <c r="AT130" s="467">
        <f t="shared" si="213"/>
        <v>1338</v>
      </c>
      <c r="AU130" s="467">
        <f t="shared" si="213"/>
        <v>1500</v>
      </c>
      <c r="AV130" s="467">
        <f t="shared" si="213"/>
        <v>0</v>
      </c>
      <c r="AW130" s="467">
        <f t="shared" si="213"/>
        <v>0</v>
      </c>
      <c r="AX130" s="467">
        <f t="shared" si="213"/>
        <v>1500</v>
      </c>
      <c r="AY130" s="467">
        <f t="shared" si="213"/>
        <v>181931</v>
      </c>
      <c r="AZ130" s="468">
        <f t="shared" si="213"/>
        <v>0</v>
      </c>
      <c r="BA130" s="468">
        <f t="shared" si="213"/>
        <v>0</v>
      </c>
      <c r="BB130" s="468">
        <f t="shared" ref="BB130:CG130" si="214">SUM(BB125:BB129)</f>
        <v>0</v>
      </c>
      <c r="BC130" s="468">
        <f t="shared" si="214"/>
        <v>0.25</v>
      </c>
      <c r="BD130" s="468">
        <f t="shared" si="214"/>
        <v>0.01</v>
      </c>
      <c r="BE130" s="468">
        <f t="shared" si="214"/>
        <v>0</v>
      </c>
      <c r="BF130" s="468">
        <f t="shared" si="214"/>
        <v>0</v>
      </c>
      <c r="BG130" s="468">
        <f t="shared" si="214"/>
        <v>0</v>
      </c>
      <c r="BH130" s="468">
        <f t="shared" si="214"/>
        <v>0</v>
      </c>
      <c r="BI130" s="468">
        <f t="shared" si="214"/>
        <v>0.25</v>
      </c>
      <c r="BJ130" s="468">
        <f t="shared" si="214"/>
        <v>0.01</v>
      </c>
      <c r="BK130" s="328">
        <f t="shared" si="214"/>
        <v>0.26</v>
      </c>
      <c r="BL130" s="774">
        <f t="shared" si="214"/>
        <v>3203361</v>
      </c>
      <c r="BM130" s="774">
        <f t="shared" si="214"/>
        <v>2351284</v>
      </c>
      <c r="BN130" s="467">
        <f t="shared" si="214"/>
        <v>1939966</v>
      </c>
      <c r="BO130" s="467">
        <f t="shared" si="214"/>
        <v>411318</v>
      </c>
      <c r="BP130" s="467">
        <f t="shared" si="214"/>
        <v>0</v>
      </c>
      <c r="BQ130" s="467">
        <f t="shared" si="214"/>
        <v>0</v>
      </c>
      <c r="BR130" s="467">
        <f t="shared" si="214"/>
        <v>0</v>
      </c>
      <c r="BS130" s="467">
        <f t="shared" si="214"/>
        <v>794735</v>
      </c>
      <c r="BT130" s="467">
        <f t="shared" si="214"/>
        <v>23512</v>
      </c>
      <c r="BU130" s="467">
        <f t="shared" si="214"/>
        <v>33830</v>
      </c>
      <c r="BV130" s="468">
        <f t="shared" si="214"/>
        <v>4.5280000000000005</v>
      </c>
      <c r="BW130" s="468">
        <f t="shared" si="214"/>
        <v>3.4487999999999999</v>
      </c>
      <c r="BX130" s="328">
        <f t="shared" si="214"/>
        <v>1.0791999999999999</v>
      </c>
      <c r="BY130" s="979">
        <f t="shared" si="214"/>
        <v>0</v>
      </c>
      <c r="BZ130" s="721">
        <f t="shared" si="214"/>
        <v>0</v>
      </c>
      <c r="CA130" s="721">
        <f t="shared" si="214"/>
        <v>0</v>
      </c>
      <c r="CB130" s="721">
        <f t="shared" si="214"/>
        <v>0</v>
      </c>
      <c r="CC130" s="721">
        <f t="shared" si="214"/>
        <v>0</v>
      </c>
      <c r="CD130" s="826">
        <f t="shared" si="214"/>
        <v>0</v>
      </c>
      <c r="CE130" s="995">
        <f t="shared" si="214"/>
        <v>144545</v>
      </c>
      <c r="CF130" s="995">
        <f t="shared" si="214"/>
        <v>103210</v>
      </c>
      <c r="CG130" s="995">
        <f t="shared" si="214"/>
        <v>34885</v>
      </c>
      <c r="CH130" s="995">
        <f t="shared" ref="CH130:CJ130" si="215">SUM(CH125:CH129)</f>
        <v>1032</v>
      </c>
      <c r="CI130" s="995">
        <f t="shared" si="215"/>
        <v>5418</v>
      </c>
      <c r="CJ130" s="933">
        <f t="shared" si="215"/>
        <v>0.26</v>
      </c>
      <c r="CK130" s="315"/>
    </row>
    <row r="131" spans="1:89" ht="12.95" customHeight="1">
      <c r="A131" s="280">
        <v>22</v>
      </c>
      <c r="B131" s="321">
        <v>5488</v>
      </c>
      <c r="C131" s="322">
        <v>600099326</v>
      </c>
      <c r="D131" s="281">
        <v>70695393</v>
      </c>
      <c r="E131" s="348" t="s">
        <v>449</v>
      </c>
      <c r="F131" s="321">
        <v>3111</v>
      </c>
      <c r="G131" s="345" t="s">
        <v>304</v>
      </c>
      <c r="H131" s="640" t="s">
        <v>271</v>
      </c>
      <c r="I131" s="419">
        <v>815808</v>
      </c>
      <c r="J131" s="414">
        <v>602231</v>
      </c>
      <c r="K131" s="414">
        <v>534378</v>
      </c>
      <c r="L131" s="414">
        <v>67853</v>
      </c>
      <c r="M131" s="414">
        <v>0</v>
      </c>
      <c r="N131" s="414">
        <v>0</v>
      </c>
      <c r="O131" s="414">
        <v>0</v>
      </c>
      <c r="P131" s="68">
        <v>203554</v>
      </c>
      <c r="Q131" s="68">
        <v>6023</v>
      </c>
      <c r="R131" s="414">
        <v>4000</v>
      </c>
      <c r="S131" s="415">
        <v>1.2718</v>
      </c>
      <c r="T131" s="416">
        <v>1</v>
      </c>
      <c r="U131" s="422">
        <v>0.27179999999999999</v>
      </c>
      <c r="V131" s="423">
        <f t="shared" si="119"/>
        <v>0</v>
      </c>
      <c r="W131" s="417">
        <f t="shared" si="119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20"/>
        <v>0</v>
      </c>
      <c r="AF131" s="417">
        <f t="shared" si="121"/>
        <v>0</v>
      </c>
      <c r="AG131" s="417">
        <f t="shared" si="122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23"/>
        <v>0</v>
      </c>
      <c r="AN131" s="417">
        <f t="shared" si="124"/>
        <v>0</v>
      </c>
      <c r="AO131" s="417">
        <f t="shared" si="125"/>
        <v>0</v>
      </c>
      <c r="AP131" s="417">
        <f t="shared" si="126"/>
        <v>0</v>
      </c>
      <c r="AQ131" s="417">
        <f t="shared" si="126"/>
        <v>0</v>
      </c>
      <c r="AR131" s="417">
        <f t="shared" si="127"/>
        <v>0</v>
      </c>
      <c r="AS131" s="68">
        <f t="shared" si="128"/>
        <v>0</v>
      </c>
      <c r="AT131" s="68">
        <f t="shared" si="129"/>
        <v>0</v>
      </c>
      <c r="AU131" s="417">
        <v>0</v>
      </c>
      <c r="AV131" s="417">
        <v>0</v>
      </c>
      <c r="AW131" s="417">
        <v>0</v>
      </c>
      <c r="AX131" s="417">
        <f t="shared" si="130"/>
        <v>0</v>
      </c>
      <c r="AY131" s="417">
        <f t="shared" si="131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32"/>
        <v>0</v>
      </c>
      <c r="BJ131" s="418">
        <f t="shared" si="133"/>
        <v>0</v>
      </c>
      <c r="BK131" s="420">
        <f t="shared" si="134"/>
        <v>0</v>
      </c>
      <c r="BL131" s="772">
        <f t="shared" ref="BL131:BL136" si="216">I131+AY131</f>
        <v>815808</v>
      </c>
      <c r="BM131" s="772">
        <f t="shared" ref="BM131:BM136" si="217">J131+AG131</f>
        <v>602231</v>
      </c>
      <c r="BN131" s="417">
        <f t="shared" ref="BN131:BO136" si="218">K131+AE131</f>
        <v>534378</v>
      </c>
      <c r="BO131" s="417">
        <f t="shared" si="218"/>
        <v>67853</v>
      </c>
      <c r="BP131" s="417">
        <f t="shared" ref="BP131:BP136" si="219">M131+AO131</f>
        <v>0</v>
      </c>
      <c r="BQ131" s="417">
        <f t="shared" ref="BQ131:BR136" si="220">N131+AM131</f>
        <v>0</v>
      </c>
      <c r="BR131" s="417">
        <f t="shared" si="220"/>
        <v>0</v>
      </c>
      <c r="BS131" s="417">
        <f t="shared" ref="BS131:BT136" si="221">P131+AS131</f>
        <v>203554</v>
      </c>
      <c r="BT131" s="417">
        <f t="shared" si="221"/>
        <v>6023</v>
      </c>
      <c r="BU131" s="417">
        <f t="shared" ref="BU131:BU136" si="222">R131+AX131</f>
        <v>4000</v>
      </c>
      <c r="BV131" s="418">
        <f t="shared" ref="BV131:BV136" si="223">S131+BK131</f>
        <v>1.2718</v>
      </c>
      <c r="BW131" s="418">
        <f t="shared" ref="BW131:BX136" si="224">T131+BI131</f>
        <v>1</v>
      </c>
      <c r="BX131" s="420">
        <f t="shared" si="224"/>
        <v>0.27179999999999999</v>
      </c>
      <c r="BY131" s="801">
        <f>SUM(BZ132:CC132)</f>
        <v>0</v>
      </c>
      <c r="BZ131" s="16"/>
      <c r="CA131" s="16"/>
      <c r="CB131" s="16"/>
      <c r="CC131" s="16"/>
      <c r="CD131" s="17"/>
      <c r="CE131" s="801">
        <v>30680</v>
      </c>
      <c r="CF131" s="16">
        <v>21773</v>
      </c>
      <c r="CG131" s="16">
        <v>7359</v>
      </c>
      <c r="CH131" s="16">
        <v>218</v>
      </c>
      <c r="CI131" s="16">
        <v>1330</v>
      </c>
      <c r="CJ131" s="17">
        <v>8.72E-2</v>
      </c>
      <c r="CK131" s="315"/>
    </row>
    <row r="132" spans="1:89" ht="12.95" customHeight="1">
      <c r="A132" s="280">
        <v>22</v>
      </c>
      <c r="B132" s="321">
        <v>5488</v>
      </c>
      <c r="C132" s="322">
        <v>600099326</v>
      </c>
      <c r="D132" s="281">
        <v>70695393</v>
      </c>
      <c r="E132" s="348" t="s">
        <v>449</v>
      </c>
      <c r="F132" s="321">
        <v>3117</v>
      </c>
      <c r="G132" s="345" t="s">
        <v>308</v>
      </c>
      <c r="H132" s="640" t="s">
        <v>271</v>
      </c>
      <c r="I132" s="419">
        <v>2268388</v>
      </c>
      <c r="J132" s="414">
        <v>1666368</v>
      </c>
      <c r="K132" s="414">
        <v>1264583</v>
      </c>
      <c r="L132" s="414">
        <v>401785</v>
      </c>
      <c r="M132" s="414">
        <v>0</v>
      </c>
      <c r="N132" s="414">
        <v>0</v>
      </c>
      <c r="O132" s="414">
        <v>0</v>
      </c>
      <c r="P132" s="68">
        <v>563232</v>
      </c>
      <c r="Q132" s="68">
        <v>16663</v>
      </c>
      <c r="R132" s="414">
        <v>22125</v>
      </c>
      <c r="S132" s="415">
        <v>3.4138999999999999</v>
      </c>
      <c r="T132" s="416">
        <v>2.2726999999999999</v>
      </c>
      <c r="U132" s="422">
        <v>1.1412</v>
      </c>
      <c r="V132" s="423">
        <f t="shared" si="119"/>
        <v>0</v>
      </c>
      <c r="W132" s="417">
        <f t="shared" si="119"/>
        <v>0</v>
      </c>
      <c r="X132" s="417">
        <v>0</v>
      </c>
      <c r="Y132" s="417">
        <v>0</v>
      </c>
      <c r="Z132" s="417">
        <v>0</v>
      </c>
      <c r="AA132" s="417">
        <v>0</v>
      </c>
      <c r="AB132" s="417">
        <v>0</v>
      </c>
      <c r="AC132" s="417">
        <v>0</v>
      </c>
      <c r="AD132" s="417">
        <v>0</v>
      </c>
      <c r="AE132" s="417">
        <f t="shared" si="120"/>
        <v>0</v>
      </c>
      <c r="AF132" s="417">
        <f t="shared" si="121"/>
        <v>0</v>
      </c>
      <c r="AG132" s="417">
        <f t="shared" si="122"/>
        <v>0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23"/>
        <v>0</v>
      </c>
      <c r="AN132" s="417">
        <f t="shared" si="124"/>
        <v>0</v>
      </c>
      <c r="AO132" s="417">
        <f t="shared" si="125"/>
        <v>0</v>
      </c>
      <c r="AP132" s="417">
        <f t="shared" si="126"/>
        <v>0</v>
      </c>
      <c r="AQ132" s="417">
        <f t="shared" si="126"/>
        <v>0</v>
      </c>
      <c r="AR132" s="417">
        <f t="shared" si="127"/>
        <v>0</v>
      </c>
      <c r="AS132" s="68">
        <f t="shared" si="128"/>
        <v>0</v>
      </c>
      <c r="AT132" s="68">
        <f t="shared" si="129"/>
        <v>0</v>
      </c>
      <c r="AU132" s="417">
        <v>0</v>
      </c>
      <c r="AV132" s="417">
        <v>0</v>
      </c>
      <c r="AW132" s="417">
        <v>0</v>
      </c>
      <c r="AX132" s="417">
        <f t="shared" si="130"/>
        <v>0</v>
      </c>
      <c r="AY132" s="417">
        <f t="shared" si="131"/>
        <v>0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418">
        <v>0</v>
      </c>
      <c r="BG132" s="418">
        <v>0</v>
      </c>
      <c r="BH132" s="418">
        <v>0</v>
      </c>
      <c r="BI132" s="418">
        <f t="shared" si="132"/>
        <v>0</v>
      </c>
      <c r="BJ132" s="418">
        <f t="shared" si="133"/>
        <v>0</v>
      </c>
      <c r="BK132" s="420">
        <f t="shared" si="134"/>
        <v>0</v>
      </c>
      <c r="BL132" s="772">
        <f t="shared" si="216"/>
        <v>2268388</v>
      </c>
      <c r="BM132" s="772">
        <f t="shared" si="217"/>
        <v>1666368</v>
      </c>
      <c r="BN132" s="417">
        <f t="shared" si="218"/>
        <v>1264583</v>
      </c>
      <c r="BO132" s="417">
        <f t="shared" si="218"/>
        <v>401785</v>
      </c>
      <c r="BP132" s="417">
        <f t="shared" si="219"/>
        <v>0</v>
      </c>
      <c r="BQ132" s="417">
        <f t="shared" si="220"/>
        <v>0</v>
      </c>
      <c r="BR132" s="417">
        <f t="shared" si="220"/>
        <v>0</v>
      </c>
      <c r="BS132" s="417">
        <f t="shared" si="221"/>
        <v>563232</v>
      </c>
      <c r="BT132" s="417">
        <f t="shared" si="221"/>
        <v>16663</v>
      </c>
      <c r="BU132" s="417">
        <f t="shared" si="222"/>
        <v>22125</v>
      </c>
      <c r="BV132" s="418">
        <f t="shared" si="223"/>
        <v>3.4138999999999999</v>
      </c>
      <c r="BW132" s="418">
        <f t="shared" si="224"/>
        <v>2.2726999999999999</v>
      </c>
      <c r="BX132" s="420">
        <f t="shared" si="224"/>
        <v>1.1412</v>
      </c>
      <c r="BY132" s="986"/>
      <c r="BZ132" s="729"/>
      <c r="CA132" s="729"/>
      <c r="CB132" s="729"/>
      <c r="CC132" s="729"/>
      <c r="CD132" s="828"/>
      <c r="CE132" s="986">
        <v>177690</v>
      </c>
      <c r="CF132" s="729">
        <v>128947</v>
      </c>
      <c r="CG132" s="729">
        <v>43584</v>
      </c>
      <c r="CH132" s="729">
        <v>1289</v>
      </c>
      <c r="CI132" s="729">
        <v>3870</v>
      </c>
      <c r="CJ132" s="828">
        <v>0.36630000000000001</v>
      </c>
      <c r="CK132" s="315"/>
    </row>
    <row r="133" spans="1:89" ht="12.95" customHeight="1">
      <c r="A133" s="280">
        <v>22</v>
      </c>
      <c r="B133" s="321">
        <v>5488</v>
      </c>
      <c r="C133" s="322">
        <v>600099326</v>
      </c>
      <c r="D133" s="281">
        <v>70695393</v>
      </c>
      <c r="E133" s="348" t="s">
        <v>449</v>
      </c>
      <c r="F133" s="321">
        <v>3117</v>
      </c>
      <c r="G133" s="284" t="s">
        <v>291</v>
      </c>
      <c r="H133" s="640" t="s">
        <v>272</v>
      </c>
      <c r="I133" s="419">
        <v>0</v>
      </c>
      <c r="J133" s="414">
        <v>0</v>
      </c>
      <c r="K133" s="414">
        <v>0</v>
      </c>
      <c r="L133" s="414">
        <v>0</v>
      </c>
      <c r="M133" s="414">
        <v>0</v>
      </c>
      <c r="N133" s="414">
        <v>0</v>
      </c>
      <c r="O133" s="414">
        <v>0</v>
      </c>
      <c r="P133" s="68">
        <v>0</v>
      </c>
      <c r="Q133" s="68">
        <v>0</v>
      </c>
      <c r="R133" s="414">
        <v>0</v>
      </c>
      <c r="S133" s="415">
        <v>0</v>
      </c>
      <c r="T133" s="416">
        <v>0</v>
      </c>
      <c r="U133" s="422">
        <v>0</v>
      </c>
      <c r="V133" s="423">
        <f t="shared" si="119"/>
        <v>0</v>
      </c>
      <c r="W133" s="417">
        <f t="shared" si="119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20"/>
        <v>0</v>
      </c>
      <c r="AF133" s="417">
        <f t="shared" si="121"/>
        <v>0</v>
      </c>
      <c r="AG133" s="417">
        <f t="shared" si="122"/>
        <v>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23"/>
        <v>0</v>
      </c>
      <c r="AN133" s="417">
        <f t="shared" si="124"/>
        <v>0</v>
      </c>
      <c r="AO133" s="417">
        <f t="shared" si="125"/>
        <v>0</v>
      </c>
      <c r="AP133" s="417">
        <f t="shared" si="126"/>
        <v>0</v>
      </c>
      <c r="AQ133" s="417">
        <f t="shared" si="126"/>
        <v>0</v>
      </c>
      <c r="AR133" s="417">
        <f t="shared" si="127"/>
        <v>0</v>
      </c>
      <c r="AS133" s="68">
        <f t="shared" si="128"/>
        <v>0</v>
      </c>
      <c r="AT133" s="68">
        <f t="shared" si="129"/>
        <v>0</v>
      </c>
      <c r="AU133" s="417">
        <v>0</v>
      </c>
      <c r="AV133" s="417">
        <v>0</v>
      </c>
      <c r="AW133" s="417">
        <v>0</v>
      </c>
      <c r="AX133" s="417">
        <f t="shared" si="130"/>
        <v>0</v>
      </c>
      <c r="AY133" s="417">
        <f t="shared" si="131"/>
        <v>0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32"/>
        <v>0</v>
      </c>
      <c r="BJ133" s="418">
        <f t="shared" si="133"/>
        <v>0</v>
      </c>
      <c r="BK133" s="420">
        <f t="shared" si="134"/>
        <v>0</v>
      </c>
      <c r="BL133" s="772">
        <f t="shared" si="216"/>
        <v>0</v>
      </c>
      <c r="BM133" s="772">
        <f t="shared" si="217"/>
        <v>0</v>
      </c>
      <c r="BN133" s="417">
        <f t="shared" si="218"/>
        <v>0</v>
      </c>
      <c r="BO133" s="417">
        <f t="shared" si="218"/>
        <v>0</v>
      </c>
      <c r="BP133" s="417">
        <f t="shared" si="219"/>
        <v>0</v>
      </c>
      <c r="BQ133" s="417">
        <f t="shared" si="220"/>
        <v>0</v>
      </c>
      <c r="BR133" s="417">
        <f t="shared" si="220"/>
        <v>0</v>
      </c>
      <c r="BS133" s="417">
        <f t="shared" si="221"/>
        <v>0</v>
      </c>
      <c r="BT133" s="417">
        <f t="shared" si="221"/>
        <v>0</v>
      </c>
      <c r="BU133" s="417">
        <f t="shared" si="222"/>
        <v>0</v>
      </c>
      <c r="BV133" s="418">
        <f t="shared" si="223"/>
        <v>0</v>
      </c>
      <c r="BW133" s="418">
        <f t="shared" si="224"/>
        <v>0</v>
      </c>
      <c r="BX133" s="420">
        <f t="shared" si="224"/>
        <v>0</v>
      </c>
      <c r="BY133" s="986"/>
      <c r="BZ133" s="729"/>
      <c r="CA133" s="729"/>
      <c r="CB133" s="729"/>
      <c r="CC133" s="729"/>
      <c r="CD133" s="828"/>
      <c r="CE133" s="986"/>
      <c r="CF133" s="729"/>
      <c r="CG133" s="729"/>
      <c r="CH133" s="729"/>
      <c r="CI133" s="729"/>
      <c r="CJ133" s="828"/>
      <c r="CK133" s="315"/>
    </row>
    <row r="134" spans="1:89" ht="12.95" customHeight="1">
      <c r="A134" s="280">
        <v>22</v>
      </c>
      <c r="B134" s="321">
        <v>5488</v>
      </c>
      <c r="C134" s="322">
        <v>600099326</v>
      </c>
      <c r="D134" s="281">
        <v>70695393</v>
      </c>
      <c r="E134" s="348" t="s">
        <v>449</v>
      </c>
      <c r="F134" s="321">
        <v>3141</v>
      </c>
      <c r="G134" s="345" t="s">
        <v>294</v>
      </c>
      <c r="H134" s="640" t="s">
        <v>272</v>
      </c>
      <c r="I134" s="419">
        <v>354821</v>
      </c>
      <c r="J134" s="414">
        <v>262294</v>
      </c>
      <c r="K134" s="414">
        <v>0</v>
      </c>
      <c r="L134" s="414">
        <v>262294</v>
      </c>
      <c r="M134" s="414">
        <v>0</v>
      </c>
      <c r="N134" s="414">
        <v>0</v>
      </c>
      <c r="O134" s="414">
        <v>0</v>
      </c>
      <c r="P134" s="68">
        <v>88656</v>
      </c>
      <c r="Q134" s="68">
        <v>2623</v>
      </c>
      <c r="R134" s="414">
        <v>1248</v>
      </c>
      <c r="S134" s="415">
        <v>0.78669999999999995</v>
      </c>
      <c r="T134" s="416">
        <v>0</v>
      </c>
      <c r="U134" s="422">
        <v>0.78669999999999995</v>
      </c>
      <c r="V134" s="423">
        <f t="shared" si="119"/>
        <v>0</v>
      </c>
      <c r="W134" s="417">
        <f t="shared" si="119"/>
        <v>0</v>
      </c>
      <c r="X134" s="417">
        <v>0</v>
      </c>
      <c r="Y134" s="417">
        <v>0</v>
      </c>
      <c r="Z134" s="417">
        <v>0</v>
      </c>
      <c r="AA134" s="417">
        <v>21887</v>
      </c>
      <c r="AB134" s="417">
        <v>0</v>
      </c>
      <c r="AC134" s="417">
        <v>0</v>
      </c>
      <c r="AD134" s="417">
        <v>0</v>
      </c>
      <c r="AE134" s="417">
        <f t="shared" si="120"/>
        <v>0</v>
      </c>
      <c r="AF134" s="417">
        <f t="shared" si="121"/>
        <v>21887</v>
      </c>
      <c r="AG134" s="417">
        <f t="shared" si="122"/>
        <v>21887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23"/>
        <v>0</v>
      </c>
      <c r="AN134" s="417">
        <f t="shared" si="124"/>
        <v>0</v>
      </c>
      <c r="AO134" s="417">
        <f t="shared" si="125"/>
        <v>0</v>
      </c>
      <c r="AP134" s="417">
        <f t="shared" si="126"/>
        <v>0</v>
      </c>
      <c r="AQ134" s="417">
        <f t="shared" si="126"/>
        <v>21887</v>
      </c>
      <c r="AR134" s="417">
        <f t="shared" si="127"/>
        <v>21887</v>
      </c>
      <c r="AS134" s="68">
        <f t="shared" si="128"/>
        <v>7398</v>
      </c>
      <c r="AT134" s="68">
        <f t="shared" si="129"/>
        <v>219</v>
      </c>
      <c r="AU134" s="417">
        <v>0</v>
      </c>
      <c r="AV134" s="417">
        <v>0</v>
      </c>
      <c r="AW134" s="417">
        <v>0</v>
      </c>
      <c r="AX134" s="417">
        <f t="shared" si="130"/>
        <v>0</v>
      </c>
      <c r="AY134" s="417">
        <f t="shared" si="131"/>
        <v>29504</v>
      </c>
      <c r="AZ134" s="418">
        <v>0</v>
      </c>
      <c r="BA134" s="418">
        <v>0</v>
      </c>
      <c r="BB134" s="418">
        <v>0</v>
      </c>
      <c r="BC134" s="418">
        <v>0</v>
      </c>
      <c r="BD134" s="418">
        <v>7.0000000000000007E-2</v>
      </c>
      <c r="BE134" s="418">
        <v>0</v>
      </c>
      <c r="BF134" s="418">
        <v>0</v>
      </c>
      <c r="BG134" s="418">
        <v>0</v>
      </c>
      <c r="BH134" s="418">
        <v>0</v>
      </c>
      <c r="BI134" s="418">
        <f t="shared" si="132"/>
        <v>0</v>
      </c>
      <c r="BJ134" s="418">
        <f t="shared" si="133"/>
        <v>7.0000000000000007E-2</v>
      </c>
      <c r="BK134" s="420">
        <f t="shared" si="134"/>
        <v>7.0000000000000007E-2</v>
      </c>
      <c r="BL134" s="772">
        <f t="shared" si="216"/>
        <v>384325</v>
      </c>
      <c r="BM134" s="772">
        <f t="shared" si="217"/>
        <v>284181</v>
      </c>
      <c r="BN134" s="417">
        <f t="shared" si="218"/>
        <v>0</v>
      </c>
      <c r="BO134" s="417">
        <f t="shared" si="218"/>
        <v>284181</v>
      </c>
      <c r="BP134" s="417">
        <f t="shared" si="219"/>
        <v>0</v>
      </c>
      <c r="BQ134" s="417">
        <f t="shared" si="220"/>
        <v>0</v>
      </c>
      <c r="BR134" s="417">
        <f t="shared" si="220"/>
        <v>0</v>
      </c>
      <c r="BS134" s="417">
        <f t="shared" si="221"/>
        <v>96054</v>
      </c>
      <c r="BT134" s="417">
        <f t="shared" si="221"/>
        <v>2842</v>
      </c>
      <c r="BU134" s="417">
        <f t="shared" si="222"/>
        <v>1248</v>
      </c>
      <c r="BV134" s="418">
        <f t="shared" si="223"/>
        <v>0.85670000000000002</v>
      </c>
      <c r="BW134" s="418">
        <f t="shared" si="224"/>
        <v>0</v>
      </c>
      <c r="BX134" s="420">
        <f t="shared" si="224"/>
        <v>0.85670000000000002</v>
      </c>
      <c r="BY134" s="986"/>
      <c r="BZ134" s="729"/>
      <c r="CA134" s="729"/>
      <c r="CB134" s="729"/>
      <c r="CC134" s="729"/>
      <c r="CD134" s="828"/>
      <c r="CE134" s="986"/>
      <c r="CF134" s="729"/>
      <c r="CG134" s="729"/>
      <c r="CH134" s="729"/>
      <c r="CI134" s="729"/>
      <c r="CJ134" s="828"/>
      <c r="CK134" s="315"/>
    </row>
    <row r="135" spans="1:89" ht="12.95" customHeight="1">
      <c r="A135" s="280">
        <v>22</v>
      </c>
      <c r="B135" s="321">
        <v>5488</v>
      </c>
      <c r="C135" s="322">
        <v>600099326</v>
      </c>
      <c r="D135" s="281">
        <v>70695393</v>
      </c>
      <c r="E135" s="348" t="s">
        <v>449</v>
      </c>
      <c r="F135" s="321">
        <v>3143</v>
      </c>
      <c r="G135" s="284" t="s">
        <v>595</v>
      </c>
      <c r="H135" s="640" t="s">
        <v>271</v>
      </c>
      <c r="I135" s="419">
        <v>574810</v>
      </c>
      <c r="J135" s="414">
        <v>426417</v>
      </c>
      <c r="K135" s="414">
        <v>426417</v>
      </c>
      <c r="L135" s="414">
        <v>0</v>
      </c>
      <c r="M135" s="414">
        <v>0</v>
      </c>
      <c r="N135" s="414">
        <v>0</v>
      </c>
      <c r="O135" s="414">
        <v>0</v>
      </c>
      <c r="P135" s="68">
        <v>144129</v>
      </c>
      <c r="Q135" s="68">
        <v>4264</v>
      </c>
      <c r="R135" s="414">
        <v>0</v>
      </c>
      <c r="S135" s="415">
        <v>0.96450000000000002</v>
      </c>
      <c r="T135" s="416">
        <v>0.96450000000000002</v>
      </c>
      <c r="U135" s="422">
        <v>0</v>
      </c>
      <c r="V135" s="423">
        <f t="shared" si="119"/>
        <v>0</v>
      </c>
      <c r="W135" s="417">
        <f t="shared" si="119"/>
        <v>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20"/>
        <v>0</v>
      </c>
      <c r="AF135" s="417">
        <f t="shared" si="121"/>
        <v>0</v>
      </c>
      <c r="AG135" s="417">
        <f t="shared" si="122"/>
        <v>0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23"/>
        <v>0</v>
      </c>
      <c r="AN135" s="417">
        <f t="shared" si="124"/>
        <v>0</v>
      </c>
      <c r="AO135" s="417">
        <f t="shared" si="125"/>
        <v>0</v>
      </c>
      <c r="AP135" s="417">
        <f t="shared" si="126"/>
        <v>0</v>
      </c>
      <c r="AQ135" s="417">
        <f t="shared" si="126"/>
        <v>0</v>
      </c>
      <c r="AR135" s="417">
        <f t="shared" si="127"/>
        <v>0</v>
      </c>
      <c r="AS135" s="68">
        <f t="shared" si="128"/>
        <v>0</v>
      </c>
      <c r="AT135" s="68">
        <f t="shared" si="129"/>
        <v>0</v>
      </c>
      <c r="AU135" s="417">
        <v>0</v>
      </c>
      <c r="AV135" s="417">
        <v>0</v>
      </c>
      <c r="AW135" s="417">
        <v>0</v>
      </c>
      <c r="AX135" s="417">
        <f t="shared" si="130"/>
        <v>0</v>
      </c>
      <c r="AY135" s="417">
        <f t="shared" si="131"/>
        <v>0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32"/>
        <v>0</v>
      </c>
      <c r="BJ135" s="418">
        <f t="shared" si="133"/>
        <v>0</v>
      </c>
      <c r="BK135" s="420">
        <f t="shared" si="134"/>
        <v>0</v>
      </c>
      <c r="BL135" s="772">
        <f t="shared" si="216"/>
        <v>574810</v>
      </c>
      <c r="BM135" s="772">
        <f t="shared" si="217"/>
        <v>426417</v>
      </c>
      <c r="BN135" s="417">
        <f t="shared" si="218"/>
        <v>426417</v>
      </c>
      <c r="BO135" s="417">
        <f t="shared" si="218"/>
        <v>0</v>
      </c>
      <c r="BP135" s="417">
        <f t="shared" si="219"/>
        <v>0</v>
      </c>
      <c r="BQ135" s="417">
        <f t="shared" si="220"/>
        <v>0</v>
      </c>
      <c r="BR135" s="417">
        <f t="shared" si="220"/>
        <v>0</v>
      </c>
      <c r="BS135" s="417">
        <f t="shared" si="221"/>
        <v>144129</v>
      </c>
      <c r="BT135" s="417">
        <f t="shared" si="221"/>
        <v>4264</v>
      </c>
      <c r="BU135" s="417">
        <f t="shared" si="222"/>
        <v>0</v>
      </c>
      <c r="BV135" s="418">
        <f t="shared" si="223"/>
        <v>0.96450000000000002</v>
      </c>
      <c r="BW135" s="418">
        <f t="shared" si="224"/>
        <v>0.96450000000000002</v>
      </c>
      <c r="BX135" s="420">
        <f t="shared" si="224"/>
        <v>0</v>
      </c>
      <c r="BY135" s="986"/>
      <c r="BZ135" s="729"/>
      <c r="CA135" s="729"/>
      <c r="CB135" s="729"/>
      <c r="CC135" s="729"/>
      <c r="CD135" s="828"/>
      <c r="CE135" s="986"/>
      <c r="CF135" s="729"/>
      <c r="CG135" s="729"/>
      <c r="CH135" s="729"/>
      <c r="CI135" s="729"/>
      <c r="CJ135" s="828"/>
      <c r="CK135" s="315"/>
    </row>
    <row r="136" spans="1:89" ht="12.95" customHeight="1">
      <c r="A136" s="280">
        <v>22</v>
      </c>
      <c r="B136" s="321">
        <v>5488</v>
      </c>
      <c r="C136" s="322">
        <v>600099326</v>
      </c>
      <c r="D136" s="281">
        <v>70695393</v>
      </c>
      <c r="E136" s="354" t="s">
        <v>449</v>
      </c>
      <c r="F136" s="355">
        <v>3143</v>
      </c>
      <c r="G136" s="284" t="s">
        <v>596</v>
      </c>
      <c r="H136" s="640" t="s">
        <v>272</v>
      </c>
      <c r="I136" s="419">
        <v>11527</v>
      </c>
      <c r="J136" s="414">
        <v>8250</v>
      </c>
      <c r="K136" s="414">
        <v>0</v>
      </c>
      <c r="L136" s="414">
        <v>8250</v>
      </c>
      <c r="M136" s="414">
        <v>0</v>
      </c>
      <c r="N136" s="414">
        <v>0</v>
      </c>
      <c r="O136" s="414">
        <v>0</v>
      </c>
      <c r="P136" s="68">
        <v>2789</v>
      </c>
      <c r="Q136" s="68">
        <v>83</v>
      </c>
      <c r="R136" s="414">
        <v>405</v>
      </c>
      <c r="S136" s="415">
        <v>3.0800000000000001E-2</v>
      </c>
      <c r="T136" s="416">
        <v>0</v>
      </c>
      <c r="U136" s="422">
        <v>3.0800000000000001E-2</v>
      </c>
      <c r="V136" s="423">
        <f t="shared" si="119"/>
        <v>0</v>
      </c>
      <c r="W136" s="417">
        <f t="shared" si="119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20"/>
        <v>0</v>
      </c>
      <c r="AF136" s="417">
        <f t="shared" si="121"/>
        <v>0</v>
      </c>
      <c r="AG136" s="417">
        <f t="shared" si="122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23"/>
        <v>0</v>
      </c>
      <c r="AN136" s="417">
        <f t="shared" si="124"/>
        <v>0</v>
      </c>
      <c r="AO136" s="417">
        <f t="shared" si="125"/>
        <v>0</v>
      </c>
      <c r="AP136" s="417">
        <f t="shared" si="126"/>
        <v>0</v>
      </c>
      <c r="AQ136" s="417">
        <f t="shared" si="126"/>
        <v>0</v>
      </c>
      <c r="AR136" s="417">
        <f t="shared" si="127"/>
        <v>0</v>
      </c>
      <c r="AS136" s="68">
        <f t="shared" si="128"/>
        <v>0</v>
      </c>
      <c r="AT136" s="68">
        <f t="shared" si="129"/>
        <v>0</v>
      </c>
      <c r="AU136" s="417">
        <v>0</v>
      </c>
      <c r="AV136" s="417">
        <v>0</v>
      </c>
      <c r="AW136" s="417">
        <v>0</v>
      </c>
      <c r="AX136" s="417">
        <f t="shared" si="130"/>
        <v>0</v>
      </c>
      <c r="AY136" s="417">
        <f t="shared" si="131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32"/>
        <v>0</v>
      </c>
      <c r="BJ136" s="418">
        <f t="shared" si="133"/>
        <v>0</v>
      </c>
      <c r="BK136" s="420">
        <f t="shared" si="134"/>
        <v>0</v>
      </c>
      <c r="BL136" s="772">
        <f t="shared" si="216"/>
        <v>11527</v>
      </c>
      <c r="BM136" s="772">
        <f t="shared" si="217"/>
        <v>8250</v>
      </c>
      <c r="BN136" s="417">
        <f t="shared" si="218"/>
        <v>0</v>
      </c>
      <c r="BO136" s="417">
        <f t="shared" si="218"/>
        <v>8250</v>
      </c>
      <c r="BP136" s="417">
        <f t="shared" si="219"/>
        <v>0</v>
      </c>
      <c r="BQ136" s="417">
        <f t="shared" si="220"/>
        <v>0</v>
      </c>
      <c r="BR136" s="417">
        <f t="shared" si="220"/>
        <v>0</v>
      </c>
      <c r="BS136" s="417">
        <f t="shared" si="221"/>
        <v>2789</v>
      </c>
      <c r="BT136" s="417">
        <f t="shared" si="221"/>
        <v>83</v>
      </c>
      <c r="BU136" s="417">
        <f t="shared" si="222"/>
        <v>405</v>
      </c>
      <c r="BV136" s="418">
        <f t="shared" si="223"/>
        <v>3.0800000000000001E-2</v>
      </c>
      <c r="BW136" s="418">
        <f t="shared" si="224"/>
        <v>0</v>
      </c>
      <c r="BX136" s="420">
        <f t="shared" si="224"/>
        <v>3.0800000000000001E-2</v>
      </c>
      <c r="BY136" s="986"/>
      <c r="BZ136" s="729"/>
      <c r="CA136" s="729"/>
      <c r="CB136" s="729"/>
      <c r="CC136" s="729"/>
      <c r="CD136" s="828"/>
      <c r="CE136" s="986"/>
      <c r="CF136" s="729"/>
      <c r="CG136" s="729"/>
      <c r="CH136" s="729"/>
      <c r="CI136" s="729"/>
      <c r="CJ136" s="828"/>
      <c r="CK136" s="315"/>
    </row>
    <row r="137" spans="1:89" ht="12.95" customHeight="1" thickBot="1">
      <c r="A137" s="646">
        <v>22</v>
      </c>
      <c r="B137" s="336">
        <v>5488</v>
      </c>
      <c r="C137" s="337">
        <v>600099326</v>
      </c>
      <c r="D137" s="336">
        <v>70695393</v>
      </c>
      <c r="E137" s="356" t="s">
        <v>450</v>
      </c>
      <c r="F137" s="336"/>
      <c r="G137" s="584"/>
      <c r="H137" s="647"/>
      <c r="I137" s="633">
        <v>4025354</v>
      </c>
      <c r="J137" s="634">
        <v>2965560</v>
      </c>
      <c r="K137" s="634">
        <v>2225378</v>
      </c>
      <c r="L137" s="634">
        <v>740182</v>
      </c>
      <c r="M137" s="634">
        <v>0</v>
      </c>
      <c r="N137" s="634">
        <v>0</v>
      </c>
      <c r="O137" s="634">
        <v>0</v>
      </c>
      <c r="P137" s="634">
        <v>1002360</v>
      </c>
      <c r="Q137" s="634">
        <v>29656</v>
      </c>
      <c r="R137" s="634">
        <v>27778</v>
      </c>
      <c r="S137" s="635">
        <v>6.4676999999999998</v>
      </c>
      <c r="T137" s="635">
        <v>4.2371999999999996</v>
      </c>
      <c r="U137" s="649">
        <v>2.2305000000000001</v>
      </c>
      <c r="V137" s="1005">
        <f t="shared" ref="V137:BK137" si="225">SUM(V131:V136)</f>
        <v>0</v>
      </c>
      <c r="W137" s="1006">
        <f t="shared" si="225"/>
        <v>0</v>
      </c>
      <c r="X137" s="1006">
        <f t="shared" si="225"/>
        <v>0</v>
      </c>
      <c r="Y137" s="1006">
        <f t="shared" si="225"/>
        <v>0</v>
      </c>
      <c r="Z137" s="1006">
        <f t="shared" si="225"/>
        <v>0</v>
      </c>
      <c r="AA137" s="1006">
        <f t="shared" si="225"/>
        <v>21887</v>
      </c>
      <c r="AB137" s="1006">
        <f t="shared" si="225"/>
        <v>0</v>
      </c>
      <c r="AC137" s="1006">
        <f t="shared" si="225"/>
        <v>0</v>
      </c>
      <c r="AD137" s="1006">
        <f t="shared" si="225"/>
        <v>0</v>
      </c>
      <c r="AE137" s="1006">
        <f t="shared" si="225"/>
        <v>0</v>
      </c>
      <c r="AF137" s="1006">
        <f t="shared" si="225"/>
        <v>21887</v>
      </c>
      <c r="AG137" s="1006">
        <f t="shared" si="225"/>
        <v>21887</v>
      </c>
      <c r="AH137" s="1006">
        <f t="shared" si="225"/>
        <v>0</v>
      </c>
      <c r="AI137" s="1006">
        <f t="shared" si="225"/>
        <v>0</v>
      </c>
      <c r="AJ137" s="1006">
        <f t="shared" si="225"/>
        <v>0</v>
      </c>
      <c r="AK137" s="1006">
        <f t="shared" si="225"/>
        <v>0</v>
      </c>
      <c r="AL137" s="1006">
        <f t="shared" si="225"/>
        <v>0</v>
      </c>
      <c r="AM137" s="1006">
        <f t="shared" si="225"/>
        <v>0</v>
      </c>
      <c r="AN137" s="1006">
        <f t="shared" si="225"/>
        <v>0</v>
      </c>
      <c r="AO137" s="1006">
        <f t="shared" si="225"/>
        <v>0</v>
      </c>
      <c r="AP137" s="1006">
        <f t="shared" si="225"/>
        <v>0</v>
      </c>
      <c r="AQ137" s="1006">
        <f t="shared" si="225"/>
        <v>21887</v>
      </c>
      <c r="AR137" s="1006">
        <f t="shared" si="225"/>
        <v>21887</v>
      </c>
      <c r="AS137" s="1006">
        <f t="shared" si="225"/>
        <v>7398</v>
      </c>
      <c r="AT137" s="1006">
        <f t="shared" si="225"/>
        <v>219</v>
      </c>
      <c r="AU137" s="1006">
        <f t="shared" si="225"/>
        <v>0</v>
      </c>
      <c r="AV137" s="1006">
        <f t="shared" si="225"/>
        <v>0</v>
      </c>
      <c r="AW137" s="1006">
        <f t="shared" si="225"/>
        <v>0</v>
      </c>
      <c r="AX137" s="1006">
        <f t="shared" si="225"/>
        <v>0</v>
      </c>
      <c r="AY137" s="1006">
        <f t="shared" si="225"/>
        <v>29504</v>
      </c>
      <c r="AZ137" s="1007">
        <f t="shared" si="225"/>
        <v>0</v>
      </c>
      <c r="BA137" s="1007">
        <f t="shared" si="225"/>
        <v>0</v>
      </c>
      <c r="BB137" s="1007">
        <f t="shared" si="225"/>
        <v>0</v>
      </c>
      <c r="BC137" s="1007">
        <f t="shared" si="225"/>
        <v>0</v>
      </c>
      <c r="BD137" s="1007">
        <f t="shared" si="225"/>
        <v>7.0000000000000007E-2</v>
      </c>
      <c r="BE137" s="1007">
        <f t="shared" si="225"/>
        <v>0</v>
      </c>
      <c r="BF137" s="1007">
        <f t="shared" si="225"/>
        <v>0</v>
      </c>
      <c r="BG137" s="1007">
        <f t="shared" si="225"/>
        <v>0</v>
      </c>
      <c r="BH137" s="1007">
        <f t="shared" si="225"/>
        <v>0</v>
      </c>
      <c r="BI137" s="1007">
        <f t="shared" si="225"/>
        <v>0</v>
      </c>
      <c r="BJ137" s="1007">
        <f t="shared" si="225"/>
        <v>7.0000000000000007E-2</v>
      </c>
      <c r="BK137" s="1008">
        <f t="shared" si="225"/>
        <v>7.0000000000000007E-2</v>
      </c>
      <c r="BL137" s="1009">
        <f t="shared" ref="BL137:CG137" si="226">SUM(BL131:BL136)</f>
        <v>4054858</v>
      </c>
      <c r="BM137" s="1009">
        <f t="shared" si="226"/>
        <v>2987447</v>
      </c>
      <c r="BN137" s="1006">
        <f t="shared" si="226"/>
        <v>2225378</v>
      </c>
      <c r="BO137" s="1006">
        <f t="shared" si="226"/>
        <v>762069</v>
      </c>
      <c r="BP137" s="1006">
        <f t="shared" si="226"/>
        <v>0</v>
      </c>
      <c r="BQ137" s="1006">
        <f t="shared" si="226"/>
        <v>0</v>
      </c>
      <c r="BR137" s="1006">
        <f t="shared" si="226"/>
        <v>0</v>
      </c>
      <c r="BS137" s="1006">
        <f t="shared" si="226"/>
        <v>1009758</v>
      </c>
      <c r="BT137" s="1006">
        <f t="shared" si="226"/>
        <v>29875</v>
      </c>
      <c r="BU137" s="1006">
        <f t="shared" si="226"/>
        <v>27778</v>
      </c>
      <c r="BV137" s="1007">
        <f t="shared" si="226"/>
        <v>6.5377000000000001</v>
      </c>
      <c r="BW137" s="1007">
        <f t="shared" si="226"/>
        <v>4.2371999999999996</v>
      </c>
      <c r="BX137" s="1008">
        <f t="shared" si="226"/>
        <v>2.3005000000000004</v>
      </c>
      <c r="BY137" s="1010">
        <f t="shared" si="226"/>
        <v>0</v>
      </c>
      <c r="BZ137" s="1011">
        <f t="shared" si="226"/>
        <v>0</v>
      </c>
      <c r="CA137" s="1011">
        <f t="shared" si="226"/>
        <v>0</v>
      </c>
      <c r="CB137" s="1011">
        <f t="shared" si="226"/>
        <v>0</v>
      </c>
      <c r="CC137" s="1011">
        <f t="shared" si="226"/>
        <v>0</v>
      </c>
      <c r="CD137" s="1012">
        <f t="shared" si="226"/>
        <v>0</v>
      </c>
      <c r="CE137" s="1013">
        <f t="shared" si="226"/>
        <v>208370</v>
      </c>
      <c r="CF137" s="1013">
        <f t="shared" si="226"/>
        <v>150720</v>
      </c>
      <c r="CG137" s="1013">
        <f t="shared" si="226"/>
        <v>50943</v>
      </c>
      <c r="CH137" s="1013">
        <f t="shared" ref="CH137:CJ137" si="227">SUM(CH131:CH136)</f>
        <v>1507</v>
      </c>
      <c r="CI137" s="1013">
        <f t="shared" si="227"/>
        <v>5200</v>
      </c>
      <c r="CJ137" s="1014">
        <f t="shared" si="227"/>
        <v>0.45350000000000001</v>
      </c>
      <c r="CK137" s="315"/>
    </row>
    <row r="138" spans="1:89" ht="12.95" customHeight="1" thickBot="1">
      <c r="A138" s="357"/>
      <c r="B138" s="358"/>
      <c r="C138" s="359"/>
      <c r="D138" s="358"/>
      <c r="E138" s="305" t="s">
        <v>758</v>
      </c>
      <c r="F138" s="358"/>
      <c r="G138" s="583"/>
      <c r="H138" s="648"/>
      <c r="I138" s="478">
        <f t="shared" ref="I138:AN138" si="228">I16+I21+I27+I29+I36+I43+I50+I58+I61+I65+I72+I79+I83+I87+I93+I97+I105+I112+I120+I124+I130+I137</f>
        <v>314266403</v>
      </c>
      <c r="J138" s="479">
        <f t="shared" si="228"/>
        <v>229535233</v>
      </c>
      <c r="K138" s="479">
        <f t="shared" si="228"/>
        <v>192497290</v>
      </c>
      <c r="L138" s="479">
        <f t="shared" si="228"/>
        <v>37037943</v>
      </c>
      <c r="M138" s="479">
        <f t="shared" si="228"/>
        <v>1383629</v>
      </c>
      <c r="N138" s="479">
        <f t="shared" si="228"/>
        <v>954029</v>
      </c>
      <c r="O138" s="479">
        <f t="shared" si="228"/>
        <v>429600</v>
      </c>
      <c r="P138" s="479">
        <f t="shared" si="228"/>
        <v>77989505</v>
      </c>
      <c r="Q138" s="479">
        <f t="shared" si="228"/>
        <v>2295352</v>
      </c>
      <c r="R138" s="479">
        <f t="shared" si="228"/>
        <v>3062684</v>
      </c>
      <c r="S138" s="480">
        <f t="shared" si="228"/>
        <v>436.20259999999996</v>
      </c>
      <c r="T138" s="480">
        <f t="shared" si="228"/>
        <v>324.03229999999996</v>
      </c>
      <c r="U138" s="585">
        <f t="shared" si="228"/>
        <v>112.17029999999998</v>
      </c>
      <c r="V138" s="578">
        <f t="shared" si="228"/>
        <v>235110</v>
      </c>
      <c r="W138" s="773">
        <f t="shared" si="228"/>
        <v>-112840</v>
      </c>
      <c r="X138" s="636">
        <f t="shared" si="228"/>
        <v>129074</v>
      </c>
      <c r="Y138" s="636">
        <f t="shared" si="228"/>
        <v>28466</v>
      </c>
      <c r="Z138" s="765">
        <f t="shared" si="228"/>
        <v>-159616</v>
      </c>
      <c r="AA138" s="636">
        <f t="shared" si="228"/>
        <v>-155920</v>
      </c>
      <c r="AB138" s="636">
        <f t="shared" si="228"/>
        <v>0</v>
      </c>
      <c r="AC138" s="636">
        <f t="shared" si="228"/>
        <v>0</v>
      </c>
      <c r="AD138" s="636">
        <f t="shared" si="228"/>
        <v>0</v>
      </c>
      <c r="AE138" s="636">
        <f t="shared" si="228"/>
        <v>233034</v>
      </c>
      <c r="AF138" s="636">
        <f t="shared" si="228"/>
        <v>-268760</v>
      </c>
      <c r="AG138" s="636">
        <f t="shared" si="228"/>
        <v>-35726</v>
      </c>
      <c r="AH138" s="636">
        <f t="shared" si="228"/>
        <v>-235110</v>
      </c>
      <c r="AI138" s="636">
        <f t="shared" si="228"/>
        <v>112840</v>
      </c>
      <c r="AJ138" s="636">
        <f t="shared" si="228"/>
        <v>0</v>
      </c>
      <c r="AK138" s="636">
        <f t="shared" si="228"/>
        <v>0</v>
      </c>
      <c r="AL138" s="636">
        <f t="shared" si="228"/>
        <v>0</v>
      </c>
      <c r="AM138" s="636">
        <f t="shared" si="228"/>
        <v>-235110</v>
      </c>
      <c r="AN138" s="636">
        <f t="shared" si="228"/>
        <v>112840</v>
      </c>
      <c r="AO138" s="636">
        <f t="shared" ref="AO138:BT138" si="229">AO16+AO21+AO27+AO29+AO36+AO43+AO50+AO58+AO61+AO65+AO72+AO79+AO83+AO87+AO93+AO97+AO105+AO112+AO120+AO124+AO130+AO137</f>
        <v>-122270</v>
      </c>
      <c r="AP138" s="636">
        <f t="shared" si="229"/>
        <v>-2076</v>
      </c>
      <c r="AQ138" s="636">
        <f t="shared" si="229"/>
        <v>-155920</v>
      </c>
      <c r="AR138" s="636">
        <f t="shared" si="229"/>
        <v>-157996</v>
      </c>
      <c r="AS138" s="636">
        <f t="shared" si="229"/>
        <v>-53403</v>
      </c>
      <c r="AT138" s="636">
        <f t="shared" si="229"/>
        <v>-357</v>
      </c>
      <c r="AU138" s="636">
        <f t="shared" si="229"/>
        <v>7150</v>
      </c>
      <c r="AV138" s="636">
        <f t="shared" si="229"/>
        <v>0</v>
      </c>
      <c r="AW138" s="636">
        <f t="shared" si="229"/>
        <v>0</v>
      </c>
      <c r="AX138" s="636">
        <f t="shared" si="229"/>
        <v>7150</v>
      </c>
      <c r="AY138" s="636">
        <f t="shared" si="229"/>
        <v>-204606</v>
      </c>
      <c r="AZ138" s="637">
        <f t="shared" si="229"/>
        <v>9.9999999999999811E-3</v>
      </c>
      <c r="BA138" s="637">
        <f t="shared" si="229"/>
        <v>-0.23</v>
      </c>
      <c r="BB138" s="637">
        <f t="shared" si="229"/>
        <v>0.21999999999999997</v>
      </c>
      <c r="BC138" s="637">
        <f t="shared" si="229"/>
        <v>-0.32000000000000006</v>
      </c>
      <c r="BD138" s="637">
        <f t="shared" si="229"/>
        <v>-0.45</v>
      </c>
      <c r="BE138" s="637">
        <f t="shared" si="229"/>
        <v>0.04</v>
      </c>
      <c r="BF138" s="637">
        <f t="shared" si="229"/>
        <v>0</v>
      </c>
      <c r="BG138" s="637">
        <f t="shared" si="229"/>
        <v>0</v>
      </c>
      <c r="BH138" s="637">
        <f t="shared" si="229"/>
        <v>0</v>
      </c>
      <c r="BI138" s="637">
        <f t="shared" si="229"/>
        <v>-4.9999999999999989E-2</v>
      </c>
      <c r="BJ138" s="637">
        <f t="shared" si="229"/>
        <v>-0.67999999999999994</v>
      </c>
      <c r="BK138" s="650">
        <f t="shared" si="229"/>
        <v>-0.73</v>
      </c>
      <c r="BL138" s="578">
        <f t="shared" si="229"/>
        <v>314061797</v>
      </c>
      <c r="BM138" s="773">
        <f t="shared" si="229"/>
        <v>229499507</v>
      </c>
      <c r="BN138" s="636">
        <f t="shared" si="229"/>
        <v>192730324</v>
      </c>
      <c r="BO138" s="636">
        <f t="shared" si="229"/>
        <v>36769183</v>
      </c>
      <c r="BP138" s="636">
        <f t="shared" si="229"/>
        <v>1261359</v>
      </c>
      <c r="BQ138" s="636">
        <f t="shared" si="229"/>
        <v>718919</v>
      </c>
      <c r="BR138" s="636">
        <f t="shared" si="229"/>
        <v>542440</v>
      </c>
      <c r="BS138" s="636">
        <f t="shared" si="229"/>
        <v>77936102</v>
      </c>
      <c r="BT138" s="636">
        <f t="shared" si="229"/>
        <v>2294995</v>
      </c>
      <c r="BU138" s="636">
        <f t="shared" ref="BU138:CJ138" si="230">BU16+BU21+BU27+BU29+BU36+BU43+BU50+BU58+BU61+BU65+BU72+BU79+BU83+BU87+BU93+BU97+BU105+BU112+BU120+BU124+BU130+BU137</f>
        <v>3069834</v>
      </c>
      <c r="BV138" s="637">
        <f t="shared" si="230"/>
        <v>435.47259999999994</v>
      </c>
      <c r="BW138" s="637">
        <f t="shared" si="230"/>
        <v>323.98229999999995</v>
      </c>
      <c r="BX138" s="767">
        <f t="shared" si="230"/>
        <v>111.4903</v>
      </c>
      <c r="BY138" s="725">
        <f t="shared" si="230"/>
        <v>1976708</v>
      </c>
      <c r="BZ138" s="669">
        <f t="shared" si="230"/>
        <v>1466400</v>
      </c>
      <c r="CA138" s="669">
        <f t="shared" si="230"/>
        <v>0</v>
      </c>
      <c r="CB138" s="669">
        <f t="shared" si="230"/>
        <v>495644</v>
      </c>
      <c r="CC138" s="669">
        <f t="shared" si="230"/>
        <v>14664</v>
      </c>
      <c r="CD138" s="726">
        <f t="shared" si="230"/>
        <v>2.6</v>
      </c>
      <c r="CE138" s="1015">
        <f t="shared" si="230"/>
        <v>10265860</v>
      </c>
      <c r="CF138" s="1015">
        <f t="shared" si="230"/>
        <v>7097252</v>
      </c>
      <c r="CG138" s="1015">
        <f t="shared" si="230"/>
        <v>2398869</v>
      </c>
      <c r="CH138" s="1015">
        <f t="shared" si="230"/>
        <v>70971</v>
      </c>
      <c r="CI138" s="1015">
        <f t="shared" si="230"/>
        <v>698768</v>
      </c>
      <c r="CJ138" s="932">
        <f t="shared" si="230"/>
        <v>21.519399999999997</v>
      </c>
    </row>
    <row r="139" spans="1:89" ht="12.95" customHeight="1">
      <c r="B139" s="309"/>
      <c r="C139" s="360"/>
      <c r="D139" s="309"/>
      <c r="E139" s="310"/>
      <c r="F139" s="309"/>
      <c r="I139" s="427">
        <f>J138+M138+P138+Q138+R138</f>
        <v>314266403</v>
      </c>
      <c r="J139" s="427">
        <f>SUM(K138:L138)</f>
        <v>229535233</v>
      </c>
      <c r="K139" s="427"/>
      <c r="L139" s="427"/>
      <c r="M139" s="427">
        <f>SUM(N138:O138)</f>
        <v>1383629</v>
      </c>
      <c r="N139" s="427"/>
      <c r="O139" s="427"/>
      <c r="P139" s="427"/>
      <c r="Q139" s="427"/>
      <c r="R139" s="427"/>
      <c r="S139" s="428">
        <f>SUM(T138:U138)</f>
        <v>436.20259999999996</v>
      </c>
      <c r="T139" s="428"/>
      <c r="U139" s="428"/>
      <c r="V139" s="427">
        <f>AH138</f>
        <v>-235110</v>
      </c>
      <c r="W139" s="427">
        <f>AI138</f>
        <v>112840</v>
      </c>
      <c r="X139" s="428"/>
      <c r="Y139" s="428"/>
      <c r="Z139" s="428"/>
      <c r="AA139" s="428"/>
      <c r="AB139" s="427"/>
      <c r="AC139" s="428"/>
      <c r="AD139" s="428"/>
      <c r="AE139" s="429"/>
      <c r="AF139" s="429"/>
      <c r="AG139" s="429">
        <f>SUM(AE138:AF138)</f>
        <v>-35726</v>
      </c>
      <c r="AH139" s="429">
        <f>V138</f>
        <v>235110</v>
      </c>
      <c r="AI139" s="429">
        <f>W138</f>
        <v>-112840</v>
      </c>
      <c r="AJ139" s="430"/>
      <c r="AK139" s="430"/>
      <c r="AL139" s="430"/>
      <c r="AM139" s="429"/>
      <c r="AN139" s="429"/>
      <c r="AO139" s="429">
        <f>SUM(AM138:AN138)</f>
        <v>-122270</v>
      </c>
      <c r="AP139" s="429"/>
      <c r="AQ139" s="429"/>
      <c r="AR139" s="429">
        <f>SUM(AP138:AQ138)</f>
        <v>-157996</v>
      </c>
      <c r="AS139" s="431"/>
      <c r="AT139" s="431"/>
      <c r="AU139" s="430"/>
      <c r="AV139" s="430"/>
      <c r="AW139" s="429"/>
      <c r="AX139" s="429">
        <f>SUM(AU138:AW138)</f>
        <v>7150</v>
      </c>
      <c r="AY139" s="429">
        <f>AG138+AO138+AS138+AT138+AX138</f>
        <v>-204606</v>
      </c>
      <c r="AZ139" s="432"/>
      <c r="BA139" s="432"/>
      <c r="BB139" s="432"/>
      <c r="BC139" s="432"/>
      <c r="BD139" s="432"/>
      <c r="BE139" s="432"/>
      <c r="BF139" s="507"/>
      <c r="BG139" s="432"/>
      <c r="BH139" s="432"/>
      <c r="BI139" s="507">
        <f>AZ138+BB138+BC138+BE138+BG138</f>
        <v>-5.0000000000000107E-2</v>
      </c>
      <c r="BJ139" s="507">
        <f>BA138+BD138+BF138+BH138</f>
        <v>-0.68</v>
      </c>
      <c r="BK139" s="507">
        <f>SUM(BI138:BJ138)</f>
        <v>-0.73</v>
      </c>
      <c r="BL139" s="427">
        <f>BM138+BP138+BS138+BT138+BU138</f>
        <v>314061797</v>
      </c>
      <c r="BM139" s="427">
        <f>SUM(BN138:BO138)</f>
        <v>229499507</v>
      </c>
      <c r="BN139" s="429">
        <f>K138+AE138</f>
        <v>192730324</v>
      </c>
      <c r="BO139" s="429">
        <f>L138+AF138</f>
        <v>36769183</v>
      </c>
      <c r="BP139" s="86">
        <f>SUM(BQ138:BR138)</f>
        <v>1261359</v>
      </c>
      <c r="BQ139" s="429">
        <f>N138+AM138</f>
        <v>718919</v>
      </c>
      <c r="BR139" s="429">
        <f>O138+AN138</f>
        <v>542440</v>
      </c>
      <c r="BS139" s="429">
        <f>P138+AS138</f>
        <v>77936102</v>
      </c>
      <c r="BT139" s="429">
        <f>Q138+AT138</f>
        <v>2294995</v>
      </c>
      <c r="BU139" s="429">
        <f>R138+AX138</f>
        <v>3069834</v>
      </c>
      <c r="BV139" s="428">
        <f>SUM(BW138:BX138)</f>
        <v>435.47259999999994</v>
      </c>
      <c r="BW139" s="507">
        <f>T138+BI138</f>
        <v>323.98229999999995</v>
      </c>
      <c r="BX139" s="507">
        <f>U138+BJ138</f>
        <v>111.49029999999998</v>
      </c>
      <c r="BY139" s="235">
        <f>SUM(BZ138:CC138)</f>
        <v>1976708</v>
      </c>
      <c r="BZ139" s="8"/>
      <c r="CA139" s="8"/>
      <c r="CB139" s="8"/>
      <c r="CC139" s="8"/>
      <c r="CD139" s="7"/>
      <c r="CE139" s="235">
        <f>SUM(CF138:CI138)</f>
        <v>10265860</v>
      </c>
      <c r="CF139" s="8"/>
      <c r="CG139" s="8"/>
      <c r="CH139" s="8"/>
      <c r="CI139" s="8"/>
      <c r="CJ139" s="7"/>
    </row>
    <row r="140" spans="1:89" ht="12.95" customHeight="1" thickBot="1">
      <c r="B140" s="309"/>
      <c r="C140" s="360"/>
      <c r="D140" s="309"/>
      <c r="F140" s="309"/>
      <c r="I140" s="427">
        <f>J141+M141+P141+Q141+R141</f>
        <v>314266403</v>
      </c>
      <c r="J140" s="427">
        <f>SUM(K141:L141)</f>
        <v>229535233</v>
      </c>
      <c r="K140" s="427"/>
      <c r="L140" s="427"/>
      <c r="M140" s="427">
        <f>SUM(N141:O141)</f>
        <v>1383629</v>
      </c>
      <c r="N140" s="427"/>
      <c r="O140" s="427"/>
      <c r="P140" s="427"/>
      <c r="Q140" s="427"/>
      <c r="R140" s="427"/>
      <c r="S140" s="428">
        <f>SUM(T141:U141)</f>
        <v>436.20259999999996</v>
      </c>
      <c r="T140" s="428"/>
      <c r="U140" s="428"/>
      <c r="V140" s="427">
        <f>AH141</f>
        <v>-235110</v>
      </c>
      <c r="W140" s="427">
        <f>AI141</f>
        <v>112840</v>
      </c>
      <c r="X140" s="428"/>
      <c r="Y140" s="428"/>
      <c r="Z140" s="428"/>
      <c r="AA140" s="428"/>
      <c r="AB140" s="427"/>
      <c r="AC140" s="428"/>
      <c r="AD140" s="428"/>
      <c r="AE140" s="429"/>
      <c r="AF140" s="429"/>
      <c r="AG140" s="429">
        <f>SUM(AE141:AF141)</f>
        <v>-35726</v>
      </c>
      <c r="AH140" s="429"/>
      <c r="AI140" s="429"/>
      <c r="AJ140" s="430"/>
      <c r="AK140" s="430"/>
      <c r="AL140" s="430"/>
      <c r="AM140" s="429"/>
      <c r="AN140" s="429"/>
      <c r="AO140" s="429">
        <f>SUM(AM141:AN141)</f>
        <v>-122270</v>
      </c>
      <c r="AP140" s="429"/>
      <c r="AQ140" s="429"/>
      <c r="AR140" s="429">
        <f>SUM(AP141:AQ141)</f>
        <v>-157996</v>
      </c>
      <c r="AS140" s="431"/>
      <c r="AT140" s="431"/>
      <c r="AU140" s="430"/>
      <c r="AV140" s="430"/>
      <c r="AW140" s="429"/>
      <c r="AX140" s="429">
        <f>SUM(AU141:AW141)</f>
        <v>7150</v>
      </c>
      <c r="AY140" s="429">
        <f>AG141+AO141+AS141+AT141+AX141</f>
        <v>-204606</v>
      </c>
      <c r="AZ140" s="432"/>
      <c r="BA140" s="432"/>
      <c r="BB140" s="432"/>
      <c r="BC140" s="432"/>
      <c r="BD140" s="432"/>
      <c r="BE140" s="432"/>
      <c r="BF140" s="507"/>
      <c r="BG140" s="432"/>
      <c r="BH140" s="432"/>
      <c r="BI140" s="507">
        <f>AZ141+BB141+BC141+BE141+BG141</f>
        <v>-5.0000000000000107E-2</v>
      </c>
      <c r="BJ140" s="507">
        <f>BA141+BD141+BF141+BH141</f>
        <v>-0.68</v>
      </c>
      <c r="BK140" s="507">
        <f>SUM(BI141:BJ141)</f>
        <v>-0.73000000000000009</v>
      </c>
      <c r="BL140" s="427">
        <f>BM141+BP141+BS141+BT141+BU141</f>
        <v>314061797</v>
      </c>
      <c r="BM140" s="427">
        <f>SUM(BN141:BO141)</f>
        <v>229499507</v>
      </c>
      <c r="BN140" s="53"/>
      <c r="BO140" s="53"/>
      <c r="BP140" s="86">
        <f>SUM(BQ141:BR141)</f>
        <v>1261359</v>
      </c>
      <c r="BQ140" s="53"/>
      <c r="BR140" s="53"/>
      <c r="BS140" s="53"/>
      <c r="BT140" s="53"/>
      <c r="BU140" s="53"/>
      <c r="BV140" s="428">
        <f>SUM(BW141:BX141)</f>
        <v>435.4726</v>
      </c>
      <c r="BW140" s="87"/>
      <c r="BX140" s="87"/>
      <c r="BY140" s="235">
        <f>SUM(BZ141:CC141)</f>
        <v>1976708</v>
      </c>
      <c r="BZ140" s="8"/>
      <c r="CA140" s="8"/>
      <c r="CB140" s="8"/>
      <c r="CC140" s="8"/>
      <c r="CD140" s="7"/>
      <c r="CE140" s="235">
        <f>SUM(CF141:CI141)</f>
        <v>10265860</v>
      </c>
      <c r="CF140" s="8"/>
      <c r="CG140" s="8"/>
      <c r="CH140" s="8"/>
      <c r="CI140" s="8"/>
      <c r="CJ140" s="7"/>
    </row>
    <row r="141" spans="1:89" s="89" customFormat="1" ht="12.95" customHeight="1" thickBot="1">
      <c r="D141" s="311"/>
      <c r="E141" s="312"/>
      <c r="F141" s="311"/>
      <c r="G141" s="313"/>
      <c r="H141" s="22" t="s">
        <v>0</v>
      </c>
      <c r="I141" s="478">
        <f t="shared" ref="I141:BW141" si="231">SUM(I142:I151)</f>
        <v>314266403</v>
      </c>
      <c r="J141" s="479">
        <f t="shared" si="231"/>
        <v>229535233</v>
      </c>
      <c r="K141" s="479">
        <f t="shared" si="231"/>
        <v>192497290</v>
      </c>
      <c r="L141" s="479">
        <f t="shared" si="231"/>
        <v>37037943</v>
      </c>
      <c r="M141" s="479">
        <f t="shared" si="231"/>
        <v>1383629</v>
      </c>
      <c r="N141" s="479">
        <f t="shared" si="231"/>
        <v>954029</v>
      </c>
      <c r="O141" s="479">
        <f t="shared" si="231"/>
        <v>429600</v>
      </c>
      <c r="P141" s="479">
        <f t="shared" si="231"/>
        <v>77989505</v>
      </c>
      <c r="Q141" s="479">
        <f t="shared" si="231"/>
        <v>2295352</v>
      </c>
      <c r="R141" s="479">
        <f t="shared" si="231"/>
        <v>3062684</v>
      </c>
      <c r="S141" s="480">
        <f t="shared" si="231"/>
        <v>436.2025999999999</v>
      </c>
      <c r="T141" s="480">
        <f t="shared" si="231"/>
        <v>324.03229999999996</v>
      </c>
      <c r="U141" s="481">
        <f t="shared" si="231"/>
        <v>112.1703</v>
      </c>
      <c r="V141" s="560">
        <f t="shared" si="231"/>
        <v>235110</v>
      </c>
      <c r="W141" s="479">
        <f t="shared" si="231"/>
        <v>-112840</v>
      </c>
      <c r="X141" s="479">
        <f t="shared" si="231"/>
        <v>129074</v>
      </c>
      <c r="Y141" s="479">
        <f t="shared" si="231"/>
        <v>28466</v>
      </c>
      <c r="Z141" s="754">
        <f t="shared" si="231"/>
        <v>-159616</v>
      </c>
      <c r="AA141" s="479">
        <f t="shared" si="231"/>
        <v>-155920</v>
      </c>
      <c r="AB141" s="479">
        <f t="shared" si="231"/>
        <v>0</v>
      </c>
      <c r="AC141" s="479">
        <f t="shared" si="231"/>
        <v>0</v>
      </c>
      <c r="AD141" s="479">
        <f t="shared" si="231"/>
        <v>0</v>
      </c>
      <c r="AE141" s="479">
        <f t="shared" si="231"/>
        <v>233034</v>
      </c>
      <c r="AF141" s="479">
        <f t="shared" si="231"/>
        <v>-268760</v>
      </c>
      <c r="AG141" s="479">
        <f t="shared" si="231"/>
        <v>-35726</v>
      </c>
      <c r="AH141" s="479">
        <f t="shared" si="231"/>
        <v>-235110</v>
      </c>
      <c r="AI141" s="479">
        <f t="shared" si="231"/>
        <v>112840</v>
      </c>
      <c r="AJ141" s="479">
        <f t="shared" si="231"/>
        <v>0</v>
      </c>
      <c r="AK141" s="479">
        <f t="shared" si="231"/>
        <v>0</v>
      </c>
      <c r="AL141" s="479">
        <f t="shared" si="231"/>
        <v>0</v>
      </c>
      <c r="AM141" s="479">
        <f t="shared" si="231"/>
        <v>-235110</v>
      </c>
      <c r="AN141" s="479">
        <f t="shared" si="231"/>
        <v>112840</v>
      </c>
      <c r="AO141" s="479">
        <f t="shared" si="231"/>
        <v>-122270</v>
      </c>
      <c r="AP141" s="479">
        <f t="shared" si="231"/>
        <v>-2076</v>
      </c>
      <c r="AQ141" s="479">
        <f t="shared" si="231"/>
        <v>-155920</v>
      </c>
      <c r="AR141" s="479">
        <f t="shared" si="231"/>
        <v>-157996</v>
      </c>
      <c r="AS141" s="479">
        <f t="shared" si="231"/>
        <v>-53403</v>
      </c>
      <c r="AT141" s="479">
        <f t="shared" si="231"/>
        <v>-357</v>
      </c>
      <c r="AU141" s="479">
        <f t="shared" si="231"/>
        <v>7150</v>
      </c>
      <c r="AV141" s="479">
        <f t="shared" si="231"/>
        <v>0</v>
      </c>
      <c r="AW141" s="479">
        <f t="shared" si="231"/>
        <v>0</v>
      </c>
      <c r="AX141" s="479">
        <f t="shared" si="231"/>
        <v>7150</v>
      </c>
      <c r="AY141" s="479">
        <f t="shared" si="231"/>
        <v>-204606</v>
      </c>
      <c r="AZ141" s="480">
        <f t="shared" si="231"/>
        <v>9.9999999999999881E-3</v>
      </c>
      <c r="BA141" s="480">
        <f t="shared" si="231"/>
        <v>-0.23000000000000004</v>
      </c>
      <c r="BB141" s="480">
        <f t="shared" si="231"/>
        <v>0.21999999999999997</v>
      </c>
      <c r="BC141" s="480">
        <f t="shared" si="231"/>
        <v>-0.32000000000000006</v>
      </c>
      <c r="BD141" s="480">
        <f t="shared" si="231"/>
        <v>-0.45</v>
      </c>
      <c r="BE141" s="480">
        <f t="shared" si="231"/>
        <v>0.04</v>
      </c>
      <c r="BF141" s="480">
        <f t="shared" si="231"/>
        <v>0</v>
      </c>
      <c r="BG141" s="480">
        <f t="shared" si="231"/>
        <v>0</v>
      </c>
      <c r="BH141" s="480">
        <f t="shared" si="231"/>
        <v>0</v>
      </c>
      <c r="BI141" s="480">
        <f t="shared" si="231"/>
        <v>-0.05</v>
      </c>
      <c r="BJ141" s="480">
        <f t="shared" si="231"/>
        <v>-0.68</v>
      </c>
      <c r="BK141" s="585">
        <f t="shared" si="231"/>
        <v>-0.73</v>
      </c>
      <c r="BL141" s="478">
        <f t="shared" si="231"/>
        <v>314061797</v>
      </c>
      <c r="BM141" s="479">
        <f t="shared" si="231"/>
        <v>229499507</v>
      </c>
      <c r="BN141" s="479">
        <f t="shared" si="231"/>
        <v>192730324</v>
      </c>
      <c r="BO141" s="479">
        <f t="shared" si="231"/>
        <v>36769183</v>
      </c>
      <c r="BP141" s="479">
        <f t="shared" si="231"/>
        <v>1261359</v>
      </c>
      <c r="BQ141" s="479">
        <f t="shared" si="231"/>
        <v>718919</v>
      </c>
      <c r="BR141" s="479">
        <f t="shared" si="231"/>
        <v>542440</v>
      </c>
      <c r="BS141" s="479">
        <f t="shared" si="231"/>
        <v>77936102</v>
      </c>
      <c r="BT141" s="479">
        <f t="shared" si="231"/>
        <v>2294995</v>
      </c>
      <c r="BU141" s="479">
        <f t="shared" si="231"/>
        <v>3069834</v>
      </c>
      <c r="BV141" s="480">
        <f t="shared" si="231"/>
        <v>435.47259999999994</v>
      </c>
      <c r="BW141" s="480">
        <f t="shared" si="231"/>
        <v>323.98230000000001</v>
      </c>
      <c r="BX141" s="585">
        <f t="shared" ref="BX141:CJ141" si="232">SUM(BX142:BX151)</f>
        <v>111.49029999999999</v>
      </c>
      <c r="BY141" s="725">
        <f t="shared" si="232"/>
        <v>1976708</v>
      </c>
      <c r="BZ141" s="669">
        <f t="shared" si="232"/>
        <v>1466400</v>
      </c>
      <c r="CA141" s="669">
        <f t="shared" si="232"/>
        <v>0</v>
      </c>
      <c r="CB141" s="669">
        <f t="shared" si="232"/>
        <v>495644</v>
      </c>
      <c r="CC141" s="669">
        <f t="shared" si="232"/>
        <v>14664</v>
      </c>
      <c r="CD141" s="726">
        <f t="shared" si="232"/>
        <v>2.6</v>
      </c>
      <c r="CE141" s="1015">
        <f t="shared" si="232"/>
        <v>10265860</v>
      </c>
      <c r="CF141" s="1015">
        <f t="shared" si="232"/>
        <v>7097252</v>
      </c>
      <c r="CG141" s="1015">
        <f t="shared" si="232"/>
        <v>2398869</v>
      </c>
      <c r="CH141" s="1015">
        <f t="shared" si="232"/>
        <v>70971</v>
      </c>
      <c r="CI141" s="1015">
        <f t="shared" si="232"/>
        <v>698768</v>
      </c>
      <c r="CJ141" s="932">
        <f t="shared" si="232"/>
        <v>21.519399999999997</v>
      </c>
    </row>
    <row r="142" spans="1:89" s="89" customFormat="1" ht="12.95" customHeight="1">
      <c r="D142" s="311"/>
      <c r="E142" s="312"/>
      <c r="F142" s="311"/>
      <c r="G142" s="313"/>
      <c r="H142" s="1">
        <v>3111</v>
      </c>
      <c r="I142" s="488">
        <f t="shared" ref="I142:AN142" si="233">SUMIF($F$12:$F$452,"=3111",I$12:I$452)</f>
        <v>69032343</v>
      </c>
      <c r="J142" s="489">
        <f t="shared" si="233"/>
        <v>50514563</v>
      </c>
      <c r="K142" s="489">
        <f t="shared" si="233"/>
        <v>45225848</v>
      </c>
      <c r="L142" s="489">
        <f t="shared" si="233"/>
        <v>5288715</v>
      </c>
      <c r="M142" s="489">
        <f t="shared" si="233"/>
        <v>516869</v>
      </c>
      <c r="N142" s="489">
        <f t="shared" si="233"/>
        <v>313069</v>
      </c>
      <c r="O142" s="489">
        <f t="shared" si="233"/>
        <v>203800</v>
      </c>
      <c r="P142" s="489">
        <f t="shared" si="233"/>
        <v>17187555</v>
      </c>
      <c r="Q142" s="489">
        <f t="shared" si="233"/>
        <v>505146</v>
      </c>
      <c r="R142" s="489">
        <f t="shared" si="233"/>
        <v>308210</v>
      </c>
      <c r="S142" s="492">
        <f t="shared" si="233"/>
        <v>99.3797</v>
      </c>
      <c r="T142" s="492">
        <f t="shared" si="233"/>
        <v>80.351300000000009</v>
      </c>
      <c r="U142" s="495">
        <f t="shared" si="233"/>
        <v>19.028399999999994</v>
      </c>
      <c r="V142" s="490">
        <f t="shared" si="233"/>
        <v>20000</v>
      </c>
      <c r="W142" s="489">
        <f t="shared" si="233"/>
        <v>-36440</v>
      </c>
      <c r="X142" s="489">
        <f t="shared" si="233"/>
        <v>0</v>
      </c>
      <c r="Y142" s="489">
        <f t="shared" si="233"/>
        <v>0</v>
      </c>
      <c r="Z142" s="489">
        <f t="shared" si="233"/>
        <v>-73496</v>
      </c>
      <c r="AA142" s="489">
        <f t="shared" si="233"/>
        <v>0</v>
      </c>
      <c r="AB142" s="489">
        <f t="shared" si="233"/>
        <v>0</v>
      </c>
      <c r="AC142" s="489">
        <f t="shared" si="233"/>
        <v>0</v>
      </c>
      <c r="AD142" s="489">
        <f t="shared" si="233"/>
        <v>0</v>
      </c>
      <c r="AE142" s="489">
        <f t="shared" si="233"/>
        <v>-53496</v>
      </c>
      <c r="AF142" s="489">
        <f t="shared" si="233"/>
        <v>-36440</v>
      </c>
      <c r="AG142" s="489">
        <f t="shared" si="233"/>
        <v>-89936</v>
      </c>
      <c r="AH142" s="489">
        <f t="shared" si="233"/>
        <v>-20000</v>
      </c>
      <c r="AI142" s="489">
        <f t="shared" si="233"/>
        <v>36440</v>
      </c>
      <c r="AJ142" s="489">
        <f t="shared" si="233"/>
        <v>0</v>
      </c>
      <c r="AK142" s="489">
        <f t="shared" si="233"/>
        <v>0</v>
      </c>
      <c r="AL142" s="489">
        <f t="shared" si="233"/>
        <v>0</v>
      </c>
      <c r="AM142" s="489">
        <f t="shared" si="233"/>
        <v>-20000</v>
      </c>
      <c r="AN142" s="489">
        <f t="shared" si="233"/>
        <v>36440</v>
      </c>
      <c r="AO142" s="489">
        <f t="shared" ref="AO142:BT142" si="234">SUMIF($F$12:$F$452,"=3111",AO$12:AO$452)</f>
        <v>16440</v>
      </c>
      <c r="AP142" s="489">
        <f t="shared" si="234"/>
        <v>-73496</v>
      </c>
      <c r="AQ142" s="489">
        <f t="shared" si="234"/>
        <v>0</v>
      </c>
      <c r="AR142" s="489">
        <f t="shared" si="234"/>
        <v>-73496</v>
      </c>
      <c r="AS142" s="489">
        <f t="shared" si="234"/>
        <v>-24842</v>
      </c>
      <c r="AT142" s="489">
        <f t="shared" si="234"/>
        <v>-899</v>
      </c>
      <c r="AU142" s="489">
        <f t="shared" si="234"/>
        <v>0</v>
      </c>
      <c r="AV142" s="489">
        <f t="shared" si="234"/>
        <v>0</v>
      </c>
      <c r="AW142" s="489">
        <f t="shared" si="234"/>
        <v>0</v>
      </c>
      <c r="AX142" s="489">
        <f t="shared" si="234"/>
        <v>0</v>
      </c>
      <c r="AY142" s="489">
        <f t="shared" si="234"/>
        <v>-99237</v>
      </c>
      <c r="AZ142" s="492">
        <f t="shared" si="234"/>
        <v>0.03</v>
      </c>
      <c r="BA142" s="492">
        <f t="shared" si="234"/>
        <v>-0.05</v>
      </c>
      <c r="BB142" s="492">
        <f t="shared" si="234"/>
        <v>0</v>
      </c>
      <c r="BC142" s="492">
        <f t="shared" si="234"/>
        <v>-0.17</v>
      </c>
      <c r="BD142" s="492">
        <f t="shared" si="234"/>
        <v>0</v>
      </c>
      <c r="BE142" s="492">
        <f t="shared" si="234"/>
        <v>0</v>
      </c>
      <c r="BF142" s="492">
        <f t="shared" si="234"/>
        <v>0</v>
      </c>
      <c r="BG142" s="492">
        <f t="shared" si="234"/>
        <v>0</v>
      </c>
      <c r="BH142" s="492">
        <f t="shared" si="234"/>
        <v>0</v>
      </c>
      <c r="BI142" s="492">
        <f t="shared" si="234"/>
        <v>-0.14000000000000001</v>
      </c>
      <c r="BJ142" s="492">
        <f t="shared" si="234"/>
        <v>-0.05</v>
      </c>
      <c r="BK142" s="493">
        <f t="shared" si="234"/>
        <v>-0.19000000000000003</v>
      </c>
      <c r="BL142" s="488">
        <f t="shared" si="234"/>
        <v>68933106</v>
      </c>
      <c r="BM142" s="489">
        <f t="shared" si="234"/>
        <v>50424627</v>
      </c>
      <c r="BN142" s="489">
        <f t="shared" si="234"/>
        <v>45172352</v>
      </c>
      <c r="BO142" s="489">
        <f t="shared" si="234"/>
        <v>5252275</v>
      </c>
      <c r="BP142" s="489">
        <f t="shared" si="234"/>
        <v>533309</v>
      </c>
      <c r="BQ142" s="489">
        <f t="shared" si="234"/>
        <v>293069</v>
      </c>
      <c r="BR142" s="489">
        <f t="shared" si="234"/>
        <v>240240</v>
      </c>
      <c r="BS142" s="489">
        <f t="shared" si="234"/>
        <v>17162713</v>
      </c>
      <c r="BT142" s="489">
        <f t="shared" si="234"/>
        <v>504247</v>
      </c>
      <c r="BU142" s="489">
        <f t="shared" ref="BU142:CJ142" si="235">SUMIF($F$12:$F$452,"=3111",BU$12:BU$452)</f>
        <v>308210</v>
      </c>
      <c r="BV142" s="492">
        <f t="shared" si="235"/>
        <v>99.189700000000002</v>
      </c>
      <c r="BW142" s="492">
        <f t="shared" si="235"/>
        <v>80.211299999999994</v>
      </c>
      <c r="BX142" s="493">
        <f t="shared" si="235"/>
        <v>18.978399999999997</v>
      </c>
      <c r="BY142" s="488">
        <f t="shared" si="235"/>
        <v>0</v>
      </c>
      <c r="BZ142" s="489">
        <f t="shared" si="235"/>
        <v>0</v>
      </c>
      <c r="CA142" s="489">
        <f t="shared" si="235"/>
        <v>0</v>
      </c>
      <c r="CB142" s="489">
        <f t="shared" si="235"/>
        <v>0</v>
      </c>
      <c r="CC142" s="489">
        <f t="shared" si="235"/>
        <v>0</v>
      </c>
      <c r="CD142" s="495">
        <f t="shared" si="235"/>
        <v>0</v>
      </c>
      <c r="CE142" s="488">
        <f t="shared" si="235"/>
        <v>2433946</v>
      </c>
      <c r="CF142" s="489">
        <f t="shared" si="235"/>
        <v>1729693</v>
      </c>
      <c r="CG142" s="489">
        <f t="shared" si="235"/>
        <v>584634</v>
      </c>
      <c r="CH142" s="489">
        <f t="shared" si="235"/>
        <v>17298</v>
      </c>
      <c r="CI142" s="489">
        <f t="shared" si="235"/>
        <v>102321</v>
      </c>
      <c r="CJ142" s="495">
        <f t="shared" si="235"/>
        <v>6.2307999999999995</v>
      </c>
    </row>
    <row r="143" spans="1:89" s="89" customFormat="1" ht="12.95" customHeight="1">
      <c r="D143" s="311"/>
      <c r="E143" s="312"/>
      <c r="F143" s="311"/>
      <c r="G143" s="313"/>
      <c r="H143" s="2">
        <v>3113</v>
      </c>
      <c r="I143" s="167">
        <f t="shared" ref="I143:AN143" si="236">SUMIF($F$12:$F$452,"=3113",I$12:I$452)</f>
        <v>165315413</v>
      </c>
      <c r="J143" s="16">
        <f t="shared" si="236"/>
        <v>120043150</v>
      </c>
      <c r="K143" s="16">
        <f t="shared" si="236"/>
        <v>106930994</v>
      </c>
      <c r="L143" s="16">
        <f t="shared" si="236"/>
        <v>13112156</v>
      </c>
      <c r="M143" s="16">
        <f t="shared" si="236"/>
        <v>828760</v>
      </c>
      <c r="N143" s="16">
        <f t="shared" si="236"/>
        <v>627560</v>
      </c>
      <c r="O143" s="16">
        <f t="shared" si="236"/>
        <v>201200</v>
      </c>
      <c r="P143" s="16">
        <f t="shared" si="236"/>
        <v>40854703</v>
      </c>
      <c r="Q143" s="16">
        <f t="shared" si="236"/>
        <v>1200432</v>
      </c>
      <c r="R143" s="16">
        <f t="shared" si="236"/>
        <v>2388368</v>
      </c>
      <c r="S143" s="13">
        <f t="shared" si="236"/>
        <v>209.94379999999995</v>
      </c>
      <c r="T143" s="13">
        <f t="shared" si="236"/>
        <v>172.32199999999997</v>
      </c>
      <c r="U143" s="17">
        <f t="shared" si="236"/>
        <v>37.6218</v>
      </c>
      <c r="V143" s="168">
        <f t="shared" si="236"/>
        <v>238360</v>
      </c>
      <c r="W143" s="16">
        <f t="shared" si="236"/>
        <v>-71600</v>
      </c>
      <c r="X143" s="16">
        <f t="shared" si="236"/>
        <v>98174</v>
      </c>
      <c r="Y143" s="16">
        <f t="shared" si="236"/>
        <v>28466</v>
      </c>
      <c r="Z143" s="16">
        <f t="shared" si="236"/>
        <v>-215129</v>
      </c>
      <c r="AA143" s="16">
        <f t="shared" si="236"/>
        <v>0</v>
      </c>
      <c r="AB143" s="16">
        <f t="shared" si="236"/>
        <v>0</v>
      </c>
      <c r="AC143" s="16">
        <f t="shared" si="236"/>
        <v>0</v>
      </c>
      <c r="AD143" s="16">
        <f t="shared" si="236"/>
        <v>0</v>
      </c>
      <c r="AE143" s="16">
        <f t="shared" si="236"/>
        <v>149871</v>
      </c>
      <c r="AF143" s="16">
        <f t="shared" si="236"/>
        <v>-71600</v>
      </c>
      <c r="AG143" s="16">
        <f t="shared" si="236"/>
        <v>78271</v>
      </c>
      <c r="AH143" s="16">
        <f t="shared" si="236"/>
        <v>-238360</v>
      </c>
      <c r="AI143" s="16">
        <f t="shared" si="236"/>
        <v>71600</v>
      </c>
      <c r="AJ143" s="16">
        <f t="shared" si="236"/>
        <v>0</v>
      </c>
      <c r="AK143" s="16">
        <f t="shared" si="236"/>
        <v>0</v>
      </c>
      <c r="AL143" s="16">
        <f t="shared" si="236"/>
        <v>0</v>
      </c>
      <c r="AM143" s="16">
        <f t="shared" si="236"/>
        <v>-238360</v>
      </c>
      <c r="AN143" s="16">
        <f t="shared" si="236"/>
        <v>71600</v>
      </c>
      <c r="AO143" s="16">
        <f t="shared" ref="AO143:BT143" si="237">SUMIF($F$12:$F$452,"=3113",AO$12:AO$452)</f>
        <v>-166760</v>
      </c>
      <c r="AP143" s="16">
        <f t="shared" si="237"/>
        <v>-88489</v>
      </c>
      <c r="AQ143" s="16">
        <f t="shared" si="237"/>
        <v>0</v>
      </c>
      <c r="AR143" s="16">
        <f t="shared" si="237"/>
        <v>-88489</v>
      </c>
      <c r="AS143" s="16">
        <f t="shared" si="237"/>
        <v>-29910</v>
      </c>
      <c r="AT143" s="16">
        <f t="shared" si="237"/>
        <v>782</v>
      </c>
      <c r="AU143" s="16">
        <f t="shared" si="237"/>
        <v>3150</v>
      </c>
      <c r="AV143" s="16">
        <f t="shared" si="237"/>
        <v>0</v>
      </c>
      <c r="AW143" s="16">
        <f t="shared" si="237"/>
        <v>0</v>
      </c>
      <c r="AX143" s="16">
        <f t="shared" si="237"/>
        <v>3150</v>
      </c>
      <c r="AY143" s="16">
        <f t="shared" si="237"/>
        <v>-114467</v>
      </c>
      <c r="AZ143" s="13">
        <f t="shared" si="237"/>
        <v>2.9999999999999992E-2</v>
      </c>
      <c r="BA143" s="13">
        <f t="shared" si="237"/>
        <v>-0.17</v>
      </c>
      <c r="BB143" s="13">
        <f t="shared" si="237"/>
        <v>0.21999999999999997</v>
      </c>
      <c r="BC143" s="13">
        <f t="shared" si="237"/>
        <v>-0.4</v>
      </c>
      <c r="BD143" s="13">
        <f t="shared" si="237"/>
        <v>0</v>
      </c>
      <c r="BE143" s="13">
        <f t="shared" si="237"/>
        <v>0.04</v>
      </c>
      <c r="BF143" s="13">
        <f t="shared" si="237"/>
        <v>0</v>
      </c>
      <c r="BG143" s="13">
        <f t="shared" si="237"/>
        <v>0</v>
      </c>
      <c r="BH143" s="13">
        <f t="shared" si="237"/>
        <v>0</v>
      </c>
      <c r="BI143" s="13">
        <f t="shared" si="237"/>
        <v>-0.11000000000000001</v>
      </c>
      <c r="BJ143" s="13">
        <f t="shared" si="237"/>
        <v>-0.17</v>
      </c>
      <c r="BK143" s="169">
        <f t="shared" si="237"/>
        <v>-0.27999999999999997</v>
      </c>
      <c r="BL143" s="167">
        <f t="shared" si="237"/>
        <v>165200946</v>
      </c>
      <c r="BM143" s="16">
        <f t="shared" si="237"/>
        <v>120121421</v>
      </c>
      <c r="BN143" s="16">
        <f t="shared" si="237"/>
        <v>107080865</v>
      </c>
      <c r="BO143" s="16">
        <f t="shared" si="237"/>
        <v>13040556</v>
      </c>
      <c r="BP143" s="16">
        <f t="shared" si="237"/>
        <v>662000</v>
      </c>
      <c r="BQ143" s="16">
        <f t="shared" si="237"/>
        <v>389200</v>
      </c>
      <c r="BR143" s="16">
        <f t="shared" si="237"/>
        <v>272800</v>
      </c>
      <c r="BS143" s="16">
        <f t="shared" si="237"/>
        <v>40824793</v>
      </c>
      <c r="BT143" s="16">
        <f t="shared" si="237"/>
        <v>1201214</v>
      </c>
      <c r="BU143" s="16">
        <f t="shared" ref="BU143:CJ143" si="238">SUMIF($F$12:$F$452,"=3113",BU$12:BU$452)</f>
        <v>2391518</v>
      </c>
      <c r="BV143" s="13">
        <f t="shared" si="238"/>
        <v>209.66380000000001</v>
      </c>
      <c r="BW143" s="13">
        <f t="shared" si="238"/>
        <v>172.21199999999999</v>
      </c>
      <c r="BX143" s="169">
        <f t="shared" si="238"/>
        <v>37.451799999999999</v>
      </c>
      <c r="BY143" s="167">
        <f t="shared" si="238"/>
        <v>1976708</v>
      </c>
      <c r="BZ143" s="16">
        <f t="shared" si="238"/>
        <v>1466400</v>
      </c>
      <c r="CA143" s="16">
        <f t="shared" si="238"/>
        <v>0</v>
      </c>
      <c r="CB143" s="16">
        <f t="shared" si="238"/>
        <v>495644</v>
      </c>
      <c r="CC143" s="16">
        <f t="shared" si="238"/>
        <v>14664</v>
      </c>
      <c r="CD143" s="17">
        <f t="shared" si="238"/>
        <v>2.6</v>
      </c>
      <c r="CE143" s="167">
        <f t="shared" si="238"/>
        <v>6305786</v>
      </c>
      <c r="CF143" s="16">
        <f t="shared" si="238"/>
        <v>4272710</v>
      </c>
      <c r="CG143" s="16">
        <f t="shared" si="238"/>
        <v>1444176</v>
      </c>
      <c r="CH143" s="16">
        <f t="shared" si="238"/>
        <v>42727</v>
      </c>
      <c r="CI143" s="16">
        <f t="shared" si="238"/>
        <v>546173</v>
      </c>
      <c r="CJ143" s="17">
        <f t="shared" si="238"/>
        <v>12.267299999999999</v>
      </c>
    </row>
    <row r="144" spans="1:89" s="89" customFormat="1" ht="12.95" customHeight="1">
      <c r="D144" s="311"/>
      <c r="E144" s="312"/>
      <c r="F144" s="311"/>
      <c r="G144" s="313"/>
      <c r="H144" s="2">
        <v>3114</v>
      </c>
      <c r="I144" s="167">
        <f t="shared" ref="I144:AN144" si="239">SUMIF($F$12:$F$452,"=3114",I$12:I$452)</f>
        <v>0</v>
      </c>
      <c r="J144" s="16">
        <f t="shared" si="239"/>
        <v>0</v>
      </c>
      <c r="K144" s="16">
        <f t="shared" si="239"/>
        <v>0</v>
      </c>
      <c r="L144" s="16">
        <f t="shared" si="239"/>
        <v>0</v>
      </c>
      <c r="M144" s="16">
        <f t="shared" si="239"/>
        <v>0</v>
      </c>
      <c r="N144" s="16">
        <f t="shared" si="239"/>
        <v>0</v>
      </c>
      <c r="O144" s="16">
        <f t="shared" si="239"/>
        <v>0</v>
      </c>
      <c r="P144" s="16">
        <f t="shared" si="239"/>
        <v>0</v>
      </c>
      <c r="Q144" s="16">
        <f t="shared" si="239"/>
        <v>0</v>
      </c>
      <c r="R144" s="16">
        <f t="shared" si="239"/>
        <v>0</v>
      </c>
      <c r="S144" s="13">
        <f t="shared" si="239"/>
        <v>0</v>
      </c>
      <c r="T144" s="13">
        <f t="shared" si="239"/>
        <v>0</v>
      </c>
      <c r="U144" s="17">
        <f t="shared" si="239"/>
        <v>0</v>
      </c>
      <c r="V144" s="168">
        <f t="shared" si="239"/>
        <v>0</v>
      </c>
      <c r="W144" s="16">
        <f t="shared" si="239"/>
        <v>0</v>
      </c>
      <c r="X144" s="16">
        <f t="shared" si="239"/>
        <v>0</v>
      </c>
      <c r="Y144" s="16">
        <f t="shared" si="239"/>
        <v>0</v>
      </c>
      <c r="Z144" s="16">
        <f t="shared" si="239"/>
        <v>0</v>
      </c>
      <c r="AA144" s="16">
        <f t="shared" si="239"/>
        <v>0</v>
      </c>
      <c r="AB144" s="16">
        <f t="shared" si="239"/>
        <v>0</v>
      </c>
      <c r="AC144" s="16">
        <f t="shared" si="239"/>
        <v>0</v>
      </c>
      <c r="AD144" s="16">
        <f t="shared" si="239"/>
        <v>0</v>
      </c>
      <c r="AE144" s="16">
        <f t="shared" si="239"/>
        <v>0</v>
      </c>
      <c r="AF144" s="16">
        <f t="shared" si="239"/>
        <v>0</v>
      </c>
      <c r="AG144" s="16">
        <f t="shared" si="239"/>
        <v>0</v>
      </c>
      <c r="AH144" s="16">
        <f t="shared" si="239"/>
        <v>0</v>
      </c>
      <c r="AI144" s="16">
        <f t="shared" si="239"/>
        <v>0</v>
      </c>
      <c r="AJ144" s="16">
        <f t="shared" si="239"/>
        <v>0</v>
      </c>
      <c r="AK144" s="16">
        <f t="shared" si="239"/>
        <v>0</v>
      </c>
      <c r="AL144" s="16">
        <f t="shared" si="239"/>
        <v>0</v>
      </c>
      <c r="AM144" s="16">
        <f t="shared" si="239"/>
        <v>0</v>
      </c>
      <c r="AN144" s="16">
        <f t="shared" si="239"/>
        <v>0</v>
      </c>
      <c r="AO144" s="16">
        <f t="shared" ref="AO144:BT144" si="240">SUMIF($F$12:$F$452,"=3114",AO$12:AO$452)</f>
        <v>0</v>
      </c>
      <c r="AP144" s="16">
        <f t="shared" si="240"/>
        <v>0</v>
      </c>
      <c r="AQ144" s="16">
        <f t="shared" si="240"/>
        <v>0</v>
      </c>
      <c r="AR144" s="16">
        <f t="shared" si="240"/>
        <v>0</v>
      </c>
      <c r="AS144" s="16">
        <f t="shared" si="240"/>
        <v>0</v>
      </c>
      <c r="AT144" s="16">
        <f t="shared" si="240"/>
        <v>0</v>
      </c>
      <c r="AU144" s="16">
        <f t="shared" si="240"/>
        <v>0</v>
      </c>
      <c r="AV144" s="16">
        <f t="shared" si="240"/>
        <v>0</v>
      </c>
      <c r="AW144" s="16">
        <f t="shared" si="240"/>
        <v>0</v>
      </c>
      <c r="AX144" s="16">
        <f t="shared" si="240"/>
        <v>0</v>
      </c>
      <c r="AY144" s="16">
        <f t="shared" si="240"/>
        <v>0</v>
      </c>
      <c r="AZ144" s="13">
        <f t="shared" si="240"/>
        <v>0</v>
      </c>
      <c r="BA144" s="13">
        <f t="shared" si="240"/>
        <v>0</v>
      </c>
      <c r="BB144" s="13">
        <f t="shared" si="240"/>
        <v>0</v>
      </c>
      <c r="BC144" s="13">
        <f t="shared" si="240"/>
        <v>0</v>
      </c>
      <c r="BD144" s="13">
        <f t="shared" si="240"/>
        <v>0</v>
      </c>
      <c r="BE144" s="13">
        <f t="shared" si="240"/>
        <v>0</v>
      </c>
      <c r="BF144" s="13">
        <f t="shared" si="240"/>
        <v>0</v>
      </c>
      <c r="BG144" s="13">
        <f t="shared" si="240"/>
        <v>0</v>
      </c>
      <c r="BH144" s="13">
        <f t="shared" si="240"/>
        <v>0</v>
      </c>
      <c r="BI144" s="13">
        <f t="shared" si="240"/>
        <v>0</v>
      </c>
      <c r="BJ144" s="13">
        <f t="shared" si="240"/>
        <v>0</v>
      </c>
      <c r="BK144" s="169">
        <f t="shared" si="240"/>
        <v>0</v>
      </c>
      <c r="BL144" s="167">
        <f t="shared" si="240"/>
        <v>0</v>
      </c>
      <c r="BM144" s="16">
        <f t="shared" si="240"/>
        <v>0</v>
      </c>
      <c r="BN144" s="16">
        <f t="shared" si="240"/>
        <v>0</v>
      </c>
      <c r="BO144" s="16">
        <f t="shared" si="240"/>
        <v>0</v>
      </c>
      <c r="BP144" s="16">
        <f t="shared" si="240"/>
        <v>0</v>
      </c>
      <c r="BQ144" s="16">
        <f t="shared" si="240"/>
        <v>0</v>
      </c>
      <c r="BR144" s="16">
        <f t="shared" si="240"/>
        <v>0</v>
      </c>
      <c r="BS144" s="16">
        <f t="shared" si="240"/>
        <v>0</v>
      </c>
      <c r="BT144" s="16">
        <f t="shared" si="240"/>
        <v>0</v>
      </c>
      <c r="BU144" s="16">
        <f t="shared" ref="BU144:CJ144" si="241">SUMIF($F$12:$F$452,"=3114",BU$12:BU$452)</f>
        <v>0</v>
      </c>
      <c r="BV144" s="13">
        <f t="shared" si="241"/>
        <v>0</v>
      </c>
      <c r="BW144" s="13">
        <f t="shared" si="241"/>
        <v>0</v>
      </c>
      <c r="BX144" s="169">
        <f t="shared" si="241"/>
        <v>0</v>
      </c>
      <c r="BY144" s="167">
        <f t="shared" si="241"/>
        <v>0</v>
      </c>
      <c r="BZ144" s="16">
        <f t="shared" si="241"/>
        <v>0</v>
      </c>
      <c r="CA144" s="16">
        <f t="shared" si="241"/>
        <v>0</v>
      </c>
      <c r="CB144" s="16">
        <f t="shared" si="241"/>
        <v>0</v>
      </c>
      <c r="CC144" s="16">
        <f t="shared" si="241"/>
        <v>0</v>
      </c>
      <c r="CD144" s="17">
        <f t="shared" si="241"/>
        <v>0</v>
      </c>
      <c r="CE144" s="167">
        <f t="shared" si="241"/>
        <v>0</v>
      </c>
      <c r="CF144" s="16">
        <f t="shared" si="241"/>
        <v>0</v>
      </c>
      <c r="CG144" s="16">
        <f t="shared" si="241"/>
        <v>0</v>
      </c>
      <c r="CH144" s="16">
        <f t="shared" si="241"/>
        <v>0</v>
      </c>
      <c r="CI144" s="16">
        <f t="shared" si="241"/>
        <v>0</v>
      </c>
      <c r="CJ144" s="17">
        <f t="shared" si="241"/>
        <v>0</v>
      </c>
    </row>
    <row r="145" spans="4:88" s="89" customFormat="1" ht="12.95" customHeight="1">
      <c r="D145" s="311"/>
      <c r="E145" s="312"/>
      <c r="F145" s="311"/>
      <c r="G145" s="313"/>
      <c r="H145" s="2">
        <v>3117</v>
      </c>
      <c r="I145" s="167">
        <f t="shared" ref="I145:AN145" si="242">SUMIF($F$12:$F$452,"=3117",I$12:I$452)</f>
        <v>18401944</v>
      </c>
      <c r="J145" s="16">
        <f t="shared" si="242"/>
        <v>13486896</v>
      </c>
      <c r="K145" s="16">
        <f t="shared" si="242"/>
        <v>11055378</v>
      </c>
      <c r="L145" s="16">
        <f t="shared" si="242"/>
        <v>2431518</v>
      </c>
      <c r="M145" s="16">
        <f t="shared" si="242"/>
        <v>14600</v>
      </c>
      <c r="N145" s="16">
        <f t="shared" si="242"/>
        <v>5000</v>
      </c>
      <c r="O145" s="16">
        <f t="shared" si="242"/>
        <v>9600</v>
      </c>
      <c r="P145" s="16">
        <f t="shared" si="242"/>
        <v>4563505</v>
      </c>
      <c r="Q145" s="16">
        <f t="shared" si="242"/>
        <v>134868</v>
      </c>
      <c r="R145" s="16">
        <f t="shared" si="242"/>
        <v>202075</v>
      </c>
      <c r="S145" s="13">
        <f t="shared" si="242"/>
        <v>26.752299999999998</v>
      </c>
      <c r="T145" s="13">
        <f t="shared" si="242"/>
        <v>20.0898</v>
      </c>
      <c r="U145" s="17">
        <f t="shared" si="242"/>
        <v>6.6624999999999996</v>
      </c>
      <c r="V145" s="168">
        <f t="shared" si="242"/>
        <v>0</v>
      </c>
      <c r="W145" s="16">
        <f t="shared" si="242"/>
        <v>-4800</v>
      </c>
      <c r="X145" s="16">
        <f t="shared" si="242"/>
        <v>30900</v>
      </c>
      <c r="Y145" s="16">
        <f t="shared" si="242"/>
        <v>0</v>
      </c>
      <c r="Z145" s="16">
        <f t="shared" si="242"/>
        <v>129009</v>
      </c>
      <c r="AA145" s="16">
        <f t="shared" si="242"/>
        <v>0</v>
      </c>
      <c r="AB145" s="16">
        <f t="shared" si="242"/>
        <v>0</v>
      </c>
      <c r="AC145" s="16">
        <f t="shared" si="242"/>
        <v>0</v>
      </c>
      <c r="AD145" s="16">
        <f t="shared" si="242"/>
        <v>0</v>
      </c>
      <c r="AE145" s="16">
        <f t="shared" si="242"/>
        <v>159909</v>
      </c>
      <c r="AF145" s="16">
        <f t="shared" si="242"/>
        <v>-4800</v>
      </c>
      <c r="AG145" s="16">
        <f t="shared" si="242"/>
        <v>155109</v>
      </c>
      <c r="AH145" s="16">
        <f t="shared" si="242"/>
        <v>0</v>
      </c>
      <c r="AI145" s="16">
        <f t="shared" si="242"/>
        <v>4800</v>
      </c>
      <c r="AJ145" s="16">
        <f t="shared" si="242"/>
        <v>0</v>
      </c>
      <c r="AK145" s="16">
        <f t="shared" si="242"/>
        <v>0</v>
      </c>
      <c r="AL145" s="16">
        <f t="shared" si="242"/>
        <v>0</v>
      </c>
      <c r="AM145" s="16">
        <f t="shared" si="242"/>
        <v>0</v>
      </c>
      <c r="AN145" s="16">
        <f t="shared" si="242"/>
        <v>4800</v>
      </c>
      <c r="AO145" s="16">
        <f t="shared" ref="AO145:BT145" si="243">SUMIF($F$12:$F$452,"=3117",AO$12:AO$452)</f>
        <v>4800</v>
      </c>
      <c r="AP145" s="16">
        <f t="shared" si="243"/>
        <v>159909</v>
      </c>
      <c r="AQ145" s="16">
        <f t="shared" si="243"/>
        <v>0</v>
      </c>
      <c r="AR145" s="16">
        <f t="shared" si="243"/>
        <v>159909</v>
      </c>
      <c r="AS145" s="16">
        <f t="shared" si="243"/>
        <v>54049</v>
      </c>
      <c r="AT145" s="16">
        <f t="shared" si="243"/>
        <v>1551</v>
      </c>
      <c r="AU145" s="16">
        <f t="shared" si="243"/>
        <v>4000</v>
      </c>
      <c r="AV145" s="16">
        <f t="shared" si="243"/>
        <v>0</v>
      </c>
      <c r="AW145" s="16">
        <f t="shared" si="243"/>
        <v>0</v>
      </c>
      <c r="AX145" s="16">
        <f t="shared" si="243"/>
        <v>4000</v>
      </c>
      <c r="AY145" s="16">
        <f t="shared" si="243"/>
        <v>219509</v>
      </c>
      <c r="AZ145" s="13">
        <f t="shared" si="243"/>
        <v>0</v>
      </c>
      <c r="BA145" s="13">
        <f t="shared" si="243"/>
        <v>-0.01</v>
      </c>
      <c r="BB145" s="13">
        <f t="shared" si="243"/>
        <v>0</v>
      </c>
      <c r="BC145" s="13">
        <f t="shared" si="243"/>
        <v>0.25</v>
      </c>
      <c r="BD145" s="13">
        <f t="shared" si="243"/>
        <v>0</v>
      </c>
      <c r="BE145" s="13">
        <f t="shared" si="243"/>
        <v>0</v>
      </c>
      <c r="BF145" s="13">
        <f t="shared" si="243"/>
        <v>0</v>
      </c>
      <c r="BG145" s="13">
        <f t="shared" si="243"/>
        <v>0</v>
      </c>
      <c r="BH145" s="13">
        <f t="shared" si="243"/>
        <v>0</v>
      </c>
      <c r="BI145" s="13">
        <f t="shared" si="243"/>
        <v>0.25</v>
      </c>
      <c r="BJ145" s="13">
        <f t="shared" si="243"/>
        <v>-0.01</v>
      </c>
      <c r="BK145" s="169">
        <f t="shared" si="243"/>
        <v>0.24</v>
      </c>
      <c r="BL145" s="167">
        <f t="shared" si="243"/>
        <v>18621453</v>
      </c>
      <c r="BM145" s="16">
        <f t="shared" si="243"/>
        <v>13642005</v>
      </c>
      <c r="BN145" s="16">
        <f t="shared" si="243"/>
        <v>11215287</v>
      </c>
      <c r="BO145" s="16">
        <f t="shared" si="243"/>
        <v>2426718</v>
      </c>
      <c r="BP145" s="16">
        <f t="shared" si="243"/>
        <v>19400</v>
      </c>
      <c r="BQ145" s="16">
        <f t="shared" si="243"/>
        <v>5000</v>
      </c>
      <c r="BR145" s="16">
        <f t="shared" si="243"/>
        <v>14400</v>
      </c>
      <c r="BS145" s="16">
        <f t="shared" si="243"/>
        <v>4617554</v>
      </c>
      <c r="BT145" s="16">
        <f t="shared" si="243"/>
        <v>136419</v>
      </c>
      <c r="BU145" s="16">
        <f t="shared" ref="BU145:CJ145" si="244">SUMIF($F$12:$F$452,"=3117",BU$12:BU$452)</f>
        <v>206075</v>
      </c>
      <c r="BV145" s="13">
        <f t="shared" si="244"/>
        <v>26.9923</v>
      </c>
      <c r="BW145" s="13">
        <f t="shared" si="244"/>
        <v>20.3398</v>
      </c>
      <c r="BX145" s="169">
        <f t="shared" si="244"/>
        <v>6.6524999999999999</v>
      </c>
      <c r="BY145" s="167">
        <f t="shared" si="244"/>
        <v>0</v>
      </c>
      <c r="BZ145" s="16">
        <f t="shared" si="244"/>
        <v>0</v>
      </c>
      <c r="CA145" s="16">
        <f t="shared" si="244"/>
        <v>0</v>
      </c>
      <c r="CB145" s="16">
        <f t="shared" si="244"/>
        <v>0</v>
      </c>
      <c r="CC145" s="16">
        <f t="shared" si="244"/>
        <v>0</v>
      </c>
      <c r="CD145" s="17">
        <f t="shared" si="244"/>
        <v>0</v>
      </c>
      <c r="CE145" s="167">
        <f t="shared" si="244"/>
        <v>1091488</v>
      </c>
      <c r="CF145" s="16">
        <f t="shared" si="244"/>
        <v>783489</v>
      </c>
      <c r="CG145" s="16">
        <f t="shared" si="244"/>
        <v>264820</v>
      </c>
      <c r="CH145" s="16">
        <f t="shared" si="244"/>
        <v>7833</v>
      </c>
      <c r="CI145" s="16">
        <f t="shared" si="244"/>
        <v>35346</v>
      </c>
      <c r="CJ145" s="17">
        <f t="shared" si="244"/>
        <v>2.1481000000000003</v>
      </c>
    </row>
    <row r="146" spans="4:88" s="89" customFormat="1" ht="12.95" customHeight="1">
      <c r="D146" s="311"/>
      <c r="E146" s="312"/>
      <c r="F146" s="311"/>
      <c r="G146" s="313"/>
      <c r="H146" s="2">
        <v>3122</v>
      </c>
      <c r="I146" s="167">
        <f t="shared" ref="I146:AN146" si="245">SUMIF($F$12:$F$452,"=3122",I$12:I$452)</f>
        <v>0</v>
      </c>
      <c r="J146" s="16">
        <f t="shared" si="245"/>
        <v>0</v>
      </c>
      <c r="K146" s="16">
        <f t="shared" si="245"/>
        <v>0</v>
      </c>
      <c r="L146" s="16">
        <f t="shared" si="245"/>
        <v>0</v>
      </c>
      <c r="M146" s="16">
        <f t="shared" si="245"/>
        <v>0</v>
      </c>
      <c r="N146" s="16">
        <f t="shared" si="245"/>
        <v>0</v>
      </c>
      <c r="O146" s="16">
        <f t="shared" si="245"/>
        <v>0</v>
      </c>
      <c r="P146" s="16">
        <f t="shared" si="245"/>
        <v>0</v>
      </c>
      <c r="Q146" s="16">
        <f t="shared" si="245"/>
        <v>0</v>
      </c>
      <c r="R146" s="16">
        <f t="shared" si="245"/>
        <v>0</v>
      </c>
      <c r="S146" s="13">
        <f t="shared" si="245"/>
        <v>0</v>
      </c>
      <c r="T146" s="13">
        <f t="shared" si="245"/>
        <v>0</v>
      </c>
      <c r="U146" s="17">
        <f t="shared" si="245"/>
        <v>0</v>
      </c>
      <c r="V146" s="168">
        <f t="shared" si="245"/>
        <v>0</v>
      </c>
      <c r="W146" s="16">
        <f t="shared" si="245"/>
        <v>0</v>
      </c>
      <c r="X146" s="16">
        <f t="shared" si="245"/>
        <v>0</v>
      </c>
      <c r="Y146" s="16">
        <f t="shared" si="245"/>
        <v>0</v>
      </c>
      <c r="Z146" s="16">
        <f t="shared" si="245"/>
        <v>0</v>
      </c>
      <c r="AA146" s="16">
        <f t="shared" si="245"/>
        <v>0</v>
      </c>
      <c r="AB146" s="16">
        <f t="shared" si="245"/>
        <v>0</v>
      </c>
      <c r="AC146" s="16">
        <f t="shared" si="245"/>
        <v>0</v>
      </c>
      <c r="AD146" s="16">
        <f t="shared" si="245"/>
        <v>0</v>
      </c>
      <c r="AE146" s="16">
        <f t="shared" si="245"/>
        <v>0</v>
      </c>
      <c r="AF146" s="16">
        <f t="shared" si="245"/>
        <v>0</v>
      </c>
      <c r="AG146" s="16">
        <f t="shared" si="245"/>
        <v>0</v>
      </c>
      <c r="AH146" s="16">
        <f t="shared" si="245"/>
        <v>0</v>
      </c>
      <c r="AI146" s="16">
        <f t="shared" si="245"/>
        <v>0</v>
      </c>
      <c r="AJ146" s="16">
        <f t="shared" si="245"/>
        <v>0</v>
      </c>
      <c r="AK146" s="16">
        <f t="shared" si="245"/>
        <v>0</v>
      </c>
      <c r="AL146" s="16">
        <f t="shared" si="245"/>
        <v>0</v>
      </c>
      <c r="AM146" s="16">
        <f t="shared" si="245"/>
        <v>0</v>
      </c>
      <c r="AN146" s="16">
        <f t="shared" si="245"/>
        <v>0</v>
      </c>
      <c r="AO146" s="16">
        <f t="shared" ref="AO146:BT146" si="246">SUMIF($F$12:$F$452,"=3122",AO$12:AO$452)</f>
        <v>0</v>
      </c>
      <c r="AP146" s="16">
        <f t="shared" si="246"/>
        <v>0</v>
      </c>
      <c r="AQ146" s="16">
        <f t="shared" si="246"/>
        <v>0</v>
      </c>
      <c r="AR146" s="16">
        <f t="shared" si="246"/>
        <v>0</v>
      </c>
      <c r="AS146" s="16">
        <f t="shared" si="246"/>
        <v>0</v>
      </c>
      <c r="AT146" s="16">
        <f t="shared" si="246"/>
        <v>0</v>
      </c>
      <c r="AU146" s="16">
        <f t="shared" si="246"/>
        <v>0</v>
      </c>
      <c r="AV146" s="16">
        <f t="shared" si="246"/>
        <v>0</v>
      </c>
      <c r="AW146" s="16">
        <f t="shared" si="246"/>
        <v>0</v>
      </c>
      <c r="AX146" s="16">
        <f t="shared" si="246"/>
        <v>0</v>
      </c>
      <c r="AY146" s="16">
        <f t="shared" si="246"/>
        <v>0</v>
      </c>
      <c r="AZ146" s="13">
        <f t="shared" si="246"/>
        <v>0</v>
      </c>
      <c r="BA146" s="13">
        <f t="shared" si="246"/>
        <v>0</v>
      </c>
      <c r="BB146" s="13">
        <f t="shared" si="246"/>
        <v>0</v>
      </c>
      <c r="BC146" s="13">
        <f t="shared" si="246"/>
        <v>0</v>
      </c>
      <c r="BD146" s="13">
        <f t="shared" si="246"/>
        <v>0</v>
      </c>
      <c r="BE146" s="13">
        <f t="shared" si="246"/>
        <v>0</v>
      </c>
      <c r="BF146" s="13">
        <f t="shared" si="246"/>
        <v>0</v>
      </c>
      <c r="BG146" s="13">
        <f t="shared" si="246"/>
        <v>0</v>
      </c>
      <c r="BH146" s="13">
        <f t="shared" si="246"/>
        <v>0</v>
      </c>
      <c r="BI146" s="13">
        <f t="shared" si="246"/>
        <v>0</v>
      </c>
      <c r="BJ146" s="13">
        <f t="shared" si="246"/>
        <v>0</v>
      </c>
      <c r="BK146" s="169">
        <f t="shared" si="246"/>
        <v>0</v>
      </c>
      <c r="BL146" s="167">
        <f t="shared" si="246"/>
        <v>0</v>
      </c>
      <c r="BM146" s="16">
        <f t="shared" si="246"/>
        <v>0</v>
      </c>
      <c r="BN146" s="16">
        <f t="shared" si="246"/>
        <v>0</v>
      </c>
      <c r="BO146" s="16">
        <f t="shared" si="246"/>
        <v>0</v>
      </c>
      <c r="BP146" s="16">
        <f t="shared" si="246"/>
        <v>0</v>
      </c>
      <c r="BQ146" s="16">
        <f t="shared" si="246"/>
        <v>0</v>
      </c>
      <c r="BR146" s="16">
        <f t="shared" si="246"/>
        <v>0</v>
      </c>
      <c r="BS146" s="16">
        <f t="shared" si="246"/>
        <v>0</v>
      </c>
      <c r="BT146" s="16">
        <f t="shared" si="246"/>
        <v>0</v>
      </c>
      <c r="BU146" s="16">
        <f t="shared" ref="BU146:CJ146" si="247">SUMIF($F$12:$F$452,"=3122",BU$12:BU$452)</f>
        <v>0</v>
      </c>
      <c r="BV146" s="13">
        <f t="shared" si="247"/>
        <v>0</v>
      </c>
      <c r="BW146" s="13">
        <f t="shared" si="247"/>
        <v>0</v>
      </c>
      <c r="BX146" s="169">
        <f t="shared" si="247"/>
        <v>0</v>
      </c>
      <c r="BY146" s="167">
        <f t="shared" si="247"/>
        <v>0</v>
      </c>
      <c r="BZ146" s="16">
        <f t="shared" si="247"/>
        <v>0</v>
      </c>
      <c r="CA146" s="16">
        <f t="shared" si="247"/>
        <v>0</v>
      </c>
      <c r="CB146" s="16">
        <f t="shared" si="247"/>
        <v>0</v>
      </c>
      <c r="CC146" s="16">
        <f t="shared" si="247"/>
        <v>0</v>
      </c>
      <c r="CD146" s="17">
        <f t="shared" si="247"/>
        <v>0</v>
      </c>
      <c r="CE146" s="167">
        <f t="shared" si="247"/>
        <v>0</v>
      </c>
      <c r="CF146" s="16">
        <f t="shared" si="247"/>
        <v>0</v>
      </c>
      <c r="CG146" s="16">
        <f t="shared" si="247"/>
        <v>0</v>
      </c>
      <c r="CH146" s="16">
        <f t="shared" si="247"/>
        <v>0</v>
      </c>
      <c r="CI146" s="16">
        <f t="shared" si="247"/>
        <v>0</v>
      </c>
      <c r="CJ146" s="17">
        <f t="shared" si="247"/>
        <v>0</v>
      </c>
    </row>
    <row r="147" spans="4:88" s="89" customFormat="1" ht="12.95" customHeight="1">
      <c r="D147" s="311"/>
      <c r="E147" s="312"/>
      <c r="F147" s="311"/>
      <c r="G147" s="313"/>
      <c r="H147" s="2">
        <v>3124</v>
      </c>
      <c r="I147" s="167">
        <f t="shared" ref="I147:AN147" si="248">SUMIF($F$12:$F$452,"=3124",I$12:I$452)</f>
        <v>0</v>
      </c>
      <c r="J147" s="16">
        <f t="shared" si="248"/>
        <v>0</v>
      </c>
      <c r="K147" s="16">
        <f t="shared" si="248"/>
        <v>0</v>
      </c>
      <c r="L147" s="16">
        <f t="shared" si="248"/>
        <v>0</v>
      </c>
      <c r="M147" s="16">
        <f t="shared" si="248"/>
        <v>0</v>
      </c>
      <c r="N147" s="16">
        <f t="shared" si="248"/>
        <v>0</v>
      </c>
      <c r="O147" s="16">
        <f t="shared" si="248"/>
        <v>0</v>
      </c>
      <c r="P147" s="16">
        <f t="shared" si="248"/>
        <v>0</v>
      </c>
      <c r="Q147" s="16">
        <f t="shared" si="248"/>
        <v>0</v>
      </c>
      <c r="R147" s="16">
        <f t="shared" si="248"/>
        <v>0</v>
      </c>
      <c r="S147" s="13">
        <f t="shared" si="248"/>
        <v>0</v>
      </c>
      <c r="T147" s="13">
        <f t="shared" si="248"/>
        <v>0</v>
      </c>
      <c r="U147" s="17">
        <f t="shared" si="248"/>
        <v>0</v>
      </c>
      <c r="V147" s="168">
        <f t="shared" si="248"/>
        <v>0</v>
      </c>
      <c r="W147" s="16">
        <f t="shared" si="248"/>
        <v>0</v>
      </c>
      <c r="X147" s="16">
        <f t="shared" si="248"/>
        <v>0</v>
      </c>
      <c r="Y147" s="16">
        <f t="shared" si="248"/>
        <v>0</v>
      </c>
      <c r="Z147" s="16">
        <f t="shared" si="248"/>
        <v>0</v>
      </c>
      <c r="AA147" s="16">
        <f t="shared" si="248"/>
        <v>0</v>
      </c>
      <c r="AB147" s="16">
        <f t="shared" si="248"/>
        <v>0</v>
      </c>
      <c r="AC147" s="16">
        <f t="shared" si="248"/>
        <v>0</v>
      </c>
      <c r="AD147" s="16">
        <f t="shared" si="248"/>
        <v>0</v>
      </c>
      <c r="AE147" s="16">
        <f t="shared" si="248"/>
        <v>0</v>
      </c>
      <c r="AF147" s="16">
        <f t="shared" si="248"/>
        <v>0</v>
      </c>
      <c r="AG147" s="16">
        <f t="shared" si="248"/>
        <v>0</v>
      </c>
      <c r="AH147" s="16">
        <f t="shared" si="248"/>
        <v>0</v>
      </c>
      <c r="AI147" s="16">
        <f t="shared" si="248"/>
        <v>0</v>
      </c>
      <c r="AJ147" s="16">
        <f t="shared" si="248"/>
        <v>0</v>
      </c>
      <c r="AK147" s="16">
        <f t="shared" si="248"/>
        <v>0</v>
      </c>
      <c r="AL147" s="16">
        <f t="shared" si="248"/>
        <v>0</v>
      </c>
      <c r="AM147" s="16">
        <f t="shared" si="248"/>
        <v>0</v>
      </c>
      <c r="AN147" s="16">
        <f t="shared" si="248"/>
        <v>0</v>
      </c>
      <c r="AO147" s="16">
        <f t="shared" ref="AO147:BT147" si="249">SUMIF($F$12:$F$452,"=3124",AO$12:AO$452)</f>
        <v>0</v>
      </c>
      <c r="AP147" s="16">
        <f t="shared" si="249"/>
        <v>0</v>
      </c>
      <c r="AQ147" s="16">
        <f t="shared" si="249"/>
        <v>0</v>
      </c>
      <c r="AR147" s="16">
        <f t="shared" si="249"/>
        <v>0</v>
      </c>
      <c r="AS147" s="16">
        <f t="shared" si="249"/>
        <v>0</v>
      </c>
      <c r="AT147" s="16">
        <f t="shared" si="249"/>
        <v>0</v>
      </c>
      <c r="AU147" s="16">
        <f t="shared" si="249"/>
        <v>0</v>
      </c>
      <c r="AV147" s="16">
        <f t="shared" si="249"/>
        <v>0</v>
      </c>
      <c r="AW147" s="16">
        <f t="shared" si="249"/>
        <v>0</v>
      </c>
      <c r="AX147" s="16">
        <f t="shared" si="249"/>
        <v>0</v>
      </c>
      <c r="AY147" s="16">
        <f t="shared" si="249"/>
        <v>0</v>
      </c>
      <c r="AZ147" s="13">
        <f t="shared" si="249"/>
        <v>0</v>
      </c>
      <c r="BA147" s="13">
        <f t="shared" si="249"/>
        <v>0</v>
      </c>
      <c r="BB147" s="13">
        <f t="shared" si="249"/>
        <v>0</v>
      </c>
      <c r="BC147" s="13">
        <f t="shared" si="249"/>
        <v>0</v>
      </c>
      <c r="BD147" s="13">
        <f t="shared" si="249"/>
        <v>0</v>
      </c>
      <c r="BE147" s="13">
        <f t="shared" si="249"/>
        <v>0</v>
      </c>
      <c r="BF147" s="13">
        <f t="shared" si="249"/>
        <v>0</v>
      </c>
      <c r="BG147" s="13">
        <f t="shared" si="249"/>
        <v>0</v>
      </c>
      <c r="BH147" s="13">
        <f t="shared" si="249"/>
        <v>0</v>
      </c>
      <c r="BI147" s="13">
        <f t="shared" si="249"/>
        <v>0</v>
      </c>
      <c r="BJ147" s="13">
        <f t="shared" si="249"/>
        <v>0</v>
      </c>
      <c r="BK147" s="169">
        <f t="shared" si="249"/>
        <v>0</v>
      </c>
      <c r="BL147" s="167">
        <f t="shared" si="249"/>
        <v>0</v>
      </c>
      <c r="BM147" s="16">
        <f t="shared" si="249"/>
        <v>0</v>
      </c>
      <c r="BN147" s="16">
        <f t="shared" si="249"/>
        <v>0</v>
      </c>
      <c r="BO147" s="16">
        <f t="shared" si="249"/>
        <v>0</v>
      </c>
      <c r="BP147" s="16">
        <f t="shared" si="249"/>
        <v>0</v>
      </c>
      <c r="BQ147" s="16">
        <f t="shared" si="249"/>
        <v>0</v>
      </c>
      <c r="BR147" s="16">
        <f t="shared" si="249"/>
        <v>0</v>
      </c>
      <c r="BS147" s="16">
        <f t="shared" si="249"/>
        <v>0</v>
      </c>
      <c r="BT147" s="16">
        <f t="shared" si="249"/>
        <v>0</v>
      </c>
      <c r="BU147" s="16">
        <f t="shared" ref="BU147:CJ147" si="250">SUMIF($F$12:$F$452,"=3124",BU$12:BU$452)</f>
        <v>0</v>
      </c>
      <c r="BV147" s="13">
        <f t="shared" si="250"/>
        <v>0</v>
      </c>
      <c r="BW147" s="13">
        <f t="shared" si="250"/>
        <v>0</v>
      </c>
      <c r="BX147" s="169">
        <f t="shared" si="250"/>
        <v>0</v>
      </c>
      <c r="BY147" s="167">
        <f t="shared" si="250"/>
        <v>0</v>
      </c>
      <c r="BZ147" s="16">
        <f t="shared" si="250"/>
        <v>0</v>
      </c>
      <c r="CA147" s="16">
        <f t="shared" si="250"/>
        <v>0</v>
      </c>
      <c r="CB147" s="16">
        <f t="shared" si="250"/>
        <v>0</v>
      </c>
      <c r="CC147" s="16">
        <f t="shared" si="250"/>
        <v>0</v>
      </c>
      <c r="CD147" s="17">
        <f t="shared" si="250"/>
        <v>0</v>
      </c>
      <c r="CE147" s="167">
        <f t="shared" si="250"/>
        <v>0</v>
      </c>
      <c r="CF147" s="16">
        <f t="shared" si="250"/>
        <v>0</v>
      </c>
      <c r="CG147" s="16">
        <f t="shared" si="250"/>
        <v>0</v>
      </c>
      <c r="CH147" s="16">
        <f t="shared" si="250"/>
        <v>0</v>
      </c>
      <c r="CI147" s="16">
        <f t="shared" si="250"/>
        <v>0</v>
      </c>
      <c r="CJ147" s="17">
        <f t="shared" si="250"/>
        <v>0</v>
      </c>
    </row>
    <row r="148" spans="4:88" s="89" customFormat="1" ht="12.95" customHeight="1">
      <c r="D148" s="311"/>
      <c r="E148" s="312"/>
      <c r="F148" s="311"/>
      <c r="G148" s="313"/>
      <c r="H148" s="2">
        <v>3141</v>
      </c>
      <c r="I148" s="167">
        <f t="shared" ref="I148:AN148" si="251">SUMIF($F$12:$F$452,"=3141",I$12:I$452)</f>
        <v>19657968</v>
      </c>
      <c r="J148" s="16">
        <f t="shared" si="251"/>
        <v>14496527</v>
      </c>
      <c r="K148" s="16">
        <f t="shared" si="251"/>
        <v>2584</v>
      </c>
      <c r="L148" s="16">
        <f t="shared" si="251"/>
        <v>14493943</v>
      </c>
      <c r="M148" s="16">
        <f t="shared" si="251"/>
        <v>15000</v>
      </c>
      <c r="N148" s="16">
        <f t="shared" si="251"/>
        <v>0</v>
      </c>
      <c r="O148" s="16">
        <f t="shared" si="251"/>
        <v>15000</v>
      </c>
      <c r="P148" s="16">
        <f t="shared" si="251"/>
        <v>4904896</v>
      </c>
      <c r="Q148" s="16">
        <f t="shared" si="251"/>
        <v>144963</v>
      </c>
      <c r="R148" s="16">
        <f t="shared" si="251"/>
        <v>96582</v>
      </c>
      <c r="S148" s="13">
        <f t="shared" si="251"/>
        <v>43.500300000000003</v>
      </c>
      <c r="T148" s="13">
        <f t="shared" si="251"/>
        <v>0</v>
      </c>
      <c r="U148" s="17">
        <f t="shared" si="251"/>
        <v>43.500300000000003</v>
      </c>
      <c r="V148" s="168">
        <f t="shared" si="251"/>
        <v>0</v>
      </c>
      <c r="W148" s="16">
        <f t="shared" si="251"/>
        <v>0</v>
      </c>
      <c r="X148" s="16">
        <f t="shared" si="251"/>
        <v>0</v>
      </c>
      <c r="Y148" s="16">
        <f t="shared" si="251"/>
        <v>0</v>
      </c>
      <c r="Z148" s="16">
        <f t="shared" si="251"/>
        <v>0</v>
      </c>
      <c r="AA148" s="16">
        <f t="shared" si="251"/>
        <v>-155920</v>
      </c>
      <c r="AB148" s="16">
        <f t="shared" si="251"/>
        <v>0</v>
      </c>
      <c r="AC148" s="16">
        <f t="shared" si="251"/>
        <v>0</v>
      </c>
      <c r="AD148" s="16">
        <f t="shared" si="251"/>
        <v>0</v>
      </c>
      <c r="AE148" s="16">
        <f t="shared" si="251"/>
        <v>0</v>
      </c>
      <c r="AF148" s="16">
        <f t="shared" si="251"/>
        <v>-155920</v>
      </c>
      <c r="AG148" s="16">
        <f t="shared" si="251"/>
        <v>-155920</v>
      </c>
      <c r="AH148" s="16">
        <f t="shared" si="251"/>
        <v>0</v>
      </c>
      <c r="AI148" s="16">
        <f t="shared" si="251"/>
        <v>0</v>
      </c>
      <c r="AJ148" s="16">
        <f t="shared" si="251"/>
        <v>0</v>
      </c>
      <c r="AK148" s="16">
        <f t="shared" si="251"/>
        <v>0</v>
      </c>
      <c r="AL148" s="16">
        <f t="shared" si="251"/>
        <v>0</v>
      </c>
      <c r="AM148" s="16">
        <f t="shared" si="251"/>
        <v>0</v>
      </c>
      <c r="AN148" s="16">
        <f t="shared" si="251"/>
        <v>0</v>
      </c>
      <c r="AO148" s="16">
        <f t="shared" ref="AO148:BT148" si="252">SUMIF($F$12:$F$452,"=3141",AO$12:AO$452)</f>
        <v>0</v>
      </c>
      <c r="AP148" s="16">
        <f t="shared" si="252"/>
        <v>0</v>
      </c>
      <c r="AQ148" s="16">
        <f t="shared" si="252"/>
        <v>-155920</v>
      </c>
      <c r="AR148" s="16">
        <f t="shared" si="252"/>
        <v>-155920</v>
      </c>
      <c r="AS148" s="16">
        <f t="shared" si="252"/>
        <v>-52700</v>
      </c>
      <c r="AT148" s="16">
        <f t="shared" si="252"/>
        <v>-1559</v>
      </c>
      <c r="AU148" s="16">
        <f t="shared" si="252"/>
        <v>0</v>
      </c>
      <c r="AV148" s="16">
        <f t="shared" si="252"/>
        <v>0</v>
      </c>
      <c r="AW148" s="16">
        <f t="shared" si="252"/>
        <v>0</v>
      </c>
      <c r="AX148" s="16">
        <f t="shared" si="252"/>
        <v>0</v>
      </c>
      <c r="AY148" s="16">
        <f t="shared" si="252"/>
        <v>-210179</v>
      </c>
      <c r="AZ148" s="13">
        <f t="shared" si="252"/>
        <v>0</v>
      </c>
      <c r="BA148" s="13">
        <f t="shared" si="252"/>
        <v>0</v>
      </c>
      <c r="BB148" s="13">
        <f t="shared" si="252"/>
        <v>0</v>
      </c>
      <c r="BC148" s="13">
        <f t="shared" si="252"/>
        <v>0</v>
      </c>
      <c r="BD148" s="13">
        <f t="shared" si="252"/>
        <v>-0.45</v>
      </c>
      <c r="BE148" s="13">
        <f t="shared" si="252"/>
        <v>0</v>
      </c>
      <c r="BF148" s="13">
        <f t="shared" si="252"/>
        <v>0</v>
      </c>
      <c r="BG148" s="13">
        <f t="shared" si="252"/>
        <v>0</v>
      </c>
      <c r="BH148" s="13">
        <f t="shared" si="252"/>
        <v>0</v>
      </c>
      <c r="BI148" s="13">
        <f t="shared" si="252"/>
        <v>0</v>
      </c>
      <c r="BJ148" s="13">
        <f t="shared" si="252"/>
        <v>-0.45</v>
      </c>
      <c r="BK148" s="169">
        <f t="shared" si="252"/>
        <v>-0.45</v>
      </c>
      <c r="BL148" s="167">
        <f t="shared" si="252"/>
        <v>19447789</v>
      </c>
      <c r="BM148" s="16">
        <f t="shared" si="252"/>
        <v>14340607</v>
      </c>
      <c r="BN148" s="16">
        <f t="shared" si="252"/>
        <v>2584</v>
      </c>
      <c r="BO148" s="16">
        <f t="shared" si="252"/>
        <v>14338023</v>
      </c>
      <c r="BP148" s="16">
        <f t="shared" si="252"/>
        <v>15000</v>
      </c>
      <c r="BQ148" s="16">
        <f t="shared" si="252"/>
        <v>0</v>
      </c>
      <c r="BR148" s="16">
        <f t="shared" si="252"/>
        <v>15000</v>
      </c>
      <c r="BS148" s="16">
        <f t="shared" si="252"/>
        <v>4852196</v>
      </c>
      <c r="BT148" s="16">
        <f t="shared" si="252"/>
        <v>143404</v>
      </c>
      <c r="BU148" s="16">
        <f t="shared" ref="BU148:CJ148" si="253">SUMIF($F$12:$F$452,"=3141",BU$12:BU$452)</f>
        <v>96582</v>
      </c>
      <c r="BV148" s="13">
        <f t="shared" si="253"/>
        <v>43.050299999999993</v>
      </c>
      <c r="BW148" s="13">
        <f t="shared" si="253"/>
        <v>0</v>
      </c>
      <c r="BX148" s="169">
        <f t="shared" si="253"/>
        <v>43.050299999999993</v>
      </c>
      <c r="BY148" s="167">
        <f t="shared" si="253"/>
        <v>0</v>
      </c>
      <c r="BZ148" s="16">
        <f t="shared" si="253"/>
        <v>0</v>
      </c>
      <c r="CA148" s="16">
        <f t="shared" si="253"/>
        <v>0</v>
      </c>
      <c r="CB148" s="16">
        <f t="shared" si="253"/>
        <v>0</v>
      </c>
      <c r="CC148" s="16">
        <f t="shared" si="253"/>
        <v>0</v>
      </c>
      <c r="CD148" s="17">
        <f t="shared" si="253"/>
        <v>0</v>
      </c>
      <c r="CE148" s="167">
        <f t="shared" si="253"/>
        <v>0</v>
      </c>
      <c r="CF148" s="16">
        <f t="shared" si="253"/>
        <v>0</v>
      </c>
      <c r="CG148" s="16">
        <f t="shared" si="253"/>
        <v>0</v>
      </c>
      <c r="CH148" s="16">
        <f t="shared" si="253"/>
        <v>0</v>
      </c>
      <c r="CI148" s="16">
        <f t="shared" si="253"/>
        <v>0</v>
      </c>
      <c r="CJ148" s="17">
        <f t="shared" si="253"/>
        <v>0</v>
      </c>
    </row>
    <row r="149" spans="4:88" s="89" customFormat="1" ht="12.95" customHeight="1">
      <c r="D149" s="311"/>
      <c r="E149" s="312"/>
      <c r="F149" s="311"/>
      <c r="G149" s="313"/>
      <c r="H149" s="2">
        <v>3143</v>
      </c>
      <c r="I149" s="167">
        <f t="shared" ref="I149:AN149" si="254">SUMIF($F$12:$F$452,"=3143",I$12:I$452)</f>
        <v>16458093</v>
      </c>
      <c r="J149" s="16">
        <f t="shared" si="254"/>
        <v>12194577</v>
      </c>
      <c r="K149" s="16">
        <f t="shared" si="254"/>
        <v>11768327</v>
      </c>
      <c r="L149" s="16">
        <f t="shared" si="254"/>
        <v>426250</v>
      </c>
      <c r="M149" s="16">
        <f t="shared" si="254"/>
        <v>0</v>
      </c>
      <c r="N149" s="16">
        <f t="shared" si="254"/>
        <v>0</v>
      </c>
      <c r="O149" s="16">
        <f t="shared" si="254"/>
        <v>0</v>
      </c>
      <c r="P149" s="16">
        <f t="shared" si="254"/>
        <v>4121769</v>
      </c>
      <c r="Q149" s="16">
        <f t="shared" si="254"/>
        <v>121947</v>
      </c>
      <c r="R149" s="16">
        <f t="shared" si="254"/>
        <v>19800</v>
      </c>
      <c r="S149" s="13">
        <f t="shared" si="254"/>
        <v>24.829700000000003</v>
      </c>
      <c r="T149" s="13">
        <f t="shared" si="254"/>
        <v>23.216800000000003</v>
      </c>
      <c r="U149" s="17">
        <f t="shared" si="254"/>
        <v>1.6129</v>
      </c>
      <c r="V149" s="168">
        <f t="shared" si="254"/>
        <v>-25000</v>
      </c>
      <c r="W149" s="16">
        <f t="shared" si="254"/>
        <v>0</v>
      </c>
      <c r="X149" s="16">
        <f t="shared" si="254"/>
        <v>0</v>
      </c>
      <c r="Y149" s="16">
        <f t="shared" si="254"/>
        <v>0</v>
      </c>
      <c r="Z149" s="16">
        <f t="shared" si="254"/>
        <v>0</v>
      </c>
      <c r="AA149" s="16">
        <f t="shared" si="254"/>
        <v>0</v>
      </c>
      <c r="AB149" s="16">
        <f t="shared" si="254"/>
        <v>0</v>
      </c>
      <c r="AC149" s="16">
        <f t="shared" si="254"/>
        <v>0</v>
      </c>
      <c r="AD149" s="16">
        <f t="shared" si="254"/>
        <v>0</v>
      </c>
      <c r="AE149" s="16">
        <f t="shared" si="254"/>
        <v>-25000</v>
      </c>
      <c r="AF149" s="16">
        <f t="shared" si="254"/>
        <v>0</v>
      </c>
      <c r="AG149" s="16">
        <f t="shared" si="254"/>
        <v>-25000</v>
      </c>
      <c r="AH149" s="16">
        <f t="shared" si="254"/>
        <v>25000</v>
      </c>
      <c r="AI149" s="16">
        <f t="shared" si="254"/>
        <v>0</v>
      </c>
      <c r="AJ149" s="16">
        <f t="shared" si="254"/>
        <v>0</v>
      </c>
      <c r="AK149" s="16">
        <f t="shared" si="254"/>
        <v>0</v>
      </c>
      <c r="AL149" s="16">
        <f t="shared" si="254"/>
        <v>0</v>
      </c>
      <c r="AM149" s="16">
        <f t="shared" si="254"/>
        <v>25000</v>
      </c>
      <c r="AN149" s="16">
        <f t="shared" si="254"/>
        <v>0</v>
      </c>
      <c r="AO149" s="16">
        <f t="shared" ref="AO149:BT149" si="255">SUMIF($F$12:$F$452,"=3143",AO$12:AO$452)</f>
        <v>25000</v>
      </c>
      <c r="AP149" s="16">
        <f t="shared" si="255"/>
        <v>0</v>
      </c>
      <c r="AQ149" s="16">
        <f t="shared" si="255"/>
        <v>0</v>
      </c>
      <c r="AR149" s="16">
        <f t="shared" si="255"/>
        <v>0</v>
      </c>
      <c r="AS149" s="16">
        <f t="shared" si="255"/>
        <v>0</v>
      </c>
      <c r="AT149" s="16">
        <f t="shared" si="255"/>
        <v>-250</v>
      </c>
      <c r="AU149" s="16">
        <f t="shared" si="255"/>
        <v>0</v>
      </c>
      <c r="AV149" s="16">
        <f t="shared" si="255"/>
        <v>0</v>
      </c>
      <c r="AW149" s="16">
        <f t="shared" si="255"/>
        <v>0</v>
      </c>
      <c r="AX149" s="16">
        <f t="shared" si="255"/>
        <v>0</v>
      </c>
      <c r="AY149" s="16">
        <f t="shared" si="255"/>
        <v>-250</v>
      </c>
      <c r="AZ149" s="13">
        <f t="shared" si="255"/>
        <v>-0.05</v>
      </c>
      <c r="BA149" s="13">
        <f t="shared" si="255"/>
        <v>0</v>
      </c>
      <c r="BB149" s="13">
        <f t="shared" si="255"/>
        <v>0</v>
      </c>
      <c r="BC149" s="13">
        <f t="shared" si="255"/>
        <v>0</v>
      </c>
      <c r="BD149" s="13">
        <f t="shared" si="255"/>
        <v>0</v>
      </c>
      <c r="BE149" s="13">
        <f t="shared" si="255"/>
        <v>0</v>
      </c>
      <c r="BF149" s="13">
        <f t="shared" si="255"/>
        <v>0</v>
      </c>
      <c r="BG149" s="13">
        <f t="shared" si="255"/>
        <v>0</v>
      </c>
      <c r="BH149" s="13">
        <f t="shared" si="255"/>
        <v>0</v>
      </c>
      <c r="BI149" s="13">
        <f t="shared" si="255"/>
        <v>-0.05</v>
      </c>
      <c r="BJ149" s="13">
        <f t="shared" si="255"/>
        <v>0</v>
      </c>
      <c r="BK149" s="169">
        <f t="shared" si="255"/>
        <v>-0.05</v>
      </c>
      <c r="BL149" s="167">
        <f t="shared" si="255"/>
        <v>16457843</v>
      </c>
      <c r="BM149" s="16">
        <f t="shared" si="255"/>
        <v>12169577</v>
      </c>
      <c r="BN149" s="16">
        <f t="shared" si="255"/>
        <v>11743327</v>
      </c>
      <c r="BO149" s="16">
        <f t="shared" si="255"/>
        <v>426250</v>
      </c>
      <c r="BP149" s="16">
        <f t="shared" si="255"/>
        <v>25000</v>
      </c>
      <c r="BQ149" s="16">
        <f t="shared" si="255"/>
        <v>25000</v>
      </c>
      <c r="BR149" s="16">
        <f t="shared" si="255"/>
        <v>0</v>
      </c>
      <c r="BS149" s="16">
        <f t="shared" si="255"/>
        <v>4121769</v>
      </c>
      <c r="BT149" s="16">
        <f t="shared" si="255"/>
        <v>121697</v>
      </c>
      <c r="BU149" s="16">
        <f t="shared" ref="BU149:CJ149" si="256">SUMIF($F$12:$F$452,"=3143",BU$12:BU$452)</f>
        <v>19800</v>
      </c>
      <c r="BV149" s="13">
        <f t="shared" si="256"/>
        <v>24.779700000000005</v>
      </c>
      <c r="BW149" s="13">
        <f t="shared" si="256"/>
        <v>23.166800000000002</v>
      </c>
      <c r="BX149" s="169">
        <f t="shared" si="256"/>
        <v>1.6129</v>
      </c>
      <c r="BY149" s="167">
        <f t="shared" si="256"/>
        <v>0</v>
      </c>
      <c r="BZ149" s="16">
        <f t="shared" si="256"/>
        <v>0</v>
      </c>
      <c r="CA149" s="16">
        <f t="shared" si="256"/>
        <v>0</v>
      </c>
      <c r="CB149" s="16">
        <f t="shared" si="256"/>
        <v>0</v>
      </c>
      <c r="CC149" s="16">
        <f t="shared" si="256"/>
        <v>0</v>
      </c>
      <c r="CD149" s="17">
        <f t="shared" si="256"/>
        <v>0</v>
      </c>
      <c r="CE149" s="167">
        <f t="shared" si="256"/>
        <v>0</v>
      </c>
      <c r="CF149" s="16">
        <f t="shared" si="256"/>
        <v>0</v>
      </c>
      <c r="CG149" s="16">
        <f t="shared" si="256"/>
        <v>0</v>
      </c>
      <c r="CH149" s="16">
        <f t="shared" si="256"/>
        <v>0</v>
      </c>
      <c r="CI149" s="16">
        <f t="shared" si="256"/>
        <v>0</v>
      </c>
      <c r="CJ149" s="17">
        <f t="shared" si="256"/>
        <v>0</v>
      </c>
    </row>
    <row r="150" spans="4:88" s="89" customFormat="1" ht="12.95" customHeight="1">
      <c r="D150" s="311"/>
      <c r="E150" s="312"/>
      <c r="F150" s="311"/>
      <c r="G150" s="313"/>
      <c r="H150" s="2">
        <v>3231</v>
      </c>
      <c r="I150" s="167">
        <f t="shared" ref="I150:AN150" si="257">SUMIF($F$12:$F$452,"=3231",I$12:I$452)</f>
        <v>22939809</v>
      </c>
      <c r="J150" s="16">
        <f t="shared" si="257"/>
        <v>16975509</v>
      </c>
      <c r="K150" s="16">
        <f t="shared" si="257"/>
        <v>16029353</v>
      </c>
      <c r="L150" s="16">
        <f t="shared" si="257"/>
        <v>946156</v>
      </c>
      <c r="M150" s="16">
        <f t="shared" si="257"/>
        <v>8400</v>
      </c>
      <c r="N150" s="16">
        <f t="shared" si="257"/>
        <v>8400</v>
      </c>
      <c r="O150" s="16">
        <f t="shared" si="257"/>
        <v>0</v>
      </c>
      <c r="P150" s="16">
        <f t="shared" si="257"/>
        <v>5740561</v>
      </c>
      <c r="Q150" s="16">
        <f t="shared" si="257"/>
        <v>169755</v>
      </c>
      <c r="R150" s="16">
        <f t="shared" si="257"/>
        <v>45584</v>
      </c>
      <c r="S150" s="13">
        <f t="shared" si="257"/>
        <v>28.016800000000003</v>
      </c>
      <c r="T150" s="13">
        <f t="shared" si="257"/>
        <v>25.362400000000001</v>
      </c>
      <c r="U150" s="17">
        <f t="shared" si="257"/>
        <v>2.6543999999999999</v>
      </c>
      <c r="V150" s="168">
        <f t="shared" si="257"/>
        <v>1750</v>
      </c>
      <c r="W150" s="16">
        <f t="shared" si="257"/>
        <v>0</v>
      </c>
      <c r="X150" s="16">
        <f t="shared" si="257"/>
        <v>0</v>
      </c>
      <c r="Y150" s="16">
        <f t="shared" si="257"/>
        <v>0</v>
      </c>
      <c r="Z150" s="16">
        <f t="shared" si="257"/>
        <v>0</v>
      </c>
      <c r="AA150" s="16">
        <f t="shared" si="257"/>
        <v>0</v>
      </c>
      <c r="AB150" s="16">
        <f t="shared" si="257"/>
        <v>0</v>
      </c>
      <c r="AC150" s="16">
        <f t="shared" si="257"/>
        <v>0</v>
      </c>
      <c r="AD150" s="16">
        <f t="shared" si="257"/>
        <v>0</v>
      </c>
      <c r="AE150" s="16">
        <f t="shared" si="257"/>
        <v>1750</v>
      </c>
      <c r="AF150" s="16">
        <f t="shared" si="257"/>
        <v>0</v>
      </c>
      <c r="AG150" s="16">
        <f t="shared" si="257"/>
        <v>1750</v>
      </c>
      <c r="AH150" s="16">
        <f t="shared" si="257"/>
        <v>-1750</v>
      </c>
      <c r="AI150" s="16">
        <f t="shared" si="257"/>
        <v>0</v>
      </c>
      <c r="AJ150" s="16">
        <f t="shared" si="257"/>
        <v>0</v>
      </c>
      <c r="AK150" s="16">
        <f t="shared" si="257"/>
        <v>0</v>
      </c>
      <c r="AL150" s="16">
        <f t="shared" si="257"/>
        <v>0</v>
      </c>
      <c r="AM150" s="16">
        <f t="shared" si="257"/>
        <v>-1750</v>
      </c>
      <c r="AN150" s="16">
        <f t="shared" si="257"/>
        <v>0</v>
      </c>
      <c r="AO150" s="16">
        <f t="shared" ref="AO150:BT150" si="258">SUMIF($F$12:$F$452,"=3231",AO$12:AO$452)</f>
        <v>-1750</v>
      </c>
      <c r="AP150" s="16">
        <f t="shared" si="258"/>
        <v>0</v>
      </c>
      <c r="AQ150" s="16">
        <f t="shared" si="258"/>
        <v>0</v>
      </c>
      <c r="AR150" s="16">
        <f t="shared" si="258"/>
        <v>0</v>
      </c>
      <c r="AS150" s="16">
        <f t="shared" si="258"/>
        <v>0</v>
      </c>
      <c r="AT150" s="16">
        <f t="shared" si="258"/>
        <v>18</v>
      </c>
      <c r="AU150" s="16">
        <f t="shared" si="258"/>
        <v>0</v>
      </c>
      <c r="AV150" s="16">
        <f t="shared" si="258"/>
        <v>0</v>
      </c>
      <c r="AW150" s="16">
        <f t="shared" si="258"/>
        <v>0</v>
      </c>
      <c r="AX150" s="16">
        <f t="shared" si="258"/>
        <v>0</v>
      </c>
      <c r="AY150" s="16">
        <f t="shared" si="258"/>
        <v>18</v>
      </c>
      <c r="AZ150" s="13">
        <f t="shared" si="258"/>
        <v>0</v>
      </c>
      <c r="BA150" s="13">
        <f t="shared" si="258"/>
        <v>0</v>
      </c>
      <c r="BB150" s="13">
        <f t="shared" si="258"/>
        <v>0</v>
      </c>
      <c r="BC150" s="13">
        <f t="shared" si="258"/>
        <v>0</v>
      </c>
      <c r="BD150" s="13">
        <f t="shared" si="258"/>
        <v>0</v>
      </c>
      <c r="BE150" s="13">
        <f t="shared" si="258"/>
        <v>0</v>
      </c>
      <c r="BF150" s="13">
        <f t="shared" si="258"/>
        <v>0</v>
      </c>
      <c r="BG150" s="13">
        <f t="shared" si="258"/>
        <v>0</v>
      </c>
      <c r="BH150" s="13">
        <f t="shared" si="258"/>
        <v>0</v>
      </c>
      <c r="BI150" s="13">
        <f t="shared" si="258"/>
        <v>0</v>
      </c>
      <c r="BJ150" s="13">
        <f t="shared" si="258"/>
        <v>0</v>
      </c>
      <c r="BK150" s="169">
        <f t="shared" si="258"/>
        <v>0</v>
      </c>
      <c r="BL150" s="167">
        <f t="shared" si="258"/>
        <v>22939827</v>
      </c>
      <c r="BM150" s="16">
        <f t="shared" si="258"/>
        <v>16977259</v>
      </c>
      <c r="BN150" s="16">
        <f t="shared" si="258"/>
        <v>16031103</v>
      </c>
      <c r="BO150" s="16">
        <f t="shared" si="258"/>
        <v>946156</v>
      </c>
      <c r="BP150" s="16">
        <f t="shared" si="258"/>
        <v>6650</v>
      </c>
      <c r="BQ150" s="16">
        <f t="shared" si="258"/>
        <v>6650</v>
      </c>
      <c r="BR150" s="16">
        <f t="shared" si="258"/>
        <v>0</v>
      </c>
      <c r="BS150" s="16">
        <f t="shared" si="258"/>
        <v>5740561</v>
      </c>
      <c r="BT150" s="16">
        <f t="shared" si="258"/>
        <v>169773</v>
      </c>
      <c r="BU150" s="16">
        <f t="shared" ref="BU150:CJ150" si="259">SUMIF($F$12:$F$452,"=3231",BU$12:BU$452)</f>
        <v>45584</v>
      </c>
      <c r="BV150" s="13">
        <f t="shared" si="259"/>
        <v>28.016800000000003</v>
      </c>
      <c r="BW150" s="13">
        <f t="shared" si="259"/>
        <v>25.362400000000001</v>
      </c>
      <c r="BX150" s="169">
        <f t="shared" si="259"/>
        <v>2.6543999999999999</v>
      </c>
      <c r="BY150" s="167">
        <f t="shared" si="259"/>
        <v>0</v>
      </c>
      <c r="BZ150" s="16">
        <f t="shared" si="259"/>
        <v>0</v>
      </c>
      <c r="CA150" s="16">
        <f t="shared" si="259"/>
        <v>0</v>
      </c>
      <c r="CB150" s="16">
        <f t="shared" si="259"/>
        <v>0</v>
      </c>
      <c r="CC150" s="16">
        <f t="shared" si="259"/>
        <v>0</v>
      </c>
      <c r="CD150" s="17">
        <f t="shared" si="259"/>
        <v>0</v>
      </c>
      <c r="CE150" s="167">
        <f t="shared" si="259"/>
        <v>434640</v>
      </c>
      <c r="CF150" s="16">
        <f t="shared" si="259"/>
        <v>311360</v>
      </c>
      <c r="CG150" s="16">
        <f t="shared" si="259"/>
        <v>105239</v>
      </c>
      <c r="CH150" s="16">
        <f t="shared" si="259"/>
        <v>3113</v>
      </c>
      <c r="CI150" s="16">
        <f t="shared" si="259"/>
        <v>14928</v>
      </c>
      <c r="CJ150" s="17">
        <f t="shared" si="259"/>
        <v>0.87319999999999998</v>
      </c>
    </row>
    <row r="151" spans="4:88" s="89" customFormat="1" ht="12.95" customHeight="1" thickBot="1">
      <c r="D151" s="311"/>
      <c r="E151" s="312"/>
      <c r="F151" s="311"/>
      <c r="G151" s="313"/>
      <c r="H151" s="151">
        <v>3233</v>
      </c>
      <c r="I151" s="170">
        <f t="shared" ref="I151:AN151" si="260">SUMIF($F$12:$F$452,"=3233",I$12:I$452)</f>
        <v>2460833</v>
      </c>
      <c r="J151" s="171">
        <f t="shared" si="260"/>
        <v>1824011</v>
      </c>
      <c r="K151" s="171">
        <f t="shared" si="260"/>
        <v>1484806</v>
      </c>
      <c r="L151" s="171">
        <f t="shared" si="260"/>
        <v>339205</v>
      </c>
      <c r="M151" s="171">
        <f t="shared" si="260"/>
        <v>0</v>
      </c>
      <c r="N151" s="171">
        <f t="shared" si="260"/>
        <v>0</v>
      </c>
      <c r="O151" s="171">
        <f t="shared" si="260"/>
        <v>0</v>
      </c>
      <c r="P151" s="171">
        <f t="shared" si="260"/>
        <v>616516</v>
      </c>
      <c r="Q151" s="171">
        <f t="shared" si="260"/>
        <v>18241</v>
      </c>
      <c r="R151" s="171">
        <f t="shared" si="260"/>
        <v>2065</v>
      </c>
      <c r="S151" s="172">
        <f t="shared" si="260"/>
        <v>3.78</v>
      </c>
      <c r="T151" s="172">
        <f t="shared" si="260"/>
        <v>2.69</v>
      </c>
      <c r="U151" s="173">
        <f t="shared" si="260"/>
        <v>1.0899999999999999</v>
      </c>
      <c r="V151" s="174">
        <f t="shared" si="260"/>
        <v>0</v>
      </c>
      <c r="W151" s="171">
        <f t="shared" si="260"/>
        <v>0</v>
      </c>
      <c r="X151" s="171">
        <f t="shared" si="260"/>
        <v>0</v>
      </c>
      <c r="Y151" s="171">
        <f t="shared" si="260"/>
        <v>0</v>
      </c>
      <c r="Z151" s="171">
        <f t="shared" si="260"/>
        <v>0</v>
      </c>
      <c r="AA151" s="171">
        <f t="shared" si="260"/>
        <v>0</v>
      </c>
      <c r="AB151" s="171">
        <f t="shared" si="260"/>
        <v>0</v>
      </c>
      <c r="AC151" s="171">
        <f t="shared" si="260"/>
        <v>0</v>
      </c>
      <c r="AD151" s="171">
        <f t="shared" si="260"/>
        <v>0</v>
      </c>
      <c r="AE151" s="171">
        <f t="shared" si="260"/>
        <v>0</v>
      </c>
      <c r="AF151" s="171">
        <f t="shared" si="260"/>
        <v>0</v>
      </c>
      <c r="AG151" s="171">
        <f t="shared" si="260"/>
        <v>0</v>
      </c>
      <c r="AH151" s="171">
        <f t="shared" si="260"/>
        <v>0</v>
      </c>
      <c r="AI151" s="171">
        <f t="shared" si="260"/>
        <v>0</v>
      </c>
      <c r="AJ151" s="171">
        <f t="shared" si="260"/>
        <v>0</v>
      </c>
      <c r="AK151" s="171">
        <f t="shared" si="260"/>
        <v>0</v>
      </c>
      <c r="AL151" s="171">
        <f t="shared" si="260"/>
        <v>0</v>
      </c>
      <c r="AM151" s="171">
        <f t="shared" si="260"/>
        <v>0</v>
      </c>
      <c r="AN151" s="171">
        <f t="shared" si="260"/>
        <v>0</v>
      </c>
      <c r="AO151" s="171">
        <f t="shared" ref="AO151:BT151" si="261">SUMIF($F$12:$F$452,"=3233",AO$12:AO$452)</f>
        <v>0</v>
      </c>
      <c r="AP151" s="171">
        <f t="shared" si="261"/>
        <v>0</v>
      </c>
      <c r="AQ151" s="171">
        <f t="shared" si="261"/>
        <v>0</v>
      </c>
      <c r="AR151" s="171">
        <f t="shared" si="261"/>
        <v>0</v>
      </c>
      <c r="AS151" s="171">
        <f t="shared" si="261"/>
        <v>0</v>
      </c>
      <c r="AT151" s="171">
        <f t="shared" si="261"/>
        <v>0</v>
      </c>
      <c r="AU151" s="171">
        <f t="shared" si="261"/>
        <v>0</v>
      </c>
      <c r="AV151" s="171">
        <f t="shared" si="261"/>
        <v>0</v>
      </c>
      <c r="AW151" s="171">
        <f t="shared" si="261"/>
        <v>0</v>
      </c>
      <c r="AX151" s="171">
        <f t="shared" si="261"/>
        <v>0</v>
      </c>
      <c r="AY151" s="171">
        <f t="shared" si="261"/>
        <v>0</v>
      </c>
      <c r="AZ151" s="172">
        <f t="shared" si="261"/>
        <v>0</v>
      </c>
      <c r="BA151" s="172">
        <f t="shared" si="261"/>
        <v>0</v>
      </c>
      <c r="BB151" s="172">
        <f t="shared" si="261"/>
        <v>0</v>
      </c>
      <c r="BC151" s="172">
        <f t="shared" si="261"/>
        <v>0</v>
      </c>
      <c r="BD151" s="172">
        <f t="shared" si="261"/>
        <v>0</v>
      </c>
      <c r="BE151" s="172">
        <f t="shared" si="261"/>
        <v>0</v>
      </c>
      <c r="BF151" s="172">
        <f t="shared" si="261"/>
        <v>0</v>
      </c>
      <c r="BG151" s="172">
        <f t="shared" si="261"/>
        <v>0</v>
      </c>
      <c r="BH151" s="172">
        <f t="shared" si="261"/>
        <v>0</v>
      </c>
      <c r="BI151" s="172">
        <f t="shared" si="261"/>
        <v>0</v>
      </c>
      <c r="BJ151" s="172">
        <f t="shared" si="261"/>
        <v>0</v>
      </c>
      <c r="BK151" s="175">
        <f t="shared" si="261"/>
        <v>0</v>
      </c>
      <c r="BL151" s="170">
        <f t="shared" si="261"/>
        <v>2460833</v>
      </c>
      <c r="BM151" s="171">
        <f t="shared" si="261"/>
        <v>1824011</v>
      </c>
      <c r="BN151" s="171">
        <f t="shared" si="261"/>
        <v>1484806</v>
      </c>
      <c r="BO151" s="171">
        <f t="shared" si="261"/>
        <v>339205</v>
      </c>
      <c r="BP151" s="171">
        <f t="shared" si="261"/>
        <v>0</v>
      </c>
      <c r="BQ151" s="171">
        <f t="shared" si="261"/>
        <v>0</v>
      </c>
      <c r="BR151" s="171">
        <f t="shared" si="261"/>
        <v>0</v>
      </c>
      <c r="BS151" s="171">
        <f t="shared" si="261"/>
        <v>616516</v>
      </c>
      <c r="BT151" s="171">
        <f t="shared" si="261"/>
        <v>18241</v>
      </c>
      <c r="BU151" s="171">
        <f t="shared" ref="BU151:CJ151" si="262">SUMIF($F$12:$F$452,"=3233",BU$12:BU$452)</f>
        <v>2065</v>
      </c>
      <c r="BV151" s="172">
        <f t="shared" si="262"/>
        <v>3.78</v>
      </c>
      <c r="BW151" s="172">
        <f t="shared" si="262"/>
        <v>2.69</v>
      </c>
      <c r="BX151" s="175">
        <f t="shared" si="262"/>
        <v>1.0899999999999999</v>
      </c>
      <c r="BY151" s="170">
        <f t="shared" si="262"/>
        <v>0</v>
      </c>
      <c r="BZ151" s="171">
        <f t="shared" si="262"/>
        <v>0</v>
      </c>
      <c r="CA151" s="171">
        <f t="shared" si="262"/>
        <v>0</v>
      </c>
      <c r="CB151" s="171">
        <f t="shared" si="262"/>
        <v>0</v>
      </c>
      <c r="CC151" s="171">
        <f t="shared" si="262"/>
        <v>0</v>
      </c>
      <c r="CD151" s="173">
        <f t="shared" si="262"/>
        <v>0</v>
      </c>
      <c r="CE151" s="170">
        <f t="shared" si="262"/>
        <v>0</v>
      </c>
      <c r="CF151" s="171">
        <f t="shared" si="262"/>
        <v>0</v>
      </c>
      <c r="CG151" s="171">
        <f t="shared" si="262"/>
        <v>0</v>
      </c>
      <c r="CH151" s="171">
        <f t="shared" si="262"/>
        <v>0</v>
      </c>
      <c r="CI151" s="171">
        <f t="shared" si="262"/>
        <v>0</v>
      </c>
      <c r="CJ151" s="173">
        <f t="shared" si="262"/>
        <v>0</v>
      </c>
    </row>
    <row r="152" spans="4:88" ht="12.95" customHeight="1"/>
    <row r="159" spans="4:88">
      <c r="S159" s="314"/>
      <c r="T159" s="314"/>
      <c r="U159" s="314"/>
    </row>
  </sheetData>
  <mergeCells count="58">
    <mergeCell ref="CE6:CJ7"/>
    <mergeCell ref="CE8:CJ9"/>
    <mergeCell ref="AB9:AB10"/>
    <mergeCell ref="BF8:BF9"/>
    <mergeCell ref="AJ9:AJ10"/>
    <mergeCell ref="AK9:AL9"/>
    <mergeCell ref="AM9:AN9"/>
    <mergeCell ref="BY6:CD7"/>
    <mergeCell ref="BY8:CD9"/>
    <mergeCell ref="AO9:AO10"/>
    <mergeCell ref="BQ9:BR9"/>
    <mergeCell ref="BS9:BS10"/>
    <mergeCell ref="AS7:AS10"/>
    <mergeCell ref="AZ7:BK7"/>
    <mergeCell ref="BB8:BB9"/>
    <mergeCell ref="BG8:BH9"/>
    <mergeCell ref="V9:W9"/>
    <mergeCell ref="X9:X10"/>
    <mergeCell ref="Y9:Y10"/>
    <mergeCell ref="AG9:AG10"/>
    <mergeCell ref="AH9:AI9"/>
    <mergeCell ref="BI8:BK9"/>
    <mergeCell ref="BV8:BV10"/>
    <mergeCell ref="BW8:BX9"/>
    <mergeCell ref="BM9:BM10"/>
    <mergeCell ref="BC8:BD9"/>
    <mergeCell ref="A3:E3"/>
    <mergeCell ref="I8:I10"/>
    <mergeCell ref="I6:U7"/>
    <mergeCell ref="V6:BK6"/>
    <mergeCell ref="BL6:BX7"/>
    <mergeCell ref="V7:AG8"/>
    <mergeCell ref="AH7:AO8"/>
    <mergeCell ref="AP7:AR9"/>
    <mergeCell ref="Q9:Q10"/>
    <mergeCell ref="R9:R10"/>
    <mergeCell ref="J8:R8"/>
    <mergeCell ref="S8:S10"/>
    <mergeCell ref="T8:U9"/>
    <mergeCell ref="AC9:AD9"/>
    <mergeCell ref="AE9:AF9"/>
    <mergeCell ref="AZ8:BA9"/>
    <mergeCell ref="J9:J10"/>
    <mergeCell ref="K9:L9"/>
    <mergeCell ref="M9:M10"/>
    <mergeCell ref="BU9:BU10"/>
    <mergeCell ref="BL8:BL10"/>
    <mergeCell ref="BM8:BU8"/>
    <mergeCell ref="BE8:BE9"/>
    <mergeCell ref="BT9:BT10"/>
    <mergeCell ref="BN9:BO9"/>
    <mergeCell ref="BP9:BP10"/>
    <mergeCell ref="N9:O9"/>
    <mergeCell ref="P9:P10"/>
    <mergeCell ref="AT7:AT10"/>
    <mergeCell ref="AU7:AX9"/>
    <mergeCell ref="AY7:AY10"/>
    <mergeCell ref="Z9:AA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CJ223"/>
  <sheetViews>
    <sheetView zoomScaleNormal="100" workbookViewId="0">
      <pane xSplit="8" ySplit="11" topLeftCell="BJ33" activePane="bottomRight" state="frozen"/>
      <selection activeCell="V6" sqref="V6:BK10"/>
      <selection pane="topRight" activeCell="V6" sqref="V6:BK10"/>
      <selection pane="bottomLeft" activeCell="V6" sqref="V6:BK10"/>
      <selection pane="bottomRight" activeCell="BL6" sqref="BL6:BX7"/>
    </sheetView>
  </sheetViews>
  <sheetFormatPr defaultColWidth="9.140625" defaultRowHeight="15"/>
  <cols>
    <col min="1" max="1" width="5" style="395" customWidth="1"/>
    <col min="2" max="2" width="8" style="309" customWidth="1"/>
    <col min="3" max="3" width="10.28515625" style="309" customWidth="1"/>
    <col min="4" max="4" width="9.42578125" style="309" customWidth="1"/>
    <col min="5" max="5" width="27.7109375" style="250" customWidth="1"/>
    <col min="6" max="6" width="4.42578125" style="250" bestFit="1" customWidth="1"/>
    <col min="7" max="7" width="10.28515625" style="250" customWidth="1"/>
    <col min="8" max="8" width="8" style="396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1061" customWidth="1"/>
    <col min="29" max="36" width="10.28515625" style="314" customWidth="1"/>
    <col min="37" max="37" width="9.42578125" style="314" customWidth="1"/>
    <col min="38" max="38" width="9.5703125" style="314" customWidth="1"/>
    <col min="39" max="42" width="10.28515625" style="314" customWidth="1"/>
    <col min="43" max="43" width="10.28515625" style="315" customWidth="1"/>
    <col min="44" max="45" width="10.42578125" style="315" customWidth="1"/>
    <col min="46" max="46" width="11.140625" style="314" customWidth="1"/>
    <col min="47" max="48" width="9.7109375" style="314" customWidth="1"/>
    <col min="49" max="49" width="12.140625" style="1061" customWidth="1"/>
    <col min="50" max="50" width="9.140625" style="314" customWidth="1"/>
    <col min="51" max="51" width="9.7109375" style="314" customWidth="1"/>
    <col min="52" max="52" width="9.85546875" style="315" customWidth="1"/>
    <col min="53" max="54" width="9.140625" style="315" customWidth="1"/>
    <col min="55" max="55" width="10.28515625" style="315" customWidth="1"/>
    <col min="56" max="57" width="9.140625" style="315" customWidth="1"/>
    <col min="58" max="58" width="12.28515625" style="1060" hidden="1" customWidth="1"/>
    <col min="59" max="59" width="9.140625" style="315" customWidth="1"/>
    <col min="60" max="60" width="8.85546875" style="315" customWidth="1"/>
    <col min="61" max="63" width="9.140625" style="315" customWidth="1"/>
    <col min="64" max="73" width="10.85546875" style="315" customWidth="1"/>
    <col min="74" max="76" width="9.28515625" style="315" customWidth="1"/>
    <col min="77" max="77" width="9.7109375" style="314" customWidth="1"/>
    <col min="78" max="78" width="10.5703125" style="314" customWidth="1"/>
    <col min="79" max="79" width="10.85546875" style="314" customWidth="1"/>
    <col min="80" max="80" width="10.5703125" style="314" customWidth="1"/>
    <col min="81" max="81" width="9.7109375" style="314" customWidth="1"/>
    <col min="82" max="82" width="10" style="315" customWidth="1"/>
    <col min="83" max="87" width="9.140625" style="250"/>
    <col min="88" max="88" width="9.140625" style="1063"/>
    <col min="89" max="16384" width="9.140625" style="250"/>
  </cols>
  <sheetData>
    <row r="1" spans="1:88" ht="12" customHeight="1">
      <c r="A1" s="50" t="s">
        <v>2</v>
      </c>
      <c r="B1" s="50"/>
      <c r="C1" s="42"/>
      <c r="D1" s="50"/>
      <c r="E1" s="50"/>
      <c r="F1" s="249"/>
      <c r="G1" s="249"/>
      <c r="H1" s="249"/>
      <c r="AT1" s="53"/>
      <c r="AU1" s="53"/>
      <c r="AV1" s="53"/>
      <c r="AW1" s="236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2" customHeight="1">
      <c r="A2" s="50" t="s">
        <v>3</v>
      </c>
      <c r="B2" s="50"/>
      <c r="C2" s="42"/>
      <c r="D2" s="50"/>
      <c r="E2" s="50"/>
      <c r="F2" s="249"/>
      <c r="G2" s="249"/>
      <c r="H2" s="249"/>
    </row>
    <row r="3" spans="1:88" ht="12" customHeight="1">
      <c r="A3" s="1215" t="s">
        <v>4</v>
      </c>
      <c r="B3" s="1215"/>
      <c r="C3" s="1215"/>
      <c r="D3" s="1215"/>
      <c r="E3" s="1215"/>
      <c r="F3" s="249"/>
      <c r="G3" s="249"/>
      <c r="H3" s="249"/>
      <c r="AU3" s="506"/>
      <c r="AV3" s="506"/>
      <c r="AW3" s="506"/>
      <c r="AX3" s="506"/>
    </row>
    <row r="4" spans="1:88" ht="12" customHeight="1">
      <c r="A4" s="363"/>
      <c r="B4" s="398"/>
      <c r="C4" s="398"/>
      <c r="D4" s="398"/>
      <c r="E4" s="398"/>
      <c r="F4" s="249"/>
      <c r="G4" s="249"/>
      <c r="H4" s="249"/>
      <c r="AW4" s="505"/>
      <c r="AX4" s="505"/>
    </row>
    <row r="5" spans="1:88" ht="16.5" thickBot="1">
      <c r="A5" s="181" t="s">
        <v>890</v>
      </c>
      <c r="B5" s="51"/>
      <c r="C5" s="51"/>
      <c r="D5" s="51"/>
      <c r="E5" s="52"/>
      <c r="F5" s="252"/>
      <c r="G5" s="252"/>
      <c r="H5" s="252"/>
      <c r="I5" s="1016"/>
      <c r="J5" s="1016"/>
      <c r="K5" s="1016"/>
      <c r="L5" s="1016"/>
      <c r="M5" s="1016"/>
      <c r="N5" s="1016"/>
      <c r="O5" s="1016"/>
      <c r="P5" s="1016"/>
      <c r="Q5" s="1016"/>
      <c r="R5" s="1016"/>
      <c r="S5" s="1017"/>
      <c r="T5" s="1017"/>
      <c r="U5" s="1017"/>
      <c r="V5" s="1018"/>
      <c r="W5" s="1016"/>
      <c r="X5" s="1016"/>
      <c r="Y5" s="1016"/>
      <c r="Z5" s="1016"/>
      <c r="AA5" s="1016"/>
      <c r="AB5" s="1062"/>
      <c r="AC5" s="1016"/>
      <c r="AD5" s="1016"/>
      <c r="AE5" s="1016"/>
      <c r="AF5" s="1016"/>
      <c r="AG5" s="1016"/>
      <c r="AU5" s="845"/>
      <c r="AV5" s="845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116" t="s">
        <v>877</v>
      </c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8"/>
      <c r="V6" s="1122" t="s">
        <v>888</v>
      </c>
      <c r="W6" s="1122"/>
      <c r="X6" s="1122"/>
      <c r="Y6" s="1122"/>
      <c r="Z6" s="1122"/>
      <c r="AA6" s="1122"/>
      <c r="AB6" s="1122"/>
      <c r="AC6" s="1122"/>
      <c r="AD6" s="1122"/>
      <c r="AE6" s="1122"/>
      <c r="AF6" s="1122"/>
      <c r="AG6" s="1122"/>
      <c r="AH6" s="1122"/>
      <c r="AI6" s="1122"/>
      <c r="AJ6" s="1122"/>
      <c r="AK6" s="1122"/>
      <c r="AL6" s="1122"/>
      <c r="AM6" s="1122"/>
      <c r="AN6" s="1122"/>
      <c r="AO6" s="1122"/>
      <c r="AP6" s="1122"/>
      <c r="AQ6" s="1122"/>
      <c r="AR6" s="1122"/>
      <c r="AS6" s="1122"/>
      <c r="AT6" s="1122"/>
      <c r="AU6" s="1122"/>
      <c r="AV6" s="1122"/>
      <c r="AW6" s="1122"/>
      <c r="AX6" s="1122"/>
      <c r="AY6" s="1122"/>
      <c r="AZ6" s="1122"/>
      <c r="BA6" s="1122"/>
      <c r="BB6" s="1122"/>
      <c r="BC6" s="1122"/>
      <c r="BD6" s="1122"/>
      <c r="BE6" s="1122"/>
      <c r="BF6" s="1122"/>
      <c r="BG6" s="1122"/>
      <c r="BH6" s="1122"/>
      <c r="BI6" s="1122"/>
      <c r="BJ6" s="1122"/>
      <c r="BK6" s="1123"/>
      <c r="BL6" s="1116" t="s">
        <v>889</v>
      </c>
      <c r="BM6" s="1117"/>
      <c r="BN6" s="1117"/>
      <c r="BO6" s="1117"/>
      <c r="BP6" s="1117"/>
      <c r="BQ6" s="1117"/>
      <c r="BR6" s="1117"/>
      <c r="BS6" s="1117"/>
      <c r="BT6" s="1117"/>
      <c r="BU6" s="1117"/>
      <c r="BV6" s="1117"/>
      <c r="BW6" s="1117"/>
      <c r="BX6" s="1118"/>
      <c r="BY6" s="1209" t="s">
        <v>847</v>
      </c>
      <c r="BZ6" s="1210"/>
      <c r="CA6" s="1210"/>
      <c r="CB6" s="1210"/>
      <c r="CC6" s="1210"/>
      <c r="CD6" s="1211"/>
      <c r="CE6" s="1168" t="s">
        <v>847</v>
      </c>
      <c r="CF6" s="1169"/>
      <c r="CG6" s="1169"/>
      <c r="CH6" s="1169"/>
      <c r="CI6" s="1170"/>
      <c r="CJ6" s="1171"/>
    </row>
    <row r="7" spans="1:88" ht="16.5" customHeight="1" thickBot="1">
      <c r="A7" s="363"/>
      <c r="B7" s="253"/>
      <c r="C7" s="89"/>
      <c r="D7" s="254"/>
      <c r="E7" s="253"/>
      <c r="F7" s="249"/>
      <c r="G7" s="249"/>
      <c r="H7" s="249"/>
      <c r="I7" s="1119"/>
      <c r="J7" s="1120"/>
      <c r="K7" s="1120"/>
      <c r="L7" s="1120"/>
      <c r="M7" s="1120"/>
      <c r="N7" s="1120"/>
      <c r="O7" s="1120"/>
      <c r="P7" s="1120"/>
      <c r="Q7" s="1120"/>
      <c r="R7" s="1120"/>
      <c r="S7" s="1120"/>
      <c r="T7" s="1120"/>
      <c r="U7" s="1121"/>
      <c r="V7" s="1140" t="s">
        <v>807</v>
      </c>
      <c r="W7" s="1140"/>
      <c r="X7" s="1140"/>
      <c r="Y7" s="1140"/>
      <c r="Z7" s="1140"/>
      <c r="AA7" s="1140"/>
      <c r="AB7" s="1140"/>
      <c r="AC7" s="1140"/>
      <c r="AD7" s="1140"/>
      <c r="AE7" s="1140"/>
      <c r="AF7" s="1140"/>
      <c r="AG7" s="1141"/>
      <c r="AH7" s="1139" t="s">
        <v>808</v>
      </c>
      <c r="AI7" s="1140"/>
      <c r="AJ7" s="1140"/>
      <c r="AK7" s="1140"/>
      <c r="AL7" s="1140"/>
      <c r="AM7" s="1140"/>
      <c r="AN7" s="1140"/>
      <c r="AO7" s="1141"/>
      <c r="AP7" s="1190" t="s">
        <v>822</v>
      </c>
      <c r="AQ7" s="1190"/>
      <c r="AR7" s="1190"/>
      <c r="AS7" s="1113" t="s">
        <v>5</v>
      </c>
      <c r="AT7" s="1113" t="s">
        <v>275</v>
      </c>
      <c r="AU7" s="1197" t="s">
        <v>796</v>
      </c>
      <c r="AV7" s="1197"/>
      <c r="AW7" s="1197"/>
      <c r="AX7" s="1198"/>
      <c r="AY7" s="1203" t="s">
        <v>288</v>
      </c>
      <c r="AZ7" s="1206" t="s">
        <v>809</v>
      </c>
      <c r="BA7" s="1207"/>
      <c r="BB7" s="1207"/>
      <c r="BC7" s="1207"/>
      <c r="BD7" s="1207"/>
      <c r="BE7" s="1207"/>
      <c r="BF7" s="1207"/>
      <c r="BG7" s="1207"/>
      <c r="BH7" s="1207"/>
      <c r="BI7" s="1207"/>
      <c r="BJ7" s="1207"/>
      <c r="BK7" s="1208"/>
      <c r="BL7" s="1119"/>
      <c r="BM7" s="1120"/>
      <c r="BN7" s="1120"/>
      <c r="BO7" s="1120"/>
      <c r="BP7" s="1120"/>
      <c r="BQ7" s="1120"/>
      <c r="BR7" s="1120"/>
      <c r="BS7" s="1120"/>
      <c r="BT7" s="1120"/>
      <c r="BU7" s="1120"/>
      <c r="BV7" s="1120"/>
      <c r="BW7" s="1120"/>
      <c r="BX7" s="1121"/>
      <c r="BY7" s="1212"/>
      <c r="BZ7" s="1213"/>
      <c r="CA7" s="1213"/>
      <c r="CB7" s="1213"/>
      <c r="CC7" s="1213"/>
      <c r="CD7" s="1214"/>
      <c r="CE7" s="1172"/>
      <c r="CF7" s="1173"/>
      <c r="CG7" s="1173"/>
      <c r="CH7" s="1173"/>
      <c r="CI7" s="1174"/>
      <c r="CJ7" s="1175"/>
    </row>
    <row r="8" spans="1:88" ht="15" customHeight="1">
      <c r="A8" s="364"/>
      <c r="B8" s="256"/>
      <c r="C8" s="256"/>
      <c r="D8" s="256"/>
      <c r="E8" s="256"/>
      <c r="F8" s="256"/>
      <c r="G8" s="256"/>
      <c r="H8" s="256"/>
      <c r="I8" s="1127" t="s">
        <v>6</v>
      </c>
      <c r="J8" s="1124" t="s">
        <v>777</v>
      </c>
      <c r="K8" s="1125"/>
      <c r="L8" s="1125"/>
      <c r="M8" s="1125"/>
      <c r="N8" s="1125"/>
      <c r="O8" s="1125"/>
      <c r="P8" s="1125"/>
      <c r="Q8" s="1125"/>
      <c r="R8" s="1126"/>
      <c r="S8" s="1130" t="s">
        <v>813</v>
      </c>
      <c r="T8" s="1133" t="s">
        <v>814</v>
      </c>
      <c r="U8" s="1134"/>
      <c r="V8" s="1143"/>
      <c r="W8" s="1143"/>
      <c r="X8" s="1143"/>
      <c r="Y8" s="1143"/>
      <c r="Z8" s="1143"/>
      <c r="AA8" s="1143"/>
      <c r="AB8" s="1143"/>
      <c r="AC8" s="1143"/>
      <c r="AD8" s="1143"/>
      <c r="AE8" s="1143"/>
      <c r="AF8" s="1143"/>
      <c r="AG8" s="1144"/>
      <c r="AH8" s="1142"/>
      <c r="AI8" s="1143"/>
      <c r="AJ8" s="1143"/>
      <c r="AK8" s="1143"/>
      <c r="AL8" s="1143"/>
      <c r="AM8" s="1143"/>
      <c r="AN8" s="1143"/>
      <c r="AO8" s="1144"/>
      <c r="AP8" s="1190"/>
      <c r="AQ8" s="1190"/>
      <c r="AR8" s="1190"/>
      <c r="AS8" s="1114"/>
      <c r="AT8" s="1114"/>
      <c r="AU8" s="1199"/>
      <c r="AV8" s="1199"/>
      <c r="AW8" s="1199"/>
      <c r="AX8" s="1200"/>
      <c r="AY8" s="1204"/>
      <c r="AZ8" s="1145" t="s">
        <v>276</v>
      </c>
      <c r="BA8" s="1195"/>
      <c r="BB8" s="1184" t="s">
        <v>277</v>
      </c>
      <c r="BC8" s="1186" t="s">
        <v>860</v>
      </c>
      <c r="BD8" s="1187"/>
      <c r="BE8" s="1184" t="s">
        <v>787</v>
      </c>
      <c r="BF8" s="1184"/>
      <c r="BG8" s="1145" t="s">
        <v>278</v>
      </c>
      <c r="BH8" s="1195"/>
      <c r="BI8" s="1145" t="s">
        <v>823</v>
      </c>
      <c r="BJ8" s="1146"/>
      <c r="BK8" s="1147"/>
      <c r="BL8" s="1165" t="s">
        <v>6</v>
      </c>
      <c r="BM8" s="1161" t="s">
        <v>777</v>
      </c>
      <c r="BN8" s="1161"/>
      <c r="BO8" s="1161"/>
      <c r="BP8" s="1161"/>
      <c r="BQ8" s="1161"/>
      <c r="BR8" s="1161"/>
      <c r="BS8" s="1161"/>
      <c r="BT8" s="1161"/>
      <c r="BU8" s="1161"/>
      <c r="BV8" s="1130" t="s">
        <v>813</v>
      </c>
      <c r="BW8" s="1191" t="s">
        <v>778</v>
      </c>
      <c r="BX8" s="1192"/>
      <c r="BY8" s="1151" t="s">
        <v>846</v>
      </c>
      <c r="BZ8" s="1152"/>
      <c r="CA8" s="1152"/>
      <c r="CB8" s="1152"/>
      <c r="CC8" s="1152"/>
      <c r="CD8" s="1153"/>
      <c r="CE8" s="1176" t="s">
        <v>861</v>
      </c>
      <c r="CF8" s="1177"/>
      <c r="CG8" s="1177"/>
      <c r="CH8" s="1177"/>
      <c r="CI8" s="1177"/>
      <c r="CJ8" s="1178"/>
    </row>
    <row r="9" spans="1:88" ht="19.5" customHeight="1" thickBot="1">
      <c r="A9" s="362" t="s">
        <v>776</v>
      </c>
      <c r="B9" s="89"/>
      <c r="C9" s="89"/>
      <c r="D9" s="258"/>
      <c r="E9" s="89"/>
      <c r="F9" s="259"/>
      <c r="G9" s="260"/>
      <c r="H9" s="260"/>
      <c r="I9" s="1128"/>
      <c r="J9" s="1137" t="s">
        <v>268</v>
      </c>
      <c r="K9" s="1108" t="s">
        <v>827</v>
      </c>
      <c r="L9" s="1109"/>
      <c r="M9" s="1111" t="s">
        <v>274</v>
      </c>
      <c r="N9" s="1108" t="s">
        <v>834</v>
      </c>
      <c r="O9" s="1109"/>
      <c r="P9" s="1111" t="s">
        <v>5</v>
      </c>
      <c r="Q9" s="1111" t="s">
        <v>1</v>
      </c>
      <c r="R9" s="1111" t="s">
        <v>7</v>
      </c>
      <c r="S9" s="1131"/>
      <c r="T9" s="1135"/>
      <c r="U9" s="1136"/>
      <c r="V9" s="1110" t="s">
        <v>279</v>
      </c>
      <c r="W9" s="1104"/>
      <c r="X9" s="1100" t="s">
        <v>812</v>
      </c>
      <c r="Y9" s="1100" t="s">
        <v>811</v>
      </c>
      <c r="Z9" s="1105" t="s">
        <v>860</v>
      </c>
      <c r="AA9" s="1105"/>
      <c r="AB9" s="1182"/>
      <c r="AC9" s="1105" t="s">
        <v>278</v>
      </c>
      <c r="AD9" s="1105"/>
      <c r="AE9" s="1103" t="s">
        <v>788</v>
      </c>
      <c r="AF9" s="1104"/>
      <c r="AG9" s="1106" t="s">
        <v>788</v>
      </c>
      <c r="AH9" s="1103" t="s">
        <v>280</v>
      </c>
      <c r="AI9" s="1104"/>
      <c r="AJ9" s="1101" t="s">
        <v>810</v>
      </c>
      <c r="AK9" s="1103" t="s">
        <v>281</v>
      </c>
      <c r="AL9" s="1104"/>
      <c r="AM9" s="1103" t="s">
        <v>745</v>
      </c>
      <c r="AN9" s="1104"/>
      <c r="AO9" s="1106" t="s">
        <v>745</v>
      </c>
      <c r="AP9" s="1190"/>
      <c r="AQ9" s="1190"/>
      <c r="AR9" s="1190"/>
      <c r="AS9" s="1114"/>
      <c r="AT9" s="1114"/>
      <c r="AU9" s="1201"/>
      <c r="AV9" s="1201"/>
      <c r="AW9" s="1201"/>
      <c r="AX9" s="1202"/>
      <c r="AY9" s="1204"/>
      <c r="AZ9" s="1148"/>
      <c r="BA9" s="1196"/>
      <c r="BB9" s="1185"/>
      <c r="BC9" s="1188"/>
      <c r="BD9" s="1189"/>
      <c r="BE9" s="1185"/>
      <c r="BF9" s="1185"/>
      <c r="BG9" s="1148"/>
      <c r="BH9" s="1196"/>
      <c r="BI9" s="1148"/>
      <c r="BJ9" s="1149"/>
      <c r="BK9" s="1150"/>
      <c r="BL9" s="1166"/>
      <c r="BM9" s="1157" t="s">
        <v>268</v>
      </c>
      <c r="BN9" s="1108" t="s">
        <v>827</v>
      </c>
      <c r="BO9" s="1109"/>
      <c r="BP9" s="1159" t="s">
        <v>274</v>
      </c>
      <c r="BQ9" s="1162" t="s">
        <v>834</v>
      </c>
      <c r="BR9" s="1162"/>
      <c r="BS9" s="1163" t="s">
        <v>5</v>
      </c>
      <c r="BT9" s="1163" t="s">
        <v>1</v>
      </c>
      <c r="BU9" s="1163" t="s">
        <v>7</v>
      </c>
      <c r="BV9" s="1131"/>
      <c r="BW9" s="1193"/>
      <c r="BX9" s="1194"/>
      <c r="BY9" s="1154"/>
      <c r="BZ9" s="1155"/>
      <c r="CA9" s="1155"/>
      <c r="CB9" s="1155"/>
      <c r="CC9" s="1155"/>
      <c r="CD9" s="1156"/>
      <c r="CE9" s="1179"/>
      <c r="CF9" s="1180"/>
      <c r="CG9" s="1180"/>
      <c r="CH9" s="1180"/>
      <c r="CI9" s="1180"/>
      <c r="CJ9" s="1181"/>
    </row>
    <row r="10" spans="1:88" ht="51" customHeight="1" thickBot="1">
      <c r="A10" s="365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129"/>
      <c r="J10" s="1138"/>
      <c r="K10" s="587" t="s">
        <v>805</v>
      </c>
      <c r="L10" s="587" t="s">
        <v>806</v>
      </c>
      <c r="M10" s="1112"/>
      <c r="N10" s="587" t="s">
        <v>805</v>
      </c>
      <c r="O10" s="587" t="s">
        <v>806</v>
      </c>
      <c r="P10" s="1112"/>
      <c r="Q10" s="1112"/>
      <c r="R10" s="1112"/>
      <c r="S10" s="1132"/>
      <c r="T10" s="588" t="s">
        <v>805</v>
      </c>
      <c r="U10" s="604" t="s">
        <v>806</v>
      </c>
      <c r="V10" s="562" t="s">
        <v>805</v>
      </c>
      <c r="W10" s="556" t="s">
        <v>806</v>
      </c>
      <c r="X10" s="1100"/>
      <c r="Y10" s="1100"/>
      <c r="Z10" s="556" t="s">
        <v>805</v>
      </c>
      <c r="AA10" s="561" t="s">
        <v>806</v>
      </c>
      <c r="AB10" s="1183"/>
      <c r="AC10" s="556" t="s">
        <v>805</v>
      </c>
      <c r="AD10" s="561" t="s">
        <v>806</v>
      </c>
      <c r="AE10" s="556" t="s">
        <v>805</v>
      </c>
      <c r="AF10" s="561" t="s">
        <v>806</v>
      </c>
      <c r="AG10" s="1107"/>
      <c r="AH10" s="557" t="s">
        <v>805</v>
      </c>
      <c r="AI10" s="557" t="s">
        <v>806</v>
      </c>
      <c r="AJ10" s="1102"/>
      <c r="AK10" s="556" t="s">
        <v>805</v>
      </c>
      <c r="AL10" s="556" t="s">
        <v>806</v>
      </c>
      <c r="AM10" s="556" t="s">
        <v>805</v>
      </c>
      <c r="AN10" s="556" t="s">
        <v>806</v>
      </c>
      <c r="AO10" s="1107"/>
      <c r="AP10" s="556" t="s">
        <v>805</v>
      </c>
      <c r="AQ10" s="556" t="s">
        <v>806</v>
      </c>
      <c r="AR10" s="556" t="s">
        <v>256</v>
      </c>
      <c r="AS10" s="1115"/>
      <c r="AT10" s="1115"/>
      <c r="AU10" s="403" t="s">
        <v>277</v>
      </c>
      <c r="AV10" s="403" t="s">
        <v>278</v>
      </c>
      <c r="AW10" s="403"/>
      <c r="AX10" s="403" t="s">
        <v>746</v>
      </c>
      <c r="AY10" s="1205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67"/>
      <c r="BM10" s="1158"/>
      <c r="BN10" s="557" t="s">
        <v>805</v>
      </c>
      <c r="BO10" s="557" t="s">
        <v>806</v>
      </c>
      <c r="BP10" s="1160"/>
      <c r="BQ10" s="557" t="s">
        <v>805</v>
      </c>
      <c r="BR10" s="557" t="s">
        <v>806</v>
      </c>
      <c r="BS10" s="1164"/>
      <c r="BT10" s="1164"/>
      <c r="BU10" s="1164"/>
      <c r="BV10" s="1132"/>
      <c r="BW10" s="565" t="s">
        <v>805</v>
      </c>
      <c r="BX10" s="1079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0" t="s">
        <v>841</v>
      </c>
      <c r="CF10" s="871" t="s">
        <v>268</v>
      </c>
      <c r="CG10" s="871" t="s">
        <v>840</v>
      </c>
      <c r="CH10" s="871" t="s">
        <v>1</v>
      </c>
      <c r="CI10" s="876" t="s">
        <v>796</v>
      </c>
      <c r="CJ10" s="872" t="s">
        <v>842</v>
      </c>
    </row>
    <row r="11" spans="1:88" s="267" customFormat="1" ht="12" thickBot="1">
      <c r="A11" s="366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40" t="s">
        <v>262</v>
      </c>
      <c r="J11" s="141" t="s">
        <v>263</v>
      </c>
      <c r="K11" s="141" t="s">
        <v>801</v>
      </c>
      <c r="L11" s="141" t="s">
        <v>802</v>
      </c>
      <c r="M11" s="141" t="s">
        <v>269</v>
      </c>
      <c r="N11" s="141" t="s">
        <v>803</v>
      </c>
      <c r="O11" s="141" t="s">
        <v>804</v>
      </c>
      <c r="P11" s="141" t="s">
        <v>264</v>
      </c>
      <c r="Q11" s="141" t="s">
        <v>265</v>
      </c>
      <c r="R11" s="141" t="s">
        <v>266</v>
      </c>
      <c r="S11" s="401" t="s">
        <v>267</v>
      </c>
      <c r="T11" s="142" t="s">
        <v>532</v>
      </c>
      <c r="U11" s="179" t="s">
        <v>533</v>
      </c>
      <c r="V11" s="136" t="s">
        <v>815</v>
      </c>
      <c r="W11" s="137" t="s">
        <v>816</v>
      </c>
      <c r="X11" s="137" t="s">
        <v>815</v>
      </c>
      <c r="Y11" s="137" t="s">
        <v>815</v>
      </c>
      <c r="Z11" s="137" t="s">
        <v>815</v>
      </c>
      <c r="AA11" s="137" t="s">
        <v>816</v>
      </c>
      <c r="AB11" s="1082" t="s">
        <v>816</v>
      </c>
      <c r="AC11" s="137" t="s">
        <v>815</v>
      </c>
      <c r="AD11" s="137" t="s">
        <v>816</v>
      </c>
      <c r="AE11" s="137" t="s">
        <v>815</v>
      </c>
      <c r="AF11" s="137" t="s">
        <v>816</v>
      </c>
      <c r="AG11" s="137" t="s">
        <v>824</v>
      </c>
      <c r="AH11" s="137" t="s">
        <v>817</v>
      </c>
      <c r="AI11" s="137" t="s">
        <v>818</v>
      </c>
      <c r="AJ11" s="137" t="s">
        <v>817</v>
      </c>
      <c r="AK11" s="137" t="s">
        <v>817</v>
      </c>
      <c r="AL11" s="137" t="s">
        <v>818</v>
      </c>
      <c r="AM11" s="137" t="s">
        <v>817</v>
      </c>
      <c r="AN11" s="137" t="s">
        <v>818</v>
      </c>
      <c r="AO11" s="137" t="s">
        <v>825</v>
      </c>
      <c r="AP11" s="600" t="s">
        <v>819</v>
      </c>
      <c r="AQ11" s="600" t="s">
        <v>820</v>
      </c>
      <c r="AR11" s="137" t="s">
        <v>821</v>
      </c>
      <c r="AS11" s="137" t="s">
        <v>282</v>
      </c>
      <c r="AT11" s="137" t="s">
        <v>283</v>
      </c>
      <c r="AU11" s="137" t="s">
        <v>284</v>
      </c>
      <c r="AV11" s="137" t="s">
        <v>284</v>
      </c>
      <c r="AW11" s="1082" t="s">
        <v>284</v>
      </c>
      <c r="AX11" s="137" t="s">
        <v>284</v>
      </c>
      <c r="AY11" s="137" t="s">
        <v>289</v>
      </c>
      <c r="AZ11" s="502" t="s">
        <v>285</v>
      </c>
      <c r="BA11" s="187" t="s">
        <v>286</v>
      </c>
      <c r="BB11" s="187" t="s">
        <v>285</v>
      </c>
      <c r="BC11" s="187" t="s">
        <v>285</v>
      </c>
      <c r="BD11" s="187" t="s">
        <v>286</v>
      </c>
      <c r="BE11" s="187" t="s">
        <v>285</v>
      </c>
      <c r="BF11" s="187" t="s">
        <v>286</v>
      </c>
      <c r="BG11" s="187" t="s">
        <v>285</v>
      </c>
      <c r="BH11" s="187" t="s">
        <v>286</v>
      </c>
      <c r="BI11" s="187" t="s">
        <v>285</v>
      </c>
      <c r="BJ11" s="187" t="s">
        <v>286</v>
      </c>
      <c r="BK11" s="188" t="s">
        <v>287</v>
      </c>
      <c r="BL11" s="140" t="s">
        <v>262</v>
      </c>
      <c r="BM11" s="508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83" t="s">
        <v>839</v>
      </c>
      <c r="CF11" s="883" t="s">
        <v>839</v>
      </c>
      <c r="CG11" s="883" t="s">
        <v>839</v>
      </c>
      <c r="CH11" s="883" t="s">
        <v>839</v>
      </c>
      <c r="CI11" s="883" t="s">
        <v>839</v>
      </c>
      <c r="CJ11" s="1064" t="s">
        <v>839</v>
      </c>
    </row>
    <row r="12" spans="1:88" ht="12" customHeight="1">
      <c r="A12" s="268">
        <v>1</v>
      </c>
      <c r="B12" s="269">
        <v>5490</v>
      </c>
      <c r="C12" s="269">
        <v>600099474</v>
      </c>
      <c r="D12" s="269">
        <v>71173854</v>
      </c>
      <c r="E12" s="367" t="s">
        <v>451</v>
      </c>
      <c r="F12" s="269">
        <v>3111</v>
      </c>
      <c r="G12" s="368" t="s">
        <v>304</v>
      </c>
      <c r="H12" s="369" t="s">
        <v>271</v>
      </c>
      <c r="I12" s="405">
        <v>19276666</v>
      </c>
      <c r="J12" s="406">
        <v>14224011</v>
      </c>
      <c r="K12" s="406">
        <v>13096815</v>
      </c>
      <c r="L12" s="406">
        <v>1127196</v>
      </c>
      <c r="M12" s="406">
        <v>0</v>
      </c>
      <c r="N12" s="406">
        <v>0</v>
      </c>
      <c r="O12" s="406">
        <v>0</v>
      </c>
      <c r="P12" s="144">
        <v>4807715</v>
      </c>
      <c r="Q12" s="144">
        <v>142240</v>
      </c>
      <c r="R12" s="406">
        <v>102700</v>
      </c>
      <c r="S12" s="407">
        <v>28.016000000000002</v>
      </c>
      <c r="T12" s="407">
        <v>23.5</v>
      </c>
      <c r="U12" s="421">
        <v>4.516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 t="shared" ref="BL12:BL20" si="0">I12+AY12</f>
        <v>19276666</v>
      </c>
      <c r="BM12" s="771">
        <f t="shared" ref="BM12:BM20" si="1">J12+AG12</f>
        <v>14224011</v>
      </c>
      <c r="BN12" s="409">
        <f t="shared" ref="BN12:BO20" si="2">K12+AE12</f>
        <v>13096815</v>
      </c>
      <c r="BO12" s="409">
        <f t="shared" si="2"/>
        <v>1127196</v>
      </c>
      <c r="BP12" s="409">
        <f t="shared" ref="BP12:BP20" si="3">M12+AO12</f>
        <v>0</v>
      </c>
      <c r="BQ12" s="409">
        <f t="shared" ref="BQ12:BR20" si="4">N12+AM12</f>
        <v>0</v>
      </c>
      <c r="BR12" s="409">
        <f t="shared" si="4"/>
        <v>0</v>
      </c>
      <c r="BS12" s="409">
        <f t="shared" ref="BS12:BT20" si="5">P12+AS12</f>
        <v>4807715</v>
      </c>
      <c r="BT12" s="409">
        <f t="shared" si="5"/>
        <v>142240</v>
      </c>
      <c r="BU12" s="409">
        <f t="shared" ref="BU12:BU20" si="6">R12+AX12</f>
        <v>102700</v>
      </c>
      <c r="BV12" s="410">
        <f t="shared" ref="BV12:BV20" si="7">S12+BK12</f>
        <v>28.016000000000002</v>
      </c>
      <c r="BW12" s="410">
        <f t="shared" ref="BW12:BX20" si="8">T12+BI12</f>
        <v>23.5</v>
      </c>
      <c r="BX12" s="412">
        <f t="shared" si="8"/>
        <v>4.516</v>
      </c>
      <c r="BY12" s="857"/>
      <c r="BZ12" s="564"/>
      <c r="CA12" s="564"/>
      <c r="CB12" s="564"/>
      <c r="CC12" s="564"/>
      <c r="CD12" s="832"/>
      <c r="CE12" s="1019">
        <v>521784</v>
      </c>
      <c r="CF12" s="1020">
        <v>361724</v>
      </c>
      <c r="CG12" s="1020">
        <v>122263</v>
      </c>
      <c r="CH12" s="1020">
        <v>3617</v>
      </c>
      <c r="CI12" s="1020">
        <v>34180</v>
      </c>
      <c r="CJ12" s="1065">
        <v>1.4492</v>
      </c>
    </row>
    <row r="13" spans="1:88" ht="12" customHeight="1">
      <c r="A13" s="280">
        <v>1</v>
      </c>
      <c r="B13" s="370">
        <v>5490</v>
      </c>
      <c r="C13" s="370">
        <v>600099474</v>
      </c>
      <c r="D13" s="370">
        <v>71173854</v>
      </c>
      <c r="E13" s="371" t="s">
        <v>451</v>
      </c>
      <c r="F13" s="370">
        <v>3111</v>
      </c>
      <c r="G13" s="331" t="s">
        <v>292</v>
      </c>
      <c r="H13" s="285" t="s">
        <v>271</v>
      </c>
      <c r="I13" s="419">
        <v>2210774</v>
      </c>
      <c r="J13" s="414">
        <v>1640040</v>
      </c>
      <c r="K13" s="414">
        <v>1640040</v>
      </c>
      <c r="L13" s="414">
        <v>0</v>
      </c>
      <c r="M13" s="414">
        <v>0</v>
      </c>
      <c r="N13" s="414">
        <v>0</v>
      </c>
      <c r="O13" s="414">
        <v>0</v>
      </c>
      <c r="P13" s="68">
        <v>554334</v>
      </c>
      <c r="Q13" s="68">
        <v>16400</v>
      </c>
      <c r="R13" s="414">
        <v>0</v>
      </c>
      <c r="S13" s="415">
        <v>4</v>
      </c>
      <c r="T13" s="415">
        <v>4</v>
      </c>
      <c r="U13" s="422">
        <v>0</v>
      </c>
      <c r="V13" s="423">
        <f t="shared" ref="V13:W75" si="9">AH13*-1</f>
        <v>0</v>
      </c>
      <c r="W13" s="417">
        <f t="shared" si="9"/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5" si="10">V13+X13+Y13+Z13+AC13</f>
        <v>0</v>
      </c>
      <c r="AF13" s="417">
        <f t="shared" ref="AF13:AF75" si="11">W13+AA13+AD13+AB13</f>
        <v>0</v>
      </c>
      <c r="AG13" s="417">
        <f t="shared" ref="AG13:AG75" si="12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5" si="13">AH13+AJ13+AK13</f>
        <v>0</v>
      </c>
      <c r="AN13" s="417">
        <f t="shared" ref="AN13:AN75" si="14">AI13+AL13</f>
        <v>0</v>
      </c>
      <c r="AO13" s="417">
        <f t="shared" ref="AO13:AO75" si="15">SUM(AM13:AN13)</f>
        <v>0</v>
      </c>
      <c r="AP13" s="417">
        <f t="shared" ref="AP13:AQ75" si="16">AE13+AM13</f>
        <v>0</v>
      </c>
      <c r="AQ13" s="417">
        <f t="shared" si="16"/>
        <v>0</v>
      </c>
      <c r="AR13" s="417">
        <f t="shared" ref="AR13:AR75" si="17">SUM(AP13:AQ13)</f>
        <v>0</v>
      </c>
      <c r="AS13" s="68">
        <f t="shared" ref="AS13:AS75" si="18">ROUND((AG13+AH13+AI13+AJ13)*33.8%,0)</f>
        <v>0</v>
      </c>
      <c r="AT13" s="68">
        <f t="shared" ref="AT13:AT75" si="19">ROUND(AG13*1%,0)</f>
        <v>0</v>
      </c>
      <c r="AU13" s="417">
        <v>0</v>
      </c>
      <c r="AV13" s="417">
        <v>0</v>
      </c>
      <c r="AW13" s="417">
        <v>0</v>
      </c>
      <c r="AX13" s="417">
        <f t="shared" ref="AX13:AX75" si="20">SUM(AU13:AW13)</f>
        <v>0</v>
      </c>
      <c r="AY13" s="417">
        <f t="shared" ref="AY13:AY75" si="21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5" si="22">AZ13+BB13+BC13+BE13+BG13</f>
        <v>0</v>
      </c>
      <c r="BJ13" s="418">
        <f t="shared" ref="BJ13:BJ75" si="23">BA13+BD13+BH13+BF13</f>
        <v>0</v>
      </c>
      <c r="BK13" s="420">
        <f t="shared" ref="BK13:BK75" si="24">SUM(BI13:BJ13)</f>
        <v>0</v>
      </c>
      <c r="BL13" s="772">
        <f t="shared" si="0"/>
        <v>2210774</v>
      </c>
      <c r="BM13" s="772">
        <f t="shared" si="1"/>
        <v>1640040</v>
      </c>
      <c r="BN13" s="417">
        <f t="shared" si="2"/>
        <v>1640040</v>
      </c>
      <c r="BO13" s="417">
        <f t="shared" si="2"/>
        <v>0</v>
      </c>
      <c r="BP13" s="417">
        <f t="shared" si="3"/>
        <v>0</v>
      </c>
      <c r="BQ13" s="417">
        <f t="shared" si="4"/>
        <v>0</v>
      </c>
      <c r="BR13" s="417">
        <f t="shared" si="4"/>
        <v>0</v>
      </c>
      <c r="BS13" s="417">
        <f t="shared" si="5"/>
        <v>554334</v>
      </c>
      <c r="BT13" s="417">
        <f t="shared" si="5"/>
        <v>16400</v>
      </c>
      <c r="BU13" s="417">
        <f t="shared" si="6"/>
        <v>0</v>
      </c>
      <c r="BV13" s="418">
        <f t="shared" si="7"/>
        <v>4</v>
      </c>
      <c r="BW13" s="418">
        <f t="shared" si="8"/>
        <v>4</v>
      </c>
      <c r="BX13" s="420">
        <f t="shared" si="8"/>
        <v>0</v>
      </c>
      <c r="BY13" s="510"/>
      <c r="BZ13" s="414"/>
      <c r="CA13" s="414"/>
      <c r="CB13" s="414"/>
      <c r="CC13" s="414"/>
      <c r="CD13" s="509"/>
      <c r="CE13" s="1021"/>
      <c r="CF13" s="1022"/>
      <c r="CG13" s="1022"/>
      <c r="CH13" s="1022"/>
      <c r="CI13" s="1022"/>
      <c r="CJ13" s="981"/>
    </row>
    <row r="14" spans="1:88" ht="12.95" customHeight="1">
      <c r="A14" s="280">
        <v>1</v>
      </c>
      <c r="B14" s="212">
        <v>5490</v>
      </c>
      <c r="C14" s="370">
        <v>600099474</v>
      </c>
      <c r="D14" s="212">
        <v>71173854</v>
      </c>
      <c r="E14" s="372" t="s">
        <v>451</v>
      </c>
      <c r="F14" s="212">
        <v>3114</v>
      </c>
      <c r="G14" s="331" t="s">
        <v>525</v>
      </c>
      <c r="H14" s="285" t="s">
        <v>271</v>
      </c>
      <c r="I14" s="419">
        <v>7546545</v>
      </c>
      <c r="J14" s="414">
        <v>5573758</v>
      </c>
      <c r="K14" s="414">
        <v>4484880</v>
      </c>
      <c r="L14" s="414">
        <v>1088878</v>
      </c>
      <c r="M14" s="414">
        <v>0</v>
      </c>
      <c r="N14" s="414">
        <v>0</v>
      </c>
      <c r="O14" s="414">
        <v>0</v>
      </c>
      <c r="P14" s="68">
        <v>1883929</v>
      </c>
      <c r="Q14" s="68">
        <v>55738</v>
      </c>
      <c r="R14" s="414">
        <v>33120</v>
      </c>
      <c r="S14" s="415">
        <v>9.0806000000000004</v>
      </c>
      <c r="T14" s="415">
        <v>6</v>
      </c>
      <c r="U14" s="422">
        <v>3.0805999999999996</v>
      </c>
      <c r="V14" s="423">
        <f t="shared" si="9"/>
        <v>0</v>
      </c>
      <c r="W14" s="417">
        <f t="shared" si="9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si="10"/>
        <v>0</v>
      </c>
      <c r="AF14" s="417">
        <f t="shared" si="11"/>
        <v>0</v>
      </c>
      <c r="AG14" s="417">
        <f t="shared" si="12"/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13"/>
        <v>0</v>
      </c>
      <c r="AN14" s="417">
        <f t="shared" si="14"/>
        <v>0</v>
      </c>
      <c r="AO14" s="417">
        <f t="shared" si="15"/>
        <v>0</v>
      </c>
      <c r="AP14" s="417">
        <f t="shared" si="16"/>
        <v>0</v>
      </c>
      <c r="AQ14" s="417">
        <f t="shared" si="16"/>
        <v>0</v>
      </c>
      <c r="AR14" s="417">
        <f t="shared" si="17"/>
        <v>0</v>
      </c>
      <c r="AS14" s="68">
        <f t="shared" si="18"/>
        <v>0</v>
      </c>
      <c r="AT14" s="68">
        <f t="shared" si="19"/>
        <v>0</v>
      </c>
      <c r="AU14" s="417">
        <v>0</v>
      </c>
      <c r="AV14" s="417">
        <v>0</v>
      </c>
      <c r="AW14" s="417">
        <v>0</v>
      </c>
      <c r="AX14" s="417">
        <f t="shared" si="20"/>
        <v>0</v>
      </c>
      <c r="AY14" s="417">
        <f t="shared" si="21"/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22"/>
        <v>0</v>
      </c>
      <c r="BJ14" s="418">
        <f t="shared" si="23"/>
        <v>0</v>
      </c>
      <c r="BK14" s="420">
        <f t="shared" si="24"/>
        <v>0</v>
      </c>
      <c r="BL14" s="772">
        <f t="shared" si="0"/>
        <v>7546545</v>
      </c>
      <c r="BM14" s="772">
        <f t="shared" si="1"/>
        <v>5573758</v>
      </c>
      <c r="BN14" s="417">
        <f t="shared" si="2"/>
        <v>4484880</v>
      </c>
      <c r="BO14" s="417">
        <f t="shared" si="2"/>
        <v>1088878</v>
      </c>
      <c r="BP14" s="417">
        <f t="shared" si="3"/>
        <v>0</v>
      </c>
      <c r="BQ14" s="417">
        <f t="shared" si="4"/>
        <v>0</v>
      </c>
      <c r="BR14" s="417">
        <f t="shared" si="4"/>
        <v>0</v>
      </c>
      <c r="BS14" s="417">
        <f t="shared" si="5"/>
        <v>1883929</v>
      </c>
      <c r="BT14" s="417">
        <f t="shared" si="5"/>
        <v>55738</v>
      </c>
      <c r="BU14" s="417">
        <f t="shared" si="6"/>
        <v>33120</v>
      </c>
      <c r="BV14" s="418">
        <f t="shared" si="7"/>
        <v>9.0806000000000004</v>
      </c>
      <c r="BW14" s="418">
        <f t="shared" si="8"/>
        <v>6</v>
      </c>
      <c r="BX14" s="420">
        <f t="shared" si="8"/>
        <v>3.0805999999999996</v>
      </c>
      <c r="BY14" s="510"/>
      <c r="BZ14" s="414"/>
      <c r="CA14" s="414"/>
      <c r="CB14" s="414"/>
      <c r="CC14" s="414"/>
      <c r="CD14" s="509"/>
      <c r="CE14" s="1021">
        <v>479941</v>
      </c>
      <c r="CF14" s="1022">
        <v>349403</v>
      </c>
      <c r="CG14" s="1022">
        <v>118098</v>
      </c>
      <c r="CH14" s="1022">
        <v>3494</v>
      </c>
      <c r="CI14" s="1022">
        <v>8946</v>
      </c>
      <c r="CJ14" s="981">
        <v>0.98849999999999993</v>
      </c>
    </row>
    <row r="15" spans="1:88" ht="12.95" customHeight="1">
      <c r="A15" s="280">
        <v>1</v>
      </c>
      <c r="B15" s="370">
        <v>5490</v>
      </c>
      <c r="C15" s="370">
        <v>600099474</v>
      </c>
      <c r="D15" s="370">
        <v>71173854</v>
      </c>
      <c r="E15" s="371" t="s">
        <v>451</v>
      </c>
      <c r="F15" s="212">
        <v>3114</v>
      </c>
      <c r="G15" s="323" t="s">
        <v>291</v>
      </c>
      <c r="H15" s="285" t="s">
        <v>272</v>
      </c>
      <c r="I15" s="419">
        <v>904902</v>
      </c>
      <c r="J15" s="414">
        <v>669809</v>
      </c>
      <c r="K15" s="414">
        <v>669809</v>
      </c>
      <c r="L15" s="414">
        <v>0</v>
      </c>
      <c r="M15" s="414">
        <v>0</v>
      </c>
      <c r="N15" s="414">
        <v>0</v>
      </c>
      <c r="O15" s="414">
        <v>0</v>
      </c>
      <c r="P15" s="68">
        <v>226395</v>
      </c>
      <c r="Q15" s="68">
        <v>6698</v>
      </c>
      <c r="R15" s="414">
        <v>2000</v>
      </c>
      <c r="S15" s="415">
        <v>1.6700000000000002</v>
      </c>
      <c r="T15" s="415">
        <v>1.6700000000000002</v>
      </c>
      <c r="U15" s="422">
        <v>0</v>
      </c>
      <c r="V15" s="423">
        <f t="shared" si="9"/>
        <v>0</v>
      </c>
      <c r="W15" s="417">
        <f t="shared" si="9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10"/>
        <v>0</v>
      </c>
      <c r="AF15" s="417">
        <f t="shared" si="11"/>
        <v>0</v>
      </c>
      <c r="AG15" s="417">
        <f t="shared" si="12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13"/>
        <v>0</v>
      </c>
      <c r="AN15" s="417">
        <f t="shared" si="14"/>
        <v>0</v>
      </c>
      <c r="AO15" s="417">
        <f t="shared" si="15"/>
        <v>0</v>
      </c>
      <c r="AP15" s="417">
        <f t="shared" si="16"/>
        <v>0</v>
      </c>
      <c r="AQ15" s="417">
        <f t="shared" si="16"/>
        <v>0</v>
      </c>
      <c r="AR15" s="417">
        <f t="shared" si="17"/>
        <v>0</v>
      </c>
      <c r="AS15" s="68">
        <f t="shared" si="18"/>
        <v>0</v>
      </c>
      <c r="AT15" s="68">
        <f t="shared" si="19"/>
        <v>0</v>
      </c>
      <c r="AU15" s="417">
        <v>0</v>
      </c>
      <c r="AV15" s="417">
        <v>0</v>
      </c>
      <c r="AW15" s="417">
        <v>0</v>
      </c>
      <c r="AX15" s="417">
        <f t="shared" si="20"/>
        <v>0</v>
      </c>
      <c r="AY15" s="417">
        <f t="shared" si="21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22"/>
        <v>0</v>
      </c>
      <c r="BJ15" s="418">
        <f t="shared" si="23"/>
        <v>0</v>
      </c>
      <c r="BK15" s="420">
        <f t="shared" si="24"/>
        <v>0</v>
      </c>
      <c r="BL15" s="772">
        <f t="shared" si="0"/>
        <v>904902</v>
      </c>
      <c r="BM15" s="772">
        <f t="shared" si="1"/>
        <v>669809</v>
      </c>
      <c r="BN15" s="417">
        <f t="shared" si="2"/>
        <v>669809</v>
      </c>
      <c r="BO15" s="417">
        <f t="shared" si="2"/>
        <v>0</v>
      </c>
      <c r="BP15" s="417">
        <f t="shared" si="3"/>
        <v>0</v>
      </c>
      <c r="BQ15" s="417">
        <f t="shared" si="4"/>
        <v>0</v>
      </c>
      <c r="BR15" s="417">
        <f t="shared" si="4"/>
        <v>0</v>
      </c>
      <c r="BS15" s="417">
        <f t="shared" si="5"/>
        <v>226395</v>
      </c>
      <c r="BT15" s="417">
        <f t="shared" si="5"/>
        <v>6698</v>
      </c>
      <c r="BU15" s="417">
        <f t="shared" si="6"/>
        <v>2000</v>
      </c>
      <c r="BV15" s="418">
        <f t="shared" si="7"/>
        <v>1.6700000000000002</v>
      </c>
      <c r="BW15" s="418">
        <f t="shared" si="8"/>
        <v>1.6700000000000002</v>
      </c>
      <c r="BX15" s="420">
        <f t="shared" si="8"/>
        <v>0</v>
      </c>
      <c r="BY15" s="510"/>
      <c r="BZ15" s="414"/>
      <c r="CA15" s="414"/>
      <c r="CB15" s="414"/>
      <c r="CC15" s="414"/>
      <c r="CD15" s="509"/>
      <c r="CE15" s="1021"/>
      <c r="CF15" s="1022"/>
      <c r="CG15" s="1022"/>
      <c r="CH15" s="1022"/>
      <c r="CI15" s="1022"/>
      <c r="CJ15" s="981"/>
    </row>
    <row r="16" spans="1:88" ht="12.95" customHeight="1">
      <c r="A16" s="280">
        <v>1</v>
      </c>
      <c r="B16" s="212">
        <v>5490</v>
      </c>
      <c r="C16" s="370">
        <v>600099474</v>
      </c>
      <c r="D16" s="212">
        <v>71173854</v>
      </c>
      <c r="E16" s="372" t="s">
        <v>451</v>
      </c>
      <c r="F16" s="212">
        <v>3114</v>
      </c>
      <c r="G16" s="331" t="s">
        <v>292</v>
      </c>
      <c r="H16" s="285" t="s">
        <v>271</v>
      </c>
      <c r="I16" s="419">
        <v>3355550</v>
      </c>
      <c r="J16" s="414">
        <v>2489280</v>
      </c>
      <c r="K16" s="414">
        <v>2489280</v>
      </c>
      <c r="L16" s="414">
        <v>0</v>
      </c>
      <c r="M16" s="414">
        <v>0</v>
      </c>
      <c r="N16" s="414">
        <v>0</v>
      </c>
      <c r="O16" s="414">
        <v>0</v>
      </c>
      <c r="P16" s="68">
        <v>841377</v>
      </c>
      <c r="Q16" s="68">
        <v>24893</v>
      </c>
      <c r="R16" s="414">
        <v>0</v>
      </c>
      <c r="S16" s="415">
        <v>6.1</v>
      </c>
      <c r="T16" s="415">
        <v>6.1</v>
      </c>
      <c r="U16" s="422">
        <v>0</v>
      </c>
      <c r="V16" s="423">
        <f t="shared" si="9"/>
        <v>0</v>
      </c>
      <c r="W16" s="417">
        <f t="shared" si="9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10"/>
        <v>0</v>
      </c>
      <c r="AF16" s="417">
        <f t="shared" si="11"/>
        <v>0</v>
      </c>
      <c r="AG16" s="417">
        <f t="shared" si="12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13"/>
        <v>0</v>
      </c>
      <c r="AN16" s="417">
        <f t="shared" si="14"/>
        <v>0</v>
      </c>
      <c r="AO16" s="417">
        <f t="shared" si="15"/>
        <v>0</v>
      </c>
      <c r="AP16" s="417">
        <f t="shared" si="16"/>
        <v>0</v>
      </c>
      <c r="AQ16" s="417">
        <f t="shared" si="16"/>
        <v>0</v>
      </c>
      <c r="AR16" s="417">
        <f t="shared" si="17"/>
        <v>0</v>
      </c>
      <c r="AS16" s="68">
        <f t="shared" si="18"/>
        <v>0</v>
      </c>
      <c r="AT16" s="68">
        <f t="shared" si="19"/>
        <v>0</v>
      </c>
      <c r="AU16" s="417">
        <v>0</v>
      </c>
      <c r="AV16" s="417">
        <v>0</v>
      </c>
      <c r="AW16" s="417">
        <v>0</v>
      </c>
      <c r="AX16" s="417">
        <f t="shared" si="20"/>
        <v>0</v>
      </c>
      <c r="AY16" s="417">
        <f t="shared" si="21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22"/>
        <v>0</v>
      </c>
      <c r="BJ16" s="418">
        <f t="shared" si="23"/>
        <v>0</v>
      </c>
      <c r="BK16" s="420">
        <f t="shared" si="24"/>
        <v>0</v>
      </c>
      <c r="BL16" s="772">
        <f t="shared" si="0"/>
        <v>3355550</v>
      </c>
      <c r="BM16" s="772">
        <f t="shared" si="1"/>
        <v>2489280</v>
      </c>
      <c r="BN16" s="417">
        <f t="shared" si="2"/>
        <v>2489280</v>
      </c>
      <c r="BO16" s="417">
        <f t="shared" si="2"/>
        <v>0</v>
      </c>
      <c r="BP16" s="417">
        <f t="shared" si="3"/>
        <v>0</v>
      </c>
      <c r="BQ16" s="417">
        <f t="shared" si="4"/>
        <v>0</v>
      </c>
      <c r="BR16" s="417">
        <f t="shared" si="4"/>
        <v>0</v>
      </c>
      <c r="BS16" s="417">
        <f t="shared" si="5"/>
        <v>841377</v>
      </c>
      <c r="BT16" s="417">
        <f t="shared" si="5"/>
        <v>24893</v>
      </c>
      <c r="BU16" s="417">
        <f t="shared" si="6"/>
        <v>0</v>
      </c>
      <c r="BV16" s="418">
        <f t="shared" si="7"/>
        <v>6.1</v>
      </c>
      <c r="BW16" s="418">
        <f t="shared" si="8"/>
        <v>6.1</v>
      </c>
      <c r="BX16" s="420">
        <f t="shared" si="8"/>
        <v>0</v>
      </c>
      <c r="BY16" s="510"/>
      <c r="BZ16" s="414"/>
      <c r="CA16" s="414"/>
      <c r="CB16" s="414"/>
      <c r="CC16" s="414"/>
      <c r="CD16" s="509"/>
      <c r="CE16" s="1021"/>
      <c r="CF16" s="1022"/>
      <c r="CG16" s="1022"/>
      <c r="CH16" s="1022"/>
      <c r="CI16" s="1022"/>
      <c r="CJ16" s="981"/>
    </row>
    <row r="17" spans="1:88" ht="12.95" customHeight="1">
      <c r="A17" s="280">
        <v>1</v>
      </c>
      <c r="B17" s="370">
        <v>5490</v>
      </c>
      <c r="C17" s="370">
        <v>600099474</v>
      </c>
      <c r="D17" s="370">
        <v>71173854</v>
      </c>
      <c r="E17" s="371" t="s">
        <v>451</v>
      </c>
      <c r="F17" s="370">
        <v>3141</v>
      </c>
      <c r="G17" s="373" t="s">
        <v>294</v>
      </c>
      <c r="H17" s="285" t="s">
        <v>272</v>
      </c>
      <c r="I17" s="419">
        <v>2342290</v>
      </c>
      <c r="J17" s="414">
        <v>1729696</v>
      </c>
      <c r="K17" s="414">
        <v>0</v>
      </c>
      <c r="L17" s="414">
        <v>1729696</v>
      </c>
      <c r="M17" s="414">
        <v>0</v>
      </c>
      <c r="N17" s="414">
        <v>0</v>
      </c>
      <c r="O17" s="414">
        <v>0</v>
      </c>
      <c r="P17" s="68">
        <v>584637</v>
      </c>
      <c r="Q17" s="68">
        <v>17297</v>
      </c>
      <c r="R17" s="414">
        <v>10660</v>
      </c>
      <c r="S17" s="415">
        <v>5.1734</v>
      </c>
      <c r="T17" s="415">
        <v>0</v>
      </c>
      <c r="U17" s="422">
        <v>5.1734</v>
      </c>
      <c r="V17" s="423">
        <f t="shared" si="9"/>
        <v>0</v>
      </c>
      <c r="W17" s="417">
        <f t="shared" si="9"/>
        <v>0</v>
      </c>
      <c r="X17" s="417">
        <v>0</v>
      </c>
      <c r="Y17" s="417">
        <v>0</v>
      </c>
      <c r="Z17" s="417">
        <v>0</v>
      </c>
      <c r="AA17" s="417">
        <v>-17863</v>
      </c>
      <c r="AB17" s="417">
        <v>0</v>
      </c>
      <c r="AC17" s="417">
        <v>0</v>
      </c>
      <c r="AD17" s="417">
        <v>0</v>
      </c>
      <c r="AE17" s="417">
        <f t="shared" si="10"/>
        <v>0</v>
      </c>
      <c r="AF17" s="417">
        <f t="shared" si="11"/>
        <v>-17863</v>
      </c>
      <c r="AG17" s="417">
        <f t="shared" si="12"/>
        <v>-17863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13"/>
        <v>0</v>
      </c>
      <c r="AN17" s="417">
        <f t="shared" si="14"/>
        <v>0</v>
      </c>
      <c r="AO17" s="417">
        <f t="shared" si="15"/>
        <v>0</v>
      </c>
      <c r="AP17" s="417">
        <f t="shared" si="16"/>
        <v>0</v>
      </c>
      <c r="AQ17" s="417">
        <f t="shared" si="16"/>
        <v>-17863</v>
      </c>
      <c r="AR17" s="417">
        <f t="shared" si="17"/>
        <v>-17863</v>
      </c>
      <c r="AS17" s="68">
        <f t="shared" si="18"/>
        <v>-6038</v>
      </c>
      <c r="AT17" s="68">
        <f t="shared" si="19"/>
        <v>-179</v>
      </c>
      <c r="AU17" s="417">
        <v>0</v>
      </c>
      <c r="AV17" s="417">
        <v>0</v>
      </c>
      <c r="AW17" s="417">
        <v>0</v>
      </c>
      <c r="AX17" s="417">
        <f t="shared" si="20"/>
        <v>0</v>
      </c>
      <c r="AY17" s="417">
        <f t="shared" si="21"/>
        <v>-24080</v>
      </c>
      <c r="AZ17" s="418">
        <v>0</v>
      </c>
      <c r="BA17" s="418">
        <v>0</v>
      </c>
      <c r="BB17" s="418">
        <v>0</v>
      </c>
      <c r="BC17" s="418">
        <v>0</v>
      </c>
      <c r="BD17" s="418">
        <v>-0.04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22"/>
        <v>0</v>
      </c>
      <c r="BJ17" s="418">
        <f t="shared" si="23"/>
        <v>-0.04</v>
      </c>
      <c r="BK17" s="420">
        <f t="shared" si="24"/>
        <v>-0.04</v>
      </c>
      <c r="BL17" s="772">
        <f t="shared" si="0"/>
        <v>2318210</v>
      </c>
      <c r="BM17" s="772">
        <f t="shared" si="1"/>
        <v>1711833</v>
      </c>
      <c r="BN17" s="417">
        <f t="shared" si="2"/>
        <v>0</v>
      </c>
      <c r="BO17" s="417">
        <f t="shared" si="2"/>
        <v>1711833</v>
      </c>
      <c r="BP17" s="417">
        <f t="shared" si="3"/>
        <v>0</v>
      </c>
      <c r="BQ17" s="417">
        <f t="shared" si="4"/>
        <v>0</v>
      </c>
      <c r="BR17" s="417">
        <f t="shared" si="4"/>
        <v>0</v>
      </c>
      <c r="BS17" s="417">
        <f t="shared" si="5"/>
        <v>578599</v>
      </c>
      <c r="BT17" s="417">
        <f t="shared" si="5"/>
        <v>17118</v>
      </c>
      <c r="BU17" s="417">
        <f t="shared" si="6"/>
        <v>10660</v>
      </c>
      <c r="BV17" s="418">
        <f t="shared" si="7"/>
        <v>5.1334</v>
      </c>
      <c r="BW17" s="418">
        <f t="shared" si="8"/>
        <v>0</v>
      </c>
      <c r="BX17" s="420">
        <f t="shared" si="8"/>
        <v>5.1334</v>
      </c>
      <c r="BY17" s="510"/>
      <c r="BZ17" s="414"/>
      <c r="CA17" s="414"/>
      <c r="CB17" s="414"/>
      <c r="CC17" s="414"/>
      <c r="CD17" s="509"/>
      <c r="CE17" s="1021"/>
      <c r="CF17" s="1022"/>
      <c r="CG17" s="1022"/>
      <c r="CH17" s="1022"/>
      <c r="CI17" s="1022"/>
      <c r="CJ17" s="981"/>
    </row>
    <row r="18" spans="1:88" ht="12.95" customHeight="1">
      <c r="A18" s="280">
        <v>1</v>
      </c>
      <c r="B18" s="370">
        <v>5490</v>
      </c>
      <c r="C18" s="370">
        <v>600099474</v>
      </c>
      <c r="D18" s="370">
        <v>71173854</v>
      </c>
      <c r="E18" s="371" t="s">
        <v>798</v>
      </c>
      <c r="F18" s="212">
        <v>3143</v>
      </c>
      <c r="G18" s="323" t="s">
        <v>595</v>
      </c>
      <c r="H18" s="285" t="s">
        <v>271</v>
      </c>
      <c r="I18" s="419">
        <v>1013831</v>
      </c>
      <c r="J18" s="414">
        <v>752100</v>
      </c>
      <c r="K18" s="414">
        <v>752100</v>
      </c>
      <c r="L18" s="414">
        <v>0</v>
      </c>
      <c r="M18" s="414">
        <v>0</v>
      </c>
      <c r="N18" s="414">
        <v>0</v>
      </c>
      <c r="O18" s="414">
        <v>0</v>
      </c>
      <c r="P18" s="68">
        <v>254210</v>
      </c>
      <c r="Q18" s="68">
        <v>7521</v>
      </c>
      <c r="R18" s="414">
        <v>0</v>
      </c>
      <c r="S18" s="415">
        <v>1.5</v>
      </c>
      <c r="T18" s="415">
        <v>1.5</v>
      </c>
      <c r="U18" s="422">
        <v>0</v>
      </c>
      <c r="V18" s="423">
        <f t="shared" si="9"/>
        <v>0</v>
      </c>
      <c r="W18" s="417">
        <f t="shared" si="9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10"/>
        <v>0</v>
      </c>
      <c r="AF18" s="417">
        <f t="shared" si="11"/>
        <v>0</v>
      </c>
      <c r="AG18" s="417">
        <f t="shared" si="12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13"/>
        <v>0</v>
      </c>
      <c r="AN18" s="417">
        <f t="shared" si="14"/>
        <v>0</v>
      </c>
      <c r="AO18" s="417">
        <f t="shared" si="15"/>
        <v>0</v>
      </c>
      <c r="AP18" s="417">
        <f t="shared" si="16"/>
        <v>0</v>
      </c>
      <c r="AQ18" s="417">
        <f t="shared" si="16"/>
        <v>0</v>
      </c>
      <c r="AR18" s="417">
        <f t="shared" si="17"/>
        <v>0</v>
      </c>
      <c r="AS18" s="68">
        <f t="shared" si="18"/>
        <v>0</v>
      </c>
      <c r="AT18" s="68">
        <f t="shared" si="19"/>
        <v>0</v>
      </c>
      <c r="AU18" s="417">
        <v>0</v>
      </c>
      <c r="AV18" s="417">
        <v>0</v>
      </c>
      <c r="AW18" s="417">
        <v>0</v>
      </c>
      <c r="AX18" s="417">
        <f t="shared" si="20"/>
        <v>0</v>
      </c>
      <c r="AY18" s="417">
        <f t="shared" si="21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22"/>
        <v>0</v>
      </c>
      <c r="BJ18" s="418">
        <f t="shared" si="23"/>
        <v>0</v>
      </c>
      <c r="BK18" s="420">
        <f t="shared" si="24"/>
        <v>0</v>
      </c>
      <c r="BL18" s="772">
        <f t="shared" si="0"/>
        <v>1013831</v>
      </c>
      <c r="BM18" s="772">
        <f t="shared" si="1"/>
        <v>752100</v>
      </c>
      <c r="BN18" s="417">
        <f t="shared" si="2"/>
        <v>752100</v>
      </c>
      <c r="BO18" s="417">
        <f t="shared" si="2"/>
        <v>0</v>
      </c>
      <c r="BP18" s="417">
        <f t="shared" si="3"/>
        <v>0</v>
      </c>
      <c r="BQ18" s="417">
        <f t="shared" si="4"/>
        <v>0</v>
      </c>
      <c r="BR18" s="417">
        <f t="shared" si="4"/>
        <v>0</v>
      </c>
      <c r="BS18" s="417">
        <f t="shared" si="5"/>
        <v>254210</v>
      </c>
      <c r="BT18" s="417">
        <f t="shared" si="5"/>
        <v>7521</v>
      </c>
      <c r="BU18" s="417">
        <f t="shared" si="6"/>
        <v>0</v>
      </c>
      <c r="BV18" s="418">
        <f t="shared" si="7"/>
        <v>1.5</v>
      </c>
      <c r="BW18" s="418">
        <f t="shared" si="8"/>
        <v>1.5</v>
      </c>
      <c r="BX18" s="420">
        <f t="shared" si="8"/>
        <v>0</v>
      </c>
      <c r="BY18" s="510"/>
      <c r="BZ18" s="414"/>
      <c r="CA18" s="414"/>
      <c r="CB18" s="414"/>
      <c r="CC18" s="414"/>
      <c r="CD18" s="509"/>
      <c r="CE18" s="1021"/>
      <c r="CF18" s="1022"/>
      <c r="CG18" s="1022"/>
      <c r="CH18" s="1022"/>
      <c r="CI18" s="1022"/>
      <c r="CJ18" s="981"/>
    </row>
    <row r="19" spans="1:88" ht="12.95" customHeight="1">
      <c r="A19" s="280">
        <v>1</v>
      </c>
      <c r="B19" s="370">
        <v>5490</v>
      </c>
      <c r="C19" s="370">
        <v>600099474</v>
      </c>
      <c r="D19" s="370">
        <v>71173854</v>
      </c>
      <c r="E19" s="371" t="s">
        <v>798</v>
      </c>
      <c r="F19" s="212">
        <v>3143</v>
      </c>
      <c r="G19" s="323" t="s">
        <v>797</v>
      </c>
      <c r="H19" s="285" t="s">
        <v>271</v>
      </c>
      <c r="I19" s="419">
        <v>467228</v>
      </c>
      <c r="J19" s="414">
        <v>346608</v>
      </c>
      <c r="K19" s="414">
        <v>346608</v>
      </c>
      <c r="L19" s="414">
        <v>0</v>
      </c>
      <c r="M19" s="414">
        <v>0</v>
      </c>
      <c r="N19" s="414">
        <v>0</v>
      </c>
      <c r="O19" s="414">
        <v>0</v>
      </c>
      <c r="P19" s="68">
        <v>117154</v>
      </c>
      <c r="Q19" s="68">
        <v>3466</v>
      </c>
      <c r="R19" s="414">
        <v>0</v>
      </c>
      <c r="S19" s="415">
        <v>0.9</v>
      </c>
      <c r="T19" s="415">
        <v>0.9</v>
      </c>
      <c r="U19" s="422">
        <v>0</v>
      </c>
      <c r="V19" s="423">
        <f t="shared" si="9"/>
        <v>0</v>
      </c>
      <c r="W19" s="417">
        <f t="shared" si="9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10"/>
        <v>0</v>
      </c>
      <c r="AF19" s="417">
        <f t="shared" si="11"/>
        <v>0</v>
      </c>
      <c r="AG19" s="417">
        <f t="shared" si="12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13"/>
        <v>0</v>
      </c>
      <c r="AN19" s="417">
        <f t="shared" si="14"/>
        <v>0</v>
      </c>
      <c r="AO19" s="417">
        <f t="shared" si="15"/>
        <v>0</v>
      </c>
      <c r="AP19" s="417">
        <f t="shared" si="16"/>
        <v>0</v>
      </c>
      <c r="AQ19" s="417">
        <f t="shared" si="16"/>
        <v>0</v>
      </c>
      <c r="AR19" s="417">
        <f t="shared" si="17"/>
        <v>0</v>
      </c>
      <c r="AS19" s="68">
        <f t="shared" si="18"/>
        <v>0</v>
      </c>
      <c r="AT19" s="68">
        <f t="shared" si="19"/>
        <v>0</v>
      </c>
      <c r="AU19" s="417">
        <v>0</v>
      </c>
      <c r="AV19" s="417">
        <v>0</v>
      </c>
      <c r="AW19" s="417">
        <v>0</v>
      </c>
      <c r="AX19" s="417">
        <f t="shared" si="20"/>
        <v>0</v>
      </c>
      <c r="AY19" s="417">
        <f t="shared" si="21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22"/>
        <v>0</v>
      </c>
      <c r="BJ19" s="418">
        <f t="shared" si="23"/>
        <v>0</v>
      </c>
      <c r="BK19" s="420">
        <f t="shared" si="24"/>
        <v>0</v>
      </c>
      <c r="BL19" s="772">
        <f t="shared" si="0"/>
        <v>467228</v>
      </c>
      <c r="BM19" s="772">
        <f t="shared" si="1"/>
        <v>346608</v>
      </c>
      <c r="BN19" s="417">
        <f t="shared" si="2"/>
        <v>346608</v>
      </c>
      <c r="BO19" s="417">
        <f t="shared" si="2"/>
        <v>0</v>
      </c>
      <c r="BP19" s="417">
        <f t="shared" si="3"/>
        <v>0</v>
      </c>
      <c r="BQ19" s="417">
        <f t="shared" si="4"/>
        <v>0</v>
      </c>
      <c r="BR19" s="417">
        <f t="shared" si="4"/>
        <v>0</v>
      </c>
      <c r="BS19" s="417">
        <f t="shared" si="5"/>
        <v>117154</v>
      </c>
      <c r="BT19" s="417">
        <f t="shared" si="5"/>
        <v>3466</v>
      </c>
      <c r="BU19" s="417">
        <f t="shared" si="6"/>
        <v>0</v>
      </c>
      <c r="BV19" s="418">
        <f t="shared" si="7"/>
        <v>0.9</v>
      </c>
      <c r="BW19" s="418">
        <f t="shared" si="8"/>
        <v>0.9</v>
      </c>
      <c r="BX19" s="420">
        <f t="shared" si="8"/>
        <v>0</v>
      </c>
      <c r="BY19" s="510"/>
      <c r="BZ19" s="414"/>
      <c r="CA19" s="414"/>
      <c r="CB19" s="414"/>
      <c r="CC19" s="414"/>
      <c r="CD19" s="509"/>
      <c r="CE19" s="1021"/>
      <c r="CF19" s="1022"/>
      <c r="CG19" s="1022"/>
      <c r="CH19" s="1022"/>
      <c r="CI19" s="1022"/>
      <c r="CJ19" s="981"/>
    </row>
    <row r="20" spans="1:88" ht="12.95" customHeight="1" thickBot="1">
      <c r="A20" s="280">
        <v>1</v>
      </c>
      <c r="B20" s="370">
        <v>5490</v>
      </c>
      <c r="C20" s="370">
        <v>600099474</v>
      </c>
      <c r="D20" s="370">
        <v>71173854</v>
      </c>
      <c r="E20" s="371" t="s">
        <v>798</v>
      </c>
      <c r="F20" s="212">
        <v>3143</v>
      </c>
      <c r="G20" s="323" t="s">
        <v>596</v>
      </c>
      <c r="H20" s="285" t="s">
        <v>272</v>
      </c>
      <c r="I20" s="419">
        <v>12294</v>
      </c>
      <c r="J20" s="414">
        <v>8800</v>
      </c>
      <c r="K20" s="414">
        <v>0</v>
      </c>
      <c r="L20" s="414">
        <v>8800</v>
      </c>
      <c r="M20" s="414">
        <v>0</v>
      </c>
      <c r="N20" s="414">
        <v>0</v>
      </c>
      <c r="O20" s="414">
        <v>0</v>
      </c>
      <c r="P20" s="68">
        <v>2974</v>
      </c>
      <c r="Q20" s="68">
        <v>88</v>
      </c>
      <c r="R20" s="414">
        <v>432</v>
      </c>
      <c r="S20" s="415">
        <v>3.2199999999999999E-2</v>
      </c>
      <c r="T20" s="415">
        <v>0</v>
      </c>
      <c r="U20" s="422">
        <v>3.2199999999999999E-2</v>
      </c>
      <c r="V20" s="423">
        <f t="shared" si="9"/>
        <v>0</v>
      </c>
      <c r="W20" s="417">
        <f t="shared" si="9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10"/>
        <v>0</v>
      </c>
      <c r="AF20" s="417">
        <f t="shared" si="11"/>
        <v>0</v>
      </c>
      <c r="AG20" s="417">
        <f t="shared" si="12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13"/>
        <v>0</v>
      </c>
      <c r="AN20" s="417">
        <f t="shared" si="14"/>
        <v>0</v>
      </c>
      <c r="AO20" s="417">
        <f t="shared" si="15"/>
        <v>0</v>
      </c>
      <c r="AP20" s="417">
        <f t="shared" si="16"/>
        <v>0</v>
      </c>
      <c r="AQ20" s="417">
        <f t="shared" si="16"/>
        <v>0</v>
      </c>
      <c r="AR20" s="417">
        <f t="shared" si="17"/>
        <v>0</v>
      </c>
      <c r="AS20" s="68">
        <f t="shared" si="18"/>
        <v>0</v>
      </c>
      <c r="AT20" s="68">
        <f t="shared" si="19"/>
        <v>0</v>
      </c>
      <c r="AU20" s="417">
        <v>0</v>
      </c>
      <c r="AV20" s="417">
        <v>0</v>
      </c>
      <c r="AW20" s="417">
        <v>0</v>
      </c>
      <c r="AX20" s="417">
        <f t="shared" si="20"/>
        <v>0</v>
      </c>
      <c r="AY20" s="417">
        <f t="shared" si="21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22"/>
        <v>0</v>
      </c>
      <c r="BJ20" s="418">
        <f t="shared" si="23"/>
        <v>0</v>
      </c>
      <c r="BK20" s="420">
        <f t="shared" si="24"/>
        <v>0</v>
      </c>
      <c r="BL20" s="1080">
        <f t="shared" si="0"/>
        <v>12294</v>
      </c>
      <c r="BM20" s="772">
        <f t="shared" si="1"/>
        <v>8800</v>
      </c>
      <c r="BN20" s="417">
        <f t="shared" si="2"/>
        <v>0</v>
      </c>
      <c r="BO20" s="417">
        <f t="shared" si="2"/>
        <v>8800</v>
      </c>
      <c r="BP20" s="417">
        <f t="shared" si="3"/>
        <v>0</v>
      </c>
      <c r="BQ20" s="417">
        <f t="shared" si="4"/>
        <v>0</v>
      </c>
      <c r="BR20" s="417">
        <f t="shared" si="4"/>
        <v>0</v>
      </c>
      <c r="BS20" s="417">
        <f t="shared" si="5"/>
        <v>2974</v>
      </c>
      <c r="BT20" s="417">
        <f t="shared" si="5"/>
        <v>88</v>
      </c>
      <c r="BU20" s="417">
        <f t="shared" si="6"/>
        <v>432</v>
      </c>
      <c r="BV20" s="418">
        <f t="shared" si="7"/>
        <v>3.2199999999999999E-2</v>
      </c>
      <c r="BW20" s="418">
        <f t="shared" si="8"/>
        <v>0</v>
      </c>
      <c r="BX20" s="420">
        <f t="shared" si="8"/>
        <v>3.2199999999999999E-2</v>
      </c>
      <c r="BY20" s="510"/>
      <c r="BZ20" s="414"/>
      <c r="CA20" s="414"/>
      <c r="CB20" s="414"/>
      <c r="CC20" s="414"/>
      <c r="CD20" s="509"/>
      <c r="CE20" s="1021"/>
      <c r="CF20" s="1022"/>
      <c r="CG20" s="1022"/>
      <c r="CH20" s="1022"/>
      <c r="CI20" s="1022"/>
      <c r="CJ20" s="981"/>
    </row>
    <row r="21" spans="1:88" ht="12.95" customHeight="1">
      <c r="A21" s="213">
        <v>1</v>
      </c>
      <c r="B21" s="45">
        <v>5490</v>
      </c>
      <c r="C21" s="45">
        <v>600099474</v>
      </c>
      <c r="D21" s="45">
        <v>71173854</v>
      </c>
      <c r="E21" s="374" t="s">
        <v>452</v>
      </c>
      <c r="F21" s="45"/>
      <c r="G21" s="374"/>
      <c r="H21" s="182"/>
      <c r="I21" s="486">
        <v>37130080</v>
      </c>
      <c r="J21" s="482">
        <v>27434102</v>
      </c>
      <c r="K21" s="482">
        <v>23479532</v>
      </c>
      <c r="L21" s="482">
        <v>3954570</v>
      </c>
      <c r="M21" s="482">
        <v>0</v>
      </c>
      <c r="N21" s="482">
        <v>0</v>
      </c>
      <c r="O21" s="482">
        <v>0</v>
      </c>
      <c r="P21" s="482">
        <v>9272725</v>
      </c>
      <c r="Q21" s="482">
        <v>274341</v>
      </c>
      <c r="R21" s="482">
        <v>148912</v>
      </c>
      <c r="S21" s="483">
        <v>56.472200000000015</v>
      </c>
      <c r="T21" s="483">
        <v>43.67</v>
      </c>
      <c r="U21" s="651">
        <v>12.802199999999999</v>
      </c>
      <c r="V21" s="486">
        <f t="shared" ref="V21:BK21" si="25">SUM(V12:V20)</f>
        <v>0</v>
      </c>
      <c r="W21" s="482">
        <f t="shared" si="25"/>
        <v>0</v>
      </c>
      <c r="X21" s="482">
        <f t="shared" si="25"/>
        <v>0</v>
      </c>
      <c r="Y21" s="482">
        <f t="shared" si="25"/>
        <v>0</v>
      </c>
      <c r="Z21" s="482">
        <f t="shared" si="25"/>
        <v>0</v>
      </c>
      <c r="AA21" s="482">
        <f t="shared" si="25"/>
        <v>-17863</v>
      </c>
      <c r="AB21" s="482">
        <f t="shared" si="25"/>
        <v>0</v>
      </c>
      <c r="AC21" s="482">
        <f t="shared" si="25"/>
        <v>0</v>
      </c>
      <c r="AD21" s="482">
        <f t="shared" si="25"/>
        <v>0</v>
      </c>
      <c r="AE21" s="482">
        <f t="shared" si="25"/>
        <v>0</v>
      </c>
      <c r="AF21" s="482">
        <f t="shared" si="25"/>
        <v>-17863</v>
      </c>
      <c r="AG21" s="482">
        <f t="shared" si="25"/>
        <v>-17863</v>
      </c>
      <c r="AH21" s="482">
        <f t="shared" si="25"/>
        <v>0</v>
      </c>
      <c r="AI21" s="482">
        <f t="shared" si="25"/>
        <v>0</v>
      </c>
      <c r="AJ21" s="482">
        <f t="shared" si="25"/>
        <v>0</v>
      </c>
      <c r="AK21" s="482">
        <f t="shared" si="25"/>
        <v>0</v>
      </c>
      <c r="AL21" s="482">
        <f t="shared" si="25"/>
        <v>0</v>
      </c>
      <c r="AM21" s="482">
        <f t="shared" si="25"/>
        <v>0</v>
      </c>
      <c r="AN21" s="482">
        <f t="shared" si="25"/>
        <v>0</v>
      </c>
      <c r="AO21" s="482">
        <f t="shared" si="25"/>
        <v>0</v>
      </c>
      <c r="AP21" s="482">
        <f t="shared" si="25"/>
        <v>0</v>
      </c>
      <c r="AQ21" s="482">
        <f t="shared" si="25"/>
        <v>-17863</v>
      </c>
      <c r="AR21" s="482">
        <f t="shared" si="25"/>
        <v>-17863</v>
      </c>
      <c r="AS21" s="482">
        <f t="shared" si="25"/>
        <v>-6038</v>
      </c>
      <c r="AT21" s="482">
        <f t="shared" si="25"/>
        <v>-179</v>
      </c>
      <c r="AU21" s="482">
        <f t="shared" si="25"/>
        <v>0</v>
      </c>
      <c r="AV21" s="482">
        <f t="shared" si="25"/>
        <v>0</v>
      </c>
      <c r="AW21" s="482">
        <f t="shared" si="25"/>
        <v>0</v>
      </c>
      <c r="AX21" s="482">
        <f t="shared" si="25"/>
        <v>0</v>
      </c>
      <c r="AY21" s="482">
        <f t="shared" si="25"/>
        <v>-24080</v>
      </c>
      <c r="AZ21" s="483">
        <f t="shared" si="25"/>
        <v>0</v>
      </c>
      <c r="BA21" s="483">
        <f t="shared" si="25"/>
        <v>0</v>
      </c>
      <c r="BB21" s="483">
        <f t="shared" si="25"/>
        <v>0</v>
      </c>
      <c r="BC21" s="483">
        <f t="shared" si="25"/>
        <v>0</v>
      </c>
      <c r="BD21" s="483">
        <f t="shared" si="25"/>
        <v>-0.04</v>
      </c>
      <c r="BE21" s="483">
        <f t="shared" si="25"/>
        <v>0</v>
      </c>
      <c r="BF21" s="483">
        <f t="shared" si="25"/>
        <v>0</v>
      </c>
      <c r="BG21" s="483">
        <f t="shared" si="25"/>
        <v>0</v>
      </c>
      <c r="BH21" s="483">
        <f t="shared" si="25"/>
        <v>0</v>
      </c>
      <c r="BI21" s="483">
        <f t="shared" si="25"/>
        <v>0</v>
      </c>
      <c r="BJ21" s="483">
        <f t="shared" si="25"/>
        <v>-0.04</v>
      </c>
      <c r="BK21" s="375">
        <f t="shared" si="25"/>
        <v>-0.04</v>
      </c>
      <c r="BL21" s="1081">
        <f t="shared" ref="BL21:CG21" si="26">SUM(BL12:BL20)</f>
        <v>37106000</v>
      </c>
      <c r="BM21" s="1074">
        <f t="shared" si="26"/>
        <v>27416239</v>
      </c>
      <c r="BN21" s="482">
        <f t="shared" si="26"/>
        <v>23479532</v>
      </c>
      <c r="BO21" s="482">
        <f t="shared" si="26"/>
        <v>3936707</v>
      </c>
      <c r="BP21" s="482">
        <f t="shared" si="26"/>
        <v>0</v>
      </c>
      <c r="BQ21" s="482">
        <f t="shared" si="26"/>
        <v>0</v>
      </c>
      <c r="BR21" s="482">
        <f t="shared" si="26"/>
        <v>0</v>
      </c>
      <c r="BS21" s="482">
        <f t="shared" si="26"/>
        <v>9266687</v>
      </c>
      <c r="BT21" s="482">
        <f t="shared" si="26"/>
        <v>274162</v>
      </c>
      <c r="BU21" s="482">
        <f t="shared" si="26"/>
        <v>148912</v>
      </c>
      <c r="BV21" s="483">
        <f t="shared" si="26"/>
        <v>56.432200000000016</v>
      </c>
      <c r="BW21" s="483">
        <f t="shared" si="26"/>
        <v>43.67</v>
      </c>
      <c r="BX21" s="375">
        <f t="shared" si="26"/>
        <v>12.7622</v>
      </c>
      <c r="BY21" s="939">
        <f t="shared" si="26"/>
        <v>0</v>
      </c>
      <c r="BZ21" s="727">
        <f t="shared" si="26"/>
        <v>0</v>
      </c>
      <c r="CA21" s="727">
        <f t="shared" si="26"/>
        <v>0</v>
      </c>
      <c r="CB21" s="727">
        <f t="shared" si="26"/>
        <v>0</v>
      </c>
      <c r="CC21" s="727">
        <f t="shared" si="26"/>
        <v>0</v>
      </c>
      <c r="CD21" s="833">
        <f t="shared" si="26"/>
        <v>0</v>
      </c>
      <c r="CE21" s="1023">
        <f t="shared" si="26"/>
        <v>1001725</v>
      </c>
      <c r="CF21" s="1023">
        <f t="shared" si="26"/>
        <v>711127</v>
      </c>
      <c r="CG21" s="1023">
        <f t="shared" si="26"/>
        <v>240361</v>
      </c>
      <c r="CH21" s="1023">
        <f t="shared" ref="CH21:CJ21" si="27">SUM(CH12:CH20)</f>
        <v>7111</v>
      </c>
      <c r="CI21" s="1023">
        <f t="shared" si="27"/>
        <v>43126</v>
      </c>
      <c r="CJ21" s="934">
        <f t="shared" si="27"/>
        <v>2.4377</v>
      </c>
    </row>
    <row r="22" spans="1:88" ht="12.95" customHeight="1">
      <c r="A22" s="280">
        <v>2</v>
      </c>
      <c r="B22" s="376">
        <v>5460</v>
      </c>
      <c r="C22" s="376">
        <v>600098621</v>
      </c>
      <c r="D22" s="376">
        <v>72743549</v>
      </c>
      <c r="E22" s="211" t="s">
        <v>453</v>
      </c>
      <c r="F22" s="376">
        <v>3111</v>
      </c>
      <c r="G22" s="373" t="s">
        <v>304</v>
      </c>
      <c r="H22" s="377" t="s">
        <v>271</v>
      </c>
      <c r="I22" s="419">
        <v>6981424</v>
      </c>
      <c r="J22" s="414">
        <v>5157139</v>
      </c>
      <c r="K22" s="414">
        <v>4504010</v>
      </c>
      <c r="L22" s="414">
        <v>653129</v>
      </c>
      <c r="M22" s="414">
        <v>0</v>
      </c>
      <c r="N22" s="414">
        <v>0</v>
      </c>
      <c r="O22" s="414">
        <v>0</v>
      </c>
      <c r="P22" s="68">
        <v>1743113</v>
      </c>
      <c r="Q22" s="68">
        <v>51572</v>
      </c>
      <c r="R22" s="414">
        <v>29600</v>
      </c>
      <c r="S22" s="415">
        <v>10.2089</v>
      </c>
      <c r="T22" s="416">
        <v>8</v>
      </c>
      <c r="U22" s="422">
        <v>2.2088999999999999</v>
      </c>
      <c r="V22" s="423">
        <f t="shared" si="9"/>
        <v>0</v>
      </c>
      <c r="W22" s="417">
        <f t="shared" si="9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10"/>
        <v>0</v>
      </c>
      <c r="AF22" s="417">
        <f t="shared" si="11"/>
        <v>0</v>
      </c>
      <c r="AG22" s="417">
        <f t="shared" si="12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13"/>
        <v>0</v>
      </c>
      <c r="AN22" s="417">
        <f t="shared" si="14"/>
        <v>0</v>
      </c>
      <c r="AO22" s="417">
        <f t="shared" si="15"/>
        <v>0</v>
      </c>
      <c r="AP22" s="417">
        <f t="shared" si="16"/>
        <v>0</v>
      </c>
      <c r="AQ22" s="417">
        <f t="shared" si="16"/>
        <v>0</v>
      </c>
      <c r="AR22" s="417">
        <f t="shared" si="17"/>
        <v>0</v>
      </c>
      <c r="AS22" s="68">
        <f t="shared" si="18"/>
        <v>0</v>
      </c>
      <c r="AT22" s="68">
        <f t="shared" si="19"/>
        <v>0</v>
      </c>
      <c r="AU22" s="417">
        <v>0</v>
      </c>
      <c r="AV22" s="417">
        <v>0</v>
      </c>
      <c r="AW22" s="417">
        <v>0</v>
      </c>
      <c r="AX22" s="417">
        <f t="shared" si="20"/>
        <v>0</v>
      </c>
      <c r="AY22" s="417">
        <f t="shared" si="21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22"/>
        <v>0</v>
      </c>
      <c r="BJ22" s="418">
        <f t="shared" si="23"/>
        <v>0</v>
      </c>
      <c r="BK22" s="420">
        <f t="shared" si="24"/>
        <v>0</v>
      </c>
      <c r="BL22" s="772">
        <f>I22+AY22</f>
        <v>6981424</v>
      </c>
      <c r="BM22" s="772">
        <f>J22+AG22</f>
        <v>5157139</v>
      </c>
      <c r="BN22" s="417">
        <f t="shared" ref="BN22:BO24" si="28">K22+AE22</f>
        <v>4504010</v>
      </c>
      <c r="BO22" s="417">
        <f t="shared" si="28"/>
        <v>653129</v>
      </c>
      <c r="BP22" s="417">
        <f>M22+AO22</f>
        <v>0</v>
      </c>
      <c r="BQ22" s="417">
        <f t="shared" ref="BQ22:BR24" si="29">N22+AM22</f>
        <v>0</v>
      </c>
      <c r="BR22" s="417">
        <f t="shared" si="29"/>
        <v>0</v>
      </c>
      <c r="BS22" s="417">
        <f t="shared" ref="BS22:BT24" si="30">P22+AS22</f>
        <v>1743113</v>
      </c>
      <c r="BT22" s="417">
        <f t="shared" si="30"/>
        <v>51572</v>
      </c>
      <c r="BU22" s="417">
        <f>R22+AX22</f>
        <v>29600</v>
      </c>
      <c r="BV22" s="418">
        <f>S22+BK22</f>
        <v>10.2089</v>
      </c>
      <c r="BW22" s="418">
        <f t="shared" ref="BW22:BX24" si="31">T22+BI22</f>
        <v>8</v>
      </c>
      <c r="BX22" s="420">
        <f t="shared" si="31"/>
        <v>2.2088999999999999</v>
      </c>
      <c r="BY22" s="510"/>
      <c r="BZ22" s="414"/>
      <c r="CA22" s="414"/>
      <c r="CB22" s="414"/>
      <c r="CC22" s="414"/>
      <c r="CD22" s="509"/>
      <c r="CE22" s="1021">
        <v>292360</v>
      </c>
      <c r="CF22" s="1022">
        <v>209583</v>
      </c>
      <c r="CG22" s="1022">
        <v>70839</v>
      </c>
      <c r="CH22" s="1022">
        <v>2096</v>
      </c>
      <c r="CI22" s="1022">
        <v>9842</v>
      </c>
      <c r="CJ22" s="981">
        <v>0.7056</v>
      </c>
    </row>
    <row r="23" spans="1:88" ht="12.95" customHeight="1">
      <c r="A23" s="280">
        <v>2</v>
      </c>
      <c r="B23" s="212">
        <v>5460</v>
      </c>
      <c r="C23" s="212">
        <v>600098621</v>
      </c>
      <c r="D23" s="212">
        <v>72743549</v>
      </c>
      <c r="E23" s="372" t="s">
        <v>453</v>
      </c>
      <c r="F23" s="376">
        <v>3111</v>
      </c>
      <c r="G23" s="323" t="s">
        <v>291</v>
      </c>
      <c r="H23" s="285" t="s">
        <v>272</v>
      </c>
      <c r="I23" s="419">
        <v>1082987</v>
      </c>
      <c r="J23" s="414">
        <v>803403</v>
      </c>
      <c r="K23" s="414">
        <v>803403</v>
      </c>
      <c r="L23" s="414">
        <v>0</v>
      </c>
      <c r="M23" s="414">
        <v>0</v>
      </c>
      <c r="N23" s="414">
        <v>0</v>
      </c>
      <c r="O23" s="414">
        <v>0</v>
      </c>
      <c r="P23" s="68">
        <v>271550</v>
      </c>
      <c r="Q23" s="68">
        <v>8034</v>
      </c>
      <c r="R23" s="414">
        <v>0</v>
      </c>
      <c r="S23" s="415">
        <v>2.17</v>
      </c>
      <c r="T23" s="415">
        <v>2.17</v>
      </c>
      <c r="U23" s="422">
        <v>0</v>
      </c>
      <c r="V23" s="423">
        <f t="shared" si="9"/>
        <v>0</v>
      </c>
      <c r="W23" s="417">
        <f t="shared" si="9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10"/>
        <v>0</v>
      </c>
      <c r="AF23" s="417">
        <f t="shared" si="11"/>
        <v>0</v>
      </c>
      <c r="AG23" s="417">
        <f t="shared" si="12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13"/>
        <v>0</v>
      </c>
      <c r="AN23" s="417">
        <f t="shared" si="14"/>
        <v>0</v>
      </c>
      <c r="AO23" s="417">
        <f t="shared" si="15"/>
        <v>0</v>
      </c>
      <c r="AP23" s="417">
        <f t="shared" si="16"/>
        <v>0</v>
      </c>
      <c r="AQ23" s="417">
        <f t="shared" si="16"/>
        <v>0</v>
      </c>
      <c r="AR23" s="417">
        <f t="shared" si="17"/>
        <v>0</v>
      </c>
      <c r="AS23" s="68">
        <f t="shared" si="18"/>
        <v>0</v>
      </c>
      <c r="AT23" s="68">
        <f t="shared" si="19"/>
        <v>0</v>
      </c>
      <c r="AU23" s="417">
        <v>0</v>
      </c>
      <c r="AV23" s="417">
        <v>0</v>
      </c>
      <c r="AW23" s="417">
        <v>0</v>
      </c>
      <c r="AX23" s="417">
        <f t="shared" si="20"/>
        <v>0</v>
      </c>
      <c r="AY23" s="417">
        <f t="shared" si="21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22"/>
        <v>0</v>
      </c>
      <c r="BJ23" s="418">
        <f t="shared" si="23"/>
        <v>0</v>
      </c>
      <c r="BK23" s="420">
        <f t="shared" si="24"/>
        <v>0</v>
      </c>
      <c r="BL23" s="772">
        <f>I23+AY23</f>
        <v>1082987</v>
      </c>
      <c r="BM23" s="772">
        <f>J23+AG23</f>
        <v>803403</v>
      </c>
      <c r="BN23" s="417">
        <f t="shared" si="28"/>
        <v>803403</v>
      </c>
      <c r="BO23" s="417">
        <f t="shared" si="28"/>
        <v>0</v>
      </c>
      <c r="BP23" s="417">
        <f>M23+AO23</f>
        <v>0</v>
      </c>
      <c r="BQ23" s="417">
        <f t="shared" si="29"/>
        <v>0</v>
      </c>
      <c r="BR23" s="417">
        <f t="shared" si="29"/>
        <v>0</v>
      </c>
      <c r="BS23" s="417">
        <f t="shared" si="30"/>
        <v>271550</v>
      </c>
      <c r="BT23" s="417">
        <f t="shared" si="30"/>
        <v>8034</v>
      </c>
      <c r="BU23" s="417">
        <f>R23+AX23</f>
        <v>0</v>
      </c>
      <c r="BV23" s="418">
        <f>S23+BK23</f>
        <v>2.17</v>
      </c>
      <c r="BW23" s="418">
        <f t="shared" si="31"/>
        <v>2.17</v>
      </c>
      <c r="BX23" s="420">
        <f t="shared" si="31"/>
        <v>0</v>
      </c>
      <c r="BY23" s="510"/>
      <c r="BZ23" s="414"/>
      <c r="CA23" s="414"/>
      <c r="CB23" s="414"/>
      <c r="CC23" s="414"/>
      <c r="CD23" s="509"/>
      <c r="CE23" s="1021"/>
      <c r="CF23" s="1022"/>
      <c r="CG23" s="1022"/>
      <c r="CH23" s="1022"/>
      <c r="CI23" s="1022"/>
      <c r="CJ23" s="981"/>
    </row>
    <row r="24" spans="1:88" ht="12.95" customHeight="1">
      <c r="A24" s="280">
        <v>2</v>
      </c>
      <c r="B24" s="212">
        <v>5460</v>
      </c>
      <c r="C24" s="212">
        <v>600098621</v>
      </c>
      <c r="D24" s="212">
        <v>72743549</v>
      </c>
      <c r="E24" s="372" t="s">
        <v>453</v>
      </c>
      <c r="F24" s="212">
        <v>3141</v>
      </c>
      <c r="G24" s="373" t="s">
        <v>294</v>
      </c>
      <c r="H24" s="285" t="s">
        <v>272</v>
      </c>
      <c r="I24" s="419">
        <v>907018</v>
      </c>
      <c r="J24" s="414">
        <v>670007</v>
      </c>
      <c r="K24" s="414">
        <v>0</v>
      </c>
      <c r="L24" s="414">
        <v>670007</v>
      </c>
      <c r="M24" s="414">
        <v>0</v>
      </c>
      <c r="N24" s="414">
        <v>0</v>
      </c>
      <c r="O24" s="414">
        <v>0</v>
      </c>
      <c r="P24" s="68">
        <v>226463</v>
      </c>
      <c r="Q24" s="68">
        <v>6700</v>
      </c>
      <c r="R24" s="414">
        <v>3848</v>
      </c>
      <c r="S24" s="415">
        <v>2.0100000000000002</v>
      </c>
      <c r="T24" s="415">
        <v>0</v>
      </c>
      <c r="U24" s="422">
        <v>2.0100000000000002</v>
      </c>
      <c r="V24" s="423">
        <f t="shared" si="9"/>
        <v>0</v>
      </c>
      <c r="W24" s="417">
        <f t="shared" si="9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10"/>
        <v>0</v>
      </c>
      <c r="AF24" s="417">
        <f t="shared" si="11"/>
        <v>0</v>
      </c>
      <c r="AG24" s="417">
        <f t="shared" si="12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13"/>
        <v>0</v>
      </c>
      <c r="AN24" s="417">
        <f t="shared" si="14"/>
        <v>0</v>
      </c>
      <c r="AO24" s="417">
        <f t="shared" si="15"/>
        <v>0</v>
      </c>
      <c r="AP24" s="417">
        <f t="shared" si="16"/>
        <v>0</v>
      </c>
      <c r="AQ24" s="417">
        <f t="shared" si="16"/>
        <v>0</v>
      </c>
      <c r="AR24" s="417">
        <f t="shared" si="17"/>
        <v>0</v>
      </c>
      <c r="AS24" s="68">
        <f t="shared" si="18"/>
        <v>0</v>
      </c>
      <c r="AT24" s="68">
        <f t="shared" si="19"/>
        <v>0</v>
      </c>
      <c r="AU24" s="417">
        <v>0</v>
      </c>
      <c r="AV24" s="417">
        <v>0</v>
      </c>
      <c r="AW24" s="417">
        <v>0</v>
      </c>
      <c r="AX24" s="417">
        <f t="shared" si="20"/>
        <v>0</v>
      </c>
      <c r="AY24" s="417">
        <f t="shared" si="21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22"/>
        <v>0</v>
      </c>
      <c r="BJ24" s="418">
        <f t="shared" si="23"/>
        <v>0</v>
      </c>
      <c r="BK24" s="420">
        <f t="shared" si="24"/>
        <v>0</v>
      </c>
      <c r="BL24" s="772">
        <f>I24+AY24</f>
        <v>907018</v>
      </c>
      <c r="BM24" s="772">
        <f>J24+AG24</f>
        <v>670007</v>
      </c>
      <c r="BN24" s="417">
        <f t="shared" si="28"/>
        <v>0</v>
      </c>
      <c r="BO24" s="417">
        <f t="shared" si="28"/>
        <v>670007</v>
      </c>
      <c r="BP24" s="417">
        <f>M24+AO24</f>
        <v>0</v>
      </c>
      <c r="BQ24" s="417">
        <f t="shared" si="29"/>
        <v>0</v>
      </c>
      <c r="BR24" s="417">
        <f t="shared" si="29"/>
        <v>0</v>
      </c>
      <c r="BS24" s="417">
        <f t="shared" si="30"/>
        <v>226463</v>
      </c>
      <c r="BT24" s="417">
        <f t="shared" si="30"/>
        <v>6700</v>
      </c>
      <c r="BU24" s="417">
        <f>R24+AX24</f>
        <v>3848</v>
      </c>
      <c r="BV24" s="418">
        <f>S24+BK24</f>
        <v>2.0100000000000002</v>
      </c>
      <c r="BW24" s="418">
        <f t="shared" si="31"/>
        <v>0</v>
      </c>
      <c r="BX24" s="420">
        <f t="shared" si="31"/>
        <v>2.0100000000000002</v>
      </c>
      <c r="BY24" s="510"/>
      <c r="BZ24" s="414"/>
      <c r="CA24" s="414"/>
      <c r="CB24" s="414"/>
      <c r="CC24" s="414"/>
      <c r="CD24" s="509"/>
      <c r="CE24" s="1021"/>
      <c r="CF24" s="1022"/>
      <c r="CG24" s="1022"/>
      <c r="CH24" s="1022"/>
      <c r="CI24" s="1022"/>
      <c r="CJ24" s="981"/>
    </row>
    <row r="25" spans="1:88" ht="12.95" customHeight="1">
      <c r="A25" s="213">
        <v>2</v>
      </c>
      <c r="B25" s="45">
        <v>5460</v>
      </c>
      <c r="C25" s="45">
        <v>600098621</v>
      </c>
      <c r="D25" s="45">
        <v>72743549</v>
      </c>
      <c r="E25" s="374" t="s">
        <v>454</v>
      </c>
      <c r="F25" s="45"/>
      <c r="G25" s="374"/>
      <c r="H25" s="182"/>
      <c r="I25" s="464">
        <v>8971429</v>
      </c>
      <c r="J25" s="460">
        <v>6630549</v>
      </c>
      <c r="K25" s="460">
        <v>5307413</v>
      </c>
      <c r="L25" s="460">
        <v>1323136</v>
      </c>
      <c r="M25" s="460">
        <v>0</v>
      </c>
      <c r="N25" s="460">
        <v>0</v>
      </c>
      <c r="O25" s="460">
        <v>0</v>
      </c>
      <c r="P25" s="460">
        <v>2241126</v>
      </c>
      <c r="Q25" s="460">
        <v>66306</v>
      </c>
      <c r="R25" s="460">
        <v>33448</v>
      </c>
      <c r="S25" s="461">
        <v>14.3889</v>
      </c>
      <c r="T25" s="461">
        <v>10.17</v>
      </c>
      <c r="U25" s="534">
        <v>4.2188999999999997</v>
      </c>
      <c r="V25" s="464">
        <f t="shared" ref="V25:BK25" si="32">SUM(V22:V24)</f>
        <v>0</v>
      </c>
      <c r="W25" s="460">
        <f t="shared" si="32"/>
        <v>0</v>
      </c>
      <c r="X25" s="460">
        <f t="shared" si="32"/>
        <v>0</v>
      </c>
      <c r="Y25" s="460">
        <f t="shared" si="32"/>
        <v>0</v>
      </c>
      <c r="Z25" s="460">
        <f t="shared" si="32"/>
        <v>0</v>
      </c>
      <c r="AA25" s="460">
        <f t="shared" si="32"/>
        <v>0</v>
      </c>
      <c r="AB25" s="460">
        <f t="shared" si="32"/>
        <v>0</v>
      </c>
      <c r="AC25" s="460">
        <f t="shared" si="32"/>
        <v>0</v>
      </c>
      <c r="AD25" s="460">
        <f t="shared" si="32"/>
        <v>0</v>
      </c>
      <c r="AE25" s="460">
        <f t="shared" si="32"/>
        <v>0</v>
      </c>
      <c r="AF25" s="460">
        <f t="shared" si="32"/>
        <v>0</v>
      </c>
      <c r="AG25" s="460">
        <f t="shared" si="32"/>
        <v>0</v>
      </c>
      <c r="AH25" s="460">
        <f t="shared" si="32"/>
        <v>0</v>
      </c>
      <c r="AI25" s="460">
        <f t="shared" si="32"/>
        <v>0</v>
      </c>
      <c r="AJ25" s="460">
        <f t="shared" si="32"/>
        <v>0</v>
      </c>
      <c r="AK25" s="460">
        <f t="shared" si="32"/>
        <v>0</v>
      </c>
      <c r="AL25" s="460">
        <f t="shared" si="32"/>
        <v>0</v>
      </c>
      <c r="AM25" s="460">
        <f t="shared" si="32"/>
        <v>0</v>
      </c>
      <c r="AN25" s="460">
        <f t="shared" si="32"/>
        <v>0</v>
      </c>
      <c r="AO25" s="460">
        <f t="shared" si="32"/>
        <v>0</v>
      </c>
      <c r="AP25" s="460">
        <f t="shared" si="32"/>
        <v>0</v>
      </c>
      <c r="AQ25" s="460">
        <f t="shared" si="32"/>
        <v>0</v>
      </c>
      <c r="AR25" s="460">
        <f t="shared" si="32"/>
        <v>0</v>
      </c>
      <c r="AS25" s="460">
        <f t="shared" si="32"/>
        <v>0</v>
      </c>
      <c r="AT25" s="460">
        <f t="shared" si="32"/>
        <v>0</v>
      </c>
      <c r="AU25" s="460">
        <f t="shared" si="32"/>
        <v>0</v>
      </c>
      <c r="AV25" s="460">
        <f t="shared" si="32"/>
        <v>0</v>
      </c>
      <c r="AW25" s="460">
        <f t="shared" si="32"/>
        <v>0</v>
      </c>
      <c r="AX25" s="460">
        <f t="shared" si="32"/>
        <v>0</v>
      </c>
      <c r="AY25" s="460">
        <f t="shared" si="32"/>
        <v>0</v>
      </c>
      <c r="AZ25" s="461">
        <f t="shared" si="32"/>
        <v>0</v>
      </c>
      <c r="BA25" s="461">
        <f t="shared" si="32"/>
        <v>0</v>
      </c>
      <c r="BB25" s="461">
        <f t="shared" si="32"/>
        <v>0</v>
      </c>
      <c r="BC25" s="461">
        <f t="shared" si="32"/>
        <v>0</v>
      </c>
      <c r="BD25" s="461">
        <f t="shared" si="32"/>
        <v>0</v>
      </c>
      <c r="BE25" s="461">
        <f t="shared" si="32"/>
        <v>0</v>
      </c>
      <c r="BF25" s="461">
        <f t="shared" si="32"/>
        <v>0</v>
      </c>
      <c r="BG25" s="461">
        <f t="shared" si="32"/>
        <v>0</v>
      </c>
      <c r="BH25" s="461">
        <f t="shared" si="32"/>
        <v>0</v>
      </c>
      <c r="BI25" s="461">
        <f t="shared" si="32"/>
        <v>0</v>
      </c>
      <c r="BJ25" s="461">
        <f t="shared" si="32"/>
        <v>0</v>
      </c>
      <c r="BK25" s="279">
        <f t="shared" si="32"/>
        <v>0</v>
      </c>
      <c r="BL25" s="1075">
        <f t="shared" ref="BL25:CG25" si="33">SUM(BL22:BL24)</f>
        <v>8971429</v>
      </c>
      <c r="BM25" s="1075">
        <f t="shared" si="33"/>
        <v>6630549</v>
      </c>
      <c r="BN25" s="460">
        <f t="shared" si="33"/>
        <v>5307413</v>
      </c>
      <c r="BO25" s="460">
        <f t="shared" si="33"/>
        <v>1323136</v>
      </c>
      <c r="BP25" s="460">
        <f t="shared" si="33"/>
        <v>0</v>
      </c>
      <c r="BQ25" s="460">
        <f t="shared" si="33"/>
        <v>0</v>
      </c>
      <c r="BR25" s="460">
        <f t="shared" si="33"/>
        <v>0</v>
      </c>
      <c r="BS25" s="460">
        <f t="shared" si="33"/>
        <v>2241126</v>
      </c>
      <c r="BT25" s="460">
        <f t="shared" si="33"/>
        <v>66306</v>
      </c>
      <c r="BU25" s="460">
        <f t="shared" si="33"/>
        <v>33448</v>
      </c>
      <c r="BV25" s="461">
        <f t="shared" si="33"/>
        <v>14.3889</v>
      </c>
      <c r="BW25" s="461">
        <f t="shared" si="33"/>
        <v>10.17</v>
      </c>
      <c r="BX25" s="279">
        <f t="shared" si="33"/>
        <v>4.2188999999999997</v>
      </c>
      <c r="BY25" s="940">
        <f t="shared" si="33"/>
        <v>0</v>
      </c>
      <c r="BZ25" s="707">
        <f t="shared" si="33"/>
        <v>0</v>
      </c>
      <c r="CA25" s="707">
        <f t="shared" si="33"/>
        <v>0</v>
      </c>
      <c r="CB25" s="707">
        <f t="shared" si="33"/>
        <v>0</v>
      </c>
      <c r="CC25" s="707">
        <f t="shared" si="33"/>
        <v>0</v>
      </c>
      <c r="CD25" s="819">
        <f t="shared" si="33"/>
        <v>0</v>
      </c>
      <c r="CE25" s="1024">
        <f t="shared" si="33"/>
        <v>292360</v>
      </c>
      <c r="CF25" s="1024">
        <f t="shared" si="33"/>
        <v>209583</v>
      </c>
      <c r="CG25" s="1024">
        <f t="shared" si="33"/>
        <v>70839</v>
      </c>
      <c r="CH25" s="1024">
        <f t="shared" ref="CH25:CJ25" si="34">SUM(CH22:CH24)</f>
        <v>2096</v>
      </c>
      <c r="CI25" s="1024">
        <f t="shared" si="34"/>
        <v>9842</v>
      </c>
      <c r="CJ25" s="933">
        <f t="shared" si="34"/>
        <v>0.7056</v>
      </c>
    </row>
    <row r="26" spans="1:88" ht="12.95" customHeight="1">
      <c r="A26" s="280">
        <v>4</v>
      </c>
      <c r="B26" s="212">
        <v>5464</v>
      </c>
      <c r="C26" s="212">
        <v>600098869</v>
      </c>
      <c r="D26" s="212">
        <v>72743719</v>
      </c>
      <c r="E26" s="380" t="s">
        <v>455</v>
      </c>
      <c r="F26" s="381">
        <v>3111</v>
      </c>
      <c r="G26" s="373" t="s">
        <v>304</v>
      </c>
      <c r="H26" s="285" t="s">
        <v>271</v>
      </c>
      <c r="I26" s="419">
        <v>5377322</v>
      </c>
      <c r="J26" s="414">
        <v>3966641</v>
      </c>
      <c r="K26" s="414">
        <v>3481785</v>
      </c>
      <c r="L26" s="414">
        <v>484856</v>
      </c>
      <c r="M26" s="414">
        <v>5000</v>
      </c>
      <c r="N26" s="414">
        <v>0</v>
      </c>
      <c r="O26" s="414">
        <v>5000</v>
      </c>
      <c r="P26" s="68">
        <v>1342414</v>
      </c>
      <c r="Q26" s="68">
        <v>39667</v>
      </c>
      <c r="R26" s="414">
        <v>23600</v>
      </c>
      <c r="S26" s="415">
        <v>7.6192000000000011</v>
      </c>
      <c r="T26" s="415">
        <v>6</v>
      </c>
      <c r="U26" s="422">
        <v>1.6192000000000002</v>
      </c>
      <c r="V26" s="423">
        <f t="shared" si="9"/>
        <v>-37500</v>
      </c>
      <c r="W26" s="417">
        <f t="shared" si="9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10"/>
        <v>-37500</v>
      </c>
      <c r="AF26" s="417">
        <f t="shared" si="11"/>
        <v>0</v>
      </c>
      <c r="AG26" s="417">
        <f t="shared" si="12"/>
        <v>-37500</v>
      </c>
      <c r="AH26" s="417">
        <v>37500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13"/>
        <v>37500</v>
      </c>
      <c r="AN26" s="417">
        <f t="shared" si="14"/>
        <v>0</v>
      </c>
      <c r="AO26" s="417">
        <f t="shared" si="15"/>
        <v>37500</v>
      </c>
      <c r="AP26" s="417">
        <f t="shared" si="16"/>
        <v>0</v>
      </c>
      <c r="AQ26" s="417">
        <f t="shared" si="16"/>
        <v>0</v>
      </c>
      <c r="AR26" s="417">
        <f t="shared" si="17"/>
        <v>0</v>
      </c>
      <c r="AS26" s="68">
        <f t="shared" si="18"/>
        <v>0</v>
      </c>
      <c r="AT26" s="68">
        <f t="shared" si="19"/>
        <v>-375</v>
      </c>
      <c r="AU26" s="417">
        <v>0</v>
      </c>
      <c r="AV26" s="417">
        <v>0</v>
      </c>
      <c r="AW26" s="417">
        <v>0</v>
      </c>
      <c r="AX26" s="417">
        <f t="shared" si="20"/>
        <v>0</v>
      </c>
      <c r="AY26" s="417">
        <f t="shared" si="21"/>
        <v>-375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22"/>
        <v>0</v>
      </c>
      <c r="BJ26" s="418">
        <f t="shared" si="23"/>
        <v>0</v>
      </c>
      <c r="BK26" s="420">
        <f t="shared" si="24"/>
        <v>0</v>
      </c>
      <c r="BL26" s="772">
        <f>I26+AY26</f>
        <v>5376947</v>
      </c>
      <c r="BM26" s="772">
        <f>J26+AG26</f>
        <v>3929141</v>
      </c>
      <c r="BN26" s="417">
        <f t="shared" ref="BN26:BO28" si="35">K26+AE26</f>
        <v>3444285</v>
      </c>
      <c r="BO26" s="417">
        <f t="shared" si="35"/>
        <v>484856</v>
      </c>
      <c r="BP26" s="417">
        <f>M26+AO26</f>
        <v>42500</v>
      </c>
      <c r="BQ26" s="417">
        <f t="shared" ref="BQ26:BR28" si="36">N26+AM26</f>
        <v>37500</v>
      </c>
      <c r="BR26" s="417">
        <f t="shared" si="36"/>
        <v>5000</v>
      </c>
      <c r="BS26" s="417">
        <f t="shared" ref="BS26:BT28" si="37">P26+AS26</f>
        <v>1342414</v>
      </c>
      <c r="BT26" s="417">
        <f t="shared" si="37"/>
        <v>39292</v>
      </c>
      <c r="BU26" s="417">
        <f>R26+AX26</f>
        <v>23600</v>
      </c>
      <c r="BV26" s="418">
        <f>S26+BK26</f>
        <v>7.6192000000000011</v>
      </c>
      <c r="BW26" s="418">
        <f t="shared" ref="BW26:BX28" si="38">T26+BI26</f>
        <v>6</v>
      </c>
      <c r="BX26" s="420">
        <f t="shared" si="38"/>
        <v>1.6192000000000002</v>
      </c>
      <c r="BY26" s="510"/>
      <c r="BZ26" s="414"/>
      <c r="CA26" s="414"/>
      <c r="CB26" s="414"/>
      <c r="CC26" s="414"/>
      <c r="CD26" s="509"/>
      <c r="CE26" s="1021">
        <v>219735</v>
      </c>
      <c r="CF26" s="1022">
        <v>157187</v>
      </c>
      <c r="CG26" s="1022">
        <v>53129</v>
      </c>
      <c r="CH26" s="1022">
        <v>1572</v>
      </c>
      <c r="CI26" s="1022">
        <v>7847</v>
      </c>
      <c r="CJ26" s="981">
        <v>0.5292</v>
      </c>
    </row>
    <row r="27" spans="1:88" ht="12.95" customHeight="1">
      <c r="A27" s="280">
        <v>4</v>
      </c>
      <c r="B27" s="212">
        <v>5464</v>
      </c>
      <c r="C27" s="212">
        <v>600098869</v>
      </c>
      <c r="D27" s="212">
        <v>72743719</v>
      </c>
      <c r="E27" s="371" t="s">
        <v>455</v>
      </c>
      <c r="F27" s="381">
        <v>3111</v>
      </c>
      <c r="G27" s="323" t="s">
        <v>291</v>
      </c>
      <c r="H27" s="285" t="s">
        <v>272</v>
      </c>
      <c r="I27" s="419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68">
        <v>0</v>
      </c>
      <c r="Q27" s="68">
        <v>0</v>
      </c>
      <c r="R27" s="414">
        <v>0</v>
      </c>
      <c r="S27" s="415">
        <v>0</v>
      </c>
      <c r="T27" s="415">
        <v>0</v>
      </c>
      <c r="U27" s="422">
        <v>0</v>
      </c>
      <c r="V27" s="423">
        <f t="shared" si="9"/>
        <v>0</v>
      </c>
      <c r="W27" s="417">
        <f t="shared" si="9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10"/>
        <v>0</v>
      </c>
      <c r="AF27" s="417">
        <f t="shared" si="11"/>
        <v>0</v>
      </c>
      <c r="AG27" s="417">
        <f t="shared" si="12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13"/>
        <v>0</v>
      </c>
      <c r="AN27" s="417">
        <f t="shared" si="14"/>
        <v>0</v>
      </c>
      <c r="AO27" s="417">
        <f t="shared" si="15"/>
        <v>0</v>
      </c>
      <c r="AP27" s="417">
        <f t="shared" si="16"/>
        <v>0</v>
      </c>
      <c r="AQ27" s="417">
        <f t="shared" si="16"/>
        <v>0</v>
      </c>
      <c r="AR27" s="417">
        <f t="shared" si="17"/>
        <v>0</v>
      </c>
      <c r="AS27" s="68">
        <f t="shared" si="18"/>
        <v>0</v>
      </c>
      <c r="AT27" s="68">
        <f t="shared" si="19"/>
        <v>0</v>
      </c>
      <c r="AU27" s="417">
        <v>0</v>
      </c>
      <c r="AV27" s="417">
        <v>0</v>
      </c>
      <c r="AW27" s="417">
        <v>0</v>
      </c>
      <c r="AX27" s="417">
        <f t="shared" si="20"/>
        <v>0</v>
      </c>
      <c r="AY27" s="417">
        <f t="shared" si="21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22"/>
        <v>0</v>
      </c>
      <c r="BJ27" s="418">
        <f t="shared" si="23"/>
        <v>0</v>
      </c>
      <c r="BK27" s="420">
        <f t="shared" si="24"/>
        <v>0</v>
      </c>
      <c r="BL27" s="772">
        <f>I27+AY27</f>
        <v>0</v>
      </c>
      <c r="BM27" s="772">
        <f>J27+AG27</f>
        <v>0</v>
      </c>
      <c r="BN27" s="417">
        <f t="shared" si="35"/>
        <v>0</v>
      </c>
      <c r="BO27" s="417">
        <f t="shared" si="35"/>
        <v>0</v>
      </c>
      <c r="BP27" s="417">
        <f>M27+AO27</f>
        <v>0</v>
      </c>
      <c r="BQ27" s="417">
        <f t="shared" si="36"/>
        <v>0</v>
      </c>
      <c r="BR27" s="417">
        <f t="shared" si="36"/>
        <v>0</v>
      </c>
      <c r="BS27" s="417">
        <f t="shared" si="37"/>
        <v>0</v>
      </c>
      <c r="BT27" s="417">
        <f t="shared" si="37"/>
        <v>0</v>
      </c>
      <c r="BU27" s="417">
        <f>R27+AX27</f>
        <v>0</v>
      </c>
      <c r="BV27" s="418">
        <f>S27+BK27</f>
        <v>0</v>
      </c>
      <c r="BW27" s="418">
        <f t="shared" si="38"/>
        <v>0</v>
      </c>
      <c r="BX27" s="420">
        <f t="shared" si="38"/>
        <v>0</v>
      </c>
      <c r="BY27" s="510"/>
      <c r="BZ27" s="414"/>
      <c r="CA27" s="414"/>
      <c r="CB27" s="414"/>
      <c r="CC27" s="414"/>
      <c r="CD27" s="509"/>
      <c r="CE27" s="1021"/>
      <c r="CF27" s="1022"/>
      <c r="CG27" s="1022"/>
      <c r="CH27" s="1022"/>
      <c r="CI27" s="1022"/>
      <c r="CJ27" s="981"/>
    </row>
    <row r="28" spans="1:88" ht="12.95" customHeight="1">
      <c r="A28" s="280">
        <v>4</v>
      </c>
      <c r="B28" s="212">
        <v>5464</v>
      </c>
      <c r="C28" s="212">
        <v>600098869</v>
      </c>
      <c r="D28" s="212">
        <v>72743719</v>
      </c>
      <c r="E28" s="371" t="s">
        <v>455</v>
      </c>
      <c r="F28" s="382">
        <v>3141</v>
      </c>
      <c r="G28" s="373" t="s">
        <v>294</v>
      </c>
      <c r="H28" s="285" t="s">
        <v>272</v>
      </c>
      <c r="I28" s="419">
        <v>777932</v>
      </c>
      <c r="J28" s="414">
        <v>525196</v>
      </c>
      <c r="K28" s="414">
        <v>0</v>
      </c>
      <c r="L28" s="414">
        <v>525196</v>
      </c>
      <c r="M28" s="414">
        <v>50000</v>
      </c>
      <c r="N28" s="414">
        <v>0</v>
      </c>
      <c r="O28" s="414">
        <v>50000</v>
      </c>
      <c r="P28" s="68">
        <v>194416</v>
      </c>
      <c r="Q28" s="68">
        <v>5252</v>
      </c>
      <c r="R28" s="414">
        <v>3068</v>
      </c>
      <c r="S28" s="415">
        <v>1.7166999999999999</v>
      </c>
      <c r="T28" s="415">
        <v>0</v>
      </c>
      <c r="U28" s="422">
        <v>1.7166999999999999</v>
      </c>
      <c r="V28" s="423">
        <f t="shared" si="9"/>
        <v>0</v>
      </c>
      <c r="W28" s="417">
        <f t="shared" si="9"/>
        <v>0</v>
      </c>
      <c r="X28" s="417">
        <v>0</v>
      </c>
      <c r="Y28" s="417">
        <v>0</v>
      </c>
      <c r="Z28" s="417">
        <v>0</v>
      </c>
      <c r="AA28" s="417">
        <v>2182</v>
      </c>
      <c r="AB28" s="417">
        <v>0</v>
      </c>
      <c r="AC28" s="417">
        <v>0</v>
      </c>
      <c r="AD28" s="417">
        <v>0</v>
      </c>
      <c r="AE28" s="417">
        <f t="shared" si="10"/>
        <v>0</v>
      </c>
      <c r="AF28" s="417">
        <f t="shared" si="11"/>
        <v>2182</v>
      </c>
      <c r="AG28" s="417">
        <f t="shared" si="12"/>
        <v>2182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13"/>
        <v>0</v>
      </c>
      <c r="AN28" s="417">
        <f t="shared" si="14"/>
        <v>0</v>
      </c>
      <c r="AO28" s="417">
        <f t="shared" si="15"/>
        <v>0</v>
      </c>
      <c r="AP28" s="417">
        <f t="shared" si="16"/>
        <v>0</v>
      </c>
      <c r="AQ28" s="417">
        <f t="shared" si="16"/>
        <v>2182</v>
      </c>
      <c r="AR28" s="417">
        <f t="shared" si="17"/>
        <v>2182</v>
      </c>
      <c r="AS28" s="68">
        <f t="shared" si="18"/>
        <v>738</v>
      </c>
      <c r="AT28" s="68">
        <f t="shared" si="19"/>
        <v>22</v>
      </c>
      <c r="AU28" s="417">
        <v>0</v>
      </c>
      <c r="AV28" s="417">
        <v>0</v>
      </c>
      <c r="AW28" s="417">
        <v>0</v>
      </c>
      <c r="AX28" s="417">
        <f t="shared" si="20"/>
        <v>0</v>
      </c>
      <c r="AY28" s="417">
        <f t="shared" si="21"/>
        <v>2942</v>
      </c>
      <c r="AZ28" s="418">
        <v>0</v>
      </c>
      <c r="BA28" s="418">
        <v>0</v>
      </c>
      <c r="BB28" s="418">
        <v>0</v>
      </c>
      <c r="BC28" s="418">
        <v>0.01</v>
      </c>
      <c r="BD28" s="418">
        <v>0.01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22"/>
        <v>0.01</v>
      </c>
      <c r="BJ28" s="418">
        <f t="shared" si="23"/>
        <v>0.01</v>
      </c>
      <c r="BK28" s="420">
        <f t="shared" si="24"/>
        <v>0.02</v>
      </c>
      <c r="BL28" s="772">
        <f>I28+AY28</f>
        <v>780874</v>
      </c>
      <c r="BM28" s="772">
        <f>J28+AG28</f>
        <v>527378</v>
      </c>
      <c r="BN28" s="417">
        <f t="shared" si="35"/>
        <v>0</v>
      </c>
      <c r="BO28" s="417">
        <f t="shared" si="35"/>
        <v>527378</v>
      </c>
      <c r="BP28" s="417">
        <f>M28+AO28</f>
        <v>50000</v>
      </c>
      <c r="BQ28" s="417">
        <f t="shared" si="36"/>
        <v>0</v>
      </c>
      <c r="BR28" s="417">
        <f t="shared" si="36"/>
        <v>50000</v>
      </c>
      <c r="BS28" s="417">
        <f t="shared" si="37"/>
        <v>195154</v>
      </c>
      <c r="BT28" s="417">
        <f t="shared" si="37"/>
        <v>5274</v>
      </c>
      <c r="BU28" s="417">
        <f>R28+AX28</f>
        <v>3068</v>
      </c>
      <c r="BV28" s="418">
        <f>S28+BK28</f>
        <v>1.7366999999999999</v>
      </c>
      <c r="BW28" s="418">
        <f t="shared" si="38"/>
        <v>0.01</v>
      </c>
      <c r="BX28" s="420">
        <f t="shared" si="38"/>
        <v>1.7266999999999999</v>
      </c>
      <c r="BY28" s="510"/>
      <c r="BZ28" s="414"/>
      <c r="CA28" s="414"/>
      <c r="CB28" s="414"/>
      <c r="CC28" s="414"/>
      <c r="CD28" s="509"/>
      <c r="CE28" s="1021"/>
      <c r="CF28" s="1022"/>
      <c r="CG28" s="1022"/>
      <c r="CH28" s="1022"/>
      <c r="CI28" s="1022"/>
      <c r="CJ28" s="981"/>
    </row>
    <row r="29" spans="1:88" ht="12.95" customHeight="1">
      <c r="A29" s="213">
        <v>4</v>
      </c>
      <c r="B29" s="45">
        <v>5464</v>
      </c>
      <c r="C29" s="45">
        <v>600098869</v>
      </c>
      <c r="D29" s="45">
        <v>72743719</v>
      </c>
      <c r="E29" s="383" t="s">
        <v>456</v>
      </c>
      <c r="F29" s="384"/>
      <c r="G29" s="383"/>
      <c r="H29" s="385"/>
      <c r="I29" s="464">
        <v>6155254</v>
      </c>
      <c r="J29" s="460">
        <v>4491837</v>
      </c>
      <c r="K29" s="460">
        <v>3481785</v>
      </c>
      <c r="L29" s="460">
        <v>1010052</v>
      </c>
      <c r="M29" s="460">
        <v>55000</v>
      </c>
      <c r="N29" s="460">
        <v>0</v>
      </c>
      <c r="O29" s="460">
        <v>55000</v>
      </c>
      <c r="P29" s="460">
        <v>1536830</v>
      </c>
      <c r="Q29" s="460">
        <v>44919</v>
      </c>
      <c r="R29" s="460">
        <v>26668</v>
      </c>
      <c r="S29" s="461">
        <v>9.3359000000000005</v>
      </c>
      <c r="T29" s="461">
        <v>6</v>
      </c>
      <c r="U29" s="534">
        <v>3.3359000000000001</v>
      </c>
      <c r="V29" s="464">
        <f t="shared" ref="V29:BK29" si="39">SUM(V26:V28)</f>
        <v>-37500</v>
      </c>
      <c r="W29" s="460">
        <f t="shared" si="39"/>
        <v>0</v>
      </c>
      <c r="X29" s="460">
        <f t="shared" si="39"/>
        <v>0</v>
      </c>
      <c r="Y29" s="460">
        <f t="shared" si="39"/>
        <v>0</v>
      </c>
      <c r="Z29" s="460">
        <f t="shared" si="39"/>
        <v>0</v>
      </c>
      <c r="AA29" s="460">
        <f t="shared" si="39"/>
        <v>2182</v>
      </c>
      <c r="AB29" s="460">
        <f t="shared" si="39"/>
        <v>0</v>
      </c>
      <c r="AC29" s="460">
        <f t="shared" si="39"/>
        <v>0</v>
      </c>
      <c r="AD29" s="460">
        <f t="shared" si="39"/>
        <v>0</v>
      </c>
      <c r="AE29" s="460">
        <f t="shared" si="39"/>
        <v>-37500</v>
      </c>
      <c r="AF29" s="460">
        <f t="shared" si="39"/>
        <v>2182</v>
      </c>
      <c r="AG29" s="460">
        <f t="shared" si="39"/>
        <v>-35318</v>
      </c>
      <c r="AH29" s="460">
        <f t="shared" si="39"/>
        <v>37500</v>
      </c>
      <c r="AI29" s="460">
        <f t="shared" si="39"/>
        <v>0</v>
      </c>
      <c r="AJ29" s="460">
        <f t="shared" si="39"/>
        <v>0</v>
      </c>
      <c r="AK29" s="460">
        <f t="shared" si="39"/>
        <v>0</v>
      </c>
      <c r="AL29" s="460">
        <f t="shared" si="39"/>
        <v>0</v>
      </c>
      <c r="AM29" s="460">
        <f t="shared" si="39"/>
        <v>37500</v>
      </c>
      <c r="AN29" s="460">
        <f t="shared" si="39"/>
        <v>0</v>
      </c>
      <c r="AO29" s="460">
        <f t="shared" si="39"/>
        <v>37500</v>
      </c>
      <c r="AP29" s="460">
        <f t="shared" si="39"/>
        <v>0</v>
      </c>
      <c r="AQ29" s="460">
        <f t="shared" si="39"/>
        <v>2182</v>
      </c>
      <c r="AR29" s="460">
        <f t="shared" si="39"/>
        <v>2182</v>
      </c>
      <c r="AS29" s="460">
        <f t="shared" si="39"/>
        <v>738</v>
      </c>
      <c r="AT29" s="460">
        <f t="shared" si="39"/>
        <v>-353</v>
      </c>
      <c r="AU29" s="460">
        <f t="shared" si="39"/>
        <v>0</v>
      </c>
      <c r="AV29" s="460">
        <f t="shared" si="39"/>
        <v>0</v>
      </c>
      <c r="AW29" s="460">
        <f t="shared" si="39"/>
        <v>0</v>
      </c>
      <c r="AX29" s="460">
        <f t="shared" si="39"/>
        <v>0</v>
      </c>
      <c r="AY29" s="460">
        <f t="shared" si="39"/>
        <v>2567</v>
      </c>
      <c r="AZ29" s="461">
        <f t="shared" si="39"/>
        <v>0</v>
      </c>
      <c r="BA29" s="461">
        <f t="shared" si="39"/>
        <v>0</v>
      </c>
      <c r="BB29" s="461">
        <f t="shared" si="39"/>
        <v>0</v>
      </c>
      <c r="BC29" s="461">
        <f t="shared" si="39"/>
        <v>0.01</v>
      </c>
      <c r="BD29" s="461">
        <f t="shared" si="39"/>
        <v>0.01</v>
      </c>
      <c r="BE29" s="461">
        <f t="shared" si="39"/>
        <v>0</v>
      </c>
      <c r="BF29" s="461">
        <f t="shared" si="39"/>
        <v>0</v>
      </c>
      <c r="BG29" s="461">
        <f t="shared" si="39"/>
        <v>0</v>
      </c>
      <c r="BH29" s="461">
        <f t="shared" si="39"/>
        <v>0</v>
      </c>
      <c r="BI29" s="461">
        <f t="shared" si="39"/>
        <v>0.01</v>
      </c>
      <c r="BJ29" s="461">
        <f t="shared" si="39"/>
        <v>0.01</v>
      </c>
      <c r="BK29" s="279">
        <f t="shared" si="39"/>
        <v>0.02</v>
      </c>
      <c r="BL29" s="1075">
        <f t="shared" ref="BL29:CG29" si="40">SUM(BL26:BL28)</f>
        <v>6157821</v>
      </c>
      <c r="BM29" s="1075">
        <f t="shared" si="40"/>
        <v>4456519</v>
      </c>
      <c r="BN29" s="460">
        <f t="shared" si="40"/>
        <v>3444285</v>
      </c>
      <c r="BO29" s="460">
        <f t="shared" si="40"/>
        <v>1012234</v>
      </c>
      <c r="BP29" s="460">
        <f t="shared" si="40"/>
        <v>92500</v>
      </c>
      <c r="BQ29" s="460">
        <f t="shared" si="40"/>
        <v>37500</v>
      </c>
      <c r="BR29" s="460">
        <f t="shared" si="40"/>
        <v>55000</v>
      </c>
      <c r="BS29" s="460">
        <f t="shared" si="40"/>
        <v>1537568</v>
      </c>
      <c r="BT29" s="460">
        <f t="shared" si="40"/>
        <v>44566</v>
      </c>
      <c r="BU29" s="460">
        <f t="shared" si="40"/>
        <v>26668</v>
      </c>
      <c r="BV29" s="461">
        <f t="shared" si="40"/>
        <v>9.3559000000000019</v>
      </c>
      <c r="BW29" s="461">
        <f t="shared" si="40"/>
        <v>6.01</v>
      </c>
      <c r="BX29" s="279">
        <f t="shared" si="40"/>
        <v>3.3459000000000003</v>
      </c>
      <c r="BY29" s="940">
        <f t="shared" si="40"/>
        <v>0</v>
      </c>
      <c r="BZ29" s="707">
        <f t="shared" si="40"/>
        <v>0</v>
      </c>
      <c r="CA29" s="707">
        <f t="shared" si="40"/>
        <v>0</v>
      </c>
      <c r="CB29" s="707">
        <f t="shared" si="40"/>
        <v>0</v>
      </c>
      <c r="CC29" s="707">
        <f t="shared" si="40"/>
        <v>0</v>
      </c>
      <c r="CD29" s="819">
        <f t="shared" si="40"/>
        <v>0</v>
      </c>
      <c r="CE29" s="1024">
        <f t="shared" si="40"/>
        <v>219735</v>
      </c>
      <c r="CF29" s="1024">
        <f t="shared" si="40"/>
        <v>157187</v>
      </c>
      <c r="CG29" s="1024">
        <f t="shared" si="40"/>
        <v>53129</v>
      </c>
      <c r="CH29" s="1024">
        <f t="shared" ref="CH29:CJ29" si="41">SUM(CH26:CH28)</f>
        <v>1572</v>
      </c>
      <c r="CI29" s="1024">
        <f t="shared" si="41"/>
        <v>7847</v>
      </c>
      <c r="CJ29" s="933">
        <f t="shared" si="41"/>
        <v>0.5292</v>
      </c>
    </row>
    <row r="30" spans="1:88" ht="12.95" customHeight="1">
      <c r="A30" s="280">
        <v>5</v>
      </c>
      <c r="B30" s="212">
        <v>5467</v>
      </c>
      <c r="C30" s="212">
        <v>600098648</v>
      </c>
      <c r="D30" s="212">
        <v>72743948</v>
      </c>
      <c r="E30" s="372" t="s">
        <v>457</v>
      </c>
      <c r="F30" s="212">
        <v>3111</v>
      </c>
      <c r="G30" s="373" t="s">
        <v>304</v>
      </c>
      <c r="H30" s="285" t="s">
        <v>271</v>
      </c>
      <c r="I30" s="419">
        <v>5085210</v>
      </c>
      <c r="J30" s="414">
        <v>3754236</v>
      </c>
      <c r="K30" s="414">
        <v>3264380</v>
      </c>
      <c r="L30" s="414">
        <v>489856</v>
      </c>
      <c r="M30" s="414">
        <v>0</v>
      </c>
      <c r="N30" s="414">
        <v>0</v>
      </c>
      <c r="O30" s="414">
        <v>0</v>
      </c>
      <c r="P30" s="414">
        <v>1268932</v>
      </c>
      <c r="Q30" s="414">
        <v>37542</v>
      </c>
      <c r="R30" s="414">
        <v>24500</v>
      </c>
      <c r="S30" s="415">
        <v>7.6492000000000004</v>
      </c>
      <c r="T30" s="415">
        <v>6</v>
      </c>
      <c r="U30" s="422">
        <v>1.6492</v>
      </c>
      <c r="V30" s="423">
        <f t="shared" si="9"/>
        <v>0</v>
      </c>
      <c r="W30" s="417">
        <f t="shared" si="9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10"/>
        <v>0</v>
      </c>
      <c r="AF30" s="417">
        <f t="shared" si="11"/>
        <v>0</v>
      </c>
      <c r="AG30" s="417">
        <f t="shared" si="12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13"/>
        <v>0</v>
      </c>
      <c r="AN30" s="417">
        <f t="shared" si="14"/>
        <v>0</v>
      </c>
      <c r="AO30" s="417">
        <f t="shared" si="15"/>
        <v>0</v>
      </c>
      <c r="AP30" s="417">
        <f t="shared" si="16"/>
        <v>0</v>
      </c>
      <c r="AQ30" s="417">
        <f t="shared" si="16"/>
        <v>0</v>
      </c>
      <c r="AR30" s="417">
        <f t="shared" si="17"/>
        <v>0</v>
      </c>
      <c r="AS30" s="68">
        <f t="shared" si="18"/>
        <v>0</v>
      </c>
      <c r="AT30" s="68">
        <f t="shared" si="19"/>
        <v>0</v>
      </c>
      <c r="AU30" s="417">
        <v>0</v>
      </c>
      <c r="AV30" s="417">
        <v>0</v>
      </c>
      <c r="AW30" s="417">
        <v>0</v>
      </c>
      <c r="AX30" s="417">
        <f t="shared" si="20"/>
        <v>0</v>
      </c>
      <c r="AY30" s="417">
        <f t="shared" si="21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22"/>
        <v>0</v>
      </c>
      <c r="BJ30" s="418">
        <f t="shared" si="23"/>
        <v>0</v>
      </c>
      <c r="BK30" s="420">
        <f t="shared" si="24"/>
        <v>0</v>
      </c>
      <c r="BL30" s="772">
        <f>I30+AY30</f>
        <v>5085210</v>
      </c>
      <c r="BM30" s="772">
        <f>J30+AG30</f>
        <v>3754236</v>
      </c>
      <c r="BN30" s="417">
        <f t="shared" ref="BN30:BO32" si="42">K30+AE30</f>
        <v>3264380</v>
      </c>
      <c r="BO30" s="417">
        <f t="shared" si="42"/>
        <v>489856</v>
      </c>
      <c r="BP30" s="417">
        <f>M30+AO30</f>
        <v>0</v>
      </c>
      <c r="BQ30" s="417">
        <f t="shared" ref="BQ30:BR32" si="43">N30+AM30</f>
        <v>0</v>
      </c>
      <c r="BR30" s="417">
        <f t="shared" si="43"/>
        <v>0</v>
      </c>
      <c r="BS30" s="417">
        <f t="shared" ref="BS30:BT32" si="44">P30+AS30</f>
        <v>1268932</v>
      </c>
      <c r="BT30" s="417">
        <f t="shared" si="44"/>
        <v>37542</v>
      </c>
      <c r="BU30" s="417">
        <f>R30+AX30</f>
        <v>24500</v>
      </c>
      <c r="BV30" s="418">
        <f>S30+BK30</f>
        <v>7.6492000000000004</v>
      </c>
      <c r="BW30" s="418">
        <f t="shared" ref="BW30:BX32" si="45">T30+BI30</f>
        <v>6</v>
      </c>
      <c r="BX30" s="420">
        <f t="shared" si="45"/>
        <v>1.6492</v>
      </c>
      <c r="BY30" s="510"/>
      <c r="BZ30" s="414"/>
      <c r="CA30" s="414"/>
      <c r="CB30" s="414"/>
      <c r="CC30" s="414"/>
      <c r="CD30" s="509"/>
      <c r="CE30" s="1021">
        <v>220038</v>
      </c>
      <c r="CF30" s="1022">
        <v>157187</v>
      </c>
      <c r="CG30" s="1022">
        <v>53129</v>
      </c>
      <c r="CH30" s="1022">
        <v>1572</v>
      </c>
      <c r="CI30" s="1022">
        <v>8150</v>
      </c>
      <c r="CJ30" s="981">
        <v>0.5292</v>
      </c>
    </row>
    <row r="31" spans="1:88" ht="12.95" customHeight="1">
      <c r="A31" s="280">
        <v>5</v>
      </c>
      <c r="B31" s="212">
        <v>5467</v>
      </c>
      <c r="C31" s="212">
        <v>600098648</v>
      </c>
      <c r="D31" s="212">
        <v>72743948</v>
      </c>
      <c r="E31" s="371" t="s">
        <v>457</v>
      </c>
      <c r="F31" s="212">
        <v>3111</v>
      </c>
      <c r="G31" s="323" t="s">
        <v>291</v>
      </c>
      <c r="H31" s="285" t="s">
        <v>272</v>
      </c>
      <c r="I31" s="419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68">
        <v>0</v>
      </c>
      <c r="Q31" s="68">
        <v>0</v>
      </c>
      <c r="R31" s="414">
        <v>0</v>
      </c>
      <c r="S31" s="415">
        <v>0</v>
      </c>
      <c r="T31" s="415">
        <v>0</v>
      </c>
      <c r="U31" s="422">
        <v>0</v>
      </c>
      <c r="V31" s="423">
        <f t="shared" si="9"/>
        <v>0</v>
      </c>
      <c r="W31" s="417">
        <f t="shared" si="9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10"/>
        <v>0</v>
      </c>
      <c r="AF31" s="417">
        <f t="shared" si="11"/>
        <v>0</v>
      </c>
      <c r="AG31" s="417">
        <f t="shared" si="12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13"/>
        <v>0</v>
      </c>
      <c r="AN31" s="417">
        <f t="shared" si="14"/>
        <v>0</v>
      </c>
      <c r="AO31" s="417">
        <f t="shared" si="15"/>
        <v>0</v>
      </c>
      <c r="AP31" s="417">
        <f t="shared" si="16"/>
        <v>0</v>
      </c>
      <c r="AQ31" s="417">
        <f t="shared" si="16"/>
        <v>0</v>
      </c>
      <c r="AR31" s="417">
        <f t="shared" si="17"/>
        <v>0</v>
      </c>
      <c r="AS31" s="68">
        <f t="shared" si="18"/>
        <v>0</v>
      </c>
      <c r="AT31" s="68">
        <f t="shared" si="19"/>
        <v>0</v>
      </c>
      <c r="AU31" s="417">
        <v>0</v>
      </c>
      <c r="AV31" s="417">
        <v>0</v>
      </c>
      <c r="AW31" s="417">
        <v>0</v>
      </c>
      <c r="AX31" s="417">
        <f t="shared" si="20"/>
        <v>0</v>
      </c>
      <c r="AY31" s="417">
        <f t="shared" si="21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22"/>
        <v>0</v>
      </c>
      <c r="BJ31" s="418">
        <f t="shared" si="23"/>
        <v>0</v>
      </c>
      <c r="BK31" s="420">
        <f t="shared" si="24"/>
        <v>0</v>
      </c>
      <c r="BL31" s="772">
        <f>I31+AY31</f>
        <v>0</v>
      </c>
      <c r="BM31" s="772">
        <f>J31+AG31</f>
        <v>0</v>
      </c>
      <c r="BN31" s="417">
        <f t="shared" si="42"/>
        <v>0</v>
      </c>
      <c r="BO31" s="417">
        <f t="shared" si="42"/>
        <v>0</v>
      </c>
      <c r="BP31" s="417">
        <f>M31+AO31</f>
        <v>0</v>
      </c>
      <c r="BQ31" s="417">
        <f t="shared" si="43"/>
        <v>0</v>
      </c>
      <c r="BR31" s="417">
        <f t="shared" si="43"/>
        <v>0</v>
      </c>
      <c r="BS31" s="417">
        <f t="shared" si="44"/>
        <v>0</v>
      </c>
      <c r="BT31" s="417">
        <f t="shared" si="44"/>
        <v>0</v>
      </c>
      <c r="BU31" s="417">
        <f>R31+AX31</f>
        <v>0</v>
      </c>
      <c r="BV31" s="418">
        <f>S31+BK31</f>
        <v>0</v>
      </c>
      <c r="BW31" s="418">
        <f t="shared" si="45"/>
        <v>0</v>
      </c>
      <c r="BX31" s="420">
        <f t="shared" si="45"/>
        <v>0</v>
      </c>
      <c r="BY31" s="510"/>
      <c r="BZ31" s="414"/>
      <c r="CA31" s="414"/>
      <c r="CB31" s="414"/>
      <c r="CC31" s="414"/>
      <c r="CD31" s="509"/>
      <c r="CE31" s="1021"/>
      <c r="CF31" s="1022"/>
      <c r="CG31" s="1022"/>
      <c r="CH31" s="1022"/>
      <c r="CI31" s="1022"/>
      <c r="CJ31" s="981"/>
    </row>
    <row r="32" spans="1:88" ht="12.95" customHeight="1">
      <c r="A32" s="280">
        <v>5</v>
      </c>
      <c r="B32" s="212">
        <v>5467</v>
      </c>
      <c r="C32" s="212">
        <v>600098648</v>
      </c>
      <c r="D32" s="212">
        <v>72743948</v>
      </c>
      <c r="E32" s="371" t="s">
        <v>457</v>
      </c>
      <c r="F32" s="382">
        <v>3141</v>
      </c>
      <c r="G32" s="373" t="s">
        <v>294</v>
      </c>
      <c r="H32" s="285" t="s">
        <v>272</v>
      </c>
      <c r="I32" s="419">
        <v>695748</v>
      </c>
      <c r="J32" s="414">
        <v>514205</v>
      </c>
      <c r="K32" s="414">
        <v>0</v>
      </c>
      <c r="L32" s="414">
        <v>514205</v>
      </c>
      <c r="M32" s="414">
        <v>0</v>
      </c>
      <c r="N32" s="414">
        <v>0</v>
      </c>
      <c r="O32" s="414">
        <v>0</v>
      </c>
      <c r="P32" s="414">
        <v>173801</v>
      </c>
      <c r="Q32" s="414">
        <v>5142</v>
      </c>
      <c r="R32" s="414">
        <v>2600</v>
      </c>
      <c r="S32" s="415">
        <v>1.5367</v>
      </c>
      <c r="T32" s="415">
        <v>0</v>
      </c>
      <c r="U32" s="422">
        <v>1.5367</v>
      </c>
      <c r="V32" s="423">
        <f t="shared" si="9"/>
        <v>0</v>
      </c>
      <c r="W32" s="417">
        <f t="shared" si="9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10"/>
        <v>0</v>
      </c>
      <c r="AF32" s="417">
        <f t="shared" si="11"/>
        <v>0</v>
      </c>
      <c r="AG32" s="417">
        <f t="shared" si="12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13"/>
        <v>0</v>
      </c>
      <c r="AN32" s="417">
        <f t="shared" si="14"/>
        <v>0</v>
      </c>
      <c r="AO32" s="417">
        <f t="shared" si="15"/>
        <v>0</v>
      </c>
      <c r="AP32" s="417">
        <f t="shared" si="16"/>
        <v>0</v>
      </c>
      <c r="AQ32" s="417">
        <f t="shared" si="16"/>
        <v>0</v>
      </c>
      <c r="AR32" s="417">
        <f t="shared" si="17"/>
        <v>0</v>
      </c>
      <c r="AS32" s="68">
        <f t="shared" si="18"/>
        <v>0</v>
      </c>
      <c r="AT32" s="68">
        <f t="shared" si="19"/>
        <v>0</v>
      </c>
      <c r="AU32" s="417">
        <v>0</v>
      </c>
      <c r="AV32" s="417">
        <v>0</v>
      </c>
      <c r="AW32" s="417">
        <v>0</v>
      </c>
      <c r="AX32" s="417">
        <f t="shared" si="20"/>
        <v>0</v>
      </c>
      <c r="AY32" s="417">
        <f t="shared" si="21"/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22"/>
        <v>0</v>
      </c>
      <c r="BJ32" s="418">
        <f t="shared" si="23"/>
        <v>0</v>
      </c>
      <c r="BK32" s="420">
        <f t="shared" si="24"/>
        <v>0</v>
      </c>
      <c r="BL32" s="772">
        <f>I32+AY32</f>
        <v>695748</v>
      </c>
      <c r="BM32" s="772">
        <f>J32+AG32</f>
        <v>514205</v>
      </c>
      <c r="BN32" s="417">
        <f t="shared" si="42"/>
        <v>0</v>
      </c>
      <c r="BO32" s="417">
        <f t="shared" si="42"/>
        <v>514205</v>
      </c>
      <c r="BP32" s="417">
        <f>M32+AO32</f>
        <v>0</v>
      </c>
      <c r="BQ32" s="417">
        <f t="shared" si="43"/>
        <v>0</v>
      </c>
      <c r="BR32" s="417">
        <f t="shared" si="43"/>
        <v>0</v>
      </c>
      <c r="BS32" s="417">
        <f t="shared" si="44"/>
        <v>173801</v>
      </c>
      <c r="BT32" s="417">
        <f t="shared" si="44"/>
        <v>5142</v>
      </c>
      <c r="BU32" s="417">
        <f>R32+AX32</f>
        <v>2600</v>
      </c>
      <c r="BV32" s="418">
        <f>S32+BK32</f>
        <v>1.5367</v>
      </c>
      <c r="BW32" s="418">
        <f t="shared" si="45"/>
        <v>0</v>
      </c>
      <c r="BX32" s="420">
        <f t="shared" si="45"/>
        <v>1.5367</v>
      </c>
      <c r="BY32" s="510"/>
      <c r="BZ32" s="414"/>
      <c r="CA32" s="414"/>
      <c r="CB32" s="414"/>
      <c r="CC32" s="414"/>
      <c r="CD32" s="509"/>
      <c r="CE32" s="1021"/>
      <c r="CF32" s="1022"/>
      <c r="CG32" s="1022"/>
      <c r="CH32" s="1022"/>
      <c r="CI32" s="1022"/>
      <c r="CJ32" s="981"/>
    </row>
    <row r="33" spans="1:88" ht="12.95" customHeight="1">
      <c r="A33" s="213">
        <v>5</v>
      </c>
      <c r="B33" s="46">
        <v>5467</v>
      </c>
      <c r="C33" s="46">
        <v>600098648</v>
      </c>
      <c r="D33" s="46">
        <v>72743948</v>
      </c>
      <c r="E33" s="383" t="s">
        <v>458</v>
      </c>
      <c r="F33" s="384"/>
      <c r="G33" s="383"/>
      <c r="H33" s="385"/>
      <c r="I33" s="487">
        <v>5780958</v>
      </c>
      <c r="J33" s="484">
        <v>4268441</v>
      </c>
      <c r="K33" s="484">
        <v>3264380</v>
      </c>
      <c r="L33" s="484">
        <v>1004061</v>
      </c>
      <c r="M33" s="484">
        <v>0</v>
      </c>
      <c r="N33" s="484">
        <v>0</v>
      </c>
      <c r="O33" s="484">
        <v>0</v>
      </c>
      <c r="P33" s="484">
        <v>1442733</v>
      </c>
      <c r="Q33" s="484">
        <v>42684</v>
      </c>
      <c r="R33" s="484">
        <v>27100</v>
      </c>
      <c r="S33" s="485">
        <v>9.1859000000000002</v>
      </c>
      <c r="T33" s="485">
        <v>6</v>
      </c>
      <c r="U33" s="652">
        <v>3.1859000000000002</v>
      </c>
      <c r="V33" s="487">
        <f t="shared" ref="V33:BK33" si="46">SUM(V30:V32)</f>
        <v>0</v>
      </c>
      <c r="W33" s="484">
        <f t="shared" si="46"/>
        <v>0</v>
      </c>
      <c r="X33" s="484">
        <f t="shared" si="46"/>
        <v>0</v>
      </c>
      <c r="Y33" s="484">
        <f t="shared" si="46"/>
        <v>0</v>
      </c>
      <c r="Z33" s="484">
        <f t="shared" si="46"/>
        <v>0</v>
      </c>
      <c r="AA33" s="484">
        <f t="shared" si="46"/>
        <v>0</v>
      </c>
      <c r="AB33" s="484">
        <f t="shared" si="46"/>
        <v>0</v>
      </c>
      <c r="AC33" s="484">
        <f t="shared" si="46"/>
        <v>0</v>
      </c>
      <c r="AD33" s="484">
        <f t="shared" si="46"/>
        <v>0</v>
      </c>
      <c r="AE33" s="484">
        <f t="shared" si="46"/>
        <v>0</v>
      </c>
      <c r="AF33" s="484">
        <f t="shared" si="46"/>
        <v>0</v>
      </c>
      <c r="AG33" s="484">
        <f t="shared" si="46"/>
        <v>0</v>
      </c>
      <c r="AH33" s="484">
        <f t="shared" si="46"/>
        <v>0</v>
      </c>
      <c r="AI33" s="484">
        <f t="shared" si="46"/>
        <v>0</v>
      </c>
      <c r="AJ33" s="484">
        <f t="shared" si="46"/>
        <v>0</v>
      </c>
      <c r="AK33" s="484">
        <f t="shared" si="46"/>
        <v>0</v>
      </c>
      <c r="AL33" s="484">
        <f t="shared" si="46"/>
        <v>0</v>
      </c>
      <c r="AM33" s="484">
        <f t="shared" si="46"/>
        <v>0</v>
      </c>
      <c r="AN33" s="484">
        <f t="shared" si="46"/>
        <v>0</v>
      </c>
      <c r="AO33" s="484">
        <f t="shared" si="46"/>
        <v>0</v>
      </c>
      <c r="AP33" s="484">
        <f t="shared" si="46"/>
        <v>0</v>
      </c>
      <c r="AQ33" s="484">
        <f t="shared" si="46"/>
        <v>0</v>
      </c>
      <c r="AR33" s="484">
        <f t="shared" si="46"/>
        <v>0</v>
      </c>
      <c r="AS33" s="484">
        <f t="shared" si="46"/>
        <v>0</v>
      </c>
      <c r="AT33" s="484">
        <f t="shared" si="46"/>
        <v>0</v>
      </c>
      <c r="AU33" s="484">
        <f t="shared" si="46"/>
        <v>0</v>
      </c>
      <c r="AV33" s="484">
        <f t="shared" si="46"/>
        <v>0</v>
      </c>
      <c r="AW33" s="484">
        <f t="shared" si="46"/>
        <v>0</v>
      </c>
      <c r="AX33" s="484">
        <f t="shared" si="46"/>
        <v>0</v>
      </c>
      <c r="AY33" s="484">
        <f t="shared" si="46"/>
        <v>0</v>
      </c>
      <c r="AZ33" s="485">
        <f t="shared" si="46"/>
        <v>0</v>
      </c>
      <c r="BA33" s="485">
        <f t="shared" si="46"/>
        <v>0</v>
      </c>
      <c r="BB33" s="485">
        <f t="shared" si="46"/>
        <v>0</v>
      </c>
      <c r="BC33" s="485">
        <f t="shared" si="46"/>
        <v>0</v>
      </c>
      <c r="BD33" s="485">
        <f t="shared" si="46"/>
        <v>0</v>
      </c>
      <c r="BE33" s="485">
        <f t="shared" si="46"/>
        <v>0</v>
      </c>
      <c r="BF33" s="485">
        <f t="shared" si="46"/>
        <v>0</v>
      </c>
      <c r="BG33" s="485">
        <f t="shared" si="46"/>
        <v>0</v>
      </c>
      <c r="BH33" s="485">
        <f t="shared" si="46"/>
        <v>0</v>
      </c>
      <c r="BI33" s="485">
        <f t="shared" si="46"/>
        <v>0</v>
      </c>
      <c r="BJ33" s="485">
        <f t="shared" si="46"/>
        <v>0</v>
      </c>
      <c r="BK33" s="379">
        <f t="shared" si="46"/>
        <v>0</v>
      </c>
      <c r="BL33" s="1076">
        <f t="shared" ref="BL33:CG33" si="47">SUM(BL30:BL32)</f>
        <v>5780958</v>
      </c>
      <c r="BM33" s="1076">
        <f t="shared" si="47"/>
        <v>4268441</v>
      </c>
      <c r="BN33" s="484">
        <f t="shared" si="47"/>
        <v>3264380</v>
      </c>
      <c r="BO33" s="484">
        <f t="shared" si="47"/>
        <v>1004061</v>
      </c>
      <c r="BP33" s="484">
        <f t="shared" si="47"/>
        <v>0</v>
      </c>
      <c r="BQ33" s="484">
        <f t="shared" si="47"/>
        <v>0</v>
      </c>
      <c r="BR33" s="484">
        <f t="shared" si="47"/>
        <v>0</v>
      </c>
      <c r="BS33" s="484">
        <f t="shared" si="47"/>
        <v>1442733</v>
      </c>
      <c r="BT33" s="484">
        <f t="shared" si="47"/>
        <v>42684</v>
      </c>
      <c r="BU33" s="484">
        <f t="shared" si="47"/>
        <v>27100</v>
      </c>
      <c r="BV33" s="485">
        <f t="shared" si="47"/>
        <v>9.1859000000000002</v>
      </c>
      <c r="BW33" s="485">
        <f t="shared" si="47"/>
        <v>6</v>
      </c>
      <c r="BX33" s="379">
        <f t="shared" si="47"/>
        <v>3.1859000000000002</v>
      </c>
      <c r="BY33" s="941">
        <f t="shared" si="47"/>
        <v>0</v>
      </c>
      <c r="BZ33" s="728">
        <f t="shared" si="47"/>
        <v>0</v>
      </c>
      <c r="CA33" s="728">
        <f t="shared" si="47"/>
        <v>0</v>
      </c>
      <c r="CB33" s="728">
        <f t="shared" si="47"/>
        <v>0</v>
      </c>
      <c r="CC33" s="728">
        <f t="shared" si="47"/>
        <v>0</v>
      </c>
      <c r="CD33" s="834">
        <f t="shared" si="47"/>
        <v>0</v>
      </c>
      <c r="CE33" s="1025">
        <f t="shared" si="47"/>
        <v>220038</v>
      </c>
      <c r="CF33" s="1025">
        <f t="shared" si="47"/>
        <v>157187</v>
      </c>
      <c r="CG33" s="1025">
        <f t="shared" si="47"/>
        <v>53129</v>
      </c>
      <c r="CH33" s="1025">
        <f t="shared" ref="CH33:CJ33" si="48">SUM(CH30:CH32)</f>
        <v>1572</v>
      </c>
      <c r="CI33" s="1025">
        <f t="shared" si="48"/>
        <v>8150</v>
      </c>
      <c r="CJ33" s="933">
        <f t="shared" si="48"/>
        <v>0.5292</v>
      </c>
    </row>
    <row r="34" spans="1:88" ht="12.95" customHeight="1">
      <c r="A34" s="280">
        <v>6</v>
      </c>
      <c r="B34" s="212">
        <v>5463</v>
      </c>
      <c r="C34" s="212">
        <v>600098877</v>
      </c>
      <c r="D34" s="212">
        <v>72743786</v>
      </c>
      <c r="E34" s="211" t="s">
        <v>459</v>
      </c>
      <c r="F34" s="212">
        <v>3111</v>
      </c>
      <c r="G34" s="373" t="s">
        <v>304</v>
      </c>
      <c r="H34" s="285" t="s">
        <v>271</v>
      </c>
      <c r="I34" s="419">
        <v>5385875</v>
      </c>
      <c r="J34" s="414">
        <v>3972756</v>
      </c>
      <c r="K34" s="414">
        <v>3482900</v>
      </c>
      <c r="L34" s="414">
        <v>489856</v>
      </c>
      <c r="M34" s="414">
        <v>0</v>
      </c>
      <c r="N34" s="414">
        <v>0</v>
      </c>
      <c r="O34" s="414">
        <v>0</v>
      </c>
      <c r="P34" s="68">
        <v>1342791</v>
      </c>
      <c r="Q34" s="68">
        <v>39728</v>
      </c>
      <c r="R34" s="414">
        <v>30600</v>
      </c>
      <c r="S34" s="415">
        <v>7.8911000000000007</v>
      </c>
      <c r="T34" s="415">
        <v>6.2419000000000002</v>
      </c>
      <c r="U34" s="422">
        <v>1.6492</v>
      </c>
      <c r="V34" s="423">
        <f t="shared" si="9"/>
        <v>0</v>
      </c>
      <c r="W34" s="417">
        <f t="shared" si="9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10"/>
        <v>0</v>
      </c>
      <c r="AF34" s="417">
        <f t="shared" si="11"/>
        <v>0</v>
      </c>
      <c r="AG34" s="417">
        <f t="shared" si="12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13"/>
        <v>0</v>
      </c>
      <c r="AN34" s="417">
        <f t="shared" si="14"/>
        <v>0</v>
      </c>
      <c r="AO34" s="417">
        <f t="shared" si="15"/>
        <v>0</v>
      </c>
      <c r="AP34" s="417">
        <f t="shared" si="16"/>
        <v>0</v>
      </c>
      <c r="AQ34" s="417">
        <f t="shared" si="16"/>
        <v>0</v>
      </c>
      <c r="AR34" s="417">
        <f t="shared" si="17"/>
        <v>0</v>
      </c>
      <c r="AS34" s="68">
        <f t="shared" si="18"/>
        <v>0</v>
      </c>
      <c r="AT34" s="68">
        <f t="shared" si="19"/>
        <v>0</v>
      </c>
      <c r="AU34" s="417">
        <v>0</v>
      </c>
      <c r="AV34" s="417">
        <v>0</v>
      </c>
      <c r="AW34" s="417">
        <v>0</v>
      </c>
      <c r="AX34" s="417">
        <f t="shared" si="20"/>
        <v>0</v>
      </c>
      <c r="AY34" s="417">
        <f t="shared" si="21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22"/>
        <v>0</v>
      </c>
      <c r="BJ34" s="418">
        <f t="shared" si="23"/>
        <v>0</v>
      </c>
      <c r="BK34" s="420">
        <f t="shared" si="24"/>
        <v>0</v>
      </c>
      <c r="BL34" s="772">
        <f>I34+AY34</f>
        <v>5385875</v>
      </c>
      <c r="BM34" s="772">
        <f>J34+AG34</f>
        <v>3972756</v>
      </c>
      <c r="BN34" s="417">
        <f t="shared" ref="BN34:BO36" si="49">K34+AE34</f>
        <v>3482900</v>
      </c>
      <c r="BO34" s="417">
        <f t="shared" si="49"/>
        <v>489856</v>
      </c>
      <c r="BP34" s="417">
        <f>M34+AO34</f>
        <v>0</v>
      </c>
      <c r="BQ34" s="417">
        <f t="shared" ref="BQ34:BR36" si="50">N34+AM34</f>
        <v>0</v>
      </c>
      <c r="BR34" s="417">
        <f t="shared" si="50"/>
        <v>0</v>
      </c>
      <c r="BS34" s="417">
        <f t="shared" ref="BS34:BT36" si="51">P34+AS34</f>
        <v>1342791</v>
      </c>
      <c r="BT34" s="417">
        <f t="shared" si="51"/>
        <v>39728</v>
      </c>
      <c r="BU34" s="417">
        <f>R34+AX34</f>
        <v>30600</v>
      </c>
      <c r="BV34" s="418">
        <f>S34+BK34</f>
        <v>7.8911000000000007</v>
      </c>
      <c r="BW34" s="418">
        <f t="shared" ref="BW34:BX36" si="52">T34+BI34</f>
        <v>6.2419000000000002</v>
      </c>
      <c r="BX34" s="420">
        <f t="shared" si="52"/>
        <v>1.6492</v>
      </c>
      <c r="BY34" s="510"/>
      <c r="BZ34" s="414"/>
      <c r="CA34" s="414"/>
      <c r="CB34" s="414"/>
      <c r="CC34" s="414"/>
      <c r="CD34" s="509"/>
      <c r="CE34" s="1021">
        <v>222070</v>
      </c>
      <c r="CF34" s="1022">
        <v>157187</v>
      </c>
      <c r="CG34" s="1022">
        <v>53129</v>
      </c>
      <c r="CH34" s="1022">
        <v>1572</v>
      </c>
      <c r="CI34" s="1022">
        <v>10182</v>
      </c>
      <c r="CJ34" s="981">
        <v>0.5292</v>
      </c>
    </row>
    <row r="35" spans="1:88" ht="12.95" customHeight="1">
      <c r="A35" s="280">
        <v>6</v>
      </c>
      <c r="B35" s="212">
        <v>5463</v>
      </c>
      <c r="C35" s="212">
        <v>600098877</v>
      </c>
      <c r="D35" s="212">
        <v>72743786</v>
      </c>
      <c r="E35" s="372" t="s">
        <v>459</v>
      </c>
      <c r="F35" s="212">
        <v>3111</v>
      </c>
      <c r="G35" s="323" t="s">
        <v>291</v>
      </c>
      <c r="H35" s="285" t="s">
        <v>272</v>
      </c>
      <c r="I35" s="419">
        <v>158332</v>
      </c>
      <c r="J35" s="414">
        <v>117457</v>
      </c>
      <c r="K35" s="414">
        <v>117457</v>
      </c>
      <c r="L35" s="414">
        <v>0</v>
      </c>
      <c r="M35" s="414">
        <v>0</v>
      </c>
      <c r="N35" s="414">
        <v>0</v>
      </c>
      <c r="O35" s="414">
        <v>0</v>
      </c>
      <c r="P35" s="68">
        <v>39700</v>
      </c>
      <c r="Q35" s="68">
        <v>1175</v>
      </c>
      <c r="R35" s="414">
        <v>0</v>
      </c>
      <c r="S35" s="415">
        <v>0.3</v>
      </c>
      <c r="T35" s="415">
        <v>0.3</v>
      </c>
      <c r="U35" s="422">
        <v>0</v>
      </c>
      <c r="V35" s="423">
        <f t="shared" si="9"/>
        <v>0</v>
      </c>
      <c r="W35" s="417">
        <f t="shared" si="9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10"/>
        <v>0</v>
      </c>
      <c r="AF35" s="417">
        <f t="shared" si="11"/>
        <v>0</v>
      </c>
      <c r="AG35" s="417">
        <f t="shared" si="12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13"/>
        <v>0</v>
      </c>
      <c r="AN35" s="417">
        <f t="shared" si="14"/>
        <v>0</v>
      </c>
      <c r="AO35" s="417">
        <f t="shared" si="15"/>
        <v>0</v>
      </c>
      <c r="AP35" s="417">
        <f t="shared" si="16"/>
        <v>0</v>
      </c>
      <c r="AQ35" s="417">
        <f t="shared" si="16"/>
        <v>0</v>
      </c>
      <c r="AR35" s="417">
        <f t="shared" si="17"/>
        <v>0</v>
      </c>
      <c r="AS35" s="68">
        <f t="shared" si="18"/>
        <v>0</v>
      </c>
      <c r="AT35" s="68">
        <f t="shared" si="19"/>
        <v>0</v>
      </c>
      <c r="AU35" s="417">
        <v>0</v>
      </c>
      <c r="AV35" s="417">
        <v>0</v>
      </c>
      <c r="AW35" s="417">
        <v>0</v>
      </c>
      <c r="AX35" s="417">
        <f t="shared" si="20"/>
        <v>0</v>
      </c>
      <c r="AY35" s="417">
        <f t="shared" si="21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22"/>
        <v>0</v>
      </c>
      <c r="BJ35" s="418">
        <f t="shared" si="23"/>
        <v>0</v>
      </c>
      <c r="BK35" s="420">
        <f t="shared" si="24"/>
        <v>0</v>
      </c>
      <c r="BL35" s="772">
        <f>I35+AY35</f>
        <v>158332</v>
      </c>
      <c r="BM35" s="772">
        <f>J35+AG35</f>
        <v>117457</v>
      </c>
      <c r="BN35" s="417">
        <f t="shared" si="49"/>
        <v>117457</v>
      </c>
      <c r="BO35" s="417">
        <f t="shared" si="49"/>
        <v>0</v>
      </c>
      <c r="BP35" s="417">
        <f>M35+AO35</f>
        <v>0</v>
      </c>
      <c r="BQ35" s="417">
        <f t="shared" si="50"/>
        <v>0</v>
      </c>
      <c r="BR35" s="417">
        <f t="shared" si="50"/>
        <v>0</v>
      </c>
      <c r="BS35" s="417">
        <f t="shared" si="51"/>
        <v>39700</v>
      </c>
      <c r="BT35" s="417">
        <f t="shared" si="51"/>
        <v>1175</v>
      </c>
      <c r="BU35" s="417">
        <f>R35+AX35</f>
        <v>0</v>
      </c>
      <c r="BV35" s="418">
        <f>S35+BK35</f>
        <v>0.3</v>
      </c>
      <c r="BW35" s="418">
        <f t="shared" si="52"/>
        <v>0.3</v>
      </c>
      <c r="BX35" s="420">
        <f t="shared" si="52"/>
        <v>0</v>
      </c>
      <c r="BY35" s="510"/>
      <c r="BZ35" s="414"/>
      <c r="CA35" s="414"/>
      <c r="CB35" s="414"/>
      <c r="CC35" s="414"/>
      <c r="CD35" s="509"/>
      <c r="CE35" s="1021"/>
      <c r="CF35" s="1022"/>
      <c r="CG35" s="1022"/>
      <c r="CH35" s="1022"/>
      <c r="CI35" s="1022"/>
      <c r="CJ35" s="981"/>
    </row>
    <row r="36" spans="1:88" ht="12.95" customHeight="1">
      <c r="A36" s="280">
        <v>6</v>
      </c>
      <c r="B36" s="212">
        <v>5463</v>
      </c>
      <c r="C36" s="212">
        <v>600098877</v>
      </c>
      <c r="D36" s="212">
        <v>72743786</v>
      </c>
      <c r="E36" s="372" t="s">
        <v>459</v>
      </c>
      <c r="F36" s="212">
        <v>3141</v>
      </c>
      <c r="G36" s="373" t="s">
        <v>294</v>
      </c>
      <c r="H36" s="285" t="s">
        <v>272</v>
      </c>
      <c r="I36" s="419">
        <v>733168</v>
      </c>
      <c r="J36" s="414">
        <v>541810</v>
      </c>
      <c r="K36" s="414">
        <v>0</v>
      </c>
      <c r="L36" s="414">
        <v>541810</v>
      </c>
      <c r="M36" s="414">
        <v>0</v>
      </c>
      <c r="N36" s="414">
        <v>0</v>
      </c>
      <c r="O36" s="414">
        <v>0</v>
      </c>
      <c r="P36" s="68">
        <v>183131</v>
      </c>
      <c r="Q36" s="68">
        <v>5419</v>
      </c>
      <c r="R36" s="414">
        <v>2808</v>
      </c>
      <c r="S36" s="415">
        <v>1.62</v>
      </c>
      <c r="T36" s="415">
        <v>0</v>
      </c>
      <c r="U36" s="422">
        <v>1.62</v>
      </c>
      <c r="V36" s="423">
        <f t="shared" si="9"/>
        <v>0</v>
      </c>
      <c r="W36" s="417">
        <f t="shared" si="9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10"/>
        <v>0</v>
      </c>
      <c r="AF36" s="417">
        <f t="shared" si="11"/>
        <v>0</v>
      </c>
      <c r="AG36" s="417">
        <f t="shared" si="12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13"/>
        <v>0</v>
      </c>
      <c r="AN36" s="417">
        <f t="shared" si="14"/>
        <v>0</v>
      </c>
      <c r="AO36" s="417">
        <f t="shared" si="15"/>
        <v>0</v>
      </c>
      <c r="AP36" s="417">
        <f t="shared" si="16"/>
        <v>0</v>
      </c>
      <c r="AQ36" s="417">
        <f t="shared" si="16"/>
        <v>0</v>
      </c>
      <c r="AR36" s="417">
        <f t="shared" si="17"/>
        <v>0</v>
      </c>
      <c r="AS36" s="68">
        <f t="shared" si="18"/>
        <v>0</v>
      </c>
      <c r="AT36" s="68">
        <f t="shared" si="19"/>
        <v>0</v>
      </c>
      <c r="AU36" s="417">
        <v>0</v>
      </c>
      <c r="AV36" s="417">
        <v>0</v>
      </c>
      <c r="AW36" s="417">
        <v>0</v>
      </c>
      <c r="AX36" s="417">
        <f t="shared" si="20"/>
        <v>0</v>
      </c>
      <c r="AY36" s="417">
        <f t="shared" si="21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22"/>
        <v>0</v>
      </c>
      <c r="BJ36" s="418">
        <f t="shared" si="23"/>
        <v>0</v>
      </c>
      <c r="BK36" s="420">
        <f t="shared" si="24"/>
        <v>0</v>
      </c>
      <c r="BL36" s="772">
        <f>I36+AY36</f>
        <v>733168</v>
      </c>
      <c r="BM36" s="772">
        <f>J36+AG36</f>
        <v>541810</v>
      </c>
      <c r="BN36" s="417">
        <f t="shared" si="49"/>
        <v>0</v>
      </c>
      <c r="BO36" s="417">
        <f t="shared" si="49"/>
        <v>541810</v>
      </c>
      <c r="BP36" s="417">
        <f>M36+AO36</f>
        <v>0</v>
      </c>
      <c r="BQ36" s="417">
        <f t="shared" si="50"/>
        <v>0</v>
      </c>
      <c r="BR36" s="417">
        <f t="shared" si="50"/>
        <v>0</v>
      </c>
      <c r="BS36" s="417">
        <f t="shared" si="51"/>
        <v>183131</v>
      </c>
      <c r="BT36" s="417">
        <f t="shared" si="51"/>
        <v>5419</v>
      </c>
      <c r="BU36" s="417">
        <f>R36+AX36</f>
        <v>2808</v>
      </c>
      <c r="BV36" s="418">
        <f>S36+BK36</f>
        <v>1.62</v>
      </c>
      <c r="BW36" s="418">
        <f t="shared" si="52"/>
        <v>0</v>
      </c>
      <c r="BX36" s="420">
        <f t="shared" si="52"/>
        <v>1.62</v>
      </c>
      <c r="BY36" s="510"/>
      <c r="BZ36" s="414"/>
      <c r="CA36" s="414"/>
      <c r="CB36" s="414"/>
      <c r="CC36" s="414"/>
      <c r="CD36" s="509"/>
      <c r="CE36" s="1021"/>
      <c r="CF36" s="1022"/>
      <c r="CG36" s="1022"/>
      <c r="CH36" s="1022"/>
      <c r="CI36" s="1022"/>
      <c r="CJ36" s="981"/>
    </row>
    <row r="37" spans="1:88" ht="12.95" customHeight="1">
      <c r="A37" s="213">
        <v>6</v>
      </c>
      <c r="B37" s="45">
        <v>5463</v>
      </c>
      <c r="C37" s="45">
        <v>600098877</v>
      </c>
      <c r="D37" s="45">
        <v>72743786</v>
      </c>
      <c r="E37" s="374" t="s">
        <v>460</v>
      </c>
      <c r="F37" s="45"/>
      <c r="G37" s="374"/>
      <c r="H37" s="182"/>
      <c r="I37" s="486">
        <v>6277375</v>
      </c>
      <c r="J37" s="482">
        <v>4632023</v>
      </c>
      <c r="K37" s="482">
        <v>3600357</v>
      </c>
      <c r="L37" s="482">
        <v>1031666</v>
      </c>
      <c r="M37" s="482">
        <v>0</v>
      </c>
      <c r="N37" s="482">
        <v>0</v>
      </c>
      <c r="O37" s="482">
        <v>0</v>
      </c>
      <c r="P37" s="482">
        <v>1565622</v>
      </c>
      <c r="Q37" s="482">
        <v>46322</v>
      </c>
      <c r="R37" s="482">
        <v>33408</v>
      </c>
      <c r="S37" s="483">
        <v>9.8110999999999997</v>
      </c>
      <c r="T37" s="483">
        <v>6.5419</v>
      </c>
      <c r="U37" s="651">
        <v>3.2692000000000001</v>
      </c>
      <c r="V37" s="486">
        <f t="shared" ref="V37:BK37" si="53">SUM(V34:V36)</f>
        <v>0</v>
      </c>
      <c r="W37" s="482">
        <f t="shared" si="53"/>
        <v>0</v>
      </c>
      <c r="X37" s="482">
        <f t="shared" si="53"/>
        <v>0</v>
      </c>
      <c r="Y37" s="482">
        <f t="shared" si="53"/>
        <v>0</v>
      </c>
      <c r="Z37" s="482">
        <f t="shared" si="53"/>
        <v>0</v>
      </c>
      <c r="AA37" s="482">
        <f t="shared" si="53"/>
        <v>0</v>
      </c>
      <c r="AB37" s="482">
        <f t="shared" si="53"/>
        <v>0</v>
      </c>
      <c r="AC37" s="482">
        <f t="shared" si="53"/>
        <v>0</v>
      </c>
      <c r="AD37" s="482">
        <f t="shared" si="53"/>
        <v>0</v>
      </c>
      <c r="AE37" s="482">
        <f t="shared" si="53"/>
        <v>0</v>
      </c>
      <c r="AF37" s="482">
        <f t="shared" si="53"/>
        <v>0</v>
      </c>
      <c r="AG37" s="482">
        <f t="shared" si="53"/>
        <v>0</v>
      </c>
      <c r="AH37" s="482">
        <f t="shared" si="53"/>
        <v>0</v>
      </c>
      <c r="AI37" s="482">
        <f t="shared" si="53"/>
        <v>0</v>
      </c>
      <c r="AJ37" s="482">
        <f t="shared" si="53"/>
        <v>0</v>
      </c>
      <c r="AK37" s="482">
        <f t="shared" si="53"/>
        <v>0</v>
      </c>
      <c r="AL37" s="482">
        <f t="shared" si="53"/>
        <v>0</v>
      </c>
      <c r="AM37" s="482">
        <f t="shared" si="53"/>
        <v>0</v>
      </c>
      <c r="AN37" s="482">
        <f t="shared" si="53"/>
        <v>0</v>
      </c>
      <c r="AO37" s="482">
        <f t="shared" si="53"/>
        <v>0</v>
      </c>
      <c r="AP37" s="482">
        <f t="shared" si="53"/>
        <v>0</v>
      </c>
      <c r="AQ37" s="482">
        <f t="shared" si="53"/>
        <v>0</v>
      </c>
      <c r="AR37" s="482">
        <f t="shared" si="53"/>
        <v>0</v>
      </c>
      <c r="AS37" s="482">
        <f t="shared" si="53"/>
        <v>0</v>
      </c>
      <c r="AT37" s="482">
        <f t="shared" si="53"/>
        <v>0</v>
      </c>
      <c r="AU37" s="482">
        <f t="shared" si="53"/>
        <v>0</v>
      </c>
      <c r="AV37" s="482">
        <f t="shared" si="53"/>
        <v>0</v>
      </c>
      <c r="AW37" s="482">
        <f t="shared" si="53"/>
        <v>0</v>
      </c>
      <c r="AX37" s="482">
        <f t="shared" si="53"/>
        <v>0</v>
      </c>
      <c r="AY37" s="482">
        <f t="shared" si="53"/>
        <v>0</v>
      </c>
      <c r="AZ37" s="483">
        <f t="shared" si="53"/>
        <v>0</v>
      </c>
      <c r="BA37" s="483">
        <f t="shared" si="53"/>
        <v>0</v>
      </c>
      <c r="BB37" s="483">
        <f t="shared" si="53"/>
        <v>0</v>
      </c>
      <c r="BC37" s="483">
        <f t="shared" si="53"/>
        <v>0</v>
      </c>
      <c r="BD37" s="483">
        <f t="shared" si="53"/>
        <v>0</v>
      </c>
      <c r="BE37" s="483">
        <f t="shared" si="53"/>
        <v>0</v>
      </c>
      <c r="BF37" s="483">
        <f t="shared" si="53"/>
        <v>0</v>
      </c>
      <c r="BG37" s="483">
        <f t="shared" si="53"/>
        <v>0</v>
      </c>
      <c r="BH37" s="483">
        <f t="shared" si="53"/>
        <v>0</v>
      </c>
      <c r="BI37" s="483">
        <f t="shared" si="53"/>
        <v>0</v>
      </c>
      <c r="BJ37" s="483">
        <f t="shared" si="53"/>
        <v>0</v>
      </c>
      <c r="BK37" s="375">
        <f t="shared" si="53"/>
        <v>0</v>
      </c>
      <c r="BL37" s="1074">
        <f t="shared" ref="BL37:CG37" si="54">SUM(BL34:BL36)</f>
        <v>6277375</v>
      </c>
      <c r="BM37" s="1074">
        <f t="shared" si="54"/>
        <v>4632023</v>
      </c>
      <c r="BN37" s="482">
        <f t="shared" si="54"/>
        <v>3600357</v>
      </c>
      <c r="BO37" s="482">
        <f t="shared" si="54"/>
        <v>1031666</v>
      </c>
      <c r="BP37" s="482">
        <f t="shared" si="54"/>
        <v>0</v>
      </c>
      <c r="BQ37" s="482">
        <f t="shared" si="54"/>
        <v>0</v>
      </c>
      <c r="BR37" s="482">
        <f t="shared" si="54"/>
        <v>0</v>
      </c>
      <c r="BS37" s="482">
        <f t="shared" si="54"/>
        <v>1565622</v>
      </c>
      <c r="BT37" s="482">
        <f t="shared" si="54"/>
        <v>46322</v>
      </c>
      <c r="BU37" s="482">
        <f t="shared" si="54"/>
        <v>33408</v>
      </c>
      <c r="BV37" s="483">
        <f t="shared" si="54"/>
        <v>9.8110999999999997</v>
      </c>
      <c r="BW37" s="483">
        <f t="shared" si="54"/>
        <v>6.5419</v>
      </c>
      <c r="BX37" s="375">
        <f t="shared" si="54"/>
        <v>3.2692000000000001</v>
      </c>
      <c r="BY37" s="939">
        <f t="shared" si="54"/>
        <v>0</v>
      </c>
      <c r="BZ37" s="727">
        <f t="shared" si="54"/>
        <v>0</v>
      </c>
      <c r="CA37" s="727">
        <f t="shared" si="54"/>
        <v>0</v>
      </c>
      <c r="CB37" s="727">
        <f t="shared" si="54"/>
        <v>0</v>
      </c>
      <c r="CC37" s="727">
        <f t="shared" si="54"/>
        <v>0</v>
      </c>
      <c r="CD37" s="833">
        <f t="shared" si="54"/>
        <v>0</v>
      </c>
      <c r="CE37" s="1023">
        <f t="shared" si="54"/>
        <v>222070</v>
      </c>
      <c r="CF37" s="1023">
        <f t="shared" si="54"/>
        <v>157187</v>
      </c>
      <c r="CG37" s="1023">
        <f t="shared" si="54"/>
        <v>53129</v>
      </c>
      <c r="CH37" s="1023">
        <f t="shared" ref="CH37:CJ37" si="55">SUM(CH34:CH36)</f>
        <v>1572</v>
      </c>
      <c r="CI37" s="1023">
        <f t="shared" si="55"/>
        <v>10182</v>
      </c>
      <c r="CJ37" s="934">
        <f t="shared" si="55"/>
        <v>0.5292</v>
      </c>
    </row>
    <row r="38" spans="1:88" ht="12.95" customHeight="1">
      <c r="A38" s="280">
        <v>7</v>
      </c>
      <c r="B38" s="212">
        <v>5461</v>
      </c>
      <c r="C38" s="212">
        <v>600098915</v>
      </c>
      <c r="D38" s="212">
        <v>72743701</v>
      </c>
      <c r="E38" s="211" t="s">
        <v>461</v>
      </c>
      <c r="F38" s="212">
        <v>3111</v>
      </c>
      <c r="G38" s="373" t="s">
        <v>304</v>
      </c>
      <c r="H38" s="285" t="s">
        <v>271</v>
      </c>
      <c r="I38" s="419">
        <v>3708209</v>
      </c>
      <c r="J38" s="414">
        <v>2737544</v>
      </c>
      <c r="K38" s="414">
        <v>2391343</v>
      </c>
      <c r="L38" s="414">
        <v>346201</v>
      </c>
      <c r="M38" s="414">
        <v>0</v>
      </c>
      <c r="N38" s="414">
        <v>0</v>
      </c>
      <c r="O38" s="414">
        <v>0</v>
      </c>
      <c r="P38" s="68">
        <v>925289</v>
      </c>
      <c r="Q38" s="68">
        <v>27376</v>
      </c>
      <c r="R38" s="414">
        <v>18000</v>
      </c>
      <c r="S38" s="415">
        <v>5.2380999999999993</v>
      </c>
      <c r="T38" s="415">
        <v>4.0599999999999996</v>
      </c>
      <c r="U38" s="422">
        <v>1.1781000000000001</v>
      </c>
      <c r="V38" s="423">
        <f t="shared" si="9"/>
        <v>0</v>
      </c>
      <c r="W38" s="417">
        <f t="shared" si="9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10"/>
        <v>0</v>
      </c>
      <c r="AF38" s="417">
        <f t="shared" si="11"/>
        <v>0</v>
      </c>
      <c r="AG38" s="417">
        <f t="shared" si="12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13"/>
        <v>0</v>
      </c>
      <c r="AN38" s="417">
        <f t="shared" si="14"/>
        <v>0</v>
      </c>
      <c r="AO38" s="417">
        <f t="shared" si="15"/>
        <v>0</v>
      </c>
      <c r="AP38" s="417">
        <f t="shared" si="16"/>
        <v>0</v>
      </c>
      <c r="AQ38" s="417">
        <f t="shared" si="16"/>
        <v>0</v>
      </c>
      <c r="AR38" s="417">
        <f t="shared" si="17"/>
        <v>0</v>
      </c>
      <c r="AS38" s="68">
        <f t="shared" si="18"/>
        <v>0</v>
      </c>
      <c r="AT38" s="68">
        <f t="shared" si="19"/>
        <v>0</v>
      </c>
      <c r="AU38" s="417">
        <v>0</v>
      </c>
      <c r="AV38" s="417">
        <v>0</v>
      </c>
      <c r="AW38" s="417">
        <v>0</v>
      </c>
      <c r="AX38" s="417">
        <f t="shared" si="20"/>
        <v>0</v>
      </c>
      <c r="AY38" s="417">
        <f t="shared" si="21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22"/>
        <v>0</v>
      </c>
      <c r="BJ38" s="418">
        <f t="shared" si="23"/>
        <v>0</v>
      </c>
      <c r="BK38" s="420">
        <f t="shared" si="24"/>
        <v>0</v>
      </c>
      <c r="BL38" s="772">
        <f>I38+AY38</f>
        <v>3708209</v>
      </c>
      <c r="BM38" s="772">
        <f>J38+AG38</f>
        <v>2737544</v>
      </c>
      <c r="BN38" s="417">
        <f>K38+AE38</f>
        <v>2391343</v>
      </c>
      <c r="BO38" s="417">
        <f>L38+AF38</f>
        <v>346201</v>
      </c>
      <c r="BP38" s="417">
        <f>M38+AO38</f>
        <v>0</v>
      </c>
      <c r="BQ38" s="417">
        <f>N38+AM38</f>
        <v>0</v>
      </c>
      <c r="BR38" s="417">
        <f>O38+AN38</f>
        <v>0</v>
      </c>
      <c r="BS38" s="417">
        <f>P38+AS38</f>
        <v>925289</v>
      </c>
      <c r="BT38" s="417">
        <f>Q38+AT38</f>
        <v>27376</v>
      </c>
      <c r="BU38" s="417">
        <f>R38+AX38</f>
        <v>18000</v>
      </c>
      <c r="BV38" s="418">
        <f>S38+BK38</f>
        <v>5.2380999999999993</v>
      </c>
      <c r="BW38" s="418">
        <f>T38+BI38</f>
        <v>4.0599999999999996</v>
      </c>
      <c r="BX38" s="420">
        <f>U38+BJ38</f>
        <v>1.1781000000000001</v>
      </c>
      <c r="BY38" s="510"/>
      <c r="BZ38" s="414"/>
      <c r="CA38" s="414"/>
      <c r="CB38" s="414"/>
      <c r="CC38" s="414"/>
      <c r="CD38" s="509"/>
      <c r="CE38" s="1021">
        <v>155722</v>
      </c>
      <c r="CF38" s="1022">
        <v>111081</v>
      </c>
      <c r="CG38" s="1022">
        <v>37545</v>
      </c>
      <c r="CH38" s="1022">
        <v>1111</v>
      </c>
      <c r="CI38" s="1022">
        <v>5985</v>
      </c>
      <c r="CJ38" s="981">
        <v>0.378</v>
      </c>
    </row>
    <row r="39" spans="1:88" ht="12.95" customHeight="1">
      <c r="A39" s="280">
        <v>7</v>
      </c>
      <c r="B39" s="381">
        <v>5461</v>
      </c>
      <c r="C39" s="381">
        <v>600098915</v>
      </c>
      <c r="D39" s="381">
        <v>72743701</v>
      </c>
      <c r="E39" s="380" t="s">
        <v>461</v>
      </c>
      <c r="F39" s="381">
        <v>3141</v>
      </c>
      <c r="G39" s="373" t="s">
        <v>294</v>
      </c>
      <c r="H39" s="285" t="s">
        <v>272</v>
      </c>
      <c r="I39" s="419">
        <v>647147</v>
      </c>
      <c r="J39" s="414">
        <v>478344</v>
      </c>
      <c r="K39" s="414">
        <v>0</v>
      </c>
      <c r="L39" s="414">
        <v>478344</v>
      </c>
      <c r="M39" s="414">
        <v>0</v>
      </c>
      <c r="N39" s="414">
        <v>0</v>
      </c>
      <c r="O39" s="414">
        <v>0</v>
      </c>
      <c r="P39" s="68">
        <v>161680</v>
      </c>
      <c r="Q39" s="68">
        <v>4783</v>
      </c>
      <c r="R39" s="414">
        <v>2340</v>
      </c>
      <c r="S39" s="415">
        <v>1.4333</v>
      </c>
      <c r="T39" s="415">
        <v>0</v>
      </c>
      <c r="U39" s="422">
        <v>1.4333</v>
      </c>
      <c r="V39" s="423">
        <f t="shared" si="9"/>
        <v>0</v>
      </c>
      <c r="W39" s="417">
        <f t="shared" si="9"/>
        <v>0</v>
      </c>
      <c r="X39" s="417">
        <v>0</v>
      </c>
      <c r="Y39" s="417">
        <v>0</v>
      </c>
      <c r="Z39" s="417">
        <v>0</v>
      </c>
      <c r="AA39" s="417">
        <v>-2459</v>
      </c>
      <c r="AB39" s="417">
        <v>0</v>
      </c>
      <c r="AC39" s="417">
        <v>0</v>
      </c>
      <c r="AD39" s="417">
        <v>0</v>
      </c>
      <c r="AE39" s="417">
        <f t="shared" si="10"/>
        <v>0</v>
      </c>
      <c r="AF39" s="417">
        <f t="shared" si="11"/>
        <v>-2459</v>
      </c>
      <c r="AG39" s="417">
        <f t="shared" si="12"/>
        <v>-2459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13"/>
        <v>0</v>
      </c>
      <c r="AN39" s="417">
        <f t="shared" si="14"/>
        <v>0</v>
      </c>
      <c r="AO39" s="417">
        <f t="shared" si="15"/>
        <v>0</v>
      </c>
      <c r="AP39" s="417">
        <f t="shared" si="16"/>
        <v>0</v>
      </c>
      <c r="AQ39" s="417">
        <f t="shared" si="16"/>
        <v>-2459</v>
      </c>
      <c r="AR39" s="417">
        <f t="shared" si="17"/>
        <v>-2459</v>
      </c>
      <c r="AS39" s="68">
        <f t="shared" si="18"/>
        <v>-831</v>
      </c>
      <c r="AT39" s="68">
        <f t="shared" si="19"/>
        <v>-25</v>
      </c>
      <c r="AU39" s="417">
        <v>0</v>
      </c>
      <c r="AV39" s="417">
        <v>0</v>
      </c>
      <c r="AW39" s="417">
        <v>0</v>
      </c>
      <c r="AX39" s="417">
        <f t="shared" si="20"/>
        <v>0</v>
      </c>
      <c r="AY39" s="417">
        <f t="shared" si="21"/>
        <v>-3315</v>
      </c>
      <c r="AZ39" s="418">
        <v>0</v>
      </c>
      <c r="BA39" s="418">
        <v>0</v>
      </c>
      <c r="BB39" s="418">
        <v>0</v>
      </c>
      <c r="BC39" s="418">
        <v>0</v>
      </c>
      <c r="BD39" s="418">
        <v>-0.01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22"/>
        <v>0</v>
      </c>
      <c r="BJ39" s="418">
        <f t="shared" si="23"/>
        <v>-0.01</v>
      </c>
      <c r="BK39" s="420">
        <f t="shared" si="24"/>
        <v>-0.01</v>
      </c>
      <c r="BL39" s="772">
        <f>I39+AY39</f>
        <v>643832</v>
      </c>
      <c r="BM39" s="772">
        <f>J39+AG39</f>
        <v>475885</v>
      </c>
      <c r="BN39" s="417">
        <f>K39+AE39</f>
        <v>0</v>
      </c>
      <c r="BO39" s="417">
        <f>L39+AF39</f>
        <v>475885</v>
      </c>
      <c r="BP39" s="417">
        <f>M39+AO39</f>
        <v>0</v>
      </c>
      <c r="BQ39" s="417">
        <f>N39+AM39</f>
        <v>0</v>
      </c>
      <c r="BR39" s="417">
        <f>O39+AN39</f>
        <v>0</v>
      </c>
      <c r="BS39" s="417">
        <f>P39+AS39</f>
        <v>160849</v>
      </c>
      <c r="BT39" s="417">
        <f>Q39+AT39</f>
        <v>4758</v>
      </c>
      <c r="BU39" s="417">
        <f>R39+AX39</f>
        <v>2340</v>
      </c>
      <c r="BV39" s="418">
        <f>S39+BK39</f>
        <v>1.4233</v>
      </c>
      <c r="BW39" s="418">
        <f>T39+BI39</f>
        <v>0</v>
      </c>
      <c r="BX39" s="420">
        <f>U39+BJ39</f>
        <v>1.4233</v>
      </c>
      <c r="BY39" s="510"/>
      <c r="BZ39" s="414"/>
      <c r="CA39" s="414"/>
      <c r="CB39" s="414"/>
      <c r="CC39" s="414"/>
      <c r="CD39" s="509"/>
      <c r="CE39" s="1021"/>
      <c r="CF39" s="1022"/>
      <c r="CG39" s="1022"/>
      <c r="CH39" s="1022"/>
      <c r="CI39" s="1022"/>
      <c r="CJ39" s="981"/>
    </row>
    <row r="40" spans="1:88" ht="12.95" customHeight="1">
      <c r="A40" s="213">
        <v>7</v>
      </c>
      <c r="B40" s="47">
        <v>5461</v>
      </c>
      <c r="C40" s="47">
        <v>600098915</v>
      </c>
      <c r="D40" s="47">
        <v>72743701</v>
      </c>
      <c r="E40" s="386" t="s">
        <v>462</v>
      </c>
      <c r="F40" s="47"/>
      <c r="G40" s="386"/>
      <c r="H40" s="184"/>
      <c r="I40" s="464">
        <v>4355356</v>
      </c>
      <c r="J40" s="460">
        <v>3215888</v>
      </c>
      <c r="K40" s="460">
        <v>2391343</v>
      </c>
      <c r="L40" s="460">
        <v>824545</v>
      </c>
      <c r="M40" s="460">
        <v>0</v>
      </c>
      <c r="N40" s="460">
        <v>0</v>
      </c>
      <c r="O40" s="460">
        <v>0</v>
      </c>
      <c r="P40" s="460">
        <v>1086969</v>
      </c>
      <c r="Q40" s="460">
        <v>32159</v>
      </c>
      <c r="R40" s="460">
        <v>20340</v>
      </c>
      <c r="S40" s="461">
        <v>6.6713999999999993</v>
      </c>
      <c r="T40" s="461">
        <v>4.0599999999999996</v>
      </c>
      <c r="U40" s="534">
        <v>2.6114000000000002</v>
      </c>
      <c r="V40" s="464">
        <f t="shared" ref="V40:BK40" si="56">SUM(V38:V39)</f>
        <v>0</v>
      </c>
      <c r="W40" s="460">
        <f t="shared" si="56"/>
        <v>0</v>
      </c>
      <c r="X40" s="460">
        <f t="shared" si="56"/>
        <v>0</v>
      </c>
      <c r="Y40" s="460">
        <f t="shared" si="56"/>
        <v>0</v>
      </c>
      <c r="Z40" s="460">
        <f t="shared" si="56"/>
        <v>0</v>
      </c>
      <c r="AA40" s="460">
        <f t="shared" si="56"/>
        <v>-2459</v>
      </c>
      <c r="AB40" s="460">
        <f t="shared" si="56"/>
        <v>0</v>
      </c>
      <c r="AC40" s="460">
        <f t="shared" si="56"/>
        <v>0</v>
      </c>
      <c r="AD40" s="460">
        <f t="shared" si="56"/>
        <v>0</v>
      </c>
      <c r="AE40" s="460">
        <f t="shared" si="56"/>
        <v>0</v>
      </c>
      <c r="AF40" s="460">
        <f t="shared" si="56"/>
        <v>-2459</v>
      </c>
      <c r="AG40" s="460">
        <f t="shared" si="56"/>
        <v>-2459</v>
      </c>
      <c r="AH40" s="460">
        <f t="shared" si="56"/>
        <v>0</v>
      </c>
      <c r="AI40" s="460">
        <f t="shared" si="56"/>
        <v>0</v>
      </c>
      <c r="AJ40" s="460">
        <f t="shared" si="56"/>
        <v>0</v>
      </c>
      <c r="AK40" s="460">
        <f t="shared" si="56"/>
        <v>0</v>
      </c>
      <c r="AL40" s="460">
        <f t="shared" si="56"/>
        <v>0</v>
      </c>
      <c r="AM40" s="460">
        <f t="shared" si="56"/>
        <v>0</v>
      </c>
      <c r="AN40" s="460">
        <f t="shared" si="56"/>
        <v>0</v>
      </c>
      <c r="AO40" s="460">
        <f t="shared" si="56"/>
        <v>0</v>
      </c>
      <c r="AP40" s="460">
        <f t="shared" si="56"/>
        <v>0</v>
      </c>
      <c r="AQ40" s="460">
        <f t="shared" si="56"/>
        <v>-2459</v>
      </c>
      <c r="AR40" s="460">
        <f t="shared" si="56"/>
        <v>-2459</v>
      </c>
      <c r="AS40" s="460">
        <f t="shared" si="56"/>
        <v>-831</v>
      </c>
      <c r="AT40" s="460">
        <f t="shared" si="56"/>
        <v>-25</v>
      </c>
      <c r="AU40" s="460">
        <f t="shared" si="56"/>
        <v>0</v>
      </c>
      <c r="AV40" s="460">
        <f t="shared" si="56"/>
        <v>0</v>
      </c>
      <c r="AW40" s="460">
        <f t="shared" si="56"/>
        <v>0</v>
      </c>
      <c r="AX40" s="460">
        <f t="shared" si="56"/>
        <v>0</v>
      </c>
      <c r="AY40" s="460">
        <f t="shared" si="56"/>
        <v>-3315</v>
      </c>
      <c r="AZ40" s="461">
        <f t="shared" si="56"/>
        <v>0</v>
      </c>
      <c r="BA40" s="461">
        <f t="shared" si="56"/>
        <v>0</v>
      </c>
      <c r="BB40" s="461">
        <f t="shared" si="56"/>
        <v>0</v>
      </c>
      <c r="BC40" s="461">
        <f t="shared" si="56"/>
        <v>0</v>
      </c>
      <c r="BD40" s="461">
        <f t="shared" si="56"/>
        <v>-0.01</v>
      </c>
      <c r="BE40" s="461">
        <f t="shared" si="56"/>
        <v>0</v>
      </c>
      <c r="BF40" s="461">
        <f t="shared" si="56"/>
        <v>0</v>
      </c>
      <c r="BG40" s="461">
        <f t="shared" si="56"/>
        <v>0</v>
      </c>
      <c r="BH40" s="461">
        <f t="shared" si="56"/>
        <v>0</v>
      </c>
      <c r="BI40" s="461">
        <f t="shared" si="56"/>
        <v>0</v>
      </c>
      <c r="BJ40" s="461">
        <f t="shared" si="56"/>
        <v>-0.01</v>
      </c>
      <c r="BK40" s="279">
        <f t="shared" si="56"/>
        <v>-0.01</v>
      </c>
      <c r="BL40" s="1075">
        <f t="shared" ref="BL40:CG40" si="57">SUM(BL38:BL39)</f>
        <v>4352041</v>
      </c>
      <c r="BM40" s="1075">
        <f t="shared" si="57"/>
        <v>3213429</v>
      </c>
      <c r="BN40" s="460">
        <f t="shared" si="57"/>
        <v>2391343</v>
      </c>
      <c r="BO40" s="460">
        <f t="shared" si="57"/>
        <v>822086</v>
      </c>
      <c r="BP40" s="460">
        <f t="shared" si="57"/>
        <v>0</v>
      </c>
      <c r="BQ40" s="460">
        <f t="shared" si="57"/>
        <v>0</v>
      </c>
      <c r="BR40" s="460">
        <f t="shared" si="57"/>
        <v>0</v>
      </c>
      <c r="BS40" s="460">
        <f t="shared" si="57"/>
        <v>1086138</v>
      </c>
      <c r="BT40" s="460">
        <f t="shared" si="57"/>
        <v>32134</v>
      </c>
      <c r="BU40" s="460">
        <f t="shared" si="57"/>
        <v>20340</v>
      </c>
      <c r="BV40" s="461">
        <f t="shared" si="57"/>
        <v>6.6613999999999995</v>
      </c>
      <c r="BW40" s="461">
        <f t="shared" si="57"/>
        <v>4.0599999999999996</v>
      </c>
      <c r="BX40" s="279">
        <f t="shared" si="57"/>
        <v>2.6013999999999999</v>
      </c>
      <c r="BY40" s="940">
        <f t="shared" si="57"/>
        <v>0</v>
      </c>
      <c r="BZ40" s="707">
        <f t="shared" si="57"/>
        <v>0</v>
      </c>
      <c r="CA40" s="707">
        <f t="shared" si="57"/>
        <v>0</v>
      </c>
      <c r="CB40" s="707">
        <f t="shared" si="57"/>
        <v>0</v>
      </c>
      <c r="CC40" s="707">
        <f t="shared" si="57"/>
        <v>0</v>
      </c>
      <c r="CD40" s="819">
        <f t="shared" si="57"/>
        <v>0</v>
      </c>
      <c r="CE40" s="1024">
        <f t="shared" si="57"/>
        <v>155722</v>
      </c>
      <c r="CF40" s="1024">
        <f t="shared" si="57"/>
        <v>111081</v>
      </c>
      <c r="CG40" s="1024">
        <f t="shared" si="57"/>
        <v>37545</v>
      </c>
      <c r="CH40" s="1024">
        <f t="shared" ref="CH40:CJ40" si="58">SUM(CH38:CH39)</f>
        <v>1111</v>
      </c>
      <c r="CI40" s="1024">
        <f t="shared" si="58"/>
        <v>5985</v>
      </c>
      <c r="CJ40" s="933">
        <f t="shared" si="58"/>
        <v>0.378</v>
      </c>
    </row>
    <row r="41" spans="1:88" ht="12.95" customHeight="1">
      <c r="A41" s="280">
        <v>8</v>
      </c>
      <c r="B41" s="370">
        <v>5466</v>
      </c>
      <c r="C41" s="370">
        <v>600098885</v>
      </c>
      <c r="D41" s="370">
        <v>72743794</v>
      </c>
      <c r="E41" s="371" t="s">
        <v>463</v>
      </c>
      <c r="F41" s="370">
        <v>3111</v>
      </c>
      <c r="G41" s="373" t="s">
        <v>304</v>
      </c>
      <c r="H41" s="285" t="s">
        <v>271</v>
      </c>
      <c r="I41" s="419">
        <v>9368136</v>
      </c>
      <c r="J41" s="414">
        <v>6912964</v>
      </c>
      <c r="K41" s="414">
        <v>6031633</v>
      </c>
      <c r="L41" s="414">
        <v>881331</v>
      </c>
      <c r="M41" s="414">
        <v>0</v>
      </c>
      <c r="N41" s="414">
        <v>0</v>
      </c>
      <c r="O41" s="414">
        <v>0</v>
      </c>
      <c r="P41" s="68">
        <v>2336582</v>
      </c>
      <c r="Q41" s="68">
        <v>69130</v>
      </c>
      <c r="R41" s="414">
        <v>49460</v>
      </c>
      <c r="S41" s="415">
        <v>13.013900000000001</v>
      </c>
      <c r="T41" s="415">
        <v>10</v>
      </c>
      <c r="U41" s="422">
        <v>3.0139000000000005</v>
      </c>
      <c r="V41" s="423">
        <f t="shared" si="9"/>
        <v>-13500</v>
      </c>
      <c r="W41" s="417">
        <f t="shared" si="9"/>
        <v>-87700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10"/>
        <v>-13500</v>
      </c>
      <c r="AF41" s="417">
        <f t="shared" si="11"/>
        <v>-87700</v>
      </c>
      <c r="AG41" s="417">
        <f t="shared" si="12"/>
        <v>-101200</v>
      </c>
      <c r="AH41" s="417">
        <v>13500</v>
      </c>
      <c r="AI41" s="417">
        <v>87700</v>
      </c>
      <c r="AJ41" s="417">
        <v>0</v>
      </c>
      <c r="AK41" s="417">
        <v>0</v>
      </c>
      <c r="AL41" s="417">
        <v>0</v>
      </c>
      <c r="AM41" s="417">
        <f t="shared" si="13"/>
        <v>13500</v>
      </c>
      <c r="AN41" s="417">
        <f t="shared" si="14"/>
        <v>87700</v>
      </c>
      <c r="AO41" s="417">
        <f t="shared" si="15"/>
        <v>101200</v>
      </c>
      <c r="AP41" s="417">
        <f t="shared" si="16"/>
        <v>0</v>
      </c>
      <c r="AQ41" s="417">
        <f t="shared" si="16"/>
        <v>0</v>
      </c>
      <c r="AR41" s="417">
        <f t="shared" si="17"/>
        <v>0</v>
      </c>
      <c r="AS41" s="68">
        <f t="shared" si="18"/>
        <v>0</v>
      </c>
      <c r="AT41" s="68">
        <f t="shared" si="19"/>
        <v>-1012</v>
      </c>
      <c r="AU41" s="417">
        <v>0</v>
      </c>
      <c r="AV41" s="417">
        <v>0</v>
      </c>
      <c r="AW41" s="417">
        <v>0</v>
      </c>
      <c r="AX41" s="417">
        <f t="shared" si="20"/>
        <v>0</v>
      </c>
      <c r="AY41" s="417">
        <f t="shared" si="21"/>
        <v>-1012</v>
      </c>
      <c r="AZ41" s="418">
        <v>-0.02</v>
      </c>
      <c r="BA41" s="418">
        <v>-0.3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22"/>
        <v>-0.02</v>
      </c>
      <c r="BJ41" s="418">
        <f t="shared" si="23"/>
        <v>-0.3</v>
      </c>
      <c r="BK41" s="420">
        <f t="shared" si="24"/>
        <v>-0.32</v>
      </c>
      <c r="BL41" s="772">
        <f>I41+AY41</f>
        <v>9367124</v>
      </c>
      <c r="BM41" s="772">
        <f>J41+AG41</f>
        <v>6811764</v>
      </c>
      <c r="BN41" s="417">
        <f t="shared" ref="BN41:BO43" si="59">K41+AE41</f>
        <v>6018133</v>
      </c>
      <c r="BO41" s="417">
        <f t="shared" si="59"/>
        <v>793631</v>
      </c>
      <c r="BP41" s="417">
        <f>M41+AO41</f>
        <v>101200</v>
      </c>
      <c r="BQ41" s="417">
        <f t="shared" ref="BQ41:BR43" si="60">N41+AM41</f>
        <v>13500</v>
      </c>
      <c r="BR41" s="417">
        <f t="shared" si="60"/>
        <v>87700</v>
      </c>
      <c r="BS41" s="417">
        <f t="shared" ref="BS41:BT43" si="61">P41+AS41</f>
        <v>2336582</v>
      </c>
      <c r="BT41" s="417">
        <f t="shared" si="61"/>
        <v>68118</v>
      </c>
      <c r="BU41" s="417">
        <f>R41+AX41</f>
        <v>49460</v>
      </c>
      <c r="BV41" s="418">
        <f>S41+BK41</f>
        <v>12.693900000000001</v>
      </c>
      <c r="BW41" s="418">
        <f t="shared" ref="BW41:BX43" si="62">T41+BI41</f>
        <v>9.98</v>
      </c>
      <c r="BX41" s="420">
        <f t="shared" si="62"/>
        <v>2.7139000000000006</v>
      </c>
      <c r="BY41" s="510"/>
      <c r="BZ41" s="414"/>
      <c r="CA41" s="414"/>
      <c r="CB41" s="414"/>
      <c r="CC41" s="414"/>
      <c r="CD41" s="509"/>
      <c r="CE41" s="1021">
        <v>397682</v>
      </c>
      <c r="CF41" s="1022">
        <v>282808</v>
      </c>
      <c r="CG41" s="1022">
        <v>95589</v>
      </c>
      <c r="CH41" s="1022">
        <v>2828</v>
      </c>
      <c r="CI41" s="1022">
        <v>16457</v>
      </c>
      <c r="CJ41" s="981">
        <v>0.96710000000000007</v>
      </c>
    </row>
    <row r="42" spans="1:88" ht="12.95" customHeight="1">
      <c r="A42" s="280">
        <v>8</v>
      </c>
      <c r="B42" s="370">
        <v>5466</v>
      </c>
      <c r="C42" s="370">
        <v>600098885</v>
      </c>
      <c r="D42" s="370">
        <v>72743794</v>
      </c>
      <c r="E42" s="371" t="s">
        <v>463</v>
      </c>
      <c r="F42" s="370">
        <v>3111</v>
      </c>
      <c r="G42" s="331" t="s">
        <v>292</v>
      </c>
      <c r="H42" s="285" t="s">
        <v>271</v>
      </c>
      <c r="I42" s="419">
        <v>272484</v>
      </c>
      <c r="J42" s="414">
        <v>202140</v>
      </c>
      <c r="K42" s="414">
        <v>202140</v>
      </c>
      <c r="L42" s="414">
        <v>0</v>
      </c>
      <c r="M42" s="414">
        <v>0</v>
      </c>
      <c r="N42" s="414">
        <v>0</v>
      </c>
      <c r="O42" s="414">
        <v>0</v>
      </c>
      <c r="P42" s="68">
        <v>68323</v>
      </c>
      <c r="Q42" s="68">
        <v>2021</v>
      </c>
      <c r="R42" s="414">
        <v>0</v>
      </c>
      <c r="S42" s="415">
        <v>0.5</v>
      </c>
      <c r="T42" s="415">
        <v>0.5</v>
      </c>
      <c r="U42" s="422">
        <v>0</v>
      </c>
      <c r="V42" s="423">
        <f t="shared" si="9"/>
        <v>0</v>
      </c>
      <c r="W42" s="417">
        <f t="shared" si="9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10"/>
        <v>0</v>
      </c>
      <c r="AF42" s="417">
        <f t="shared" si="11"/>
        <v>0</v>
      </c>
      <c r="AG42" s="417">
        <f t="shared" si="12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13"/>
        <v>0</v>
      </c>
      <c r="AN42" s="417">
        <f t="shared" si="14"/>
        <v>0</v>
      </c>
      <c r="AO42" s="417">
        <f t="shared" si="15"/>
        <v>0</v>
      </c>
      <c r="AP42" s="417">
        <f t="shared" si="16"/>
        <v>0</v>
      </c>
      <c r="AQ42" s="417">
        <f t="shared" si="16"/>
        <v>0</v>
      </c>
      <c r="AR42" s="417">
        <f t="shared" si="17"/>
        <v>0</v>
      </c>
      <c r="AS42" s="68">
        <f t="shared" si="18"/>
        <v>0</v>
      </c>
      <c r="AT42" s="68">
        <f t="shared" si="19"/>
        <v>0</v>
      </c>
      <c r="AU42" s="417">
        <v>0</v>
      </c>
      <c r="AV42" s="417">
        <v>0</v>
      </c>
      <c r="AW42" s="417">
        <v>0</v>
      </c>
      <c r="AX42" s="417">
        <f t="shared" si="20"/>
        <v>0</v>
      </c>
      <c r="AY42" s="417">
        <f t="shared" si="21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22"/>
        <v>0</v>
      </c>
      <c r="BJ42" s="418">
        <f t="shared" si="23"/>
        <v>0</v>
      </c>
      <c r="BK42" s="420">
        <f t="shared" si="24"/>
        <v>0</v>
      </c>
      <c r="BL42" s="772">
        <f>I42+AY42</f>
        <v>272484</v>
      </c>
      <c r="BM42" s="772">
        <f>J42+AG42</f>
        <v>202140</v>
      </c>
      <c r="BN42" s="417">
        <f t="shared" si="59"/>
        <v>202140</v>
      </c>
      <c r="BO42" s="417">
        <f t="shared" si="59"/>
        <v>0</v>
      </c>
      <c r="BP42" s="417">
        <f>M42+AO42</f>
        <v>0</v>
      </c>
      <c r="BQ42" s="417">
        <f t="shared" si="60"/>
        <v>0</v>
      </c>
      <c r="BR42" s="417">
        <f t="shared" si="60"/>
        <v>0</v>
      </c>
      <c r="BS42" s="417">
        <f t="shared" si="61"/>
        <v>68323</v>
      </c>
      <c r="BT42" s="417">
        <f t="shared" si="61"/>
        <v>2021</v>
      </c>
      <c r="BU42" s="417">
        <f>R42+AX42</f>
        <v>0</v>
      </c>
      <c r="BV42" s="418">
        <f>S42+BK42</f>
        <v>0.5</v>
      </c>
      <c r="BW42" s="418">
        <f t="shared" si="62"/>
        <v>0.5</v>
      </c>
      <c r="BX42" s="420">
        <f t="shared" si="62"/>
        <v>0</v>
      </c>
      <c r="BY42" s="510"/>
      <c r="BZ42" s="414"/>
      <c r="CA42" s="414"/>
      <c r="CB42" s="414"/>
      <c r="CC42" s="414"/>
      <c r="CD42" s="509"/>
      <c r="CE42" s="1021"/>
      <c r="CF42" s="1022"/>
      <c r="CG42" s="1022"/>
      <c r="CH42" s="1022"/>
      <c r="CI42" s="1022"/>
      <c r="CJ42" s="981"/>
    </row>
    <row r="43" spans="1:88" ht="12.95" customHeight="1">
      <c r="A43" s="280">
        <v>8</v>
      </c>
      <c r="B43" s="212">
        <v>5466</v>
      </c>
      <c r="C43" s="212">
        <v>600098885</v>
      </c>
      <c r="D43" s="212">
        <v>72743794</v>
      </c>
      <c r="E43" s="372" t="s">
        <v>463</v>
      </c>
      <c r="F43" s="212">
        <v>3141</v>
      </c>
      <c r="G43" s="373" t="s">
        <v>294</v>
      </c>
      <c r="H43" s="285" t="s">
        <v>272</v>
      </c>
      <c r="I43" s="419">
        <v>1142060</v>
      </c>
      <c r="J43" s="414">
        <v>753920</v>
      </c>
      <c r="K43" s="414">
        <v>0</v>
      </c>
      <c r="L43" s="414">
        <v>753920</v>
      </c>
      <c r="M43" s="414">
        <v>90000</v>
      </c>
      <c r="N43" s="414">
        <v>0</v>
      </c>
      <c r="O43" s="414">
        <v>90000</v>
      </c>
      <c r="P43" s="68">
        <v>285245</v>
      </c>
      <c r="Q43" s="68">
        <v>7539</v>
      </c>
      <c r="R43" s="414">
        <v>5356</v>
      </c>
      <c r="S43" s="415">
        <v>2.3167</v>
      </c>
      <c r="T43" s="415">
        <v>0</v>
      </c>
      <c r="U43" s="422">
        <v>2.3167</v>
      </c>
      <c r="V43" s="423">
        <f t="shared" si="9"/>
        <v>0</v>
      </c>
      <c r="W43" s="417">
        <f t="shared" si="9"/>
        <v>85200</v>
      </c>
      <c r="X43" s="417">
        <v>0</v>
      </c>
      <c r="Y43" s="417">
        <v>0</v>
      </c>
      <c r="Z43" s="417">
        <v>0</v>
      </c>
      <c r="AA43" s="417">
        <v>-7976</v>
      </c>
      <c r="AB43" s="417">
        <v>0</v>
      </c>
      <c r="AC43" s="417">
        <v>0</v>
      </c>
      <c r="AD43" s="417">
        <v>0</v>
      </c>
      <c r="AE43" s="417">
        <f t="shared" si="10"/>
        <v>0</v>
      </c>
      <c r="AF43" s="417">
        <f t="shared" si="11"/>
        <v>77224</v>
      </c>
      <c r="AG43" s="417">
        <f t="shared" si="12"/>
        <v>77224</v>
      </c>
      <c r="AH43" s="417">
        <v>0</v>
      </c>
      <c r="AI43" s="417">
        <v>-85200</v>
      </c>
      <c r="AJ43" s="417">
        <v>0</v>
      </c>
      <c r="AK43" s="417">
        <v>0</v>
      </c>
      <c r="AL43" s="417">
        <v>0</v>
      </c>
      <c r="AM43" s="417">
        <f t="shared" si="13"/>
        <v>0</v>
      </c>
      <c r="AN43" s="417">
        <f t="shared" si="14"/>
        <v>-85200</v>
      </c>
      <c r="AO43" s="417">
        <f t="shared" si="15"/>
        <v>-85200</v>
      </c>
      <c r="AP43" s="417">
        <f t="shared" si="16"/>
        <v>0</v>
      </c>
      <c r="AQ43" s="417">
        <f t="shared" si="16"/>
        <v>-7976</v>
      </c>
      <c r="AR43" s="417">
        <f t="shared" si="17"/>
        <v>-7976</v>
      </c>
      <c r="AS43" s="68">
        <f t="shared" si="18"/>
        <v>-2696</v>
      </c>
      <c r="AT43" s="68">
        <f t="shared" si="19"/>
        <v>772</v>
      </c>
      <c r="AU43" s="417">
        <v>0</v>
      </c>
      <c r="AV43" s="417">
        <v>0</v>
      </c>
      <c r="AW43" s="417">
        <v>0</v>
      </c>
      <c r="AX43" s="417">
        <f t="shared" si="20"/>
        <v>0</v>
      </c>
      <c r="AY43" s="417">
        <f t="shared" si="21"/>
        <v>-9900</v>
      </c>
      <c r="AZ43" s="418">
        <v>0</v>
      </c>
      <c r="BA43" s="418">
        <v>0.2</v>
      </c>
      <c r="BB43" s="418">
        <v>0</v>
      </c>
      <c r="BC43" s="418">
        <v>-0.02</v>
      </c>
      <c r="BD43" s="418">
        <v>-0.02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22"/>
        <v>-0.02</v>
      </c>
      <c r="BJ43" s="418">
        <f t="shared" si="23"/>
        <v>0.18000000000000002</v>
      </c>
      <c r="BK43" s="420">
        <f t="shared" si="24"/>
        <v>0.16000000000000003</v>
      </c>
      <c r="BL43" s="772">
        <f>I43+AY43</f>
        <v>1132160</v>
      </c>
      <c r="BM43" s="772">
        <f>J43+AG43</f>
        <v>831144</v>
      </c>
      <c r="BN43" s="417">
        <f t="shared" si="59"/>
        <v>0</v>
      </c>
      <c r="BO43" s="417">
        <f t="shared" si="59"/>
        <v>831144</v>
      </c>
      <c r="BP43" s="417">
        <f>M43+AO43</f>
        <v>4800</v>
      </c>
      <c r="BQ43" s="417">
        <f t="shared" si="60"/>
        <v>0</v>
      </c>
      <c r="BR43" s="417">
        <f t="shared" si="60"/>
        <v>4800</v>
      </c>
      <c r="BS43" s="417">
        <f t="shared" si="61"/>
        <v>282549</v>
      </c>
      <c r="BT43" s="417">
        <f t="shared" si="61"/>
        <v>8311</v>
      </c>
      <c r="BU43" s="417">
        <f>R43+AX43</f>
        <v>5356</v>
      </c>
      <c r="BV43" s="418">
        <f>S43+BK43</f>
        <v>2.4767000000000001</v>
      </c>
      <c r="BW43" s="418">
        <f t="shared" si="62"/>
        <v>-0.02</v>
      </c>
      <c r="BX43" s="420">
        <f t="shared" si="62"/>
        <v>2.4967000000000001</v>
      </c>
      <c r="BY43" s="510"/>
      <c r="BZ43" s="414"/>
      <c r="CA43" s="414"/>
      <c r="CB43" s="414"/>
      <c r="CC43" s="414"/>
      <c r="CD43" s="509"/>
      <c r="CE43" s="1021"/>
      <c r="CF43" s="1022"/>
      <c r="CG43" s="1022"/>
      <c r="CH43" s="1022"/>
      <c r="CI43" s="1022"/>
      <c r="CJ43" s="981"/>
    </row>
    <row r="44" spans="1:88" ht="12.95" customHeight="1">
      <c r="A44" s="213">
        <v>8</v>
      </c>
      <c r="B44" s="45">
        <v>5466</v>
      </c>
      <c r="C44" s="45">
        <v>600098885</v>
      </c>
      <c r="D44" s="45">
        <v>72743794</v>
      </c>
      <c r="E44" s="374" t="s">
        <v>464</v>
      </c>
      <c r="F44" s="45"/>
      <c r="G44" s="374"/>
      <c r="H44" s="182"/>
      <c r="I44" s="464">
        <v>10782680</v>
      </c>
      <c r="J44" s="460">
        <v>7869024</v>
      </c>
      <c r="K44" s="460">
        <v>6233773</v>
      </c>
      <c r="L44" s="460">
        <v>1635251</v>
      </c>
      <c r="M44" s="460">
        <v>90000</v>
      </c>
      <c r="N44" s="460">
        <v>0</v>
      </c>
      <c r="O44" s="460">
        <v>90000</v>
      </c>
      <c r="P44" s="460">
        <v>2690150</v>
      </c>
      <c r="Q44" s="460">
        <v>78690</v>
      </c>
      <c r="R44" s="460">
        <v>54816</v>
      </c>
      <c r="S44" s="461">
        <v>15.8306</v>
      </c>
      <c r="T44" s="461">
        <v>10.5</v>
      </c>
      <c r="U44" s="534">
        <v>5.3306000000000004</v>
      </c>
      <c r="V44" s="464">
        <f t="shared" ref="V44:BK44" si="63">SUM(V41:V43)</f>
        <v>-13500</v>
      </c>
      <c r="W44" s="460">
        <f t="shared" si="63"/>
        <v>-2500</v>
      </c>
      <c r="X44" s="460">
        <f t="shared" si="63"/>
        <v>0</v>
      </c>
      <c r="Y44" s="460">
        <f t="shared" si="63"/>
        <v>0</v>
      </c>
      <c r="Z44" s="460">
        <f t="shared" si="63"/>
        <v>0</v>
      </c>
      <c r="AA44" s="460">
        <f t="shared" si="63"/>
        <v>-7976</v>
      </c>
      <c r="AB44" s="460">
        <f t="shared" si="63"/>
        <v>0</v>
      </c>
      <c r="AC44" s="460">
        <f t="shared" si="63"/>
        <v>0</v>
      </c>
      <c r="AD44" s="460">
        <f t="shared" si="63"/>
        <v>0</v>
      </c>
      <c r="AE44" s="460">
        <f t="shared" si="63"/>
        <v>-13500</v>
      </c>
      <c r="AF44" s="460">
        <f t="shared" si="63"/>
        <v>-10476</v>
      </c>
      <c r="AG44" s="460">
        <f t="shared" si="63"/>
        <v>-23976</v>
      </c>
      <c r="AH44" s="460">
        <f t="shared" si="63"/>
        <v>13500</v>
      </c>
      <c r="AI44" s="460">
        <f t="shared" si="63"/>
        <v>2500</v>
      </c>
      <c r="AJ44" s="460">
        <f t="shared" si="63"/>
        <v>0</v>
      </c>
      <c r="AK44" s="460">
        <f t="shared" si="63"/>
        <v>0</v>
      </c>
      <c r="AL44" s="460">
        <f t="shared" si="63"/>
        <v>0</v>
      </c>
      <c r="AM44" s="460">
        <f t="shared" si="63"/>
        <v>13500</v>
      </c>
      <c r="AN44" s="460">
        <f t="shared" si="63"/>
        <v>2500</v>
      </c>
      <c r="AO44" s="460">
        <f t="shared" si="63"/>
        <v>16000</v>
      </c>
      <c r="AP44" s="460">
        <f t="shared" si="63"/>
        <v>0</v>
      </c>
      <c r="AQ44" s="460">
        <f t="shared" si="63"/>
        <v>-7976</v>
      </c>
      <c r="AR44" s="460">
        <f t="shared" si="63"/>
        <v>-7976</v>
      </c>
      <c r="AS44" s="460">
        <f t="shared" si="63"/>
        <v>-2696</v>
      </c>
      <c r="AT44" s="460">
        <f t="shared" si="63"/>
        <v>-240</v>
      </c>
      <c r="AU44" s="460">
        <f t="shared" si="63"/>
        <v>0</v>
      </c>
      <c r="AV44" s="460">
        <f t="shared" si="63"/>
        <v>0</v>
      </c>
      <c r="AW44" s="460">
        <f t="shared" si="63"/>
        <v>0</v>
      </c>
      <c r="AX44" s="460">
        <f t="shared" si="63"/>
        <v>0</v>
      </c>
      <c r="AY44" s="460">
        <f t="shared" si="63"/>
        <v>-10912</v>
      </c>
      <c r="AZ44" s="461">
        <f t="shared" si="63"/>
        <v>-0.02</v>
      </c>
      <c r="BA44" s="461">
        <f t="shared" si="63"/>
        <v>-9.9999999999999978E-2</v>
      </c>
      <c r="BB44" s="461">
        <f t="shared" si="63"/>
        <v>0</v>
      </c>
      <c r="BC44" s="461">
        <f t="shared" si="63"/>
        <v>-0.02</v>
      </c>
      <c r="BD44" s="461">
        <f t="shared" si="63"/>
        <v>-0.02</v>
      </c>
      <c r="BE44" s="461">
        <f t="shared" si="63"/>
        <v>0</v>
      </c>
      <c r="BF44" s="461">
        <f t="shared" si="63"/>
        <v>0</v>
      </c>
      <c r="BG44" s="461">
        <f t="shared" si="63"/>
        <v>0</v>
      </c>
      <c r="BH44" s="461">
        <f t="shared" si="63"/>
        <v>0</v>
      </c>
      <c r="BI44" s="461">
        <f t="shared" si="63"/>
        <v>-0.04</v>
      </c>
      <c r="BJ44" s="461">
        <f t="shared" si="63"/>
        <v>-0.11999999999999997</v>
      </c>
      <c r="BK44" s="279">
        <f t="shared" si="63"/>
        <v>-0.15999999999999998</v>
      </c>
      <c r="BL44" s="1075">
        <f t="shared" ref="BL44:CG44" si="64">SUM(BL41:BL43)</f>
        <v>10771768</v>
      </c>
      <c r="BM44" s="1075">
        <f t="shared" si="64"/>
        <v>7845048</v>
      </c>
      <c r="BN44" s="460">
        <f t="shared" si="64"/>
        <v>6220273</v>
      </c>
      <c r="BO44" s="460">
        <f t="shared" si="64"/>
        <v>1624775</v>
      </c>
      <c r="BP44" s="460">
        <f t="shared" si="64"/>
        <v>106000</v>
      </c>
      <c r="BQ44" s="460">
        <f t="shared" si="64"/>
        <v>13500</v>
      </c>
      <c r="BR44" s="460">
        <f t="shared" si="64"/>
        <v>92500</v>
      </c>
      <c r="BS44" s="460">
        <f t="shared" si="64"/>
        <v>2687454</v>
      </c>
      <c r="BT44" s="460">
        <f t="shared" si="64"/>
        <v>78450</v>
      </c>
      <c r="BU44" s="460">
        <f t="shared" si="64"/>
        <v>54816</v>
      </c>
      <c r="BV44" s="461">
        <f t="shared" si="64"/>
        <v>15.6706</v>
      </c>
      <c r="BW44" s="461">
        <f t="shared" si="64"/>
        <v>10.46</v>
      </c>
      <c r="BX44" s="279">
        <f t="shared" si="64"/>
        <v>5.2106000000000012</v>
      </c>
      <c r="BY44" s="940">
        <f t="shared" si="64"/>
        <v>0</v>
      </c>
      <c r="BZ44" s="707">
        <f t="shared" si="64"/>
        <v>0</v>
      </c>
      <c r="CA44" s="707">
        <f t="shared" si="64"/>
        <v>0</v>
      </c>
      <c r="CB44" s="707">
        <f t="shared" si="64"/>
        <v>0</v>
      </c>
      <c r="CC44" s="707">
        <f t="shared" si="64"/>
        <v>0</v>
      </c>
      <c r="CD44" s="819">
        <f t="shared" si="64"/>
        <v>0</v>
      </c>
      <c r="CE44" s="1024">
        <f t="shared" si="64"/>
        <v>397682</v>
      </c>
      <c r="CF44" s="1024">
        <f t="shared" si="64"/>
        <v>282808</v>
      </c>
      <c r="CG44" s="1024">
        <f t="shared" si="64"/>
        <v>95589</v>
      </c>
      <c r="CH44" s="1024">
        <f t="shared" ref="CH44:CJ44" si="65">SUM(CH41:CH43)</f>
        <v>2828</v>
      </c>
      <c r="CI44" s="1024">
        <f t="shared" si="65"/>
        <v>16457</v>
      </c>
      <c r="CJ44" s="933">
        <f t="shared" si="65"/>
        <v>0.96710000000000007</v>
      </c>
    </row>
    <row r="45" spans="1:88" ht="12.95" customHeight="1">
      <c r="A45" s="280">
        <v>9</v>
      </c>
      <c r="B45" s="212">
        <v>5702</v>
      </c>
      <c r="C45" s="212">
        <v>600099547</v>
      </c>
      <c r="D45" s="212">
        <v>855022</v>
      </c>
      <c r="E45" s="371" t="s">
        <v>465</v>
      </c>
      <c r="F45" s="382">
        <v>3233</v>
      </c>
      <c r="G45" s="371" t="s">
        <v>386</v>
      </c>
      <c r="H45" s="285" t="s">
        <v>272</v>
      </c>
      <c r="I45" s="419">
        <v>5044966</v>
      </c>
      <c r="J45" s="414">
        <v>3737358</v>
      </c>
      <c r="K45" s="414">
        <v>2719494</v>
      </c>
      <c r="L45" s="414">
        <v>1017864</v>
      </c>
      <c r="M45" s="414">
        <v>0</v>
      </c>
      <c r="N45" s="414">
        <v>0</v>
      </c>
      <c r="O45" s="414">
        <v>0</v>
      </c>
      <c r="P45" s="68">
        <v>1263227</v>
      </c>
      <c r="Q45" s="68">
        <v>37374</v>
      </c>
      <c r="R45" s="414">
        <v>7007</v>
      </c>
      <c r="S45" s="415">
        <v>8.19</v>
      </c>
      <c r="T45" s="416">
        <v>4.92</v>
      </c>
      <c r="U45" s="422">
        <v>3.2700000000000005</v>
      </c>
      <c r="V45" s="423">
        <f t="shared" si="9"/>
        <v>-150000</v>
      </c>
      <c r="W45" s="417">
        <f t="shared" si="9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10"/>
        <v>-150000</v>
      </c>
      <c r="AF45" s="417">
        <f t="shared" si="11"/>
        <v>0</v>
      </c>
      <c r="AG45" s="417">
        <f t="shared" si="12"/>
        <v>-150000</v>
      </c>
      <c r="AH45" s="417">
        <v>150000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13"/>
        <v>150000</v>
      </c>
      <c r="AN45" s="417">
        <f t="shared" si="14"/>
        <v>0</v>
      </c>
      <c r="AO45" s="417">
        <f t="shared" si="15"/>
        <v>150000</v>
      </c>
      <c r="AP45" s="417">
        <f t="shared" si="16"/>
        <v>0</v>
      </c>
      <c r="AQ45" s="417">
        <f t="shared" si="16"/>
        <v>0</v>
      </c>
      <c r="AR45" s="417">
        <f t="shared" si="17"/>
        <v>0</v>
      </c>
      <c r="AS45" s="68">
        <f t="shared" si="18"/>
        <v>0</v>
      </c>
      <c r="AT45" s="68">
        <f t="shared" si="19"/>
        <v>-1500</v>
      </c>
      <c r="AU45" s="417">
        <v>0</v>
      </c>
      <c r="AV45" s="417">
        <v>0</v>
      </c>
      <c r="AW45" s="417">
        <v>0</v>
      </c>
      <c r="AX45" s="417">
        <f t="shared" si="20"/>
        <v>0</v>
      </c>
      <c r="AY45" s="417">
        <f t="shared" si="21"/>
        <v>-1500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22"/>
        <v>0</v>
      </c>
      <c r="BJ45" s="418">
        <f t="shared" si="23"/>
        <v>0</v>
      </c>
      <c r="BK45" s="420">
        <f t="shared" si="24"/>
        <v>0</v>
      </c>
      <c r="BL45" s="772">
        <f>I45+AY45</f>
        <v>5043466</v>
      </c>
      <c r="BM45" s="772">
        <f>J45+AG45</f>
        <v>3587358</v>
      </c>
      <c r="BN45" s="417">
        <f>K45+AE45</f>
        <v>2569494</v>
      </c>
      <c r="BO45" s="417">
        <f>L45+AF45</f>
        <v>1017864</v>
      </c>
      <c r="BP45" s="417">
        <f>M45+AO45</f>
        <v>150000</v>
      </c>
      <c r="BQ45" s="417">
        <f>N45+AM45</f>
        <v>150000</v>
      </c>
      <c r="BR45" s="417">
        <f>O45+AN45</f>
        <v>0</v>
      </c>
      <c r="BS45" s="417">
        <f>P45+AS45</f>
        <v>1263227</v>
      </c>
      <c r="BT45" s="417">
        <f>Q45+AT45</f>
        <v>35874</v>
      </c>
      <c r="BU45" s="417">
        <f>R45+AX45</f>
        <v>7007</v>
      </c>
      <c r="BV45" s="418">
        <f>S45+BK45</f>
        <v>8.19</v>
      </c>
      <c r="BW45" s="418">
        <f>T45+BI45</f>
        <v>4.92</v>
      </c>
      <c r="BX45" s="420">
        <f>U45+BJ45</f>
        <v>3.2700000000000005</v>
      </c>
      <c r="BY45" s="510"/>
      <c r="BZ45" s="414"/>
      <c r="CA45" s="414"/>
      <c r="CB45" s="414"/>
      <c r="CC45" s="414"/>
      <c r="CD45" s="509"/>
      <c r="CE45" s="1021"/>
      <c r="CF45" s="1022"/>
      <c r="CG45" s="1022"/>
      <c r="CH45" s="1022"/>
      <c r="CI45" s="1022"/>
      <c r="CJ45" s="981"/>
    </row>
    <row r="46" spans="1:88" ht="12.95" customHeight="1">
      <c r="A46" s="213">
        <v>9</v>
      </c>
      <c r="B46" s="45">
        <v>5702</v>
      </c>
      <c r="C46" s="45">
        <v>600099547</v>
      </c>
      <c r="D46" s="45">
        <v>855022</v>
      </c>
      <c r="E46" s="383" t="s">
        <v>466</v>
      </c>
      <c r="F46" s="384"/>
      <c r="G46" s="383"/>
      <c r="H46" s="385"/>
      <c r="I46" s="486">
        <v>5044966</v>
      </c>
      <c r="J46" s="482">
        <v>3737358</v>
      </c>
      <c r="K46" s="482">
        <v>2719494</v>
      </c>
      <c r="L46" s="482">
        <v>1017864</v>
      </c>
      <c r="M46" s="482">
        <v>0</v>
      </c>
      <c r="N46" s="482">
        <v>0</v>
      </c>
      <c r="O46" s="482">
        <v>0</v>
      </c>
      <c r="P46" s="482">
        <v>1263227</v>
      </c>
      <c r="Q46" s="482">
        <v>37374</v>
      </c>
      <c r="R46" s="482">
        <v>7007</v>
      </c>
      <c r="S46" s="483">
        <v>8.19</v>
      </c>
      <c r="T46" s="483">
        <v>4.92</v>
      </c>
      <c r="U46" s="651">
        <v>3.2700000000000005</v>
      </c>
      <c r="V46" s="486">
        <f t="shared" ref="V46:BK46" si="66">SUM(V45)</f>
        <v>-150000</v>
      </c>
      <c r="W46" s="482">
        <f t="shared" si="66"/>
        <v>0</v>
      </c>
      <c r="X46" s="482">
        <f t="shared" si="66"/>
        <v>0</v>
      </c>
      <c r="Y46" s="482">
        <f t="shared" si="66"/>
        <v>0</v>
      </c>
      <c r="Z46" s="482">
        <f t="shared" si="66"/>
        <v>0</v>
      </c>
      <c r="AA46" s="482">
        <f t="shared" si="66"/>
        <v>0</v>
      </c>
      <c r="AB46" s="482">
        <f t="shared" si="66"/>
        <v>0</v>
      </c>
      <c r="AC46" s="482">
        <f t="shared" si="66"/>
        <v>0</v>
      </c>
      <c r="AD46" s="482">
        <f t="shared" si="66"/>
        <v>0</v>
      </c>
      <c r="AE46" s="482">
        <f t="shared" si="66"/>
        <v>-150000</v>
      </c>
      <c r="AF46" s="482">
        <f t="shared" si="66"/>
        <v>0</v>
      </c>
      <c r="AG46" s="482">
        <f t="shared" si="66"/>
        <v>-150000</v>
      </c>
      <c r="AH46" s="482">
        <f t="shared" si="66"/>
        <v>150000</v>
      </c>
      <c r="AI46" s="482">
        <f t="shared" si="66"/>
        <v>0</v>
      </c>
      <c r="AJ46" s="482">
        <f t="shared" si="66"/>
        <v>0</v>
      </c>
      <c r="AK46" s="482">
        <f t="shared" si="66"/>
        <v>0</v>
      </c>
      <c r="AL46" s="482">
        <f t="shared" si="66"/>
        <v>0</v>
      </c>
      <c r="AM46" s="482">
        <f t="shared" si="66"/>
        <v>150000</v>
      </c>
      <c r="AN46" s="482">
        <f t="shared" si="66"/>
        <v>0</v>
      </c>
      <c r="AO46" s="482">
        <f t="shared" si="66"/>
        <v>150000</v>
      </c>
      <c r="AP46" s="482">
        <f t="shared" si="66"/>
        <v>0</v>
      </c>
      <c r="AQ46" s="482">
        <f t="shared" si="66"/>
        <v>0</v>
      </c>
      <c r="AR46" s="482">
        <f t="shared" si="66"/>
        <v>0</v>
      </c>
      <c r="AS46" s="482">
        <f t="shared" si="66"/>
        <v>0</v>
      </c>
      <c r="AT46" s="482">
        <f t="shared" si="66"/>
        <v>-1500</v>
      </c>
      <c r="AU46" s="482">
        <f t="shared" si="66"/>
        <v>0</v>
      </c>
      <c r="AV46" s="482">
        <f t="shared" si="66"/>
        <v>0</v>
      </c>
      <c r="AW46" s="482">
        <f t="shared" si="66"/>
        <v>0</v>
      </c>
      <c r="AX46" s="482">
        <f t="shared" si="66"/>
        <v>0</v>
      </c>
      <c r="AY46" s="482">
        <f t="shared" si="66"/>
        <v>-1500</v>
      </c>
      <c r="AZ46" s="483">
        <f t="shared" si="66"/>
        <v>0</v>
      </c>
      <c r="BA46" s="483">
        <f t="shared" si="66"/>
        <v>0</v>
      </c>
      <c r="BB46" s="483">
        <f t="shared" si="66"/>
        <v>0</v>
      </c>
      <c r="BC46" s="483">
        <f t="shared" si="66"/>
        <v>0</v>
      </c>
      <c r="BD46" s="483">
        <f t="shared" si="66"/>
        <v>0</v>
      </c>
      <c r="BE46" s="483">
        <f t="shared" si="66"/>
        <v>0</v>
      </c>
      <c r="BF46" s="483">
        <f t="shared" si="66"/>
        <v>0</v>
      </c>
      <c r="BG46" s="483">
        <f t="shared" si="66"/>
        <v>0</v>
      </c>
      <c r="BH46" s="483">
        <f t="shared" si="66"/>
        <v>0</v>
      </c>
      <c r="BI46" s="483">
        <f t="shared" si="66"/>
        <v>0</v>
      </c>
      <c r="BJ46" s="483">
        <f t="shared" si="66"/>
        <v>0</v>
      </c>
      <c r="BK46" s="375">
        <f t="shared" si="66"/>
        <v>0</v>
      </c>
      <c r="BL46" s="1074">
        <f t="shared" ref="BL46:CG46" si="67">SUM(BL45)</f>
        <v>5043466</v>
      </c>
      <c r="BM46" s="1074">
        <f t="shared" si="67"/>
        <v>3587358</v>
      </c>
      <c r="BN46" s="482">
        <f t="shared" si="67"/>
        <v>2569494</v>
      </c>
      <c r="BO46" s="482">
        <f t="shared" si="67"/>
        <v>1017864</v>
      </c>
      <c r="BP46" s="482">
        <f t="shared" si="67"/>
        <v>150000</v>
      </c>
      <c r="BQ46" s="482">
        <f t="shared" si="67"/>
        <v>150000</v>
      </c>
      <c r="BR46" s="482">
        <f t="shared" si="67"/>
        <v>0</v>
      </c>
      <c r="BS46" s="482">
        <f t="shared" si="67"/>
        <v>1263227</v>
      </c>
      <c r="BT46" s="482">
        <f t="shared" si="67"/>
        <v>35874</v>
      </c>
      <c r="BU46" s="482">
        <f t="shared" si="67"/>
        <v>7007</v>
      </c>
      <c r="BV46" s="483">
        <f t="shared" si="67"/>
        <v>8.19</v>
      </c>
      <c r="BW46" s="483">
        <f t="shared" si="67"/>
        <v>4.92</v>
      </c>
      <c r="BX46" s="375">
        <f t="shared" si="67"/>
        <v>3.2700000000000005</v>
      </c>
      <c r="BY46" s="939">
        <f t="shared" si="67"/>
        <v>0</v>
      </c>
      <c r="BZ46" s="727">
        <f t="shared" si="67"/>
        <v>0</v>
      </c>
      <c r="CA46" s="727">
        <f t="shared" si="67"/>
        <v>0</v>
      </c>
      <c r="CB46" s="727">
        <f t="shared" si="67"/>
        <v>0</v>
      </c>
      <c r="CC46" s="727">
        <f t="shared" si="67"/>
        <v>0</v>
      </c>
      <c r="CD46" s="833">
        <f t="shared" si="67"/>
        <v>0</v>
      </c>
      <c r="CE46" s="1023">
        <f t="shared" si="67"/>
        <v>0</v>
      </c>
      <c r="CF46" s="1023">
        <f t="shared" si="67"/>
        <v>0</v>
      </c>
      <c r="CG46" s="1023">
        <f t="shared" si="67"/>
        <v>0</v>
      </c>
      <c r="CH46" s="1023">
        <f t="shared" ref="CH46:CJ46" si="68">SUM(CH45)</f>
        <v>0</v>
      </c>
      <c r="CI46" s="1023">
        <f t="shared" si="68"/>
        <v>0</v>
      </c>
      <c r="CJ46" s="934">
        <f t="shared" si="68"/>
        <v>0</v>
      </c>
    </row>
    <row r="47" spans="1:88" ht="12.95" customHeight="1">
      <c r="A47" s="280">
        <v>10</v>
      </c>
      <c r="B47" s="212">
        <v>5458</v>
      </c>
      <c r="C47" s="212">
        <v>600099288</v>
      </c>
      <c r="D47" s="212">
        <v>856126</v>
      </c>
      <c r="E47" s="372" t="s">
        <v>467</v>
      </c>
      <c r="F47" s="212">
        <v>3113</v>
      </c>
      <c r="G47" s="372" t="s">
        <v>308</v>
      </c>
      <c r="H47" s="285" t="s">
        <v>271</v>
      </c>
      <c r="I47" s="419">
        <v>43596117</v>
      </c>
      <c r="J47" s="414">
        <v>31682572</v>
      </c>
      <c r="K47" s="414">
        <v>28885207</v>
      </c>
      <c r="L47" s="414">
        <v>2797365</v>
      </c>
      <c r="M47" s="414">
        <v>120000</v>
      </c>
      <c r="N47" s="414">
        <v>90000</v>
      </c>
      <c r="O47" s="414">
        <v>30000</v>
      </c>
      <c r="P47" s="68">
        <v>10749269</v>
      </c>
      <c r="Q47" s="68">
        <v>316826</v>
      </c>
      <c r="R47" s="414">
        <v>727450</v>
      </c>
      <c r="S47" s="415">
        <v>47.662700000000001</v>
      </c>
      <c r="T47" s="415">
        <v>39.0032</v>
      </c>
      <c r="U47" s="422">
        <v>8.6594999999999995</v>
      </c>
      <c r="V47" s="423">
        <f t="shared" si="9"/>
        <v>0</v>
      </c>
      <c r="W47" s="417">
        <f t="shared" si="9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10"/>
        <v>0</v>
      </c>
      <c r="AF47" s="417">
        <f t="shared" si="11"/>
        <v>0</v>
      </c>
      <c r="AG47" s="417">
        <f t="shared" si="12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13"/>
        <v>0</v>
      </c>
      <c r="AN47" s="417">
        <f t="shared" si="14"/>
        <v>0</v>
      </c>
      <c r="AO47" s="417">
        <f t="shared" si="15"/>
        <v>0</v>
      </c>
      <c r="AP47" s="417">
        <f t="shared" si="16"/>
        <v>0</v>
      </c>
      <c r="AQ47" s="417">
        <f t="shared" si="16"/>
        <v>0</v>
      </c>
      <c r="AR47" s="417">
        <f t="shared" si="17"/>
        <v>0</v>
      </c>
      <c r="AS47" s="68">
        <f t="shared" si="18"/>
        <v>0</v>
      </c>
      <c r="AT47" s="68">
        <f t="shared" si="19"/>
        <v>0</v>
      </c>
      <c r="AU47" s="417">
        <v>0</v>
      </c>
      <c r="AV47" s="417">
        <v>0</v>
      </c>
      <c r="AW47" s="417">
        <v>0</v>
      </c>
      <c r="AX47" s="417">
        <f t="shared" si="20"/>
        <v>0</v>
      </c>
      <c r="AY47" s="417">
        <f t="shared" si="21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22"/>
        <v>0</v>
      </c>
      <c r="BJ47" s="418">
        <f t="shared" si="23"/>
        <v>0</v>
      </c>
      <c r="BK47" s="420">
        <f t="shared" si="24"/>
        <v>0</v>
      </c>
      <c r="BL47" s="772">
        <f>I47+AY47</f>
        <v>43596117</v>
      </c>
      <c r="BM47" s="772">
        <f>J47+AG47</f>
        <v>31682572</v>
      </c>
      <c r="BN47" s="417">
        <f t="shared" ref="BN47:BO51" si="69">K47+AE47</f>
        <v>28885207</v>
      </c>
      <c r="BO47" s="417">
        <f t="shared" si="69"/>
        <v>2797365</v>
      </c>
      <c r="BP47" s="417">
        <f>M47+AO47</f>
        <v>120000</v>
      </c>
      <c r="BQ47" s="417">
        <f t="shared" ref="BQ47:BR51" si="70">N47+AM47</f>
        <v>90000</v>
      </c>
      <c r="BR47" s="417">
        <f t="shared" si="70"/>
        <v>30000</v>
      </c>
      <c r="BS47" s="417">
        <f t="shared" ref="BS47:BT51" si="71">P47+AS47</f>
        <v>10749269</v>
      </c>
      <c r="BT47" s="417">
        <f t="shared" si="71"/>
        <v>316826</v>
      </c>
      <c r="BU47" s="417">
        <f>R47+AX47</f>
        <v>727450</v>
      </c>
      <c r="BV47" s="418">
        <f>S47+BK47</f>
        <v>47.662700000000001</v>
      </c>
      <c r="BW47" s="418">
        <f t="shared" ref="BW47:BX51" si="72">T47+BI47</f>
        <v>39.0032</v>
      </c>
      <c r="BX47" s="420">
        <f t="shared" si="72"/>
        <v>8.6594999999999995</v>
      </c>
      <c r="BY47" s="510">
        <v>760272</v>
      </c>
      <c r="BZ47" s="414">
        <v>564000</v>
      </c>
      <c r="CA47" s="414">
        <v>0</v>
      </c>
      <c r="CB47" s="414">
        <v>190632</v>
      </c>
      <c r="CC47" s="414">
        <v>5640</v>
      </c>
      <c r="CD47" s="509">
        <v>1</v>
      </c>
      <c r="CE47" s="1026">
        <v>1407455</v>
      </c>
      <c r="CF47" s="1022">
        <v>907474</v>
      </c>
      <c r="CG47" s="1022">
        <v>306726</v>
      </c>
      <c r="CH47" s="1022">
        <v>9075</v>
      </c>
      <c r="CI47" s="1022">
        <v>184180</v>
      </c>
      <c r="CJ47" s="981">
        <v>2.7795000000000001</v>
      </c>
    </row>
    <row r="48" spans="1:88" ht="12.95" customHeight="1">
      <c r="A48" s="280">
        <v>10</v>
      </c>
      <c r="B48" s="212">
        <v>5458</v>
      </c>
      <c r="C48" s="212">
        <v>600099288</v>
      </c>
      <c r="D48" s="212">
        <v>856126</v>
      </c>
      <c r="E48" s="372" t="s">
        <v>467</v>
      </c>
      <c r="F48" s="212">
        <v>3113</v>
      </c>
      <c r="G48" s="323" t="s">
        <v>291</v>
      </c>
      <c r="H48" s="285" t="s">
        <v>272</v>
      </c>
      <c r="I48" s="419">
        <v>4399074</v>
      </c>
      <c r="J48" s="414">
        <v>3262295</v>
      </c>
      <c r="K48" s="414">
        <v>3262295</v>
      </c>
      <c r="L48" s="414">
        <v>0</v>
      </c>
      <c r="M48" s="414">
        <v>0</v>
      </c>
      <c r="N48" s="414">
        <v>0</v>
      </c>
      <c r="O48" s="414">
        <v>0</v>
      </c>
      <c r="P48" s="68">
        <v>1102656</v>
      </c>
      <c r="Q48" s="68">
        <v>32623</v>
      </c>
      <c r="R48" s="414">
        <v>1500</v>
      </c>
      <c r="S48" s="415">
        <v>8.52</v>
      </c>
      <c r="T48" s="415">
        <v>8.52</v>
      </c>
      <c r="U48" s="422">
        <v>0</v>
      </c>
      <c r="V48" s="423">
        <f t="shared" si="9"/>
        <v>0</v>
      </c>
      <c r="W48" s="417">
        <f t="shared" si="9"/>
        <v>0</v>
      </c>
      <c r="X48" s="417">
        <v>-6190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10"/>
        <v>-6190</v>
      </c>
      <c r="AF48" s="417">
        <f t="shared" si="11"/>
        <v>0</v>
      </c>
      <c r="AG48" s="417">
        <f t="shared" si="12"/>
        <v>-6190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13"/>
        <v>0</v>
      </c>
      <c r="AN48" s="417">
        <f t="shared" si="14"/>
        <v>0</v>
      </c>
      <c r="AO48" s="417">
        <f t="shared" si="15"/>
        <v>0</v>
      </c>
      <c r="AP48" s="417">
        <f t="shared" si="16"/>
        <v>-6190</v>
      </c>
      <c r="AQ48" s="417">
        <f t="shared" si="16"/>
        <v>0</v>
      </c>
      <c r="AR48" s="417">
        <f t="shared" si="17"/>
        <v>-6190</v>
      </c>
      <c r="AS48" s="68">
        <f t="shared" si="18"/>
        <v>-2092</v>
      </c>
      <c r="AT48" s="68">
        <f t="shared" si="19"/>
        <v>-62</v>
      </c>
      <c r="AU48" s="417">
        <v>0</v>
      </c>
      <c r="AV48" s="417">
        <v>0</v>
      </c>
      <c r="AW48" s="417">
        <v>0</v>
      </c>
      <c r="AX48" s="417">
        <f t="shared" si="20"/>
        <v>0</v>
      </c>
      <c r="AY48" s="417">
        <f t="shared" si="21"/>
        <v>-8344</v>
      </c>
      <c r="AZ48" s="418">
        <v>0</v>
      </c>
      <c r="BA48" s="418">
        <v>0</v>
      </c>
      <c r="BB48" s="418">
        <v>-0.01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22"/>
        <v>-0.01</v>
      </c>
      <c r="BJ48" s="418">
        <f t="shared" si="23"/>
        <v>0</v>
      </c>
      <c r="BK48" s="420">
        <f t="shared" si="24"/>
        <v>-0.01</v>
      </c>
      <c r="BL48" s="772">
        <f>I48+AY48</f>
        <v>4390730</v>
      </c>
      <c r="BM48" s="772">
        <f>J48+AG48</f>
        <v>3256105</v>
      </c>
      <c r="BN48" s="417">
        <f t="shared" si="69"/>
        <v>3256105</v>
      </c>
      <c r="BO48" s="417">
        <f t="shared" si="69"/>
        <v>0</v>
      </c>
      <c r="BP48" s="417">
        <f>M48+AO48</f>
        <v>0</v>
      </c>
      <c r="BQ48" s="417">
        <f t="shared" si="70"/>
        <v>0</v>
      </c>
      <c r="BR48" s="417">
        <f t="shared" si="70"/>
        <v>0</v>
      </c>
      <c r="BS48" s="417">
        <f t="shared" si="71"/>
        <v>1100564</v>
      </c>
      <c r="BT48" s="417">
        <f t="shared" si="71"/>
        <v>32561</v>
      </c>
      <c r="BU48" s="417">
        <f>R48+AX48</f>
        <v>1500</v>
      </c>
      <c r="BV48" s="418">
        <f>S48+BK48</f>
        <v>8.51</v>
      </c>
      <c r="BW48" s="418">
        <f t="shared" si="72"/>
        <v>8.51</v>
      </c>
      <c r="BX48" s="420">
        <f t="shared" si="72"/>
        <v>0</v>
      </c>
      <c r="BY48" s="510"/>
      <c r="BZ48" s="414"/>
      <c r="CA48" s="414"/>
      <c r="CB48" s="414"/>
      <c r="CC48" s="414"/>
      <c r="CD48" s="509"/>
      <c r="CE48" s="1021"/>
      <c r="CF48" s="1022"/>
      <c r="CG48" s="1022"/>
      <c r="CH48" s="1022"/>
      <c r="CI48" s="1022"/>
      <c r="CJ48" s="981"/>
    </row>
    <row r="49" spans="1:88" ht="12.95" customHeight="1">
      <c r="A49" s="280">
        <v>10</v>
      </c>
      <c r="B49" s="212">
        <v>5458</v>
      </c>
      <c r="C49" s="212">
        <v>600099288</v>
      </c>
      <c r="D49" s="212">
        <v>856126</v>
      </c>
      <c r="E49" s="371" t="s">
        <v>467</v>
      </c>
      <c r="F49" s="382">
        <v>3141</v>
      </c>
      <c r="G49" s="373" t="s">
        <v>294</v>
      </c>
      <c r="H49" s="285" t="s">
        <v>272</v>
      </c>
      <c r="I49" s="419">
        <v>3597969</v>
      </c>
      <c r="J49" s="414">
        <v>2636740</v>
      </c>
      <c r="K49" s="414">
        <v>0</v>
      </c>
      <c r="L49" s="414">
        <v>2636740</v>
      </c>
      <c r="M49" s="414">
        <v>10000</v>
      </c>
      <c r="N49" s="414">
        <v>0</v>
      </c>
      <c r="O49" s="414">
        <v>10000</v>
      </c>
      <c r="P49" s="68">
        <v>894598</v>
      </c>
      <c r="Q49" s="68">
        <v>26367</v>
      </c>
      <c r="R49" s="414">
        <v>30264</v>
      </c>
      <c r="S49" s="415">
        <v>7.9433000000000007</v>
      </c>
      <c r="T49" s="415">
        <v>0</v>
      </c>
      <c r="U49" s="422">
        <v>7.9433000000000007</v>
      </c>
      <c r="V49" s="423">
        <f t="shared" si="9"/>
        <v>0</v>
      </c>
      <c r="W49" s="417">
        <f t="shared" si="9"/>
        <v>0</v>
      </c>
      <c r="X49" s="417">
        <v>0</v>
      </c>
      <c r="Y49" s="417">
        <v>0</v>
      </c>
      <c r="Z49" s="417">
        <v>0</v>
      </c>
      <c r="AA49" s="417">
        <v>-17065</v>
      </c>
      <c r="AB49" s="417">
        <v>0</v>
      </c>
      <c r="AC49" s="417">
        <v>0</v>
      </c>
      <c r="AD49" s="417">
        <v>0</v>
      </c>
      <c r="AE49" s="417">
        <f t="shared" si="10"/>
        <v>0</v>
      </c>
      <c r="AF49" s="417">
        <f t="shared" si="11"/>
        <v>-17065</v>
      </c>
      <c r="AG49" s="417">
        <f t="shared" si="12"/>
        <v>-17065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13"/>
        <v>0</v>
      </c>
      <c r="AN49" s="417">
        <f t="shared" si="14"/>
        <v>0</v>
      </c>
      <c r="AO49" s="417">
        <f t="shared" si="15"/>
        <v>0</v>
      </c>
      <c r="AP49" s="417">
        <f t="shared" si="16"/>
        <v>0</v>
      </c>
      <c r="AQ49" s="417">
        <f t="shared" si="16"/>
        <v>-17065</v>
      </c>
      <c r="AR49" s="417">
        <f t="shared" si="17"/>
        <v>-17065</v>
      </c>
      <c r="AS49" s="68">
        <f t="shared" si="18"/>
        <v>-5768</v>
      </c>
      <c r="AT49" s="68">
        <f t="shared" si="19"/>
        <v>-171</v>
      </c>
      <c r="AU49" s="417">
        <v>0</v>
      </c>
      <c r="AV49" s="417">
        <v>0</v>
      </c>
      <c r="AW49" s="417">
        <v>0</v>
      </c>
      <c r="AX49" s="417">
        <f t="shared" si="20"/>
        <v>0</v>
      </c>
      <c r="AY49" s="417">
        <f t="shared" si="21"/>
        <v>-23004</v>
      </c>
      <c r="AZ49" s="418">
        <v>0</v>
      </c>
      <c r="BA49" s="418">
        <v>0</v>
      </c>
      <c r="BB49" s="418">
        <v>0</v>
      </c>
      <c r="BC49" s="418">
        <v>0</v>
      </c>
      <c r="BD49" s="418">
        <v>-0.06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22"/>
        <v>0</v>
      </c>
      <c r="BJ49" s="418">
        <f t="shared" si="23"/>
        <v>-0.06</v>
      </c>
      <c r="BK49" s="420">
        <f t="shared" si="24"/>
        <v>-0.06</v>
      </c>
      <c r="BL49" s="772">
        <f>I49+AY49</f>
        <v>3574965</v>
      </c>
      <c r="BM49" s="772">
        <f>J49+AG49</f>
        <v>2619675</v>
      </c>
      <c r="BN49" s="417">
        <f t="shared" si="69"/>
        <v>0</v>
      </c>
      <c r="BO49" s="417">
        <f t="shared" si="69"/>
        <v>2619675</v>
      </c>
      <c r="BP49" s="417">
        <f>M49+AO49</f>
        <v>10000</v>
      </c>
      <c r="BQ49" s="417">
        <f t="shared" si="70"/>
        <v>0</v>
      </c>
      <c r="BR49" s="417">
        <f t="shared" si="70"/>
        <v>10000</v>
      </c>
      <c r="BS49" s="417">
        <f t="shared" si="71"/>
        <v>888830</v>
      </c>
      <c r="BT49" s="417">
        <f t="shared" si="71"/>
        <v>26196</v>
      </c>
      <c r="BU49" s="417">
        <f>R49+AX49</f>
        <v>30264</v>
      </c>
      <c r="BV49" s="418">
        <f>S49+BK49</f>
        <v>7.8833000000000011</v>
      </c>
      <c r="BW49" s="418">
        <f t="shared" si="72"/>
        <v>0</v>
      </c>
      <c r="BX49" s="420">
        <f t="shared" si="72"/>
        <v>7.8833000000000011</v>
      </c>
      <c r="BY49" s="510"/>
      <c r="BZ49" s="414"/>
      <c r="CA49" s="414"/>
      <c r="CB49" s="414"/>
      <c r="CC49" s="414"/>
      <c r="CD49" s="509"/>
      <c r="CE49" s="1021"/>
      <c r="CF49" s="1022"/>
      <c r="CG49" s="1022"/>
      <c r="CH49" s="1022"/>
      <c r="CI49" s="1022"/>
      <c r="CJ49" s="981"/>
    </row>
    <row r="50" spans="1:88" ht="12.95" customHeight="1">
      <c r="A50" s="280">
        <v>10</v>
      </c>
      <c r="B50" s="212">
        <v>5458</v>
      </c>
      <c r="C50" s="212">
        <v>600099288</v>
      </c>
      <c r="D50" s="212">
        <v>856126</v>
      </c>
      <c r="E50" s="372" t="s">
        <v>467</v>
      </c>
      <c r="F50" s="212">
        <v>3143</v>
      </c>
      <c r="G50" s="323" t="s">
        <v>595</v>
      </c>
      <c r="H50" s="285" t="s">
        <v>271</v>
      </c>
      <c r="I50" s="419">
        <v>3080947</v>
      </c>
      <c r="J50" s="414">
        <v>2285569</v>
      </c>
      <c r="K50" s="414">
        <v>2285569</v>
      </c>
      <c r="L50" s="414">
        <v>0</v>
      </c>
      <c r="M50" s="414">
        <v>0</v>
      </c>
      <c r="N50" s="414">
        <v>0</v>
      </c>
      <c r="O50" s="414">
        <v>0</v>
      </c>
      <c r="P50" s="68">
        <v>772522</v>
      </c>
      <c r="Q50" s="68">
        <v>22856</v>
      </c>
      <c r="R50" s="414">
        <v>0</v>
      </c>
      <c r="S50" s="415">
        <v>4.3997999999999999</v>
      </c>
      <c r="T50" s="415">
        <v>4.3997999999999999</v>
      </c>
      <c r="U50" s="422">
        <v>0</v>
      </c>
      <c r="V50" s="423">
        <f t="shared" si="9"/>
        <v>0</v>
      </c>
      <c r="W50" s="417">
        <f t="shared" si="9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10"/>
        <v>0</v>
      </c>
      <c r="AF50" s="417">
        <f t="shared" si="11"/>
        <v>0</v>
      </c>
      <c r="AG50" s="417">
        <f t="shared" si="12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13"/>
        <v>0</v>
      </c>
      <c r="AN50" s="417">
        <f t="shared" si="14"/>
        <v>0</v>
      </c>
      <c r="AO50" s="417">
        <f t="shared" si="15"/>
        <v>0</v>
      </c>
      <c r="AP50" s="417">
        <f t="shared" si="16"/>
        <v>0</v>
      </c>
      <c r="AQ50" s="417">
        <f t="shared" si="16"/>
        <v>0</v>
      </c>
      <c r="AR50" s="417">
        <f t="shared" si="17"/>
        <v>0</v>
      </c>
      <c r="AS50" s="68">
        <f t="shared" si="18"/>
        <v>0</v>
      </c>
      <c r="AT50" s="68">
        <f t="shared" si="19"/>
        <v>0</v>
      </c>
      <c r="AU50" s="417">
        <v>0</v>
      </c>
      <c r="AV50" s="417">
        <v>0</v>
      </c>
      <c r="AW50" s="417">
        <v>0</v>
      </c>
      <c r="AX50" s="417">
        <f t="shared" si="20"/>
        <v>0</v>
      </c>
      <c r="AY50" s="417">
        <f t="shared" si="21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22"/>
        <v>0</v>
      </c>
      <c r="BJ50" s="418">
        <f t="shared" si="23"/>
        <v>0</v>
      </c>
      <c r="BK50" s="420">
        <f t="shared" si="24"/>
        <v>0</v>
      </c>
      <c r="BL50" s="772">
        <f>I50+AY50</f>
        <v>3080947</v>
      </c>
      <c r="BM50" s="772">
        <f>J50+AG50</f>
        <v>2285569</v>
      </c>
      <c r="BN50" s="417">
        <f t="shared" si="69"/>
        <v>2285569</v>
      </c>
      <c r="BO50" s="417">
        <f t="shared" si="69"/>
        <v>0</v>
      </c>
      <c r="BP50" s="417">
        <f>M50+AO50</f>
        <v>0</v>
      </c>
      <c r="BQ50" s="417">
        <f t="shared" si="70"/>
        <v>0</v>
      </c>
      <c r="BR50" s="417">
        <f t="shared" si="70"/>
        <v>0</v>
      </c>
      <c r="BS50" s="417">
        <f t="shared" si="71"/>
        <v>772522</v>
      </c>
      <c r="BT50" s="417">
        <f t="shared" si="71"/>
        <v>22856</v>
      </c>
      <c r="BU50" s="417">
        <f>R50+AX50</f>
        <v>0</v>
      </c>
      <c r="BV50" s="418">
        <f>S50+BK50</f>
        <v>4.3997999999999999</v>
      </c>
      <c r="BW50" s="418">
        <f t="shared" si="72"/>
        <v>4.3997999999999999</v>
      </c>
      <c r="BX50" s="420">
        <f t="shared" si="72"/>
        <v>0</v>
      </c>
      <c r="BY50" s="510"/>
      <c r="BZ50" s="414"/>
      <c r="CA50" s="414"/>
      <c r="CB50" s="414"/>
      <c r="CC50" s="414"/>
      <c r="CD50" s="509"/>
      <c r="CE50" s="1021"/>
      <c r="CF50" s="1022"/>
      <c r="CG50" s="1022"/>
      <c r="CH50" s="1022"/>
      <c r="CI50" s="1022"/>
      <c r="CJ50" s="981"/>
    </row>
    <row r="51" spans="1:88" ht="12.95" customHeight="1">
      <c r="A51" s="280">
        <v>10</v>
      </c>
      <c r="B51" s="212">
        <v>5458</v>
      </c>
      <c r="C51" s="212">
        <v>600099288</v>
      </c>
      <c r="D51" s="212">
        <v>856126</v>
      </c>
      <c r="E51" s="372" t="s">
        <v>467</v>
      </c>
      <c r="F51" s="212">
        <v>3143</v>
      </c>
      <c r="G51" s="323" t="s">
        <v>596</v>
      </c>
      <c r="H51" s="285" t="s">
        <v>272</v>
      </c>
      <c r="I51" s="419">
        <v>107376</v>
      </c>
      <c r="J51" s="414">
        <v>57000</v>
      </c>
      <c r="K51" s="414">
        <v>0</v>
      </c>
      <c r="L51" s="414">
        <v>57000</v>
      </c>
      <c r="M51" s="414">
        <v>20000</v>
      </c>
      <c r="N51" s="414">
        <v>0</v>
      </c>
      <c r="O51" s="414">
        <v>20000</v>
      </c>
      <c r="P51" s="68">
        <v>26026</v>
      </c>
      <c r="Q51" s="68">
        <v>570</v>
      </c>
      <c r="R51" s="414">
        <v>3780</v>
      </c>
      <c r="S51" s="415">
        <v>0.2944</v>
      </c>
      <c r="T51" s="415">
        <v>0</v>
      </c>
      <c r="U51" s="422">
        <v>0.2944</v>
      </c>
      <c r="V51" s="423">
        <f t="shared" si="9"/>
        <v>0</v>
      </c>
      <c r="W51" s="417">
        <f t="shared" si="9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10"/>
        <v>0</v>
      </c>
      <c r="AF51" s="417">
        <f t="shared" si="11"/>
        <v>0</v>
      </c>
      <c r="AG51" s="417">
        <f t="shared" si="12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13"/>
        <v>0</v>
      </c>
      <c r="AN51" s="417">
        <f t="shared" si="14"/>
        <v>0</v>
      </c>
      <c r="AO51" s="417">
        <f t="shared" si="15"/>
        <v>0</v>
      </c>
      <c r="AP51" s="417">
        <f t="shared" si="16"/>
        <v>0</v>
      </c>
      <c r="AQ51" s="417">
        <f t="shared" si="16"/>
        <v>0</v>
      </c>
      <c r="AR51" s="417">
        <f t="shared" si="17"/>
        <v>0</v>
      </c>
      <c r="AS51" s="68">
        <f t="shared" si="18"/>
        <v>0</v>
      </c>
      <c r="AT51" s="68">
        <f t="shared" si="19"/>
        <v>0</v>
      </c>
      <c r="AU51" s="417">
        <v>0</v>
      </c>
      <c r="AV51" s="417">
        <v>0</v>
      </c>
      <c r="AW51" s="417">
        <v>0</v>
      </c>
      <c r="AX51" s="417">
        <f t="shared" si="20"/>
        <v>0</v>
      </c>
      <c r="AY51" s="417">
        <f t="shared" si="21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22"/>
        <v>0</v>
      </c>
      <c r="BJ51" s="418">
        <f t="shared" si="23"/>
        <v>0</v>
      </c>
      <c r="BK51" s="420">
        <f t="shared" si="24"/>
        <v>0</v>
      </c>
      <c r="BL51" s="772">
        <f>I51+AY51</f>
        <v>107376</v>
      </c>
      <c r="BM51" s="772">
        <f>J51+AG51</f>
        <v>57000</v>
      </c>
      <c r="BN51" s="417">
        <f t="shared" si="69"/>
        <v>0</v>
      </c>
      <c r="BO51" s="417">
        <f t="shared" si="69"/>
        <v>57000</v>
      </c>
      <c r="BP51" s="417">
        <f>M51+AO51</f>
        <v>20000</v>
      </c>
      <c r="BQ51" s="417">
        <f t="shared" si="70"/>
        <v>0</v>
      </c>
      <c r="BR51" s="417">
        <f t="shared" si="70"/>
        <v>20000</v>
      </c>
      <c r="BS51" s="417">
        <f t="shared" si="71"/>
        <v>26026</v>
      </c>
      <c r="BT51" s="417">
        <f t="shared" si="71"/>
        <v>570</v>
      </c>
      <c r="BU51" s="417">
        <f>R51+AX51</f>
        <v>3780</v>
      </c>
      <c r="BV51" s="418">
        <f>S51+BK51</f>
        <v>0.2944</v>
      </c>
      <c r="BW51" s="418">
        <f t="shared" si="72"/>
        <v>0</v>
      </c>
      <c r="BX51" s="420">
        <f t="shared" si="72"/>
        <v>0.2944</v>
      </c>
      <c r="BY51" s="510"/>
      <c r="BZ51" s="414"/>
      <c r="CA51" s="414"/>
      <c r="CB51" s="414"/>
      <c r="CC51" s="414"/>
      <c r="CD51" s="509"/>
      <c r="CE51" s="1021"/>
      <c r="CF51" s="1022"/>
      <c r="CG51" s="1022"/>
      <c r="CH51" s="1022"/>
      <c r="CI51" s="1022"/>
      <c r="CJ51" s="981"/>
    </row>
    <row r="52" spans="1:88" ht="12.95" customHeight="1">
      <c r="A52" s="213">
        <v>10</v>
      </c>
      <c r="B52" s="45">
        <v>5458</v>
      </c>
      <c r="C52" s="45">
        <v>600099288</v>
      </c>
      <c r="D52" s="45">
        <v>856126</v>
      </c>
      <c r="E52" s="374" t="s">
        <v>468</v>
      </c>
      <c r="F52" s="45"/>
      <c r="G52" s="374"/>
      <c r="H52" s="182"/>
      <c r="I52" s="487">
        <v>54781483</v>
      </c>
      <c r="J52" s="484">
        <v>39924176</v>
      </c>
      <c r="K52" s="484">
        <v>34433071</v>
      </c>
      <c r="L52" s="484">
        <v>5491105</v>
      </c>
      <c r="M52" s="484">
        <v>150000</v>
      </c>
      <c r="N52" s="484">
        <v>90000</v>
      </c>
      <c r="O52" s="484">
        <v>60000</v>
      </c>
      <c r="P52" s="484">
        <v>13545071</v>
      </c>
      <c r="Q52" s="484">
        <v>399242</v>
      </c>
      <c r="R52" s="484">
        <v>762994</v>
      </c>
      <c r="S52" s="485">
        <v>68.8202</v>
      </c>
      <c r="T52" s="485">
        <v>51.923000000000002</v>
      </c>
      <c r="U52" s="652">
        <v>16.897200000000002</v>
      </c>
      <c r="V52" s="487">
        <f t="shared" ref="V52:BK52" si="73">SUM(V47:V51)</f>
        <v>0</v>
      </c>
      <c r="W52" s="484">
        <f t="shared" si="73"/>
        <v>0</v>
      </c>
      <c r="X52" s="484">
        <f t="shared" si="73"/>
        <v>-6190</v>
      </c>
      <c r="Y52" s="484">
        <f t="shared" si="73"/>
        <v>0</v>
      </c>
      <c r="Z52" s="484">
        <f t="shared" si="73"/>
        <v>0</v>
      </c>
      <c r="AA52" s="484">
        <f t="shared" si="73"/>
        <v>-17065</v>
      </c>
      <c r="AB52" s="484">
        <f t="shared" si="73"/>
        <v>0</v>
      </c>
      <c r="AC52" s="484">
        <f t="shared" si="73"/>
        <v>0</v>
      </c>
      <c r="AD52" s="484">
        <f t="shared" si="73"/>
        <v>0</v>
      </c>
      <c r="AE52" s="484">
        <f t="shared" si="73"/>
        <v>-6190</v>
      </c>
      <c r="AF52" s="484">
        <f t="shared" si="73"/>
        <v>-17065</v>
      </c>
      <c r="AG52" s="484">
        <f t="shared" si="73"/>
        <v>-23255</v>
      </c>
      <c r="AH52" s="484">
        <f t="shared" si="73"/>
        <v>0</v>
      </c>
      <c r="AI52" s="484">
        <f t="shared" si="73"/>
        <v>0</v>
      </c>
      <c r="AJ52" s="484">
        <f t="shared" si="73"/>
        <v>0</v>
      </c>
      <c r="AK52" s="484">
        <f t="shared" si="73"/>
        <v>0</v>
      </c>
      <c r="AL52" s="484">
        <f t="shared" si="73"/>
        <v>0</v>
      </c>
      <c r="AM52" s="484">
        <f t="shared" si="73"/>
        <v>0</v>
      </c>
      <c r="AN52" s="484">
        <f t="shared" si="73"/>
        <v>0</v>
      </c>
      <c r="AO52" s="484">
        <f t="shared" si="73"/>
        <v>0</v>
      </c>
      <c r="AP52" s="484">
        <f t="shared" si="73"/>
        <v>-6190</v>
      </c>
      <c r="AQ52" s="484">
        <f t="shared" si="73"/>
        <v>-17065</v>
      </c>
      <c r="AR52" s="484">
        <f t="shared" si="73"/>
        <v>-23255</v>
      </c>
      <c r="AS52" s="484">
        <f t="shared" si="73"/>
        <v>-7860</v>
      </c>
      <c r="AT52" s="484">
        <f t="shared" si="73"/>
        <v>-233</v>
      </c>
      <c r="AU52" s="484">
        <f t="shared" si="73"/>
        <v>0</v>
      </c>
      <c r="AV52" s="484">
        <f t="shared" si="73"/>
        <v>0</v>
      </c>
      <c r="AW52" s="484">
        <f t="shared" si="73"/>
        <v>0</v>
      </c>
      <c r="AX52" s="484">
        <f t="shared" si="73"/>
        <v>0</v>
      </c>
      <c r="AY52" s="484">
        <f t="shared" si="73"/>
        <v>-31348</v>
      </c>
      <c r="AZ52" s="485">
        <f t="shared" si="73"/>
        <v>0</v>
      </c>
      <c r="BA52" s="485">
        <f t="shared" si="73"/>
        <v>0</v>
      </c>
      <c r="BB52" s="485">
        <f t="shared" si="73"/>
        <v>-0.01</v>
      </c>
      <c r="BC52" s="485">
        <f t="shared" si="73"/>
        <v>0</v>
      </c>
      <c r="BD52" s="485">
        <f t="shared" si="73"/>
        <v>-0.06</v>
      </c>
      <c r="BE52" s="485">
        <f t="shared" si="73"/>
        <v>0</v>
      </c>
      <c r="BF52" s="485">
        <f t="shared" si="73"/>
        <v>0</v>
      </c>
      <c r="BG52" s="485">
        <f t="shared" si="73"/>
        <v>0</v>
      </c>
      <c r="BH52" s="485">
        <f t="shared" si="73"/>
        <v>0</v>
      </c>
      <c r="BI52" s="485">
        <f t="shared" si="73"/>
        <v>-0.01</v>
      </c>
      <c r="BJ52" s="485">
        <f t="shared" si="73"/>
        <v>-0.06</v>
      </c>
      <c r="BK52" s="379">
        <f t="shared" si="73"/>
        <v>-6.9999999999999993E-2</v>
      </c>
      <c r="BL52" s="1076">
        <f t="shared" ref="BL52:CG52" si="74">SUM(BL47:BL51)</f>
        <v>54750135</v>
      </c>
      <c r="BM52" s="1076">
        <f t="shared" si="74"/>
        <v>39900921</v>
      </c>
      <c r="BN52" s="484">
        <f t="shared" si="74"/>
        <v>34426881</v>
      </c>
      <c r="BO52" s="484">
        <f t="shared" si="74"/>
        <v>5474040</v>
      </c>
      <c r="BP52" s="484">
        <f t="shared" si="74"/>
        <v>150000</v>
      </c>
      <c r="BQ52" s="484">
        <f t="shared" si="74"/>
        <v>90000</v>
      </c>
      <c r="BR52" s="484">
        <f t="shared" si="74"/>
        <v>60000</v>
      </c>
      <c r="BS52" s="484">
        <f t="shared" si="74"/>
        <v>13537211</v>
      </c>
      <c r="BT52" s="484">
        <f t="shared" si="74"/>
        <v>399009</v>
      </c>
      <c r="BU52" s="484">
        <f t="shared" si="74"/>
        <v>762994</v>
      </c>
      <c r="BV52" s="485">
        <f t="shared" si="74"/>
        <v>68.750199999999992</v>
      </c>
      <c r="BW52" s="485">
        <f t="shared" si="74"/>
        <v>51.912999999999997</v>
      </c>
      <c r="BX52" s="379">
        <f t="shared" si="74"/>
        <v>16.837199999999999</v>
      </c>
      <c r="BY52" s="941">
        <f t="shared" si="74"/>
        <v>760272</v>
      </c>
      <c r="BZ52" s="728">
        <f t="shared" si="74"/>
        <v>564000</v>
      </c>
      <c r="CA52" s="728">
        <f t="shared" si="74"/>
        <v>0</v>
      </c>
      <c r="CB52" s="728">
        <f t="shared" si="74"/>
        <v>190632</v>
      </c>
      <c r="CC52" s="728">
        <f t="shared" si="74"/>
        <v>5640</v>
      </c>
      <c r="CD52" s="834">
        <f t="shared" si="74"/>
        <v>1</v>
      </c>
      <c r="CE52" s="1025">
        <f t="shared" si="74"/>
        <v>1407455</v>
      </c>
      <c r="CF52" s="1025">
        <f t="shared" si="74"/>
        <v>907474</v>
      </c>
      <c r="CG52" s="1025">
        <f t="shared" si="74"/>
        <v>306726</v>
      </c>
      <c r="CH52" s="1025">
        <f t="shared" ref="CH52:CJ52" si="75">SUM(CH47:CH51)</f>
        <v>9075</v>
      </c>
      <c r="CI52" s="1025">
        <f t="shared" si="75"/>
        <v>184180</v>
      </c>
      <c r="CJ52" s="933">
        <f t="shared" si="75"/>
        <v>2.7795000000000001</v>
      </c>
    </row>
    <row r="53" spans="1:88" ht="12.95" customHeight="1">
      <c r="A53" s="280">
        <v>11</v>
      </c>
      <c r="B53" s="212">
        <v>5456</v>
      </c>
      <c r="C53" s="212">
        <v>600099369</v>
      </c>
      <c r="D53" s="212">
        <v>854794</v>
      </c>
      <c r="E53" s="372" t="s">
        <v>469</v>
      </c>
      <c r="F53" s="212">
        <v>3113</v>
      </c>
      <c r="G53" s="372" t="s">
        <v>308</v>
      </c>
      <c r="H53" s="285" t="s">
        <v>271</v>
      </c>
      <c r="I53" s="419">
        <v>53153013</v>
      </c>
      <c r="J53" s="414">
        <v>38650285</v>
      </c>
      <c r="K53" s="414">
        <v>35251809</v>
      </c>
      <c r="L53" s="414">
        <v>3398476</v>
      </c>
      <c r="M53" s="414">
        <v>150000</v>
      </c>
      <c r="N53" s="414">
        <v>90000</v>
      </c>
      <c r="O53" s="414">
        <v>60000</v>
      </c>
      <c r="P53" s="68">
        <v>13114496</v>
      </c>
      <c r="Q53" s="68">
        <v>386502</v>
      </c>
      <c r="R53" s="414">
        <v>851730</v>
      </c>
      <c r="S53" s="415">
        <v>60.2089</v>
      </c>
      <c r="T53" s="415">
        <v>49.449400000000004</v>
      </c>
      <c r="U53" s="422">
        <v>10.759499999999999</v>
      </c>
      <c r="V53" s="423">
        <f t="shared" si="9"/>
        <v>-18500</v>
      </c>
      <c r="W53" s="417">
        <f t="shared" si="9"/>
        <v>25000</v>
      </c>
      <c r="X53" s="417">
        <v>0</v>
      </c>
      <c r="Y53" s="417">
        <v>23170</v>
      </c>
      <c r="Z53" s="417">
        <v>66315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10"/>
        <v>70985</v>
      </c>
      <c r="AF53" s="417">
        <f t="shared" si="11"/>
        <v>25000</v>
      </c>
      <c r="AG53" s="417">
        <f t="shared" si="12"/>
        <v>95985</v>
      </c>
      <c r="AH53" s="417">
        <v>18500</v>
      </c>
      <c r="AI53" s="417">
        <v>-25000</v>
      </c>
      <c r="AJ53" s="417">
        <v>0</v>
      </c>
      <c r="AK53" s="417">
        <v>0</v>
      </c>
      <c r="AL53" s="417">
        <v>0</v>
      </c>
      <c r="AM53" s="417">
        <f t="shared" si="13"/>
        <v>18500</v>
      </c>
      <c r="AN53" s="417">
        <f t="shared" si="14"/>
        <v>-25000</v>
      </c>
      <c r="AO53" s="417">
        <f t="shared" si="15"/>
        <v>-6500</v>
      </c>
      <c r="AP53" s="417">
        <f t="shared" si="16"/>
        <v>89485</v>
      </c>
      <c r="AQ53" s="417">
        <f t="shared" si="16"/>
        <v>0</v>
      </c>
      <c r="AR53" s="417">
        <f t="shared" si="17"/>
        <v>89485</v>
      </c>
      <c r="AS53" s="68">
        <f t="shared" si="18"/>
        <v>30246</v>
      </c>
      <c r="AT53" s="68">
        <f t="shared" si="19"/>
        <v>960</v>
      </c>
      <c r="AU53" s="417">
        <v>0</v>
      </c>
      <c r="AV53" s="417">
        <v>0</v>
      </c>
      <c r="AW53" s="417">
        <v>0</v>
      </c>
      <c r="AX53" s="417">
        <f t="shared" si="20"/>
        <v>0</v>
      </c>
      <c r="AY53" s="417">
        <f t="shared" si="21"/>
        <v>120691</v>
      </c>
      <c r="AZ53" s="418">
        <v>-0.01</v>
      </c>
      <c r="BA53" s="418">
        <v>0.02</v>
      </c>
      <c r="BB53" s="418">
        <v>0</v>
      </c>
      <c r="BC53" s="418">
        <v>0.14000000000000001</v>
      </c>
      <c r="BD53" s="418">
        <v>0</v>
      </c>
      <c r="BE53" s="418">
        <v>0.03</v>
      </c>
      <c r="BF53" s="418">
        <v>0</v>
      </c>
      <c r="BG53" s="418">
        <v>0</v>
      </c>
      <c r="BH53" s="418">
        <v>0</v>
      </c>
      <c r="BI53" s="418">
        <f t="shared" si="22"/>
        <v>0.16</v>
      </c>
      <c r="BJ53" s="418">
        <f t="shared" si="23"/>
        <v>0.02</v>
      </c>
      <c r="BK53" s="420">
        <f t="shared" si="24"/>
        <v>0.18</v>
      </c>
      <c r="BL53" s="772">
        <f>I53+AY53</f>
        <v>53273704</v>
      </c>
      <c r="BM53" s="772">
        <f>J53+AG53</f>
        <v>38746270</v>
      </c>
      <c r="BN53" s="417">
        <f t="shared" ref="BN53:BO57" si="76">K53+AE53</f>
        <v>35322794</v>
      </c>
      <c r="BO53" s="417">
        <f t="shared" si="76"/>
        <v>3423476</v>
      </c>
      <c r="BP53" s="417">
        <f>M53+AO53</f>
        <v>143500</v>
      </c>
      <c r="BQ53" s="417">
        <f t="shared" ref="BQ53:BR57" si="77">N53+AM53</f>
        <v>108500</v>
      </c>
      <c r="BR53" s="417">
        <f t="shared" si="77"/>
        <v>35000</v>
      </c>
      <c r="BS53" s="417">
        <f t="shared" ref="BS53:BT57" si="78">P53+AS53</f>
        <v>13144742</v>
      </c>
      <c r="BT53" s="417">
        <f t="shared" si="78"/>
        <v>387462</v>
      </c>
      <c r="BU53" s="417">
        <f>R53+AX53</f>
        <v>851730</v>
      </c>
      <c r="BV53" s="418">
        <f>S53+BK53</f>
        <v>60.3889</v>
      </c>
      <c r="BW53" s="418">
        <f t="shared" ref="BW53:BX57" si="79">T53+BI53</f>
        <v>49.609400000000001</v>
      </c>
      <c r="BX53" s="420">
        <f t="shared" si="79"/>
        <v>10.779499999999999</v>
      </c>
      <c r="BY53" s="510">
        <v>760272</v>
      </c>
      <c r="BZ53" s="414">
        <v>564000</v>
      </c>
      <c r="CA53" s="414">
        <v>0</v>
      </c>
      <c r="CB53" s="414">
        <v>190632</v>
      </c>
      <c r="CC53" s="414">
        <v>5640</v>
      </c>
      <c r="CD53" s="509">
        <v>1</v>
      </c>
      <c r="CE53" s="1026">
        <v>1714024</v>
      </c>
      <c r="CF53" s="1022">
        <v>1110045</v>
      </c>
      <c r="CG53" s="1022">
        <v>375195</v>
      </c>
      <c r="CH53" s="1022">
        <v>11100</v>
      </c>
      <c r="CI53" s="1022">
        <v>217684</v>
      </c>
      <c r="CJ53" s="981">
        <v>3.4727999999999999</v>
      </c>
    </row>
    <row r="54" spans="1:88" ht="12.95" customHeight="1">
      <c r="A54" s="280">
        <v>11</v>
      </c>
      <c r="B54" s="212">
        <v>5456</v>
      </c>
      <c r="C54" s="212">
        <v>600099369</v>
      </c>
      <c r="D54" s="212">
        <v>854794</v>
      </c>
      <c r="E54" s="211" t="s">
        <v>469</v>
      </c>
      <c r="F54" s="212">
        <v>3113</v>
      </c>
      <c r="G54" s="323" t="s">
        <v>291</v>
      </c>
      <c r="H54" s="285" t="s">
        <v>272</v>
      </c>
      <c r="I54" s="419">
        <v>5460536</v>
      </c>
      <c r="J54" s="414">
        <v>4045786</v>
      </c>
      <c r="K54" s="414">
        <v>4049386</v>
      </c>
      <c r="L54" s="414">
        <v>-3600</v>
      </c>
      <c r="M54" s="414">
        <v>3600</v>
      </c>
      <c r="N54" s="414">
        <v>0</v>
      </c>
      <c r="O54" s="414">
        <v>3600</v>
      </c>
      <c r="P54" s="68">
        <v>1368692</v>
      </c>
      <c r="Q54" s="68">
        <v>40458</v>
      </c>
      <c r="R54" s="414">
        <v>2000</v>
      </c>
      <c r="S54" s="415">
        <v>10.780000000000001</v>
      </c>
      <c r="T54" s="415">
        <v>10.780000000000001</v>
      </c>
      <c r="U54" s="422">
        <v>0</v>
      </c>
      <c r="V54" s="423">
        <f t="shared" si="9"/>
        <v>0</v>
      </c>
      <c r="W54" s="417">
        <f t="shared" si="9"/>
        <v>3600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10"/>
        <v>0</v>
      </c>
      <c r="AF54" s="417">
        <f t="shared" si="11"/>
        <v>3600</v>
      </c>
      <c r="AG54" s="417">
        <f t="shared" si="12"/>
        <v>3600</v>
      </c>
      <c r="AH54" s="417">
        <v>0</v>
      </c>
      <c r="AI54" s="417">
        <v>-3600</v>
      </c>
      <c r="AJ54" s="417">
        <v>0</v>
      </c>
      <c r="AK54" s="417">
        <v>0</v>
      </c>
      <c r="AL54" s="417">
        <v>0</v>
      </c>
      <c r="AM54" s="417">
        <f t="shared" si="13"/>
        <v>0</v>
      </c>
      <c r="AN54" s="417">
        <f t="shared" si="14"/>
        <v>-3600</v>
      </c>
      <c r="AO54" s="417">
        <f t="shared" si="15"/>
        <v>-3600</v>
      </c>
      <c r="AP54" s="417">
        <f t="shared" si="16"/>
        <v>0</v>
      </c>
      <c r="AQ54" s="417">
        <f t="shared" si="16"/>
        <v>0</v>
      </c>
      <c r="AR54" s="417">
        <f t="shared" si="17"/>
        <v>0</v>
      </c>
      <c r="AS54" s="68">
        <f t="shared" si="18"/>
        <v>0</v>
      </c>
      <c r="AT54" s="68">
        <f t="shared" si="19"/>
        <v>36</v>
      </c>
      <c r="AU54" s="417">
        <v>0</v>
      </c>
      <c r="AV54" s="417">
        <v>0</v>
      </c>
      <c r="AW54" s="417">
        <v>0</v>
      </c>
      <c r="AX54" s="417">
        <f t="shared" si="20"/>
        <v>0</v>
      </c>
      <c r="AY54" s="417">
        <f t="shared" si="21"/>
        <v>36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22"/>
        <v>0</v>
      </c>
      <c r="BJ54" s="418">
        <f t="shared" si="23"/>
        <v>0</v>
      </c>
      <c r="BK54" s="420">
        <f t="shared" si="24"/>
        <v>0</v>
      </c>
      <c r="BL54" s="772">
        <f>I54+AY54</f>
        <v>5460572</v>
      </c>
      <c r="BM54" s="772">
        <f>J54+AG54</f>
        <v>4049386</v>
      </c>
      <c r="BN54" s="417">
        <f t="shared" si="76"/>
        <v>4049386</v>
      </c>
      <c r="BO54" s="417">
        <f t="shared" si="76"/>
        <v>0</v>
      </c>
      <c r="BP54" s="417">
        <f>M54+AO54</f>
        <v>0</v>
      </c>
      <c r="BQ54" s="417">
        <f t="shared" si="77"/>
        <v>0</v>
      </c>
      <c r="BR54" s="417">
        <f t="shared" si="77"/>
        <v>0</v>
      </c>
      <c r="BS54" s="417">
        <f t="shared" si="78"/>
        <v>1368692</v>
      </c>
      <c r="BT54" s="417">
        <f t="shared" si="78"/>
        <v>40494</v>
      </c>
      <c r="BU54" s="417">
        <f>R54+AX54</f>
        <v>2000</v>
      </c>
      <c r="BV54" s="418">
        <f>S54+BK54</f>
        <v>10.780000000000001</v>
      </c>
      <c r="BW54" s="418">
        <f t="shared" si="79"/>
        <v>10.780000000000001</v>
      </c>
      <c r="BX54" s="420">
        <f t="shared" si="79"/>
        <v>0</v>
      </c>
      <c r="BY54" s="510"/>
      <c r="BZ54" s="414"/>
      <c r="CA54" s="414"/>
      <c r="CB54" s="414"/>
      <c r="CC54" s="414"/>
      <c r="CD54" s="509"/>
      <c r="CE54" s="1021"/>
      <c r="CF54" s="1022"/>
      <c r="CG54" s="1022"/>
      <c r="CH54" s="1022"/>
      <c r="CI54" s="1022"/>
      <c r="CJ54" s="981"/>
    </row>
    <row r="55" spans="1:88" ht="12.95" customHeight="1">
      <c r="A55" s="280">
        <v>11</v>
      </c>
      <c r="B55" s="212">
        <v>5456</v>
      </c>
      <c r="C55" s="212">
        <v>600099369</v>
      </c>
      <c r="D55" s="212">
        <v>854794</v>
      </c>
      <c r="E55" s="371" t="s">
        <v>469</v>
      </c>
      <c r="F55" s="382">
        <v>3141</v>
      </c>
      <c r="G55" s="373" t="s">
        <v>294</v>
      </c>
      <c r="H55" s="285" t="s">
        <v>272</v>
      </c>
      <c r="I55" s="419">
        <v>6021568</v>
      </c>
      <c r="J55" s="414">
        <v>4420885</v>
      </c>
      <c r="K55" s="414">
        <v>0</v>
      </c>
      <c r="L55" s="414">
        <v>4420885</v>
      </c>
      <c r="M55" s="414">
        <v>6400</v>
      </c>
      <c r="N55" s="414">
        <v>0</v>
      </c>
      <c r="O55" s="414">
        <v>6400</v>
      </c>
      <c r="P55" s="68">
        <v>1496422</v>
      </c>
      <c r="Q55" s="68">
        <v>44209</v>
      </c>
      <c r="R55" s="414">
        <v>53652</v>
      </c>
      <c r="S55" s="415">
        <v>13.2766</v>
      </c>
      <c r="T55" s="415">
        <v>0</v>
      </c>
      <c r="U55" s="422">
        <v>13.2766</v>
      </c>
      <c r="V55" s="423">
        <f t="shared" si="9"/>
        <v>0</v>
      </c>
      <c r="W55" s="417">
        <f t="shared" si="9"/>
        <v>-23600</v>
      </c>
      <c r="X55" s="417">
        <v>0</v>
      </c>
      <c r="Y55" s="417">
        <v>0</v>
      </c>
      <c r="Z55" s="417">
        <v>0</v>
      </c>
      <c r="AA55" s="417">
        <v>29450</v>
      </c>
      <c r="AB55" s="417">
        <v>0</v>
      </c>
      <c r="AC55" s="417">
        <v>0</v>
      </c>
      <c r="AD55" s="417">
        <v>0</v>
      </c>
      <c r="AE55" s="417">
        <f t="shared" si="10"/>
        <v>0</v>
      </c>
      <c r="AF55" s="417">
        <f t="shared" si="11"/>
        <v>5850</v>
      </c>
      <c r="AG55" s="417">
        <f t="shared" si="12"/>
        <v>5850</v>
      </c>
      <c r="AH55" s="417">
        <v>0</v>
      </c>
      <c r="AI55" s="417">
        <v>23600</v>
      </c>
      <c r="AJ55" s="417">
        <v>0</v>
      </c>
      <c r="AK55" s="417">
        <v>0</v>
      </c>
      <c r="AL55" s="417">
        <v>0</v>
      </c>
      <c r="AM55" s="417">
        <f t="shared" si="13"/>
        <v>0</v>
      </c>
      <c r="AN55" s="417">
        <f t="shared" si="14"/>
        <v>23600</v>
      </c>
      <c r="AO55" s="417">
        <f t="shared" si="15"/>
        <v>23600</v>
      </c>
      <c r="AP55" s="417">
        <f t="shared" si="16"/>
        <v>0</v>
      </c>
      <c r="AQ55" s="417">
        <f t="shared" si="16"/>
        <v>29450</v>
      </c>
      <c r="AR55" s="417">
        <f t="shared" si="17"/>
        <v>29450</v>
      </c>
      <c r="AS55" s="68">
        <f t="shared" si="18"/>
        <v>9954</v>
      </c>
      <c r="AT55" s="68">
        <f t="shared" si="19"/>
        <v>59</v>
      </c>
      <c r="AU55" s="417">
        <v>0</v>
      </c>
      <c r="AV55" s="417">
        <v>0</v>
      </c>
      <c r="AW55" s="417">
        <v>0</v>
      </c>
      <c r="AX55" s="417">
        <f t="shared" si="20"/>
        <v>0</v>
      </c>
      <c r="AY55" s="417">
        <f t="shared" si="21"/>
        <v>39463</v>
      </c>
      <c r="AZ55" s="418">
        <v>0</v>
      </c>
      <c r="BA55" s="418">
        <v>0</v>
      </c>
      <c r="BB55" s="418">
        <v>0</v>
      </c>
      <c r="BC55" s="418">
        <v>0</v>
      </c>
      <c r="BD55" s="418">
        <v>0.08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22"/>
        <v>0</v>
      </c>
      <c r="BJ55" s="418">
        <f t="shared" si="23"/>
        <v>0.08</v>
      </c>
      <c r="BK55" s="420">
        <f t="shared" si="24"/>
        <v>0.08</v>
      </c>
      <c r="BL55" s="772">
        <f>I55+AY55</f>
        <v>6061031</v>
      </c>
      <c r="BM55" s="772">
        <f>J55+AG55</f>
        <v>4426735</v>
      </c>
      <c r="BN55" s="417">
        <f t="shared" si="76"/>
        <v>0</v>
      </c>
      <c r="BO55" s="417">
        <f t="shared" si="76"/>
        <v>4426735</v>
      </c>
      <c r="BP55" s="417">
        <f>M55+AO55</f>
        <v>30000</v>
      </c>
      <c r="BQ55" s="417">
        <f t="shared" si="77"/>
        <v>0</v>
      </c>
      <c r="BR55" s="417">
        <f t="shared" si="77"/>
        <v>30000</v>
      </c>
      <c r="BS55" s="417">
        <f t="shared" si="78"/>
        <v>1506376</v>
      </c>
      <c r="BT55" s="417">
        <f t="shared" si="78"/>
        <v>44268</v>
      </c>
      <c r="BU55" s="417">
        <f>R55+AX55</f>
        <v>53652</v>
      </c>
      <c r="BV55" s="418">
        <f>S55+BK55</f>
        <v>13.3566</v>
      </c>
      <c r="BW55" s="418">
        <f t="shared" si="79"/>
        <v>0</v>
      </c>
      <c r="BX55" s="420">
        <f t="shared" si="79"/>
        <v>13.3566</v>
      </c>
      <c r="BY55" s="510"/>
      <c r="BZ55" s="414"/>
      <c r="CA55" s="414"/>
      <c r="CB55" s="414"/>
      <c r="CC55" s="414"/>
      <c r="CD55" s="509"/>
      <c r="CE55" s="1021"/>
      <c r="CF55" s="1022"/>
      <c r="CG55" s="1022"/>
      <c r="CH55" s="1022"/>
      <c r="CI55" s="1022"/>
      <c r="CJ55" s="981"/>
    </row>
    <row r="56" spans="1:88" ht="12.95" customHeight="1">
      <c r="A56" s="280">
        <v>11</v>
      </c>
      <c r="B56" s="212">
        <v>5456</v>
      </c>
      <c r="C56" s="212">
        <v>600099369</v>
      </c>
      <c r="D56" s="212">
        <v>854794</v>
      </c>
      <c r="E56" s="211" t="s">
        <v>469</v>
      </c>
      <c r="F56" s="212">
        <v>3143</v>
      </c>
      <c r="G56" s="323" t="s">
        <v>595</v>
      </c>
      <c r="H56" s="285" t="s">
        <v>271</v>
      </c>
      <c r="I56" s="419">
        <v>3675551</v>
      </c>
      <c r="J56" s="414">
        <v>2726670</v>
      </c>
      <c r="K56" s="414">
        <v>2726670</v>
      </c>
      <c r="L56" s="414">
        <v>0</v>
      </c>
      <c r="M56" s="414">
        <v>0</v>
      </c>
      <c r="N56" s="414">
        <v>0</v>
      </c>
      <c r="O56" s="414">
        <v>0</v>
      </c>
      <c r="P56" s="68">
        <v>921614</v>
      </c>
      <c r="Q56" s="68">
        <v>27267</v>
      </c>
      <c r="R56" s="414">
        <v>0</v>
      </c>
      <c r="S56" s="415">
        <v>5.2784000000000004</v>
      </c>
      <c r="T56" s="415">
        <v>5.2784000000000004</v>
      </c>
      <c r="U56" s="422">
        <v>0</v>
      </c>
      <c r="V56" s="423">
        <f t="shared" si="9"/>
        <v>-2500</v>
      </c>
      <c r="W56" s="417">
        <f t="shared" si="9"/>
        <v>0</v>
      </c>
      <c r="X56" s="417">
        <v>0</v>
      </c>
      <c r="Y56" s="417">
        <v>0</v>
      </c>
      <c r="Z56" s="417">
        <v>52765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10"/>
        <v>50265</v>
      </c>
      <c r="AF56" s="417">
        <f t="shared" si="11"/>
        <v>0</v>
      </c>
      <c r="AG56" s="417">
        <f t="shared" si="12"/>
        <v>50265</v>
      </c>
      <c r="AH56" s="417">
        <v>2500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13"/>
        <v>2500</v>
      </c>
      <c r="AN56" s="417">
        <f t="shared" si="14"/>
        <v>0</v>
      </c>
      <c r="AO56" s="417">
        <f t="shared" si="15"/>
        <v>2500</v>
      </c>
      <c r="AP56" s="417">
        <f t="shared" si="16"/>
        <v>52765</v>
      </c>
      <c r="AQ56" s="417">
        <f t="shared" si="16"/>
        <v>0</v>
      </c>
      <c r="AR56" s="417">
        <f t="shared" si="17"/>
        <v>52765</v>
      </c>
      <c r="AS56" s="68">
        <f t="shared" si="18"/>
        <v>17835</v>
      </c>
      <c r="AT56" s="68">
        <f t="shared" si="19"/>
        <v>503</v>
      </c>
      <c r="AU56" s="417">
        <v>0</v>
      </c>
      <c r="AV56" s="417">
        <v>0</v>
      </c>
      <c r="AW56" s="417">
        <v>0</v>
      </c>
      <c r="AX56" s="417">
        <f t="shared" si="20"/>
        <v>0</v>
      </c>
      <c r="AY56" s="417">
        <f t="shared" si="21"/>
        <v>71103</v>
      </c>
      <c r="AZ56" s="418">
        <v>0</v>
      </c>
      <c r="BA56" s="418">
        <v>0</v>
      </c>
      <c r="BB56" s="418">
        <v>0</v>
      </c>
      <c r="BC56" s="418">
        <v>0.12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22"/>
        <v>0.12</v>
      </c>
      <c r="BJ56" s="418">
        <f t="shared" si="23"/>
        <v>0</v>
      </c>
      <c r="BK56" s="420">
        <f t="shared" si="24"/>
        <v>0.12</v>
      </c>
      <c r="BL56" s="772">
        <f>I56+AY56</f>
        <v>3746654</v>
      </c>
      <c r="BM56" s="772">
        <f>J56+AG56</f>
        <v>2776935</v>
      </c>
      <c r="BN56" s="417">
        <f t="shared" si="76"/>
        <v>2776935</v>
      </c>
      <c r="BO56" s="417">
        <f t="shared" si="76"/>
        <v>0</v>
      </c>
      <c r="BP56" s="417">
        <f>M56+AO56</f>
        <v>2500</v>
      </c>
      <c r="BQ56" s="417">
        <f t="shared" si="77"/>
        <v>2500</v>
      </c>
      <c r="BR56" s="417">
        <f t="shared" si="77"/>
        <v>0</v>
      </c>
      <c r="BS56" s="417">
        <f t="shared" si="78"/>
        <v>939449</v>
      </c>
      <c r="BT56" s="417">
        <f t="shared" si="78"/>
        <v>27770</v>
      </c>
      <c r="BU56" s="417">
        <f>R56+AX56</f>
        <v>0</v>
      </c>
      <c r="BV56" s="418">
        <f>S56+BK56</f>
        <v>5.3984000000000005</v>
      </c>
      <c r="BW56" s="418">
        <f t="shared" si="79"/>
        <v>5.3984000000000005</v>
      </c>
      <c r="BX56" s="420">
        <f t="shared" si="79"/>
        <v>0</v>
      </c>
      <c r="BY56" s="510"/>
      <c r="BZ56" s="414"/>
      <c r="CA56" s="414"/>
      <c r="CB56" s="414"/>
      <c r="CC56" s="414"/>
      <c r="CD56" s="509"/>
      <c r="CE56" s="1021"/>
      <c r="CF56" s="1022"/>
      <c r="CG56" s="1022"/>
      <c r="CH56" s="1022"/>
      <c r="CI56" s="1022"/>
      <c r="CJ56" s="981"/>
    </row>
    <row r="57" spans="1:88" ht="12.95" customHeight="1">
      <c r="A57" s="280">
        <v>11</v>
      </c>
      <c r="B57" s="212">
        <v>5456</v>
      </c>
      <c r="C57" s="212">
        <v>600099369</v>
      </c>
      <c r="D57" s="212">
        <v>854794</v>
      </c>
      <c r="E57" s="211" t="s">
        <v>469</v>
      </c>
      <c r="F57" s="212">
        <v>3143</v>
      </c>
      <c r="G57" s="323" t="s">
        <v>596</v>
      </c>
      <c r="H57" s="285" t="s">
        <v>272</v>
      </c>
      <c r="I57" s="419">
        <v>115260</v>
      </c>
      <c r="J57" s="414">
        <v>82500</v>
      </c>
      <c r="K57" s="414">
        <v>0</v>
      </c>
      <c r="L57" s="414">
        <v>82500</v>
      </c>
      <c r="M57" s="414">
        <v>0</v>
      </c>
      <c r="N57" s="414">
        <v>0</v>
      </c>
      <c r="O57" s="414">
        <v>0</v>
      </c>
      <c r="P57" s="68">
        <v>27885</v>
      </c>
      <c r="Q57" s="68">
        <v>825</v>
      </c>
      <c r="R57" s="414">
        <v>4050</v>
      </c>
      <c r="S57" s="415">
        <v>0.30830000000000002</v>
      </c>
      <c r="T57" s="415">
        <v>0</v>
      </c>
      <c r="U57" s="422">
        <v>0.30830000000000002</v>
      </c>
      <c r="V57" s="423">
        <f t="shared" si="9"/>
        <v>0</v>
      </c>
      <c r="W57" s="417">
        <f t="shared" si="9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10"/>
        <v>0</v>
      </c>
      <c r="AF57" s="417">
        <f t="shared" si="11"/>
        <v>0</v>
      </c>
      <c r="AG57" s="417">
        <f t="shared" si="12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13"/>
        <v>0</v>
      </c>
      <c r="AN57" s="417">
        <f t="shared" si="14"/>
        <v>0</v>
      </c>
      <c r="AO57" s="417">
        <f t="shared" si="15"/>
        <v>0</v>
      </c>
      <c r="AP57" s="417">
        <f t="shared" si="16"/>
        <v>0</v>
      </c>
      <c r="AQ57" s="417">
        <f t="shared" si="16"/>
        <v>0</v>
      </c>
      <c r="AR57" s="417">
        <f t="shared" si="17"/>
        <v>0</v>
      </c>
      <c r="AS57" s="68">
        <f t="shared" si="18"/>
        <v>0</v>
      </c>
      <c r="AT57" s="68">
        <f t="shared" si="19"/>
        <v>0</v>
      </c>
      <c r="AU57" s="417">
        <v>0</v>
      </c>
      <c r="AV57" s="417">
        <v>0</v>
      </c>
      <c r="AW57" s="417">
        <v>0</v>
      </c>
      <c r="AX57" s="417">
        <f t="shared" si="20"/>
        <v>0</v>
      </c>
      <c r="AY57" s="417">
        <f t="shared" si="21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22"/>
        <v>0</v>
      </c>
      <c r="BJ57" s="418">
        <f t="shared" si="23"/>
        <v>0</v>
      </c>
      <c r="BK57" s="420">
        <f t="shared" si="24"/>
        <v>0</v>
      </c>
      <c r="BL57" s="772">
        <f>I57+AY57</f>
        <v>115260</v>
      </c>
      <c r="BM57" s="772">
        <f>J57+AG57</f>
        <v>82500</v>
      </c>
      <c r="BN57" s="417">
        <f t="shared" si="76"/>
        <v>0</v>
      </c>
      <c r="BO57" s="417">
        <f t="shared" si="76"/>
        <v>82500</v>
      </c>
      <c r="BP57" s="417">
        <f>M57+AO57</f>
        <v>0</v>
      </c>
      <c r="BQ57" s="417">
        <f t="shared" si="77"/>
        <v>0</v>
      </c>
      <c r="BR57" s="417">
        <f t="shared" si="77"/>
        <v>0</v>
      </c>
      <c r="BS57" s="417">
        <f t="shared" si="78"/>
        <v>27885</v>
      </c>
      <c r="BT57" s="417">
        <f t="shared" si="78"/>
        <v>825</v>
      </c>
      <c r="BU57" s="417">
        <f>R57+AX57</f>
        <v>4050</v>
      </c>
      <c r="BV57" s="418">
        <f>S57+BK57</f>
        <v>0.30830000000000002</v>
      </c>
      <c r="BW57" s="418">
        <f t="shared" si="79"/>
        <v>0</v>
      </c>
      <c r="BX57" s="420">
        <f t="shared" si="79"/>
        <v>0.30830000000000002</v>
      </c>
      <c r="BY57" s="510"/>
      <c r="BZ57" s="414"/>
      <c r="CA57" s="414"/>
      <c r="CB57" s="414"/>
      <c r="CC57" s="414"/>
      <c r="CD57" s="509"/>
      <c r="CE57" s="1021"/>
      <c r="CF57" s="1022"/>
      <c r="CG57" s="1022"/>
      <c r="CH57" s="1022"/>
      <c r="CI57" s="1022"/>
      <c r="CJ57" s="981"/>
    </row>
    <row r="58" spans="1:88" ht="12.95" customHeight="1">
      <c r="A58" s="213">
        <v>11</v>
      </c>
      <c r="B58" s="48">
        <v>5456</v>
      </c>
      <c r="C58" s="48">
        <v>600099369</v>
      </c>
      <c r="D58" s="48">
        <v>854794</v>
      </c>
      <c r="E58" s="374" t="s">
        <v>470</v>
      </c>
      <c r="F58" s="48"/>
      <c r="G58" s="387"/>
      <c r="H58" s="185"/>
      <c r="I58" s="464">
        <v>68425928</v>
      </c>
      <c r="J58" s="460">
        <v>49926126</v>
      </c>
      <c r="K58" s="460">
        <v>42027865</v>
      </c>
      <c r="L58" s="460">
        <v>7898261</v>
      </c>
      <c r="M58" s="460">
        <v>160000</v>
      </c>
      <c r="N58" s="460">
        <v>90000</v>
      </c>
      <c r="O58" s="460">
        <v>70000</v>
      </c>
      <c r="P58" s="460">
        <v>16929109</v>
      </c>
      <c r="Q58" s="460">
        <v>499261</v>
      </c>
      <c r="R58" s="460">
        <v>911432</v>
      </c>
      <c r="S58" s="461">
        <v>89.852200000000011</v>
      </c>
      <c r="T58" s="461">
        <v>65.507800000000003</v>
      </c>
      <c r="U58" s="534">
        <v>24.344399999999997</v>
      </c>
      <c r="V58" s="464">
        <f t="shared" ref="V58:BK58" si="80">SUM(V53:V57)</f>
        <v>-21000</v>
      </c>
      <c r="W58" s="460">
        <f t="shared" si="80"/>
        <v>5000</v>
      </c>
      <c r="X58" s="460">
        <f t="shared" si="80"/>
        <v>0</v>
      </c>
      <c r="Y58" s="460">
        <f t="shared" si="80"/>
        <v>23170</v>
      </c>
      <c r="Z58" s="460">
        <f t="shared" si="80"/>
        <v>119080</v>
      </c>
      <c r="AA58" s="460">
        <f t="shared" si="80"/>
        <v>29450</v>
      </c>
      <c r="AB58" s="460">
        <f t="shared" si="80"/>
        <v>0</v>
      </c>
      <c r="AC58" s="460">
        <f t="shared" si="80"/>
        <v>0</v>
      </c>
      <c r="AD58" s="460">
        <f t="shared" si="80"/>
        <v>0</v>
      </c>
      <c r="AE58" s="460">
        <f t="shared" si="80"/>
        <v>121250</v>
      </c>
      <c r="AF58" s="460">
        <f t="shared" si="80"/>
        <v>34450</v>
      </c>
      <c r="AG58" s="460">
        <f t="shared" si="80"/>
        <v>155700</v>
      </c>
      <c r="AH58" s="460">
        <f t="shared" si="80"/>
        <v>21000</v>
      </c>
      <c r="AI58" s="460">
        <f t="shared" si="80"/>
        <v>-5000</v>
      </c>
      <c r="AJ58" s="460">
        <f t="shared" si="80"/>
        <v>0</v>
      </c>
      <c r="AK58" s="460">
        <f t="shared" si="80"/>
        <v>0</v>
      </c>
      <c r="AL58" s="460">
        <f t="shared" si="80"/>
        <v>0</v>
      </c>
      <c r="AM58" s="460">
        <f t="shared" si="80"/>
        <v>21000</v>
      </c>
      <c r="AN58" s="460">
        <f t="shared" si="80"/>
        <v>-5000</v>
      </c>
      <c r="AO58" s="460">
        <f t="shared" si="80"/>
        <v>16000</v>
      </c>
      <c r="AP58" s="460">
        <f t="shared" si="80"/>
        <v>142250</v>
      </c>
      <c r="AQ58" s="460">
        <f t="shared" si="80"/>
        <v>29450</v>
      </c>
      <c r="AR58" s="460">
        <f t="shared" si="80"/>
        <v>171700</v>
      </c>
      <c r="AS58" s="460">
        <f t="shared" si="80"/>
        <v>58035</v>
      </c>
      <c r="AT58" s="460">
        <f t="shared" si="80"/>
        <v>1558</v>
      </c>
      <c r="AU58" s="460">
        <f t="shared" si="80"/>
        <v>0</v>
      </c>
      <c r="AV58" s="460">
        <f t="shared" si="80"/>
        <v>0</v>
      </c>
      <c r="AW58" s="460">
        <f t="shared" si="80"/>
        <v>0</v>
      </c>
      <c r="AX58" s="460">
        <f t="shared" si="80"/>
        <v>0</v>
      </c>
      <c r="AY58" s="460">
        <f t="shared" si="80"/>
        <v>231293</v>
      </c>
      <c r="AZ58" s="461">
        <f t="shared" si="80"/>
        <v>-0.01</v>
      </c>
      <c r="BA58" s="461">
        <f t="shared" si="80"/>
        <v>0.02</v>
      </c>
      <c r="BB58" s="461">
        <f t="shared" si="80"/>
        <v>0</v>
      </c>
      <c r="BC58" s="461">
        <f t="shared" si="80"/>
        <v>0.26</v>
      </c>
      <c r="BD58" s="461">
        <f t="shared" si="80"/>
        <v>0.08</v>
      </c>
      <c r="BE58" s="461">
        <f t="shared" si="80"/>
        <v>0.03</v>
      </c>
      <c r="BF58" s="461">
        <f t="shared" si="80"/>
        <v>0</v>
      </c>
      <c r="BG58" s="461">
        <f t="shared" si="80"/>
        <v>0</v>
      </c>
      <c r="BH58" s="461">
        <f t="shared" si="80"/>
        <v>0</v>
      </c>
      <c r="BI58" s="461">
        <f t="shared" si="80"/>
        <v>0.28000000000000003</v>
      </c>
      <c r="BJ58" s="461">
        <f t="shared" si="80"/>
        <v>0.1</v>
      </c>
      <c r="BK58" s="279">
        <f t="shared" si="80"/>
        <v>0.38</v>
      </c>
      <c r="BL58" s="1075">
        <f t="shared" ref="BL58:CG58" si="81">SUM(BL53:BL57)</f>
        <v>68657221</v>
      </c>
      <c r="BM58" s="1075">
        <f t="shared" si="81"/>
        <v>50081826</v>
      </c>
      <c r="BN58" s="460">
        <f t="shared" si="81"/>
        <v>42149115</v>
      </c>
      <c r="BO58" s="460">
        <f t="shared" si="81"/>
        <v>7932711</v>
      </c>
      <c r="BP58" s="460">
        <f t="shared" si="81"/>
        <v>176000</v>
      </c>
      <c r="BQ58" s="460">
        <f t="shared" si="81"/>
        <v>111000</v>
      </c>
      <c r="BR58" s="460">
        <f t="shared" si="81"/>
        <v>65000</v>
      </c>
      <c r="BS58" s="460">
        <f t="shared" si="81"/>
        <v>16987144</v>
      </c>
      <c r="BT58" s="460">
        <f t="shared" si="81"/>
        <v>500819</v>
      </c>
      <c r="BU58" s="460">
        <f t="shared" si="81"/>
        <v>911432</v>
      </c>
      <c r="BV58" s="461">
        <f t="shared" si="81"/>
        <v>90.232200000000006</v>
      </c>
      <c r="BW58" s="461">
        <f t="shared" si="81"/>
        <v>65.787800000000004</v>
      </c>
      <c r="BX58" s="279">
        <f t="shared" si="81"/>
        <v>24.444399999999998</v>
      </c>
      <c r="BY58" s="940">
        <f t="shared" si="81"/>
        <v>760272</v>
      </c>
      <c r="BZ58" s="707">
        <f t="shared" si="81"/>
        <v>564000</v>
      </c>
      <c r="CA58" s="707">
        <f t="shared" si="81"/>
        <v>0</v>
      </c>
      <c r="CB58" s="707">
        <f t="shared" si="81"/>
        <v>190632</v>
      </c>
      <c r="CC58" s="707">
        <f t="shared" si="81"/>
        <v>5640</v>
      </c>
      <c r="CD58" s="819">
        <f t="shared" si="81"/>
        <v>1</v>
      </c>
      <c r="CE58" s="1024">
        <f t="shared" si="81"/>
        <v>1714024</v>
      </c>
      <c r="CF58" s="1024">
        <f t="shared" si="81"/>
        <v>1110045</v>
      </c>
      <c r="CG58" s="1024">
        <f t="shared" si="81"/>
        <v>375195</v>
      </c>
      <c r="CH58" s="1024">
        <f t="shared" ref="CH58:CJ58" si="82">SUM(CH53:CH57)</f>
        <v>11100</v>
      </c>
      <c r="CI58" s="1024">
        <f t="shared" si="82"/>
        <v>217684</v>
      </c>
      <c r="CJ58" s="933">
        <f t="shared" si="82"/>
        <v>3.4727999999999999</v>
      </c>
    </row>
    <row r="59" spans="1:88" ht="12.95" customHeight="1">
      <c r="A59" s="280">
        <v>12</v>
      </c>
      <c r="B59" s="212">
        <v>5481</v>
      </c>
      <c r="C59" s="212">
        <v>600099075</v>
      </c>
      <c r="D59" s="212">
        <v>72742739</v>
      </c>
      <c r="E59" s="372" t="s">
        <v>471</v>
      </c>
      <c r="F59" s="212">
        <v>3117</v>
      </c>
      <c r="G59" s="372" t="s">
        <v>308</v>
      </c>
      <c r="H59" s="285" t="s">
        <v>271</v>
      </c>
      <c r="I59" s="419">
        <v>6821210</v>
      </c>
      <c r="J59" s="414">
        <v>4894444</v>
      </c>
      <c r="K59" s="414">
        <v>4182911</v>
      </c>
      <c r="L59" s="414">
        <v>711533</v>
      </c>
      <c r="M59" s="414">
        <v>55700</v>
      </c>
      <c r="N59" s="414">
        <v>43700</v>
      </c>
      <c r="O59" s="414">
        <v>12000</v>
      </c>
      <c r="P59" s="68">
        <v>1673147</v>
      </c>
      <c r="Q59" s="68">
        <v>48944</v>
      </c>
      <c r="R59" s="414">
        <v>148975</v>
      </c>
      <c r="S59" s="415">
        <v>8.2063000000000006</v>
      </c>
      <c r="T59" s="415">
        <v>6.1447000000000003</v>
      </c>
      <c r="U59" s="422">
        <v>2.0615999999999999</v>
      </c>
      <c r="V59" s="423">
        <f t="shared" si="9"/>
        <v>35000</v>
      </c>
      <c r="W59" s="417">
        <f t="shared" si="9"/>
        <v>-18000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10"/>
        <v>35000</v>
      </c>
      <c r="AF59" s="417">
        <f t="shared" si="11"/>
        <v>-18000</v>
      </c>
      <c r="AG59" s="417">
        <f t="shared" si="12"/>
        <v>17000</v>
      </c>
      <c r="AH59" s="417">
        <v>-35000</v>
      </c>
      <c r="AI59" s="417">
        <v>18000</v>
      </c>
      <c r="AJ59" s="417">
        <v>0</v>
      </c>
      <c r="AK59" s="417">
        <v>0</v>
      </c>
      <c r="AL59" s="417">
        <v>0</v>
      </c>
      <c r="AM59" s="417">
        <f t="shared" si="13"/>
        <v>-35000</v>
      </c>
      <c r="AN59" s="417">
        <f t="shared" si="14"/>
        <v>18000</v>
      </c>
      <c r="AO59" s="417">
        <f t="shared" si="15"/>
        <v>-17000</v>
      </c>
      <c r="AP59" s="417">
        <f t="shared" si="16"/>
        <v>0</v>
      </c>
      <c r="AQ59" s="417">
        <f t="shared" si="16"/>
        <v>0</v>
      </c>
      <c r="AR59" s="417">
        <f t="shared" si="17"/>
        <v>0</v>
      </c>
      <c r="AS59" s="68">
        <f t="shared" si="18"/>
        <v>0</v>
      </c>
      <c r="AT59" s="68">
        <f t="shared" si="19"/>
        <v>170</v>
      </c>
      <c r="AU59" s="417">
        <v>0</v>
      </c>
      <c r="AV59" s="417">
        <v>0</v>
      </c>
      <c r="AW59" s="417">
        <v>0</v>
      </c>
      <c r="AX59" s="417">
        <f t="shared" si="20"/>
        <v>0</v>
      </c>
      <c r="AY59" s="417">
        <f t="shared" si="21"/>
        <v>170</v>
      </c>
      <c r="AZ59" s="418">
        <v>0</v>
      </c>
      <c r="BA59" s="418">
        <v>-0.03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22"/>
        <v>0</v>
      </c>
      <c r="BJ59" s="418">
        <f t="shared" si="23"/>
        <v>-0.03</v>
      </c>
      <c r="BK59" s="420">
        <f t="shared" si="24"/>
        <v>-0.03</v>
      </c>
      <c r="BL59" s="772">
        <f>I59+AY59</f>
        <v>6821380</v>
      </c>
      <c r="BM59" s="772">
        <f>J59+AG59</f>
        <v>4911444</v>
      </c>
      <c r="BN59" s="417">
        <f t="shared" ref="BN59:BO63" si="83">K59+AE59</f>
        <v>4217911</v>
      </c>
      <c r="BO59" s="417">
        <f t="shared" si="83"/>
        <v>693533</v>
      </c>
      <c r="BP59" s="417">
        <f>M59+AO59</f>
        <v>38700</v>
      </c>
      <c r="BQ59" s="417">
        <f t="shared" ref="BQ59:BR63" si="84">N59+AM59</f>
        <v>8700</v>
      </c>
      <c r="BR59" s="417">
        <f t="shared" si="84"/>
        <v>30000</v>
      </c>
      <c r="BS59" s="417">
        <f t="shared" ref="BS59:BT63" si="85">P59+AS59</f>
        <v>1673147</v>
      </c>
      <c r="BT59" s="417">
        <f t="shared" si="85"/>
        <v>49114</v>
      </c>
      <c r="BU59" s="417">
        <f>R59+AX59</f>
        <v>148975</v>
      </c>
      <c r="BV59" s="418">
        <f>S59+BK59</f>
        <v>8.1763000000000012</v>
      </c>
      <c r="BW59" s="418">
        <f t="shared" ref="BW59:BX63" si="86">T59+BI59</f>
        <v>6.1447000000000003</v>
      </c>
      <c r="BX59" s="420">
        <f t="shared" si="86"/>
        <v>2.0316000000000001</v>
      </c>
      <c r="BY59" s="510">
        <v>152054</v>
      </c>
      <c r="BZ59" s="414">
        <v>112800</v>
      </c>
      <c r="CA59" s="414">
        <v>0</v>
      </c>
      <c r="CB59" s="414">
        <v>38126</v>
      </c>
      <c r="CC59" s="414">
        <v>1128</v>
      </c>
      <c r="CD59" s="509">
        <v>0.2</v>
      </c>
      <c r="CE59" s="1026">
        <v>339126</v>
      </c>
      <c r="CF59" s="1022">
        <v>232247</v>
      </c>
      <c r="CG59" s="1022">
        <v>78499</v>
      </c>
      <c r="CH59" s="1022">
        <v>2322</v>
      </c>
      <c r="CI59" s="1022">
        <v>26058</v>
      </c>
      <c r="CJ59" s="981">
        <v>0.66179999999999994</v>
      </c>
    </row>
    <row r="60" spans="1:88" ht="12.95" customHeight="1">
      <c r="A60" s="280">
        <v>12</v>
      </c>
      <c r="B60" s="212">
        <v>5481</v>
      </c>
      <c r="C60" s="212">
        <v>600099075</v>
      </c>
      <c r="D60" s="212">
        <v>72742739</v>
      </c>
      <c r="E60" s="211" t="s">
        <v>471</v>
      </c>
      <c r="F60" s="212">
        <v>3117</v>
      </c>
      <c r="G60" s="323" t="s">
        <v>291</v>
      </c>
      <c r="H60" s="285" t="s">
        <v>272</v>
      </c>
      <c r="I60" s="419">
        <v>909640</v>
      </c>
      <c r="J60" s="414">
        <v>674807</v>
      </c>
      <c r="K60" s="414">
        <v>674807</v>
      </c>
      <c r="L60" s="414">
        <v>0</v>
      </c>
      <c r="M60" s="414">
        <v>0</v>
      </c>
      <c r="N60" s="414">
        <v>0</v>
      </c>
      <c r="O60" s="414">
        <v>0</v>
      </c>
      <c r="P60" s="68">
        <v>228085</v>
      </c>
      <c r="Q60" s="68">
        <v>6748</v>
      </c>
      <c r="R60" s="414">
        <v>0</v>
      </c>
      <c r="S60" s="415">
        <v>1.7500000000000002</v>
      </c>
      <c r="T60" s="415">
        <v>1.7500000000000002</v>
      </c>
      <c r="U60" s="422">
        <v>0</v>
      </c>
      <c r="V60" s="423">
        <f t="shared" si="9"/>
        <v>0</v>
      </c>
      <c r="W60" s="417">
        <f t="shared" si="9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10"/>
        <v>0</v>
      </c>
      <c r="AF60" s="417">
        <f t="shared" si="11"/>
        <v>0</v>
      </c>
      <c r="AG60" s="417">
        <f t="shared" si="12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13"/>
        <v>0</v>
      </c>
      <c r="AN60" s="417">
        <f t="shared" si="14"/>
        <v>0</v>
      </c>
      <c r="AO60" s="417">
        <f t="shared" si="15"/>
        <v>0</v>
      </c>
      <c r="AP60" s="417">
        <f t="shared" si="16"/>
        <v>0</v>
      </c>
      <c r="AQ60" s="417">
        <f t="shared" si="16"/>
        <v>0</v>
      </c>
      <c r="AR60" s="417">
        <f t="shared" si="17"/>
        <v>0</v>
      </c>
      <c r="AS60" s="68">
        <f t="shared" si="18"/>
        <v>0</v>
      </c>
      <c r="AT60" s="68">
        <f t="shared" si="19"/>
        <v>0</v>
      </c>
      <c r="AU60" s="417">
        <v>0</v>
      </c>
      <c r="AV60" s="417">
        <v>0</v>
      </c>
      <c r="AW60" s="417">
        <v>0</v>
      </c>
      <c r="AX60" s="417">
        <f t="shared" si="20"/>
        <v>0</v>
      </c>
      <c r="AY60" s="417">
        <f t="shared" si="21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22"/>
        <v>0</v>
      </c>
      <c r="BJ60" s="418">
        <f t="shared" si="23"/>
        <v>0</v>
      </c>
      <c r="BK60" s="420">
        <f t="shared" si="24"/>
        <v>0</v>
      </c>
      <c r="BL60" s="772">
        <f>I60+AY60</f>
        <v>909640</v>
      </c>
      <c r="BM60" s="772">
        <f>J60+AG60</f>
        <v>674807</v>
      </c>
      <c r="BN60" s="417">
        <f t="shared" si="83"/>
        <v>674807</v>
      </c>
      <c r="BO60" s="417">
        <f t="shared" si="83"/>
        <v>0</v>
      </c>
      <c r="BP60" s="417">
        <f>M60+AO60</f>
        <v>0</v>
      </c>
      <c r="BQ60" s="417">
        <f t="shared" si="84"/>
        <v>0</v>
      </c>
      <c r="BR60" s="417">
        <f t="shared" si="84"/>
        <v>0</v>
      </c>
      <c r="BS60" s="417">
        <f t="shared" si="85"/>
        <v>228085</v>
      </c>
      <c r="BT60" s="417">
        <f t="shared" si="85"/>
        <v>6748</v>
      </c>
      <c r="BU60" s="417">
        <f>R60+AX60</f>
        <v>0</v>
      </c>
      <c r="BV60" s="418">
        <f>S60+BK60</f>
        <v>1.7500000000000002</v>
      </c>
      <c r="BW60" s="418">
        <f t="shared" si="86"/>
        <v>1.7500000000000002</v>
      </c>
      <c r="BX60" s="420">
        <f t="shared" si="86"/>
        <v>0</v>
      </c>
      <c r="BY60" s="510"/>
      <c r="BZ60" s="414"/>
      <c r="CA60" s="414"/>
      <c r="CB60" s="414"/>
      <c r="CC60" s="414"/>
      <c r="CD60" s="509"/>
      <c r="CE60" s="1021"/>
      <c r="CF60" s="1022"/>
      <c r="CG60" s="1022"/>
      <c r="CH60" s="1022"/>
      <c r="CI60" s="1022"/>
      <c r="CJ60" s="981"/>
    </row>
    <row r="61" spans="1:88" ht="12.95" customHeight="1">
      <c r="A61" s="280">
        <v>12</v>
      </c>
      <c r="B61" s="212">
        <v>5481</v>
      </c>
      <c r="C61" s="212">
        <v>600099075</v>
      </c>
      <c r="D61" s="212">
        <v>72742739</v>
      </c>
      <c r="E61" s="211" t="s">
        <v>471</v>
      </c>
      <c r="F61" s="212">
        <v>3141</v>
      </c>
      <c r="G61" s="323" t="s">
        <v>294</v>
      </c>
      <c r="H61" s="285" t="s">
        <v>272</v>
      </c>
      <c r="I61" s="419">
        <v>352798</v>
      </c>
      <c r="J61" s="414">
        <v>234433</v>
      </c>
      <c r="K61" s="414">
        <v>0</v>
      </c>
      <c r="L61" s="629">
        <v>234433</v>
      </c>
      <c r="M61" s="414">
        <v>25000</v>
      </c>
      <c r="N61" s="414">
        <v>0</v>
      </c>
      <c r="O61" s="414">
        <v>25000</v>
      </c>
      <c r="P61" s="68">
        <v>87689</v>
      </c>
      <c r="Q61" s="68">
        <v>2344</v>
      </c>
      <c r="R61" s="629">
        <v>3332</v>
      </c>
      <c r="S61" s="415">
        <v>0.78</v>
      </c>
      <c r="T61" s="415">
        <v>0</v>
      </c>
      <c r="U61" s="764">
        <v>0.78</v>
      </c>
      <c r="V61" s="423">
        <f t="shared" si="9"/>
        <v>0</v>
      </c>
      <c r="W61" s="417">
        <f t="shared" si="9"/>
        <v>25000</v>
      </c>
      <c r="X61" s="417">
        <v>0</v>
      </c>
      <c r="Y61" s="417">
        <v>0</v>
      </c>
      <c r="Z61" s="417">
        <v>0</v>
      </c>
      <c r="AA61" s="417">
        <v>2682</v>
      </c>
      <c r="AB61" s="417">
        <v>0</v>
      </c>
      <c r="AC61" s="417">
        <v>0</v>
      </c>
      <c r="AD61" s="417">
        <v>0</v>
      </c>
      <c r="AE61" s="417">
        <f t="shared" si="10"/>
        <v>0</v>
      </c>
      <c r="AF61" s="417">
        <f t="shared" si="11"/>
        <v>27682</v>
      </c>
      <c r="AG61" s="417">
        <f t="shared" si="12"/>
        <v>27682</v>
      </c>
      <c r="AH61" s="417">
        <v>0</v>
      </c>
      <c r="AI61" s="417">
        <v>-25000</v>
      </c>
      <c r="AJ61" s="417">
        <v>0</v>
      </c>
      <c r="AK61" s="417">
        <v>0</v>
      </c>
      <c r="AL61" s="417">
        <v>0</v>
      </c>
      <c r="AM61" s="417">
        <f t="shared" si="13"/>
        <v>0</v>
      </c>
      <c r="AN61" s="417">
        <f t="shared" si="14"/>
        <v>-25000</v>
      </c>
      <c r="AO61" s="417">
        <f t="shared" si="15"/>
        <v>-25000</v>
      </c>
      <c r="AP61" s="417">
        <f t="shared" si="16"/>
        <v>0</v>
      </c>
      <c r="AQ61" s="417">
        <f t="shared" si="16"/>
        <v>2682</v>
      </c>
      <c r="AR61" s="417">
        <f t="shared" si="17"/>
        <v>2682</v>
      </c>
      <c r="AS61" s="68">
        <f t="shared" si="18"/>
        <v>907</v>
      </c>
      <c r="AT61" s="68">
        <f t="shared" si="19"/>
        <v>277</v>
      </c>
      <c r="AU61" s="417">
        <v>0</v>
      </c>
      <c r="AV61" s="417">
        <v>0</v>
      </c>
      <c r="AW61" s="417">
        <v>0</v>
      </c>
      <c r="AX61" s="417">
        <f t="shared" si="20"/>
        <v>0</v>
      </c>
      <c r="AY61" s="417">
        <f t="shared" si="21"/>
        <v>3866</v>
      </c>
      <c r="AZ61" s="418">
        <v>0</v>
      </c>
      <c r="BA61" s="418">
        <v>0</v>
      </c>
      <c r="BB61" s="418">
        <v>0</v>
      </c>
      <c r="BC61" s="418">
        <v>0</v>
      </c>
      <c r="BD61" s="418">
        <v>0.01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22"/>
        <v>0</v>
      </c>
      <c r="BJ61" s="418">
        <f t="shared" si="23"/>
        <v>0.01</v>
      </c>
      <c r="BK61" s="420">
        <f t="shared" si="24"/>
        <v>0.01</v>
      </c>
      <c r="BL61" s="772">
        <f>I61+AY61</f>
        <v>356664</v>
      </c>
      <c r="BM61" s="772">
        <f>J61+AG61</f>
        <v>262115</v>
      </c>
      <c r="BN61" s="417">
        <f t="shared" si="83"/>
        <v>0</v>
      </c>
      <c r="BO61" s="417">
        <f t="shared" si="83"/>
        <v>262115</v>
      </c>
      <c r="BP61" s="417">
        <f>M61+AO61</f>
        <v>0</v>
      </c>
      <c r="BQ61" s="417">
        <f t="shared" si="84"/>
        <v>0</v>
      </c>
      <c r="BR61" s="417">
        <f t="shared" si="84"/>
        <v>0</v>
      </c>
      <c r="BS61" s="417">
        <f t="shared" si="85"/>
        <v>88596</v>
      </c>
      <c r="BT61" s="417">
        <f t="shared" si="85"/>
        <v>2621</v>
      </c>
      <c r="BU61" s="417">
        <f>R61+AX61</f>
        <v>3332</v>
      </c>
      <c r="BV61" s="418">
        <f>S61+BK61</f>
        <v>0.79</v>
      </c>
      <c r="BW61" s="418">
        <f t="shared" si="86"/>
        <v>0</v>
      </c>
      <c r="BX61" s="420">
        <f t="shared" si="86"/>
        <v>0.79</v>
      </c>
      <c r="BY61" s="510"/>
      <c r="BZ61" s="414"/>
      <c r="CA61" s="414"/>
      <c r="CB61" s="414"/>
      <c r="CC61" s="414"/>
      <c r="CD61" s="509"/>
      <c r="CE61" s="1021"/>
      <c r="CF61" s="1022"/>
      <c r="CG61" s="1022"/>
      <c r="CH61" s="1022"/>
      <c r="CI61" s="1022"/>
      <c r="CJ61" s="981"/>
    </row>
    <row r="62" spans="1:88" ht="12.95" customHeight="1">
      <c r="A62" s="280">
        <v>12</v>
      </c>
      <c r="B62" s="212">
        <v>5481</v>
      </c>
      <c r="C62" s="212">
        <v>600099075</v>
      </c>
      <c r="D62" s="212">
        <v>72742739</v>
      </c>
      <c r="E62" s="211" t="s">
        <v>471</v>
      </c>
      <c r="F62" s="212">
        <v>3143</v>
      </c>
      <c r="G62" s="323" t="s">
        <v>595</v>
      </c>
      <c r="H62" s="285" t="s">
        <v>271</v>
      </c>
      <c r="I62" s="419">
        <v>1086658</v>
      </c>
      <c r="J62" s="414">
        <v>806126</v>
      </c>
      <c r="K62" s="414">
        <v>806126</v>
      </c>
      <c r="L62" s="414">
        <v>0</v>
      </c>
      <c r="M62" s="414">
        <v>0</v>
      </c>
      <c r="N62" s="414">
        <v>0</v>
      </c>
      <c r="O62" s="414">
        <v>0</v>
      </c>
      <c r="P62" s="68">
        <v>272471</v>
      </c>
      <c r="Q62" s="68">
        <v>8061</v>
      </c>
      <c r="R62" s="414">
        <v>0</v>
      </c>
      <c r="S62" s="415">
        <v>1.5</v>
      </c>
      <c r="T62" s="415">
        <v>1.5</v>
      </c>
      <c r="U62" s="422">
        <v>0</v>
      </c>
      <c r="V62" s="423">
        <f t="shared" si="9"/>
        <v>0</v>
      </c>
      <c r="W62" s="417">
        <f t="shared" si="9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10"/>
        <v>0</v>
      </c>
      <c r="AF62" s="417">
        <f t="shared" si="11"/>
        <v>0</v>
      </c>
      <c r="AG62" s="417">
        <f t="shared" si="12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13"/>
        <v>0</v>
      </c>
      <c r="AN62" s="417">
        <f t="shared" si="14"/>
        <v>0</v>
      </c>
      <c r="AO62" s="417">
        <f t="shared" si="15"/>
        <v>0</v>
      </c>
      <c r="AP62" s="417">
        <f t="shared" si="16"/>
        <v>0</v>
      </c>
      <c r="AQ62" s="417">
        <f t="shared" si="16"/>
        <v>0</v>
      </c>
      <c r="AR62" s="417">
        <f t="shared" si="17"/>
        <v>0</v>
      </c>
      <c r="AS62" s="68">
        <f t="shared" si="18"/>
        <v>0</v>
      </c>
      <c r="AT62" s="68">
        <f t="shared" si="19"/>
        <v>0</v>
      </c>
      <c r="AU62" s="417">
        <v>0</v>
      </c>
      <c r="AV62" s="417">
        <v>0</v>
      </c>
      <c r="AW62" s="417">
        <v>0</v>
      </c>
      <c r="AX62" s="417">
        <f t="shared" si="20"/>
        <v>0</v>
      </c>
      <c r="AY62" s="417">
        <f t="shared" si="21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22"/>
        <v>0</v>
      </c>
      <c r="BJ62" s="418">
        <f t="shared" si="23"/>
        <v>0</v>
      </c>
      <c r="BK62" s="420">
        <f t="shared" si="24"/>
        <v>0</v>
      </c>
      <c r="BL62" s="772">
        <f>I62+AY62</f>
        <v>1086658</v>
      </c>
      <c r="BM62" s="772">
        <f>J62+AG62</f>
        <v>806126</v>
      </c>
      <c r="BN62" s="417">
        <f t="shared" si="83"/>
        <v>806126</v>
      </c>
      <c r="BO62" s="417">
        <f t="shared" si="83"/>
        <v>0</v>
      </c>
      <c r="BP62" s="417">
        <f>M62+AO62</f>
        <v>0</v>
      </c>
      <c r="BQ62" s="417">
        <f t="shared" si="84"/>
        <v>0</v>
      </c>
      <c r="BR62" s="417">
        <f t="shared" si="84"/>
        <v>0</v>
      </c>
      <c r="BS62" s="417">
        <f t="shared" si="85"/>
        <v>272471</v>
      </c>
      <c r="BT62" s="417">
        <f t="shared" si="85"/>
        <v>8061</v>
      </c>
      <c r="BU62" s="417">
        <f>R62+AX62</f>
        <v>0</v>
      </c>
      <c r="BV62" s="418">
        <f>S62+BK62</f>
        <v>1.5</v>
      </c>
      <c r="BW62" s="418">
        <f t="shared" si="86"/>
        <v>1.5</v>
      </c>
      <c r="BX62" s="420">
        <f t="shared" si="86"/>
        <v>0</v>
      </c>
      <c r="BY62" s="510"/>
      <c r="BZ62" s="414"/>
      <c r="CA62" s="414"/>
      <c r="CB62" s="414"/>
      <c r="CC62" s="414"/>
      <c r="CD62" s="509"/>
      <c r="CE62" s="1021"/>
      <c r="CF62" s="1022"/>
      <c r="CG62" s="1022"/>
      <c r="CH62" s="1022"/>
      <c r="CI62" s="1022"/>
      <c r="CJ62" s="981"/>
    </row>
    <row r="63" spans="1:88" ht="12.95" customHeight="1">
      <c r="A63" s="280">
        <v>12</v>
      </c>
      <c r="B63" s="212">
        <v>5481</v>
      </c>
      <c r="C63" s="212">
        <v>600099075</v>
      </c>
      <c r="D63" s="212">
        <v>72742739</v>
      </c>
      <c r="E63" s="211" t="s">
        <v>471</v>
      </c>
      <c r="F63" s="212">
        <v>3143</v>
      </c>
      <c r="G63" s="323" t="s">
        <v>596</v>
      </c>
      <c r="H63" s="285" t="s">
        <v>272</v>
      </c>
      <c r="I63" s="419">
        <v>45335</v>
      </c>
      <c r="J63" s="414">
        <v>32450</v>
      </c>
      <c r="K63" s="414">
        <v>0</v>
      </c>
      <c r="L63" s="414">
        <v>32450</v>
      </c>
      <c r="M63" s="414">
        <v>0</v>
      </c>
      <c r="N63" s="414">
        <v>0</v>
      </c>
      <c r="O63" s="414">
        <v>0</v>
      </c>
      <c r="P63" s="68">
        <v>10968</v>
      </c>
      <c r="Q63" s="68">
        <v>324</v>
      </c>
      <c r="R63" s="414">
        <v>1593</v>
      </c>
      <c r="S63" s="415">
        <v>0.12190000000000001</v>
      </c>
      <c r="T63" s="415">
        <v>0</v>
      </c>
      <c r="U63" s="422">
        <v>0.12190000000000001</v>
      </c>
      <c r="V63" s="423">
        <f t="shared" si="9"/>
        <v>0</v>
      </c>
      <c r="W63" s="417">
        <f t="shared" si="9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10"/>
        <v>0</v>
      </c>
      <c r="AF63" s="417">
        <f t="shared" si="11"/>
        <v>0</v>
      </c>
      <c r="AG63" s="417">
        <f t="shared" si="12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13"/>
        <v>0</v>
      </c>
      <c r="AN63" s="417">
        <f t="shared" si="14"/>
        <v>0</v>
      </c>
      <c r="AO63" s="417">
        <f t="shared" si="15"/>
        <v>0</v>
      </c>
      <c r="AP63" s="417">
        <f t="shared" si="16"/>
        <v>0</v>
      </c>
      <c r="AQ63" s="417">
        <f t="shared" si="16"/>
        <v>0</v>
      </c>
      <c r="AR63" s="417">
        <f t="shared" si="17"/>
        <v>0</v>
      </c>
      <c r="AS63" s="68">
        <f t="shared" si="18"/>
        <v>0</v>
      </c>
      <c r="AT63" s="68">
        <f t="shared" si="19"/>
        <v>0</v>
      </c>
      <c r="AU63" s="417">
        <v>0</v>
      </c>
      <c r="AV63" s="417">
        <v>0</v>
      </c>
      <c r="AW63" s="417">
        <v>0</v>
      </c>
      <c r="AX63" s="417">
        <f t="shared" si="20"/>
        <v>0</v>
      </c>
      <c r="AY63" s="417">
        <f t="shared" si="21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22"/>
        <v>0</v>
      </c>
      <c r="BJ63" s="418">
        <f t="shared" si="23"/>
        <v>0</v>
      </c>
      <c r="BK63" s="420">
        <f t="shared" si="24"/>
        <v>0</v>
      </c>
      <c r="BL63" s="772">
        <f>I63+AY63</f>
        <v>45335</v>
      </c>
      <c r="BM63" s="772">
        <f>J63+AG63</f>
        <v>32450</v>
      </c>
      <c r="BN63" s="417">
        <f t="shared" si="83"/>
        <v>0</v>
      </c>
      <c r="BO63" s="417">
        <f t="shared" si="83"/>
        <v>32450</v>
      </c>
      <c r="BP63" s="417">
        <f>M63+AO63</f>
        <v>0</v>
      </c>
      <c r="BQ63" s="417">
        <f t="shared" si="84"/>
        <v>0</v>
      </c>
      <c r="BR63" s="417">
        <f t="shared" si="84"/>
        <v>0</v>
      </c>
      <c r="BS63" s="417">
        <f t="shared" si="85"/>
        <v>10968</v>
      </c>
      <c r="BT63" s="417">
        <f t="shared" si="85"/>
        <v>324</v>
      </c>
      <c r="BU63" s="417">
        <f>R63+AX63</f>
        <v>1593</v>
      </c>
      <c r="BV63" s="418">
        <f>S63+BK63</f>
        <v>0.12190000000000001</v>
      </c>
      <c r="BW63" s="418">
        <f t="shared" si="86"/>
        <v>0</v>
      </c>
      <c r="BX63" s="420">
        <f t="shared" si="86"/>
        <v>0.12190000000000001</v>
      </c>
      <c r="BY63" s="510"/>
      <c r="BZ63" s="414"/>
      <c r="CA63" s="414"/>
      <c r="CB63" s="414"/>
      <c r="CC63" s="414"/>
      <c r="CD63" s="509"/>
      <c r="CE63" s="1021"/>
      <c r="CF63" s="1022"/>
      <c r="CG63" s="1022"/>
      <c r="CH63" s="1022"/>
      <c r="CI63" s="1022"/>
      <c r="CJ63" s="981"/>
    </row>
    <row r="64" spans="1:88" ht="12.95" customHeight="1">
      <c r="A64" s="213">
        <v>12</v>
      </c>
      <c r="B64" s="45">
        <v>5481</v>
      </c>
      <c r="C64" s="45">
        <v>600099075</v>
      </c>
      <c r="D64" s="45">
        <v>72742739</v>
      </c>
      <c r="E64" s="374" t="s">
        <v>472</v>
      </c>
      <c r="F64" s="45"/>
      <c r="G64" s="374"/>
      <c r="H64" s="182"/>
      <c r="I64" s="477">
        <v>9215641</v>
      </c>
      <c r="J64" s="475">
        <v>6642260</v>
      </c>
      <c r="K64" s="475">
        <v>5663844</v>
      </c>
      <c r="L64" s="475">
        <v>978416</v>
      </c>
      <c r="M64" s="475">
        <v>80700</v>
      </c>
      <c r="N64" s="475">
        <v>43700</v>
      </c>
      <c r="O64" s="475">
        <v>37000</v>
      </c>
      <c r="P64" s="475">
        <v>2272360</v>
      </c>
      <c r="Q64" s="475">
        <v>66421</v>
      </c>
      <c r="R64" s="475">
        <v>153900</v>
      </c>
      <c r="S64" s="476">
        <v>12.3582</v>
      </c>
      <c r="T64" s="476">
        <v>9.3947000000000003</v>
      </c>
      <c r="U64" s="535">
        <v>2.9634999999999998</v>
      </c>
      <c r="V64" s="477">
        <f t="shared" ref="V64:BK64" si="87">SUM(V59:V63)</f>
        <v>35000</v>
      </c>
      <c r="W64" s="475">
        <f t="shared" si="87"/>
        <v>7000</v>
      </c>
      <c r="X64" s="475">
        <f t="shared" si="87"/>
        <v>0</v>
      </c>
      <c r="Y64" s="475">
        <f t="shared" si="87"/>
        <v>0</v>
      </c>
      <c r="Z64" s="475">
        <f t="shared" si="87"/>
        <v>0</v>
      </c>
      <c r="AA64" s="475">
        <f t="shared" si="87"/>
        <v>2682</v>
      </c>
      <c r="AB64" s="475">
        <f t="shared" si="87"/>
        <v>0</v>
      </c>
      <c r="AC64" s="475">
        <f t="shared" si="87"/>
        <v>0</v>
      </c>
      <c r="AD64" s="475">
        <f t="shared" si="87"/>
        <v>0</v>
      </c>
      <c r="AE64" s="475">
        <f t="shared" si="87"/>
        <v>35000</v>
      </c>
      <c r="AF64" s="475">
        <f t="shared" si="87"/>
        <v>9682</v>
      </c>
      <c r="AG64" s="475">
        <f t="shared" si="87"/>
        <v>44682</v>
      </c>
      <c r="AH64" s="475">
        <f t="shared" si="87"/>
        <v>-35000</v>
      </c>
      <c r="AI64" s="475">
        <f t="shared" si="87"/>
        <v>-7000</v>
      </c>
      <c r="AJ64" s="475">
        <f t="shared" si="87"/>
        <v>0</v>
      </c>
      <c r="AK64" s="475">
        <f t="shared" si="87"/>
        <v>0</v>
      </c>
      <c r="AL64" s="475">
        <f t="shared" si="87"/>
        <v>0</v>
      </c>
      <c r="AM64" s="475">
        <f t="shared" si="87"/>
        <v>-35000</v>
      </c>
      <c r="AN64" s="475">
        <f t="shared" si="87"/>
        <v>-7000</v>
      </c>
      <c r="AO64" s="475">
        <f t="shared" si="87"/>
        <v>-42000</v>
      </c>
      <c r="AP64" s="475">
        <f t="shared" si="87"/>
        <v>0</v>
      </c>
      <c r="AQ64" s="475">
        <f t="shared" si="87"/>
        <v>2682</v>
      </c>
      <c r="AR64" s="475">
        <f t="shared" si="87"/>
        <v>2682</v>
      </c>
      <c r="AS64" s="475">
        <f t="shared" si="87"/>
        <v>907</v>
      </c>
      <c r="AT64" s="475">
        <f t="shared" si="87"/>
        <v>447</v>
      </c>
      <c r="AU64" s="475">
        <f t="shared" si="87"/>
        <v>0</v>
      </c>
      <c r="AV64" s="475">
        <f t="shared" si="87"/>
        <v>0</v>
      </c>
      <c r="AW64" s="475">
        <f t="shared" si="87"/>
        <v>0</v>
      </c>
      <c r="AX64" s="475">
        <f t="shared" si="87"/>
        <v>0</v>
      </c>
      <c r="AY64" s="475">
        <f t="shared" si="87"/>
        <v>4036</v>
      </c>
      <c r="AZ64" s="476">
        <f t="shared" si="87"/>
        <v>0</v>
      </c>
      <c r="BA64" s="476">
        <f t="shared" si="87"/>
        <v>-0.03</v>
      </c>
      <c r="BB64" s="476">
        <f t="shared" si="87"/>
        <v>0</v>
      </c>
      <c r="BC64" s="476">
        <f t="shared" si="87"/>
        <v>0</v>
      </c>
      <c r="BD64" s="476">
        <f t="shared" si="87"/>
        <v>0.01</v>
      </c>
      <c r="BE64" s="476">
        <f t="shared" si="87"/>
        <v>0</v>
      </c>
      <c r="BF64" s="476">
        <f t="shared" si="87"/>
        <v>0</v>
      </c>
      <c r="BG64" s="476">
        <f t="shared" si="87"/>
        <v>0</v>
      </c>
      <c r="BH64" s="476">
        <f t="shared" si="87"/>
        <v>0</v>
      </c>
      <c r="BI64" s="476">
        <f t="shared" si="87"/>
        <v>0</v>
      </c>
      <c r="BJ64" s="476">
        <f t="shared" si="87"/>
        <v>-1.9999999999999997E-2</v>
      </c>
      <c r="BK64" s="351">
        <f t="shared" si="87"/>
        <v>-1.9999999999999997E-2</v>
      </c>
      <c r="BL64" s="1077">
        <f t="shared" ref="BL64:CG64" si="88">SUM(BL59:BL63)</f>
        <v>9219677</v>
      </c>
      <c r="BM64" s="1077">
        <f t="shared" si="88"/>
        <v>6686942</v>
      </c>
      <c r="BN64" s="475">
        <f t="shared" si="88"/>
        <v>5698844</v>
      </c>
      <c r="BO64" s="475">
        <f t="shared" si="88"/>
        <v>988098</v>
      </c>
      <c r="BP64" s="475">
        <f t="shared" si="88"/>
        <v>38700</v>
      </c>
      <c r="BQ64" s="475">
        <f t="shared" si="88"/>
        <v>8700</v>
      </c>
      <c r="BR64" s="475">
        <f t="shared" si="88"/>
        <v>30000</v>
      </c>
      <c r="BS64" s="475">
        <f t="shared" si="88"/>
        <v>2273267</v>
      </c>
      <c r="BT64" s="475">
        <f t="shared" si="88"/>
        <v>66868</v>
      </c>
      <c r="BU64" s="475">
        <f t="shared" si="88"/>
        <v>153900</v>
      </c>
      <c r="BV64" s="476">
        <f t="shared" si="88"/>
        <v>12.338200000000001</v>
      </c>
      <c r="BW64" s="476">
        <f t="shared" si="88"/>
        <v>9.3947000000000003</v>
      </c>
      <c r="BX64" s="351">
        <f t="shared" si="88"/>
        <v>2.9435000000000002</v>
      </c>
      <c r="BY64" s="942">
        <f t="shared" si="88"/>
        <v>152054</v>
      </c>
      <c r="BZ64" s="723">
        <f t="shared" si="88"/>
        <v>112800</v>
      </c>
      <c r="CA64" s="723">
        <f t="shared" si="88"/>
        <v>0</v>
      </c>
      <c r="CB64" s="723">
        <f t="shared" si="88"/>
        <v>38126</v>
      </c>
      <c r="CC64" s="723">
        <f t="shared" si="88"/>
        <v>1128</v>
      </c>
      <c r="CD64" s="830">
        <f t="shared" si="88"/>
        <v>0.2</v>
      </c>
      <c r="CE64" s="1027">
        <f t="shared" si="88"/>
        <v>339126</v>
      </c>
      <c r="CF64" s="1027">
        <f t="shared" si="88"/>
        <v>232247</v>
      </c>
      <c r="CG64" s="1027">
        <f t="shared" si="88"/>
        <v>78499</v>
      </c>
      <c r="CH64" s="1027">
        <f t="shared" ref="CH64:CJ64" si="89">SUM(CH59:CH63)</f>
        <v>2322</v>
      </c>
      <c r="CI64" s="1027">
        <f t="shared" si="89"/>
        <v>26058</v>
      </c>
      <c r="CJ64" s="934">
        <f t="shared" si="89"/>
        <v>0.66179999999999994</v>
      </c>
    </row>
    <row r="65" spans="1:88" ht="12.95" customHeight="1">
      <c r="A65" s="280">
        <v>13</v>
      </c>
      <c r="B65" s="212">
        <v>5492</v>
      </c>
      <c r="C65" s="212">
        <v>691007322</v>
      </c>
      <c r="D65" s="212">
        <v>71294180</v>
      </c>
      <c r="E65" s="211" t="s">
        <v>473</v>
      </c>
      <c r="F65" s="212">
        <v>3114</v>
      </c>
      <c r="G65" s="331" t="s">
        <v>525</v>
      </c>
      <c r="H65" s="285" t="s">
        <v>271</v>
      </c>
      <c r="I65" s="419">
        <v>15141098</v>
      </c>
      <c r="J65" s="414">
        <v>10998318</v>
      </c>
      <c r="K65" s="414">
        <v>9699883</v>
      </c>
      <c r="L65" s="414">
        <v>1298435</v>
      </c>
      <c r="M65" s="414">
        <v>110000</v>
      </c>
      <c r="N65" s="414">
        <v>0</v>
      </c>
      <c r="O65" s="414">
        <v>110000</v>
      </c>
      <c r="P65" s="68">
        <v>3754612</v>
      </c>
      <c r="Q65" s="68">
        <v>109983</v>
      </c>
      <c r="R65" s="414">
        <v>168185</v>
      </c>
      <c r="S65" s="415">
        <v>16.734099999999998</v>
      </c>
      <c r="T65" s="415">
        <v>13</v>
      </c>
      <c r="U65" s="422">
        <v>3.7340999999999998</v>
      </c>
      <c r="V65" s="423">
        <f t="shared" si="9"/>
        <v>0</v>
      </c>
      <c r="W65" s="417">
        <f t="shared" si="9"/>
        <v>-65000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10"/>
        <v>0</v>
      </c>
      <c r="AF65" s="417">
        <f t="shared" si="11"/>
        <v>-65000</v>
      </c>
      <c r="AG65" s="417">
        <f t="shared" si="12"/>
        <v>-65000</v>
      </c>
      <c r="AH65" s="417">
        <v>0</v>
      </c>
      <c r="AI65" s="417">
        <v>65000</v>
      </c>
      <c r="AJ65" s="417">
        <v>0</v>
      </c>
      <c r="AK65" s="417">
        <v>0</v>
      </c>
      <c r="AL65" s="417">
        <v>0</v>
      </c>
      <c r="AM65" s="417">
        <f t="shared" si="13"/>
        <v>0</v>
      </c>
      <c r="AN65" s="417">
        <f t="shared" si="14"/>
        <v>65000</v>
      </c>
      <c r="AO65" s="417">
        <f t="shared" si="15"/>
        <v>65000</v>
      </c>
      <c r="AP65" s="417">
        <f t="shared" si="16"/>
        <v>0</v>
      </c>
      <c r="AQ65" s="417">
        <f t="shared" si="16"/>
        <v>0</v>
      </c>
      <c r="AR65" s="417">
        <f t="shared" si="17"/>
        <v>0</v>
      </c>
      <c r="AS65" s="68">
        <f t="shared" si="18"/>
        <v>0</v>
      </c>
      <c r="AT65" s="68">
        <f t="shared" si="19"/>
        <v>-650</v>
      </c>
      <c r="AU65" s="417">
        <v>0</v>
      </c>
      <c r="AV65" s="417">
        <v>0</v>
      </c>
      <c r="AW65" s="417">
        <v>0</v>
      </c>
      <c r="AX65" s="417">
        <f t="shared" si="20"/>
        <v>0</v>
      </c>
      <c r="AY65" s="417">
        <f t="shared" si="21"/>
        <v>-650</v>
      </c>
      <c r="AZ65" s="418">
        <v>0</v>
      </c>
      <c r="BA65" s="418">
        <v>-0.2</v>
      </c>
      <c r="BB65" s="418">
        <v>0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22"/>
        <v>0</v>
      </c>
      <c r="BJ65" s="418">
        <f t="shared" si="23"/>
        <v>-0.2</v>
      </c>
      <c r="BK65" s="420">
        <f t="shared" si="24"/>
        <v>-0.2</v>
      </c>
      <c r="BL65" s="772">
        <f>I65+AY65</f>
        <v>15140448</v>
      </c>
      <c r="BM65" s="772">
        <f>J65+AG65</f>
        <v>10933318</v>
      </c>
      <c r="BN65" s="417">
        <f t="shared" ref="BN65:BO68" si="90">K65+AE65</f>
        <v>9699883</v>
      </c>
      <c r="BO65" s="417">
        <f t="shared" si="90"/>
        <v>1233435</v>
      </c>
      <c r="BP65" s="417">
        <f>M65+AO65</f>
        <v>175000</v>
      </c>
      <c r="BQ65" s="417">
        <f t="shared" ref="BQ65:BR68" si="91">N65+AM65</f>
        <v>0</v>
      </c>
      <c r="BR65" s="417">
        <f t="shared" si="91"/>
        <v>175000</v>
      </c>
      <c r="BS65" s="417">
        <f t="shared" ref="BS65:BT68" si="92">P65+AS65</f>
        <v>3754612</v>
      </c>
      <c r="BT65" s="417">
        <f t="shared" si="92"/>
        <v>109333</v>
      </c>
      <c r="BU65" s="417">
        <f>R65+AX65</f>
        <v>168185</v>
      </c>
      <c r="BV65" s="418">
        <f>S65+BK65</f>
        <v>16.534099999999999</v>
      </c>
      <c r="BW65" s="418">
        <f t="shared" ref="BW65:BX68" si="93">T65+BI65</f>
        <v>13</v>
      </c>
      <c r="BX65" s="420">
        <f t="shared" si="93"/>
        <v>3.5340999999999996</v>
      </c>
      <c r="BY65" s="510"/>
      <c r="BZ65" s="414"/>
      <c r="CA65" s="414"/>
      <c r="CB65" s="414"/>
      <c r="CC65" s="414"/>
      <c r="CD65" s="509"/>
      <c r="CE65" s="1021">
        <v>654670</v>
      </c>
      <c r="CF65" s="1022">
        <v>451943</v>
      </c>
      <c r="CG65" s="1022">
        <v>152757</v>
      </c>
      <c r="CH65" s="1022">
        <v>4519</v>
      </c>
      <c r="CI65" s="1022">
        <v>45451</v>
      </c>
      <c r="CJ65" s="981">
        <v>1.3041</v>
      </c>
    </row>
    <row r="66" spans="1:88" ht="12.95" customHeight="1">
      <c r="A66" s="280">
        <v>13</v>
      </c>
      <c r="B66" s="212">
        <v>5492</v>
      </c>
      <c r="C66" s="212">
        <v>691007322</v>
      </c>
      <c r="D66" s="212">
        <v>71294180</v>
      </c>
      <c r="E66" s="211" t="s">
        <v>473</v>
      </c>
      <c r="F66" s="212">
        <v>3114</v>
      </c>
      <c r="G66" s="331" t="s">
        <v>292</v>
      </c>
      <c r="H66" s="285" t="s">
        <v>271</v>
      </c>
      <c r="I66" s="419">
        <v>1900704</v>
      </c>
      <c r="J66" s="414">
        <v>1410018</v>
      </c>
      <c r="K66" s="414">
        <v>1410018</v>
      </c>
      <c r="L66" s="414">
        <v>0</v>
      </c>
      <c r="M66" s="414">
        <v>0</v>
      </c>
      <c r="N66" s="414">
        <v>0</v>
      </c>
      <c r="O66" s="414">
        <v>0</v>
      </c>
      <c r="P66" s="68">
        <v>476586</v>
      </c>
      <c r="Q66" s="68">
        <v>14100</v>
      </c>
      <c r="R66" s="414">
        <v>0</v>
      </c>
      <c r="S66" s="415">
        <v>3.3889</v>
      </c>
      <c r="T66" s="415">
        <v>3.3889</v>
      </c>
      <c r="U66" s="422">
        <v>0</v>
      </c>
      <c r="V66" s="423">
        <f t="shared" si="9"/>
        <v>0</v>
      </c>
      <c r="W66" s="417">
        <f t="shared" si="9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10"/>
        <v>0</v>
      </c>
      <c r="AF66" s="417">
        <f t="shared" si="11"/>
        <v>0</v>
      </c>
      <c r="AG66" s="417">
        <f t="shared" si="12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13"/>
        <v>0</v>
      </c>
      <c r="AN66" s="417">
        <f t="shared" si="14"/>
        <v>0</v>
      </c>
      <c r="AO66" s="417">
        <f t="shared" si="15"/>
        <v>0</v>
      </c>
      <c r="AP66" s="417">
        <f t="shared" si="16"/>
        <v>0</v>
      </c>
      <c r="AQ66" s="417">
        <f t="shared" si="16"/>
        <v>0</v>
      </c>
      <c r="AR66" s="417">
        <f t="shared" si="17"/>
        <v>0</v>
      </c>
      <c r="AS66" s="68">
        <f t="shared" si="18"/>
        <v>0</v>
      </c>
      <c r="AT66" s="68">
        <f t="shared" si="19"/>
        <v>0</v>
      </c>
      <c r="AU66" s="417">
        <v>0</v>
      </c>
      <c r="AV66" s="417">
        <v>0</v>
      </c>
      <c r="AW66" s="417">
        <v>0</v>
      </c>
      <c r="AX66" s="417">
        <f t="shared" si="20"/>
        <v>0</v>
      </c>
      <c r="AY66" s="417">
        <f t="shared" si="21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22"/>
        <v>0</v>
      </c>
      <c r="BJ66" s="418">
        <f t="shared" si="23"/>
        <v>0</v>
      </c>
      <c r="BK66" s="420">
        <f t="shared" si="24"/>
        <v>0</v>
      </c>
      <c r="BL66" s="772">
        <f>I66+AY66</f>
        <v>1900704</v>
      </c>
      <c r="BM66" s="772">
        <f>J66+AG66</f>
        <v>1410018</v>
      </c>
      <c r="BN66" s="417">
        <f t="shared" si="90"/>
        <v>1410018</v>
      </c>
      <c r="BO66" s="417">
        <f t="shared" si="90"/>
        <v>0</v>
      </c>
      <c r="BP66" s="417">
        <f>M66+AO66</f>
        <v>0</v>
      </c>
      <c r="BQ66" s="417">
        <f t="shared" si="91"/>
        <v>0</v>
      </c>
      <c r="BR66" s="417">
        <f t="shared" si="91"/>
        <v>0</v>
      </c>
      <c r="BS66" s="417">
        <f t="shared" si="92"/>
        <v>476586</v>
      </c>
      <c r="BT66" s="417">
        <f t="shared" si="92"/>
        <v>14100</v>
      </c>
      <c r="BU66" s="417">
        <f>R66+AX66</f>
        <v>0</v>
      </c>
      <c r="BV66" s="418">
        <f>S66+BK66</f>
        <v>3.3889</v>
      </c>
      <c r="BW66" s="418">
        <f t="shared" si="93"/>
        <v>3.3889</v>
      </c>
      <c r="BX66" s="420">
        <f t="shared" si="93"/>
        <v>0</v>
      </c>
      <c r="BY66" s="510"/>
      <c r="BZ66" s="414"/>
      <c r="CA66" s="414"/>
      <c r="CB66" s="414"/>
      <c r="CC66" s="414"/>
      <c r="CD66" s="509"/>
      <c r="CE66" s="1021"/>
      <c r="CF66" s="1022"/>
      <c r="CG66" s="1022"/>
      <c r="CH66" s="1022"/>
      <c r="CI66" s="1022"/>
      <c r="CJ66" s="981"/>
    </row>
    <row r="67" spans="1:88" ht="12.95" customHeight="1">
      <c r="A67" s="280">
        <v>13</v>
      </c>
      <c r="B67" s="212">
        <v>5492</v>
      </c>
      <c r="C67" s="212">
        <v>691007322</v>
      </c>
      <c r="D67" s="212">
        <v>71294180</v>
      </c>
      <c r="E67" s="372" t="s">
        <v>473</v>
      </c>
      <c r="F67" s="212">
        <v>3143</v>
      </c>
      <c r="G67" s="323" t="s">
        <v>595</v>
      </c>
      <c r="H67" s="285" t="s">
        <v>271</v>
      </c>
      <c r="I67" s="419">
        <v>525049</v>
      </c>
      <c r="J67" s="414">
        <v>389502</v>
      </c>
      <c r="K67" s="414">
        <v>389502</v>
      </c>
      <c r="L67" s="414">
        <v>0</v>
      </c>
      <c r="M67" s="414">
        <v>0</v>
      </c>
      <c r="N67" s="414">
        <v>0</v>
      </c>
      <c r="O67" s="414">
        <v>0</v>
      </c>
      <c r="P67" s="68">
        <v>131652</v>
      </c>
      <c r="Q67" s="68">
        <v>3895</v>
      </c>
      <c r="R67" s="414">
        <v>0</v>
      </c>
      <c r="S67" s="415">
        <v>0.79990000000000006</v>
      </c>
      <c r="T67" s="415">
        <v>0.79990000000000006</v>
      </c>
      <c r="U67" s="422">
        <v>0</v>
      </c>
      <c r="V67" s="423">
        <f t="shared" si="9"/>
        <v>0</v>
      </c>
      <c r="W67" s="417">
        <f t="shared" si="9"/>
        <v>0</v>
      </c>
      <c r="X67" s="417">
        <v>0</v>
      </c>
      <c r="Y67" s="417">
        <v>0</v>
      </c>
      <c r="Z67" s="417">
        <v>128113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10"/>
        <v>128113</v>
      </c>
      <c r="AF67" s="417">
        <f t="shared" si="11"/>
        <v>0</v>
      </c>
      <c r="AG67" s="417">
        <f t="shared" si="12"/>
        <v>128113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13"/>
        <v>0</v>
      </c>
      <c r="AN67" s="417">
        <f t="shared" si="14"/>
        <v>0</v>
      </c>
      <c r="AO67" s="417">
        <f t="shared" si="15"/>
        <v>0</v>
      </c>
      <c r="AP67" s="417">
        <f t="shared" si="16"/>
        <v>128113</v>
      </c>
      <c r="AQ67" s="417">
        <f t="shared" si="16"/>
        <v>0</v>
      </c>
      <c r="AR67" s="417">
        <f t="shared" si="17"/>
        <v>128113</v>
      </c>
      <c r="AS67" s="68">
        <f t="shared" si="18"/>
        <v>43302</v>
      </c>
      <c r="AT67" s="68">
        <f t="shared" si="19"/>
        <v>1281</v>
      </c>
      <c r="AU67" s="417">
        <v>0</v>
      </c>
      <c r="AV67" s="417">
        <v>0</v>
      </c>
      <c r="AW67" s="417">
        <v>0</v>
      </c>
      <c r="AX67" s="417">
        <f t="shared" si="20"/>
        <v>0</v>
      </c>
      <c r="AY67" s="417">
        <f t="shared" si="21"/>
        <v>172696</v>
      </c>
      <c r="AZ67" s="418">
        <v>0</v>
      </c>
      <c r="BA67" s="418">
        <v>0</v>
      </c>
      <c r="BB67" s="418">
        <v>0</v>
      </c>
      <c r="BC67" s="418">
        <v>0.32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22"/>
        <v>0.32</v>
      </c>
      <c r="BJ67" s="418">
        <f t="shared" si="23"/>
        <v>0</v>
      </c>
      <c r="BK67" s="420">
        <f t="shared" si="24"/>
        <v>0.32</v>
      </c>
      <c r="BL67" s="772">
        <f>I67+AY67</f>
        <v>697745</v>
      </c>
      <c r="BM67" s="772">
        <f>J67+AG67</f>
        <v>517615</v>
      </c>
      <c r="BN67" s="417">
        <f t="shared" si="90"/>
        <v>517615</v>
      </c>
      <c r="BO67" s="417">
        <f t="shared" si="90"/>
        <v>0</v>
      </c>
      <c r="BP67" s="417">
        <f>M67+AO67</f>
        <v>0</v>
      </c>
      <c r="BQ67" s="417">
        <f t="shared" si="91"/>
        <v>0</v>
      </c>
      <c r="BR67" s="417">
        <f t="shared" si="91"/>
        <v>0</v>
      </c>
      <c r="BS67" s="417">
        <f t="shared" si="92"/>
        <v>174954</v>
      </c>
      <c r="BT67" s="417">
        <f t="shared" si="92"/>
        <v>5176</v>
      </c>
      <c r="BU67" s="417">
        <f>R67+AX67</f>
        <v>0</v>
      </c>
      <c r="BV67" s="418">
        <f>S67+BK67</f>
        <v>1.1199000000000001</v>
      </c>
      <c r="BW67" s="418">
        <f t="shared" si="93"/>
        <v>1.1199000000000001</v>
      </c>
      <c r="BX67" s="420">
        <f t="shared" si="93"/>
        <v>0</v>
      </c>
      <c r="BY67" s="510"/>
      <c r="BZ67" s="414"/>
      <c r="CA67" s="414"/>
      <c r="CB67" s="414"/>
      <c r="CC67" s="414"/>
      <c r="CD67" s="509"/>
      <c r="CE67" s="1021"/>
      <c r="CF67" s="1022"/>
      <c r="CG67" s="1022"/>
      <c r="CH67" s="1022"/>
      <c r="CI67" s="1022"/>
      <c r="CJ67" s="981"/>
    </row>
    <row r="68" spans="1:88" ht="12.95" customHeight="1">
      <c r="A68" s="280">
        <v>13</v>
      </c>
      <c r="B68" s="212">
        <v>5492</v>
      </c>
      <c r="C68" s="212">
        <v>691007322</v>
      </c>
      <c r="D68" s="212">
        <v>71294180</v>
      </c>
      <c r="E68" s="372" t="s">
        <v>473</v>
      </c>
      <c r="F68" s="212">
        <v>3143</v>
      </c>
      <c r="G68" s="323" t="s">
        <v>596</v>
      </c>
      <c r="H68" s="285" t="s">
        <v>272</v>
      </c>
      <c r="I68" s="419">
        <v>11527</v>
      </c>
      <c r="J68" s="414">
        <v>8250</v>
      </c>
      <c r="K68" s="414">
        <v>0</v>
      </c>
      <c r="L68" s="414">
        <v>8250</v>
      </c>
      <c r="M68" s="414">
        <v>0</v>
      </c>
      <c r="N68" s="414">
        <v>0</v>
      </c>
      <c r="O68" s="414">
        <v>0</v>
      </c>
      <c r="P68" s="68">
        <v>2789</v>
      </c>
      <c r="Q68" s="68">
        <v>83</v>
      </c>
      <c r="R68" s="414">
        <v>405</v>
      </c>
      <c r="S68" s="415">
        <v>3.0800000000000001E-2</v>
      </c>
      <c r="T68" s="415">
        <v>0</v>
      </c>
      <c r="U68" s="422">
        <v>3.0800000000000001E-2</v>
      </c>
      <c r="V68" s="423">
        <f t="shared" si="9"/>
        <v>0</v>
      </c>
      <c r="W68" s="417">
        <f t="shared" si="9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10"/>
        <v>0</v>
      </c>
      <c r="AF68" s="417">
        <f t="shared" si="11"/>
        <v>0</v>
      </c>
      <c r="AG68" s="417">
        <f t="shared" si="12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13"/>
        <v>0</v>
      </c>
      <c r="AN68" s="417">
        <f t="shared" si="14"/>
        <v>0</v>
      </c>
      <c r="AO68" s="417">
        <f t="shared" si="15"/>
        <v>0</v>
      </c>
      <c r="AP68" s="417">
        <f t="shared" si="16"/>
        <v>0</v>
      </c>
      <c r="AQ68" s="417">
        <f t="shared" si="16"/>
        <v>0</v>
      </c>
      <c r="AR68" s="417">
        <f t="shared" si="17"/>
        <v>0</v>
      </c>
      <c r="AS68" s="68">
        <f t="shared" si="18"/>
        <v>0</v>
      </c>
      <c r="AT68" s="68">
        <f t="shared" si="19"/>
        <v>0</v>
      </c>
      <c r="AU68" s="417">
        <v>0</v>
      </c>
      <c r="AV68" s="417">
        <v>0</v>
      </c>
      <c r="AW68" s="417">
        <v>0</v>
      </c>
      <c r="AX68" s="417">
        <f t="shared" si="20"/>
        <v>0</v>
      </c>
      <c r="AY68" s="417">
        <f t="shared" si="21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22"/>
        <v>0</v>
      </c>
      <c r="BJ68" s="418">
        <f t="shared" si="23"/>
        <v>0</v>
      </c>
      <c r="BK68" s="420">
        <f t="shared" si="24"/>
        <v>0</v>
      </c>
      <c r="BL68" s="772">
        <f>I68+AY68</f>
        <v>11527</v>
      </c>
      <c r="BM68" s="772">
        <f>J68+AG68</f>
        <v>8250</v>
      </c>
      <c r="BN68" s="417">
        <f t="shared" si="90"/>
        <v>0</v>
      </c>
      <c r="BO68" s="417">
        <f t="shared" si="90"/>
        <v>8250</v>
      </c>
      <c r="BP68" s="417">
        <f>M68+AO68</f>
        <v>0</v>
      </c>
      <c r="BQ68" s="417">
        <f t="shared" si="91"/>
        <v>0</v>
      </c>
      <c r="BR68" s="417">
        <f t="shared" si="91"/>
        <v>0</v>
      </c>
      <c r="BS68" s="417">
        <f t="shared" si="92"/>
        <v>2789</v>
      </c>
      <c r="BT68" s="417">
        <f t="shared" si="92"/>
        <v>83</v>
      </c>
      <c r="BU68" s="417">
        <f>R68+AX68</f>
        <v>405</v>
      </c>
      <c r="BV68" s="418">
        <f>S68+BK68</f>
        <v>3.0800000000000001E-2</v>
      </c>
      <c r="BW68" s="418">
        <f t="shared" si="93"/>
        <v>0</v>
      </c>
      <c r="BX68" s="420">
        <f t="shared" si="93"/>
        <v>3.0800000000000001E-2</v>
      </c>
      <c r="BY68" s="510"/>
      <c r="BZ68" s="414"/>
      <c r="CA68" s="414"/>
      <c r="CB68" s="414"/>
      <c r="CC68" s="414"/>
      <c r="CD68" s="509"/>
      <c r="CE68" s="1021"/>
      <c r="CF68" s="1022"/>
      <c r="CG68" s="1022"/>
      <c r="CH68" s="1022"/>
      <c r="CI68" s="1022"/>
      <c r="CJ68" s="981"/>
    </row>
    <row r="69" spans="1:88" ht="12.95" customHeight="1">
      <c r="A69" s="213">
        <v>13</v>
      </c>
      <c r="B69" s="45">
        <v>5492</v>
      </c>
      <c r="C69" s="45">
        <v>691007322</v>
      </c>
      <c r="D69" s="45">
        <v>71294180</v>
      </c>
      <c r="E69" s="374" t="s">
        <v>474</v>
      </c>
      <c r="F69" s="45"/>
      <c r="G69" s="374"/>
      <c r="H69" s="182"/>
      <c r="I69" s="477">
        <v>17578378</v>
      </c>
      <c r="J69" s="475">
        <v>12806088</v>
      </c>
      <c r="K69" s="475">
        <v>11499403</v>
      </c>
      <c r="L69" s="475">
        <v>1306685</v>
      </c>
      <c r="M69" s="475">
        <v>110000</v>
      </c>
      <c r="N69" s="475">
        <v>0</v>
      </c>
      <c r="O69" s="475">
        <v>110000</v>
      </c>
      <c r="P69" s="475">
        <v>4365639</v>
      </c>
      <c r="Q69" s="475">
        <v>128061</v>
      </c>
      <c r="R69" s="475">
        <v>168590</v>
      </c>
      <c r="S69" s="476">
        <v>20.953699999999998</v>
      </c>
      <c r="T69" s="476">
        <v>17.188800000000001</v>
      </c>
      <c r="U69" s="535">
        <v>3.7648999999999999</v>
      </c>
      <c r="V69" s="477">
        <f t="shared" ref="V69:BK69" si="94">SUM(V65:V68)</f>
        <v>0</v>
      </c>
      <c r="W69" s="475">
        <f t="shared" si="94"/>
        <v>-65000</v>
      </c>
      <c r="X69" s="475">
        <f t="shared" si="94"/>
        <v>0</v>
      </c>
      <c r="Y69" s="475">
        <f t="shared" si="94"/>
        <v>0</v>
      </c>
      <c r="Z69" s="475">
        <f t="shared" si="94"/>
        <v>128113</v>
      </c>
      <c r="AA69" s="475">
        <f t="shared" si="94"/>
        <v>0</v>
      </c>
      <c r="AB69" s="475">
        <f t="shared" si="94"/>
        <v>0</v>
      </c>
      <c r="AC69" s="475">
        <f t="shared" si="94"/>
        <v>0</v>
      </c>
      <c r="AD69" s="475">
        <f t="shared" si="94"/>
        <v>0</v>
      </c>
      <c r="AE69" s="475">
        <f t="shared" si="94"/>
        <v>128113</v>
      </c>
      <c r="AF69" s="475">
        <f t="shared" si="94"/>
        <v>-65000</v>
      </c>
      <c r="AG69" s="475">
        <f t="shared" si="94"/>
        <v>63113</v>
      </c>
      <c r="AH69" s="475">
        <f t="shared" si="94"/>
        <v>0</v>
      </c>
      <c r="AI69" s="475">
        <f t="shared" si="94"/>
        <v>65000</v>
      </c>
      <c r="AJ69" s="475">
        <f t="shared" si="94"/>
        <v>0</v>
      </c>
      <c r="AK69" s="475">
        <f t="shared" si="94"/>
        <v>0</v>
      </c>
      <c r="AL69" s="475">
        <f t="shared" si="94"/>
        <v>0</v>
      </c>
      <c r="AM69" s="475">
        <f t="shared" si="94"/>
        <v>0</v>
      </c>
      <c r="AN69" s="475">
        <f t="shared" si="94"/>
        <v>65000</v>
      </c>
      <c r="AO69" s="475">
        <f t="shared" si="94"/>
        <v>65000</v>
      </c>
      <c r="AP69" s="475">
        <f t="shared" si="94"/>
        <v>128113</v>
      </c>
      <c r="AQ69" s="475">
        <f t="shared" si="94"/>
        <v>0</v>
      </c>
      <c r="AR69" s="475">
        <f t="shared" si="94"/>
        <v>128113</v>
      </c>
      <c r="AS69" s="475">
        <f t="shared" si="94"/>
        <v>43302</v>
      </c>
      <c r="AT69" s="475">
        <f t="shared" si="94"/>
        <v>631</v>
      </c>
      <c r="AU69" s="475">
        <f t="shared" si="94"/>
        <v>0</v>
      </c>
      <c r="AV69" s="475">
        <f t="shared" si="94"/>
        <v>0</v>
      </c>
      <c r="AW69" s="475">
        <f t="shared" si="94"/>
        <v>0</v>
      </c>
      <c r="AX69" s="475">
        <f t="shared" si="94"/>
        <v>0</v>
      </c>
      <c r="AY69" s="475">
        <f t="shared" si="94"/>
        <v>172046</v>
      </c>
      <c r="AZ69" s="476">
        <f t="shared" si="94"/>
        <v>0</v>
      </c>
      <c r="BA69" s="476">
        <f t="shared" si="94"/>
        <v>-0.2</v>
      </c>
      <c r="BB69" s="476">
        <f t="shared" si="94"/>
        <v>0</v>
      </c>
      <c r="BC69" s="476">
        <f t="shared" si="94"/>
        <v>0.32</v>
      </c>
      <c r="BD69" s="476">
        <f t="shared" si="94"/>
        <v>0</v>
      </c>
      <c r="BE69" s="476">
        <f t="shared" si="94"/>
        <v>0</v>
      </c>
      <c r="BF69" s="476">
        <f t="shared" si="94"/>
        <v>0</v>
      </c>
      <c r="BG69" s="476">
        <f t="shared" si="94"/>
        <v>0</v>
      </c>
      <c r="BH69" s="476">
        <f t="shared" si="94"/>
        <v>0</v>
      </c>
      <c r="BI69" s="476">
        <f t="shared" si="94"/>
        <v>0.32</v>
      </c>
      <c r="BJ69" s="476">
        <f t="shared" si="94"/>
        <v>-0.2</v>
      </c>
      <c r="BK69" s="351">
        <f t="shared" si="94"/>
        <v>0.12</v>
      </c>
      <c r="BL69" s="1077">
        <f t="shared" ref="BL69:CG69" si="95">SUM(BL65:BL68)</f>
        <v>17750424</v>
      </c>
      <c r="BM69" s="1077">
        <f t="shared" si="95"/>
        <v>12869201</v>
      </c>
      <c r="BN69" s="475">
        <f t="shared" si="95"/>
        <v>11627516</v>
      </c>
      <c r="BO69" s="475">
        <f t="shared" si="95"/>
        <v>1241685</v>
      </c>
      <c r="BP69" s="475">
        <f t="shared" si="95"/>
        <v>175000</v>
      </c>
      <c r="BQ69" s="475">
        <f t="shared" si="95"/>
        <v>0</v>
      </c>
      <c r="BR69" s="475">
        <f t="shared" si="95"/>
        <v>175000</v>
      </c>
      <c r="BS69" s="475">
        <f t="shared" si="95"/>
        <v>4408941</v>
      </c>
      <c r="BT69" s="475">
        <f t="shared" si="95"/>
        <v>128692</v>
      </c>
      <c r="BU69" s="475">
        <f t="shared" si="95"/>
        <v>168590</v>
      </c>
      <c r="BV69" s="476">
        <f t="shared" si="95"/>
        <v>21.073699999999999</v>
      </c>
      <c r="BW69" s="476">
        <f t="shared" si="95"/>
        <v>17.508800000000001</v>
      </c>
      <c r="BX69" s="351">
        <f t="shared" si="95"/>
        <v>3.5648999999999997</v>
      </c>
      <c r="BY69" s="942">
        <f t="shared" si="95"/>
        <v>0</v>
      </c>
      <c r="BZ69" s="723">
        <f t="shared" si="95"/>
        <v>0</v>
      </c>
      <c r="CA69" s="723">
        <f t="shared" si="95"/>
        <v>0</v>
      </c>
      <c r="CB69" s="723">
        <f t="shared" si="95"/>
        <v>0</v>
      </c>
      <c r="CC69" s="723">
        <f t="shared" si="95"/>
        <v>0</v>
      </c>
      <c r="CD69" s="830">
        <f t="shared" si="95"/>
        <v>0</v>
      </c>
      <c r="CE69" s="1027">
        <f t="shared" si="95"/>
        <v>654670</v>
      </c>
      <c r="CF69" s="1027">
        <f t="shared" si="95"/>
        <v>451943</v>
      </c>
      <c r="CG69" s="1027">
        <f t="shared" si="95"/>
        <v>152757</v>
      </c>
      <c r="CH69" s="1027">
        <f t="shared" ref="CH69:CJ69" si="96">SUM(CH65:CH68)</f>
        <v>4519</v>
      </c>
      <c r="CI69" s="1027">
        <f t="shared" si="96"/>
        <v>45451</v>
      </c>
      <c r="CJ69" s="934">
        <f t="shared" si="96"/>
        <v>1.3041</v>
      </c>
    </row>
    <row r="70" spans="1:88" ht="12.95" customHeight="1">
      <c r="A70" s="280">
        <v>14</v>
      </c>
      <c r="B70" s="212">
        <v>5457</v>
      </c>
      <c r="C70" s="212">
        <v>600099377</v>
      </c>
      <c r="D70" s="212">
        <v>855049</v>
      </c>
      <c r="E70" s="372" t="s">
        <v>475</v>
      </c>
      <c r="F70" s="212">
        <v>3113</v>
      </c>
      <c r="G70" s="372" t="s">
        <v>308</v>
      </c>
      <c r="H70" s="285" t="s">
        <v>271</v>
      </c>
      <c r="I70" s="419">
        <v>42979568</v>
      </c>
      <c r="J70" s="414">
        <v>31084026</v>
      </c>
      <c r="K70" s="414">
        <v>28111553</v>
      </c>
      <c r="L70" s="414">
        <v>2972473</v>
      </c>
      <c r="M70" s="414">
        <v>228880</v>
      </c>
      <c r="N70" s="414">
        <v>208880</v>
      </c>
      <c r="O70" s="414">
        <v>20000</v>
      </c>
      <c r="P70" s="68">
        <v>10583762</v>
      </c>
      <c r="Q70" s="68">
        <v>310840</v>
      </c>
      <c r="R70" s="414">
        <v>772060</v>
      </c>
      <c r="S70" s="415">
        <v>48.229800000000004</v>
      </c>
      <c r="T70" s="415">
        <v>39.020499999999998</v>
      </c>
      <c r="U70" s="422">
        <v>9.2093000000000007</v>
      </c>
      <c r="V70" s="423">
        <f t="shared" si="9"/>
        <v>165530</v>
      </c>
      <c r="W70" s="417">
        <f t="shared" si="9"/>
        <v>0</v>
      </c>
      <c r="X70" s="417">
        <v>0</v>
      </c>
      <c r="Y70" s="417">
        <v>0</v>
      </c>
      <c r="Z70" s="417">
        <v>365433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10"/>
        <v>530963</v>
      </c>
      <c r="AF70" s="417">
        <f t="shared" si="11"/>
        <v>0</v>
      </c>
      <c r="AG70" s="417">
        <f t="shared" si="12"/>
        <v>530963</v>
      </c>
      <c r="AH70" s="417">
        <v>-165530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13"/>
        <v>-165530</v>
      </c>
      <c r="AN70" s="417">
        <f t="shared" si="14"/>
        <v>0</v>
      </c>
      <c r="AO70" s="417">
        <f t="shared" si="15"/>
        <v>-165530</v>
      </c>
      <c r="AP70" s="417">
        <f t="shared" si="16"/>
        <v>365433</v>
      </c>
      <c r="AQ70" s="417">
        <f t="shared" si="16"/>
        <v>0</v>
      </c>
      <c r="AR70" s="417">
        <f t="shared" si="17"/>
        <v>365433</v>
      </c>
      <c r="AS70" s="68">
        <f t="shared" si="18"/>
        <v>123516</v>
      </c>
      <c r="AT70" s="68">
        <f t="shared" si="19"/>
        <v>5310</v>
      </c>
      <c r="AU70" s="417">
        <v>0</v>
      </c>
      <c r="AV70" s="417">
        <v>0</v>
      </c>
      <c r="AW70" s="417">
        <v>0</v>
      </c>
      <c r="AX70" s="417">
        <f t="shared" si="20"/>
        <v>0</v>
      </c>
      <c r="AY70" s="417">
        <f t="shared" si="21"/>
        <v>494259</v>
      </c>
      <c r="AZ70" s="418">
        <v>-0.04</v>
      </c>
      <c r="BA70" s="418">
        <v>0</v>
      </c>
      <c r="BB70" s="418">
        <v>0</v>
      </c>
      <c r="BC70" s="418">
        <v>0.72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22"/>
        <v>0.67999999999999994</v>
      </c>
      <c r="BJ70" s="418">
        <f t="shared" si="23"/>
        <v>0</v>
      </c>
      <c r="BK70" s="420">
        <f t="shared" si="24"/>
        <v>0.67999999999999994</v>
      </c>
      <c r="BL70" s="772">
        <f t="shared" ref="BL70:BL75" si="97">I70+AY70</f>
        <v>43473827</v>
      </c>
      <c r="BM70" s="772">
        <f t="shared" ref="BM70:BM75" si="98">J70+AG70</f>
        <v>31614989</v>
      </c>
      <c r="BN70" s="417">
        <f t="shared" ref="BN70:BO75" si="99">K70+AE70</f>
        <v>28642516</v>
      </c>
      <c r="BO70" s="417">
        <f t="shared" si="99"/>
        <v>2972473</v>
      </c>
      <c r="BP70" s="417">
        <f t="shared" ref="BP70:BP75" si="100">M70+AO70</f>
        <v>63350</v>
      </c>
      <c r="BQ70" s="417">
        <f t="shared" ref="BQ70:BR75" si="101">N70+AM70</f>
        <v>43350</v>
      </c>
      <c r="BR70" s="417">
        <f t="shared" si="101"/>
        <v>20000</v>
      </c>
      <c r="BS70" s="417">
        <f t="shared" ref="BS70:BT75" si="102">P70+AS70</f>
        <v>10707278</v>
      </c>
      <c r="BT70" s="417">
        <f t="shared" si="102"/>
        <v>316150</v>
      </c>
      <c r="BU70" s="417">
        <f t="shared" ref="BU70:BU75" si="103">R70+AX70</f>
        <v>772060</v>
      </c>
      <c r="BV70" s="418">
        <f t="shared" ref="BV70:BV75" si="104">S70+BK70</f>
        <v>48.909800000000004</v>
      </c>
      <c r="BW70" s="418">
        <f t="shared" ref="BW70:BX75" si="105">T70+BI70</f>
        <v>39.700499999999998</v>
      </c>
      <c r="BX70" s="420">
        <f t="shared" si="105"/>
        <v>9.2093000000000007</v>
      </c>
      <c r="BY70" s="510">
        <v>380136</v>
      </c>
      <c r="BZ70" s="414">
        <v>282000</v>
      </c>
      <c r="CA70" s="414">
        <v>0</v>
      </c>
      <c r="CB70" s="414">
        <v>95316</v>
      </c>
      <c r="CC70" s="414">
        <v>2820</v>
      </c>
      <c r="CD70" s="509">
        <v>0.5</v>
      </c>
      <c r="CE70" s="1026">
        <v>1479505</v>
      </c>
      <c r="CF70" s="1022">
        <v>960477</v>
      </c>
      <c r="CG70" s="1022">
        <v>324641</v>
      </c>
      <c r="CH70" s="1022">
        <v>9605</v>
      </c>
      <c r="CI70" s="1022">
        <v>184782</v>
      </c>
      <c r="CJ70" s="981">
        <v>2.956</v>
      </c>
    </row>
    <row r="71" spans="1:88" ht="12.95" customHeight="1">
      <c r="A71" s="280">
        <v>14</v>
      </c>
      <c r="B71" s="212">
        <v>5457</v>
      </c>
      <c r="C71" s="212">
        <v>600099377</v>
      </c>
      <c r="D71" s="212">
        <v>855049</v>
      </c>
      <c r="E71" s="211" t="s">
        <v>475</v>
      </c>
      <c r="F71" s="212">
        <v>3113</v>
      </c>
      <c r="G71" s="323" t="s">
        <v>291</v>
      </c>
      <c r="H71" s="285" t="s">
        <v>272</v>
      </c>
      <c r="I71" s="419">
        <v>4463230</v>
      </c>
      <c r="J71" s="414">
        <v>3281514</v>
      </c>
      <c r="K71" s="414">
        <v>3281514</v>
      </c>
      <c r="L71" s="414">
        <v>0</v>
      </c>
      <c r="M71" s="414">
        <v>0</v>
      </c>
      <c r="N71" s="414">
        <v>0</v>
      </c>
      <c r="O71" s="414">
        <v>0</v>
      </c>
      <c r="P71" s="68">
        <v>1109151</v>
      </c>
      <c r="Q71" s="68">
        <v>32815</v>
      </c>
      <c r="R71" s="414">
        <v>39750</v>
      </c>
      <c r="S71" s="415">
        <v>8.59</v>
      </c>
      <c r="T71" s="415">
        <v>8.59</v>
      </c>
      <c r="U71" s="422">
        <v>0</v>
      </c>
      <c r="V71" s="423">
        <f t="shared" si="9"/>
        <v>0</v>
      </c>
      <c r="W71" s="417">
        <f t="shared" si="9"/>
        <v>0</v>
      </c>
      <c r="X71" s="417">
        <v>46350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10"/>
        <v>46350</v>
      </c>
      <c r="AF71" s="417">
        <f t="shared" si="11"/>
        <v>0</v>
      </c>
      <c r="AG71" s="417">
        <f t="shared" si="12"/>
        <v>46350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13"/>
        <v>0</v>
      </c>
      <c r="AN71" s="417">
        <f t="shared" si="14"/>
        <v>0</v>
      </c>
      <c r="AO71" s="417">
        <f t="shared" si="15"/>
        <v>0</v>
      </c>
      <c r="AP71" s="417">
        <f t="shared" si="16"/>
        <v>46350</v>
      </c>
      <c r="AQ71" s="417">
        <f t="shared" si="16"/>
        <v>0</v>
      </c>
      <c r="AR71" s="417">
        <f t="shared" si="17"/>
        <v>46350</v>
      </c>
      <c r="AS71" s="68">
        <f t="shared" si="18"/>
        <v>15666</v>
      </c>
      <c r="AT71" s="68">
        <f t="shared" si="19"/>
        <v>464</v>
      </c>
      <c r="AU71" s="417">
        <v>500</v>
      </c>
      <c r="AV71" s="417">
        <v>0</v>
      </c>
      <c r="AW71" s="417">
        <v>0</v>
      </c>
      <c r="AX71" s="417">
        <f t="shared" si="20"/>
        <v>500</v>
      </c>
      <c r="AY71" s="417">
        <f t="shared" si="21"/>
        <v>62980</v>
      </c>
      <c r="AZ71" s="418">
        <v>0</v>
      </c>
      <c r="BA71" s="418">
        <v>0</v>
      </c>
      <c r="BB71" s="418">
        <v>0.13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22"/>
        <v>0.13</v>
      </c>
      <c r="BJ71" s="418">
        <f t="shared" si="23"/>
        <v>0</v>
      </c>
      <c r="BK71" s="420">
        <f t="shared" si="24"/>
        <v>0.13</v>
      </c>
      <c r="BL71" s="772">
        <f t="shared" si="97"/>
        <v>4526210</v>
      </c>
      <c r="BM71" s="772">
        <f t="shared" si="98"/>
        <v>3327864</v>
      </c>
      <c r="BN71" s="417">
        <f t="shared" si="99"/>
        <v>3327864</v>
      </c>
      <c r="BO71" s="417">
        <f t="shared" si="99"/>
        <v>0</v>
      </c>
      <c r="BP71" s="417">
        <f t="shared" si="100"/>
        <v>0</v>
      </c>
      <c r="BQ71" s="417">
        <f t="shared" si="101"/>
        <v>0</v>
      </c>
      <c r="BR71" s="417">
        <f t="shared" si="101"/>
        <v>0</v>
      </c>
      <c r="BS71" s="417">
        <f t="shared" si="102"/>
        <v>1124817</v>
      </c>
      <c r="BT71" s="417">
        <f t="shared" si="102"/>
        <v>33279</v>
      </c>
      <c r="BU71" s="417">
        <f t="shared" si="103"/>
        <v>40250</v>
      </c>
      <c r="BV71" s="418">
        <f t="shared" si="104"/>
        <v>8.7200000000000006</v>
      </c>
      <c r="BW71" s="418">
        <f t="shared" si="105"/>
        <v>8.7200000000000006</v>
      </c>
      <c r="BX71" s="420">
        <f t="shared" si="105"/>
        <v>0</v>
      </c>
      <c r="BY71" s="510"/>
      <c r="BZ71" s="414"/>
      <c r="CA71" s="414"/>
      <c r="CB71" s="414"/>
      <c r="CC71" s="414"/>
      <c r="CD71" s="509"/>
      <c r="CE71" s="1021"/>
      <c r="CF71" s="1022"/>
      <c r="CG71" s="1022"/>
      <c r="CH71" s="1022"/>
      <c r="CI71" s="1022"/>
      <c r="CJ71" s="981"/>
    </row>
    <row r="72" spans="1:88" ht="12.95" customHeight="1">
      <c r="A72" s="280">
        <v>14</v>
      </c>
      <c r="B72" s="370">
        <v>5457</v>
      </c>
      <c r="C72" s="370">
        <v>600099377</v>
      </c>
      <c r="D72" s="370">
        <v>855049</v>
      </c>
      <c r="E72" s="371" t="s">
        <v>475</v>
      </c>
      <c r="F72" s="370">
        <v>3141</v>
      </c>
      <c r="G72" s="373" t="s">
        <v>294</v>
      </c>
      <c r="H72" s="285" t="s">
        <v>272</v>
      </c>
      <c r="I72" s="419">
        <v>1368043</v>
      </c>
      <c r="J72" s="414">
        <v>971396</v>
      </c>
      <c r="K72" s="414">
        <v>0</v>
      </c>
      <c r="L72" s="414">
        <v>971396</v>
      </c>
      <c r="M72" s="414">
        <v>30000</v>
      </c>
      <c r="N72" s="414">
        <v>0</v>
      </c>
      <c r="O72" s="414">
        <v>30000</v>
      </c>
      <c r="P72" s="68">
        <v>338471</v>
      </c>
      <c r="Q72" s="68">
        <v>9714</v>
      </c>
      <c r="R72" s="414">
        <v>18462</v>
      </c>
      <c r="S72" s="415">
        <v>3</v>
      </c>
      <c r="T72" s="415">
        <v>0</v>
      </c>
      <c r="U72" s="422">
        <v>3</v>
      </c>
      <c r="V72" s="423">
        <f t="shared" si="9"/>
        <v>0</v>
      </c>
      <c r="W72" s="417">
        <f t="shared" si="9"/>
        <v>20000</v>
      </c>
      <c r="X72" s="417">
        <v>0</v>
      </c>
      <c r="Y72" s="417">
        <v>0</v>
      </c>
      <c r="Z72" s="417">
        <v>0</v>
      </c>
      <c r="AA72" s="417">
        <v>9338</v>
      </c>
      <c r="AB72" s="417">
        <v>0</v>
      </c>
      <c r="AC72" s="417">
        <v>0</v>
      </c>
      <c r="AD72" s="417">
        <v>0</v>
      </c>
      <c r="AE72" s="417">
        <f t="shared" si="10"/>
        <v>0</v>
      </c>
      <c r="AF72" s="417">
        <f t="shared" si="11"/>
        <v>29338</v>
      </c>
      <c r="AG72" s="417">
        <f t="shared" si="12"/>
        <v>29338</v>
      </c>
      <c r="AH72" s="417">
        <v>0</v>
      </c>
      <c r="AI72" s="417">
        <v>-20000</v>
      </c>
      <c r="AJ72" s="417">
        <v>0</v>
      </c>
      <c r="AK72" s="417">
        <v>0</v>
      </c>
      <c r="AL72" s="417">
        <v>0</v>
      </c>
      <c r="AM72" s="417">
        <f t="shared" si="13"/>
        <v>0</v>
      </c>
      <c r="AN72" s="417">
        <f t="shared" si="14"/>
        <v>-20000</v>
      </c>
      <c r="AO72" s="417">
        <f t="shared" si="15"/>
        <v>-20000</v>
      </c>
      <c r="AP72" s="417">
        <f t="shared" si="16"/>
        <v>0</v>
      </c>
      <c r="AQ72" s="417">
        <f t="shared" si="16"/>
        <v>9338</v>
      </c>
      <c r="AR72" s="417">
        <f t="shared" si="17"/>
        <v>9338</v>
      </c>
      <c r="AS72" s="68">
        <f t="shared" si="18"/>
        <v>3156</v>
      </c>
      <c r="AT72" s="68">
        <f t="shared" si="19"/>
        <v>293</v>
      </c>
      <c r="AU72" s="417">
        <v>0</v>
      </c>
      <c r="AV72" s="417">
        <v>0</v>
      </c>
      <c r="AW72" s="417">
        <v>0</v>
      </c>
      <c r="AX72" s="417">
        <f t="shared" si="20"/>
        <v>0</v>
      </c>
      <c r="AY72" s="417">
        <f t="shared" si="21"/>
        <v>12787</v>
      </c>
      <c r="AZ72" s="418">
        <v>0</v>
      </c>
      <c r="BA72" s="418">
        <v>0</v>
      </c>
      <c r="BB72" s="418">
        <v>0</v>
      </c>
      <c r="BC72" s="418">
        <v>0</v>
      </c>
      <c r="BD72" s="418">
        <v>0.03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22"/>
        <v>0</v>
      </c>
      <c r="BJ72" s="418">
        <f t="shared" si="23"/>
        <v>0.03</v>
      </c>
      <c r="BK72" s="420">
        <f t="shared" si="24"/>
        <v>0.03</v>
      </c>
      <c r="BL72" s="772">
        <f t="shared" si="97"/>
        <v>1380830</v>
      </c>
      <c r="BM72" s="772">
        <f t="shared" si="98"/>
        <v>1000734</v>
      </c>
      <c r="BN72" s="417">
        <f t="shared" si="99"/>
        <v>0</v>
      </c>
      <c r="BO72" s="417">
        <f t="shared" si="99"/>
        <v>1000734</v>
      </c>
      <c r="BP72" s="417">
        <f t="shared" si="100"/>
        <v>10000</v>
      </c>
      <c r="BQ72" s="417">
        <f t="shared" si="101"/>
        <v>0</v>
      </c>
      <c r="BR72" s="417">
        <f t="shared" si="101"/>
        <v>10000</v>
      </c>
      <c r="BS72" s="417">
        <f t="shared" si="102"/>
        <v>341627</v>
      </c>
      <c r="BT72" s="417">
        <f t="shared" si="102"/>
        <v>10007</v>
      </c>
      <c r="BU72" s="417">
        <f t="shared" si="103"/>
        <v>18462</v>
      </c>
      <c r="BV72" s="418">
        <f t="shared" si="104"/>
        <v>3.03</v>
      </c>
      <c r="BW72" s="418">
        <f t="shared" si="105"/>
        <v>0</v>
      </c>
      <c r="BX72" s="420">
        <f t="shared" si="105"/>
        <v>3.03</v>
      </c>
      <c r="BY72" s="510"/>
      <c r="BZ72" s="414"/>
      <c r="CA72" s="414"/>
      <c r="CB72" s="414"/>
      <c r="CC72" s="414"/>
      <c r="CD72" s="509"/>
      <c r="CE72" s="1021"/>
      <c r="CF72" s="1022"/>
      <c r="CG72" s="1022"/>
      <c r="CH72" s="1022"/>
      <c r="CI72" s="1022"/>
      <c r="CJ72" s="981"/>
    </row>
    <row r="73" spans="1:88" ht="12.95" customHeight="1">
      <c r="A73" s="280">
        <v>14</v>
      </c>
      <c r="B73" s="212">
        <v>5457</v>
      </c>
      <c r="C73" s="212">
        <v>600099377</v>
      </c>
      <c r="D73" s="212">
        <v>855049</v>
      </c>
      <c r="E73" s="372" t="s">
        <v>475</v>
      </c>
      <c r="F73" s="212">
        <v>3143</v>
      </c>
      <c r="G73" s="323" t="s">
        <v>595</v>
      </c>
      <c r="H73" s="285" t="s">
        <v>271</v>
      </c>
      <c r="I73" s="419">
        <v>3677719</v>
      </c>
      <c r="J73" s="414">
        <v>2718352</v>
      </c>
      <c r="K73" s="414">
        <v>2718352</v>
      </c>
      <c r="L73" s="414">
        <v>0</v>
      </c>
      <c r="M73" s="414">
        <v>10000</v>
      </c>
      <c r="N73" s="414">
        <v>10000</v>
      </c>
      <c r="O73" s="414">
        <v>0</v>
      </c>
      <c r="P73" s="68">
        <v>922183</v>
      </c>
      <c r="Q73" s="68">
        <v>27184</v>
      </c>
      <c r="R73" s="414">
        <v>0</v>
      </c>
      <c r="S73" s="415">
        <v>5.25</v>
      </c>
      <c r="T73" s="415">
        <v>5.25</v>
      </c>
      <c r="U73" s="422">
        <v>0</v>
      </c>
      <c r="V73" s="423">
        <f t="shared" si="9"/>
        <v>10000</v>
      </c>
      <c r="W73" s="417">
        <f t="shared" si="9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10"/>
        <v>10000</v>
      </c>
      <c r="AF73" s="417">
        <f t="shared" si="11"/>
        <v>0</v>
      </c>
      <c r="AG73" s="417">
        <f t="shared" si="12"/>
        <v>10000</v>
      </c>
      <c r="AH73" s="417">
        <v>-10000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13"/>
        <v>-10000</v>
      </c>
      <c r="AN73" s="417">
        <f t="shared" si="14"/>
        <v>0</v>
      </c>
      <c r="AO73" s="417">
        <f t="shared" si="15"/>
        <v>-10000</v>
      </c>
      <c r="AP73" s="417">
        <f t="shared" si="16"/>
        <v>0</v>
      </c>
      <c r="AQ73" s="417">
        <f t="shared" si="16"/>
        <v>0</v>
      </c>
      <c r="AR73" s="417">
        <f t="shared" si="17"/>
        <v>0</v>
      </c>
      <c r="AS73" s="68">
        <f t="shared" si="18"/>
        <v>0</v>
      </c>
      <c r="AT73" s="68">
        <f t="shared" si="19"/>
        <v>100</v>
      </c>
      <c r="AU73" s="417">
        <v>0</v>
      </c>
      <c r="AV73" s="417">
        <v>0</v>
      </c>
      <c r="AW73" s="417">
        <v>0</v>
      </c>
      <c r="AX73" s="417">
        <f t="shared" si="20"/>
        <v>0</v>
      </c>
      <c r="AY73" s="417">
        <f t="shared" si="21"/>
        <v>100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22"/>
        <v>0</v>
      </c>
      <c r="BJ73" s="418">
        <f t="shared" si="23"/>
        <v>0</v>
      </c>
      <c r="BK73" s="420">
        <f t="shared" si="24"/>
        <v>0</v>
      </c>
      <c r="BL73" s="772">
        <f t="shared" si="97"/>
        <v>3677819</v>
      </c>
      <c r="BM73" s="772">
        <f t="shared" si="98"/>
        <v>2728352</v>
      </c>
      <c r="BN73" s="417">
        <f t="shared" si="99"/>
        <v>2728352</v>
      </c>
      <c r="BO73" s="417">
        <f t="shared" si="99"/>
        <v>0</v>
      </c>
      <c r="BP73" s="417">
        <f t="shared" si="100"/>
        <v>0</v>
      </c>
      <c r="BQ73" s="417">
        <f t="shared" si="101"/>
        <v>0</v>
      </c>
      <c r="BR73" s="417">
        <f t="shared" si="101"/>
        <v>0</v>
      </c>
      <c r="BS73" s="417">
        <f t="shared" si="102"/>
        <v>922183</v>
      </c>
      <c r="BT73" s="417">
        <f t="shared" si="102"/>
        <v>27284</v>
      </c>
      <c r="BU73" s="417">
        <f t="shared" si="103"/>
        <v>0</v>
      </c>
      <c r="BV73" s="418">
        <f t="shared" si="104"/>
        <v>5.25</v>
      </c>
      <c r="BW73" s="418">
        <f t="shared" si="105"/>
        <v>5.25</v>
      </c>
      <c r="BX73" s="420">
        <f t="shared" si="105"/>
        <v>0</v>
      </c>
      <c r="BY73" s="510"/>
      <c r="BZ73" s="414"/>
      <c r="CA73" s="414"/>
      <c r="CB73" s="414"/>
      <c r="CC73" s="414"/>
      <c r="CD73" s="509"/>
      <c r="CE73" s="1021"/>
      <c r="CF73" s="1022"/>
      <c r="CG73" s="1022"/>
      <c r="CH73" s="1022"/>
      <c r="CI73" s="1022"/>
      <c r="CJ73" s="981"/>
    </row>
    <row r="74" spans="1:88" ht="12.95" customHeight="1">
      <c r="A74" s="280">
        <v>14</v>
      </c>
      <c r="B74" s="212">
        <v>5457</v>
      </c>
      <c r="C74" s="212">
        <v>600099377</v>
      </c>
      <c r="D74" s="212">
        <v>855049</v>
      </c>
      <c r="E74" s="372" t="s">
        <v>475</v>
      </c>
      <c r="F74" s="212">
        <v>3143</v>
      </c>
      <c r="G74" s="323" t="s">
        <v>596</v>
      </c>
      <c r="H74" s="285" t="s">
        <v>272</v>
      </c>
      <c r="I74" s="419">
        <v>129860</v>
      </c>
      <c r="J74" s="414">
        <v>92950</v>
      </c>
      <c r="K74" s="414">
        <v>0</v>
      </c>
      <c r="L74" s="414">
        <v>92950</v>
      </c>
      <c r="M74" s="414">
        <v>0</v>
      </c>
      <c r="N74" s="414">
        <v>0</v>
      </c>
      <c r="O74" s="414">
        <v>0</v>
      </c>
      <c r="P74" s="68">
        <v>31417</v>
      </c>
      <c r="Q74" s="68">
        <v>930</v>
      </c>
      <c r="R74" s="414">
        <v>4563</v>
      </c>
      <c r="S74" s="415">
        <v>0.35470000000000002</v>
      </c>
      <c r="T74" s="415">
        <v>0</v>
      </c>
      <c r="U74" s="422">
        <v>0.35470000000000002</v>
      </c>
      <c r="V74" s="423">
        <f t="shared" si="9"/>
        <v>0</v>
      </c>
      <c r="W74" s="417">
        <f t="shared" si="9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10"/>
        <v>0</v>
      </c>
      <c r="AF74" s="417">
        <f t="shared" si="11"/>
        <v>0</v>
      </c>
      <c r="AG74" s="417">
        <f t="shared" si="12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13"/>
        <v>0</v>
      </c>
      <c r="AN74" s="417">
        <f t="shared" si="14"/>
        <v>0</v>
      </c>
      <c r="AO74" s="417">
        <f t="shared" si="15"/>
        <v>0</v>
      </c>
      <c r="AP74" s="417">
        <f t="shared" si="16"/>
        <v>0</v>
      </c>
      <c r="AQ74" s="417">
        <f t="shared" si="16"/>
        <v>0</v>
      </c>
      <c r="AR74" s="417">
        <f t="shared" si="17"/>
        <v>0</v>
      </c>
      <c r="AS74" s="68">
        <f t="shared" si="18"/>
        <v>0</v>
      </c>
      <c r="AT74" s="68">
        <f t="shared" si="19"/>
        <v>0</v>
      </c>
      <c r="AU74" s="417">
        <v>0</v>
      </c>
      <c r="AV74" s="417">
        <v>0</v>
      </c>
      <c r="AW74" s="417">
        <v>0</v>
      </c>
      <c r="AX74" s="417">
        <f t="shared" si="20"/>
        <v>0</v>
      </c>
      <c r="AY74" s="417">
        <f t="shared" si="21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22"/>
        <v>0</v>
      </c>
      <c r="BJ74" s="418">
        <f t="shared" si="23"/>
        <v>0</v>
      </c>
      <c r="BK74" s="420">
        <f t="shared" si="24"/>
        <v>0</v>
      </c>
      <c r="BL74" s="772">
        <f t="shared" si="97"/>
        <v>129860</v>
      </c>
      <c r="BM74" s="772">
        <f t="shared" si="98"/>
        <v>92950</v>
      </c>
      <c r="BN74" s="417">
        <f t="shared" si="99"/>
        <v>0</v>
      </c>
      <c r="BO74" s="417">
        <f t="shared" si="99"/>
        <v>92950</v>
      </c>
      <c r="BP74" s="417">
        <f t="shared" si="100"/>
        <v>0</v>
      </c>
      <c r="BQ74" s="417">
        <f t="shared" si="101"/>
        <v>0</v>
      </c>
      <c r="BR74" s="417">
        <f t="shared" si="101"/>
        <v>0</v>
      </c>
      <c r="BS74" s="417">
        <f t="shared" si="102"/>
        <v>31417</v>
      </c>
      <c r="BT74" s="417">
        <f t="shared" si="102"/>
        <v>930</v>
      </c>
      <c r="BU74" s="417">
        <f t="shared" si="103"/>
        <v>4563</v>
      </c>
      <c r="BV74" s="418">
        <f t="shared" si="104"/>
        <v>0.35470000000000002</v>
      </c>
      <c r="BW74" s="418">
        <f t="shared" si="105"/>
        <v>0</v>
      </c>
      <c r="BX74" s="420">
        <f t="shared" si="105"/>
        <v>0.35470000000000002</v>
      </c>
      <c r="BY74" s="510"/>
      <c r="BZ74" s="414"/>
      <c r="CA74" s="414"/>
      <c r="CB74" s="414"/>
      <c r="CC74" s="414"/>
      <c r="CD74" s="509"/>
      <c r="CE74" s="1021"/>
      <c r="CF74" s="1022"/>
      <c r="CG74" s="1022"/>
      <c r="CH74" s="1022"/>
      <c r="CI74" s="1028"/>
      <c r="CJ74" s="981"/>
    </row>
    <row r="75" spans="1:88" ht="12.95" customHeight="1">
      <c r="A75" s="280">
        <v>14</v>
      </c>
      <c r="B75" s="212">
        <v>5457</v>
      </c>
      <c r="C75" s="212">
        <v>600099377</v>
      </c>
      <c r="D75" s="212">
        <v>855049</v>
      </c>
      <c r="E75" s="211" t="s">
        <v>475</v>
      </c>
      <c r="F75" s="212">
        <v>3143</v>
      </c>
      <c r="G75" s="323" t="s">
        <v>296</v>
      </c>
      <c r="H75" s="285" t="s">
        <v>272</v>
      </c>
      <c r="I75" s="419">
        <v>792053</v>
      </c>
      <c r="J75" s="414">
        <v>585974</v>
      </c>
      <c r="K75" s="414">
        <v>519974</v>
      </c>
      <c r="L75" s="629">
        <v>66000</v>
      </c>
      <c r="M75" s="414">
        <v>0</v>
      </c>
      <c r="N75" s="414">
        <v>0</v>
      </c>
      <c r="O75" s="414">
        <v>0</v>
      </c>
      <c r="P75" s="630">
        <v>198059</v>
      </c>
      <c r="Q75" s="630">
        <v>5860</v>
      </c>
      <c r="R75" s="629">
        <v>2160</v>
      </c>
      <c r="S75" s="415">
        <v>1.28</v>
      </c>
      <c r="T75" s="631">
        <v>1.03</v>
      </c>
      <c r="U75" s="764">
        <v>0.25</v>
      </c>
      <c r="V75" s="423">
        <f t="shared" si="9"/>
        <v>0</v>
      </c>
      <c r="W75" s="417">
        <f t="shared" si="9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10"/>
        <v>0</v>
      </c>
      <c r="AF75" s="417">
        <f t="shared" si="11"/>
        <v>0</v>
      </c>
      <c r="AG75" s="417">
        <f t="shared" si="12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13"/>
        <v>0</v>
      </c>
      <c r="AN75" s="417">
        <f t="shared" si="14"/>
        <v>0</v>
      </c>
      <c r="AO75" s="417">
        <f t="shared" si="15"/>
        <v>0</v>
      </c>
      <c r="AP75" s="417">
        <f t="shared" si="16"/>
        <v>0</v>
      </c>
      <c r="AQ75" s="417">
        <f t="shared" si="16"/>
        <v>0</v>
      </c>
      <c r="AR75" s="417">
        <f t="shared" si="17"/>
        <v>0</v>
      </c>
      <c r="AS75" s="68">
        <f t="shared" si="18"/>
        <v>0</v>
      </c>
      <c r="AT75" s="68">
        <f t="shared" si="19"/>
        <v>0</v>
      </c>
      <c r="AU75" s="417">
        <v>0</v>
      </c>
      <c r="AV75" s="417">
        <v>0</v>
      </c>
      <c r="AW75" s="417">
        <v>0</v>
      </c>
      <c r="AX75" s="417">
        <f t="shared" si="20"/>
        <v>0</v>
      </c>
      <c r="AY75" s="417">
        <f t="shared" si="21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22"/>
        <v>0</v>
      </c>
      <c r="BJ75" s="418">
        <f t="shared" si="23"/>
        <v>0</v>
      </c>
      <c r="BK75" s="420">
        <f t="shared" si="24"/>
        <v>0</v>
      </c>
      <c r="BL75" s="772">
        <f t="shared" si="97"/>
        <v>792053</v>
      </c>
      <c r="BM75" s="772">
        <f t="shared" si="98"/>
        <v>585974</v>
      </c>
      <c r="BN75" s="417">
        <f t="shared" si="99"/>
        <v>519974</v>
      </c>
      <c r="BO75" s="417">
        <f t="shared" si="99"/>
        <v>66000</v>
      </c>
      <c r="BP75" s="417">
        <f t="shared" si="100"/>
        <v>0</v>
      </c>
      <c r="BQ75" s="417">
        <f t="shared" si="101"/>
        <v>0</v>
      </c>
      <c r="BR75" s="417">
        <f t="shared" si="101"/>
        <v>0</v>
      </c>
      <c r="BS75" s="417">
        <f t="shared" si="102"/>
        <v>198059</v>
      </c>
      <c r="BT75" s="417">
        <f t="shared" si="102"/>
        <v>5860</v>
      </c>
      <c r="BU75" s="417">
        <f t="shared" si="103"/>
        <v>2160</v>
      </c>
      <c r="BV75" s="418">
        <f t="shared" si="104"/>
        <v>1.28</v>
      </c>
      <c r="BW75" s="418">
        <f t="shared" si="105"/>
        <v>1.03</v>
      </c>
      <c r="BX75" s="420">
        <f t="shared" si="105"/>
        <v>0.25</v>
      </c>
      <c r="BY75" s="510"/>
      <c r="BZ75" s="414"/>
      <c r="CA75" s="414"/>
      <c r="CB75" s="414"/>
      <c r="CC75" s="414"/>
      <c r="CD75" s="509"/>
      <c r="CE75" s="1021"/>
      <c r="CF75" s="1022"/>
      <c r="CG75" s="1022"/>
      <c r="CH75" s="1022"/>
      <c r="CI75" s="1022"/>
      <c r="CJ75" s="981"/>
    </row>
    <row r="76" spans="1:88" ht="12.95" customHeight="1">
      <c r="A76" s="213">
        <v>14</v>
      </c>
      <c r="B76" s="48">
        <v>5457</v>
      </c>
      <c r="C76" s="48">
        <v>600099377</v>
      </c>
      <c r="D76" s="48">
        <v>855049</v>
      </c>
      <c r="E76" s="374" t="s">
        <v>476</v>
      </c>
      <c r="F76" s="48"/>
      <c r="G76" s="387"/>
      <c r="H76" s="185"/>
      <c r="I76" s="486">
        <v>53410473</v>
      </c>
      <c r="J76" s="482">
        <v>38734212</v>
      </c>
      <c r="K76" s="482">
        <v>34631393</v>
      </c>
      <c r="L76" s="482">
        <v>4102819</v>
      </c>
      <c r="M76" s="482">
        <v>268880</v>
      </c>
      <c r="N76" s="482">
        <v>218880</v>
      </c>
      <c r="O76" s="482">
        <v>50000</v>
      </c>
      <c r="P76" s="482">
        <v>13183043</v>
      </c>
      <c r="Q76" s="482">
        <v>387343</v>
      </c>
      <c r="R76" s="482">
        <v>836995</v>
      </c>
      <c r="S76" s="483">
        <v>66.704499999999996</v>
      </c>
      <c r="T76" s="483">
        <v>53.890500000000003</v>
      </c>
      <c r="U76" s="651">
        <v>12.814</v>
      </c>
      <c r="V76" s="486">
        <f t="shared" ref="V76:BK76" si="106">SUM(V70:V75)</f>
        <v>175530</v>
      </c>
      <c r="W76" s="482">
        <f t="shared" si="106"/>
        <v>20000</v>
      </c>
      <c r="X76" s="482">
        <f t="shared" si="106"/>
        <v>46350</v>
      </c>
      <c r="Y76" s="482">
        <f t="shared" si="106"/>
        <v>0</v>
      </c>
      <c r="Z76" s="482">
        <f t="shared" si="106"/>
        <v>365433</v>
      </c>
      <c r="AA76" s="482">
        <f t="shared" si="106"/>
        <v>9338</v>
      </c>
      <c r="AB76" s="482">
        <f t="shared" si="106"/>
        <v>0</v>
      </c>
      <c r="AC76" s="482">
        <f t="shared" si="106"/>
        <v>0</v>
      </c>
      <c r="AD76" s="482">
        <f t="shared" si="106"/>
        <v>0</v>
      </c>
      <c r="AE76" s="482">
        <f t="shared" si="106"/>
        <v>587313</v>
      </c>
      <c r="AF76" s="482">
        <f t="shared" si="106"/>
        <v>29338</v>
      </c>
      <c r="AG76" s="482">
        <f t="shared" si="106"/>
        <v>616651</v>
      </c>
      <c r="AH76" s="482">
        <f t="shared" si="106"/>
        <v>-175530</v>
      </c>
      <c r="AI76" s="482">
        <f t="shared" si="106"/>
        <v>-20000</v>
      </c>
      <c r="AJ76" s="482">
        <f t="shared" si="106"/>
        <v>0</v>
      </c>
      <c r="AK76" s="482">
        <f t="shared" si="106"/>
        <v>0</v>
      </c>
      <c r="AL76" s="482">
        <f t="shared" si="106"/>
        <v>0</v>
      </c>
      <c r="AM76" s="482">
        <f t="shared" si="106"/>
        <v>-175530</v>
      </c>
      <c r="AN76" s="482">
        <f t="shared" si="106"/>
        <v>-20000</v>
      </c>
      <c r="AO76" s="482">
        <f t="shared" si="106"/>
        <v>-195530</v>
      </c>
      <c r="AP76" s="482">
        <f t="shared" si="106"/>
        <v>411783</v>
      </c>
      <c r="AQ76" s="482">
        <f t="shared" si="106"/>
        <v>9338</v>
      </c>
      <c r="AR76" s="482">
        <f t="shared" si="106"/>
        <v>421121</v>
      </c>
      <c r="AS76" s="482">
        <f t="shared" si="106"/>
        <v>142338</v>
      </c>
      <c r="AT76" s="482">
        <f t="shared" si="106"/>
        <v>6167</v>
      </c>
      <c r="AU76" s="482">
        <f t="shared" si="106"/>
        <v>500</v>
      </c>
      <c r="AV76" s="482">
        <f t="shared" si="106"/>
        <v>0</v>
      </c>
      <c r="AW76" s="482">
        <f t="shared" si="106"/>
        <v>0</v>
      </c>
      <c r="AX76" s="482">
        <f t="shared" si="106"/>
        <v>500</v>
      </c>
      <c r="AY76" s="482">
        <f t="shared" si="106"/>
        <v>570126</v>
      </c>
      <c r="AZ76" s="483">
        <f t="shared" si="106"/>
        <v>-0.04</v>
      </c>
      <c r="BA76" s="483">
        <f t="shared" si="106"/>
        <v>0</v>
      </c>
      <c r="BB76" s="483">
        <f t="shared" si="106"/>
        <v>0.13</v>
      </c>
      <c r="BC76" s="483">
        <f t="shared" si="106"/>
        <v>0.72</v>
      </c>
      <c r="BD76" s="483">
        <f t="shared" si="106"/>
        <v>0.03</v>
      </c>
      <c r="BE76" s="483">
        <f t="shared" si="106"/>
        <v>0</v>
      </c>
      <c r="BF76" s="483">
        <f t="shared" si="106"/>
        <v>0</v>
      </c>
      <c r="BG76" s="483">
        <f t="shared" si="106"/>
        <v>0</v>
      </c>
      <c r="BH76" s="483">
        <f t="shared" si="106"/>
        <v>0</v>
      </c>
      <c r="BI76" s="483">
        <f t="shared" si="106"/>
        <v>0.80999999999999994</v>
      </c>
      <c r="BJ76" s="483">
        <f t="shared" si="106"/>
        <v>0.03</v>
      </c>
      <c r="BK76" s="375">
        <f t="shared" si="106"/>
        <v>0.84</v>
      </c>
      <c r="BL76" s="1074">
        <f t="shared" ref="BL76:CG76" si="107">SUM(BL70:BL75)</f>
        <v>53980599</v>
      </c>
      <c r="BM76" s="1074">
        <f t="shared" si="107"/>
        <v>39350863</v>
      </c>
      <c r="BN76" s="482">
        <f t="shared" si="107"/>
        <v>35218706</v>
      </c>
      <c r="BO76" s="482">
        <f t="shared" si="107"/>
        <v>4132157</v>
      </c>
      <c r="BP76" s="482">
        <f t="shared" si="107"/>
        <v>73350</v>
      </c>
      <c r="BQ76" s="482">
        <f t="shared" si="107"/>
        <v>43350</v>
      </c>
      <c r="BR76" s="482">
        <f t="shared" si="107"/>
        <v>30000</v>
      </c>
      <c r="BS76" s="482">
        <f t="shared" si="107"/>
        <v>13325381</v>
      </c>
      <c r="BT76" s="482">
        <f t="shared" si="107"/>
        <v>393510</v>
      </c>
      <c r="BU76" s="482">
        <f t="shared" si="107"/>
        <v>837495</v>
      </c>
      <c r="BV76" s="483">
        <f t="shared" si="107"/>
        <v>67.544499999999999</v>
      </c>
      <c r="BW76" s="483">
        <f t="shared" si="107"/>
        <v>54.700499999999998</v>
      </c>
      <c r="BX76" s="375">
        <f t="shared" si="107"/>
        <v>12.843999999999999</v>
      </c>
      <c r="BY76" s="939">
        <f t="shared" si="107"/>
        <v>380136</v>
      </c>
      <c r="BZ76" s="727">
        <f t="shared" si="107"/>
        <v>282000</v>
      </c>
      <c r="CA76" s="727">
        <f t="shared" si="107"/>
        <v>0</v>
      </c>
      <c r="CB76" s="727">
        <f t="shared" si="107"/>
        <v>95316</v>
      </c>
      <c r="CC76" s="727">
        <f t="shared" si="107"/>
        <v>2820</v>
      </c>
      <c r="CD76" s="833">
        <f t="shared" si="107"/>
        <v>0.5</v>
      </c>
      <c r="CE76" s="1023">
        <f t="shared" si="107"/>
        <v>1479505</v>
      </c>
      <c r="CF76" s="1023">
        <f t="shared" si="107"/>
        <v>960477</v>
      </c>
      <c r="CG76" s="1023">
        <f t="shared" si="107"/>
        <v>324641</v>
      </c>
      <c r="CH76" s="1023">
        <f t="shared" ref="CH76:CJ76" si="108">SUM(CH70:CH75)</f>
        <v>9605</v>
      </c>
      <c r="CI76" s="1023">
        <f t="shared" si="108"/>
        <v>184782</v>
      </c>
      <c r="CJ76" s="934">
        <f t="shared" si="108"/>
        <v>2.956</v>
      </c>
    </row>
    <row r="77" spans="1:88" ht="12.95" customHeight="1">
      <c r="A77" s="280">
        <v>15</v>
      </c>
      <c r="B77" s="212">
        <v>5459</v>
      </c>
      <c r="C77" s="212">
        <v>600099415</v>
      </c>
      <c r="D77" s="212">
        <v>70946086</v>
      </c>
      <c r="E77" s="372" t="s">
        <v>477</v>
      </c>
      <c r="F77" s="212">
        <v>3231</v>
      </c>
      <c r="G77" s="372" t="s">
        <v>477</v>
      </c>
      <c r="H77" s="285" t="s">
        <v>271</v>
      </c>
      <c r="I77" s="419">
        <v>24378328</v>
      </c>
      <c r="J77" s="414">
        <v>18054809</v>
      </c>
      <c r="K77" s="414">
        <v>17087355</v>
      </c>
      <c r="L77" s="414">
        <v>967454</v>
      </c>
      <c r="M77" s="414">
        <v>0</v>
      </c>
      <c r="N77" s="414">
        <v>0</v>
      </c>
      <c r="O77" s="414">
        <v>0</v>
      </c>
      <c r="P77" s="68">
        <v>6102525</v>
      </c>
      <c r="Q77" s="68">
        <v>180548</v>
      </c>
      <c r="R77" s="414">
        <v>40446</v>
      </c>
      <c r="S77" s="415">
        <v>29.797599999999999</v>
      </c>
      <c r="T77" s="416">
        <v>27.082999999999998</v>
      </c>
      <c r="U77" s="422">
        <v>2.7145999999999999</v>
      </c>
      <c r="V77" s="423">
        <f t="shared" ref="V77:W141" si="109">AH77*-1</f>
        <v>0</v>
      </c>
      <c r="W77" s="417">
        <f t="shared" si="109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ref="AE77:AE141" si="110">V77+X77+Y77+Z77+AC77</f>
        <v>0</v>
      </c>
      <c r="AF77" s="417">
        <f t="shared" ref="AF77:AF141" si="111">W77+AA77+AD77+AB77</f>
        <v>0</v>
      </c>
      <c r="AG77" s="417">
        <f t="shared" ref="AG77:AG141" si="112">SUM(AE77:AF77)</f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141" si="113">AH77+AJ77+AK77</f>
        <v>0</v>
      </c>
      <c r="AN77" s="417">
        <f t="shared" ref="AN77:AN141" si="114">AI77+AL77</f>
        <v>0</v>
      </c>
      <c r="AO77" s="417">
        <f t="shared" ref="AO77:AO141" si="115">SUM(AM77:AN77)</f>
        <v>0</v>
      </c>
      <c r="AP77" s="417">
        <f t="shared" ref="AP77:AQ141" si="116">AE77+AM77</f>
        <v>0</v>
      </c>
      <c r="AQ77" s="417">
        <f t="shared" si="116"/>
        <v>0</v>
      </c>
      <c r="AR77" s="417">
        <f t="shared" ref="AR77:AR141" si="117">SUM(AP77:AQ77)</f>
        <v>0</v>
      </c>
      <c r="AS77" s="68">
        <f t="shared" ref="AS77:AS141" si="118">ROUND((AG77+AH77+AI77+AJ77)*33.8%,0)</f>
        <v>0</v>
      </c>
      <c r="AT77" s="68">
        <f t="shared" ref="AT77:AT141" si="119">ROUND(AG77*1%,0)</f>
        <v>0</v>
      </c>
      <c r="AU77" s="417">
        <v>0</v>
      </c>
      <c r="AV77" s="417">
        <v>0</v>
      </c>
      <c r="AW77" s="417">
        <v>0</v>
      </c>
      <c r="AX77" s="417">
        <f t="shared" ref="AX77:AX141" si="120">SUM(AU77:AW77)</f>
        <v>0</v>
      </c>
      <c r="AY77" s="417">
        <f t="shared" ref="AY77:AY141" si="121">AR77+AS77+AT77+AX77</f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ref="BI77:BI141" si="122">AZ77+BB77+BC77+BE77+BG77</f>
        <v>0</v>
      </c>
      <c r="BJ77" s="418">
        <f t="shared" ref="BJ77:BJ141" si="123">BA77+BD77+BH77+BF77</f>
        <v>0</v>
      </c>
      <c r="BK77" s="420">
        <f t="shared" ref="BK77:BK141" si="124">SUM(BI77:BJ77)</f>
        <v>0</v>
      </c>
      <c r="BL77" s="772">
        <f>I77+AY77</f>
        <v>24378328</v>
      </c>
      <c r="BM77" s="772">
        <f>J77+AG77</f>
        <v>18054809</v>
      </c>
      <c r="BN77" s="417">
        <f>K77+AE77</f>
        <v>17087355</v>
      </c>
      <c r="BO77" s="417">
        <f>L77+AF77</f>
        <v>967454</v>
      </c>
      <c r="BP77" s="417">
        <f>M77+AO77</f>
        <v>0</v>
      </c>
      <c r="BQ77" s="417">
        <f>N77+AM77</f>
        <v>0</v>
      </c>
      <c r="BR77" s="417">
        <f>O77+AN77</f>
        <v>0</v>
      </c>
      <c r="BS77" s="417">
        <f>P77+AS77</f>
        <v>6102525</v>
      </c>
      <c r="BT77" s="417">
        <f>Q77+AT77</f>
        <v>180548</v>
      </c>
      <c r="BU77" s="417">
        <f>R77+AX77</f>
        <v>40446</v>
      </c>
      <c r="BV77" s="418">
        <f>S77+BK77</f>
        <v>29.797599999999999</v>
      </c>
      <c r="BW77" s="418">
        <f>T77+BI77</f>
        <v>27.082999999999998</v>
      </c>
      <c r="BX77" s="420">
        <f>U77+BJ77</f>
        <v>2.7145999999999999</v>
      </c>
      <c r="BY77" s="510"/>
      <c r="BZ77" s="414"/>
      <c r="CA77" s="414"/>
      <c r="CB77" s="414"/>
      <c r="CC77" s="414"/>
      <c r="CD77" s="509"/>
      <c r="CE77" s="1021">
        <v>440756</v>
      </c>
      <c r="CF77" s="1022">
        <v>317140</v>
      </c>
      <c r="CG77" s="1022">
        <v>107193</v>
      </c>
      <c r="CH77" s="1022">
        <v>3171</v>
      </c>
      <c r="CI77" s="1022">
        <v>13252</v>
      </c>
      <c r="CJ77" s="981">
        <v>0.88980000000000004</v>
      </c>
    </row>
    <row r="78" spans="1:88" ht="12.95" customHeight="1">
      <c r="A78" s="213">
        <v>15</v>
      </c>
      <c r="B78" s="45">
        <v>5459</v>
      </c>
      <c r="C78" s="45">
        <v>600099415</v>
      </c>
      <c r="D78" s="45">
        <v>70946086</v>
      </c>
      <c r="E78" s="374" t="s">
        <v>478</v>
      </c>
      <c r="F78" s="45"/>
      <c r="G78" s="374"/>
      <c r="H78" s="182"/>
      <c r="I78" s="464">
        <v>24378328</v>
      </c>
      <c r="J78" s="460">
        <v>18054809</v>
      </c>
      <c r="K78" s="460">
        <v>17087355</v>
      </c>
      <c r="L78" s="460">
        <v>967454</v>
      </c>
      <c r="M78" s="460">
        <v>0</v>
      </c>
      <c r="N78" s="460">
        <v>0</v>
      </c>
      <c r="O78" s="460">
        <v>0</v>
      </c>
      <c r="P78" s="460">
        <v>6102525</v>
      </c>
      <c r="Q78" s="460">
        <v>180548</v>
      </c>
      <c r="R78" s="460">
        <v>40446</v>
      </c>
      <c r="S78" s="461">
        <v>29.797599999999999</v>
      </c>
      <c r="T78" s="461">
        <v>27.082999999999998</v>
      </c>
      <c r="U78" s="534">
        <v>2.7145999999999999</v>
      </c>
      <c r="V78" s="464">
        <f t="shared" ref="V78:BK78" si="125">SUM(V77)</f>
        <v>0</v>
      </c>
      <c r="W78" s="460">
        <f t="shared" si="125"/>
        <v>0</v>
      </c>
      <c r="X78" s="460">
        <f t="shared" si="125"/>
        <v>0</v>
      </c>
      <c r="Y78" s="460">
        <f t="shared" si="125"/>
        <v>0</v>
      </c>
      <c r="Z78" s="460">
        <f t="shared" si="125"/>
        <v>0</v>
      </c>
      <c r="AA78" s="460">
        <f t="shared" si="125"/>
        <v>0</v>
      </c>
      <c r="AB78" s="460">
        <f t="shared" si="125"/>
        <v>0</v>
      </c>
      <c r="AC78" s="460">
        <f t="shared" si="125"/>
        <v>0</v>
      </c>
      <c r="AD78" s="460">
        <f t="shared" si="125"/>
        <v>0</v>
      </c>
      <c r="AE78" s="460">
        <f t="shared" si="125"/>
        <v>0</v>
      </c>
      <c r="AF78" s="460">
        <f t="shared" si="125"/>
        <v>0</v>
      </c>
      <c r="AG78" s="460">
        <f t="shared" si="125"/>
        <v>0</v>
      </c>
      <c r="AH78" s="460">
        <f t="shared" si="125"/>
        <v>0</v>
      </c>
      <c r="AI78" s="460">
        <f t="shared" si="125"/>
        <v>0</v>
      </c>
      <c r="AJ78" s="460">
        <f t="shared" si="125"/>
        <v>0</v>
      </c>
      <c r="AK78" s="460">
        <f t="shared" si="125"/>
        <v>0</v>
      </c>
      <c r="AL78" s="460">
        <f t="shared" si="125"/>
        <v>0</v>
      </c>
      <c r="AM78" s="460">
        <f t="shared" si="125"/>
        <v>0</v>
      </c>
      <c r="AN78" s="460">
        <f t="shared" si="125"/>
        <v>0</v>
      </c>
      <c r="AO78" s="460">
        <f t="shared" si="125"/>
        <v>0</v>
      </c>
      <c r="AP78" s="460">
        <f t="shared" si="125"/>
        <v>0</v>
      </c>
      <c r="AQ78" s="460">
        <f t="shared" si="125"/>
        <v>0</v>
      </c>
      <c r="AR78" s="460">
        <f t="shared" si="125"/>
        <v>0</v>
      </c>
      <c r="AS78" s="460">
        <f t="shared" si="125"/>
        <v>0</v>
      </c>
      <c r="AT78" s="460">
        <f t="shared" si="125"/>
        <v>0</v>
      </c>
      <c r="AU78" s="460">
        <f t="shared" si="125"/>
        <v>0</v>
      </c>
      <c r="AV78" s="460">
        <f t="shared" si="125"/>
        <v>0</v>
      </c>
      <c r="AW78" s="460">
        <f t="shared" si="125"/>
        <v>0</v>
      </c>
      <c r="AX78" s="460">
        <f t="shared" si="125"/>
        <v>0</v>
      </c>
      <c r="AY78" s="460">
        <f t="shared" si="125"/>
        <v>0</v>
      </c>
      <c r="AZ78" s="461">
        <f t="shared" si="125"/>
        <v>0</v>
      </c>
      <c r="BA78" s="461">
        <f t="shared" si="125"/>
        <v>0</v>
      </c>
      <c r="BB78" s="461">
        <f t="shared" si="125"/>
        <v>0</v>
      </c>
      <c r="BC78" s="461">
        <f t="shared" si="125"/>
        <v>0</v>
      </c>
      <c r="BD78" s="461">
        <f t="shared" si="125"/>
        <v>0</v>
      </c>
      <c r="BE78" s="461">
        <f t="shared" si="125"/>
        <v>0</v>
      </c>
      <c r="BF78" s="461">
        <f t="shared" si="125"/>
        <v>0</v>
      </c>
      <c r="BG78" s="461">
        <f t="shared" si="125"/>
        <v>0</v>
      </c>
      <c r="BH78" s="461">
        <f t="shared" si="125"/>
        <v>0</v>
      </c>
      <c r="BI78" s="461">
        <f t="shared" si="125"/>
        <v>0</v>
      </c>
      <c r="BJ78" s="461">
        <f t="shared" si="125"/>
        <v>0</v>
      </c>
      <c r="BK78" s="279">
        <f t="shared" si="125"/>
        <v>0</v>
      </c>
      <c r="BL78" s="1075">
        <f t="shared" ref="BL78:CG78" si="126">SUM(BL77)</f>
        <v>24378328</v>
      </c>
      <c r="BM78" s="1075">
        <f t="shared" si="126"/>
        <v>18054809</v>
      </c>
      <c r="BN78" s="460">
        <f t="shared" si="126"/>
        <v>17087355</v>
      </c>
      <c r="BO78" s="460">
        <f t="shared" si="126"/>
        <v>967454</v>
      </c>
      <c r="BP78" s="460">
        <f t="shared" si="126"/>
        <v>0</v>
      </c>
      <c r="BQ78" s="460">
        <f t="shared" si="126"/>
        <v>0</v>
      </c>
      <c r="BR78" s="460">
        <f t="shared" si="126"/>
        <v>0</v>
      </c>
      <c r="BS78" s="460">
        <f t="shared" si="126"/>
        <v>6102525</v>
      </c>
      <c r="BT78" s="460">
        <f t="shared" si="126"/>
        <v>180548</v>
      </c>
      <c r="BU78" s="460">
        <f t="shared" si="126"/>
        <v>40446</v>
      </c>
      <c r="BV78" s="461">
        <f t="shared" si="126"/>
        <v>29.797599999999999</v>
      </c>
      <c r="BW78" s="461">
        <f t="shared" si="126"/>
        <v>27.082999999999998</v>
      </c>
      <c r="BX78" s="279">
        <f t="shared" si="126"/>
        <v>2.7145999999999999</v>
      </c>
      <c r="BY78" s="940">
        <f t="shared" si="126"/>
        <v>0</v>
      </c>
      <c r="BZ78" s="707">
        <f t="shared" si="126"/>
        <v>0</v>
      </c>
      <c r="CA78" s="707">
        <f t="shared" si="126"/>
        <v>0</v>
      </c>
      <c r="CB78" s="707">
        <f t="shared" si="126"/>
        <v>0</v>
      </c>
      <c r="CC78" s="707">
        <f t="shared" si="126"/>
        <v>0</v>
      </c>
      <c r="CD78" s="819">
        <f t="shared" si="126"/>
        <v>0</v>
      </c>
      <c r="CE78" s="1024">
        <f t="shared" si="126"/>
        <v>440756</v>
      </c>
      <c r="CF78" s="1024">
        <f t="shared" si="126"/>
        <v>317140</v>
      </c>
      <c r="CG78" s="1024">
        <f t="shared" si="126"/>
        <v>107193</v>
      </c>
      <c r="CH78" s="1024">
        <f t="shared" ref="CH78:CJ78" si="127">SUM(CH77)</f>
        <v>3171</v>
      </c>
      <c r="CI78" s="1024">
        <f t="shared" si="127"/>
        <v>13252</v>
      </c>
      <c r="CJ78" s="933">
        <f t="shared" si="127"/>
        <v>0.88980000000000004</v>
      </c>
    </row>
    <row r="79" spans="1:88" ht="12.95" customHeight="1">
      <c r="A79" s="280">
        <v>16</v>
      </c>
      <c r="B79" s="376">
        <v>5482</v>
      </c>
      <c r="C79" s="376">
        <v>600098982</v>
      </c>
      <c r="D79" s="376">
        <v>71006923</v>
      </c>
      <c r="E79" s="372" t="s">
        <v>479</v>
      </c>
      <c r="F79" s="212">
        <v>3111</v>
      </c>
      <c r="G79" s="373" t="s">
        <v>304</v>
      </c>
      <c r="H79" s="285" t="s">
        <v>271</v>
      </c>
      <c r="I79" s="419">
        <v>2107753</v>
      </c>
      <c r="J79" s="414">
        <v>1544205</v>
      </c>
      <c r="K79" s="414">
        <v>1261916</v>
      </c>
      <c r="L79" s="414">
        <v>282289</v>
      </c>
      <c r="M79" s="414">
        <v>0</v>
      </c>
      <c r="N79" s="414">
        <v>0</v>
      </c>
      <c r="O79" s="414">
        <v>0</v>
      </c>
      <c r="P79" s="68">
        <v>521942</v>
      </c>
      <c r="Q79" s="68">
        <v>15442</v>
      </c>
      <c r="R79" s="414">
        <v>26164</v>
      </c>
      <c r="S79" s="415">
        <v>2.8894000000000002</v>
      </c>
      <c r="T79" s="415">
        <v>2</v>
      </c>
      <c r="U79" s="422">
        <v>0.88939999999999997</v>
      </c>
      <c r="V79" s="423">
        <f t="shared" si="109"/>
        <v>0</v>
      </c>
      <c r="W79" s="417">
        <f t="shared" si="109"/>
        <v>0</v>
      </c>
      <c r="X79" s="417">
        <v>0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10"/>
        <v>0</v>
      </c>
      <c r="AF79" s="417">
        <f t="shared" si="111"/>
        <v>0</v>
      </c>
      <c r="AG79" s="417">
        <f t="shared" si="112"/>
        <v>0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13"/>
        <v>0</v>
      </c>
      <c r="AN79" s="417">
        <f t="shared" si="114"/>
        <v>0</v>
      </c>
      <c r="AO79" s="417">
        <f t="shared" si="115"/>
        <v>0</v>
      </c>
      <c r="AP79" s="417">
        <f t="shared" si="116"/>
        <v>0</v>
      </c>
      <c r="AQ79" s="417">
        <f t="shared" si="116"/>
        <v>0</v>
      </c>
      <c r="AR79" s="417">
        <f t="shared" si="117"/>
        <v>0</v>
      </c>
      <c r="AS79" s="68">
        <f t="shared" si="118"/>
        <v>0</v>
      </c>
      <c r="AT79" s="68">
        <f t="shared" si="119"/>
        <v>0</v>
      </c>
      <c r="AU79" s="417">
        <v>0</v>
      </c>
      <c r="AV79" s="417">
        <v>0</v>
      </c>
      <c r="AW79" s="417">
        <v>0</v>
      </c>
      <c r="AX79" s="417">
        <f t="shared" si="120"/>
        <v>0</v>
      </c>
      <c r="AY79" s="417">
        <f t="shared" si="121"/>
        <v>0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22"/>
        <v>0</v>
      </c>
      <c r="BJ79" s="418">
        <f t="shared" si="123"/>
        <v>0</v>
      </c>
      <c r="BK79" s="420">
        <f t="shared" si="124"/>
        <v>0</v>
      </c>
      <c r="BL79" s="772">
        <f t="shared" ref="BL79:BL84" si="128">I79+AY79</f>
        <v>2107753</v>
      </c>
      <c r="BM79" s="772">
        <f t="shared" ref="BM79:BM84" si="129">J79+AG79</f>
        <v>1544205</v>
      </c>
      <c r="BN79" s="417">
        <f t="shared" ref="BN79:BO84" si="130">K79+AE79</f>
        <v>1261916</v>
      </c>
      <c r="BO79" s="417">
        <f t="shared" si="130"/>
        <v>282289</v>
      </c>
      <c r="BP79" s="417">
        <f t="shared" ref="BP79:BP84" si="131">M79+AO79</f>
        <v>0</v>
      </c>
      <c r="BQ79" s="417">
        <f t="shared" ref="BQ79:BR84" si="132">N79+AM79</f>
        <v>0</v>
      </c>
      <c r="BR79" s="417">
        <f t="shared" si="132"/>
        <v>0</v>
      </c>
      <c r="BS79" s="417">
        <f t="shared" ref="BS79:BT84" si="133">P79+AS79</f>
        <v>521942</v>
      </c>
      <c r="BT79" s="417">
        <f t="shared" si="133"/>
        <v>15442</v>
      </c>
      <c r="BU79" s="417">
        <f t="shared" ref="BU79:BU84" si="134">R79+AX79</f>
        <v>26164</v>
      </c>
      <c r="BV79" s="418">
        <f t="shared" ref="BV79:BV84" si="135">S79+BK79</f>
        <v>2.8894000000000002</v>
      </c>
      <c r="BW79" s="418">
        <f t="shared" ref="BW79:BX84" si="136">T79+BI79</f>
        <v>2</v>
      </c>
      <c r="BX79" s="420">
        <f t="shared" si="136"/>
        <v>0.88939999999999997</v>
      </c>
      <c r="BY79" s="510"/>
      <c r="BZ79" s="414"/>
      <c r="CA79" s="414"/>
      <c r="CB79" s="414"/>
      <c r="CC79" s="414"/>
      <c r="CD79" s="509"/>
      <c r="CE79" s="1021">
        <v>309480</v>
      </c>
      <c r="CF79" s="1022">
        <v>215721</v>
      </c>
      <c r="CG79" s="1022">
        <v>72914</v>
      </c>
      <c r="CH79" s="1022">
        <v>2157</v>
      </c>
      <c r="CI79" s="1022">
        <v>18688</v>
      </c>
      <c r="CJ79" s="981">
        <v>0.62270000000000003</v>
      </c>
    </row>
    <row r="80" spans="1:88" ht="12.95" customHeight="1">
      <c r="A80" s="280">
        <v>16</v>
      </c>
      <c r="B80" s="212">
        <v>5482</v>
      </c>
      <c r="C80" s="212">
        <v>600098982</v>
      </c>
      <c r="D80" s="212">
        <v>71006923</v>
      </c>
      <c r="E80" s="372" t="s">
        <v>479</v>
      </c>
      <c r="F80" s="212">
        <v>3117</v>
      </c>
      <c r="G80" s="372" t="s">
        <v>308</v>
      </c>
      <c r="H80" s="285" t="s">
        <v>271</v>
      </c>
      <c r="I80" s="419">
        <v>4582779</v>
      </c>
      <c r="J80" s="414">
        <v>3347324</v>
      </c>
      <c r="K80" s="414">
        <v>2957310</v>
      </c>
      <c r="L80" s="414">
        <v>390014</v>
      </c>
      <c r="M80" s="414">
        <v>0</v>
      </c>
      <c r="N80" s="414">
        <v>0</v>
      </c>
      <c r="O80" s="414">
        <v>0</v>
      </c>
      <c r="P80" s="68">
        <v>1131396</v>
      </c>
      <c r="Q80" s="68">
        <v>33473</v>
      </c>
      <c r="R80" s="414">
        <v>70586</v>
      </c>
      <c r="S80" s="415">
        <v>5.5058000000000007</v>
      </c>
      <c r="T80" s="415">
        <v>4.4545000000000003</v>
      </c>
      <c r="U80" s="422">
        <v>1.0512999999999999</v>
      </c>
      <c r="V80" s="423">
        <f t="shared" si="109"/>
        <v>0</v>
      </c>
      <c r="W80" s="417">
        <f t="shared" si="109"/>
        <v>0</v>
      </c>
      <c r="X80" s="417">
        <v>0</v>
      </c>
      <c r="Y80" s="417">
        <v>0</v>
      </c>
      <c r="Z80" s="417">
        <v>87128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10"/>
        <v>87128</v>
      </c>
      <c r="AF80" s="417">
        <f t="shared" si="111"/>
        <v>0</v>
      </c>
      <c r="AG80" s="417">
        <f t="shared" si="112"/>
        <v>87128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3"/>
        <v>0</v>
      </c>
      <c r="AN80" s="417">
        <f t="shared" si="114"/>
        <v>0</v>
      </c>
      <c r="AO80" s="417">
        <f t="shared" si="115"/>
        <v>0</v>
      </c>
      <c r="AP80" s="417">
        <f t="shared" si="116"/>
        <v>87128</v>
      </c>
      <c r="AQ80" s="417">
        <f t="shared" si="116"/>
        <v>0</v>
      </c>
      <c r="AR80" s="417">
        <f t="shared" si="117"/>
        <v>87128</v>
      </c>
      <c r="AS80" s="68">
        <f t="shared" si="118"/>
        <v>29449</v>
      </c>
      <c r="AT80" s="68">
        <f t="shared" si="119"/>
        <v>871</v>
      </c>
      <c r="AU80" s="417">
        <v>0</v>
      </c>
      <c r="AV80" s="417">
        <v>0</v>
      </c>
      <c r="AW80" s="417">
        <v>0</v>
      </c>
      <c r="AX80" s="417">
        <f t="shared" si="120"/>
        <v>0</v>
      </c>
      <c r="AY80" s="417">
        <f t="shared" si="121"/>
        <v>117448</v>
      </c>
      <c r="AZ80" s="418">
        <v>0</v>
      </c>
      <c r="BA80" s="418">
        <v>0</v>
      </c>
      <c r="BB80" s="418">
        <v>0</v>
      </c>
      <c r="BC80" s="418">
        <v>0.17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22"/>
        <v>0.17</v>
      </c>
      <c r="BJ80" s="418">
        <f t="shared" si="123"/>
        <v>0</v>
      </c>
      <c r="BK80" s="420">
        <f t="shared" si="124"/>
        <v>0.17</v>
      </c>
      <c r="BL80" s="772">
        <f t="shared" si="128"/>
        <v>4700227</v>
      </c>
      <c r="BM80" s="772">
        <f t="shared" si="129"/>
        <v>3434452</v>
      </c>
      <c r="BN80" s="417">
        <f t="shared" si="130"/>
        <v>3044438</v>
      </c>
      <c r="BO80" s="417">
        <f t="shared" si="130"/>
        <v>390014</v>
      </c>
      <c r="BP80" s="417">
        <f t="shared" si="131"/>
        <v>0</v>
      </c>
      <c r="BQ80" s="417">
        <f t="shared" si="132"/>
        <v>0</v>
      </c>
      <c r="BR80" s="417">
        <f t="shared" si="132"/>
        <v>0</v>
      </c>
      <c r="BS80" s="417">
        <f t="shared" si="133"/>
        <v>1160845</v>
      </c>
      <c r="BT80" s="417">
        <f t="shared" si="133"/>
        <v>34344</v>
      </c>
      <c r="BU80" s="417">
        <f t="shared" si="134"/>
        <v>70586</v>
      </c>
      <c r="BV80" s="418">
        <f t="shared" si="135"/>
        <v>5.6758000000000006</v>
      </c>
      <c r="BW80" s="418">
        <f t="shared" si="136"/>
        <v>4.6245000000000003</v>
      </c>
      <c r="BX80" s="420">
        <f t="shared" si="136"/>
        <v>1.0512999999999999</v>
      </c>
      <c r="BY80" s="510"/>
      <c r="BZ80" s="414"/>
      <c r="CA80" s="414"/>
      <c r="CB80" s="414"/>
      <c r="CC80" s="414"/>
      <c r="CD80" s="509"/>
      <c r="CE80" s="1021"/>
      <c r="CF80" s="1022"/>
      <c r="CG80" s="1022"/>
      <c r="CH80" s="1022"/>
      <c r="CI80" s="1022"/>
      <c r="CJ80" s="981"/>
    </row>
    <row r="81" spans="1:88" ht="12.95" customHeight="1">
      <c r="A81" s="280">
        <v>16</v>
      </c>
      <c r="B81" s="212">
        <v>5482</v>
      </c>
      <c r="C81" s="212">
        <v>600098982</v>
      </c>
      <c r="D81" s="212">
        <v>71006923</v>
      </c>
      <c r="E81" s="372" t="s">
        <v>479</v>
      </c>
      <c r="F81" s="212">
        <v>3117</v>
      </c>
      <c r="G81" s="323" t="s">
        <v>291</v>
      </c>
      <c r="H81" s="285" t="s">
        <v>272</v>
      </c>
      <c r="I81" s="419">
        <v>249921</v>
      </c>
      <c r="J81" s="414">
        <v>185401</v>
      </c>
      <c r="K81" s="414">
        <v>185401</v>
      </c>
      <c r="L81" s="414">
        <v>0</v>
      </c>
      <c r="M81" s="414">
        <v>0</v>
      </c>
      <c r="N81" s="414">
        <v>0</v>
      </c>
      <c r="O81" s="414">
        <v>0</v>
      </c>
      <c r="P81" s="68">
        <v>62666</v>
      </c>
      <c r="Q81" s="68">
        <v>1854</v>
      </c>
      <c r="R81" s="414">
        <v>0</v>
      </c>
      <c r="S81" s="415">
        <v>0.5</v>
      </c>
      <c r="T81" s="415">
        <v>0.5</v>
      </c>
      <c r="U81" s="422">
        <v>0</v>
      </c>
      <c r="V81" s="423">
        <f t="shared" si="109"/>
        <v>0</v>
      </c>
      <c r="W81" s="417">
        <f t="shared" si="109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10"/>
        <v>0</v>
      </c>
      <c r="AF81" s="417">
        <f t="shared" si="111"/>
        <v>0</v>
      </c>
      <c r="AG81" s="417">
        <f t="shared" si="112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13"/>
        <v>0</v>
      </c>
      <c r="AN81" s="417">
        <f t="shared" si="114"/>
        <v>0</v>
      </c>
      <c r="AO81" s="417">
        <f t="shared" si="115"/>
        <v>0</v>
      </c>
      <c r="AP81" s="417">
        <f t="shared" si="116"/>
        <v>0</v>
      </c>
      <c r="AQ81" s="417">
        <f t="shared" si="116"/>
        <v>0</v>
      </c>
      <c r="AR81" s="417">
        <f t="shared" si="117"/>
        <v>0</v>
      </c>
      <c r="AS81" s="68">
        <f t="shared" si="118"/>
        <v>0</v>
      </c>
      <c r="AT81" s="68">
        <f t="shared" si="119"/>
        <v>0</v>
      </c>
      <c r="AU81" s="417">
        <v>0</v>
      </c>
      <c r="AV81" s="417">
        <v>0</v>
      </c>
      <c r="AW81" s="417">
        <v>0</v>
      </c>
      <c r="AX81" s="417">
        <f t="shared" si="120"/>
        <v>0</v>
      </c>
      <c r="AY81" s="417">
        <f t="shared" si="121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22"/>
        <v>0</v>
      </c>
      <c r="BJ81" s="418">
        <f t="shared" si="123"/>
        <v>0</v>
      </c>
      <c r="BK81" s="420">
        <f t="shared" si="124"/>
        <v>0</v>
      </c>
      <c r="BL81" s="772">
        <f t="shared" si="128"/>
        <v>249921</v>
      </c>
      <c r="BM81" s="772">
        <f t="shared" si="129"/>
        <v>185401</v>
      </c>
      <c r="BN81" s="417">
        <f t="shared" si="130"/>
        <v>185401</v>
      </c>
      <c r="BO81" s="417">
        <f t="shared" si="130"/>
        <v>0</v>
      </c>
      <c r="BP81" s="417">
        <f t="shared" si="131"/>
        <v>0</v>
      </c>
      <c r="BQ81" s="417">
        <f t="shared" si="132"/>
        <v>0</v>
      </c>
      <c r="BR81" s="417">
        <f t="shared" si="132"/>
        <v>0</v>
      </c>
      <c r="BS81" s="417">
        <f t="shared" si="133"/>
        <v>62666</v>
      </c>
      <c r="BT81" s="417">
        <f t="shared" si="133"/>
        <v>1854</v>
      </c>
      <c r="BU81" s="417">
        <f t="shared" si="134"/>
        <v>0</v>
      </c>
      <c r="BV81" s="418">
        <f t="shared" si="135"/>
        <v>0.5</v>
      </c>
      <c r="BW81" s="418">
        <f t="shared" si="136"/>
        <v>0.5</v>
      </c>
      <c r="BX81" s="420">
        <f t="shared" si="136"/>
        <v>0</v>
      </c>
      <c r="BY81" s="510"/>
      <c r="BZ81" s="414"/>
      <c r="CA81" s="414"/>
      <c r="CB81" s="414"/>
      <c r="CC81" s="414"/>
      <c r="CD81" s="509"/>
      <c r="CE81" s="1021"/>
      <c r="CF81" s="1022"/>
      <c r="CG81" s="1022"/>
      <c r="CH81" s="1022"/>
      <c r="CI81" s="1022"/>
      <c r="CJ81" s="981"/>
    </row>
    <row r="82" spans="1:88" ht="12.95" customHeight="1">
      <c r="A82" s="280">
        <v>16</v>
      </c>
      <c r="B82" s="376">
        <v>5482</v>
      </c>
      <c r="C82" s="376">
        <v>600098982</v>
      </c>
      <c r="D82" s="376">
        <v>71006923</v>
      </c>
      <c r="E82" s="372" t="s">
        <v>479</v>
      </c>
      <c r="F82" s="212">
        <v>3141</v>
      </c>
      <c r="G82" s="373" t="s">
        <v>294</v>
      </c>
      <c r="H82" s="285" t="s">
        <v>272</v>
      </c>
      <c r="I82" s="419">
        <v>1053564</v>
      </c>
      <c r="J82" s="414">
        <v>778258</v>
      </c>
      <c r="K82" s="414">
        <v>0</v>
      </c>
      <c r="L82" s="414">
        <v>778258</v>
      </c>
      <c r="M82" s="414">
        <v>0</v>
      </c>
      <c r="N82" s="414">
        <v>0</v>
      </c>
      <c r="O82" s="414">
        <v>0</v>
      </c>
      <c r="P82" s="68">
        <v>263051</v>
      </c>
      <c r="Q82" s="68">
        <v>7783</v>
      </c>
      <c r="R82" s="414">
        <v>4472</v>
      </c>
      <c r="S82" s="415">
        <v>2.3332999999999999</v>
      </c>
      <c r="T82" s="415">
        <v>0</v>
      </c>
      <c r="U82" s="422">
        <v>2.3332999999999999</v>
      </c>
      <c r="V82" s="423">
        <f t="shared" si="109"/>
        <v>0</v>
      </c>
      <c r="W82" s="417">
        <f t="shared" si="109"/>
        <v>0</v>
      </c>
      <c r="X82" s="417">
        <v>0</v>
      </c>
      <c r="Y82" s="417">
        <v>0</v>
      </c>
      <c r="Z82" s="417">
        <v>0</v>
      </c>
      <c r="AA82" s="417">
        <v>10983</v>
      </c>
      <c r="AB82" s="417">
        <v>0</v>
      </c>
      <c r="AC82" s="417">
        <v>0</v>
      </c>
      <c r="AD82" s="417">
        <v>0</v>
      </c>
      <c r="AE82" s="417">
        <f t="shared" si="110"/>
        <v>0</v>
      </c>
      <c r="AF82" s="417">
        <f t="shared" si="111"/>
        <v>10983</v>
      </c>
      <c r="AG82" s="417">
        <f t="shared" si="112"/>
        <v>10983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13"/>
        <v>0</v>
      </c>
      <c r="AN82" s="417">
        <f t="shared" si="114"/>
        <v>0</v>
      </c>
      <c r="AO82" s="417">
        <f t="shared" si="115"/>
        <v>0</v>
      </c>
      <c r="AP82" s="417">
        <f t="shared" si="116"/>
        <v>0</v>
      </c>
      <c r="AQ82" s="417">
        <f t="shared" si="116"/>
        <v>10983</v>
      </c>
      <c r="AR82" s="417">
        <f t="shared" si="117"/>
        <v>10983</v>
      </c>
      <c r="AS82" s="68">
        <f t="shared" si="118"/>
        <v>3712</v>
      </c>
      <c r="AT82" s="68">
        <f t="shared" si="119"/>
        <v>110</v>
      </c>
      <c r="AU82" s="417">
        <v>0</v>
      </c>
      <c r="AV82" s="417">
        <v>0</v>
      </c>
      <c r="AW82" s="417">
        <v>0</v>
      </c>
      <c r="AX82" s="417">
        <f t="shared" si="120"/>
        <v>0</v>
      </c>
      <c r="AY82" s="417">
        <f t="shared" si="121"/>
        <v>14805</v>
      </c>
      <c r="AZ82" s="418">
        <v>0</v>
      </c>
      <c r="BA82" s="418">
        <v>0</v>
      </c>
      <c r="BB82" s="418">
        <v>0</v>
      </c>
      <c r="BC82" s="418">
        <v>0</v>
      </c>
      <c r="BD82" s="418">
        <v>0.03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22"/>
        <v>0</v>
      </c>
      <c r="BJ82" s="418">
        <f t="shared" si="123"/>
        <v>0.03</v>
      </c>
      <c r="BK82" s="420">
        <f t="shared" si="124"/>
        <v>0.03</v>
      </c>
      <c r="BL82" s="772">
        <f t="shared" si="128"/>
        <v>1068369</v>
      </c>
      <c r="BM82" s="772">
        <f t="shared" si="129"/>
        <v>789241</v>
      </c>
      <c r="BN82" s="417">
        <f t="shared" si="130"/>
        <v>0</v>
      </c>
      <c r="BO82" s="417">
        <f t="shared" si="130"/>
        <v>789241</v>
      </c>
      <c r="BP82" s="417">
        <f t="shared" si="131"/>
        <v>0</v>
      </c>
      <c r="BQ82" s="417">
        <f t="shared" si="132"/>
        <v>0</v>
      </c>
      <c r="BR82" s="417">
        <f t="shared" si="132"/>
        <v>0</v>
      </c>
      <c r="BS82" s="417">
        <f t="shared" si="133"/>
        <v>266763</v>
      </c>
      <c r="BT82" s="417">
        <f t="shared" si="133"/>
        <v>7893</v>
      </c>
      <c r="BU82" s="417">
        <f t="shared" si="134"/>
        <v>4472</v>
      </c>
      <c r="BV82" s="418">
        <f t="shared" si="135"/>
        <v>2.3632999999999997</v>
      </c>
      <c r="BW82" s="418">
        <f t="shared" si="136"/>
        <v>0</v>
      </c>
      <c r="BX82" s="420">
        <f t="shared" si="136"/>
        <v>2.3632999999999997</v>
      </c>
      <c r="BY82" s="510"/>
      <c r="BZ82" s="414"/>
      <c r="CA82" s="414"/>
      <c r="CB82" s="414"/>
      <c r="CC82" s="414"/>
      <c r="CD82" s="509"/>
      <c r="CE82" s="1021"/>
      <c r="CF82" s="1022"/>
      <c r="CG82" s="1022"/>
      <c r="CH82" s="1022"/>
      <c r="CI82" s="1022"/>
      <c r="CJ82" s="981"/>
    </row>
    <row r="83" spans="1:88" ht="12.95" customHeight="1">
      <c r="A83" s="280">
        <v>16</v>
      </c>
      <c r="B83" s="212">
        <v>5482</v>
      </c>
      <c r="C83" s="212">
        <v>600098982</v>
      </c>
      <c r="D83" s="212">
        <v>71006923</v>
      </c>
      <c r="E83" s="372" t="s">
        <v>479</v>
      </c>
      <c r="F83" s="212">
        <v>3143</v>
      </c>
      <c r="G83" s="323" t="s">
        <v>595</v>
      </c>
      <c r="H83" s="285" t="s">
        <v>271</v>
      </c>
      <c r="I83" s="419">
        <v>1150555</v>
      </c>
      <c r="J83" s="414">
        <v>853528</v>
      </c>
      <c r="K83" s="414">
        <v>853528</v>
      </c>
      <c r="L83" s="414">
        <v>0</v>
      </c>
      <c r="M83" s="414">
        <v>0</v>
      </c>
      <c r="N83" s="414">
        <v>0</v>
      </c>
      <c r="O83" s="414">
        <v>0</v>
      </c>
      <c r="P83" s="68">
        <v>288492</v>
      </c>
      <c r="Q83" s="68">
        <v>8535</v>
      </c>
      <c r="R83" s="414">
        <v>0</v>
      </c>
      <c r="S83" s="415">
        <v>1.75</v>
      </c>
      <c r="T83" s="415">
        <v>1.75</v>
      </c>
      <c r="U83" s="422">
        <v>0</v>
      </c>
      <c r="V83" s="423">
        <f t="shared" si="109"/>
        <v>0</v>
      </c>
      <c r="W83" s="417">
        <f t="shared" si="109"/>
        <v>0</v>
      </c>
      <c r="X83" s="417">
        <v>0</v>
      </c>
      <c r="Y83" s="417">
        <v>0</v>
      </c>
      <c r="Z83" s="417">
        <v>-11426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10"/>
        <v>-11426</v>
      </c>
      <c r="AF83" s="417">
        <f t="shared" si="111"/>
        <v>0</v>
      </c>
      <c r="AG83" s="417">
        <f t="shared" si="112"/>
        <v>-11426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13"/>
        <v>0</v>
      </c>
      <c r="AN83" s="417">
        <f t="shared" si="114"/>
        <v>0</v>
      </c>
      <c r="AO83" s="417">
        <f t="shared" si="115"/>
        <v>0</v>
      </c>
      <c r="AP83" s="417">
        <f t="shared" si="116"/>
        <v>-11426</v>
      </c>
      <c r="AQ83" s="417">
        <f t="shared" si="116"/>
        <v>0</v>
      </c>
      <c r="AR83" s="417">
        <f t="shared" si="117"/>
        <v>-11426</v>
      </c>
      <c r="AS83" s="68">
        <f t="shared" si="118"/>
        <v>-3862</v>
      </c>
      <c r="AT83" s="68">
        <f t="shared" si="119"/>
        <v>-114</v>
      </c>
      <c r="AU83" s="417">
        <v>0</v>
      </c>
      <c r="AV83" s="417">
        <v>0</v>
      </c>
      <c r="AW83" s="417">
        <v>0</v>
      </c>
      <c r="AX83" s="417">
        <f t="shared" si="120"/>
        <v>0</v>
      </c>
      <c r="AY83" s="417">
        <f t="shared" si="121"/>
        <v>-15402</v>
      </c>
      <c r="AZ83" s="418">
        <v>0</v>
      </c>
      <c r="BA83" s="418">
        <v>0</v>
      </c>
      <c r="BB83" s="418">
        <v>0</v>
      </c>
      <c r="BC83" s="418">
        <v>-0.03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22"/>
        <v>-0.03</v>
      </c>
      <c r="BJ83" s="418">
        <f t="shared" si="123"/>
        <v>0</v>
      </c>
      <c r="BK83" s="420">
        <f t="shared" si="124"/>
        <v>-0.03</v>
      </c>
      <c r="BL83" s="772">
        <f t="shared" si="128"/>
        <v>1135153</v>
      </c>
      <c r="BM83" s="772">
        <f t="shared" si="129"/>
        <v>842102</v>
      </c>
      <c r="BN83" s="417">
        <f t="shared" si="130"/>
        <v>842102</v>
      </c>
      <c r="BO83" s="417">
        <f t="shared" si="130"/>
        <v>0</v>
      </c>
      <c r="BP83" s="417">
        <f t="shared" si="131"/>
        <v>0</v>
      </c>
      <c r="BQ83" s="417">
        <f t="shared" si="132"/>
        <v>0</v>
      </c>
      <c r="BR83" s="417">
        <f t="shared" si="132"/>
        <v>0</v>
      </c>
      <c r="BS83" s="417">
        <f t="shared" si="133"/>
        <v>284630</v>
      </c>
      <c r="BT83" s="417">
        <f t="shared" si="133"/>
        <v>8421</v>
      </c>
      <c r="BU83" s="417">
        <f t="shared" si="134"/>
        <v>0</v>
      </c>
      <c r="BV83" s="418">
        <f t="shared" si="135"/>
        <v>1.72</v>
      </c>
      <c r="BW83" s="418">
        <f t="shared" si="136"/>
        <v>1.72</v>
      </c>
      <c r="BX83" s="420">
        <f t="shared" si="136"/>
        <v>0</v>
      </c>
      <c r="BY83" s="510"/>
      <c r="BZ83" s="414"/>
      <c r="CA83" s="414"/>
      <c r="CB83" s="414"/>
      <c r="CC83" s="414"/>
      <c r="CD83" s="509"/>
      <c r="CE83" s="1021"/>
      <c r="CF83" s="1022"/>
      <c r="CG83" s="1022"/>
      <c r="CH83" s="1022"/>
      <c r="CI83" s="1022"/>
      <c r="CJ83" s="981"/>
    </row>
    <row r="84" spans="1:88" ht="12.95" customHeight="1">
      <c r="A84" s="280">
        <v>16</v>
      </c>
      <c r="B84" s="212">
        <v>5482</v>
      </c>
      <c r="C84" s="212">
        <v>600098982</v>
      </c>
      <c r="D84" s="212">
        <v>71006923</v>
      </c>
      <c r="E84" s="372" t="s">
        <v>479</v>
      </c>
      <c r="F84" s="212">
        <v>3143</v>
      </c>
      <c r="G84" s="323" t="s">
        <v>596</v>
      </c>
      <c r="H84" s="285" t="s">
        <v>272</v>
      </c>
      <c r="I84" s="419">
        <v>30736</v>
      </c>
      <c r="J84" s="414">
        <v>22000</v>
      </c>
      <c r="K84" s="414">
        <v>0</v>
      </c>
      <c r="L84" s="414">
        <v>22000</v>
      </c>
      <c r="M84" s="414">
        <v>0</v>
      </c>
      <c r="N84" s="414">
        <v>0</v>
      </c>
      <c r="O84" s="414">
        <v>0</v>
      </c>
      <c r="P84" s="68">
        <v>7436</v>
      </c>
      <c r="Q84" s="68">
        <v>220</v>
      </c>
      <c r="R84" s="414">
        <v>1080</v>
      </c>
      <c r="S84" s="415">
        <v>8.5599999999999996E-2</v>
      </c>
      <c r="T84" s="415">
        <v>0</v>
      </c>
      <c r="U84" s="422">
        <v>8.5599999999999996E-2</v>
      </c>
      <c r="V84" s="423">
        <f t="shared" si="109"/>
        <v>0</v>
      </c>
      <c r="W84" s="417">
        <f t="shared" si="109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110"/>
        <v>0</v>
      </c>
      <c r="AF84" s="417">
        <f t="shared" si="111"/>
        <v>0</v>
      </c>
      <c r="AG84" s="417">
        <f t="shared" si="112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13"/>
        <v>0</v>
      </c>
      <c r="AN84" s="417">
        <f t="shared" si="114"/>
        <v>0</v>
      </c>
      <c r="AO84" s="417">
        <f t="shared" si="115"/>
        <v>0</v>
      </c>
      <c r="AP84" s="417">
        <f t="shared" si="116"/>
        <v>0</v>
      </c>
      <c r="AQ84" s="417">
        <f t="shared" si="116"/>
        <v>0</v>
      </c>
      <c r="AR84" s="417">
        <f t="shared" si="117"/>
        <v>0</v>
      </c>
      <c r="AS84" s="68">
        <f t="shared" si="118"/>
        <v>0</v>
      </c>
      <c r="AT84" s="68">
        <f t="shared" si="119"/>
        <v>0</v>
      </c>
      <c r="AU84" s="417">
        <v>0</v>
      </c>
      <c r="AV84" s="417">
        <v>0</v>
      </c>
      <c r="AW84" s="417">
        <v>0</v>
      </c>
      <c r="AX84" s="417">
        <f t="shared" si="120"/>
        <v>0</v>
      </c>
      <c r="AY84" s="417">
        <f t="shared" si="121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22"/>
        <v>0</v>
      </c>
      <c r="BJ84" s="418">
        <f t="shared" si="123"/>
        <v>0</v>
      </c>
      <c r="BK84" s="420">
        <f t="shared" si="124"/>
        <v>0</v>
      </c>
      <c r="BL84" s="772">
        <f t="shared" si="128"/>
        <v>30736</v>
      </c>
      <c r="BM84" s="772">
        <f t="shared" si="129"/>
        <v>22000</v>
      </c>
      <c r="BN84" s="417">
        <f t="shared" si="130"/>
        <v>0</v>
      </c>
      <c r="BO84" s="417">
        <f t="shared" si="130"/>
        <v>22000</v>
      </c>
      <c r="BP84" s="417">
        <f t="shared" si="131"/>
        <v>0</v>
      </c>
      <c r="BQ84" s="417">
        <f t="shared" si="132"/>
        <v>0</v>
      </c>
      <c r="BR84" s="417">
        <f t="shared" si="132"/>
        <v>0</v>
      </c>
      <c r="BS84" s="417">
        <f t="shared" si="133"/>
        <v>7436</v>
      </c>
      <c r="BT84" s="417">
        <f t="shared" si="133"/>
        <v>220</v>
      </c>
      <c r="BU84" s="417">
        <f t="shared" si="134"/>
        <v>1080</v>
      </c>
      <c r="BV84" s="418">
        <f t="shared" si="135"/>
        <v>8.5599999999999996E-2</v>
      </c>
      <c r="BW84" s="418">
        <f t="shared" si="136"/>
        <v>0</v>
      </c>
      <c r="BX84" s="420">
        <f t="shared" si="136"/>
        <v>8.5599999999999996E-2</v>
      </c>
      <c r="BY84" s="510"/>
      <c r="BZ84" s="414"/>
      <c r="CA84" s="414"/>
      <c r="CB84" s="414"/>
      <c r="CC84" s="414"/>
      <c r="CD84" s="509"/>
      <c r="CE84" s="1021"/>
      <c r="CF84" s="1022"/>
      <c r="CG84" s="1022"/>
      <c r="CH84" s="1022"/>
      <c r="CI84" s="1022"/>
      <c r="CJ84" s="981"/>
    </row>
    <row r="85" spans="1:88" ht="12.95" customHeight="1">
      <c r="A85" s="213">
        <v>16</v>
      </c>
      <c r="B85" s="45">
        <v>5482</v>
      </c>
      <c r="C85" s="45">
        <v>600098982</v>
      </c>
      <c r="D85" s="45">
        <v>71006923</v>
      </c>
      <c r="E85" s="374" t="s">
        <v>480</v>
      </c>
      <c r="F85" s="45"/>
      <c r="G85" s="374"/>
      <c r="H85" s="182"/>
      <c r="I85" s="464">
        <v>9175308</v>
      </c>
      <c r="J85" s="460">
        <v>6730716</v>
      </c>
      <c r="K85" s="460">
        <v>5258155</v>
      </c>
      <c r="L85" s="460">
        <v>1472561</v>
      </c>
      <c r="M85" s="460">
        <v>0</v>
      </c>
      <c r="N85" s="460">
        <v>0</v>
      </c>
      <c r="O85" s="460">
        <v>0</v>
      </c>
      <c r="P85" s="460">
        <v>2274983</v>
      </c>
      <c r="Q85" s="460">
        <v>67307</v>
      </c>
      <c r="R85" s="460">
        <v>102302</v>
      </c>
      <c r="S85" s="461">
        <v>13.0641</v>
      </c>
      <c r="T85" s="461">
        <v>8.7044999999999995</v>
      </c>
      <c r="U85" s="534">
        <v>4.3596000000000004</v>
      </c>
      <c r="V85" s="464">
        <f t="shared" ref="V85:BK85" si="137">SUM(V79:V84)</f>
        <v>0</v>
      </c>
      <c r="W85" s="460">
        <f t="shared" si="137"/>
        <v>0</v>
      </c>
      <c r="X85" s="460">
        <f t="shared" si="137"/>
        <v>0</v>
      </c>
      <c r="Y85" s="460">
        <f t="shared" si="137"/>
        <v>0</v>
      </c>
      <c r="Z85" s="460">
        <f t="shared" si="137"/>
        <v>75702</v>
      </c>
      <c r="AA85" s="460">
        <f t="shared" si="137"/>
        <v>10983</v>
      </c>
      <c r="AB85" s="460">
        <f t="shared" si="137"/>
        <v>0</v>
      </c>
      <c r="AC85" s="460">
        <f t="shared" si="137"/>
        <v>0</v>
      </c>
      <c r="AD85" s="460">
        <f t="shared" si="137"/>
        <v>0</v>
      </c>
      <c r="AE85" s="460">
        <f t="shared" si="137"/>
        <v>75702</v>
      </c>
      <c r="AF85" s="460">
        <f t="shared" si="137"/>
        <v>10983</v>
      </c>
      <c r="AG85" s="460">
        <f t="shared" si="137"/>
        <v>86685</v>
      </c>
      <c r="AH85" s="460">
        <f t="shared" si="137"/>
        <v>0</v>
      </c>
      <c r="AI85" s="460">
        <f t="shared" si="137"/>
        <v>0</v>
      </c>
      <c r="AJ85" s="460">
        <f t="shared" si="137"/>
        <v>0</v>
      </c>
      <c r="AK85" s="460">
        <f t="shared" si="137"/>
        <v>0</v>
      </c>
      <c r="AL85" s="460">
        <f t="shared" si="137"/>
        <v>0</v>
      </c>
      <c r="AM85" s="460">
        <f t="shared" si="137"/>
        <v>0</v>
      </c>
      <c r="AN85" s="460">
        <f t="shared" si="137"/>
        <v>0</v>
      </c>
      <c r="AO85" s="460">
        <f t="shared" si="137"/>
        <v>0</v>
      </c>
      <c r="AP85" s="460">
        <f t="shared" si="137"/>
        <v>75702</v>
      </c>
      <c r="AQ85" s="460">
        <f t="shared" si="137"/>
        <v>10983</v>
      </c>
      <c r="AR85" s="460">
        <f t="shared" si="137"/>
        <v>86685</v>
      </c>
      <c r="AS85" s="460">
        <f t="shared" si="137"/>
        <v>29299</v>
      </c>
      <c r="AT85" s="460">
        <f t="shared" si="137"/>
        <v>867</v>
      </c>
      <c r="AU85" s="460">
        <f t="shared" si="137"/>
        <v>0</v>
      </c>
      <c r="AV85" s="460">
        <f t="shared" si="137"/>
        <v>0</v>
      </c>
      <c r="AW85" s="460">
        <f t="shared" si="137"/>
        <v>0</v>
      </c>
      <c r="AX85" s="460">
        <f t="shared" si="137"/>
        <v>0</v>
      </c>
      <c r="AY85" s="460">
        <f t="shared" si="137"/>
        <v>116851</v>
      </c>
      <c r="AZ85" s="461">
        <f t="shared" si="137"/>
        <v>0</v>
      </c>
      <c r="BA85" s="461">
        <f t="shared" si="137"/>
        <v>0</v>
      </c>
      <c r="BB85" s="461">
        <f t="shared" si="137"/>
        <v>0</v>
      </c>
      <c r="BC85" s="461">
        <f t="shared" si="137"/>
        <v>0.14000000000000001</v>
      </c>
      <c r="BD85" s="461">
        <f t="shared" si="137"/>
        <v>0.03</v>
      </c>
      <c r="BE85" s="461">
        <f t="shared" si="137"/>
        <v>0</v>
      </c>
      <c r="BF85" s="461">
        <f t="shared" si="137"/>
        <v>0</v>
      </c>
      <c r="BG85" s="461">
        <f t="shared" si="137"/>
        <v>0</v>
      </c>
      <c r="BH85" s="461">
        <f t="shared" si="137"/>
        <v>0</v>
      </c>
      <c r="BI85" s="461">
        <f t="shared" si="137"/>
        <v>0.14000000000000001</v>
      </c>
      <c r="BJ85" s="461">
        <f t="shared" si="137"/>
        <v>0.03</v>
      </c>
      <c r="BK85" s="279">
        <f t="shared" si="137"/>
        <v>0.17</v>
      </c>
      <c r="BL85" s="1075">
        <f t="shared" ref="BL85:CG85" si="138">SUM(BL79:BL84)</f>
        <v>9292159</v>
      </c>
      <c r="BM85" s="1075">
        <f t="shared" si="138"/>
        <v>6817401</v>
      </c>
      <c r="BN85" s="460">
        <f t="shared" si="138"/>
        <v>5333857</v>
      </c>
      <c r="BO85" s="460">
        <f t="shared" si="138"/>
        <v>1483544</v>
      </c>
      <c r="BP85" s="460">
        <f t="shared" si="138"/>
        <v>0</v>
      </c>
      <c r="BQ85" s="460">
        <f t="shared" si="138"/>
        <v>0</v>
      </c>
      <c r="BR85" s="460">
        <f t="shared" si="138"/>
        <v>0</v>
      </c>
      <c r="BS85" s="460">
        <f t="shared" si="138"/>
        <v>2304282</v>
      </c>
      <c r="BT85" s="460">
        <f t="shared" si="138"/>
        <v>68174</v>
      </c>
      <c r="BU85" s="460">
        <f t="shared" si="138"/>
        <v>102302</v>
      </c>
      <c r="BV85" s="461">
        <f t="shared" si="138"/>
        <v>13.2341</v>
      </c>
      <c r="BW85" s="461">
        <f t="shared" si="138"/>
        <v>8.8445</v>
      </c>
      <c r="BX85" s="279">
        <f t="shared" si="138"/>
        <v>4.3895999999999997</v>
      </c>
      <c r="BY85" s="940">
        <f t="shared" si="138"/>
        <v>0</v>
      </c>
      <c r="BZ85" s="707">
        <f t="shared" si="138"/>
        <v>0</v>
      </c>
      <c r="CA85" s="707">
        <f t="shared" si="138"/>
        <v>0</v>
      </c>
      <c r="CB85" s="707">
        <f t="shared" si="138"/>
        <v>0</v>
      </c>
      <c r="CC85" s="707">
        <f t="shared" si="138"/>
        <v>0</v>
      </c>
      <c r="CD85" s="819">
        <f t="shared" si="138"/>
        <v>0</v>
      </c>
      <c r="CE85" s="1024">
        <f t="shared" si="138"/>
        <v>309480</v>
      </c>
      <c r="CF85" s="1024">
        <f t="shared" si="138"/>
        <v>215721</v>
      </c>
      <c r="CG85" s="1024">
        <f t="shared" si="138"/>
        <v>72914</v>
      </c>
      <c r="CH85" s="1024">
        <f t="shared" ref="CH85:CJ85" si="139">SUM(CH79:CH84)</f>
        <v>2157</v>
      </c>
      <c r="CI85" s="1024">
        <f t="shared" si="139"/>
        <v>18688</v>
      </c>
      <c r="CJ85" s="933">
        <f t="shared" si="139"/>
        <v>0.62270000000000003</v>
      </c>
    </row>
    <row r="86" spans="1:88" ht="12.95" customHeight="1">
      <c r="A86" s="280">
        <v>17</v>
      </c>
      <c r="B86" s="381">
        <v>3421</v>
      </c>
      <c r="C86" s="381">
        <v>600077985</v>
      </c>
      <c r="D86" s="281">
        <v>72741651</v>
      </c>
      <c r="E86" s="380" t="s">
        <v>481</v>
      </c>
      <c r="F86" s="381">
        <v>3111</v>
      </c>
      <c r="G86" s="373" t="s">
        <v>304</v>
      </c>
      <c r="H86" s="285" t="s">
        <v>271</v>
      </c>
      <c r="I86" s="419">
        <v>6179503</v>
      </c>
      <c r="J86" s="414">
        <v>4500611</v>
      </c>
      <c r="K86" s="414">
        <v>3877482</v>
      </c>
      <c r="L86" s="414">
        <v>623129</v>
      </c>
      <c r="M86" s="414">
        <v>60000</v>
      </c>
      <c r="N86" s="414">
        <v>30000</v>
      </c>
      <c r="O86" s="414">
        <v>30000</v>
      </c>
      <c r="P86" s="68">
        <v>1541486</v>
      </c>
      <c r="Q86" s="68">
        <v>45006</v>
      </c>
      <c r="R86" s="414">
        <v>32400</v>
      </c>
      <c r="S86" s="415">
        <v>9.2972999999999999</v>
      </c>
      <c r="T86" s="415">
        <v>7.2084000000000001</v>
      </c>
      <c r="U86" s="422">
        <v>2.0888999999999998</v>
      </c>
      <c r="V86" s="423">
        <f t="shared" si="109"/>
        <v>-22445</v>
      </c>
      <c r="W86" s="417">
        <f t="shared" si="109"/>
        <v>-36776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10"/>
        <v>-22445</v>
      </c>
      <c r="AF86" s="417">
        <f t="shared" si="111"/>
        <v>-36776</v>
      </c>
      <c r="AG86" s="417">
        <f t="shared" si="112"/>
        <v>-59221</v>
      </c>
      <c r="AH86" s="417">
        <v>22445</v>
      </c>
      <c r="AI86" s="417">
        <v>36776</v>
      </c>
      <c r="AJ86" s="417">
        <v>0</v>
      </c>
      <c r="AK86" s="417">
        <v>0</v>
      </c>
      <c r="AL86" s="417">
        <v>0</v>
      </c>
      <c r="AM86" s="417">
        <f t="shared" si="113"/>
        <v>22445</v>
      </c>
      <c r="AN86" s="417">
        <f t="shared" si="114"/>
        <v>36776</v>
      </c>
      <c r="AO86" s="417">
        <f t="shared" si="115"/>
        <v>59221</v>
      </c>
      <c r="AP86" s="417">
        <f t="shared" si="116"/>
        <v>0</v>
      </c>
      <c r="AQ86" s="417">
        <f t="shared" si="116"/>
        <v>0</v>
      </c>
      <c r="AR86" s="417">
        <f t="shared" si="117"/>
        <v>0</v>
      </c>
      <c r="AS86" s="68">
        <f t="shared" si="118"/>
        <v>0</v>
      </c>
      <c r="AT86" s="68">
        <f t="shared" si="119"/>
        <v>-592</v>
      </c>
      <c r="AU86" s="417">
        <v>0</v>
      </c>
      <c r="AV86" s="417">
        <v>0</v>
      </c>
      <c r="AW86" s="417">
        <v>0</v>
      </c>
      <c r="AX86" s="417">
        <f t="shared" si="120"/>
        <v>0</v>
      </c>
      <c r="AY86" s="417">
        <f t="shared" si="121"/>
        <v>-592</v>
      </c>
      <c r="AZ86" s="418">
        <v>-0.04</v>
      </c>
      <c r="BA86" s="418">
        <v>-0.13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22"/>
        <v>-0.04</v>
      </c>
      <c r="BJ86" s="418">
        <f t="shared" si="123"/>
        <v>-0.13</v>
      </c>
      <c r="BK86" s="420">
        <f t="shared" si="124"/>
        <v>-0.17</v>
      </c>
      <c r="BL86" s="772">
        <f>I86+AY86</f>
        <v>6178911</v>
      </c>
      <c r="BM86" s="772">
        <f>J86+AG86</f>
        <v>4441390</v>
      </c>
      <c r="BN86" s="417">
        <f t="shared" ref="BN86:BO88" si="140">K86+AE86</f>
        <v>3855037</v>
      </c>
      <c r="BO86" s="417">
        <f t="shared" si="140"/>
        <v>586353</v>
      </c>
      <c r="BP86" s="417">
        <f>M86+AO86</f>
        <v>119221</v>
      </c>
      <c r="BQ86" s="417">
        <f t="shared" ref="BQ86:BR88" si="141">N86+AM86</f>
        <v>52445</v>
      </c>
      <c r="BR86" s="417">
        <f t="shared" si="141"/>
        <v>66776</v>
      </c>
      <c r="BS86" s="417">
        <f t="shared" ref="BS86:BT88" si="142">P86+AS86</f>
        <v>1541486</v>
      </c>
      <c r="BT86" s="417">
        <f t="shared" si="142"/>
        <v>44414</v>
      </c>
      <c r="BU86" s="417">
        <f>R86+AX86</f>
        <v>32400</v>
      </c>
      <c r="BV86" s="418">
        <f>S86+BK86</f>
        <v>9.1273</v>
      </c>
      <c r="BW86" s="418">
        <f t="shared" ref="BW86:BX88" si="143">T86+BI86</f>
        <v>7.1684000000000001</v>
      </c>
      <c r="BX86" s="420">
        <f t="shared" si="143"/>
        <v>1.9588999999999999</v>
      </c>
      <c r="BY86" s="510"/>
      <c r="BZ86" s="414"/>
      <c r="CA86" s="414"/>
      <c r="CB86" s="414"/>
      <c r="CC86" s="414"/>
      <c r="CD86" s="509"/>
      <c r="CE86" s="1021">
        <v>293291</v>
      </c>
      <c r="CF86" s="1022">
        <v>209583</v>
      </c>
      <c r="CG86" s="1022">
        <v>70839</v>
      </c>
      <c r="CH86" s="1022">
        <v>2096</v>
      </c>
      <c r="CI86" s="1022">
        <v>10773</v>
      </c>
      <c r="CJ86" s="981">
        <v>0.7056</v>
      </c>
    </row>
    <row r="87" spans="1:88" ht="12.95" customHeight="1">
      <c r="A87" s="280">
        <v>17</v>
      </c>
      <c r="B87" s="212">
        <v>3421</v>
      </c>
      <c r="C87" s="212">
        <v>600077985</v>
      </c>
      <c r="D87" s="281">
        <v>72741651</v>
      </c>
      <c r="E87" s="211" t="s">
        <v>481</v>
      </c>
      <c r="F87" s="381">
        <v>3111</v>
      </c>
      <c r="G87" s="323" t="s">
        <v>291</v>
      </c>
      <c r="H87" s="285" t="s">
        <v>272</v>
      </c>
      <c r="I87" s="419">
        <v>499840</v>
      </c>
      <c r="J87" s="414">
        <v>370801</v>
      </c>
      <c r="K87" s="414">
        <v>370801</v>
      </c>
      <c r="L87" s="414">
        <v>0</v>
      </c>
      <c r="M87" s="414">
        <v>0</v>
      </c>
      <c r="N87" s="414">
        <v>0</v>
      </c>
      <c r="O87" s="414">
        <v>0</v>
      </c>
      <c r="P87" s="68">
        <v>125331</v>
      </c>
      <c r="Q87" s="68">
        <v>3708</v>
      </c>
      <c r="R87" s="414">
        <v>0</v>
      </c>
      <c r="S87" s="415">
        <v>1</v>
      </c>
      <c r="T87" s="415">
        <v>1</v>
      </c>
      <c r="U87" s="422">
        <v>0</v>
      </c>
      <c r="V87" s="423">
        <f t="shared" si="109"/>
        <v>0</v>
      </c>
      <c r="W87" s="417">
        <f t="shared" si="109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10"/>
        <v>0</v>
      </c>
      <c r="AF87" s="417">
        <f t="shared" si="111"/>
        <v>0</v>
      </c>
      <c r="AG87" s="417">
        <f t="shared" si="112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13"/>
        <v>0</v>
      </c>
      <c r="AN87" s="417">
        <f t="shared" si="114"/>
        <v>0</v>
      </c>
      <c r="AO87" s="417">
        <f t="shared" si="115"/>
        <v>0</v>
      </c>
      <c r="AP87" s="417">
        <f t="shared" si="116"/>
        <v>0</v>
      </c>
      <c r="AQ87" s="417">
        <f t="shared" si="116"/>
        <v>0</v>
      </c>
      <c r="AR87" s="417">
        <f t="shared" si="117"/>
        <v>0</v>
      </c>
      <c r="AS87" s="68">
        <f t="shared" si="118"/>
        <v>0</v>
      </c>
      <c r="AT87" s="68">
        <f t="shared" si="119"/>
        <v>0</v>
      </c>
      <c r="AU87" s="417">
        <v>0</v>
      </c>
      <c r="AV87" s="417">
        <v>0</v>
      </c>
      <c r="AW87" s="417">
        <v>0</v>
      </c>
      <c r="AX87" s="417">
        <f t="shared" si="120"/>
        <v>0</v>
      </c>
      <c r="AY87" s="417">
        <f t="shared" si="121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22"/>
        <v>0</v>
      </c>
      <c r="BJ87" s="418">
        <f t="shared" si="123"/>
        <v>0</v>
      </c>
      <c r="BK87" s="420">
        <f t="shared" si="124"/>
        <v>0</v>
      </c>
      <c r="BL87" s="772">
        <f>I87+AY87</f>
        <v>499840</v>
      </c>
      <c r="BM87" s="772">
        <f>J87+AG87</f>
        <v>370801</v>
      </c>
      <c r="BN87" s="417">
        <f t="shared" si="140"/>
        <v>370801</v>
      </c>
      <c r="BO87" s="417">
        <f t="shared" si="140"/>
        <v>0</v>
      </c>
      <c r="BP87" s="417">
        <f>M87+AO87</f>
        <v>0</v>
      </c>
      <c r="BQ87" s="417">
        <f t="shared" si="141"/>
        <v>0</v>
      </c>
      <c r="BR87" s="417">
        <f t="shared" si="141"/>
        <v>0</v>
      </c>
      <c r="BS87" s="417">
        <f t="shared" si="142"/>
        <v>125331</v>
      </c>
      <c r="BT87" s="417">
        <f t="shared" si="142"/>
        <v>3708</v>
      </c>
      <c r="BU87" s="417">
        <f>R87+AX87</f>
        <v>0</v>
      </c>
      <c r="BV87" s="418">
        <f>S87+BK87</f>
        <v>1</v>
      </c>
      <c r="BW87" s="418">
        <f t="shared" si="143"/>
        <v>1</v>
      </c>
      <c r="BX87" s="420">
        <f t="shared" si="143"/>
        <v>0</v>
      </c>
      <c r="BY87" s="510"/>
      <c r="BZ87" s="414"/>
      <c r="CA87" s="414"/>
      <c r="CB87" s="414"/>
      <c r="CC87" s="414"/>
      <c r="CD87" s="509"/>
      <c r="CE87" s="1021"/>
      <c r="CF87" s="1022"/>
      <c r="CG87" s="1022"/>
      <c r="CH87" s="1022"/>
      <c r="CI87" s="1022"/>
      <c r="CJ87" s="981"/>
    </row>
    <row r="88" spans="1:88" ht="12.95" customHeight="1">
      <c r="A88" s="280">
        <v>17</v>
      </c>
      <c r="B88" s="212">
        <v>3421</v>
      </c>
      <c r="C88" s="212">
        <v>600077985</v>
      </c>
      <c r="D88" s="281">
        <v>72741651</v>
      </c>
      <c r="E88" s="211" t="s">
        <v>481</v>
      </c>
      <c r="F88" s="212">
        <v>3141</v>
      </c>
      <c r="G88" s="373" t="s">
        <v>294</v>
      </c>
      <c r="H88" s="285" t="s">
        <v>272</v>
      </c>
      <c r="I88" s="419">
        <v>964663</v>
      </c>
      <c r="J88" s="414">
        <v>712501</v>
      </c>
      <c r="K88" s="414">
        <v>0</v>
      </c>
      <c r="L88" s="414">
        <v>712501</v>
      </c>
      <c r="M88" s="414">
        <v>0</v>
      </c>
      <c r="N88" s="414">
        <v>0</v>
      </c>
      <c r="O88" s="414">
        <v>0</v>
      </c>
      <c r="P88" s="68">
        <v>240825</v>
      </c>
      <c r="Q88" s="68">
        <v>7125</v>
      </c>
      <c r="R88" s="414">
        <v>4212</v>
      </c>
      <c r="S88" s="415">
        <v>2.1367000000000003</v>
      </c>
      <c r="T88" s="415">
        <v>0</v>
      </c>
      <c r="U88" s="422">
        <v>2.1367000000000003</v>
      </c>
      <c r="V88" s="423">
        <f t="shared" si="109"/>
        <v>0</v>
      </c>
      <c r="W88" s="417">
        <f t="shared" si="109"/>
        <v>0</v>
      </c>
      <c r="X88" s="417">
        <v>0</v>
      </c>
      <c r="Y88" s="417">
        <v>0</v>
      </c>
      <c r="Z88" s="417">
        <v>0</v>
      </c>
      <c r="AA88" s="417">
        <v>-14164</v>
      </c>
      <c r="AB88" s="417">
        <v>0</v>
      </c>
      <c r="AC88" s="417">
        <v>0</v>
      </c>
      <c r="AD88" s="417">
        <v>0</v>
      </c>
      <c r="AE88" s="417">
        <f t="shared" si="110"/>
        <v>0</v>
      </c>
      <c r="AF88" s="417">
        <f t="shared" si="111"/>
        <v>-14164</v>
      </c>
      <c r="AG88" s="417">
        <f t="shared" si="112"/>
        <v>-14164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13"/>
        <v>0</v>
      </c>
      <c r="AN88" s="417">
        <f t="shared" si="114"/>
        <v>0</v>
      </c>
      <c r="AO88" s="417">
        <f t="shared" si="115"/>
        <v>0</v>
      </c>
      <c r="AP88" s="417">
        <f t="shared" si="116"/>
        <v>0</v>
      </c>
      <c r="AQ88" s="417">
        <f t="shared" si="116"/>
        <v>-14164</v>
      </c>
      <c r="AR88" s="417">
        <f t="shared" si="117"/>
        <v>-14164</v>
      </c>
      <c r="AS88" s="68">
        <f t="shared" si="118"/>
        <v>-4787</v>
      </c>
      <c r="AT88" s="68">
        <f t="shared" si="119"/>
        <v>-142</v>
      </c>
      <c r="AU88" s="417">
        <v>0</v>
      </c>
      <c r="AV88" s="417">
        <v>0</v>
      </c>
      <c r="AW88" s="417">
        <v>0</v>
      </c>
      <c r="AX88" s="417">
        <f t="shared" si="120"/>
        <v>0</v>
      </c>
      <c r="AY88" s="417">
        <f t="shared" si="121"/>
        <v>-19093</v>
      </c>
      <c r="AZ88" s="418">
        <v>0</v>
      </c>
      <c r="BA88" s="418">
        <v>0</v>
      </c>
      <c r="BB88" s="418">
        <v>0</v>
      </c>
      <c r="BC88" s="418">
        <v>0</v>
      </c>
      <c r="BD88" s="418">
        <v>-0.04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22"/>
        <v>0</v>
      </c>
      <c r="BJ88" s="418">
        <f t="shared" si="123"/>
        <v>-0.04</v>
      </c>
      <c r="BK88" s="420">
        <f t="shared" si="124"/>
        <v>-0.04</v>
      </c>
      <c r="BL88" s="772">
        <f>I88+AY88</f>
        <v>945570</v>
      </c>
      <c r="BM88" s="772">
        <f>J88+AG88</f>
        <v>698337</v>
      </c>
      <c r="BN88" s="417">
        <f t="shared" si="140"/>
        <v>0</v>
      </c>
      <c r="BO88" s="417">
        <f t="shared" si="140"/>
        <v>698337</v>
      </c>
      <c r="BP88" s="417">
        <f>M88+AO88</f>
        <v>0</v>
      </c>
      <c r="BQ88" s="417">
        <f t="shared" si="141"/>
        <v>0</v>
      </c>
      <c r="BR88" s="417">
        <f t="shared" si="141"/>
        <v>0</v>
      </c>
      <c r="BS88" s="417">
        <f t="shared" si="142"/>
        <v>236038</v>
      </c>
      <c r="BT88" s="417">
        <f t="shared" si="142"/>
        <v>6983</v>
      </c>
      <c r="BU88" s="417">
        <f>R88+AX88</f>
        <v>4212</v>
      </c>
      <c r="BV88" s="418">
        <f>S88+BK88</f>
        <v>2.0967000000000002</v>
      </c>
      <c r="BW88" s="418">
        <f t="shared" si="143"/>
        <v>0</v>
      </c>
      <c r="BX88" s="420">
        <f t="shared" si="143"/>
        <v>2.0967000000000002</v>
      </c>
      <c r="BY88" s="510"/>
      <c r="BZ88" s="414"/>
      <c r="CA88" s="414"/>
      <c r="CB88" s="414"/>
      <c r="CC88" s="414"/>
      <c r="CD88" s="509"/>
      <c r="CE88" s="1021"/>
      <c r="CF88" s="1022"/>
      <c r="CG88" s="1022"/>
      <c r="CH88" s="1022"/>
      <c r="CI88" s="1022"/>
      <c r="CJ88" s="981"/>
    </row>
    <row r="89" spans="1:88" ht="12.95" customHeight="1">
      <c r="A89" s="213">
        <v>17</v>
      </c>
      <c r="B89" s="46">
        <v>3421</v>
      </c>
      <c r="C89" s="46">
        <v>600077985</v>
      </c>
      <c r="D89" s="48">
        <v>72741651</v>
      </c>
      <c r="E89" s="374" t="s">
        <v>482</v>
      </c>
      <c r="F89" s="48"/>
      <c r="G89" s="387"/>
      <c r="H89" s="185"/>
      <c r="I89" s="477">
        <v>7644006</v>
      </c>
      <c r="J89" s="475">
        <v>5583913</v>
      </c>
      <c r="K89" s="475">
        <v>4248283</v>
      </c>
      <c r="L89" s="475">
        <v>1335630</v>
      </c>
      <c r="M89" s="475">
        <v>60000</v>
      </c>
      <c r="N89" s="475">
        <v>30000</v>
      </c>
      <c r="O89" s="475">
        <v>30000</v>
      </c>
      <c r="P89" s="475">
        <v>1907642</v>
      </c>
      <c r="Q89" s="475">
        <v>55839</v>
      </c>
      <c r="R89" s="475">
        <v>36612</v>
      </c>
      <c r="S89" s="476">
        <v>12.434000000000001</v>
      </c>
      <c r="T89" s="476">
        <v>8.208400000000001</v>
      </c>
      <c r="U89" s="535">
        <v>4.2256</v>
      </c>
      <c r="V89" s="477">
        <f t="shared" ref="V89:BK89" si="144">SUM(V86:V88)</f>
        <v>-22445</v>
      </c>
      <c r="W89" s="475">
        <f t="shared" si="144"/>
        <v>-36776</v>
      </c>
      <c r="X89" s="475">
        <f t="shared" si="144"/>
        <v>0</v>
      </c>
      <c r="Y89" s="475">
        <f t="shared" si="144"/>
        <v>0</v>
      </c>
      <c r="Z89" s="475">
        <f t="shared" si="144"/>
        <v>0</v>
      </c>
      <c r="AA89" s="475">
        <f t="shared" si="144"/>
        <v>-14164</v>
      </c>
      <c r="AB89" s="475">
        <f t="shared" si="144"/>
        <v>0</v>
      </c>
      <c r="AC89" s="475">
        <f t="shared" si="144"/>
        <v>0</v>
      </c>
      <c r="AD89" s="475">
        <f t="shared" si="144"/>
        <v>0</v>
      </c>
      <c r="AE89" s="475">
        <f t="shared" si="144"/>
        <v>-22445</v>
      </c>
      <c r="AF89" s="475">
        <f t="shared" si="144"/>
        <v>-50940</v>
      </c>
      <c r="AG89" s="475">
        <f t="shared" si="144"/>
        <v>-73385</v>
      </c>
      <c r="AH89" s="475">
        <f t="shared" si="144"/>
        <v>22445</v>
      </c>
      <c r="AI89" s="475">
        <f t="shared" si="144"/>
        <v>36776</v>
      </c>
      <c r="AJ89" s="475">
        <f t="shared" si="144"/>
        <v>0</v>
      </c>
      <c r="AK89" s="475">
        <f t="shared" si="144"/>
        <v>0</v>
      </c>
      <c r="AL89" s="475">
        <f t="shared" si="144"/>
        <v>0</v>
      </c>
      <c r="AM89" s="475">
        <f t="shared" si="144"/>
        <v>22445</v>
      </c>
      <c r="AN89" s="475">
        <f t="shared" si="144"/>
        <v>36776</v>
      </c>
      <c r="AO89" s="475">
        <f t="shared" si="144"/>
        <v>59221</v>
      </c>
      <c r="AP89" s="475">
        <f t="shared" si="144"/>
        <v>0</v>
      </c>
      <c r="AQ89" s="475">
        <f t="shared" si="144"/>
        <v>-14164</v>
      </c>
      <c r="AR89" s="475">
        <f t="shared" si="144"/>
        <v>-14164</v>
      </c>
      <c r="AS89" s="475">
        <f t="shared" si="144"/>
        <v>-4787</v>
      </c>
      <c r="AT89" s="475">
        <f t="shared" si="144"/>
        <v>-734</v>
      </c>
      <c r="AU89" s="475">
        <f t="shared" si="144"/>
        <v>0</v>
      </c>
      <c r="AV89" s="475">
        <f t="shared" si="144"/>
        <v>0</v>
      </c>
      <c r="AW89" s="475">
        <f t="shared" si="144"/>
        <v>0</v>
      </c>
      <c r="AX89" s="475">
        <f t="shared" si="144"/>
        <v>0</v>
      </c>
      <c r="AY89" s="475">
        <f t="shared" si="144"/>
        <v>-19685</v>
      </c>
      <c r="AZ89" s="476">
        <f t="shared" si="144"/>
        <v>-0.04</v>
      </c>
      <c r="BA89" s="476">
        <f t="shared" si="144"/>
        <v>-0.13</v>
      </c>
      <c r="BB89" s="476">
        <f t="shared" si="144"/>
        <v>0</v>
      </c>
      <c r="BC89" s="476">
        <f t="shared" si="144"/>
        <v>0</v>
      </c>
      <c r="BD89" s="476">
        <f t="shared" si="144"/>
        <v>-0.04</v>
      </c>
      <c r="BE89" s="476">
        <f t="shared" si="144"/>
        <v>0</v>
      </c>
      <c r="BF89" s="476">
        <f t="shared" si="144"/>
        <v>0</v>
      </c>
      <c r="BG89" s="476">
        <f t="shared" si="144"/>
        <v>0</v>
      </c>
      <c r="BH89" s="476">
        <f t="shared" si="144"/>
        <v>0</v>
      </c>
      <c r="BI89" s="476">
        <f t="shared" si="144"/>
        <v>-0.04</v>
      </c>
      <c r="BJ89" s="476">
        <f t="shared" si="144"/>
        <v>-0.17</v>
      </c>
      <c r="BK89" s="351">
        <f t="shared" si="144"/>
        <v>-0.21000000000000002</v>
      </c>
      <c r="BL89" s="1077">
        <f t="shared" ref="BL89:CG89" si="145">SUM(BL86:BL88)</f>
        <v>7624321</v>
      </c>
      <c r="BM89" s="1077">
        <f t="shared" si="145"/>
        <v>5510528</v>
      </c>
      <c r="BN89" s="475">
        <f t="shared" si="145"/>
        <v>4225838</v>
      </c>
      <c r="BO89" s="475">
        <f t="shared" si="145"/>
        <v>1284690</v>
      </c>
      <c r="BP89" s="475">
        <f t="shared" si="145"/>
        <v>119221</v>
      </c>
      <c r="BQ89" s="475">
        <f t="shared" si="145"/>
        <v>52445</v>
      </c>
      <c r="BR89" s="475">
        <f t="shared" si="145"/>
        <v>66776</v>
      </c>
      <c r="BS89" s="475">
        <f t="shared" si="145"/>
        <v>1902855</v>
      </c>
      <c r="BT89" s="475">
        <f t="shared" si="145"/>
        <v>55105</v>
      </c>
      <c r="BU89" s="475">
        <f t="shared" si="145"/>
        <v>36612</v>
      </c>
      <c r="BV89" s="476">
        <f t="shared" si="145"/>
        <v>12.224</v>
      </c>
      <c r="BW89" s="476">
        <f t="shared" si="145"/>
        <v>8.1684000000000001</v>
      </c>
      <c r="BX89" s="351">
        <f t="shared" si="145"/>
        <v>4.0556000000000001</v>
      </c>
      <c r="BY89" s="942">
        <f t="shared" si="145"/>
        <v>0</v>
      </c>
      <c r="BZ89" s="723">
        <f t="shared" si="145"/>
        <v>0</v>
      </c>
      <c r="CA89" s="723">
        <f t="shared" si="145"/>
        <v>0</v>
      </c>
      <c r="CB89" s="723">
        <f t="shared" si="145"/>
        <v>0</v>
      </c>
      <c r="CC89" s="723">
        <f t="shared" si="145"/>
        <v>0</v>
      </c>
      <c r="CD89" s="830">
        <f t="shared" si="145"/>
        <v>0</v>
      </c>
      <c r="CE89" s="1027">
        <f t="shared" si="145"/>
        <v>293291</v>
      </c>
      <c r="CF89" s="1027">
        <f t="shared" si="145"/>
        <v>209583</v>
      </c>
      <c r="CG89" s="1027">
        <f t="shared" si="145"/>
        <v>70839</v>
      </c>
      <c r="CH89" s="1027">
        <f t="shared" ref="CH89:CJ89" si="146">SUM(CH86:CH88)</f>
        <v>2096</v>
      </c>
      <c r="CI89" s="1027">
        <f t="shared" si="146"/>
        <v>10773</v>
      </c>
      <c r="CJ89" s="934">
        <f t="shared" si="146"/>
        <v>0.7056</v>
      </c>
    </row>
    <row r="90" spans="1:88" ht="12.95" customHeight="1">
      <c r="A90" s="280">
        <v>18</v>
      </c>
      <c r="B90" s="212">
        <v>3420</v>
      </c>
      <c r="C90" s="212">
        <v>600078442</v>
      </c>
      <c r="D90" s="281">
        <v>72741571</v>
      </c>
      <c r="E90" s="372" t="s">
        <v>483</v>
      </c>
      <c r="F90" s="212">
        <v>3113</v>
      </c>
      <c r="G90" s="372" t="s">
        <v>308</v>
      </c>
      <c r="H90" s="285" t="s">
        <v>271</v>
      </c>
      <c r="I90" s="419">
        <v>16644899</v>
      </c>
      <c r="J90" s="414">
        <v>12081892</v>
      </c>
      <c r="K90" s="414">
        <v>10498480</v>
      </c>
      <c r="L90" s="414">
        <v>1583412</v>
      </c>
      <c r="M90" s="414">
        <v>53000</v>
      </c>
      <c r="N90" s="414">
        <v>53000</v>
      </c>
      <c r="O90" s="414">
        <v>0</v>
      </c>
      <c r="P90" s="68">
        <v>4101593</v>
      </c>
      <c r="Q90" s="68">
        <v>120819</v>
      </c>
      <c r="R90" s="414">
        <v>287595</v>
      </c>
      <c r="S90" s="415">
        <v>20.267599999999998</v>
      </c>
      <c r="T90" s="415">
        <v>15.6928</v>
      </c>
      <c r="U90" s="422">
        <v>4.5747999999999998</v>
      </c>
      <c r="V90" s="423">
        <f t="shared" si="109"/>
        <v>0</v>
      </c>
      <c r="W90" s="417">
        <f t="shared" si="109"/>
        <v>0</v>
      </c>
      <c r="X90" s="417">
        <v>0</v>
      </c>
      <c r="Y90" s="417">
        <v>0</v>
      </c>
      <c r="Z90" s="417">
        <v>-84796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10"/>
        <v>-84796</v>
      </c>
      <c r="AF90" s="417">
        <f t="shared" si="111"/>
        <v>0</v>
      </c>
      <c r="AG90" s="417">
        <f t="shared" si="112"/>
        <v>-84796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13"/>
        <v>0</v>
      </c>
      <c r="AN90" s="417">
        <f t="shared" si="114"/>
        <v>0</v>
      </c>
      <c r="AO90" s="417">
        <f t="shared" si="115"/>
        <v>0</v>
      </c>
      <c r="AP90" s="417">
        <f t="shared" si="116"/>
        <v>-84796</v>
      </c>
      <c r="AQ90" s="417">
        <f t="shared" si="116"/>
        <v>0</v>
      </c>
      <c r="AR90" s="417">
        <f t="shared" si="117"/>
        <v>-84796</v>
      </c>
      <c r="AS90" s="68">
        <f t="shared" si="118"/>
        <v>-28661</v>
      </c>
      <c r="AT90" s="68">
        <f t="shared" si="119"/>
        <v>-848</v>
      </c>
      <c r="AU90" s="417">
        <v>0</v>
      </c>
      <c r="AV90" s="417">
        <v>0</v>
      </c>
      <c r="AW90" s="417">
        <v>0</v>
      </c>
      <c r="AX90" s="417">
        <f t="shared" si="120"/>
        <v>0</v>
      </c>
      <c r="AY90" s="417">
        <f t="shared" si="121"/>
        <v>-114305</v>
      </c>
      <c r="AZ90" s="418">
        <v>0</v>
      </c>
      <c r="BA90" s="418">
        <v>0</v>
      </c>
      <c r="BB90" s="418">
        <v>0</v>
      </c>
      <c r="BC90" s="418">
        <v>-0.17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22"/>
        <v>-0.17</v>
      </c>
      <c r="BJ90" s="418">
        <f t="shared" si="123"/>
        <v>0</v>
      </c>
      <c r="BK90" s="420">
        <f t="shared" si="124"/>
        <v>-0.17</v>
      </c>
      <c r="BL90" s="772">
        <f>I90+AY90</f>
        <v>16530594</v>
      </c>
      <c r="BM90" s="772">
        <f>J90+AG90</f>
        <v>11997096</v>
      </c>
      <c r="BN90" s="417">
        <f t="shared" ref="BN90:BO94" si="147">K90+AE90</f>
        <v>10413684</v>
      </c>
      <c r="BO90" s="417">
        <f t="shared" si="147"/>
        <v>1583412</v>
      </c>
      <c r="BP90" s="417">
        <f>M90+AO90</f>
        <v>53000</v>
      </c>
      <c r="BQ90" s="417">
        <f t="shared" ref="BQ90:BR94" si="148">N90+AM90</f>
        <v>53000</v>
      </c>
      <c r="BR90" s="417">
        <f t="shared" si="148"/>
        <v>0</v>
      </c>
      <c r="BS90" s="417">
        <f t="shared" ref="BS90:BT94" si="149">P90+AS90</f>
        <v>4072932</v>
      </c>
      <c r="BT90" s="417">
        <f t="shared" si="149"/>
        <v>119971</v>
      </c>
      <c r="BU90" s="417">
        <f>R90+AX90</f>
        <v>287595</v>
      </c>
      <c r="BV90" s="418">
        <f>S90+BK90</f>
        <v>20.097599999999996</v>
      </c>
      <c r="BW90" s="418">
        <f t="shared" ref="BW90:BX94" si="150">T90+BI90</f>
        <v>15.5228</v>
      </c>
      <c r="BX90" s="420">
        <f t="shared" si="150"/>
        <v>4.5747999999999998</v>
      </c>
      <c r="BY90" s="510">
        <v>380136</v>
      </c>
      <c r="BZ90" s="414">
        <v>282000</v>
      </c>
      <c r="CA90" s="414">
        <v>0</v>
      </c>
      <c r="CB90" s="414">
        <v>95316</v>
      </c>
      <c r="CC90" s="414">
        <v>2820</v>
      </c>
      <c r="CD90" s="509">
        <v>0.5</v>
      </c>
      <c r="CE90" s="1026">
        <v>748501</v>
      </c>
      <c r="CF90" s="1022">
        <v>508228</v>
      </c>
      <c r="CG90" s="1022">
        <v>171781</v>
      </c>
      <c r="CH90" s="1022">
        <v>5082</v>
      </c>
      <c r="CI90" s="1022">
        <v>63410</v>
      </c>
      <c r="CJ90" s="981">
        <v>1.4685000000000001</v>
      </c>
    </row>
    <row r="91" spans="1:88" ht="12.95" customHeight="1">
      <c r="A91" s="280">
        <v>18</v>
      </c>
      <c r="B91" s="376">
        <v>3420</v>
      </c>
      <c r="C91" s="376">
        <v>600078442</v>
      </c>
      <c r="D91" s="281">
        <v>72741571</v>
      </c>
      <c r="E91" s="372" t="s">
        <v>483</v>
      </c>
      <c r="F91" s="212">
        <v>3113</v>
      </c>
      <c r="G91" s="323" t="s">
        <v>291</v>
      </c>
      <c r="H91" s="285" t="s">
        <v>272</v>
      </c>
      <c r="I91" s="419">
        <v>503841</v>
      </c>
      <c r="J91" s="414">
        <v>370802</v>
      </c>
      <c r="K91" s="414">
        <v>370802</v>
      </c>
      <c r="L91" s="414">
        <v>0</v>
      </c>
      <c r="M91" s="414">
        <v>0</v>
      </c>
      <c r="N91" s="414">
        <v>0</v>
      </c>
      <c r="O91" s="414">
        <v>0</v>
      </c>
      <c r="P91" s="68">
        <v>125331</v>
      </c>
      <c r="Q91" s="68">
        <v>3708</v>
      </c>
      <c r="R91" s="414">
        <v>4000</v>
      </c>
      <c r="S91" s="415">
        <v>1</v>
      </c>
      <c r="T91" s="415">
        <v>1</v>
      </c>
      <c r="U91" s="422">
        <v>0</v>
      </c>
      <c r="V91" s="423">
        <f t="shared" si="109"/>
        <v>0</v>
      </c>
      <c r="W91" s="417">
        <f t="shared" si="109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10"/>
        <v>0</v>
      </c>
      <c r="AF91" s="417">
        <f t="shared" si="111"/>
        <v>0</v>
      </c>
      <c r="AG91" s="417">
        <f t="shared" si="112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3"/>
        <v>0</v>
      </c>
      <c r="AN91" s="417">
        <f t="shared" si="114"/>
        <v>0</v>
      </c>
      <c r="AO91" s="417">
        <f t="shared" si="115"/>
        <v>0</v>
      </c>
      <c r="AP91" s="417">
        <f t="shared" si="116"/>
        <v>0</v>
      </c>
      <c r="AQ91" s="417">
        <f t="shared" si="116"/>
        <v>0</v>
      </c>
      <c r="AR91" s="417">
        <f t="shared" si="117"/>
        <v>0</v>
      </c>
      <c r="AS91" s="68">
        <f t="shared" si="118"/>
        <v>0</v>
      </c>
      <c r="AT91" s="68">
        <f t="shared" si="119"/>
        <v>0</v>
      </c>
      <c r="AU91" s="417">
        <v>0</v>
      </c>
      <c r="AV91" s="417">
        <v>0</v>
      </c>
      <c r="AW91" s="417">
        <v>0</v>
      </c>
      <c r="AX91" s="417">
        <f t="shared" si="120"/>
        <v>0</v>
      </c>
      <c r="AY91" s="417">
        <f t="shared" si="121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22"/>
        <v>0</v>
      </c>
      <c r="BJ91" s="418">
        <f t="shared" si="123"/>
        <v>0</v>
      </c>
      <c r="BK91" s="420">
        <f t="shared" si="124"/>
        <v>0</v>
      </c>
      <c r="BL91" s="772">
        <f>I91+AY91</f>
        <v>503841</v>
      </c>
      <c r="BM91" s="772">
        <f>J91+AG91</f>
        <v>370802</v>
      </c>
      <c r="BN91" s="417">
        <f t="shared" si="147"/>
        <v>370802</v>
      </c>
      <c r="BO91" s="417">
        <f t="shared" si="147"/>
        <v>0</v>
      </c>
      <c r="BP91" s="417">
        <f>M91+AO91</f>
        <v>0</v>
      </c>
      <c r="BQ91" s="417">
        <f t="shared" si="148"/>
        <v>0</v>
      </c>
      <c r="BR91" s="417">
        <f t="shared" si="148"/>
        <v>0</v>
      </c>
      <c r="BS91" s="417">
        <f t="shared" si="149"/>
        <v>125331</v>
      </c>
      <c r="BT91" s="417">
        <f t="shared" si="149"/>
        <v>3708</v>
      </c>
      <c r="BU91" s="417">
        <f>R91+AX91</f>
        <v>4000</v>
      </c>
      <c r="BV91" s="418">
        <f>S91+BK91</f>
        <v>1</v>
      </c>
      <c r="BW91" s="418">
        <f t="shared" si="150"/>
        <v>1</v>
      </c>
      <c r="BX91" s="420">
        <f t="shared" si="150"/>
        <v>0</v>
      </c>
      <c r="BY91" s="510"/>
      <c r="BZ91" s="414"/>
      <c r="CA91" s="414"/>
      <c r="CB91" s="414"/>
      <c r="CC91" s="414"/>
      <c r="CD91" s="509"/>
      <c r="CE91" s="1021"/>
      <c r="CF91" s="1022"/>
      <c r="CG91" s="1022"/>
      <c r="CH91" s="1022"/>
      <c r="CI91" s="1022"/>
      <c r="CJ91" s="981"/>
    </row>
    <row r="92" spans="1:88" ht="12.95" customHeight="1">
      <c r="A92" s="280">
        <v>18</v>
      </c>
      <c r="B92" s="212">
        <v>3420</v>
      </c>
      <c r="C92" s="212">
        <v>600078442</v>
      </c>
      <c r="D92" s="281">
        <v>72741571</v>
      </c>
      <c r="E92" s="211" t="s">
        <v>483</v>
      </c>
      <c r="F92" s="212">
        <v>3141</v>
      </c>
      <c r="G92" s="373" t="s">
        <v>294</v>
      </c>
      <c r="H92" s="285" t="s">
        <v>272</v>
      </c>
      <c r="I92" s="419">
        <v>1525798</v>
      </c>
      <c r="J92" s="414">
        <v>1124221</v>
      </c>
      <c r="K92" s="414">
        <v>0</v>
      </c>
      <c r="L92" s="414">
        <v>1124221</v>
      </c>
      <c r="M92" s="414">
        <v>0</v>
      </c>
      <c r="N92" s="414">
        <v>0</v>
      </c>
      <c r="O92" s="414">
        <v>0</v>
      </c>
      <c r="P92" s="68">
        <v>379987</v>
      </c>
      <c r="Q92" s="68">
        <v>11242</v>
      </c>
      <c r="R92" s="414">
        <v>10348</v>
      </c>
      <c r="S92" s="415">
        <v>3.3667000000000002</v>
      </c>
      <c r="T92" s="415">
        <v>0</v>
      </c>
      <c r="U92" s="422">
        <v>3.3667000000000002</v>
      </c>
      <c r="V92" s="423">
        <f t="shared" si="109"/>
        <v>0</v>
      </c>
      <c r="W92" s="417">
        <f t="shared" si="109"/>
        <v>0</v>
      </c>
      <c r="X92" s="417">
        <v>0</v>
      </c>
      <c r="Y92" s="417">
        <v>0</v>
      </c>
      <c r="Z92" s="417">
        <v>0</v>
      </c>
      <c r="AA92" s="417">
        <v>4448</v>
      </c>
      <c r="AB92" s="417">
        <v>0</v>
      </c>
      <c r="AC92" s="417">
        <v>0</v>
      </c>
      <c r="AD92" s="417">
        <v>0</v>
      </c>
      <c r="AE92" s="417">
        <f t="shared" si="110"/>
        <v>0</v>
      </c>
      <c r="AF92" s="417">
        <f t="shared" si="111"/>
        <v>4448</v>
      </c>
      <c r="AG92" s="417">
        <f t="shared" si="112"/>
        <v>4448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13"/>
        <v>0</v>
      </c>
      <c r="AN92" s="417">
        <f t="shared" si="114"/>
        <v>0</v>
      </c>
      <c r="AO92" s="417">
        <f t="shared" si="115"/>
        <v>0</v>
      </c>
      <c r="AP92" s="417">
        <f t="shared" si="116"/>
        <v>0</v>
      </c>
      <c r="AQ92" s="417">
        <f t="shared" si="116"/>
        <v>4448</v>
      </c>
      <c r="AR92" s="417">
        <f t="shared" si="117"/>
        <v>4448</v>
      </c>
      <c r="AS92" s="68">
        <f t="shared" si="118"/>
        <v>1503</v>
      </c>
      <c r="AT92" s="68">
        <f t="shared" si="119"/>
        <v>44</v>
      </c>
      <c r="AU92" s="417">
        <v>0</v>
      </c>
      <c r="AV92" s="417">
        <v>0</v>
      </c>
      <c r="AW92" s="417">
        <v>0</v>
      </c>
      <c r="AX92" s="417">
        <f t="shared" si="120"/>
        <v>0</v>
      </c>
      <c r="AY92" s="417">
        <f t="shared" si="121"/>
        <v>5995</v>
      </c>
      <c r="AZ92" s="418">
        <v>0</v>
      </c>
      <c r="BA92" s="418">
        <v>0</v>
      </c>
      <c r="BB92" s="418">
        <v>0</v>
      </c>
      <c r="BC92" s="418">
        <v>0.02</v>
      </c>
      <c r="BD92" s="418">
        <v>0.02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22"/>
        <v>0.02</v>
      </c>
      <c r="BJ92" s="418">
        <f t="shared" si="123"/>
        <v>0.02</v>
      </c>
      <c r="BK92" s="420">
        <f t="shared" si="124"/>
        <v>0.04</v>
      </c>
      <c r="BL92" s="772">
        <f>I92+AY92</f>
        <v>1531793</v>
      </c>
      <c r="BM92" s="772">
        <f>J92+AG92</f>
        <v>1128669</v>
      </c>
      <c r="BN92" s="417">
        <f t="shared" si="147"/>
        <v>0</v>
      </c>
      <c r="BO92" s="417">
        <f t="shared" si="147"/>
        <v>1128669</v>
      </c>
      <c r="BP92" s="417">
        <f>M92+AO92</f>
        <v>0</v>
      </c>
      <c r="BQ92" s="417">
        <f t="shared" si="148"/>
        <v>0</v>
      </c>
      <c r="BR92" s="417">
        <f t="shared" si="148"/>
        <v>0</v>
      </c>
      <c r="BS92" s="417">
        <f t="shared" si="149"/>
        <v>381490</v>
      </c>
      <c r="BT92" s="417">
        <f t="shared" si="149"/>
        <v>11286</v>
      </c>
      <c r="BU92" s="417">
        <f>R92+AX92</f>
        <v>10348</v>
      </c>
      <c r="BV92" s="418">
        <f>S92+BK92</f>
        <v>3.4067000000000003</v>
      </c>
      <c r="BW92" s="418">
        <f t="shared" si="150"/>
        <v>0.02</v>
      </c>
      <c r="BX92" s="420">
        <f t="shared" si="150"/>
        <v>3.3867000000000003</v>
      </c>
      <c r="BY92" s="510"/>
      <c r="BZ92" s="414"/>
      <c r="CA92" s="414"/>
      <c r="CB92" s="414"/>
      <c r="CC92" s="414"/>
      <c r="CD92" s="509"/>
      <c r="CE92" s="1021"/>
      <c r="CF92" s="1022"/>
      <c r="CG92" s="1022"/>
      <c r="CH92" s="1022"/>
      <c r="CI92" s="1022"/>
      <c r="CJ92" s="981"/>
    </row>
    <row r="93" spans="1:88" ht="12.95" customHeight="1">
      <c r="A93" s="280">
        <v>18</v>
      </c>
      <c r="B93" s="376">
        <v>3420</v>
      </c>
      <c r="C93" s="376">
        <v>600078442</v>
      </c>
      <c r="D93" s="281">
        <v>72741571</v>
      </c>
      <c r="E93" s="372" t="s">
        <v>483</v>
      </c>
      <c r="F93" s="212">
        <v>3143</v>
      </c>
      <c r="G93" s="323" t="s">
        <v>595</v>
      </c>
      <c r="H93" s="285" t="s">
        <v>271</v>
      </c>
      <c r="I93" s="419">
        <v>965637</v>
      </c>
      <c r="J93" s="414">
        <v>716348</v>
      </c>
      <c r="K93" s="414">
        <v>716348</v>
      </c>
      <c r="L93" s="414">
        <v>0</v>
      </c>
      <c r="M93" s="414">
        <v>0</v>
      </c>
      <c r="N93" s="414">
        <v>0</v>
      </c>
      <c r="O93" s="414">
        <v>0</v>
      </c>
      <c r="P93" s="68">
        <v>242126</v>
      </c>
      <c r="Q93" s="68">
        <v>7163</v>
      </c>
      <c r="R93" s="414">
        <v>0</v>
      </c>
      <c r="S93" s="415">
        <v>1.5</v>
      </c>
      <c r="T93" s="415">
        <v>1.5</v>
      </c>
      <c r="U93" s="422">
        <v>0</v>
      </c>
      <c r="V93" s="423">
        <f t="shared" si="109"/>
        <v>0</v>
      </c>
      <c r="W93" s="417">
        <f t="shared" si="109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10"/>
        <v>0</v>
      </c>
      <c r="AF93" s="417">
        <f t="shared" si="111"/>
        <v>0</v>
      </c>
      <c r="AG93" s="417">
        <f t="shared" si="112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13"/>
        <v>0</v>
      </c>
      <c r="AN93" s="417">
        <f t="shared" si="114"/>
        <v>0</v>
      </c>
      <c r="AO93" s="417">
        <f t="shared" si="115"/>
        <v>0</v>
      </c>
      <c r="AP93" s="417">
        <f t="shared" si="116"/>
        <v>0</v>
      </c>
      <c r="AQ93" s="417">
        <f t="shared" si="116"/>
        <v>0</v>
      </c>
      <c r="AR93" s="417">
        <f t="shared" si="117"/>
        <v>0</v>
      </c>
      <c r="AS93" s="68">
        <f t="shared" si="118"/>
        <v>0</v>
      </c>
      <c r="AT93" s="68">
        <f t="shared" si="119"/>
        <v>0</v>
      </c>
      <c r="AU93" s="417">
        <v>0</v>
      </c>
      <c r="AV93" s="417">
        <v>0</v>
      </c>
      <c r="AW93" s="417">
        <v>0</v>
      </c>
      <c r="AX93" s="417">
        <f t="shared" si="120"/>
        <v>0</v>
      </c>
      <c r="AY93" s="417">
        <f t="shared" si="121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22"/>
        <v>0</v>
      </c>
      <c r="BJ93" s="418">
        <f t="shared" si="123"/>
        <v>0</v>
      </c>
      <c r="BK93" s="420">
        <f t="shared" si="124"/>
        <v>0</v>
      </c>
      <c r="BL93" s="772">
        <f>I93+AY93</f>
        <v>965637</v>
      </c>
      <c r="BM93" s="772">
        <f>J93+AG93</f>
        <v>716348</v>
      </c>
      <c r="BN93" s="417">
        <f t="shared" si="147"/>
        <v>716348</v>
      </c>
      <c r="BO93" s="417">
        <f t="shared" si="147"/>
        <v>0</v>
      </c>
      <c r="BP93" s="417">
        <f>M93+AO93</f>
        <v>0</v>
      </c>
      <c r="BQ93" s="417">
        <f t="shared" si="148"/>
        <v>0</v>
      </c>
      <c r="BR93" s="417">
        <f t="shared" si="148"/>
        <v>0</v>
      </c>
      <c r="BS93" s="417">
        <f t="shared" si="149"/>
        <v>242126</v>
      </c>
      <c r="BT93" s="417">
        <f t="shared" si="149"/>
        <v>7163</v>
      </c>
      <c r="BU93" s="417">
        <f>R93+AX93</f>
        <v>0</v>
      </c>
      <c r="BV93" s="418">
        <f>S93+BK93</f>
        <v>1.5</v>
      </c>
      <c r="BW93" s="418">
        <f t="shared" si="150"/>
        <v>1.5</v>
      </c>
      <c r="BX93" s="420">
        <f t="shared" si="150"/>
        <v>0</v>
      </c>
      <c r="BY93" s="510"/>
      <c r="BZ93" s="414"/>
      <c r="CA93" s="414"/>
      <c r="CB93" s="414"/>
      <c r="CC93" s="414"/>
      <c r="CD93" s="509"/>
      <c r="CE93" s="1021"/>
      <c r="CF93" s="1022"/>
      <c r="CG93" s="1022"/>
      <c r="CH93" s="1022"/>
      <c r="CI93" s="1022"/>
      <c r="CJ93" s="981"/>
    </row>
    <row r="94" spans="1:88" ht="12.95" customHeight="1">
      <c r="A94" s="280">
        <v>18</v>
      </c>
      <c r="B94" s="376">
        <v>3420</v>
      </c>
      <c r="C94" s="376">
        <v>600078442</v>
      </c>
      <c r="D94" s="281">
        <v>72741571</v>
      </c>
      <c r="E94" s="372" t="s">
        <v>483</v>
      </c>
      <c r="F94" s="212">
        <v>3143</v>
      </c>
      <c r="G94" s="323" t="s">
        <v>596</v>
      </c>
      <c r="H94" s="285" t="s">
        <v>272</v>
      </c>
      <c r="I94" s="419">
        <v>39189</v>
      </c>
      <c r="J94" s="414">
        <v>28050</v>
      </c>
      <c r="K94" s="414">
        <v>0</v>
      </c>
      <c r="L94" s="414">
        <v>28050</v>
      </c>
      <c r="M94" s="414">
        <v>0</v>
      </c>
      <c r="N94" s="414">
        <v>0</v>
      </c>
      <c r="O94" s="414">
        <v>0</v>
      </c>
      <c r="P94" s="68">
        <v>9481</v>
      </c>
      <c r="Q94" s="68">
        <v>281</v>
      </c>
      <c r="R94" s="414">
        <v>1377</v>
      </c>
      <c r="S94" s="415">
        <v>0.11080000000000001</v>
      </c>
      <c r="T94" s="415">
        <v>0</v>
      </c>
      <c r="U94" s="422">
        <v>0.11080000000000001</v>
      </c>
      <c r="V94" s="423">
        <f t="shared" si="109"/>
        <v>0</v>
      </c>
      <c r="W94" s="417">
        <f t="shared" si="109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10"/>
        <v>0</v>
      </c>
      <c r="AF94" s="417">
        <f t="shared" si="111"/>
        <v>0</v>
      </c>
      <c r="AG94" s="417">
        <f t="shared" si="112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13"/>
        <v>0</v>
      </c>
      <c r="AN94" s="417">
        <f t="shared" si="114"/>
        <v>0</v>
      </c>
      <c r="AO94" s="417">
        <f t="shared" si="115"/>
        <v>0</v>
      </c>
      <c r="AP94" s="417">
        <f t="shared" si="116"/>
        <v>0</v>
      </c>
      <c r="AQ94" s="417">
        <f t="shared" si="116"/>
        <v>0</v>
      </c>
      <c r="AR94" s="417">
        <f t="shared" si="117"/>
        <v>0</v>
      </c>
      <c r="AS94" s="68">
        <f t="shared" si="118"/>
        <v>0</v>
      </c>
      <c r="AT94" s="68">
        <f t="shared" si="119"/>
        <v>0</v>
      </c>
      <c r="AU94" s="417">
        <v>0</v>
      </c>
      <c r="AV94" s="417">
        <v>0</v>
      </c>
      <c r="AW94" s="417">
        <v>0</v>
      </c>
      <c r="AX94" s="417">
        <f t="shared" si="120"/>
        <v>0</v>
      </c>
      <c r="AY94" s="417">
        <f t="shared" si="121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22"/>
        <v>0</v>
      </c>
      <c r="BJ94" s="418">
        <f t="shared" si="123"/>
        <v>0</v>
      </c>
      <c r="BK94" s="420">
        <f t="shared" si="124"/>
        <v>0</v>
      </c>
      <c r="BL94" s="772">
        <f>I94+AY94</f>
        <v>39189</v>
      </c>
      <c r="BM94" s="772">
        <f>J94+AG94</f>
        <v>28050</v>
      </c>
      <c r="BN94" s="417">
        <f t="shared" si="147"/>
        <v>0</v>
      </c>
      <c r="BO94" s="417">
        <f t="shared" si="147"/>
        <v>28050</v>
      </c>
      <c r="BP94" s="417">
        <f>M94+AO94</f>
        <v>0</v>
      </c>
      <c r="BQ94" s="417">
        <f t="shared" si="148"/>
        <v>0</v>
      </c>
      <c r="BR94" s="417">
        <f t="shared" si="148"/>
        <v>0</v>
      </c>
      <c r="BS94" s="417">
        <f t="shared" si="149"/>
        <v>9481</v>
      </c>
      <c r="BT94" s="417">
        <f t="shared" si="149"/>
        <v>281</v>
      </c>
      <c r="BU94" s="417">
        <f>R94+AX94</f>
        <v>1377</v>
      </c>
      <c r="BV94" s="418">
        <f>S94+BK94</f>
        <v>0.11080000000000001</v>
      </c>
      <c r="BW94" s="418">
        <f t="shared" si="150"/>
        <v>0</v>
      </c>
      <c r="BX94" s="420">
        <f t="shared" si="150"/>
        <v>0.11080000000000001</v>
      </c>
      <c r="BY94" s="510"/>
      <c r="BZ94" s="414"/>
      <c r="CA94" s="414"/>
      <c r="CB94" s="414"/>
      <c r="CC94" s="414"/>
      <c r="CD94" s="509"/>
      <c r="CE94" s="1021"/>
      <c r="CF94" s="1022"/>
      <c r="CG94" s="1022"/>
      <c r="CH94" s="1022"/>
      <c r="CI94" s="1022"/>
      <c r="CJ94" s="981"/>
    </row>
    <row r="95" spans="1:88" ht="12.95" customHeight="1">
      <c r="A95" s="213">
        <v>18</v>
      </c>
      <c r="B95" s="46">
        <v>3420</v>
      </c>
      <c r="C95" s="46">
        <v>600078442</v>
      </c>
      <c r="D95" s="46">
        <v>72741571</v>
      </c>
      <c r="E95" s="374" t="s">
        <v>484</v>
      </c>
      <c r="F95" s="45"/>
      <c r="G95" s="374"/>
      <c r="H95" s="182"/>
      <c r="I95" s="464">
        <v>19679364</v>
      </c>
      <c r="J95" s="460">
        <v>14321313</v>
      </c>
      <c r="K95" s="460">
        <v>11585630</v>
      </c>
      <c r="L95" s="460">
        <v>2735683</v>
      </c>
      <c r="M95" s="460">
        <v>53000</v>
      </c>
      <c r="N95" s="460">
        <v>53000</v>
      </c>
      <c r="O95" s="460">
        <v>0</v>
      </c>
      <c r="P95" s="460">
        <v>4858518</v>
      </c>
      <c r="Q95" s="460">
        <v>143213</v>
      </c>
      <c r="R95" s="460">
        <v>303320</v>
      </c>
      <c r="S95" s="461">
        <v>26.245100000000001</v>
      </c>
      <c r="T95" s="461">
        <v>18.192799999999998</v>
      </c>
      <c r="U95" s="534">
        <v>8.0522999999999989</v>
      </c>
      <c r="V95" s="464">
        <f t="shared" ref="V95:BK95" si="151">SUM(V90:V94)</f>
        <v>0</v>
      </c>
      <c r="W95" s="460">
        <f t="shared" si="151"/>
        <v>0</v>
      </c>
      <c r="X95" s="460">
        <f t="shared" si="151"/>
        <v>0</v>
      </c>
      <c r="Y95" s="460">
        <f t="shared" si="151"/>
        <v>0</v>
      </c>
      <c r="Z95" s="460">
        <f t="shared" si="151"/>
        <v>-84796</v>
      </c>
      <c r="AA95" s="460">
        <f t="shared" si="151"/>
        <v>4448</v>
      </c>
      <c r="AB95" s="460">
        <f t="shared" si="151"/>
        <v>0</v>
      </c>
      <c r="AC95" s="460">
        <f t="shared" si="151"/>
        <v>0</v>
      </c>
      <c r="AD95" s="460">
        <f t="shared" si="151"/>
        <v>0</v>
      </c>
      <c r="AE95" s="460">
        <f t="shared" si="151"/>
        <v>-84796</v>
      </c>
      <c r="AF95" s="460">
        <f t="shared" si="151"/>
        <v>4448</v>
      </c>
      <c r="AG95" s="460">
        <f t="shared" si="151"/>
        <v>-80348</v>
      </c>
      <c r="AH95" s="460">
        <f t="shared" si="151"/>
        <v>0</v>
      </c>
      <c r="AI95" s="460">
        <f t="shared" si="151"/>
        <v>0</v>
      </c>
      <c r="AJ95" s="460">
        <f t="shared" si="151"/>
        <v>0</v>
      </c>
      <c r="AK95" s="460">
        <f t="shared" si="151"/>
        <v>0</v>
      </c>
      <c r="AL95" s="460">
        <f t="shared" si="151"/>
        <v>0</v>
      </c>
      <c r="AM95" s="460">
        <f t="shared" si="151"/>
        <v>0</v>
      </c>
      <c r="AN95" s="460">
        <f t="shared" si="151"/>
        <v>0</v>
      </c>
      <c r="AO95" s="460">
        <f t="shared" si="151"/>
        <v>0</v>
      </c>
      <c r="AP95" s="460">
        <f t="shared" si="151"/>
        <v>-84796</v>
      </c>
      <c r="AQ95" s="460">
        <f t="shared" si="151"/>
        <v>4448</v>
      </c>
      <c r="AR95" s="460">
        <f t="shared" si="151"/>
        <v>-80348</v>
      </c>
      <c r="AS95" s="460">
        <f t="shared" si="151"/>
        <v>-27158</v>
      </c>
      <c r="AT95" s="460">
        <f t="shared" si="151"/>
        <v>-804</v>
      </c>
      <c r="AU95" s="460">
        <f t="shared" si="151"/>
        <v>0</v>
      </c>
      <c r="AV95" s="460">
        <f t="shared" si="151"/>
        <v>0</v>
      </c>
      <c r="AW95" s="460">
        <f t="shared" si="151"/>
        <v>0</v>
      </c>
      <c r="AX95" s="460">
        <f t="shared" si="151"/>
        <v>0</v>
      </c>
      <c r="AY95" s="460">
        <f t="shared" si="151"/>
        <v>-108310</v>
      </c>
      <c r="AZ95" s="461">
        <f t="shared" si="151"/>
        <v>0</v>
      </c>
      <c r="BA95" s="461">
        <f t="shared" si="151"/>
        <v>0</v>
      </c>
      <c r="BB95" s="461">
        <f t="shared" si="151"/>
        <v>0</v>
      </c>
      <c r="BC95" s="461">
        <f t="shared" si="151"/>
        <v>-0.15000000000000002</v>
      </c>
      <c r="BD95" s="461">
        <f t="shared" si="151"/>
        <v>0.02</v>
      </c>
      <c r="BE95" s="461">
        <f t="shared" si="151"/>
        <v>0</v>
      </c>
      <c r="BF95" s="461">
        <f t="shared" si="151"/>
        <v>0</v>
      </c>
      <c r="BG95" s="461">
        <f t="shared" si="151"/>
        <v>0</v>
      </c>
      <c r="BH95" s="461">
        <f t="shared" si="151"/>
        <v>0</v>
      </c>
      <c r="BI95" s="461">
        <f t="shared" si="151"/>
        <v>-0.15000000000000002</v>
      </c>
      <c r="BJ95" s="461">
        <f t="shared" si="151"/>
        <v>0.02</v>
      </c>
      <c r="BK95" s="279">
        <f t="shared" si="151"/>
        <v>-0.13</v>
      </c>
      <c r="BL95" s="1075">
        <f t="shared" ref="BL95:CG95" si="152">SUM(BL90:BL94)</f>
        <v>19571054</v>
      </c>
      <c r="BM95" s="1075">
        <f t="shared" si="152"/>
        <v>14240965</v>
      </c>
      <c r="BN95" s="460">
        <f t="shared" si="152"/>
        <v>11500834</v>
      </c>
      <c r="BO95" s="460">
        <f t="shared" si="152"/>
        <v>2740131</v>
      </c>
      <c r="BP95" s="460">
        <f t="shared" si="152"/>
        <v>53000</v>
      </c>
      <c r="BQ95" s="460">
        <f t="shared" si="152"/>
        <v>53000</v>
      </c>
      <c r="BR95" s="460">
        <f t="shared" si="152"/>
        <v>0</v>
      </c>
      <c r="BS95" s="460">
        <f t="shared" si="152"/>
        <v>4831360</v>
      </c>
      <c r="BT95" s="460">
        <f t="shared" si="152"/>
        <v>142409</v>
      </c>
      <c r="BU95" s="460">
        <f t="shared" si="152"/>
        <v>303320</v>
      </c>
      <c r="BV95" s="461">
        <f t="shared" si="152"/>
        <v>26.115099999999998</v>
      </c>
      <c r="BW95" s="461">
        <f t="shared" si="152"/>
        <v>18.0428</v>
      </c>
      <c r="BX95" s="279">
        <f t="shared" si="152"/>
        <v>8.0723000000000003</v>
      </c>
      <c r="BY95" s="940">
        <f t="shared" si="152"/>
        <v>380136</v>
      </c>
      <c r="BZ95" s="707">
        <f t="shared" si="152"/>
        <v>282000</v>
      </c>
      <c r="CA95" s="707">
        <f t="shared" si="152"/>
        <v>0</v>
      </c>
      <c r="CB95" s="707">
        <f t="shared" si="152"/>
        <v>95316</v>
      </c>
      <c r="CC95" s="707">
        <f t="shared" si="152"/>
        <v>2820</v>
      </c>
      <c r="CD95" s="819">
        <f t="shared" si="152"/>
        <v>0.5</v>
      </c>
      <c r="CE95" s="1024">
        <f t="shared" si="152"/>
        <v>748501</v>
      </c>
      <c r="CF95" s="1024">
        <f t="shared" si="152"/>
        <v>508228</v>
      </c>
      <c r="CG95" s="1024">
        <f t="shared" si="152"/>
        <v>171781</v>
      </c>
      <c r="CH95" s="1024">
        <f t="shared" ref="CH95:CJ95" si="153">SUM(CH90:CH94)</f>
        <v>5082</v>
      </c>
      <c r="CI95" s="1024">
        <f t="shared" si="153"/>
        <v>63410</v>
      </c>
      <c r="CJ95" s="933">
        <f t="shared" si="153"/>
        <v>1.4685000000000001</v>
      </c>
    </row>
    <row r="96" spans="1:88" ht="12.95" customHeight="1">
      <c r="A96" s="280">
        <v>19</v>
      </c>
      <c r="B96" s="370">
        <v>5493</v>
      </c>
      <c r="C96" s="370">
        <v>691009813</v>
      </c>
      <c r="D96" s="281">
        <v>6181457</v>
      </c>
      <c r="E96" s="371" t="s">
        <v>485</v>
      </c>
      <c r="F96" s="370">
        <v>3111</v>
      </c>
      <c r="G96" s="373" t="s">
        <v>304</v>
      </c>
      <c r="H96" s="285" t="s">
        <v>271</v>
      </c>
      <c r="I96" s="419">
        <v>3646628</v>
      </c>
      <c r="J96" s="414">
        <v>2693344</v>
      </c>
      <c r="K96" s="414">
        <v>2366761</v>
      </c>
      <c r="L96" s="414">
        <v>326583</v>
      </c>
      <c r="M96" s="414">
        <v>0</v>
      </c>
      <c r="N96" s="414">
        <v>0</v>
      </c>
      <c r="O96" s="414">
        <v>0</v>
      </c>
      <c r="P96" s="68">
        <v>910350</v>
      </c>
      <c r="Q96" s="68">
        <v>26934</v>
      </c>
      <c r="R96" s="414">
        <v>16000</v>
      </c>
      <c r="S96" s="415">
        <v>5.3254999999999999</v>
      </c>
      <c r="T96" s="415">
        <v>4.226</v>
      </c>
      <c r="U96" s="422">
        <v>1.0994999999999999</v>
      </c>
      <c r="V96" s="423">
        <f t="shared" si="109"/>
        <v>0</v>
      </c>
      <c r="W96" s="417">
        <f t="shared" si="109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110"/>
        <v>0</v>
      </c>
      <c r="AF96" s="417">
        <f t="shared" si="111"/>
        <v>0</v>
      </c>
      <c r="AG96" s="417">
        <f t="shared" si="112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13"/>
        <v>0</v>
      </c>
      <c r="AN96" s="417">
        <f t="shared" si="114"/>
        <v>0</v>
      </c>
      <c r="AO96" s="417">
        <f t="shared" si="115"/>
        <v>0</v>
      </c>
      <c r="AP96" s="417">
        <f t="shared" si="116"/>
        <v>0</v>
      </c>
      <c r="AQ96" s="417">
        <f t="shared" si="116"/>
        <v>0</v>
      </c>
      <c r="AR96" s="417">
        <f t="shared" si="117"/>
        <v>0</v>
      </c>
      <c r="AS96" s="68">
        <f t="shared" si="118"/>
        <v>0</v>
      </c>
      <c r="AT96" s="68">
        <f t="shared" si="119"/>
        <v>0</v>
      </c>
      <c r="AU96" s="417">
        <v>0</v>
      </c>
      <c r="AV96" s="417">
        <v>0</v>
      </c>
      <c r="AW96" s="417">
        <v>0</v>
      </c>
      <c r="AX96" s="417">
        <f t="shared" si="120"/>
        <v>0</v>
      </c>
      <c r="AY96" s="417">
        <f t="shared" si="121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22"/>
        <v>0</v>
      </c>
      <c r="BJ96" s="418">
        <f t="shared" si="123"/>
        <v>0</v>
      </c>
      <c r="BK96" s="420">
        <f t="shared" si="124"/>
        <v>0</v>
      </c>
      <c r="BL96" s="772">
        <f>I96+AY96</f>
        <v>3646628</v>
      </c>
      <c r="BM96" s="772">
        <f>J96+AG96</f>
        <v>2693344</v>
      </c>
      <c r="BN96" s="417">
        <f t="shared" ref="BN96:BO98" si="154">K96+AE96</f>
        <v>2366761</v>
      </c>
      <c r="BO96" s="417">
        <f t="shared" si="154"/>
        <v>326583</v>
      </c>
      <c r="BP96" s="417">
        <f>M96+AO96</f>
        <v>0</v>
      </c>
      <c r="BQ96" s="417">
        <f t="shared" ref="BQ96:BR98" si="155">N96+AM96</f>
        <v>0</v>
      </c>
      <c r="BR96" s="417">
        <f t="shared" si="155"/>
        <v>0</v>
      </c>
      <c r="BS96" s="417">
        <f t="shared" ref="BS96:BT98" si="156">P96+AS96</f>
        <v>910350</v>
      </c>
      <c r="BT96" s="417">
        <f t="shared" si="156"/>
        <v>26934</v>
      </c>
      <c r="BU96" s="417">
        <f>R96+AX96</f>
        <v>16000</v>
      </c>
      <c r="BV96" s="418">
        <f>S96+BK96</f>
        <v>5.3254999999999999</v>
      </c>
      <c r="BW96" s="418">
        <f t="shared" ref="BW96:BX98" si="157">T96+BI96</f>
        <v>4.226</v>
      </c>
      <c r="BX96" s="420">
        <f t="shared" si="157"/>
        <v>1.0994999999999999</v>
      </c>
      <c r="BY96" s="510"/>
      <c r="BZ96" s="414"/>
      <c r="CA96" s="414"/>
      <c r="CB96" s="414"/>
      <c r="CC96" s="414"/>
      <c r="CD96" s="509"/>
      <c r="CE96" s="1021">
        <v>146578</v>
      </c>
      <c r="CF96" s="1022">
        <v>104791</v>
      </c>
      <c r="CG96" s="1022">
        <v>35419</v>
      </c>
      <c r="CH96" s="1022">
        <v>1048</v>
      </c>
      <c r="CI96" s="1022">
        <v>5320</v>
      </c>
      <c r="CJ96" s="981">
        <v>0.3528</v>
      </c>
    </row>
    <row r="97" spans="1:88" ht="12.95" customHeight="1">
      <c r="A97" s="280">
        <v>19</v>
      </c>
      <c r="B97" s="370">
        <v>5493</v>
      </c>
      <c r="C97" s="370">
        <v>691009813</v>
      </c>
      <c r="D97" s="281">
        <v>6181457</v>
      </c>
      <c r="E97" s="371" t="s">
        <v>485</v>
      </c>
      <c r="F97" s="370">
        <v>3111</v>
      </c>
      <c r="G97" s="323" t="s">
        <v>291</v>
      </c>
      <c r="H97" s="285" t="s">
        <v>272</v>
      </c>
      <c r="I97" s="419">
        <v>0</v>
      </c>
      <c r="J97" s="414">
        <v>0</v>
      </c>
      <c r="K97" s="414">
        <v>0</v>
      </c>
      <c r="L97" s="414">
        <v>0</v>
      </c>
      <c r="M97" s="414">
        <v>0</v>
      </c>
      <c r="N97" s="414">
        <v>0</v>
      </c>
      <c r="O97" s="414">
        <v>0</v>
      </c>
      <c r="P97" s="68">
        <v>0</v>
      </c>
      <c r="Q97" s="68">
        <v>0</v>
      </c>
      <c r="R97" s="414">
        <v>0</v>
      </c>
      <c r="S97" s="415">
        <v>0</v>
      </c>
      <c r="T97" s="415">
        <v>0</v>
      </c>
      <c r="U97" s="422">
        <v>0</v>
      </c>
      <c r="V97" s="423">
        <f t="shared" si="109"/>
        <v>0</v>
      </c>
      <c r="W97" s="417">
        <f t="shared" si="109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10"/>
        <v>0</v>
      </c>
      <c r="AF97" s="417">
        <f t="shared" si="111"/>
        <v>0</v>
      </c>
      <c r="AG97" s="417">
        <f t="shared" si="112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13"/>
        <v>0</v>
      </c>
      <c r="AN97" s="417">
        <f t="shared" si="114"/>
        <v>0</v>
      </c>
      <c r="AO97" s="417">
        <f t="shared" si="115"/>
        <v>0</v>
      </c>
      <c r="AP97" s="417">
        <f t="shared" si="116"/>
        <v>0</v>
      </c>
      <c r="AQ97" s="417">
        <f t="shared" si="116"/>
        <v>0</v>
      </c>
      <c r="AR97" s="417">
        <f t="shared" si="117"/>
        <v>0</v>
      </c>
      <c r="AS97" s="68">
        <f t="shared" si="118"/>
        <v>0</v>
      </c>
      <c r="AT97" s="68">
        <f t="shared" si="119"/>
        <v>0</v>
      </c>
      <c r="AU97" s="417">
        <v>0</v>
      </c>
      <c r="AV97" s="417">
        <v>0</v>
      </c>
      <c r="AW97" s="417">
        <v>0</v>
      </c>
      <c r="AX97" s="417">
        <f t="shared" si="120"/>
        <v>0</v>
      </c>
      <c r="AY97" s="417">
        <f t="shared" si="121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22"/>
        <v>0</v>
      </c>
      <c r="BJ97" s="418">
        <f t="shared" si="123"/>
        <v>0</v>
      </c>
      <c r="BK97" s="420">
        <f t="shared" si="124"/>
        <v>0</v>
      </c>
      <c r="BL97" s="772">
        <f>I97+AY97</f>
        <v>0</v>
      </c>
      <c r="BM97" s="772">
        <f>J97+AG97</f>
        <v>0</v>
      </c>
      <c r="BN97" s="417">
        <f t="shared" si="154"/>
        <v>0</v>
      </c>
      <c r="BO97" s="417">
        <f t="shared" si="154"/>
        <v>0</v>
      </c>
      <c r="BP97" s="417">
        <f>M97+AO97</f>
        <v>0</v>
      </c>
      <c r="BQ97" s="417">
        <f t="shared" si="155"/>
        <v>0</v>
      </c>
      <c r="BR97" s="417">
        <f t="shared" si="155"/>
        <v>0</v>
      </c>
      <c r="BS97" s="417">
        <f t="shared" si="156"/>
        <v>0</v>
      </c>
      <c r="BT97" s="417">
        <f t="shared" si="156"/>
        <v>0</v>
      </c>
      <c r="BU97" s="417">
        <f>R97+AX97</f>
        <v>0</v>
      </c>
      <c r="BV97" s="418">
        <f>S97+BK97</f>
        <v>0</v>
      </c>
      <c r="BW97" s="418">
        <f t="shared" si="157"/>
        <v>0</v>
      </c>
      <c r="BX97" s="420">
        <f t="shared" si="157"/>
        <v>0</v>
      </c>
      <c r="BY97" s="510"/>
      <c r="BZ97" s="414"/>
      <c r="CA97" s="414"/>
      <c r="CB97" s="414"/>
      <c r="CC97" s="414"/>
      <c r="CD97" s="509"/>
      <c r="CE97" s="1021"/>
      <c r="CF97" s="1022"/>
      <c r="CG97" s="1022"/>
      <c r="CH97" s="1022"/>
      <c r="CI97" s="1022"/>
      <c r="CJ97" s="981"/>
    </row>
    <row r="98" spans="1:88" ht="12.95" customHeight="1">
      <c r="A98" s="280">
        <v>19</v>
      </c>
      <c r="B98" s="381">
        <v>5493</v>
      </c>
      <c r="C98" s="381">
        <v>691009813</v>
      </c>
      <c r="D98" s="281">
        <v>6181457</v>
      </c>
      <c r="E98" s="380" t="s">
        <v>485</v>
      </c>
      <c r="F98" s="381">
        <v>3141</v>
      </c>
      <c r="G98" s="373" t="s">
        <v>294</v>
      </c>
      <c r="H98" s="285" t="s">
        <v>272</v>
      </c>
      <c r="I98" s="419">
        <v>234741</v>
      </c>
      <c r="J98" s="414">
        <v>173157</v>
      </c>
      <c r="K98" s="414">
        <v>0</v>
      </c>
      <c r="L98" s="414">
        <v>173157</v>
      </c>
      <c r="M98" s="414">
        <v>0</v>
      </c>
      <c r="N98" s="414">
        <v>0</v>
      </c>
      <c r="O98" s="414">
        <v>0</v>
      </c>
      <c r="P98" s="68">
        <v>58527</v>
      </c>
      <c r="Q98" s="68">
        <v>1731</v>
      </c>
      <c r="R98" s="414">
        <v>1326</v>
      </c>
      <c r="S98" s="415">
        <v>0.51670000000000005</v>
      </c>
      <c r="T98" s="415">
        <v>0</v>
      </c>
      <c r="U98" s="422">
        <v>0.51670000000000005</v>
      </c>
      <c r="V98" s="423">
        <f t="shared" si="109"/>
        <v>0</v>
      </c>
      <c r="W98" s="417">
        <f t="shared" si="109"/>
        <v>0</v>
      </c>
      <c r="X98" s="417">
        <v>0</v>
      </c>
      <c r="Y98" s="417">
        <v>0</v>
      </c>
      <c r="Z98" s="417">
        <v>0</v>
      </c>
      <c r="AA98" s="417">
        <v>-7633</v>
      </c>
      <c r="AB98" s="417">
        <v>0</v>
      </c>
      <c r="AC98" s="417">
        <v>0</v>
      </c>
      <c r="AD98" s="417">
        <v>0</v>
      </c>
      <c r="AE98" s="417">
        <f t="shared" si="110"/>
        <v>0</v>
      </c>
      <c r="AF98" s="417">
        <f t="shared" si="111"/>
        <v>-7633</v>
      </c>
      <c r="AG98" s="417">
        <f t="shared" si="112"/>
        <v>-7633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13"/>
        <v>0</v>
      </c>
      <c r="AN98" s="417">
        <f t="shared" si="114"/>
        <v>0</v>
      </c>
      <c r="AO98" s="417">
        <f t="shared" si="115"/>
        <v>0</v>
      </c>
      <c r="AP98" s="417">
        <f t="shared" si="116"/>
        <v>0</v>
      </c>
      <c r="AQ98" s="417">
        <f t="shared" si="116"/>
        <v>-7633</v>
      </c>
      <c r="AR98" s="417">
        <f t="shared" si="117"/>
        <v>-7633</v>
      </c>
      <c r="AS98" s="68">
        <f t="shared" si="118"/>
        <v>-2580</v>
      </c>
      <c r="AT98" s="68">
        <f t="shared" si="119"/>
        <v>-76</v>
      </c>
      <c r="AU98" s="417">
        <v>0</v>
      </c>
      <c r="AV98" s="417">
        <v>0</v>
      </c>
      <c r="AW98" s="417">
        <v>0</v>
      </c>
      <c r="AX98" s="417">
        <f t="shared" si="120"/>
        <v>0</v>
      </c>
      <c r="AY98" s="417">
        <f t="shared" si="121"/>
        <v>-10289</v>
      </c>
      <c r="AZ98" s="418">
        <v>0</v>
      </c>
      <c r="BA98" s="418">
        <v>0</v>
      </c>
      <c r="BB98" s="418">
        <v>0</v>
      </c>
      <c r="BC98" s="418">
        <v>0</v>
      </c>
      <c r="BD98" s="418">
        <v>-0.02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22"/>
        <v>0</v>
      </c>
      <c r="BJ98" s="418">
        <f t="shared" si="123"/>
        <v>-0.02</v>
      </c>
      <c r="BK98" s="420">
        <f t="shared" si="124"/>
        <v>-0.02</v>
      </c>
      <c r="BL98" s="772">
        <f>I98+AY98</f>
        <v>224452</v>
      </c>
      <c r="BM98" s="772">
        <f>J98+AG98</f>
        <v>165524</v>
      </c>
      <c r="BN98" s="417">
        <f t="shared" si="154"/>
        <v>0</v>
      </c>
      <c r="BO98" s="417">
        <f t="shared" si="154"/>
        <v>165524</v>
      </c>
      <c r="BP98" s="417">
        <f>M98+AO98</f>
        <v>0</v>
      </c>
      <c r="BQ98" s="417">
        <f t="shared" si="155"/>
        <v>0</v>
      </c>
      <c r="BR98" s="417">
        <f t="shared" si="155"/>
        <v>0</v>
      </c>
      <c r="BS98" s="417">
        <f t="shared" si="156"/>
        <v>55947</v>
      </c>
      <c r="BT98" s="417">
        <f t="shared" si="156"/>
        <v>1655</v>
      </c>
      <c r="BU98" s="417">
        <f>R98+AX98</f>
        <v>1326</v>
      </c>
      <c r="BV98" s="418">
        <f>S98+BK98</f>
        <v>0.49670000000000003</v>
      </c>
      <c r="BW98" s="418">
        <f t="shared" si="157"/>
        <v>0</v>
      </c>
      <c r="BX98" s="420">
        <f t="shared" si="157"/>
        <v>0.49670000000000003</v>
      </c>
      <c r="BY98" s="510"/>
      <c r="BZ98" s="414"/>
      <c r="CA98" s="414"/>
      <c r="CB98" s="414"/>
      <c r="CC98" s="414"/>
      <c r="CD98" s="509"/>
      <c r="CE98" s="1021"/>
      <c r="CF98" s="1022"/>
      <c r="CG98" s="1022"/>
      <c r="CH98" s="1022"/>
      <c r="CI98" s="1022"/>
      <c r="CJ98" s="981"/>
    </row>
    <row r="99" spans="1:88" ht="12.95" customHeight="1">
      <c r="A99" s="213">
        <v>19</v>
      </c>
      <c r="B99" s="47">
        <v>5493</v>
      </c>
      <c r="C99" s="47">
        <v>691009813</v>
      </c>
      <c r="D99" s="47">
        <v>6181457</v>
      </c>
      <c r="E99" s="386" t="s">
        <v>486</v>
      </c>
      <c r="F99" s="47"/>
      <c r="G99" s="386"/>
      <c r="H99" s="184"/>
      <c r="I99" s="464">
        <v>3881369</v>
      </c>
      <c r="J99" s="460">
        <v>2866501</v>
      </c>
      <c r="K99" s="460">
        <v>2366761</v>
      </c>
      <c r="L99" s="460">
        <v>499740</v>
      </c>
      <c r="M99" s="460">
        <v>0</v>
      </c>
      <c r="N99" s="460">
        <v>0</v>
      </c>
      <c r="O99" s="460">
        <v>0</v>
      </c>
      <c r="P99" s="460">
        <v>968877</v>
      </c>
      <c r="Q99" s="460">
        <v>28665</v>
      </c>
      <c r="R99" s="460">
        <v>17326</v>
      </c>
      <c r="S99" s="461">
        <v>5.8422000000000001</v>
      </c>
      <c r="T99" s="461">
        <v>4.226</v>
      </c>
      <c r="U99" s="534">
        <v>1.6162000000000001</v>
      </c>
      <c r="V99" s="464">
        <f t="shared" ref="V99:BK99" si="158">SUM(V96:V98)</f>
        <v>0</v>
      </c>
      <c r="W99" s="460">
        <f t="shared" si="158"/>
        <v>0</v>
      </c>
      <c r="X99" s="460">
        <f t="shared" si="158"/>
        <v>0</v>
      </c>
      <c r="Y99" s="460">
        <f t="shared" si="158"/>
        <v>0</v>
      </c>
      <c r="Z99" s="460">
        <f t="shared" si="158"/>
        <v>0</v>
      </c>
      <c r="AA99" s="460">
        <f t="shared" si="158"/>
        <v>-7633</v>
      </c>
      <c r="AB99" s="460">
        <f t="shared" si="158"/>
        <v>0</v>
      </c>
      <c r="AC99" s="460">
        <f t="shared" si="158"/>
        <v>0</v>
      </c>
      <c r="AD99" s="460">
        <f t="shared" si="158"/>
        <v>0</v>
      </c>
      <c r="AE99" s="460">
        <f t="shared" si="158"/>
        <v>0</v>
      </c>
      <c r="AF99" s="460">
        <f t="shared" si="158"/>
        <v>-7633</v>
      </c>
      <c r="AG99" s="460">
        <f t="shared" si="158"/>
        <v>-7633</v>
      </c>
      <c r="AH99" s="460">
        <f t="shared" si="158"/>
        <v>0</v>
      </c>
      <c r="AI99" s="460">
        <f t="shared" si="158"/>
        <v>0</v>
      </c>
      <c r="AJ99" s="460">
        <f t="shared" si="158"/>
        <v>0</v>
      </c>
      <c r="AK99" s="460">
        <f t="shared" si="158"/>
        <v>0</v>
      </c>
      <c r="AL99" s="460">
        <f t="shared" si="158"/>
        <v>0</v>
      </c>
      <c r="AM99" s="460">
        <f t="shared" si="158"/>
        <v>0</v>
      </c>
      <c r="AN99" s="460">
        <f t="shared" si="158"/>
        <v>0</v>
      </c>
      <c r="AO99" s="460">
        <f t="shared" si="158"/>
        <v>0</v>
      </c>
      <c r="AP99" s="460">
        <f t="shared" si="158"/>
        <v>0</v>
      </c>
      <c r="AQ99" s="460">
        <f t="shared" si="158"/>
        <v>-7633</v>
      </c>
      <c r="AR99" s="460">
        <f t="shared" si="158"/>
        <v>-7633</v>
      </c>
      <c r="AS99" s="460">
        <f t="shared" si="158"/>
        <v>-2580</v>
      </c>
      <c r="AT99" s="460">
        <f t="shared" si="158"/>
        <v>-76</v>
      </c>
      <c r="AU99" s="460">
        <f t="shared" si="158"/>
        <v>0</v>
      </c>
      <c r="AV99" s="460">
        <f t="shared" si="158"/>
        <v>0</v>
      </c>
      <c r="AW99" s="460">
        <f t="shared" si="158"/>
        <v>0</v>
      </c>
      <c r="AX99" s="460">
        <f t="shared" si="158"/>
        <v>0</v>
      </c>
      <c r="AY99" s="460">
        <f t="shared" si="158"/>
        <v>-10289</v>
      </c>
      <c r="AZ99" s="461">
        <f t="shared" si="158"/>
        <v>0</v>
      </c>
      <c r="BA99" s="461">
        <f t="shared" si="158"/>
        <v>0</v>
      </c>
      <c r="BB99" s="461">
        <f t="shared" si="158"/>
        <v>0</v>
      </c>
      <c r="BC99" s="461">
        <f t="shared" si="158"/>
        <v>0</v>
      </c>
      <c r="BD99" s="461">
        <f t="shared" si="158"/>
        <v>-0.02</v>
      </c>
      <c r="BE99" s="461">
        <f t="shared" si="158"/>
        <v>0</v>
      </c>
      <c r="BF99" s="461">
        <f t="shared" si="158"/>
        <v>0</v>
      </c>
      <c r="BG99" s="461">
        <f t="shared" si="158"/>
        <v>0</v>
      </c>
      <c r="BH99" s="461">
        <f t="shared" si="158"/>
        <v>0</v>
      </c>
      <c r="BI99" s="461">
        <f t="shared" si="158"/>
        <v>0</v>
      </c>
      <c r="BJ99" s="461">
        <f t="shared" si="158"/>
        <v>-0.02</v>
      </c>
      <c r="BK99" s="279">
        <f t="shared" si="158"/>
        <v>-0.02</v>
      </c>
      <c r="BL99" s="1075">
        <f t="shared" ref="BL99:CG99" si="159">SUM(BL96:BL98)</f>
        <v>3871080</v>
      </c>
      <c r="BM99" s="1075">
        <f t="shared" si="159"/>
        <v>2858868</v>
      </c>
      <c r="BN99" s="460">
        <f t="shared" si="159"/>
        <v>2366761</v>
      </c>
      <c r="BO99" s="460">
        <f t="shared" si="159"/>
        <v>492107</v>
      </c>
      <c r="BP99" s="460">
        <f t="shared" si="159"/>
        <v>0</v>
      </c>
      <c r="BQ99" s="460">
        <f t="shared" si="159"/>
        <v>0</v>
      </c>
      <c r="BR99" s="460">
        <f t="shared" si="159"/>
        <v>0</v>
      </c>
      <c r="BS99" s="460">
        <f t="shared" si="159"/>
        <v>966297</v>
      </c>
      <c r="BT99" s="460">
        <f t="shared" si="159"/>
        <v>28589</v>
      </c>
      <c r="BU99" s="460">
        <f t="shared" si="159"/>
        <v>17326</v>
      </c>
      <c r="BV99" s="461">
        <f t="shared" si="159"/>
        <v>5.8221999999999996</v>
      </c>
      <c r="BW99" s="461">
        <f t="shared" si="159"/>
        <v>4.226</v>
      </c>
      <c r="BX99" s="279">
        <f t="shared" si="159"/>
        <v>1.5962000000000001</v>
      </c>
      <c r="BY99" s="940">
        <f t="shared" si="159"/>
        <v>0</v>
      </c>
      <c r="BZ99" s="707">
        <f t="shared" si="159"/>
        <v>0</v>
      </c>
      <c r="CA99" s="707">
        <f t="shared" si="159"/>
        <v>0</v>
      </c>
      <c r="CB99" s="707">
        <f t="shared" si="159"/>
        <v>0</v>
      </c>
      <c r="CC99" s="707">
        <f t="shared" si="159"/>
        <v>0</v>
      </c>
      <c r="CD99" s="819">
        <f t="shared" si="159"/>
        <v>0</v>
      </c>
      <c r="CE99" s="1024">
        <f t="shared" si="159"/>
        <v>146578</v>
      </c>
      <c r="CF99" s="1024">
        <f t="shared" si="159"/>
        <v>104791</v>
      </c>
      <c r="CG99" s="1024">
        <f t="shared" si="159"/>
        <v>35419</v>
      </c>
      <c r="CH99" s="1024">
        <f t="shared" ref="CH99:CJ99" si="160">SUM(CH96:CH98)</f>
        <v>1048</v>
      </c>
      <c r="CI99" s="1024">
        <f t="shared" si="160"/>
        <v>5320</v>
      </c>
      <c r="CJ99" s="933">
        <f t="shared" si="160"/>
        <v>0.3528</v>
      </c>
    </row>
    <row r="100" spans="1:88" ht="12.95" customHeight="1">
      <c r="A100" s="280">
        <v>20</v>
      </c>
      <c r="B100" s="212">
        <v>2463</v>
      </c>
      <c r="C100" s="212">
        <v>600080056</v>
      </c>
      <c r="D100" s="281">
        <v>70982066</v>
      </c>
      <c r="E100" s="372" t="s">
        <v>487</v>
      </c>
      <c r="F100" s="212">
        <v>3113</v>
      </c>
      <c r="G100" s="372" t="s">
        <v>308</v>
      </c>
      <c r="H100" s="285" t="s">
        <v>271</v>
      </c>
      <c r="I100" s="419">
        <v>9781638</v>
      </c>
      <c r="J100" s="414">
        <v>7130522</v>
      </c>
      <c r="K100" s="414">
        <v>6270290</v>
      </c>
      <c r="L100" s="414">
        <v>860232</v>
      </c>
      <c r="M100" s="414">
        <v>8000</v>
      </c>
      <c r="N100" s="414">
        <v>0</v>
      </c>
      <c r="O100" s="414">
        <v>8000</v>
      </c>
      <c r="P100" s="68">
        <v>2412820</v>
      </c>
      <c r="Q100" s="68">
        <v>71306</v>
      </c>
      <c r="R100" s="414">
        <v>158990</v>
      </c>
      <c r="S100" s="415">
        <v>11.887300000000002</v>
      </c>
      <c r="T100" s="415">
        <v>9.4434000000000005</v>
      </c>
      <c r="U100" s="422">
        <v>2.4439000000000002</v>
      </c>
      <c r="V100" s="423">
        <f t="shared" si="109"/>
        <v>0</v>
      </c>
      <c r="W100" s="417">
        <f t="shared" si="109"/>
        <v>-3500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10"/>
        <v>0</v>
      </c>
      <c r="AF100" s="417">
        <f t="shared" si="111"/>
        <v>-3500</v>
      </c>
      <c r="AG100" s="417">
        <f t="shared" si="112"/>
        <v>-3500</v>
      </c>
      <c r="AH100" s="417">
        <v>0</v>
      </c>
      <c r="AI100" s="417">
        <v>3500</v>
      </c>
      <c r="AJ100" s="417">
        <v>0</v>
      </c>
      <c r="AK100" s="417">
        <v>0</v>
      </c>
      <c r="AL100" s="417">
        <v>0</v>
      </c>
      <c r="AM100" s="417">
        <f t="shared" si="113"/>
        <v>0</v>
      </c>
      <c r="AN100" s="417">
        <f t="shared" si="114"/>
        <v>3500</v>
      </c>
      <c r="AO100" s="417">
        <f t="shared" si="115"/>
        <v>3500</v>
      </c>
      <c r="AP100" s="417">
        <f t="shared" si="116"/>
        <v>0</v>
      </c>
      <c r="AQ100" s="417">
        <f t="shared" si="116"/>
        <v>0</v>
      </c>
      <c r="AR100" s="417">
        <f t="shared" si="117"/>
        <v>0</v>
      </c>
      <c r="AS100" s="68">
        <f t="shared" si="118"/>
        <v>0</v>
      </c>
      <c r="AT100" s="68">
        <f t="shared" si="119"/>
        <v>-35</v>
      </c>
      <c r="AU100" s="417">
        <v>0</v>
      </c>
      <c r="AV100" s="417">
        <v>0</v>
      </c>
      <c r="AW100" s="417">
        <v>0</v>
      </c>
      <c r="AX100" s="417">
        <f t="shared" si="120"/>
        <v>0</v>
      </c>
      <c r="AY100" s="417">
        <f t="shared" si="121"/>
        <v>-35</v>
      </c>
      <c r="AZ100" s="418">
        <v>0</v>
      </c>
      <c r="BA100" s="418">
        <v>-0.01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22"/>
        <v>0</v>
      </c>
      <c r="BJ100" s="418">
        <f t="shared" si="123"/>
        <v>-0.01</v>
      </c>
      <c r="BK100" s="420">
        <f t="shared" si="124"/>
        <v>-0.01</v>
      </c>
      <c r="BL100" s="772">
        <f>I100+AY100</f>
        <v>9781603</v>
      </c>
      <c r="BM100" s="772">
        <f>J100+AG100</f>
        <v>7127022</v>
      </c>
      <c r="BN100" s="417">
        <f t="shared" ref="BN100:BO104" si="161">K100+AE100</f>
        <v>6270290</v>
      </c>
      <c r="BO100" s="417">
        <f t="shared" si="161"/>
        <v>856732</v>
      </c>
      <c r="BP100" s="417">
        <f>M100+AO100</f>
        <v>11500</v>
      </c>
      <c r="BQ100" s="417">
        <f t="shared" ref="BQ100:BR104" si="162">N100+AM100</f>
        <v>0</v>
      </c>
      <c r="BR100" s="417">
        <f t="shared" si="162"/>
        <v>11500</v>
      </c>
      <c r="BS100" s="417">
        <f t="shared" ref="BS100:BT104" si="163">P100+AS100</f>
        <v>2412820</v>
      </c>
      <c r="BT100" s="417">
        <f t="shared" si="163"/>
        <v>71271</v>
      </c>
      <c r="BU100" s="417">
        <f>R100+AX100</f>
        <v>158990</v>
      </c>
      <c r="BV100" s="418">
        <f>S100+BK100</f>
        <v>11.877300000000002</v>
      </c>
      <c r="BW100" s="418">
        <f t="shared" ref="BW100:BX104" si="164">T100+BI100</f>
        <v>9.4434000000000005</v>
      </c>
      <c r="BX100" s="420">
        <f t="shared" si="164"/>
        <v>2.4339000000000004</v>
      </c>
      <c r="BY100" s="510"/>
      <c r="BZ100" s="414"/>
      <c r="CA100" s="414"/>
      <c r="CB100" s="414"/>
      <c r="CC100" s="414"/>
      <c r="CD100" s="509"/>
      <c r="CE100" s="1021">
        <v>416986</v>
      </c>
      <c r="CF100" s="1022">
        <v>278672</v>
      </c>
      <c r="CG100" s="1022">
        <v>94191</v>
      </c>
      <c r="CH100" s="1022">
        <v>2787</v>
      </c>
      <c r="CI100" s="1022">
        <v>41336</v>
      </c>
      <c r="CJ100" s="981">
        <v>0.79410000000000003</v>
      </c>
    </row>
    <row r="101" spans="1:88" ht="12.95" customHeight="1">
      <c r="A101" s="280">
        <v>20</v>
      </c>
      <c r="B101" s="376">
        <v>2463</v>
      </c>
      <c r="C101" s="376">
        <v>600080056</v>
      </c>
      <c r="D101" s="281">
        <v>70982066</v>
      </c>
      <c r="E101" s="372" t="s">
        <v>487</v>
      </c>
      <c r="F101" s="212">
        <v>3113</v>
      </c>
      <c r="G101" s="323" t="s">
        <v>291</v>
      </c>
      <c r="H101" s="285" t="s">
        <v>272</v>
      </c>
      <c r="I101" s="419">
        <v>1124640</v>
      </c>
      <c r="J101" s="414">
        <v>834303</v>
      </c>
      <c r="K101" s="414">
        <v>834303</v>
      </c>
      <c r="L101" s="414">
        <v>0</v>
      </c>
      <c r="M101" s="414">
        <v>0</v>
      </c>
      <c r="N101" s="414">
        <v>0</v>
      </c>
      <c r="O101" s="414">
        <v>0</v>
      </c>
      <c r="P101" s="68">
        <v>281994</v>
      </c>
      <c r="Q101" s="68">
        <v>8343</v>
      </c>
      <c r="R101" s="414">
        <v>0</v>
      </c>
      <c r="S101" s="415">
        <v>2.25</v>
      </c>
      <c r="T101" s="415">
        <v>2.25</v>
      </c>
      <c r="U101" s="422">
        <v>0</v>
      </c>
      <c r="V101" s="423">
        <f t="shared" si="109"/>
        <v>0</v>
      </c>
      <c r="W101" s="417">
        <f t="shared" si="109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10"/>
        <v>0</v>
      </c>
      <c r="AF101" s="417">
        <f t="shared" si="111"/>
        <v>0</v>
      </c>
      <c r="AG101" s="417">
        <f t="shared" si="112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13"/>
        <v>0</v>
      </c>
      <c r="AN101" s="417">
        <f t="shared" si="114"/>
        <v>0</v>
      </c>
      <c r="AO101" s="417">
        <f t="shared" si="115"/>
        <v>0</v>
      </c>
      <c r="AP101" s="417">
        <f t="shared" si="116"/>
        <v>0</v>
      </c>
      <c r="AQ101" s="417">
        <f t="shared" si="116"/>
        <v>0</v>
      </c>
      <c r="AR101" s="417">
        <f t="shared" si="117"/>
        <v>0</v>
      </c>
      <c r="AS101" s="68">
        <f t="shared" si="118"/>
        <v>0</v>
      </c>
      <c r="AT101" s="68">
        <f t="shared" si="119"/>
        <v>0</v>
      </c>
      <c r="AU101" s="417">
        <v>0</v>
      </c>
      <c r="AV101" s="417">
        <v>0</v>
      </c>
      <c r="AW101" s="417">
        <v>0</v>
      </c>
      <c r="AX101" s="417">
        <f t="shared" si="120"/>
        <v>0</v>
      </c>
      <c r="AY101" s="417">
        <f t="shared" si="121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22"/>
        <v>0</v>
      </c>
      <c r="BJ101" s="418">
        <f t="shared" si="123"/>
        <v>0</v>
      </c>
      <c r="BK101" s="420">
        <f t="shared" si="124"/>
        <v>0</v>
      </c>
      <c r="BL101" s="772">
        <f>I101+AY101</f>
        <v>1124640</v>
      </c>
      <c r="BM101" s="772">
        <f>J101+AG101</f>
        <v>834303</v>
      </c>
      <c r="BN101" s="417">
        <f t="shared" si="161"/>
        <v>834303</v>
      </c>
      <c r="BO101" s="417">
        <f t="shared" si="161"/>
        <v>0</v>
      </c>
      <c r="BP101" s="417">
        <f>M101+AO101</f>
        <v>0</v>
      </c>
      <c r="BQ101" s="417">
        <f t="shared" si="162"/>
        <v>0</v>
      </c>
      <c r="BR101" s="417">
        <f t="shared" si="162"/>
        <v>0</v>
      </c>
      <c r="BS101" s="417">
        <f t="shared" si="163"/>
        <v>281994</v>
      </c>
      <c r="BT101" s="417">
        <f t="shared" si="163"/>
        <v>8343</v>
      </c>
      <c r="BU101" s="417">
        <f>R101+AX101</f>
        <v>0</v>
      </c>
      <c r="BV101" s="418">
        <f>S101+BK101</f>
        <v>2.25</v>
      </c>
      <c r="BW101" s="418">
        <f t="shared" si="164"/>
        <v>2.25</v>
      </c>
      <c r="BX101" s="420">
        <f t="shared" si="164"/>
        <v>0</v>
      </c>
      <c r="BY101" s="510"/>
      <c r="BZ101" s="414"/>
      <c r="CA101" s="414"/>
      <c r="CB101" s="414"/>
      <c r="CC101" s="414"/>
      <c r="CD101" s="509"/>
      <c r="CE101" s="1021"/>
      <c r="CF101" s="1022"/>
      <c r="CG101" s="1022"/>
      <c r="CH101" s="1022"/>
      <c r="CI101" s="1022"/>
      <c r="CJ101" s="981"/>
    </row>
    <row r="102" spans="1:88" ht="12.95" customHeight="1">
      <c r="A102" s="280">
        <v>20</v>
      </c>
      <c r="B102" s="212">
        <v>2463</v>
      </c>
      <c r="C102" s="212">
        <v>600080056</v>
      </c>
      <c r="D102" s="281">
        <v>70982066</v>
      </c>
      <c r="E102" s="372" t="s">
        <v>487</v>
      </c>
      <c r="F102" s="212">
        <v>3141</v>
      </c>
      <c r="G102" s="373" t="s">
        <v>294</v>
      </c>
      <c r="H102" s="285" t="s">
        <v>272</v>
      </c>
      <c r="I102" s="419">
        <v>920298</v>
      </c>
      <c r="J102" s="414">
        <v>678702</v>
      </c>
      <c r="K102" s="414">
        <v>0</v>
      </c>
      <c r="L102" s="414">
        <v>678702</v>
      </c>
      <c r="M102" s="414">
        <v>0</v>
      </c>
      <c r="N102" s="414">
        <v>0</v>
      </c>
      <c r="O102" s="414">
        <v>0</v>
      </c>
      <c r="P102" s="68">
        <v>229401</v>
      </c>
      <c r="Q102" s="68">
        <v>6787</v>
      </c>
      <c r="R102" s="414">
        <v>5408</v>
      </c>
      <c r="S102" s="415">
        <v>2.04</v>
      </c>
      <c r="T102" s="415">
        <v>0</v>
      </c>
      <c r="U102" s="422">
        <v>2.04</v>
      </c>
      <c r="V102" s="423">
        <f t="shared" si="109"/>
        <v>0</v>
      </c>
      <c r="W102" s="417">
        <f t="shared" si="109"/>
        <v>0</v>
      </c>
      <c r="X102" s="417">
        <v>0</v>
      </c>
      <c r="Y102" s="417">
        <v>0</v>
      </c>
      <c r="Z102" s="417">
        <v>0</v>
      </c>
      <c r="AA102" s="417">
        <v>-6682</v>
      </c>
      <c r="AB102" s="417">
        <v>0</v>
      </c>
      <c r="AC102" s="417">
        <v>0</v>
      </c>
      <c r="AD102" s="417">
        <v>0</v>
      </c>
      <c r="AE102" s="417">
        <f t="shared" si="110"/>
        <v>0</v>
      </c>
      <c r="AF102" s="417">
        <f t="shared" si="111"/>
        <v>-6682</v>
      </c>
      <c r="AG102" s="417">
        <f t="shared" si="112"/>
        <v>-6682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13"/>
        <v>0</v>
      </c>
      <c r="AN102" s="417">
        <f t="shared" si="114"/>
        <v>0</v>
      </c>
      <c r="AO102" s="417">
        <f t="shared" si="115"/>
        <v>0</v>
      </c>
      <c r="AP102" s="417">
        <f t="shared" si="116"/>
        <v>0</v>
      </c>
      <c r="AQ102" s="417">
        <f t="shared" si="116"/>
        <v>-6682</v>
      </c>
      <c r="AR102" s="417">
        <f t="shared" si="117"/>
        <v>-6682</v>
      </c>
      <c r="AS102" s="68">
        <f t="shared" si="118"/>
        <v>-2259</v>
      </c>
      <c r="AT102" s="68">
        <f t="shared" si="119"/>
        <v>-67</v>
      </c>
      <c r="AU102" s="417">
        <v>0</v>
      </c>
      <c r="AV102" s="417">
        <v>0</v>
      </c>
      <c r="AW102" s="417">
        <v>0</v>
      </c>
      <c r="AX102" s="417">
        <f t="shared" si="120"/>
        <v>0</v>
      </c>
      <c r="AY102" s="417">
        <f t="shared" si="121"/>
        <v>-9008</v>
      </c>
      <c r="AZ102" s="418">
        <v>0</v>
      </c>
      <c r="BA102" s="418">
        <v>0</v>
      </c>
      <c r="BB102" s="418">
        <v>0</v>
      </c>
      <c r="BC102" s="418">
        <v>0</v>
      </c>
      <c r="BD102" s="418">
        <v>-0.02</v>
      </c>
      <c r="BE102" s="418">
        <v>0</v>
      </c>
      <c r="BF102" s="418">
        <v>0</v>
      </c>
      <c r="BG102" s="418">
        <v>0</v>
      </c>
      <c r="BH102" s="418">
        <v>0</v>
      </c>
      <c r="BI102" s="418">
        <f t="shared" si="122"/>
        <v>0</v>
      </c>
      <c r="BJ102" s="418">
        <f t="shared" si="123"/>
        <v>-0.02</v>
      </c>
      <c r="BK102" s="420">
        <f t="shared" si="124"/>
        <v>-0.02</v>
      </c>
      <c r="BL102" s="772">
        <f>I102+AY102</f>
        <v>911290</v>
      </c>
      <c r="BM102" s="772">
        <f>J102+AG102</f>
        <v>672020</v>
      </c>
      <c r="BN102" s="417">
        <f t="shared" si="161"/>
        <v>0</v>
      </c>
      <c r="BO102" s="417">
        <f t="shared" si="161"/>
        <v>672020</v>
      </c>
      <c r="BP102" s="417">
        <f>M102+AO102</f>
        <v>0</v>
      </c>
      <c r="BQ102" s="417">
        <f t="shared" si="162"/>
        <v>0</v>
      </c>
      <c r="BR102" s="417">
        <f t="shared" si="162"/>
        <v>0</v>
      </c>
      <c r="BS102" s="417">
        <f t="shared" si="163"/>
        <v>227142</v>
      </c>
      <c r="BT102" s="417">
        <f t="shared" si="163"/>
        <v>6720</v>
      </c>
      <c r="BU102" s="417">
        <f>R102+AX102</f>
        <v>5408</v>
      </c>
      <c r="BV102" s="418">
        <f>S102+BK102</f>
        <v>2.02</v>
      </c>
      <c r="BW102" s="418">
        <f t="shared" si="164"/>
        <v>0</v>
      </c>
      <c r="BX102" s="420">
        <f t="shared" si="164"/>
        <v>2.02</v>
      </c>
      <c r="BY102" s="510"/>
      <c r="BZ102" s="414"/>
      <c r="CA102" s="414"/>
      <c r="CB102" s="414"/>
      <c r="CC102" s="414"/>
      <c r="CD102" s="509"/>
      <c r="CE102" s="1021"/>
      <c r="CF102" s="1022"/>
      <c r="CG102" s="1022"/>
      <c r="CH102" s="1022"/>
      <c r="CI102" s="1022"/>
      <c r="CJ102" s="981"/>
    </row>
    <row r="103" spans="1:88" ht="12.95" customHeight="1">
      <c r="A103" s="280">
        <v>20</v>
      </c>
      <c r="B103" s="376">
        <v>2463</v>
      </c>
      <c r="C103" s="376">
        <v>600080056</v>
      </c>
      <c r="D103" s="281">
        <v>70982066</v>
      </c>
      <c r="E103" s="372" t="s">
        <v>487</v>
      </c>
      <c r="F103" s="212">
        <v>3143</v>
      </c>
      <c r="G103" s="323" t="s">
        <v>595</v>
      </c>
      <c r="H103" s="285" t="s">
        <v>271</v>
      </c>
      <c r="I103" s="419">
        <v>1068031</v>
      </c>
      <c r="J103" s="414">
        <v>792308</v>
      </c>
      <c r="K103" s="414">
        <v>792308</v>
      </c>
      <c r="L103" s="414">
        <v>0</v>
      </c>
      <c r="M103" s="414">
        <v>0</v>
      </c>
      <c r="N103" s="414">
        <v>0</v>
      </c>
      <c r="O103" s="414">
        <v>0</v>
      </c>
      <c r="P103" s="68">
        <v>267800</v>
      </c>
      <c r="Q103" s="68">
        <v>7923</v>
      </c>
      <c r="R103" s="414">
        <v>0</v>
      </c>
      <c r="S103" s="415">
        <v>1.5806</v>
      </c>
      <c r="T103" s="415">
        <v>1.5806</v>
      </c>
      <c r="U103" s="422">
        <v>0</v>
      </c>
      <c r="V103" s="423">
        <f t="shared" si="109"/>
        <v>0</v>
      </c>
      <c r="W103" s="417">
        <f t="shared" si="109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10"/>
        <v>0</v>
      </c>
      <c r="AF103" s="417">
        <f t="shared" si="111"/>
        <v>0</v>
      </c>
      <c r="AG103" s="417">
        <f t="shared" si="112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13"/>
        <v>0</v>
      </c>
      <c r="AN103" s="417">
        <f t="shared" si="114"/>
        <v>0</v>
      </c>
      <c r="AO103" s="417">
        <f t="shared" si="115"/>
        <v>0</v>
      </c>
      <c r="AP103" s="417">
        <f t="shared" si="116"/>
        <v>0</v>
      </c>
      <c r="AQ103" s="417">
        <f t="shared" si="116"/>
        <v>0</v>
      </c>
      <c r="AR103" s="417">
        <f t="shared" si="117"/>
        <v>0</v>
      </c>
      <c r="AS103" s="68">
        <f t="shared" si="118"/>
        <v>0</v>
      </c>
      <c r="AT103" s="68">
        <f t="shared" si="119"/>
        <v>0</v>
      </c>
      <c r="AU103" s="417">
        <v>0</v>
      </c>
      <c r="AV103" s="417">
        <v>0</v>
      </c>
      <c r="AW103" s="417">
        <v>0</v>
      </c>
      <c r="AX103" s="417">
        <f t="shared" si="120"/>
        <v>0</v>
      </c>
      <c r="AY103" s="417">
        <f t="shared" si="121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22"/>
        <v>0</v>
      </c>
      <c r="BJ103" s="418">
        <f t="shared" si="123"/>
        <v>0</v>
      </c>
      <c r="BK103" s="420">
        <f t="shared" si="124"/>
        <v>0</v>
      </c>
      <c r="BL103" s="772">
        <f>I103+AY103</f>
        <v>1068031</v>
      </c>
      <c r="BM103" s="772">
        <f>J103+AG103</f>
        <v>792308</v>
      </c>
      <c r="BN103" s="417">
        <f t="shared" si="161"/>
        <v>792308</v>
      </c>
      <c r="BO103" s="417">
        <f t="shared" si="161"/>
        <v>0</v>
      </c>
      <c r="BP103" s="417">
        <f>M103+AO103</f>
        <v>0</v>
      </c>
      <c r="BQ103" s="417">
        <f t="shared" si="162"/>
        <v>0</v>
      </c>
      <c r="BR103" s="417">
        <f t="shared" si="162"/>
        <v>0</v>
      </c>
      <c r="BS103" s="417">
        <f t="shared" si="163"/>
        <v>267800</v>
      </c>
      <c r="BT103" s="417">
        <f t="shared" si="163"/>
        <v>7923</v>
      </c>
      <c r="BU103" s="417">
        <f>R103+AX103</f>
        <v>0</v>
      </c>
      <c r="BV103" s="418">
        <f>S103+BK103</f>
        <v>1.5806</v>
      </c>
      <c r="BW103" s="418">
        <f t="shared" si="164"/>
        <v>1.5806</v>
      </c>
      <c r="BX103" s="420">
        <f t="shared" si="164"/>
        <v>0</v>
      </c>
      <c r="BY103" s="510"/>
      <c r="BZ103" s="414"/>
      <c r="CA103" s="414"/>
      <c r="CB103" s="414"/>
      <c r="CC103" s="414"/>
      <c r="CD103" s="509"/>
      <c r="CE103" s="1021"/>
      <c r="CF103" s="1022"/>
      <c r="CG103" s="1022"/>
      <c r="CH103" s="1022"/>
      <c r="CI103" s="1022"/>
      <c r="CJ103" s="981"/>
    </row>
    <row r="104" spans="1:88" ht="12.95" customHeight="1">
      <c r="A104" s="280">
        <v>20</v>
      </c>
      <c r="B104" s="376">
        <v>2463</v>
      </c>
      <c r="C104" s="376">
        <v>600080056</v>
      </c>
      <c r="D104" s="281">
        <v>70982066</v>
      </c>
      <c r="E104" s="372" t="s">
        <v>487</v>
      </c>
      <c r="F104" s="212">
        <v>3143</v>
      </c>
      <c r="G104" s="323" t="s">
        <v>596</v>
      </c>
      <c r="H104" s="285" t="s">
        <v>272</v>
      </c>
      <c r="I104" s="419">
        <v>32273</v>
      </c>
      <c r="J104" s="414">
        <v>23100</v>
      </c>
      <c r="K104" s="414">
        <v>0</v>
      </c>
      <c r="L104" s="414">
        <v>23100</v>
      </c>
      <c r="M104" s="414">
        <v>0</v>
      </c>
      <c r="N104" s="414">
        <v>0</v>
      </c>
      <c r="O104" s="414">
        <v>0</v>
      </c>
      <c r="P104" s="68">
        <v>7808</v>
      </c>
      <c r="Q104" s="68">
        <v>231</v>
      </c>
      <c r="R104" s="414">
        <v>1134</v>
      </c>
      <c r="S104" s="415">
        <v>8.829999999999999E-2</v>
      </c>
      <c r="T104" s="415">
        <v>0</v>
      </c>
      <c r="U104" s="422">
        <v>8.829999999999999E-2</v>
      </c>
      <c r="V104" s="423">
        <f t="shared" si="109"/>
        <v>0</v>
      </c>
      <c r="W104" s="417">
        <f t="shared" si="109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10"/>
        <v>0</v>
      </c>
      <c r="AF104" s="417">
        <f t="shared" si="111"/>
        <v>0</v>
      </c>
      <c r="AG104" s="417">
        <f t="shared" si="112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13"/>
        <v>0</v>
      </c>
      <c r="AN104" s="417">
        <f t="shared" si="114"/>
        <v>0</v>
      </c>
      <c r="AO104" s="417">
        <f t="shared" si="115"/>
        <v>0</v>
      </c>
      <c r="AP104" s="417">
        <f t="shared" si="116"/>
        <v>0</v>
      </c>
      <c r="AQ104" s="417">
        <f t="shared" si="116"/>
        <v>0</v>
      </c>
      <c r="AR104" s="417">
        <f t="shared" si="117"/>
        <v>0</v>
      </c>
      <c r="AS104" s="68">
        <f t="shared" si="118"/>
        <v>0</v>
      </c>
      <c r="AT104" s="68">
        <f t="shared" si="119"/>
        <v>0</v>
      </c>
      <c r="AU104" s="417">
        <v>0</v>
      </c>
      <c r="AV104" s="417">
        <v>0</v>
      </c>
      <c r="AW104" s="417">
        <v>0</v>
      </c>
      <c r="AX104" s="417">
        <f t="shared" si="120"/>
        <v>0</v>
      </c>
      <c r="AY104" s="417">
        <f t="shared" si="121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22"/>
        <v>0</v>
      </c>
      <c r="BJ104" s="418">
        <f t="shared" si="123"/>
        <v>0</v>
      </c>
      <c r="BK104" s="420">
        <f t="shared" si="124"/>
        <v>0</v>
      </c>
      <c r="BL104" s="772">
        <f>I104+AY104</f>
        <v>32273</v>
      </c>
      <c r="BM104" s="772">
        <f>J104+AG104</f>
        <v>23100</v>
      </c>
      <c r="BN104" s="417">
        <f t="shared" si="161"/>
        <v>0</v>
      </c>
      <c r="BO104" s="417">
        <f t="shared" si="161"/>
        <v>23100</v>
      </c>
      <c r="BP104" s="417">
        <f>M104+AO104</f>
        <v>0</v>
      </c>
      <c r="BQ104" s="417">
        <f t="shared" si="162"/>
        <v>0</v>
      </c>
      <c r="BR104" s="417">
        <f t="shared" si="162"/>
        <v>0</v>
      </c>
      <c r="BS104" s="417">
        <f t="shared" si="163"/>
        <v>7808</v>
      </c>
      <c r="BT104" s="417">
        <f t="shared" si="163"/>
        <v>231</v>
      </c>
      <c r="BU104" s="417">
        <f>R104+AX104</f>
        <v>1134</v>
      </c>
      <c r="BV104" s="418">
        <f>S104+BK104</f>
        <v>8.829999999999999E-2</v>
      </c>
      <c r="BW104" s="418">
        <f t="shared" si="164"/>
        <v>0</v>
      </c>
      <c r="BX104" s="420">
        <f t="shared" si="164"/>
        <v>8.829999999999999E-2</v>
      </c>
      <c r="BY104" s="510"/>
      <c r="BZ104" s="414"/>
      <c r="CA104" s="414"/>
      <c r="CB104" s="414"/>
      <c r="CC104" s="414"/>
      <c r="CD104" s="509"/>
      <c r="CE104" s="1021"/>
      <c r="CF104" s="1022"/>
      <c r="CG104" s="1022"/>
      <c r="CH104" s="1022"/>
      <c r="CI104" s="1022"/>
      <c r="CJ104" s="981"/>
    </row>
    <row r="105" spans="1:88" ht="12.75" customHeight="1">
      <c r="A105" s="213">
        <v>20</v>
      </c>
      <c r="B105" s="46">
        <v>2463</v>
      </c>
      <c r="C105" s="46">
        <v>600080056</v>
      </c>
      <c r="D105" s="46">
        <v>70982066</v>
      </c>
      <c r="E105" s="374" t="s">
        <v>488</v>
      </c>
      <c r="F105" s="48"/>
      <c r="G105" s="387"/>
      <c r="H105" s="185"/>
      <c r="I105" s="477">
        <v>12926880</v>
      </c>
      <c r="J105" s="475">
        <v>9458935</v>
      </c>
      <c r="K105" s="475">
        <v>7896901</v>
      </c>
      <c r="L105" s="475">
        <v>1562034</v>
      </c>
      <c r="M105" s="475">
        <v>8000</v>
      </c>
      <c r="N105" s="475">
        <v>0</v>
      </c>
      <c r="O105" s="475">
        <v>8000</v>
      </c>
      <c r="P105" s="475">
        <v>3199823</v>
      </c>
      <c r="Q105" s="475">
        <v>94590</v>
      </c>
      <c r="R105" s="475">
        <v>165532</v>
      </c>
      <c r="S105" s="476">
        <v>17.846200000000003</v>
      </c>
      <c r="T105" s="476">
        <v>13.274000000000001</v>
      </c>
      <c r="U105" s="535">
        <v>4.5722000000000005</v>
      </c>
      <c r="V105" s="477">
        <f t="shared" ref="V105:BK105" si="165">SUM(V100:V104)</f>
        <v>0</v>
      </c>
      <c r="W105" s="475">
        <f t="shared" si="165"/>
        <v>-3500</v>
      </c>
      <c r="X105" s="475">
        <f t="shared" si="165"/>
        <v>0</v>
      </c>
      <c r="Y105" s="475">
        <f t="shared" si="165"/>
        <v>0</v>
      </c>
      <c r="Z105" s="475">
        <f t="shared" si="165"/>
        <v>0</v>
      </c>
      <c r="AA105" s="475">
        <f t="shared" si="165"/>
        <v>-6682</v>
      </c>
      <c r="AB105" s="475">
        <f t="shared" si="165"/>
        <v>0</v>
      </c>
      <c r="AC105" s="475">
        <f t="shared" si="165"/>
        <v>0</v>
      </c>
      <c r="AD105" s="475">
        <f t="shared" si="165"/>
        <v>0</v>
      </c>
      <c r="AE105" s="475">
        <f t="shared" si="165"/>
        <v>0</v>
      </c>
      <c r="AF105" s="475">
        <f t="shared" si="165"/>
        <v>-10182</v>
      </c>
      <c r="AG105" s="475">
        <f t="shared" si="165"/>
        <v>-10182</v>
      </c>
      <c r="AH105" s="475">
        <f t="shared" si="165"/>
        <v>0</v>
      </c>
      <c r="AI105" s="475">
        <f t="shared" si="165"/>
        <v>3500</v>
      </c>
      <c r="AJ105" s="475">
        <f t="shared" si="165"/>
        <v>0</v>
      </c>
      <c r="AK105" s="475">
        <f t="shared" si="165"/>
        <v>0</v>
      </c>
      <c r="AL105" s="475">
        <f t="shared" si="165"/>
        <v>0</v>
      </c>
      <c r="AM105" s="475">
        <f t="shared" si="165"/>
        <v>0</v>
      </c>
      <c r="AN105" s="475">
        <f t="shared" si="165"/>
        <v>3500</v>
      </c>
      <c r="AO105" s="475">
        <f t="shared" si="165"/>
        <v>3500</v>
      </c>
      <c r="AP105" s="475">
        <f t="shared" si="165"/>
        <v>0</v>
      </c>
      <c r="AQ105" s="475">
        <f t="shared" si="165"/>
        <v>-6682</v>
      </c>
      <c r="AR105" s="475">
        <f t="shared" si="165"/>
        <v>-6682</v>
      </c>
      <c r="AS105" s="475">
        <f t="shared" si="165"/>
        <v>-2259</v>
      </c>
      <c r="AT105" s="475">
        <f t="shared" si="165"/>
        <v>-102</v>
      </c>
      <c r="AU105" s="475">
        <f t="shared" si="165"/>
        <v>0</v>
      </c>
      <c r="AV105" s="475">
        <f t="shared" si="165"/>
        <v>0</v>
      </c>
      <c r="AW105" s="475">
        <f t="shared" si="165"/>
        <v>0</v>
      </c>
      <c r="AX105" s="475">
        <f t="shared" si="165"/>
        <v>0</v>
      </c>
      <c r="AY105" s="475">
        <f t="shared" si="165"/>
        <v>-9043</v>
      </c>
      <c r="AZ105" s="476">
        <f t="shared" si="165"/>
        <v>0</v>
      </c>
      <c r="BA105" s="476">
        <f t="shared" si="165"/>
        <v>-0.01</v>
      </c>
      <c r="BB105" s="476">
        <f t="shared" si="165"/>
        <v>0</v>
      </c>
      <c r="BC105" s="476">
        <f t="shared" si="165"/>
        <v>0</v>
      </c>
      <c r="BD105" s="476">
        <f t="shared" si="165"/>
        <v>-0.02</v>
      </c>
      <c r="BE105" s="476">
        <f t="shared" si="165"/>
        <v>0</v>
      </c>
      <c r="BF105" s="476">
        <f t="shared" si="165"/>
        <v>0</v>
      </c>
      <c r="BG105" s="476">
        <f t="shared" si="165"/>
        <v>0</v>
      </c>
      <c r="BH105" s="476">
        <f t="shared" si="165"/>
        <v>0</v>
      </c>
      <c r="BI105" s="476">
        <f t="shared" si="165"/>
        <v>0</v>
      </c>
      <c r="BJ105" s="476">
        <f t="shared" si="165"/>
        <v>-0.03</v>
      </c>
      <c r="BK105" s="351">
        <f t="shared" si="165"/>
        <v>-0.03</v>
      </c>
      <c r="BL105" s="1077">
        <f t="shared" ref="BL105:CG105" si="166">SUM(BL100:BL104)</f>
        <v>12917837</v>
      </c>
      <c r="BM105" s="1077">
        <f t="shared" si="166"/>
        <v>9448753</v>
      </c>
      <c r="BN105" s="475">
        <f t="shared" si="166"/>
        <v>7896901</v>
      </c>
      <c r="BO105" s="475">
        <f t="shared" si="166"/>
        <v>1551852</v>
      </c>
      <c r="BP105" s="475">
        <f t="shared" si="166"/>
        <v>11500</v>
      </c>
      <c r="BQ105" s="475">
        <f t="shared" si="166"/>
        <v>0</v>
      </c>
      <c r="BR105" s="475">
        <f t="shared" si="166"/>
        <v>11500</v>
      </c>
      <c r="BS105" s="475">
        <f t="shared" si="166"/>
        <v>3197564</v>
      </c>
      <c r="BT105" s="475">
        <f t="shared" si="166"/>
        <v>94488</v>
      </c>
      <c r="BU105" s="475">
        <f t="shared" si="166"/>
        <v>165532</v>
      </c>
      <c r="BV105" s="476">
        <f t="shared" si="166"/>
        <v>17.816200000000002</v>
      </c>
      <c r="BW105" s="476">
        <f t="shared" si="166"/>
        <v>13.274000000000001</v>
      </c>
      <c r="BX105" s="351">
        <f t="shared" si="166"/>
        <v>4.5422000000000011</v>
      </c>
      <c r="BY105" s="942">
        <f t="shared" si="166"/>
        <v>0</v>
      </c>
      <c r="BZ105" s="723">
        <f t="shared" si="166"/>
        <v>0</v>
      </c>
      <c r="CA105" s="723">
        <f t="shared" si="166"/>
        <v>0</v>
      </c>
      <c r="CB105" s="723">
        <f t="shared" si="166"/>
        <v>0</v>
      </c>
      <c r="CC105" s="723">
        <f t="shared" si="166"/>
        <v>0</v>
      </c>
      <c r="CD105" s="830">
        <f t="shared" si="166"/>
        <v>0</v>
      </c>
      <c r="CE105" s="1027">
        <f t="shared" si="166"/>
        <v>416986</v>
      </c>
      <c r="CF105" s="1027">
        <f t="shared" si="166"/>
        <v>278672</v>
      </c>
      <c r="CG105" s="1027">
        <f t="shared" si="166"/>
        <v>94191</v>
      </c>
      <c r="CH105" s="1027">
        <f t="shared" ref="CH105:CJ105" si="167">SUM(CH100:CH104)</f>
        <v>2787</v>
      </c>
      <c r="CI105" s="1027">
        <f t="shared" si="167"/>
        <v>41336</v>
      </c>
      <c r="CJ105" s="934">
        <f t="shared" si="167"/>
        <v>0.79410000000000003</v>
      </c>
    </row>
    <row r="106" spans="1:88" ht="12.95" customHeight="1">
      <c r="A106" s="280">
        <v>21</v>
      </c>
      <c r="B106" s="212">
        <v>3427</v>
      </c>
      <c r="C106" s="212">
        <v>650023340</v>
      </c>
      <c r="D106" s="281">
        <v>70982988</v>
      </c>
      <c r="E106" s="211" t="s">
        <v>489</v>
      </c>
      <c r="F106" s="212">
        <v>3111</v>
      </c>
      <c r="G106" s="373" t="s">
        <v>304</v>
      </c>
      <c r="H106" s="285" t="s">
        <v>271</v>
      </c>
      <c r="I106" s="419">
        <v>3353919</v>
      </c>
      <c r="J106" s="414">
        <v>2474718</v>
      </c>
      <c r="K106" s="414">
        <v>2278682</v>
      </c>
      <c r="L106" s="414">
        <v>196036</v>
      </c>
      <c r="M106" s="414">
        <v>0</v>
      </c>
      <c r="N106" s="414">
        <v>0</v>
      </c>
      <c r="O106" s="414">
        <v>0</v>
      </c>
      <c r="P106" s="68">
        <v>836454</v>
      </c>
      <c r="Q106" s="68">
        <v>24747</v>
      </c>
      <c r="R106" s="414">
        <v>18000</v>
      </c>
      <c r="S106" s="415">
        <v>4.6562999999999999</v>
      </c>
      <c r="T106" s="415">
        <v>3.8708999999999998</v>
      </c>
      <c r="U106" s="422">
        <v>0.78539999999999999</v>
      </c>
      <c r="V106" s="423">
        <f t="shared" si="109"/>
        <v>0</v>
      </c>
      <c r="W106" s="417">
        <f t="shared" si="109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10"/>
        <v>0</v>
      </c>
      <c r="AF106" s="417">
        <f t="shared" si="111"/>
        <v>0</v>
      </c>
      <c r="AG106" s="417">
        <f t="shared" si="112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13"/>
        <v>0</v>
      </c>
      <c r="AN106" s="417">
        <f t="shared" si="114"/>
        <v>0</v>
      </c>
      <c r="AO106" s="417">
        <f t="shared" si="115"/>
        <v>0</v>
      </c>
      <c r="AP106" s="417">
        <f t="shared" si="116"/>
        <v>0</v>
      </c>
      <c r="AQ106" s="417">
        <f t="shared" si="116"/>
        <v>0</v>
      </c>
      <c r="AR106" s="417">
        <f t="shared" si="117"/>
        <v>0</v>
      </c>
      <c r="AS106" s="68">
        <f t="shared" si="118"/>
        <v>0</v>
      </c>
      <c r="AT106" s="68">
        <f t="shared" si="119"/>
        <v>0</v>
      </c>
      <c r="AU106" s="417">
        <v>0</v>
      </c>
      <c r="AV106" s="417">
        <v>0</v>
      </c>
      <c r="AW106" s="417">
        <v>0</v>
      </c>
      <c r="AX106" s="417">
        <f t="shared" si="120"/>
        <v>0</v>
      </c>
      <c r="AY106" s="417">
        <f t="shared" si="121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22"/>
        <v>0</v>
      </c>
      <c r="BJ106" s="418">
        <f t="shared" si="123"/>
        <v>0</v>
      </c>
      <c r="BK106" s="420">
        <f t="shared" si="124"/>
        <v>0</v>
      </c>
      <c r="BL106" s="772">
        <f t="shared" ref="BL106:BL111" si="168">I106+AY106</f>
        <v>3353919</v>
      </c>
      <c r="BM106" s="772">
        <f t="shared" ref="BM106:BM111" si="169">J106+AG106</f>
        <v>2474718</v>
      </c>
      <c r="BN106" s="417">
        <f t="shared" ref="BN106:BO111" si="170">K106+AE106</f>
        <v>2278682</v>
      </c>
      <c r="BO106" s="417">
        <f t="shared" si="170"/>
        <v>196036</v>
      </c>
      <c r="BP106" s="417">
        <f t="shared" ref="BP106:BP111" si="171">M106+AO106</f>
        <v>0</v>
      </c>
      <c r="BQ106" s="417">
        <f t="shared" ref="BQ106:BR111" si="172">N106+AM106</f>
        <v>0</v>
      </c>
      <c r="BR106" s="417">
        <f t="shared" si="172"/>
        <v>0</v>
      </c>
      <c r="BS106" s="417">
        <f t="shared" ref="BS106:BT111" si="173">P106+AS106</f>
        <v>836454</v>
      </c>
      <c r="BT106" s="417">
        <f t="shared" si="173"/>
        <v>24747</v>
      </c>
      <c r="BU106" s="417">
        <f t="shared" ref="BU106:BU111" si="174">R106+AX106</f>
        <v>18000</v>
      </c>
      <c r="BV106" s="418">
        <f t="shared" ref="BV106:BV111" si="175">S106+BK106</f>
        <v>4.6562999999999999</v>
      </c>
      <c r="BW106" s="418">
        <f t="shared" ref="BW106:BX111" si="176">T106+BI106</f>
        <v>3.8708999999999998</v>
      </c>
      <c r="BX106" s="420">
        <f t="shared" si="176"/>
        <v>0.78539999999999999</v>
      </c>
      <c r="BY106" s="510"/>
      <c r="BZ106" s="414"/>
      <c r="CA106" s="414"/>
      <c r="CB106" s="414"/>
      <c r="CC106" s="414"/>
      <c r="CD106" s="509"/>
      <c r="CE106" s="1021">
        <v>90774</v>
      </c>
      <c r="CF106" s="1022">
        <v>62900</v>
      </c>
      <c r="CG106" s="1022">
        <v>21260</v>
      </c>
      <c r="CH106" s="1022">
        <v>629</v>
      </c>
      <c r="CI106" s="1022">
        <v>5985</v>
      </c>
      <c r="CJ106" s="981">
        <v>0.252</v>
      </c>
    </row>
    <row r="107" spans="1:88" ht="12.95" customHeight="1">
      <c r="A107" s="280">
        <v>21</v>
      </c>
      <c r="B107" s="212">
        <v>3427</v>
      </c>
      <c r="C107" s="212">
        <v>650023340</v>
      </c>
      <c r="D107" s="281">
        <v>70982988</v>
      </c>
      <c r="E107" s="372" t="s">
        <v>489</v>
      </c>
      <c r="F107" s="212">
        <v>3113</v>
      </c>
      <c r="G107" s="372" t="s">
        <v>308</v>
      </c>
      <c r="H107" s="285" t="s">
        <v>271</v>
      </c>
      <c r="I107" s="419">
        <v>14080677</v>
      </c>
      <c r="J107" s="414">
        <v>10280425</v>
      </c>
      <c r="K107" s="414">
        <v>8848849</v>
      </c>
      <c r="L107" s="414">
        <v>1431576</v>
      </c>
      <c r="M107" s="414">
        <v>8000</v>
      </c>
      <c r="N107" s="414">
        <v>0</v>
      </c>
      <c r="O107" s="414">
        <v>8000</v>
      </c>
      <c r="P107" s="68">
        <v>3477488</v>
      </c>
      <c r="Q107" s="68">
        <v>102804</v>
      </c>
      <c r="R107" s="414">
        <v>211960</v>
      </c>
      <c r="S107" s="415">
        <v>17.642699999999998</v>
      </c>
      <c r="T107" s="415">
        <v>13.4907</v>
      </c>
      <c r="U107" s="422">
        <v>4.1520000000000001</v>
      </c>
      <c r="V107" s="423">
        <f t="shared" si="109"/>
        <v>0</v>
      </c>
      <c r="W107" s="417">
        <f t="shared" si="109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110"/>
        <v>0</v>
      </c>
      <c r="AF107" s="417">
        <f t="shared" si="111"/>
        <v>0</v>
      </c>
      <c r="AG107" s="417">
        <f t="shared" si="112"/>
        <v>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13"/>
        <v>0</v>
      </c>
      <c r="AN107" s="417">
        <f t="shared" si="114"/>
        <v>0</v>
      </c>
      <c r="AO107" s="417">
        <f t="shared" si="115"/>
        <v>0</v>
      </c>
      <c r="AP107" s="417">
        <f t="shared" si="116"/>
        <v>0</v>
      </c>
      <c r="AQ107" s="417">
        <f t="shared" si="116"/>
        <v>0</v>
      </c>
      <c r="AR107" s="417">
        <f t="shared" si="117"/>
        <v>0</v>
      </c>
      <c r="AS107" s="68">
        <f t="shared" si="118"/>
        <v>0</v>
      </c>
      <c r="AT107" s="68">
        <f t="shared" si="119"/>
        <v>0</v>
      </c>
      <c r="AU107" s="417">
        <v>0</v>
      </c>
      <c r="AV107" s="417">
        <v>0</v>
      </c>
      <c r="AW107" s="417">
        <v>0</v>
      </c>
      <c r="AX107" s="417">
        <f t="shared" si="120"/>
        <v>0</v>
      </c>
      <c r="AY107" s="417">
        <f t="shared" si="121"/>
        <v>0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22"/>
        <v>0</v>
      </c>
      <c r="BJ107" s="418">
        <f t="shared" si="123"/>
        <v>0</v>
      </c>
      <c r="BK107" s="420">
        <f t="shared" si="124"/>
        <v>0</v>
      </c>
      <c r="BL107" s="772">
        <f t="shared" si="168"/>
        <v>14080677</v>
      </c>
      <c r="BM107" s="772">
        <f t="shared" si="169"/>
        <v>10280425</v>
      </c>
      <c r="BN107" s="417">
        <f t="shared" si="170"/>
        <v>8848849</v>
      </c>
      <c r="BO107" s="417">
        <f t="shared" si="170"/>
        <v>1431576</v>
      </c>
      <c r="BP107" s="417">
        <f t="shared" si="171"/>
        <v>8000</v>
      </c>
      <c r="BQ107" s="417">
        <f t="shared" si="172"/>
        <v>0</v>
      </c>
      <c r="BR107" s="417">
        <f t="shared" si="172"/>
        <v>8000</v>
      </c>
      <c r="BS107" s="417">
        <f t="shared" si="173"/>
        <v>3477488</v>
      </c>
      <c r="BT107" s="417">
        <f t="shared" si="173"/>
        <v>102804</v>
      </c>
      <c r="BU107" s="417">
        <f t="shared" si="174"/>
        <v>211960</v>
      </c>
      <c r="BV107" s="418">
        <f t="shared" si="175"/>
        <v>17.642699999999998</v>
      </c>
      <c r="BW107" s="418">
        <f t="shared" si="176"/>
        <v>13.4907</v>
      </c>
      <c r="BX107" s="420">
        <f t="shared" si="176"/>
        <v>4.1520000000000001</v>
      </c>
      <c r="BY107" s="510">
        <v>304109</v>
      </c>
      <c r="BZ107" s="414">
        <v>225600</v>
      </c>
      <c r="CA107" s="414">
        <v>0</v>
      </c>
      <c r="CB107" s="414">
        <v>76253</v>
      </c>
      <c r="CC107" s="414">
        <v>2256</v>
      </c>
      <c r="CD107" s="509">
        <v>0.4</v>
      </c>
      <c r="CE107" s="1026">
        <v>674336</v>
      </c>
      <c r="CF107" s="1022">
        <v>462030</v>
      </c>
      <c r="CG107" s="1022">
        <v>156166</v>
      </c>
      <c r="CH107" s="1022">
        <v>4620</v>
      </c>
      <c r="CI107" s="1022">
        <v>51520</v>
      </c>
      <c r="CJ107" s="981">
        <v>1.3423</v>
      </c>
    </row>
    <row r="108" spans="1:88" ht="12.95" customHeight="1">
      <c r="A108" s="280">
        <v>21</v>
      </c>
      <c r="B108" s="212">
        <v>3427</v>
      </c>
      <c r="C108" s="212">
        <v>650023340</v>
      </c>
      <c r="D108" s="281">
        <v>70982988</v>
      </c>
      <c r="E108" s="372" t="s">
        <v>489</v>
      </c>
      <c r="F108" s="212">
        <v>3113</v>
      </c>
      <c r="G108" s="323" t="s">
        <v>291</v>
      </c>
      <c r="H108" s="285" t="s">
        <v>272</v>
      </c>
      <c r="I108" s="419">
        <v>3123506</v>
      </c>
      <c r="J108" s="414">
        <v>2317141</v>
      </c>
      <c r="K108" s="414">
        <v>2317141</v>
      </c>
      <c r="L108" s="414">
        <v>0</v>
      </c>
      <c r="M108" s="414">
        <v>0</v>
      </c>
      <c r="N108" s="414">
        <v>0</v>
      </c>
      <c r="O108" s="414">
        <v>0</v>
      </c>
      <c r="P108" s="68">
        <v>783194</v>
      </c>
      <c r="Q108" s="68">
        <v>23171</v>
      </c>
      <c r="R108" s="414">
        <v>0</v>
      </c>
      <c r="S108" s="415">
        <v>6.24</v>
      </c>
      <c r="T108" s="415">
        <v>6.24</v>
      </c>
      <c r="U108" s="422">
        <v>0</v>
      </c>
      <c r="V108" s="423">
        <f t="shared" si="109"/>
        <v>0</v>
      </c>
      <c r="W108" s="417">
        <f t="shared" si="109"/>
        <v>0</v>
      </c>
      <c r="X108" s="417">
        <v>8252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10"/>
        <v>8252</v>
      </c>
      <c r="AF108" s="417">
        <f t="shared" si="111"/>
        <v>0</v>
      </c>
      <c r="AG108" s="417">
        <f t="shared" si="112"/>
        <v>8252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13"/>
        <v>0</v>
      </c>
      <c r="AN108" s="417">
        <f t="shared" si="114"/>
        <v>0</v>
      </c>
      <c r="AO108" s="417">
        <f t="shared" si="115"/>
        <v>0</v>
      </c>
      <c r="AP108" s="417">
        <f t="shared" si="116"/>
        <v>8252</v>
      </c>
      <c r="AQ108" s="417">
        <f t="shared" si="116"/>
        <v>0</v>
      </c>
      <c r="AR108" s="417">
        <f t="shared" si="117"/>
        <v>8252</v>
      </c>
      <c r="AS108" s="68">
        <f t="shared" si="118"/>
        <v>2789</v>
      </c>
      <c r="AT108" s="68">
        <f t="shared" si="119"/>
        <v>83</v>
      </c>
      <c r="AU108" s="417">
        <v>0</v>
      </c>
      <c r="AV108" s="417">
        <v>0</v>
      </c>
      <c r="AW108" s="417">
        <v>0</v>
      </c>
      <c r="AX108" s="417">
        <f t="shared" si="120"/>
        <v>0</v>
      </c>
      <c r="AY108" s="417">
        <f t="shared" si="121"/>
        <v>11124</v>
      </c>
      <c r="AZ108" s="418">
        <v>0</v>
      </c>
      <c r="BA108" s="418">
        <v>0</v>
      </c>
      <c r="BB108" s="418">
        <v>0.02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22"/>
        <v>0.02</v>
      </c>
      <c r="BJ108" s="418">
        <f t="shared" si="123"/>
        <v>0</v>
      </c>
      <c r="BK108" s="420">
        <f t="shared" si="124"/>
        <v>0.02</v>
      </c>
      <c r="BL108" s="772">
        <f t="shared" si="168"/>
        <v>3134630</v>
      </c>
      <c r="BM108" s="772">
        <f t="shared" si="169"/>
        <v>2325393</v>
      </c>
      <c r="BN108" s="417">
        <f t="shared" si="170"/>
        <v>2325393</v>
      </c>
      <c r="BO108" s="417">
        <f t="shared" si="170"/>
        <v>0</v>
      </c>
      <c r="BP108" s="417">
        <f t="shared" si="171"/>
        <v>0</v>
      </c>
      <c r="BQ108" s="417">
        <f t="shared" si="172"/>
        <v>0</v>
      </c>
      <c r="BR108" s="417">
        <f t="shared" si="172"/>
        <v>0</v>
      </c>
      <c r="BS108" s="417">
        <f t="shared" si="173"/>
        <v>785983</v>
      </c>
      <c r="BT108" s="417">
        <f t="shared" si="173"/>
        <v>23254</v>
      </c>
      <c r="BU108" s="417">
        <f t="shared" si="174"/>
        <v>0</v>
      </c>
      <c r="BV108" s="418">
        <f t="shared" si="175"/>
        <v>6.26</v>
      </c>
      <c r="BW108" s="418">
        <f t="shared" si="176"/>
        <v>6.26</v>
      </c>
      <c r="BX108" s="420">
        <f t="shared" si="176"/>
        <v>0</v>
      </c>
      <c r="BY108" s="510"/>
      <c r="BZ108" s="414"/>
      <c r="CA108" s="414"/>
      <c r="CB108" s="414"/>
      <c r="CC108" s="414"/>
      <c r="CD108" s="509"/>
      <c r="CE108" s="1021"/>
      <c r="CF108" s="1022"/>
      <c r="CG108" s="1022"/>
      <c r="CH108" s="1022"/>
      <c r="CI108" s="1022"/>
      <c r="CJ108" s="981"/>
    </row>
    <row r="109" spans="1:88" ht="12.95" customHeight="1">
      <c r="A109" s="280">
        <v>21</v>
      </c>
      <c r="B109" s="212">
        <v>3427</v>
      </c>
      <c r="C109" s="212">
        <v>650023340</v>
      </c>
      <c r="D109" s="281">
        <v>70982988</v>
      </c>
      <c r="E109" s="371" t="s">
        <v>489</v>
      </c>
      <c r="F109" s="382">
        <v>3141</v>
      </c>
      <c r="G109" s="373" t="s">
        <v>294</v>
      </c>
      <c r="H109" s="285" t="s">
        <v>272</v>
      </c>
      <c r="I109" s="419">
        <v>1857097</v>
      </c>
      <c r="J109" s="414">
        <v>1369689</v>
      </c>
      <c r="K109" s="414">
        <v>0</v>
      </c>
      <c r="L109" s="414">
        <v>1369689</v>
      </c>
      <c r="M109" s="414">
        <v>0</v>
      </c>
      <c r="N109" s="414">
        <v>0</v>
      </c>
      <c r="O109" s="414">
        <v>0</v>
      </c>
      <c r="P109" s="68">
        <v>462955</v>
      </c>
      <c r="Q109" s="68">
        <v>13697</v>
      </c>
      <c r="R109" s="414">
        <v>10756</v>
      </c>
      <c r="S109" s="415">
        <v>4.1032999999999999</v>
      </c>
      <c r="T109" s="415">
        <v>0</v>
      </c>
      <c r="U109" s="422">
        <v>4.1032999999999999</v>
      </c>
      <c r="V109" s="423">
        <f t="shared" si="109"/>
        <v>0</v>
      </c>
      <c r="W109" s="417">
        <f t="shared" si="109"/>
        <v>0</v>
      </c>
      <c r="X109" s="417">
        <v>0</v>
      </c>
      <c r="Y109" s="417">
        <v>0</v>
      </c>
      <c r="Z109" s="417">
        <v>0</v>
      </c>
      <c r="AA109" s="417">
        <v>4684</v>
      </c>
      <c r="AB109" s="417">
        <v>0</v>
      </c>
      <c r="AC109" s="417">
        <v>0</v>
      </c>
      <c r="AD109" s="417">
        <v>0</v>
      </c>
      <c r="AE109" s="417">
        <f t="shared" si="110"/>
        <v>0</v>
      </c>
      <c r="AF109" s="417">
        <f t="shared" si="111"/>
        <v>4684</v>
      </c>
      <c r="AG109" s="417">
        <f t="shared" si="112"/>
        <v>4684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13"/>
        <v>0</v>
      </c>
      <c r="AN109" s="417">
        <f t="shared" si="114"/>
        <v>0</v>
      </c>
      <c r="AO109" s="417">
        <f t="shared" si="115"/>
        <v>0</v>
      </c>
      <c r="AP109" s="417">
        <f t="shared" si="116"/>
        <v>0</v>
      </c>
      <c r="AQ109" s="417">
        <f t="shared" si="116"/>
        <v>4684</v>
      </c>
      <c r="AR109" s="417">
        <f t="shared" si="117"/>
        <v>4684</v>
      </c>
      <c r="AS109" s="68">
        <f t="shared" si="118"/>
        <v>1583</v>
      </c>
      <c r="AT109" s="68">
        <f t="shared" si="119"/>
        <v>47</v>
      </c>
      <c r="AU109" s="417">
        <v>0</v>
      </c>
      <c r="AV109" s="417">
        <v>0</v>
      </c>
      <c r="AW109" s="417">
        <v>0</v>
      </c>
      <c r="AX109" s="417">
        <f t="shared" si="120"/>
        <v>0</v>
      </c>
      <c r="AY109" s="417">
        <f t="shared" si="121"/>
        <v>6314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0.01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22"/>
        <v>0</v>
      </c>
      <c r="BJ109" s="418">
        <f t="shared" si="123"/>
        <v>0.01</v>
      </c>
      <c r="BK109" s="420">
        <f t="shared" si="124"/>
        <v>0.01</v>
      </c>
      <c r="BL109" s="772">
        <f t="shared" si="168"/>
        <v>1863411</v>
      </c>
      <c r="BM109" s="772">
        <f t="shared" si="169"/>
        <v>1374373</v>
      </c>
      <c r="BN109" s="417">
        <f t="shared" si="170"/>
        <v>0</v>
      </c>
      <c r="BO109" s="417">
        <f t="shared" si="170"/>
        <v>1374373</v>
      </c>
      <c r="BP109" s="417">
        <f t="shared" si="171"/>
        <v>0</v>
      </c>
      <c r="BQ109" s="417">
        <f t="shared" si="172"/>
        <v>0</v>
      </c>
      <c r="BR109" s="417">
        <f t="shared" si="172"/>
        <v>0</v>
      </c>
      <c r="BS109" s="417">
        <f t="shared" si="173"/>
        <v>464538</v>
      </c>
      <c r="BT109" s="417">
        <f t="shared" si="173"/>
        <v>13744</v>
      </c>
      <c r="BU109" s="417">
        <f t="shared" si="174"/>
        <v>10756</v>
      </c>
      <c r="BV109" s="418">
        <f t="shared" si="175"/>
        <v>4.1132999999999997</v>
      </c>
      <c r="BW109" s="418">
        <f t="shared" si="176"/>
        <v>0</v>
      </c>
      <c r="BX109" s="420">
        <f t="shared" si="176"/>
        <v>4.1132999999999997</v>
      </c>
      <c r="BY109" s="510"/>
      <c r="BZ109" s="414"/>
      <c r="CA109" s="414"/>
      <c r="CB109" s="414"/>
      <c r="CC109" s="414"/>
      <c r="CD109" s="509"/>
      <c r="CE109" s="1021"/>
      <c r="CF109" s="1022"/>
      <c r="CG109" s="1022"/>
      <c r="CH109" s="1022"/>
      <c r="CI109" s="1022"/>
      <c r="CJ109" s="981"/>
    </row>
    <row r="110" spans="1:88" ht="12.95" customHeight="1">
      <c r="A110" s="280">
        <v>21</v>
      </c>
      <c r="B110" s="212">
        <v>3427</v>
      </c>
      <c r="C110" s="212">
        <v>650023340</v>
      </c>
      <c r="D110" s="281">
        <v>70982988</v>
      </c>
      <c r="E110" s="372" t="s">
        <v>489</v>
      </c>
      <c r="F110" s="212">
        <v>3143</v>
      </c>
      <c r="G110" s="323" t="s">
        <v>595</v>
      </c>
      <c r="H110" s="285" t="s">
        <v>271</v>
      </c>
      <c r="I110" s="419">
        <v>1379910</v>
      </c>
      <c r="J110" s="414">
        <v>1023672</v>
      </c>
      <c r="K110" s="414">
        <v>1023672</v>
      </c>
      <c r="L110" s="414">
        <v>0</v>
      </c>
      <c r="M110" s="414">
        <v>0</v>
      </c>
      <c r="N110" s="414">
        <v>0</v>
      </c>
      <c r="O110" s="414">
        <v>0</v>
      </c>
      <c r="P110" s="68">
        <v>346001</v>
      </c>
      <c r="Q110" s="68">
        <v>10237</v>
      </c>
      <c r="R110" s="414">
        <v>0</v>
      </c>
      <c r="S110" s="415">
        <v>2.0535999999999999</v>
      </c>
      <c r="T110" s="415">
        <v>2.0535999999999999</v>
      </c>
      <c r="U110" s="422">
        <v>0</v>
      </c>
      <c r="V110" s="423">
        <f t="shared" si="109"/>
        <v>0</v>
      </c>
      <c r="W110" s="417">
        <f t="shared" si="109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10"/>
        <v>0</v>
      </c>
      <c r="AF110" s="417">
        <f t="shared" si="111"/>
        <v>0</v>
      </c>
      <c r="AG110" s="417">
        <f t="shared" si="112"/>
        <v>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13"/>
        <v>0</v>
      </c>
      <c r="AN110" s="417">
        <f t="shared" si="114"/>
        <v>0</v>
      </c>
      <c r="AO110" s="417">
        <f t="shared" si="115"/>
        <v>0</v>
      </c>
      <c r="AP110" s="417">
        <f t="shared" si="116"/>
        <v>0</v>
      </c>
      <c r="AQ110" s="417">
        <f t="shared" si="116"/>
        <v>0</v>
      </c>
      <c r="AR110" s="417">
        <f t="shared" si="117"/>
        <v>0</v>
      </c>
      <c r="AS110" s="68">
        <f t="shared" si="118"/>
        <v>0</v>
      </c>
      <c r="AT110" s="68">
        <f t="shared" si="119"/>
        <v>0</v>
      </c>
      <c r="AU110" s="417">
        <v>0</v>
      </c>
      <c r="AV110" s="417">
        <v>0</v>
      </c>
      <c r="AW110" s="417">
        <v>0</v>
      </c>
      <c r="AX110" s="417">
        <f t="shared" si="120"/>
        <v>0</v>
      </c>
      <c r="AY110" s="417">
        <f t="shared" si="121"/>
        <v>0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22"/>
        <v>0</v>
      </c>
      <c r="BJ110" s="418">
        <f t="shared" si="123"/>
        <v>0</v>
      </c>
      <c r="BK110" s="420">
        <f t="shared" si="124"/>
        <v>0</v>
      </c>
      <c r="BL110" s="772">
        <f t="shared" si="168"/>
        <v>1379910</v>
      </c>
      <c r="BM110" s="772">
        <f t="shared" si="169"/>
        <v>1023672</v>
      </c>
      <c r="BN110" s="417">
        <f t="shared" si="170"/>
        <v>1023672</v>
      </c>
      <c r="BO110" s="417">
        <f t="shared" si="170"/>
        <v>0</v>
      </c>
      <c r="BP110" s="417">
        <f t="shared" si="171"/>
        <v>0</v>
      </c>
      <c r="BQ110" s="417">
        <f t="shared" si="172"/>
        <v>0</v>
      </c>
      <c r="BR110" s="417">
        <f t="shared" si="172"/>
        <v>0</v>
      </c>
      <c r="BS110" s="417">
        <f t="shared" si="173"/>
        <v>346001</v>
      </c>
      <c r="BT110" s="417">
        <f t="shared" si="173"/>
        <v>10237</v>
      </c>
      <c r="BU110" s="417">
        <f t="shared" si="174"/>
        <v>0</v>
      </c>
      <c r="BV110" s="418">
        <f t="shared" si="175"/>
        <v>2.0535999999999999</v>
      </c>
      <c r="BW110" s="418">
        <f t="shared" si="176"/>
        <v>2.0535999999999999</v>
      </c>
      <c r="BX110" s="420">
        <f t="shared" si="176"/>
        <v>0</v>
      </c>
      <c r="BY110" s="510"/>
      <c r="BZ110" s="414"/>
      <c r="CA110" s="414"/>
      <c r="CB110" s="414"/>
      <c r="CC110" s="414"/>
      <c r="CD110" s="509"/>
      <c r="CE110" s="1021"/>
      <c r="CF110" s="1022"/>
      <c r="CG110" s="1022"/>
      <c r="CH110" s="1022"/>
      <c r="CI110" s="1022"/>
      <c r="CJ110" s="981"/>
    </row>
    <row r="111" spans="1:88" ht="12.95" customHeight="1">
      <c r="A111" s="280">
        <v>21</v>
      </c>
      <c r="B111" s="212">
        <v>3427</v>
      </c>
      <c r="C111" s="212">
        <v>650023340</v>
      </c>
      <c r="D111" s="281">
        <v>70982988</v>
      </c>
      <c r="E111" s="372" t="s">
        <v>489</v>
      </c>
      <c r="F111" s="212">
        <v>3143</v>
      </c>
      <c r="G111" s="323" t="s">
        <v>596</v>
      </c>
      <c r="H111" s="285" t="s">
        <v>272</v>
      </c>
      <c r="I111" s="419">
        <v>33810</v>
      </c>
      <c r="J111" s="414">
        <v>24200</v>
      </c>
      <c r="K111" s="414">
        <v>0</v>
      </c>
      <c r="L111" s="414">
        <v>24200</v>
      </c>
      <c r="M111" s="414">
        <v>0</v>
      </c>
      <c r="N111" s="414">
        <v>0</v>
      </c>
      <c r="O111" s="414">
        <v>0</v>
      </c>
      <c r="P111" s="68">
        <v>8180</v>
      </c>
      <c r="Q111" s="68">
        <v>242</v>
      </c>
      <c r="R111" s="414">
        <v>1188</v>
      </c>
      <c r="S111" s="415">
        <v>9.11E-2</v>
      </c>
      <c r="T111" s="415">
        <v>0</v>
      </c>
      <c r="U111" s="422">
        <v>9.11E-2</v>
      </c>
      <c r="V111" s="423">
        <f t="shared" si="109"/>
        <v>0</v>
      </c>
      <c r="W111" s="417">
        <f t="shared" si="109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10"/>
        <v>0</v>
      </c>
      <c r="AF111" s="417">
        <f t="shared" si="111"/>
        <v>0</v>
      </c>
      <c r="AG111" s="417">
        <f t="shared" si="112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13"/>
        <v>0</v>
      </c>
      <c r="AN111" s="417">
        <f t="shared" si="114"/>
        <v>0</v>
      </c>
      <c r="AO111" s="417">
        <f t="shared" si="115"/>
        <v>0</v>
      </c>
      <c r="AP111" s="417">
        <f t="shared" si="116"/>
        <v>0</v>
      </c>
      <c r="AQ111" s="417">
        <f t="shared" si="116"/>
        <v>0</v>
      </c>
      <c r="AR111" s="417">
        <f t="shared" si="117"/>
        <v>0</v>
      </c>
      <c r="AS111" s="68">
        <f t="shared" si="118"/>
        <v>0</v>
      </c>
      <c r="AT111" s="68">
        <f t="shared" si="119"/>
        <v>0</v>
      </c>
      <c r="AU111" s="417">
        <v>0</v>
      </c>
      <c r="AV111" s="417">
        <v>0</v>
      </c>
      <c r="AW111" s="417">
        <v>0</v>
      </c>
      <c r="AX111" s="417">
        <f t="shared" si="120"/>
        <v>0</v>
      </c>
      <c r="AY111" s="417">
        <f t="shared" si="121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22"/>
        <v>0</v>
      </c>
      <c r="BJ111" s="418">
        <f t="shared" si="123"/>
        <v>0</v>
      </c>
      <c r="BK111" s="420">
        <f t="shared" si="124"/>
        <v>0</v>
      </c>
      <c r="BL111" s="772">
        <f t="shared" si="168"/>
        <v>33810</v>
      </c>
      <c r="BM111" s="772">
        <f t="shared" si="169"/>
        <v>24200</v>
      </c>
      <c r="BN111" s="417">
        <f t="shared" si="170"/>
        <v>0</v>
      </c>
      <c r="BO111" s="417">
        <f t="shared" si="170"/>
        <v>24200</v>
      </c>
      <c r="BP111" s="417">
        <f t="shared" si="171"/>
        <v>0</v>
      </c>
      <c r="BQ111" s="417">
        <f t="shared" si="172"/>
        <v>0</v>
      </c>
      <c r="BR111" s="417">
        <f t="shared" si="172"/>
        <v>0</v>
      </c>
      <c r="BS111" s="417">
        <f t="shared" si="173"/>
        <v>8180</v>
      </c>
      <c r="BT111" s="417">
        <f t="shared" si="173"/>
        <v>242</v>
      </c>
      <c r="BU111" s="417">
        <f t="shared" si="174"/>
        <v>1188</v>
      </c>
      <c r="BV111" s="418">
        <f t="shared" si="175"/>
        <v>9.11E-2</v>
      </c>
      <c r="BW111" s="418">
        <f t="shared" si="176"/>
        <v>0</v>
      </c>
      <c r="BX111" s="420">
        <f t="shared" si="176"/>
        <v>9.11E-2</v>
      </c>
      <c r="BY111" s="510"/>
      <c r="BZ111" s="414"/>
      <c r="CA111" s="414"/>
      <c r="CB111" s="414"/>
      <c r="CC111" s="414"/>
      <c r="CD111" s="509"/>
      <c r="CE111" s="1021"/>
      <c r="CF111" s="1022"/>
      <c r="CG111" s="1022"/>
      <c r="CH111" s="1022"/>
      <c r="CI111" s="1022"/>
      <c r="CJ111" s="981"/>
    </row>
    <row r="112" spans="1:88" ht="12.95" customHeight="1">
      <c r="A112" s="213">
        <v>21</v>
      </c>
      <c r="B112" s="46">
        <v>3427</v>
      </c>
      <c r="C112" s="46">
        <v>650023340</v>
      </c>
      <c r="D112" s="46">
        <v>70982988</v>
      </c>
      <c r="E112" s="374" t="s">
        <v>490</v>
      </c>
      <c r="F112" s="45"/>
      <c r="G112" s="374"/>
      <c r="H112" s="182"/>
      <c r="I112" s="487">
        <v>23828919</v>
      </c>
      <c r="J112" s="484">
        <v>17489845</v>
      </c>
      <c r="K112" s="484">
        <v>14468344</v>
      </c>
      <c r="L112" s="484">
        <v>3021501</v>
      </c>
      <c r="M112" s="484">
        <v>8000</v>
      </c>
      <c r="N112" s="484">
        <v>0</v>
      </c>
      <c r="O112" s="484">
        <v>8000</v>
      </c>
      <c r="P112" s="484">
        <v>5914272</v>
      </c>
      <c r="Q112" s="484">
        <v>174898</v>
      </c>
      <c r="R112" s="484">
        <v>241904</v>
      </c>
      <c r="S112" s="485">
        <v>34.786999999999999</v>
      </c>
      <c r="T112" s="485">
        <v>25.655199999999997</v>
      </c>
      <c r="U112" s="652">
        <v>9.1318000000000019</v>
      </c>
      <c r="V112" s="487">
        <f t="shared" ref="V112:BK112" si="177">SUM(V106:V111)</f>
        <v>0</v>
      </c>
      <c r="W112" s="484">
        <f t="shared" si="177"/>
        <v>0</v>
      </c>
      <c r="X112" s="484">
        <f t="shared" si="177"/>
        <v>8252</v>
      </c>
      <c r="Y112" s="484">
        <f t="shared" si="177"/>
        <v>0</v>
      </c>
      <c r="Z112" s="484">
        <f t="shared" si="177"/>
        <v>0</v>
      </c>
      <c r="AA112" s="484">
        <f t="shared" si="177"/>
        <v>4684</v>
      </c>
      <c r="AB112" s="484">
        <f t="shared" si="177"/>
        <v>0</v>
      </c>
      <c r="AC112" s="484">
        <f t="shared" si="177"/>
        <v>0</v>
      </c>
      <c r="AD112" s="484">
        <f t="shared" si="177"/>
        <v>0</v>
      </c>
      <c r="AE112" s="484">
        <f t="shared" si="177"/>
        <v>8252</v>
      </c>
      <c r="AF112" s="484">
        <f t="shared" si="177"/>
        <v>4684</v>
      </c>
      <c r="AG112" s="484">
        <f t="shared" si="177"/>
        <v>12936</v>
      </c>
      <c r="AH112" s="484">
        <f t="shared" si="177"/>
        <v>0</v>
      </c>
      <c r="AI112" s="484">
        <f t="shared" si="177"/>
        <v>0</v>
      </c>
      <c r="AJ112" s="484">
        <f t="shared" si="177"/>
        <v>0</v>
      </c>
      <c r="AK112" s="484">
        <f t="shared" si="177"/>
        <v>0</v>
      </c>
      <c r="AL112" s="484">
        <f t="shared" si="177"/>
        <v>0</v>
      </c>
      <c r="AM112" s="484">
        <f t="shared" si="177"/>
        <v>0</v>
      </c>
      <c r="AN112" s="484">
        <f t="shared" si="177"/>
        <v>0</v>
      </c>
      <c r="AO112" s="484">
        <f t="shared" si="177"/>
        <v>0</v>
      </c>
      <c r="AP112" s="484">
        <f t="shared" si="177"/>
        <v>8252</v>
      </c>
      <c r="AQ112" s="484">
        <f t="shared" si="177"/>
        <v>4684</v>
      </c>
      <c r="AR112" s="484">
        <f t="shared" si="177"/>
        <v>12936</v>
      </c>
      <c r="AS112" s="484">
        <f t="shared" si="177"/>
        <v>4372</v>
      </c>
      <c r="AT112" s="484">
        <f t="shared" si="177"/>
        <v>130</v>
      </c>
      <c r="AU112" s="484">
        <f t="shared" si="177"/>
        <v>0</v>
      </c>
      <c r="AV112" s="484">
        <f t="shared" si="177"/>
        <v>0</v>
      </c>
      <c r="AW112" s="484">
        <f t="shared" si="177"/>
        <v>0</v>
      </c>
      <c r="AX112" s="484">
        <f t="shared" si="177"/>
        <v>0</v>
      </c>
      <c r="AY112" s="484">
        <f t="shared" si="177"/>
        <v>17438</v>
      </c>
      <c r="AZ112" s="485">
        <f t="shared" si="177"/>
        <v>0</v>
      </c>
      <c r="BA112" s="485">
        <f t="shared" si="177"/>
        <v>0</v>
      </c>
      <c r="BB112" s="485">
        <f t="shared" si="177"/>
        <v>0.02</v>
      </c>
      <c r="BC112" s="485">
        <f t="shared" si="177"/>
        <v>0</v>
      </c>
      <c r="BD112" s="485">
        <f t="shared" si="177"/>
        <v>0.01</v>
      </c>
      <c r="BE112" s="485">
        <f t="shared" si="177"/>
        <v>0</v>
      </c>
      <c r="BF112" s="485">
        <f t="shared" si="177"/>
        <v>0</v>
      </c>
      <c r="BG112" s="485">
        <f t="shared" si="177"/>
        <v>0</v>
      </c>
      <c r="BH112" s="485">
        <f t="shared" si="177"/>
        <v>0</v>
      </c>
      <c r="BI112" s="485">
        <f t="shared" si="177"/>
        <v>0.02</v>
      </c>
      <c r="BJ112" s="485">
        <f t="shared" si="177"/>
        <v>0.01</v>
      </c>
      <c r="BK112" s="379">
        <f t="shared" si="177"/>
        <v>0.03</v>
      </c>
      <c r="BL112" s="1076">
        <f t="shared" ref="BL112:CG112" si="178">SUM(BL106:BL111)</f>
        <v>23846357</v>
      </c>
      <c r="BM112" s="1076">
        <f t="shared" si="178"/>
        <v>17502781</v>
      </c>
      <c r="BN112" s="484">
        <f t="shared" si="178"/>
        <v>14476596</v>
      </c>
      <c r="BO112" s="484">
        <f t="shared" si="178"/>
        <v>3026185</v>
      </c>
      <c r="BP112" s="484">
        <f t="shared" si="178"/>
        <v>8000</v>
      </c>
      <c r="BQ112" s="484">
        <f t="shared" si="178"/>
        <v>0</v>
      </c>
      <c r="BR112" s="484">
        <f t="shared" si="178"/>
        <v>8000</v>
      </c>
      <c r="BS112" s="484">
        <f t="shared" si="178"/>
        <v>5918644</v>
      </c>
      <c r="BT112" s="484">
        <f t="shared" si="178"/>
        <v>175028</v>
      </c>
      <c r="BU112" s="484">
        <f t="shared" si="178"/>
        <v>241904</v>
      </c>
      <c r="BV112" s="485">
        <f t="shared" si="178"/>
        <v>34.817</v>
      </c>
      <c r="BW112" s="485">
        <f t="shared" si="178"/>
        <v>25.6752</v>
      </c>
      <c r="BX112" s="379">
        <f t="shared" si="178"/>
        <v>9.1417999999999999</v>
      </c>
      <c r="BY112" s="941">
        <f t="shared" si="178"/>
        <v>304109</v>
      </c>
      <c r="BZ112" s="728">
        <f t="shared" si="178"/>
        <v>225600</v>
      </c>
      <c r="CA112" s="728">
        <f t="shared" si="178"/>
        <v>0</v>
      </c>
      <c r="CB112" s="728">
        <f t="shared" si="178"/>
        <v>76253</v>
      </c>
      <c r="CC112" s="728">
        <f t="shared" si="178"/>
        <v>2256</v>
      </c>
      <c r="CD112" s="834">
        <f t="shared" si="178"/>
        <v>0.4</v>
      </c>
      <c r="CE112" s="1025">
        <f t="shared" si="178"/>
        <v>765110</v>
      </c>
      <c r="CF112" s="1025">
        <f t="shared" si="178"/>
        <v>524930</v>
      </c>
      <c r="CG112" s="1025">
        <f t="shared" si="178"/>
        <v>177426</v>
      </c>
      <c r="CH112" s="1025">
        <f t="shared" ref="CH112:CJ112" si="179">SUM(CH106:CH111)</f>
        <v>5249</v>
      </c>
      <c r="CI112" s="1025">
        <f t="shared" si="179"/>
        <v>57505</v>
      </c>
      <c r="CJ112" s="933">
        <f t="shared" si="179"/>
        <v>1.5943000000000001</v>
      </c>
    </row>
    <row r="113" spans="1:88" ht="12.95" customHeight="1">
      <c r="A113" s="280">
        <v>22</v>
      </c>
      <c r="B113" s="212">
        <v>5484</v>
      </c>
      <c r="C113" s="212">
        <v>600098532</v>
      </c>
      <c r="D113" s="281">
        <v>72743255</v>
      </c>
      <c r="E113" s="372" t="s">
        <v>491</v>
      </c>
      <c r="F113" s="212">
        <v>3111</v>
      </c>
      <c r="G113" s="373" t="s">
        <v>304</v>
      </c>
      <c r="H113" s="285" t="s">
        <v>271</v>
      </c>
      <c r="I113" s="419">
        <v>6912090</v>
      </c>
      <c r="J113" s="414">
        <v>5102960</v>
      </c>
      <c r="K113" s="414">
        <v>4449831</v>
      </c>
      <c r="L113" s="414">
        <v>653129</v>
      </c>
      <c r="M113" s="414">
        <v>0</v>
      </c>
      <c r="N113" s="414">
        <v>0</v>
      </c>
      <c r="O113" s="414">
        <v>0</v>
      </c>
      <c r="P113" s="68">
        <v>1724800</v>
      </c>
      <c r="Q113" s="68">
        <v>51030</v>
      </c>
      <c r="R113" s="414">
        <v>33300</v>
      </c>
      <c r="S113" s="415">
        <v>10.1989</v>
      </c>
      <c r="T113" s="415">
        <v>8</v>
      </c>
      <c r="U113" s="422">
        <v>2.1989000000000001</v>
      </c>
      <c r="V113" s="423">
        <f t="shared" si="109"/>
        <v>0</v>
      </c>
      <c r="W113" s="417">
        <f t="shared" si="109"/>
        <v>0</v>
      </c>
      <c r="X113" s="417">
        <v>0</v>
      </c>
      <c r="Y113" s="417">
        <v>0</v>
      </c>
      <c r="Z113" s="417">
        <v>-143616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10"/>
        <v>-143616</v>
      </c>
      <c r="AF113" s="417">
        <f t="shared" si="111"/>
        <v>0</v>
      </c>
      <c r="AG113" s="417">
        <f t="shared" si="112"/>
        <v>-143616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13"/>
        <v>0</v>
      </c>
      <c r="AN113" s="417">
        <f t="shared" si="114"/>
        <v>0</v>
      </c>
      <c r="AO113" s="417">
        <f t="shared" si="115"/>
        <v>0</v>
      </c>
      <c r="AP113" s="417">
        <f t="shared" si="116"/>
        <v>-143616</v>
      </c>
      <c r="AQ113" s="417">
        <f t="shared" si="116"/>
        <v>0</v>
      </c>
      <c r="AR113" s="417">
        <f t="shared" si="117"/>
        <v>-143616</v>
      </c>
      <c r="AS113" s="68">
        <f t="shared" si="118"/>
        <v>-48542</v>
      </c>
      <c r="AT113" s="68">
        <f t="shared" si="119"/>
        <v>-1436</v>
      </c>
      <c r="AU113" s="417">
        <v>0</v>
      </c>
      <c r="AV113" s="417">
        <v>0</v>
      </c>
      <c r="AW113" s="417">
        <v>0</v>
      </c>
      <c r="AX113" s="417">
        <f t="shared" si="120"/>
        <v>0</v>
      </c>
      <c r="AY113" s="417">
        <f t="shared" si="121"/>
        <v>-193594</v>
      </c>
      <c r="AZ113" s="418">
        <v>0</v>
      </c>
      <c r="BA113" s="418">
        <v>0</v>
      </c>
      <c r="BB113" s="418">
        <v>0</v>
      </c>
      <c r="BC113" s="418">
        <v>-0.33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22"/>
        <v>-0.33</v>
      </c>
      <c r="BJ113" s="418">
        <f t="shared" si="123"/>
        <v>0</v>
      </c>
      <c r="BK113" s="420">
        <f t="shared" si="124"/>
        <v>-0.33</v>
      </c>
      <c r="BL113" s="772">
        <f>I113+AY113</f>
        <v>6718496</v>
      </c>
      <c r="BM113" s="772">
        <f>J113+AG113</f>
        <v>4959344</v>
      </c>
      <c r="BN113" s="417">
        <f t="shared" ref="BN113:BO115" si="180">K113+AE113</f>
        <v>4306215</v>
      </c>
      <c r="BO113" s="417">
        <f t="shared" si="180"/>
        <v>653129</v>
      </c>
      <c r="BP113" s="417">
        <f>M113+AO113</f>
        <v>0</v>
      </c>
      <c r="BQ113" s="417">
        <f t="shared" ref="BQ113:BR115" si="181">N113+AM113</f>
        <v>0</v>
      </c>
      <c r="BR113" s="417">
        <f t="shared" si="181"/>
        <v>0</v>
      </c>
      <c r="BS113" s="417">
        <f t="shared" ref="BS113:BT115" si="182">P113+AS113</f>
        <v>1676258</v>
      </c>
      <c r="BT113" s="417">
        <f t="shared" si="182"/>
        <v>49594</v>
      </c>
      <c r="BU113" s="417">
        <f>R113+AX113</f>
        <v>33300</v>
      </c>
      <c r="BV113" s="418">
        <f>S113+BK113</f>
        <v>9.8689</v>
      </c>
      <c r="BW113" s="418">
        <f t="shared" ref="BW113:BX115" si="183">T113+BI113</f>
        <v>7.67</v>
      </c>
      <c r="BX113" s="420">
        <f t="shared" si="183"/>
        <v>2.1989000000000001</v>
      </c>
      <c r="BY113" s="510"/>
      <c r="BZ113" s="414"/>
      <c r="CA113" s="414"/>
      <c r="CB113" s="414"/>
      <c r="CC113" s="414"/>
      <c r="CD113" s="509"/>
      <c r="CE113" s="1021">
        <v>293594</v>
      </c>
      <c r="CF113" s="1022">
        <v>209583</v>
      </c>
      <c r="CG113" s="1022">
        <v>70839</v>
      </c>
      <c r="CH113" s="1022">
        <v>2096</v>
      </c>
      <c r="CI113" s="1022">
        <v>11076</v>
      </c>
      <c r="CJ113" s="981">
        <v>0.7056</v>
      </c>
    </row>
    <row r="114" spans="1:88" ht="12.95" customHeight="1">
      <c r="A114" s="280">
        <v>22</v>
      </c>
      <c r="B114" s="212">
        <v>5484</v>
      </c>
      <c r="C114" s="212">
        <v>600098532</v>
      </c>
      <c r="D114" s="281">
        <v>72743255</v>
      </c>
      <c r="E114" s="372" t="s">
        <v>491</v>
      </c>
      <c r="F114" s="212">
        <v>3111</v>
      </c>
      <c r="G114" s="373" t="s">
        <v>291</v>
      </c>
      <c r="H114" s="285" t="s">
        <v>272</v>
      </c>
      <c r="I114" s="419">
        <v>0</v>
      </c>
      <c r="J114" s="414">
        <v>0</v>
      </c>
      <c r="K114" s="414">
        <v>0</v>
      </c>
      <c r="L114" s="414">
        <v>0</v>
      </c>
      <c r="M114" s="414">
        <v>0</v>
      </c>
      <c r="N114" s="414">
        <v>0</v>
      </c>
      <c r="O114" s="414">
        <v>0</v>
      </c>
      <c r="P114" s="68">
        <v>0</v>
      </c>
      <c r="Q114" s="68">
        <v>0</v>
      </c>
      <c r="R114" s="414">
        <v>0</v>
      </c>
      <c r="S114" s="415">
        <v>0</v>
      </c>
      <c r="T114" s="415">
        <v>0</v>
      </c>
      <c r="U114" s="422">
        <v>0</v>
      </c>
      <c r="V114" s="423">
        <f t="shared" si="109"/>
        <v>0</v>
      </c>
      <c r="W114" s="417">
        <f t="shared" si="109"/>
        <v>0</v>
      </c>
      <c r="X114" s="417">
        <v>46350</v>
      </c>
      <c r="Y114" s="417">
        <v>0</v>
      </c>
      <c r="Z114" s="417">
        <v>0</v>
      </c>
      <c r="AA114" s="417">
        <v>0</v>
      </c>
      <c r="AB114" s="417">
        <v>0</v>
      </c>
      <c r="AC114" s="417">
        <v>0</v>
      </c>
      <c r="AD114" s="417">
        <v>0</v>
      </c>
      <c r="AE114" s="417">
        <f t="shared" si="110"/>
        <v>46350</v>
      </c>
      <c r="AF114" s="417">
        <f t="shared" si="111"/>
        <v>0</v>
      </c>
      <c r="AG114" s="417">
        <f t="shared" si="112"/>
        <v>46350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13"/>
        <v>0</v>
      </c>
      <c r="AN114" s="417">
        <f t="shared" si="114"/>
        <v>0</v>
      </c>
      <c r="AO114" s="417">
        <f t="shared" si="115"/>
        <v>0</v>
      </c>
      <c r="AP114" s="417">
        <f t="shared" si="116"/>
        <v>46350</v>
      </c>
      <c r="AQ114" s="417">
        <f t="shared" si="116"/>
        <v>0</v>
      </c>
      <c r="AR114" s="417">
        <f t="shared" si="117"/>
        <v>46350</v>
      </c>
      <c r="AS114" s="68">
        <f t="shared" si="118"/>
        <v>15666</v>
      </c>
      <c r="AT114" s="68">
        <f t="shared" si="119"/>
        <v>464</v>
      </c>
      <c r="AU114" s="417">
        <v>0</v>
      </c>
      <c r="AV114" s="417">
        <v>0</v>
      </c>
      <c r="AW114" s="417">
        <v>0</v>
      </c>
      <c r="AX114" s="417">
        <f t="shared" si="120"/>
        <v>0</v>
      </c>
      <c r="AY114" s="417">
        <f t="shared" si="121"/>
        <v>62480</v>
      </c>
      <c r="AZ114" s="418">
        <v>0</v>
      </c>
      <c r="BA114" s="418">
        <v>0</v>
      </c>
      <c r="BB114" s="418">
        <v>0.13</v>
      </c>
      <c r="BC114" s="418">
        <v>0</v>
      </c>
      <c r="BD114" s="418">
        <v>0</v>
      </c>
      <c r="BE114" s="418">
        <v>0</v>
      </c>
      <c r="BF114" s="418">
        <v>0</v>
      </c>
      <c r="BG114" s="418">
        <v>0</v>
      </c>
      <c r="BH114" s="418">
        <v>0</v>
      </c>
      <c r="BI114" s="418">
        <f t="shared" si="122"/>
        <v>0.13</v>
      </c>
      <c r="BJ114" s="418">
        <f t="shared" si="123"/>
        <v>0</v>
      </c>
      <c r="BK114" s="420">
        <f t="shared" si="124"/>
        <v>0.13</v>
      </c>
      <c r="BL114" s="772">
        <f>I114+AY114</f>
        <v>62480</v>
      </c>
      <c r="BM114" s="772">
        <f>J114+AG114</f>
        <v>46350</v>
      </c>
      <c r="BN114" s="417">
        <f t="shared" si="180"/>
        <v>46350</v>
      </c>
      <c r="BO114" s="417">
        <f t="shared" si="180"/>
        <v>0</v>
      </c>
      <c r="BP114" s="417">
        <f>M114+AO114</f>
        <v>0</v>
      </c>
      <c r="BQ114" s="417">
        <f t="shared" si="181"/>
        <v>0</v>
      </c>
      <c r="BR114" s="417">
        <f t="shared" si="181"/>
        <v>0</v>
      </c>
      <c r="BS114" s="417">
        <f t="shared" si="182"/>
        <v>15666</v>
      </c>
      <c r="BT114" s="417">
        <f t="shared" si="182"/>
        <v>464</v>
      </c>
      <c r="BU114" s="417">
        <f>R114+AX114</f>
        <v>0</v>
      </c>
      <c r="BV114" s="418">
        <f>S114+BK114</f>
        <v>0.13</v>
      </c>
      <c r="BW114" s="418">
        <f t="shared" si="183"/>
        <v>0.13</v>
      </c>
      <c r="BX114" s="420">
        <f t="shared" si="183"/>
        <v>0</v>
      </c>
      <c r="BY114" s="510"/>
      <c r="BZ114" s="414"/>
      <c r="CA114" s="414"/>
      <c r="CB114" s="414"/>
      <c r="CC114" s="414"/>
      <c r="CD114" s="509"/>
      <c r="CE114" s="1021"/>
      <c r="CF114" s="1022"/>
      <c r="CG114" s="1022"/>
      <c r="CH114" s="1022"/>
      <c r="CI114" s="1022"/>
      <c r="CJ114" s="981"/>
    </row>
    <row r="115" spans="1:88" ht="12.95" customHeight="1">
      <c r="A115" s="280">
        <v>22</v>
      </c>
      <c r="B115" s="212">
        <v>5484</v>
      </c>
      <c r="C115" s="212">
        <v>600098532</v>
      </c>
      <c r="D115" s="281">
        <v>72743255</v>
      </c>
      <c r="E115" s="372" t="s">
        <v>491</v>
      </c>
      <c r="F115" s="212">
        <v>3141</v>
      </c>
      <c r="G115" s="373" t="s">
        <v>294</v>
      </c>
      <c r="H115" s="285" t="s">
        <v>272</v>
      </c>
      <c r="I115" s="419">
        <v>1325732</v>
      </c>
      <c r="J115" s="414">
        <v>978786</v>
      </c>
      <c r="K115" s="414">
        <v>0</v>
      </c>
      <c r="L115" s="414">
        <v>978786</v>
      </c>
      <c r="M115" s="414">
        <v>0</v>
      </c>
      <c r="N115" s="414">
        <v>0</v>
      </c>
      <c r="O115" s="414">
        <v>0</v>
      </c>
      <c r="P115" s="68">
        <v>330830</v>
      </c>
      <c r="Q115" s="68">
        <v>9788</v>
      </c>
      <c r="R115" s="414">
        <v>6328</v>
      </c>
      <c r="S115" s="415">
        <v>2.94</v>
      </c>
      <c r="T115" s="415">
        <v>0</v>
      </c>
      <c r="U115" s="422">
        <v>2.94</v>
      </c>
      <c r="V115" s="423">
        <f t="shared" si="109"/>
        <v>0</v>
      </c>
      <c r="W115" s="417">
        <f t="shared" si="109"/>
        <v>0</v>
      </c>
      <c r="X115" s="417">
        <v>0</v>
      </c>
      <c r="Y115" s="417">
        <v>0</v>
      </c>
      <c r="Z115" s="417">
        <v>0</v>
      </c>
      <c r="AA115" s="417">
        <v>-37315</v>
      </c>
      <c r="AB115" s="417">
        <v>0</v>
      </c>
      <c r="AC115" s="417">
        <v>0</v>
      </c>
      <c r="AD115" s="417">
        <v>0</v>
      </c>
      <c r="AE115" s="417">
        <f t="shared" si="110"/>
        <v>0</v>
      </c>
      <c r="AF115" s="417">
        <f t="shared" si="111"/>
        <v>-37315</v>
      </c>
      <c r="AG115" s="417">
        <f t="shared" si="112"/>
        <v>-37315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13"/>
        <v>0</v>
      </c>
      <c r="AN115" s="417">
        <f t="shared" si="114"/>
        <v>0</v>
      </c>
      <c r="AO115" s="417">
        <f t="shared" si="115"/>
        <v>0</v>
      </c>
      <c r="AP115" s="417">
        <f t="shared" si="116"/>
        <v>0</v>
      </c>
      <c r="AQ115" s="417">
        <f t="shared" si="116"/>
        <v>-37315</v>
      </c>
      <c r="AR115" s="417">
        <f t="shared" si="117"/>
        <v>-37315</v>
      </c>
      <c r="AS115" s="68">
        <f t="shared" si="118"/>
        <v>-12612</v>
      </c>
      <c r="AT115" s="68">
        <f t="shared" si="119"/>
        <v>-373</v>
      </c>
      <c r="AU115" s="417">
        <v>0</v>
      </c>
      <c r="AV115" s="417">
        <v>0</v>
      </c>
      <c r="AW115" s="417">
        <v>0</v>
      </c>
      <c r="AX115" s="417">
        <f t="shared" si="120"/>
        <v>0</v>
      </c>
      <c r="AY115" s="417">
        <f t="shared" si="121"/>
        <v>-50300</v>
      </c>
      <c r="AZ115" s="418">
        <v>0</v>
      </c>
      <c r="BA115" s="418">
        <v>0</v>
      </c>
      <c r="BB115" s="418">
        <v>0</v>
      </c>
      <c r="BC115" s="418">
        <v>0</v>
      </c>
      <c r="BD115" s="418">
        <v>-0.11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22"/>
        <v>0</v>
      </c>
      <c r="BJ115" s="418">
        <f t="shared" si="123"/>
        <v>-0.11</v>
      </c>
      <c r="BK115" s="420">
        <f t="shared" si="124"/>
        <v>-0.11</v>
      </c>
      <c r="BL115" s="772">
        <f>I115+AY115</f>
        <v>1275432</v>
      </c>
      <c r="BM115" s="772">
        <f>J115+AG115</f>
        <v>941471</v>
      </c>
      <c r="BN115" s="417">
        <f t="shared" si="180"/>
        <v>0</v>
      </c>
      <c r="BO115" s="417">
        <f t="shared" si="180"/>
        <v>941471</v>
      </c>
      <c r="BP115" s="417">
        <f>M115+AO115</f>
        <v>0</v>
      </c>
      <c r="BQ115" s="417">
        <f t="shared" si="181"/>
        <v>0</v>
      </c>
      <c r="BR115" s="417">
        <f t="shared" si="181"/>
        <v>0</v>
      </c>
      <c r="BS115" s="417">
        <f t="shared" si="182"/>
        <v>318218</v>
      </c>
      <c r="BT115" s="417">
        <f t="shared" si="182"/>
        <v>9415</v>
      </c>
      <c r="BU115" s="417">
        <f>R115+AX115</f>
        <v>6328</v>
      </c>
      <c r="BV115" s="418">
        <f>S115+BK115</f>
        <v>2.83</v>
      </c>
      <c r="BW115" s="418">
        <f t="shared" si="183"/>
        <v>0</v>
      </c>
      <c r="BX115" s="420">
        <f t="shared" si="183"/>
        <v>2.83</v>
      </c>
      <c r="BY115" s="840"/>
      <c r="BZ115" s="717"/>
      <c r="CA115" s="717"/>
      <c r="CB115" s="717"/>
      <c r="CC115" s="717"/>
      <c r="CD115" s="822"/>
      <c r="CE115" s="1029"/>
      <c r="CF115" s="1030"/>
      <c r="CG115" s="1030"/>
      <c r="CH115" s="1030"/>
      <c r="CI115" s="1030"/>
      <c r="CJ115" s="828"/>
    </row>
    <row r="116" spans="1:88" ht="12.95" customHeight="1">
      <c r="A116" s="213">
        <v>22</v>
      </c>
      <c r="B116" s="45">
        <v>5484</v>
      </c>
      <c r="C116" s="45">
        <v>600098532</v>
      </c>
      <c r="D116" s="45">
        <v>72743255</v>
      </c>
      <c r="E116" s="374" t="s">
        <v>492</v>
      </c>
      <c r="F116" s="45"/>
      <c r="G116" s="374"/>
      <c r="H116" s="182"/>
      <c r="I116" s="464">
        <v>8237822</v>
      </c>
      <c r="J116" s="460">
        <v>6081746</v>
      </c>
      <c r="K116" s="460">
        <v>4449831</v>
      </c>
      <c r="L116" s="460">
        <v>1631915</v>
      </c>
      <c r="M116" s="460">
        <v>0</v>
      </c>
      <c r="N116" s="460">
        <v>0</v>
      </c>
      <c r="O116" s="460">
        <v>0</v>
      </c>
      <c r="P116" s="460">
        <v>2055630</v>
      </c>
      <c r="Q116" s="460">
        <v>60818</v>
      </c>
      <c r="R116" s="460">
        <v>39628</v>
      </c>
      <c r="S116" s="461">
        <v>13.1389</v>
      </c>
      <c r="T116" s="461">
        <v>8</v>
      </c>
      <c r="U116" s="534">
        <v>5.1388999999999996</v>
      </c>
      <c r="V116" s="464">
        <f t="shared" ref="V116:BK116" si="184">SUM(V113:V115)</f>
        <v>0</v>
      </c>
      <c r="W116" s="460">
        <f t="shared" si="184"/>
        <v>0</v>
      </c>
      <c r="X116" s="460">
        <f t="shared" si="184"/>
        <v>46350</v>
      </c>
      <c r="Y116" s="460">
        <f t="shared" si="184"/>
        <v>0</v>
      </c>
      <c r="Z116" s="460">
        <f t="shared" si="184"/>
        <v>-143616</v>
      </c>
      <c r="AA116" s="460">
        <f t="shared" si="184"/>
        <v>-37315</v>
      </c>
      <c r="AB116" s="460">
        <f t="shared" si="184"/>
        <v>0</v>
      </c>
      <c r="AC116" s="460">
        <f t="shared" si="184"/>
        <v>0</v>
      </c>
      <c r="AD116" s="460">
        <f t="shared" si="184"/>
        <v>0</v>
      </c>
      <c r="AE116" s="460">
        <f t="shared" si="184"/>
        <v>-97266</v>
      </c>
      <c r="AF116" s="460">
        <f t="shared" si="184"/>
        <v>-37315</v>
      </c>
      <c r="AG116" s="460">
        <f t="shared" si="184"/>
        <v>-134581</v>
      </c>
      <c r="AH116" s="460">
        <f t="shared" si="184"/>
        <v>0</v>
      </c>
      <c r="AI116" s="460">
        <f t="shared" si="184"/>
        <v>0</v>
      </c>
      <c r="AJ116" s="460">
        <f t="shared" si="184"/>
        <v>0</v>
      </c>
      <c r="AK116" s="460">
        <f t="shared" si="184"/>
        <v>0</v>
      </c>
      <c r="AL116" s="460">
        <f t="shared" si="184"/>
        <v>0</v>
      </c>
      <c r="AM116" s="460">
        <f t="shared" si="184"/>
        <v>0</v>
      </c>
      <c r="AN116" s="460">
        <f t="shared" si="184"/>
        <v>0</v>
      </c>
      <c r="AO116" s="460">
        <f t="shared" si="184"/>
        <v>0</v>
      </c>
      <c r="AP116" s="460">
        <f t="shared" si="184"/>
        <v>-97266</v>
      </c>
      <c r="AQ116" s="460">
        <f t="shared" si="184"/>
        <v>-37315</v>
      </c>
      <c r="AR116" s="460">
        <f t="shared" si="184"/>
        <v>-134581</v>
      </c>
      <c r="AS116" s="460">
        <f t="shared" si="184"/>
        <v>-45488</v>
      </c>
      <c r="AT116" s="460">
        <f t="shared" si="184"/>
        <v>-1345</v>
      </c>
      <c r="AU116" s="460">
        <f t="shared" si="184"/>
        <v>0</v>
      </c>
      <c r="AV116" s="460">
        <f t="shared" si="184"/>
        <v>0</v>
      </c>
      <c r="AW116" s="460">
        <f t="shared" si="184"/>
        <v>0</v>
      </c>
      <c r="AX116" s="460">
        <f t="shared" si="184"/>
        <v>0</v>
      </c>
      <c r="AY116" s="460">
        <f t="shared" si="184"/>
        <v>-181414</v>
      </c>
      <c r="AZ116" s="461">
        <f t="shared" si="184"/>
        <v>0</v>
      </c>
      <c r="BA116" s="461">
        <f t="shared" si="184"/>
        <v>0</v>
      </c>
      <c r="BB116" s="461">
        <f t="shared" si="184"/>
        <v>0.13</v>
      </c>
      <c r="BC116" s="461">
        <f t="shared" si="184"/>
        <v>-0.33</v>
      </c>
      <c r="BD116" s="461">
        <f t="shared" si="184"/>
        <v>-0.11</v>
      </c>
      <c r="BE116" s="461">
        <f t="shared" si="184"/>
        <v>0</v>
      </c>
      <c r="BF116" s="461">
        <f t="shared" si="184"/>
        <v>0</v>
      </c>
      <c r="BG116" s="461">
        <f t="shared" si="184"/>
        <v>0</v>
      </c>
      <c r="BH116" s="461">
        <f t="shared" si="184"/>
        <v>0</v>
      </c>
      <c r="BI116" s="461">
        <f t="shared" si="184"/>
        <v>-0.2</v>
      </c>
      <c r="BJ116" s="461">
        <f t="shared" si="184"/>
        <v>-0.11</v>
      </c>
      <c r="BK116" s="279">
        <f t="shared" si="184"/>
        <v>-0.31</v>
      </c>
      <c r="BL116" s="1075">
        <f t="shared" ref="BL116:CG116" si="185">SUM(BL113:BL115)</f>
        <v>8056408</v>
      </c>
      <c r="BM116" s="1075">
        <f t="shared" si="185"/>
        <v>5947165</v>
      </c>
      <c r="BN116" s="460">
        <f t="shared" si="185"/>
        <v>4352565</v>
      </c>
      <c r="BO116" s="460">
        <f t="shared" si="185"/>
        <v>1594600</v>
      </c>
      <c r="BP116" s="460">
        <f t="shared" si="185"/>
        <v>0</v>
      </c>
      <c r="BQ116" s="460">
        <f t="shared" si="185"/>
        <v>0</v>
      </c>
      <c r="BR116" s="460">
        <f t="shared" si="185"/>
        <v>0</v>
      </c>
      <c r="BS116" s="460">
        <f t="shared" si="185"/>
        <v>2010142</v>
      </c>
      <c r="BT116" s="460">
        <f t="shared" si="185"/>
        <v>59473</v>
      </c>
      <c r="BU116" s="460">
        <f t="shared" si="185"/>
        <v>39628</v>
      </c>
      <c r="BV116" s="461">
        <f t="shared" si="185"/>
        <v>12.828900000000001</v>
      </c>
      <c r="BW116" s="461">
        <f t="shared" si="185"/>
        <v>7.8</v>
      </c>
      <c r="BX116" s="279">
        <f t="shared" si="185"/>
        <v>5.0289000000000001</v>
      </c>
      <c r="BY116" s="940">
        <f t="shared" si="185"/>
        <v>0</v>
      </c>
      <c r="BZ116" s="707">
        <f t="shared" si="185"/>
        <v>0</v>
      </c>
      <c r="CA116" s="707">
        <f t="shared" si="185"/>
        <v>0</v>
      </c>
      <c r="CB116" s="707">
        <f t="shared" si="185"/>
        <v>0</v>
      </c>
      <c r="CC116" s="707">
        <f t="shared" si="185"/>
        <v>0</v>
      </c>
      <c r="CD116" s="819">
        <f t="shared" si="185"/>
        <v>0</v>
      </c>
      <c r="CE116" s="1024">
        <f t="shared" si="185"/>
        <v>293594</v>
      </c>
      <c r="CF116" s="1024">
        <f t="shared" si="185"/>
        <v>209583</v>
      </c>
      <c r="CG116" s="1024">
        <f t="shared" si="185"/>
        <v>70839</v>
      </c>
      <c r="CH116" s="1024">
        <f t="shared" ref="CH116:CJ116" si="186">SUM(CH113:CH115)</f>
        <v>2096</v>
      </c>
      <c r="CI116" s="1024">
        <f t="shared" si="186"/>
        <v>11076</v>
      </c>
      <c r="CJ116" s="933">
        <f t="shared" si="186"/>
        <v>0.7056</v>
      </c>
    </row>
    <row r="117" spans="1:88" ht="12.95" customHeight="1">
      <c r="A117" s="280">
        <v>23</v>
      </c>
      <c r="B117" s="212">
        <v>5485</v>
      </c>
      <c r="C117" s="212">
        <v>600099300</v>
      </c>
      <c r="D117" s="281">
        <v>72743174</v>
      </c>
      <c r="E117" s="372" t="s">
        <v>493</v>
      </c>
      <c r="F117" s="212">
        <v>3117</v>
      </c>
      <c r="G117" s="372" t="s">
        <v>308</v>
      </c>
      <c r="H117" s="285" t="s">
        <v>271</v>
      </c>
      <c r="I117" s="419">
        <v>6014493</v>
      </c>
      <c r="J117" s="414">
        <v>4378630</v>
      </c>
      <c r="K117" s="414">
        <v>3745662</v>
      </c>
      <c r="L117" s="414">
        <v>632968</v>
      </c>
      <c r="M117" s="414">
        <v>0</v>
      </c>
      <c r="N117" s="414">
        <v>0</v>
      </c>
      <c r="O117" s="414">
        <v>0</v>
      </c>
      <c r="P117" s="68">
        <v>1479977</v>
      </c>
      <c r="Q117" s="68">
        <v>43786</v>
      </c>
      <c r="R117" s="414">
        <v>112100</v>
      </c>
      <c r="S117" s="415">
        <v>7.745400000000001</v>
      </c>
      <c r="T117" s="415">
        <v>6.0273000000000003</v>
      </c>
      <c r="U117" s="422">
        <v>1.7181000000000002</v>
      </c>
      <c r="V117" s="423">
        <f t="shared" si="109"/>
        <v>0</v>
      </c>
      <c r="W117" s="417">
        <f t="shared" si="109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110"/>
        <v>0</v>
      </c>
      <c r="AF117" s="417">
        <f t="shared" si="111"/>
        <v>0</v>
      </c>
      <c r="AG117" s="417">
        <f t="shared" si="112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13"/>
        <v>0</v>
      </c>
      <c r="AN117" s="417">
        <f t="shared" si="114"/>
        <v>0</v>
      </c>
      <c r="AO117" s="417">
        <f t="shared" si="115"/>
        <v>0</v>
      </c>
      <c r="AP117" s="417">
        <f t="shared" si="116"/>
        <v>0</v>
      </c>
      <c r="AQ117" s="417">
        <f t="shared" si="116"/>
        <v>0</v>
      </c>
      <c r="AR117" s="417">
        <f t="shared" si="117"/>
        <v>0</v>
      </c>
      <c r="AS117" s="68">
        <f t="shared" si="118"/>
        <v>0</v>
      </c>
      <c r="AT117" s="68">
        <f t="shared" si="119"/>
        <v>0</v>
      </c>
      <c r="AU117" s="417">
        <v>0</v>
      </c>
      <c r="AV117" s="417">
        <v>0</v>
      </c>
      <c r="AW117" s="417">
        <v>0</v>
      </c>
      <c r="AX117" s="417">
        <f t="shared" si="120"/>
        <v>0</v>
      </c>
      <c r="AY117" s="417">
        <f t="shared" si="121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22"/>
        <v>0</v>
      </c>
      <c r="BJ117" s="418">
        <f t="shared" si="123"/>
        <v>0</v>
      </c>
      <c r="BK117" s="420">
        <f t="shared" si="124"/>
        <v>0</v>
      </c>
      <c r="BL117" s="772">
        <f>I117+AY117</f>
        <v>6014493</v>
      </c>
      <c r="BM117" s="772">
        <f>J117+AG117</f>
        <v>4378630</v>
      </c>
      <c r="BN117" s="417">
        <f t="shared" ref="BN117:BO121" si="187">K117+AE117</f>
        <v>3745662</v>
      </c>
      <c r="BO117" s="417">
        <f t="shared" si="187"/>
        <v>632968</v>
      </c>
      <c r="BP117" s="417">
        <f>M117+AO117</f>
        <v>0</v>
      </c>
      <c r="BQ117" s="417">
        <f t="shared" ref="BQ117:BR121" si="188">N117+AM117</f>
        <v>0</v>
      </c>
      <c r="BR117" s="417">
        <f t="shared" si="188"/>
        <v>0</v>
      </c>
      <c r="BS117" s="417">
        <f t="shared" ref="BS117:BT121" si="189">P117+AS117</f>
        <v>1479977</v>
      </c>
      <c r="BT117" s="417">
        <f t="shared" si="189"/>
        <v>43786</v>
      </c>
      <c r="BU117" s="417">
        <f>R117+AX117</f>
        <v>112100</v>
      </c>
      <c r="BV117" s="418">
        <f>S117+BK117</f>
        <v>7.745400000000001</v>
      </c>
      <c r="BW117" s="418">
        <f t="shared" ref="BW117:BX121" si="190">T117+BI117</f>
        <v>6.0273000000000003</v>
      </c>
      <c r="BX117" s="420">
        <f t="shared" si="190"/>
        <v>1.7181000000000002</v>
      </c>
      <c r="BY117" s="840"/>
      <c r="BZ117" s="717"/>
      <c r="CA117" s="717"/>
      <c r="CB117" s="717"/>
      <c r="CC117" s="717"/>
      <c r="CD117" s="822"/>
      <c r="CE117" s="1029">
        <v>293403</v>
      </c>
      <c r="CF117" s="1030">
        <v>203112</v>
      </c>
      <c r="CG117" s="1030">
        <v>68652</v>
      </c>
      <c r="CH117" s="1030">
        <v>2031</v>
      </c>
      <c r="CI117" s="1030">
        <v>19608</v>
      </c>
      <c r="CJ117" s="828">
        <v>0.55130000000000001</v>
      </c>
    </row>
    <row r="118" spans="1:88" ht="12.95" customHeight="1">
      <c r="A118" s="280">
        <v>23</v>
      </c>
      <c r="B118" s="212">
        <v>5485</v>
      </c>
      <c r="C118" s="212">
        <v>600099300</v>
      </c>
      <c r="D118" s="281">
        <v>72743174</v>
      </c>
      <c r="E118" s="371" t="s">
        <v>493</v>
      </c>
      <c r="F118" s="212">
        <v>3117</v>
      </c>
      <c r="G118" s="323" t="s">
        <v>291</v>
      </c>
      <c r="H118" s="285" t="s">
        <v>272</v>
      </c>
      <c r="I118" s="419">
        <v>802538</v>
      </c>
      <c r="J118" s="414">
        <v>593686</v>
      </c>
      <c r="K118" s="414">
        <v>593686</v>
      </c>
      <c r="L118" s="414">
        <v>0</v>
      </c>
      <c r="M118" s="414">
        <v>0</v>
      </c>
      <c r="N118" s="414">
        <v>0</v>
      </c>
      <c r="O118" s="414">
        <v>0</v>
      </c>
      <c r="P118" s="68">
        <v>200665</v>
      </c>
      <c r="Q118" s="68">
        <v>5937</v>
      </c>
      <c r="R118" s="414">
        <v>2250</v>
      </c>
      <c r="S118" s="415">
        <v>1.57</v>
      </c>
      <c r="T118" s="415">
        <v>1.57</v>
      </c>
      <c r="U118" s="422">
        <v>0</v>
      </c>
      <c r="V118" s="423">
        <f t="shared" si="109"/>
        <v>0</v>
      </c>
      <c r="W118" s="417">
        <f t="shared" si="109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10"/>
        <v>0</v>
      </c>
      <c r="AF118" s="417">
        <f t="shared" si="111"/>
        <v>0</v>
      </c>
      <c r="AG118" s="417">
        <f t="shared" si="112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13"/>
        <v>0</v>
      </c>
      <c r="AN118" s="417">
        <f t="shared" si="114"/>
        <v>0</v>
      </c>
      <c r="AO118" s="417">
        <f t="shared" si="115"/>
        <v>0</v>
      </c>
      <c r="AP118" s="417">
        <f t="shared" si="116"/>
        <v>0</v>
      </c>
      <c r="AQ118" s="417">
        <f t="shared" si="116"/>
        <v>0</v>
      </c>
      <c r="AR118" s="417">
        <f t="shared" si="117"/>
        <v>0</v>
      </c>
      <c r="AS118" s="68">
        <f t="shared" si="118"/>
        <v>0</v>
      </c>
      <c r="AT118" s="68">
        <f t="shared" si="119"/>
        <v>0</v>
      </c>
      <c r="AU118" s="417">
        <v>0</v>
      </c>
      <c r="AV118" s="417">
        <v>0</v>
      </c>
      <c r="AW118" s="417">
        <v>0</v>
      </c>
      <c r="AX118" s="417">
        <f t="shared" si="120"/>
        <v>0</v>
      </c>
      <c r="AY118" s="417">
        <f t="shared" si="121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22"/>
        <v>0</v>
      </c>
      <c r="BJ118" s="418">
        <f t="shared" si="123"/>
        <v>0</v>
      </c>
      <c r="BK118" s="420">
        <f t="shared" si="124"/>
        <v>0</v>
      </c>
      <c r="BL118" s="772">
        <f>I118+AY118</f>
        <v>802538</v>
      </c>
      <c r="BM118" s="772">
        <f>J118+AG118</f>
        <v>593686</v>
      </c>
      <c r="BN118" s="417">
        <f t="shared" si="187"/>
        <v>593686</v>
      </c>
      <c r="BO118" s="417">
        <f t="shared" si="187"/>
        <v>0</v>
      </c>
      <c r="BP118" s="417">
        <f>M118+AO118</f>
        <v>0</v>
      </c>
      <c r="BQ118" s="417">
        <f t="shared" si="188"/>
        <v>0</v>
      </c>
      <c r="BR118" s="417">
        <f t="shared" si="188"/>
        <v>0</v>
      </c>
      <c r="BS118" s="417">
        <f t="shared" si="189"/>
        <v>200665</v>
      </c>
      <c r="BT118" s="417">
        <f t="shared" si="189"/>
        <v>5937</v>
      </c>
      <c r="BU118" s="417">
        <f>R118+AX118</f>
        <v>2250</v>
      </c>
      <c r="BV118" s="418">
        <f>S118+BK118</f>
        <v>1.57</v>
      </c>
      <c r="BW118" s="418">
        <f t="shared" si="190"/>
        <v>1.57</v>
      </c>
      <c r="BX118" s="420">
        <f t="shared" si="190"/>
        <v>0</v>
      </c>
      <c r="BY118" s="840"/>
      <c r="BZ118" s="717"/>
      <c r="CA118" s="717"/>
      <c r="CB118" s="717"/>
      <c r="CC118" s="717"/>
      <c r="CD118" s="822"/>
      <c r="CE118" s="1029"/>
      <c r="CF118" s="1030"/>
      <c r="CG118" s="1030"/>
      <c r="CH118" s="1030"/>
      <c r="CI118" s="1030"/>
      <c r="CJ118" s="828"/>
    </row>
    <row r="119" spans="1:88" ht="12.95" customHeight="1">
      <c r="A119" s="280">
        <v>23</v>
      </c>
      <c r="B119" s="212">
        <v>5485</v>
      </c>
      <c r="C119" s="212">
        <v>600099300</v>
      </c>
      <c r="D119" s="281">
        <v>72743174</v>
      </c>
      <c r="E119" s="372" t="s">
        <v>493</v>
      </c>
      <c r="F119" s="212">
        <v>3141</v>
      </c>
      <c r="G119" s="373" t="s">
        <v>294</v>
      </c>
      <c r="H119" s="285" t="s">
        <v>272</v>
      </c>
      <c r="I119" s="419">
        <v>291124</v>
      </c>
      <c r="J119" s="414">
        <v>214050</v>
      </c>
      <c r="K119" s="414">
        <v>0</v>
      </c>
      <c r="L119" s="414">
        <v>214050</v>
      </c>
      <c r="M119" s="414">
        <v>0</v>
      </c>
      <c r="N119" s="414">
        <v>0</v>
      </c>
      <c r="O119" s="414">
        <v>0</v>
      </c>
      <c r="P119" s="68">
        <v>72349</v>
      </c>
      <c r="Q119" s="68">
        <v>2141</v>
      </c>
      <c r="R119" s="414">
        <v>2584</v>
      </c>
      <c r="S119" s="415">
        <v>0.63670000000000004</v>
      </c>
      <c r="T119" s="415">
        <v>0</v>
      </c>
      <c r="U119" s="422">
        <v>0.63670000000000004</v>
      </c>
      <c r="V119" s="423">
        <f t="shared" si="109"/>
        <v>0</v>
      </c>
      <c r="W119" s="417">
        <f t="shared" si="109"/>
        <v>0</v>
      </c>
      <c r="X119" s="417">
        <v>0</v>
      </c>
      <c r="Y119" s="417">
        <v>0</v>
      </c>
      <c r="Z119" s="417">
        <v>0</v>
      </c>
      <c r="AA119" s="417">
        <v>-2119</v>
      </c>
      <c r="AB119" s="417">
        <v>0</v>
      </c>
      <c r="AC119" s="417">
        <v>0</v>
      </c>
      <c r="AD119" s="417">
        <v>0</v>
      </c>
      <c r="AE119" s="417">
        <f t="shared" si="110"/>
        <v>0</v>
      </c>
      <c r="AF119" s="417">
        <f t="shared" si="111"/>
        <v>-2119</v>
      </c>
      <c r="AG119" s="417">
        <f t="shared" si="112"/>
        <v>-2119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13"/>
        <v>0</v>
      </c>
      <c r="AN119" s="417">
        <f t="shared" si="114"/>
        <v>0</v>
      </c>
      <c r="AO119" s="417">
        <f t="shared" si="115"/>
        <v>0</v>
      </c>
      <c r="AP119" s="417">
        <f t="shared" si="116"/>
        <v>0</v>
      </c>
      <c r="AQ119" s="417">
        <f t="shared" si="116"/>
        <v>-2119</v>
      </c>
      <c r="AR119" s="417">
        <f t="shared" si="117"/>
        <v>-2119</v>
      </c>
      <c r="AS119" s="68">
        <f t="shared" si="118"/>
        <v>-716</v>
      </c>
      <c r="AT119" s="68">
        <f t="shared" si="119"/>
        <v>-21</v>
      </c>
      <c r="AU119" s="417">
        <v>0</v>
      </c>
      <c r="AV119" s="417">
        <v>0</v>
      </c>
      <c r="AW119" s="417">
        <v>0</v>
      </c>
      <c r="AX119" s="417">
        <f t="shared" si="120"/>
        <v>0</v>
      </c>
      <c r="AY119" s="417">
        <f t="shared" si="121"/>
        <v>-2856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22"/>
        <v>0</v>
      </c>
      <c r="BJ119" s="418">
        <f t="shared" si="123"/>
        <v>0</v>
      </c>
      <c r="BK119" s="420">
        <f t="shared" si="124"/>
        <v>0</v>
      </c>
      <c r="BL119" s="772">
        <f>I119+AY119</f>
        <v>288268</v>
      </c>
      <c r="BM119" s="772">
        <f>J119+AG119</f>
        <v>211931</v>
      </c>
      <c r="BN119" s="417">
        <f t="shared" si="187"/>
        <v>0</v>
      </c>
      <c r="BO119" s="417">
        <f t="shared" si="187"/>
        <v>211931</v>
      </c>
      <c r="BP119" s="417">
        <f>M119+AO119</f>
        <v>0</v>
      </c>
      <c r="BQ119" s="417">
        <f t="shared" si="188"/>
        <v>0</v>
      </c>
      <c r="BR119" s="417">
        <f t="shared" si="188"/>
        <v>0</v>
      </c>
      <c r="BS119" s="417">
        <f t="shared" si="189"/>
        <v>71633</v>
      </c>
      <c r="BT119" s="417">
        <f t="shared" si="189"/>
        <v>2120</v>
      </c>
      <c r="BU119" s="417">
        <f>R119+AX119</f>
        <v>2584</v>
      </c>
      <c r="BV119" s="418">
        <f>S119+BK119</f>
        <v>0.63670000000000004</v>
      </c>
      <c r="BW119" s="418">
        <f t="shared" si="190"/>
        <v>0</v>
      </c>
      <c r="BX119" s="420">
        <f t="shared" si="190"/>
        <v>0.63670000000000004</v>
      </c>
      <c r="BY119" s="840"/>
      <c r="BZ119" s="717"/>
      <c r="CA119" s="717"/>
      <c r="CB119" s="717"/>
      <c r="CC119" s="717"/>
      <c r="CD119" s="822"/>
      <c r="CE119" s="1029"/>
      <c r="CF119" s="1030"/>
      <c r="CG119" s="1030"/>
      <c r="CH119" s="1030"/>
      <c r="CI119" s="1030"/>
      <c r="CJ119" s="828"/>
    </row>
    <row r="120" spans="1:88" ht="12.95" customHeight="1">
      <c r="A120" s="280">
        <v>23</v>
      </c>
      <c r="B120" s="212">
        <v>5485</v>
      </c>
      <c r="C120" s="212">
        <v>600099300</v>
      </c>
      <c r="D120" s="281">
        <v>72743174</v>
      </c>
      <c r="E120" s="371" t="s">
        <v>493</v>
      </c>
      <c r="F120" s="382">
        <v>3143</v>
      </c>
      <c r="G120" s="323" t="s">
        <v>595</v>
      </c>
      <c r="H120" s="285" t="s">
        <v>271</v>
      </c>
      <c r="I120" s="419">
        <v>933644</v>
      </c>
      <c r="J120" s="414">
        <v>692614</v>
      </c>
      <c r="K120" s="414">
        <v>692614</v>
      </c>
      <c r="L120" s="414">
        <v>0</v>
      </c>
      <c r="M120" s="414">
        <v>0</v>
      </c>
      <c r="N120" s="414">
        <v>0</v>
      </c>
      <c r="O120" s="414">
        <v>0</v>
      </c>
      <c r="P120" s="68">
        <v>234104</v>
      </c>
      <c r="Q120" s="68">
        <v>6926</v>
      </c>
      <c r="R120" s="414">
        <v>0</v>
      </c>
      <c r="S120" s="415">
        <v>1.35</v>
      </c>
      <c r="T120" s="415">
        <v>1.35</v>
      </c>
      <c r="U120" s="422">
        <v>0</v>
      </c>
      <c r="V120" s="423">
        <f t="shared" si="109"/>
        <v>0</v>
      </c>
      <c r="W120" s="417">
        <f t="shared" si="109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110"/>
        <v>0</v>
      </c>
      <c r="AF120" s="417">
        <f t="shared" si="111"/>
        <v>0</v>
      </c>
      <c r="AG120" s="417">
        <f t="shared" si="112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13"/>
        <v>0</v>
      </c>
      <c r="AN120" s="417">
        <f t="shared" si="114"/>
        <v>0</v>
      </c>
      <c r="AO120" s="417">
        <f t="shared" si="115"/>
        <v>0</v>
      </c>
      <c r="AP120" s="417">
        <f t="shared" si="116"/>
        <v>0</v>
      </c>
      <c r="AQ120" s="417">
        <f t="shared" si="116"/>
        <v>0</v>
      </c>
      <c r="AR120" s="417">
        <f t="shared" si="117"/>
        <v>0</v>
      </c>
      <c r="AS120" s="68">
        <f t="shared" si="118"/>
        <v>0</v>
      </c>
      <c r="AT120" s="68">
        <f t="shared" si="119"/>
        <v>0</v>
      </c>
      <c r="AU120" s="417">
        <v>0</v>
      </c>
      <c r="AV120" s="417">
        <v>0</v>
      </c>
      <c r="AW120" s="417">
        <v>0</v>
      </c>
      <c r="AX120" s="417">
        <f t="shared" si="120"/>
        <v>0</v>
      </c>
      <c r="AY120" s="417">
        <f t="shared" si="121"/>
        <v>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22"/>
        <v>0</v>
      </c>
      <c r="BJ120" s="418">
        <f t="shared" si="123"/>
        <v>0</v>
      </c>
      <c r="BK120" s="420">
        <f t="shared" si="124"/>
        <v>0</v>
      </c>
      <c r="BL120" s="772">
        <f>I120+AY120</f>
        <v>933644</v>
      </c>
      <c r="BM120" s="772">
        <f>J120+AG120</f>
        <v>692614</v>
      </c>
      <c r="BN120" s="417">
        <f t="shared" si="187"/>
        <v>692614</v>
      </c>
      <c r="BO120" s="417">
        <f t="shared" si="187"/>
        <v>0</v>
      </c>
      <c r="BP120" s="417">
        <f>M120+AO120</f>
        <v>0</v>
      </c>
      <c r="BQ120" s="417">
        <f t="shared" si="188"/>
        <v>0</v>
      </c>
      <c r="BR120" s="417">
        <f t="shared" si="188"/>
        <v>0</v>
      </c>
      <c r="BS120" s="417">
        <f t="shared" si="189"/>
        <v>234104</v>
      </c>
      <c r="BT120" s="417">
        <f t="shared" si="189"/>
        <v>6926</v>
      </c>
      <c r="BU120" s="417">
        <f>R120+AX120</f>
        <v>0</v>
      </c>
      <c r="BV120" s="418">
        <f>S120+BK120</f>
        <v>1.35</v>
      </c>
      <c r="BW120" s="418">
        <f t="shared" si="190"/>
        <v>1.35</v>
      </c>
      <c r="BX120" s="420">
        <f t="shared" si="190"/>
        <v>0</v>
      </c>
      <c r="BY120" s="840"/>
      <c r="BZ120" s="717"/>
      <c r="CA120" s="717"/>
      <c r="CB120" s="717"/>
      <c r="CC120" s="717"/>
      <c r="CD120" s="822"/>
      <c r="CE120" s="1029"/>
      <c r="CF120" s="1030"/>
      <c r="CG120" s="1030"/>
      <c r="CH120" s="1030"/>
      <c r="CI120" s="1030"/>
      <c r="CJ120" s="828"/>
    </row>
    <row r="121" spans="1:88" ht="12.95" customHeight="1">
      <c r="A121" s="280">
        <v>23</v>
      </c>
      <c r="B121" s="212">
        <v>5485</v>
      </c>
      <c r="C121" s="212">
        <v>600099300</v>
      </c>
      <c r="D121" s="281">
        <v>72743174</v>
      </c>
      <c r="E121" s="371" t="s">
        <v>493</v>
      </c>
      <c r="F121" s="382">
        <v>3143</v>
      </c>
      <c r="G121" s="323" t="s">
        <v>596</v>
      </c>
      <c r="H121" s="285" t="s">
        <v>272</v>
      </c>
      <c r="I121" s="419">
        <v>46104</v>
      </c>
      <c r="J121" s="414">
        <v>33000</v>
      </c>
      <c r="K121" s="414">
        <v>0</v>
      </c>
      <c r="L121" s="414">
        <v>33000</v>
      </c>
      <c r="M121" s="414">
        <v>0</v>
      </c>
      <c r="N121" s="414">
        <v>0</v>
      </c>
      <c r="O121" s="414">
        <v>0</v>
      </c>
      <c r="P121" s="68">
        <v>11154</v>
      </c>
      <c r="Q121" s="68">
        <v>330</v>
      </c>
      <c r="R121" s="414">
        <v>1620</v>
      </c>
      <c r="S121" s="415">
        <v>0.12329999999999999</v>
      </c>
      <c r="T121" s="415">
        <v>0</v>
      </c>
      <c r="U121" s="422">
        <v>0.12329999999999999</v>
      </c>
      <c r="V121" s="423">
        <f t="shared" si="109"/>
        <v>0</v>
      </c>
      <c r="W121" s="417">
        <f t="shared" si="109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110"/>
        <v>0</v>
      </c>
      <c r="AF121" s="417">
        <f t="shared" si="111"/>
        <v>0</v>
      </c>
      <c r="AG121" s="417">
        <f t="shared" si="112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13"/>
        <v>0</v>
      </c>
      <c r="AN121" s="417">
        <f t="shared" si="114"/>
        <v>0</v>
      </c>
      <c r="AO121" s="417">
        <f t="shared" si="115"/>
        <v>0</v>
      </c>
      <c r="AP121" s="417">
        <f t="shared" si="116"/>
        <v>0</v>
      </c>
      <c r="AQ121" s="417">
        <f t="shared" si="116"/>
        <v>0</v>
      </c>
      <c r="AR121" s="417">
        <f t="shared" si="117"/>
        <v>0</v>
      </c>
      <c r="AS121" s="68">
        <f t="shared" si="118"/>
        <v>0</v>
      </c>
      <c r="AT121" s="68">
        <f t="shared" si="119"/>
        <v>0</v>
      </c>
      <c r="AU121" s="417">
        <v>0</v>
      </c>
      <c r="AV121" s="417">
        <v>0</v>
      </c>
      <c r="AW121" s="417">
        <v>0</v>
      </c>
      <c r="AX121" s="417">
        <f t="shared" si="120"/>
        <v>0</v>
      </c>
      <c r="AY121" s="417">
        <f t="shared" si="121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22"/>
        <v>0</v>
      </c>
      <c r="BJ121" s="418">
        <f t="shared" si="123"/>
        <v>0</v>
      </c>
      <c r="BK121" s="420">
        <f t="shared" si="124"/>
        <v>0</v>
      </c>
      <c r="BL121" s="772">
        <f>I121+AY121</f>
        <v>46104</v>
      </c>
      <c r="BM121" s="772">
        <f>J121+AG121</f>
        <v>33000</v>
      </c>
      <c r="BN121" s="417">
        <f t="shared" si="187"/>
        <v>0</v>
      </c>
      <c r="BO121" s="417">
        <f t="shared" si="187"/>
        <v>33000</v>
      </c>
      <c r="BP121" s="417">
        <f>M121+AO121</f>
        <v>0</v>
      </c>
      <c r="BQ121" s="417">
        <f t="shared" si="188"/>
        <v>0</v>
      </c>
      <c r="BR121" s="417">
        <f t="shared" si="188"/>
        <v>0</v>
      </c>
      <c r="BS121" s="417">
        <f t="shared" si="189"/>
        <v>11154</v>
      </c>
      <c r="BT121" s="417">
        <f t="shared" si="189"/>
        <v>330</v>
      </c>
      <c r="BU121" s="417">
        <f>R121+AX121</f>
        <v>1620</v>
      </c>
      <c r="BV121" s="418">
        <f>S121+BK121</f>
        <v>0.12329999999999999</v>
      </c>
      <c r="BW121" s="418">
        <f t="shared" si="190"/>
        <v>0</v>
      </c>
      <c r="BX121" s="420">
        <f t="shared" si="190"/>
        <v>0.12329999999999999</v>
      </c>
      <c r="BY121" s="840"/>
      <c r="BZ121" s="717"/>
      <c r="CA121" s="717"/>
      <c r="CB121" s="717"/>
      <c r="CC121" s="717"/>
      <c r="CD121" s="822"/>
      <c r="CE121" s="1029"/>
      <c r="CF121" s="1030"/>
      <c r="CG121" s="1030"/>
      <c r="CH121" s="1030"/>
      <c r="CI121" s="1030"/>
      <c r="CJ121" s="828"/>
    </row>
    <row r="122" spans="1:88" ht="12.95" customHeight="1">
      <c r="A122" s="213">
        <v>23</v>
      </c>
      <c r="B122" s="46">
        <v>5485</v>
      </c>
      <c r="C122" s="46">
        <v>600099300</v>
      </c>
      <c r="D122" s="46">
        <v>72743174</v>
      </c>
      <c r="E122" s="383" t="s">
        <v>494</v>
      </c>
      <c r="F122" s="388"/>
      <c r="G122" s="387"/>
      <c r="H122" s="185"/>
      <c r="I122" s="464">
        <v>8087903</v>
      </c>
      <c r="J122" s="460">
        <v>5911980</v>
      </c>
      <c r="K122" s="460">
        <v>5031962</v>
      </c>
      <c r="L122" s="460">
        <v>880018</v>
      </c>
      <c r="M122" s="460">
        <v>0</v>
      </c>
      <c r="N122" s="460">
        <v>0</v>
      </c>
      <c r="O122" s="460">
        <v>0</v>
      </c>
      <c r="P122" s="460">
        <v>1998249</v>
      </c>
      <c r="Q122" s="460">
        <v>59120</v>
      </c>
      <c r="R122" s="460">
        <v>118554</v>
      </c>
      <c r="S122" s="461">
        <v>11.4254</v>
      </c>
      <c r="T122" s="461">
        <v>8.9473000000000003</v>
      </c>
      <c r="U122" s="534">
        <v>2.4781</v>
      </c>
      <c r="V122" s="464">
        <f t="shared" ref="V122:BK122" si="191">SUM(V117:V121)</f>
        <v>0</v>
      </c>
      <c r="W122" s="460">
        <f t="shared" si="191"/>
        <v>0</v>
      </c>
      <c r="X122" s="460">
        <f t="shared" si="191"/>
        <v>0</v>
      </c>
      <c r="Y122" s="460">
        <f t="shared" si="191"/>
        <v>0</v>
      </c>
      <c r="Z122" s="460">
        <f t="shared" si="191"/>
        <v>0</v>
      </c>
      <c r="AA122" s="460">
        <f t="shared" si="191"/>
        <v>-2119</v>
      </c>
      <c r="AB122" s="460">
        <f t="shared" si="191"/>
        <v>0</v>
      </c>
      <c r="AC122" s="460">
        <f t="shared" si="191"/>
        <v>0</v>
      </c>
      <c r="AD122" s="460">
        <f t="shared" si="191"/>
        <v>0</v>
      </c>
      <c r="AE122" s="460">
        <f t="shared" si="191"/>
        <v>0</v>
      </c>
      <c r="AF122" s="460">
        <f t="shared" si="191"/>
        <v>-2119</v>
      </c>
      <c r="AG122" s="460">
        <f t="shared" si="191"/>
        <v>-2119</v>
      </c>
      <c r="AH122" s="460">
        <f t="shared" si="191"/>
        <v>0</v>
      </c>
      <c r="AI122" s="460">
        <f t="shared" si="191"/>
        <v>0</v>
      </c>
      <c r="AJ122" s="460">
        <f t="shared" si="191"/>
        <v>0</v>
      </c>
      <c r="AK122" s="460">
        <f t="shared" si="191"/>
        <v>0</v>
      </c>
      <c r="AL122" s="460">
        <f t="shared" si="191"/>
        <v>0</v>
      </c>
      <c r="AM122" s="460">
        <f t="shared" si="191"/>
        <v>0</v>
      </c>
      <c r="AN122" s="460">
        <f t="shared" si="191"/>
        <v>0</v>
      </c>
      <c r="AO122" s="460">
        <f t="shared" si="191"/>
        <v>0</v>
      </c>
      <c r="AP122" s="460">
        <f t="shared" si="191"/>
        <v>0</v>
      </c>
      <c r="AQ122" s="460">
        <f t="shared" si="191"/>
        <v>-2119</v>
      </c>
      <c r="AR122" s="460">
        <f t="shared" si="191"/>
        <v>-2119</v>
      </c>
      <c r="AS122" s="460">
        <f t="shared" si="191"/>
        <v>-716</v>
      </c>
      <c r="AT122" s="460">
        <f t="shared" si="191"/>
        <v>-21</v>
      </c>
      <c r="AU122" s="460">
        <f t="shared" si="191"/>
        <v>0</v>
      </c>
      <c r="AV122" s="460">
        <f t="shared" si="191"/>
        <v>0</v>
      </c>
      <c r="AW122" s="460">
        <f t="shared" si="191"/>
        <v>0</v>
      </c>
      <c r="AX122" s="460">
        <f t="shared" si="191"/>
        <v>0</v>
      </c>
      <c r="AY122" s="460">
        <f t="shared" si="191"/>
        <v>-2856</v>
      </c>
      <c r="AZ122" s="461">
        <f t="shared" si="191"/>
        <v>0</v>
      </c>
      <c r="BA122" s="461">
        <f t="shared" si="191"/>
        <v>0</v>
      </c>
      <c r="BB122" s="461">
        <f t="shared" si="191"/>
        <v>0</v>
      </c>
      <c r="BC122" s="461">
        <f t="shared" si="191"/>
        <v>0</v>
      </c>
      <c r="BD122" s="461">
        <f t="shared" si="191"/>
        <v>0</v>
      </c>
      <c r="BE122" s="461">
        <f t="shared" si="191"/>
        <v>0</v>
      </c>
      <c r="BF122" s="461">
        <f t="shared" si="191"/>
        <v>0</v>
      </c>
      <c r="BG122" s="461">
        <f t="shared" si="191"/>
        <v>0</v>
      </c>
      <c r="BH122" s="461">
        <f t="shared" si="191"/>
        <v>0</v>
      </c>
      <c r="BI122" s="461">
        <f t="shared" si="191"/>
        <v>0</v>
      </c>
      <c r="BJ122" s="461">
        <f t="shared" si="191"/>
        <v>0</v>
      </c>
      <c r="BK122" s="279">
        <f t="shared" si="191"/>
        <v>0</v>
      </c>
      <c r="BL122" s="1075">
        <f t="shared" ref="BL122:CG122" si="192">SUM(BL117:BL121)</f>
        <v>8085047</v>
      </c>
      <c r="BM122" s="1075">
        <f t="shared" si="192"/>
        <v>5909861</v>
      </c>
      <c r="BN122" s="460">
        <f t="shared" si="192"/>
        <v>5031962</v>
      </c>
      <c r="BO122" s="460">
        <f t="shared" si="192"/>
        <v>877899</v>
      </c>
      <c r="BP122" s="460">
        <f t="shared" si="192"/>
        <v>0</v>
      </c>
      <c r="BQ122" s="460">
        <f t="shared" si="192"/>
        <v>0</v>
      </c>
      <c r="BR122" s="460">
        <f t="shared" si="192"/>
        <v>0</v>
      </c>
      <c r="BS122" s="460">
        <f t="shared" si="192"/>
        <v>1997533</v>
      </c>
      <c r="BT122" s="460">
        <f t="shared" si="192"/>
        <v>59099</v>
      </c>
      <c r="BU122" s="460">
        <f t="shared" si="192"/>
        <v>118554</v>
      </c>
      <c r="BV122" s="461">
        <f t="shared" si="192"/>
        <v>11.4254</v>
      </c>
      <c r="BW122" s="461">
        <f t="shared" si="192"/>
        <v>8.9473000000000003</v>
      </c>
      <c r="BX122" s="279">
        <f t="shared" si="192"/>
        <v>2.4781</v>
      </c>
      <c r="BY122" s="940">
        <f t="shared" si="192"/>
        <v>0</v>
      </c>
      <c r="BZ122" s="707">
        <f t="shared" si="192"/>
        <v>0</v>
      </c>
      <c r="CA122" s="707">
        <f t="shared" si="192"/>
        <v>0</v>
      </c>
      <c r="CB122" s="707">
        <f t="shared" si="192"/>
        <v>0</v>
      </c>
      <c r="CC122" s="707">
        <f t="shared" si="192"/>
        <v>0</v>
      </c>
      <c r="CD122" s="819">
        <f t="shared" si="192"/>
        <v>0</v>
      </c>
      <c r="CE122" s="1024">
        <f t="shared" si="192"/>
        <v>293403</v>
      </c>
      <c r="CF122" s="1024">
        <f t="shared" si="192"/>
        <v>203112</v>
      </c>
      <c r="CG122" s="1024">
        <f t="shared" si="192"/>
        <v>68652</v>
      </c>
      <c r="CH122" s="1024">
        <f t="shared" ref="CH122:CJ122" si="193">SUM(CH117:CH121)</f>
        <v>2031</v>
      </c>
      <c r="CI122" s="1024">
        <f t="shared" si="193"/>
        <v>19608</v>
      </c>
      <c r="CJ122" s="933">
        <f t="shared" si="193"/>
        <v>0.55130000000000001</v>
      </c>
    </row>
    <row r="123" spans="1:88" ht="12.95" customHeight="1">
      <c r="A123" s="280">
        <v>24</v>
      </c>
      <c r="B123" s="212">
        <v>5434</v>
      </c>
      <c r="C123" s="212">
        <v>600098923</v>
      </c>
      <c r="D123" s="281">
        <v>70695318</v>
      </c>
      <c r="E123" s="372" t="s">
        <v>495</v>
      </c>
      <c r="F123" s="212">
        <v>3111</v>
      </c>
      <c r="G123" s="373" t="s">
        <v>304</v>
      </c>
      <c r="H123" s="285" t="s">
        <v>271</v>
      </c>
      <c r="I123" s="419">
        <v>3624439</v>
      </c>
      <c r="J123" s="414">
        <v>2672952</v>
      </c>
      <c r="K123" s="414">
        <v>2326751</v>
      </c>
      <c r="L123" s="414">
        <v>346201</v>
      </c>
      <c r="M123" s="414">
        <v>0</v>
      </c>
      <c r="N123" s="414">
        <v>0</v>
      </c>
      <c r="O123" s="414">
        <v>0</v>
      </c>
      <c r="P123" s="68">
        <v>903457</v>
      </c>
      <c r="Q123" s="68">
        <v>26730</v>
      </c>
      <c r="R123" s="414">
        <v>21300</v>
      </c>
      <c r="S123" s="415">
        <v>5.1781000000000006</v>
      </c>
      <c r="T123" s="415">
        <v>4</v>
      </c>
      <c r="U123" s="422">
        <v>1.1781000000000001</v>
      </c>
      <c r="V123" s="423">
        <f t="shared" si="109"/>
        <v>0</v>
      </c>
      <c r="W123" s="417">
        <f t="shared" si="109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10"/>
        <v>0</v>
      </c>
      <c r="AF123" s="417">
        <f t="shared" si="111"/>
        <v>0</v>
      </c>
      <c r="AG123" s="417">
        <f t="shared" si="112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13"/>
        <v>0</v>
      </c>
      <c r="AN123" s="417">
        <f t="shared" si="114"/>
        <v>0</v>
      </c>
      <c r="AO123" s="417">
        <f t="shared" si="115"/>
        <v>0</v>
      </c>
      <c r="AP123" s="417">
        <f t="shared" si="116"/>
        <v>0</v>
      </c>
      <c r="AQ123" s="417">
        <f t="shared" si="116"/>
        <v>0</v>
      </c>
      <c r="AR123" s="417">
        <f t="shared" si="117"/>
        <v>0</v>
      </c>
      <c r="AS123" s="68">
        <f t="shared" si="118"/>
        <v>0</v>
      </c>
      <c r="AT123" s="68">
        <f t="shared" si="119"/>
        <v>0</v>
      </c>
      <c r="AU123" s="417">
        <v>0</v>
      </c>
      <c r="AV123" s="417">
        <v>0</v>
      </c>
      <c r="AW123" s="417">
        <v>0</v>
      </c>
      <c r="AX123" s="417">
        <f t="shared" si="120"/>
        <v>0</v>
      </c>
      <c r="AY123" s="417">
        <f t="shared" si="121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22"/>
        <v>0</v>
      </c>
      <c r="BJ123" s="418">
        <f t="shared" si="123"/>
        <v>0</v>
      </c>
      <c r="BK123" s="420">
        <f t="shared" si="124"/>
        <v>0</v>
      </c>
      <c r="BL123" s="772">
        <f>I123+AY123</f>
        <v>3624439</v>
      </c>
      <c r="BM123" s="772">
        <f>J123+AG123</f>
        <v>2672952</v>
      </c>
      <c r="BN123" s="417">
        <f t="shared" ref="BN123:BO125" si="194">K123+AE123</f>
        <v>2326751</v>
      </c>
      <c r="BO123" s="417">
        <f t="shared" si="194"/>
        <v>346201</v>
      </c>
      <c r="BP123" s="417">
        <f>M123+AO123</f>
        <v>0</v>
      </c>
      <c r="BQ123" s="417">
        <f t="shared" ref="BQ123:BR125" si="195">N123+AM123</f>
        <v>0</v>
      </c>
      <c r="BR123" s="417">
        <f t="shared" si="195"/>
        <v>0</v>
      </c>
      <c r="BS123" s="417">
        <f t="shared" ref="BS123:BT125" si="196">P123+AS123</f>
        <v>903457</v>
      </c>
      <c r="BT123" s="417">
        <f t="shared" si="196"/>
        <v>26730</v>
      </c>
      <c r="BU123" s="417">
        <f>R123+AX123</f>
        <v>21300</v>
      </c>
      <c r="BV123" s="418">
        <f>S123+BK123</f>
        <v>5.1781000000000006</v>
      </c>
      <c r="BW123" s="418">
        <f t="shared" ref="BW123:BX125" si="197">T123+BI123</f>
        <v>4</v>
      </c>
      <c r="BX123" s="420">
        <f t="shared" si="197"/>
        <v>1.1781000000000001</v>
      </c>
      <c r="BY123" s="840"/>
      <c r="BZ123" s="717"/>
      <c r="CA123" s="717"/>
      <c r="CB123" s="717"/>
      <c r="CC123" s="717"/>
      <c r="CD123" s="822"/>
      <c r="CE123" s="1029">
        <v>156823</v>
      </c>
      <c r="CF123" s="1030">
        <v>111081</v>
      </c>
      <c r="CG123" s="1030">
        <v>37545</v>
      </c>
      <c r="CH123" s="1030">
        <v>1111</v>
      </c>
      <c r="CI123" s="1030">
        <v>7086</v>
      </c>
      <c r="CJ123" s="828">
        <v>0.378</v>
      </c>
    </row>
    <row r="124" spans="1:88" ht="12.95" customHeight="1">
      <c r="A124" s="280">
        <v>24</v>
      </c>
      <c r="B124" s="212">
        <v>5434</v>
      </c>
      <c r="C124" s="212">
        <v>600098923</v>
      </c>
      <c r="D124" s="281">
        <v>70695318</v>
      </c>
      <c r="E124" s="371" t="s">
        <v>495</v>
      </c>
      <c r="F124" s="212">
        <v>3111</v>
      </c>
      <c r="G124" s="323" t="s">
        <v>291</v>
      </c>
      <c r="H124" s="285" t="s">
        <v>272</v>
      </c>
      <c r="I124" s="419">
        <v>712739</v>
      </c>
      <c r="J124" s="414">
        <v>528738</v>
      </c>
      <c r="K124" s="414">
        <v>528738</v>
      </c>
      <c r="L124" s="414">
        <v>0</v>
      </c>
      <c r="M124" s="414">
        <v>0</v>
      </c>
      <c r="N124" s="414">
        <v>0</v>
      </c>
      <c r="O124" s="414">
        <v>0</v>
      </c>
      <c r="P124" s="68">
        <v>178714</v>
      </c>
      <c r="Q124" s="68">
        <v>5287</v>
      </c>
      <c r="R124" s="414">
        <v>0</v>
      </c>
      <c r="S124" s="415">
        <v>1.43</v>
      </c>
      <c r="T124" s="415">
        <v>1.43</v>
      </c>
      <c r="U124" s="422">
        <v>0</v>
      </c>
      <c r="V124" s="423">
        <f t="shared" si="109"/>
        <v>0</v>
      </c>
      <c r="W124" s="417">
        <f t="shared" si="109"/>
        <v>0</v>
      </c>
      <c r="X124" s="417">
        <v>0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 t="shared" si="110"/>
        <v>0</v>
      </c>
      <c r="AF124" s="417">
        <f t="shared" si="111"/>
        <v>0</v>
      </c>
      <c r="AG124" s="417">
        <f t="shared" si="112"/>
        <v>0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13"/>
        <v>0</v>
      </c>
      <c r="AN124" s="417">
        <f t="shared" si="114"/>
        <v>0</v>
      </c>
      <c r="AO124" s="417">
        <f t="shared" si="115"/>
        <v>0</v>
      </c>
      <c r="AP124" s="417">
        <f t="shared" si="116"/>
        <v>0</v>
      </c>
      <c r="AQ124" s="417">
        <f t="shared" si="116"/>
        <v>0</v>
      </c>
      <c r="AR124" s="417">
        <f t="shared" si="117"/>
        <v>0</v>
      </c>
      <c r="AS124" s="68">
        <f t="shared" si="118"/>
        <v>0</v>
      </c>
      <c r="AT124" s="68">
        <f t="shared" si="119"/>
        <v>0</v>
      </c>
      <c r="AU124" s="417">
        <v>0</v>
      </c>
      <c r="AV124" s="417">
        <v>0</v>
      </c>
      <c r="AW124" s="417">
        <v>0</v>
      </c>
      <c r="AX124" s="417">
        <f t="shared" si="120"/>
        <v>0</v>
      </c>
      <c r="AY124" s="417">
        <f t="shared" si="121"/>
        <v>0</v>
      </c>
      <c r="AZ124" s="418">
        <v>0</v>
      </c>
      <c r="BA124" s="418">
        <v>0</v>
      </c>
      <c r="BB124" s="418">
        <v>0</v>
      </c>
      <c r="BC124" s="418">
        <v>0</v>
      </c>
      <c r="BD124" s="418">
        <v>0</v>
      </c>
      <c r="BE124" s="418">
        <v>0</v>
      </c>
      <c r="BF124" s="418">
        <v>0</v>
      </c>
      <c r="BG124" s="418">
        <v>0</v>
      </c>
      <c r="BH124" s="418">
        <v>0</v>
      </c>
      <c r="BI124" s="418">
        <f t="shared" si="122"/>
        <v>0</v>
      </c>
      <c r="BJ124" s="418">
        <f t="shared" si="123"/>
        <v>0</v>
      </c>
      <c r="BK124" s="420">
        <f t="shared" si="124"/>
        <v>0</v>
      </c>
      <c r="BL124" s="772">
        <f>I124+AY124</f>
        <v>712739</v>
      </c>
      <c r="BM124" s="772">
        <f>J124+AG124</f>
        <v>528738</v>
      </c>
      <c r="BN124" s="417">
        <f t="shared" si="194"/>
        <v>528738</v>
      </c>
      <c r="BO124" s="417">
        <f t="shared" si="194"/>
        <v>0</v>
      </c>
      <c r="BP124" s="417">
        <f>M124+AO124</f>
        <v>0</v>
      </c>
      <c r="BQ124" s="417">
        <f t="shared" si="195"/>
        <v>0</v>
      </c>
      <c r="BR124" s="417">
        <f t="shared" si="195"/>
        <v>0</v>
      </c>
      <c r="BS124" s="417">
        <f t="shared" si="196"/>
        <v>178714</v>
      </c>
      <c r="BT124" s="417">
        <f t="shared" si="196"/>
        <v>5287</v>
      </c>
      <c r="BU124" s="417">
        <f>R124+AX124</f>
        <v>0</v>
      </c>
      <c r="BV124" s="418">
        <f>S124+BK124</f>
        <v>1.43</v>
      </c>
      <c r="BW124" s="418">
        <f t="shared" si="197"/>
        <v>1.43</v>
      </c>
      <c r="BX124" s="420">
        <f t="shared" si="197"/>
        <v>0</v>
      </c>
      <c r="BY124" s="840"/>
      <c r="BZ124" s="717"/>
      <c r="CA124" s="717"/>
      <c r="CB124" s="717"/>
      <c r="CC124" s="717"/>
      <c r="CD124" s="822"/>
      <c r="CE124" s="1029"/>
      <c r="CF124" s="1030"/>
      <c r="CG124" s="1030"/>
      <c r="CH124" s="1030"/>
      <c r="CI124" s="1030"/>
      <c r="CJ124" s="828"/>
    </row>
    <row r="125" spans="1:88" ht="12.75" customHeight="1">
      <c r="A125" s="280">
        <v>24</v>
      </c>
      <c r="B125" s="212">
        <v>5434</v>
      </c>
      <c r="C125" s="212">
        <v>600098923</v>
      </c>
      <c r="D125" s="281">
        <v>70695318</v>
      </c>
      <c r="E125" s="371" t="s">
        <v>495</v>
      </c>
      <c r="F125" s="382">
        <v>3141</v>
      </c>
      <c r="G125" s="373" t="s">
        <v>294</v>
      </c>
      <c r="H125" s="285" t="s">
        <v>272</v>
      </c>
      <c r="I125" s="419">
        <v>616850</v>
      </c>
      <c r="J125" s="414">
        <v>455983</v>
      </c>
      <c r="K125" s="414">
        <v>0</v>
      </c>
      <c r="L125" s="414">
        <v>455983</v>
      </c>
      <c r="M125" s="414">
        <v>0</v>
      </c>
      <c r="N125" s="414">
        <v>0</v>
      </c>
      <c r="O125" s="414">
        <v>0</v>
      </c>
      <c r="P125" s="68">
        <v>154123</v>
      </c>
      <c r="Q125" s="68">
        <v>4560</v>
      </c>
      <c r="R125" s="414">
        <v>2184</v>
      </c>
      <c r="S125" s="415">
        <v>1.3733</v>
      </c>
      <c r="T125" s="415">
        <v>0</v>
      </c>
      <c r="U125" s="422">
        <v>1.3733</v>
      </c>
      <c r="V125" s="423">
        <f t="shared" si="109"/>
        <v>0</v>
      </c>
      <c r="W125" s="417">
        <f t="shared" si="109"/>
        <v>0</v>
      </c>
      <c r="X125" s="417">
        <v>0</v>
      </c>
      <c r="Y125" s="417">
        <v>0</v>
      </c>
      <c r="Z125" s="417">
        <v>0</v>
      </c>
      <c r="AA125" s="417">
        <v>-5102</v>
      </c>
      <c r="AB125" s="417">
        <v>0</v>
      </c>
      <c r="AC125" s="417">
        <v>0</v>
      </c>
      <c r="AD125" s="417">
        <v>0</v>
      </c>
      <c r="AE125" s="417">
        <f t="shared" si="110"/>
        <v>0</v>
      </c>
      <c r="AF125" s="417">
        <f t="shared" si="111"/>
        <v>-5102</v>
      </c>
      <c r="AG125" s="417">
        <f t="shared" si="112"/>
        <v>-5102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13"/>
        <v>0</v>
      </c>
      <c r="AN125" s="417">
        <f t="shared" si="114"/>
        <v>0</v>
      </c>
      <c r="AO125" s="417">
        <f t="shared" si="115"/>
        <v>0</v>
      </c>
      <c r="AP125" s="417">
        <f t="shared" si="116"/>
        <v>0</v>
      </c>
      <c r="AQ125" s="417">
        <f t="shared" si="116"/>
        <v>-5102</v>
      </c>
      <c r="AR125" s="417">
        <f t="shared" si="117"/>
        <v>-5102</v>
      </c>
      <c r="AS125" s="68">
        <f t="shared" si="118"/>
        <v>-1724</v>
      </c>
      <c r="AT125" s="68">
        <f t="shared" si="119"/>
        <v>-51</v>
      </c>
      <c r="AU125" s="417">
        <v>0</v>
      </c>
      <c r="AV125" s="417">
        <v>0</v>
      </c>
      <c r="AW125" s="417">
        <v>0</v>
      </c>
      <c r="AX125" s="417">
        <f t="shared" si="120"/>
        <v>0</v>
      </c>
      <c r="AY125" s="417">
        <f t="shared" si="121"/>
        <v>-6877</v>
      </c>
      <c r="AZ125" s="418">
        <v>0</v>
      </c>
      <c r="BA125" s="418">
        <v>0</v>
      </c>
      <c r="BB125" s="418">
        <v>0</v>
      </c>
      <c r="BC125" s="418">
        <v>0</v>
      </c>
      <c r="BD125" s="418">
        <v>-0.02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22"/>
        <v>0</v>
      </c>
      <c r="BJ125" s="418">
        <f t="shared" si="123"/>
        <v>-0.02</v>
      </c>
      <c r="BK125" s="420">
        <f t="shared" si="124"/>
        <v>-0.02</v>
      </c>
      <c r="BL125" s="772">
        <f>I125+AY125</f>
        <v>609973</v>
      </c>
      <c r="BM125" s="772">
        <f>J125+AG125</f>
        <v>450881</v>
      </c>
      <c r="BN125" s="417">
        <f t="shared" si="194"/>
        <v>0</v>
      </c>
      <c r="BO125" s="417">
        <f t="shared" si="194"/>
        <v>450881</v>
      </c>
      <c r="BP125" s="417">
        <f>M125+AO125</f>
        <v>0</v>
      </c>
      <c r="BQ125" s="417">
        <f t="shared" si="195"/>
        <v>0</v>
      </c>
      <c r="BR125" s="417">
        <f t="shared" si="195"/>
        <v>0</v>
      </c>
      <c r="BS125" s="417">
        <f t="shared" si="196"/>
        <v>152399</v>
      </c>
      <c r="BT125" s="417">
        <f t="shared" si="196"/>
        <v>4509</v>
      </c>
      <c r="BU125" s="417">
        <f>R125+AX125</f>
        <v>2184</v>
      </c>
      <c r="BV125" s="418">
        <f>S125+BK125</f>
        <v>1.3532999999999999</v>
      </c>
      <c r="BW125" s="418">
        <f t="shared" si="197"/>
        <v>0</v>
      </c>
      <c r="BX125" s="420">
        <f t="shared" si="197"/>
        <v>1.3532999999999999</v>
      </c>
      <c r="BY125" s="840"/>
      <c r="BZ125" s="717"/>
      <c r="CA125" s="717"/>
      <c r="CB125" s="717"/>
      <c r="CC125" s="717"/>
      <c r="CD125" s="822"/>
      <c r="CE125" s="1029"/>
      <c r="CF125" s="1030"/>
      <c r="CG125" s="1030"/>
      <c r="CH125" s="1030"/>
      <c r="CI125" s="1030"/>
      <c r="CJ125" s="828"/>
    </row>
    <row r="126" spans="1:88" ht="12.75" customHeight="1">
      <c r="A126" s="213">
        <v>24</v>
      </c>
      <c r="B126" s="46">
        <v>5434</v>
      </c>
      <c r="C126" s="46">
        <v>600098923</v>
      </c>
      <c r="D126" s="46">
        <v>70695318</v>
      </c>
      <c r="E126" s="383" t="s">
        <v>496</v>
      </c>
      <c r="F126" s="384"/>
      <c r="G126" s="383"/>
      <c r="H126" s="385"/>
      <c r="I126" s="464">
        <v>4954028</v>
      </c>
      <c r="J126" s="460">
        <v>3657673</v>
      </c>
      <c r="K126" s="460">
        <v>2855489</v>
      </c>
      <c r="L126" s="460">
        <v>802184</v>
      </c>
      <c r="M126" s="460">
        <v>0</v>
      </c>
      <c r="N126" s="460">
        <v>0</v>
      </c>
      <c r="O126" s="460">
        <v>0</v>
      </c>
      <c r="P126" s="460">
        <v>1236294</v>
      </c>
      <c r="Q126" s="460">
        <v>36577</v>
      </c>
      <c r="R126" s="460">
        <v>23484</v>
      </c>
      <c r="S126" s="461">
        <v>7.9814000000000007</v>
      </c>
      <c r="T126" s="461">
        <v>5.43</v>
      </c>
      <c r="U126" s="534">
        <v>2.5514000000000001</v>
      </c>
      <c r="V126" s="464">
        <f t="shared" ref="V126:BK126" si="198">SUM(V123:V125)</f>
        <v>0</v>
      </c>
      <c r="W126" s="460">
        <f t="shared" si="198"/>
        <v>0</v>
      </c>
      <c r="X126" s="460">
        <f t="shared" si="198"/>
        <v>0</v>
      </c>
      <c r="Y126" s="460">
        <f t="shared" si="198"/>
        <v>0</v>
      </c>
      <c r="Z126" s="460">
        <f t="shared" si="198"/>
        <v>0</v>
      </c>
      <c r="AA126" s="460">
        <f t="shared" si="198"/>
        <v>-5102</v>
      </c>
      <c r="AB126" s="460">
        <f t="shared" si="198"/>
        <v>0</v>
      </c>
      <c r="AC126" s="460">
        <f t="shared" si="198"/>
        <v>0</v>
      </c>
      <c r="AD126" s="460">
        <f t="shared" si="198"/>
        <v>0</v>
      </c>
      <c r="AE126" s="460">
        <f t="shared" si="198"/>
        <v>0</v>
      </c>
      <c r="AF126" s="460">
        <f t="shared" si="198"/>
        <v>-5102</v>
      </c>
      <c r="AG126" s="460">
        <f t="shared" si="198"/>
        <v>-5102</v>
      </c>
      <c r="AH126" s="460">
        <f t="shared" si="198"/>
        <v>0</v>
      </c>
      <c r="AI126" s="460">
        <f t="shared" si="198"/>
        <v>0</v>
      </c>
      <c r="AJ126" s="460">
        <f t="shared" si="198"/>
        <v>0</v>
      </c>
      <c r="AK126" s="460">
        <f t="shared" si="198"/>
        <v>0</v>
      </c>
      <c r="AL126" s="460">
        <f t="shared" si="198"/>
        <v>0</v>
      </c>
      <c r="AM126" s="460">
        <f t="shared" si="198"/>
        <v>0</v>
      </c>
      <c r="AN126" s="460">
        <f t="shared" si="198"/>
        <v>0</v>
      </c>
      <c r="AO126" s="460">
        <f t="shared" si="198"/>
        <v>0</v>
      </c>
      <c r="AP126" s="460">
        <f t="shared" si="198"/>
        <v>0</v>
      </c>
      <c r="AQ126" s="460">
        <f t="shared" si="198"/>
        <v>-5102</v>
      </c>
      <c r="AR126" s="460">
        <f t="shared" si="198"/>
        <v>-5102</v>
      </c>
      <c r="AS126" s="460">
        <f t="shared" si="198"/>
        <v>-1724</v>
      </c>
      <c r="AT126" s="460">
        <f t="shared" si="198"/>
        <v>-51</v>
      </c>
      <c r="AU126" s="460">
        <f t="shared" si="198"/>
        <v>0</v>
      </c>
      <c r="AV126" s="460">
        <f t="shared" si="198"/>
        <v>0</v>
      </c>
      <c r="AW126" s="460">
        <f t="shared" si="198"/>
        <v>0</v>
      </c>
      <c r="AX126" s="460">
        <f t="shared" si="198"/>
        <v>0</v>
      </c>
      <c r="AY126" s="460">
        <f t="shared" si="198"/>
        <v>-6877</v>
      </c>
      <c r="AZ126" s="461">
        <f t="shared" si="198"/>
        <v>0</v>
      </c>
      <c r="BA126" s="461">
        <f t="shared" si="198"/>
        <v>0</v>
      </c>
      <c r="BB126" s="461">
        <f t="shared" si="198"/>
        <v>0</v>
      </c>
      <c r="BC126" s="461">
        <f t="shared" si="198"/>
        <v>0</v>
      </c>
      <c r="BD126" s="461">
        <f t="shared" si="198"/>
        <v>-0.02</v>
      </c>
      <c r="BE126" s="461">
        <f t="shared" si="198"/>
        <v>0</v>
      </c>
      <c r="BF126" s="461">
        <f t="shared" si="198"/>
        <v>0</v>
      </c>
      <c r="BG126" s="461">
        <f t="shared" si="198"/>
        <v>0</v>
      </c>
      <c r="BH126" s="461">
        <f t="shared" si="198"/>
        <v>0</v>
      </c>
      <c r="BI126" s="461">
        <f t="shared" si="198"/>
        <v>0</v>
      </c>
      <c r="BJ126" s="461">
        <f t="shared" si="198"/>
        <v>-0.02</v>
      </c>
      <c r="BK126" s="279">
        <f t="shared" si="198"/>
        <v>-0.02</v>
      </c>
      <c r="BL126" s="1075">
        <f t="shared" ref="BL126:CG126" si="199">SUM(BL123:BL125)</f>
        <v>4947151</v>
      </c>
      <c r="BM126" s="1075">
        <f t="shared" si="199"/>
        <v>3652571</v>
      </c>
      <c r="BN126" s="460">
        <f t="shared" si="199"/>
        <v>2855489</v>
      </c>
      <c r="BO126" s="460">
        <f t="shared" si="199"/>
        <v>797082</v>
      </c>
      <c r="BP126" s="460">
        <f t="shared" si="199"/>
        <v>0</v>
      </c>
      <c r="BQ126" s="460">
        <f t="shared" si="199"/>
        <v>0</v>
      </c>
      <c r="BR126" s="460">
        <f t="shared" si="199"/>
        <v>0</v>
      </c>
      <c r="BS126" s="460">
        <f t="shared" si="199"/>
        <v>1234570</v>
      </c>
      <c r="BT126" s="460">
        <f t="shared" si="199"/>
        <v>36526</v>
      </c>
      <c r="BU126" s="460">
        <f t="shared" si="199"/>
        <v>23484</v>
      </c>
      <c r="BV126" s="461">
        <f t="shared" si="199"/>
        <v>7.9614000000000003</v>
      </c>
      <c r="BW126" s="461">
        <f t="shared" si="199"/>
        <v>5.43</v>
      </c>
      <c r="BX126" s="279">
        <f t="shared" si="199"/>
        <v>2.5314000000000001</v>
      </c>
      <c r="BY126" s="940">
        <f t="shared" si="199"/>
        <v>0</v>
      </c>
      <c r="BZ126" s="707">
        <f t="shared" si="199"/>
        <v>0</v>
      </c>
      <c r="CA126" s="707">
        <f t="shared" si="199"/>
        <v>0</v>
      </c>
      <c r="CB126" s="707">
        <f t="shared" si="199"/>
        <v>0</v>
      </c>
      <c r="CC126" s="707">
        <f t="shared" si="199"/>
        <v>0</v>
      </c>
      <c r="CD126" s="819">
        <f t="shared" si="199"/>
        <v>0</v>
      </c>
      <c r="CE126" s="1024">
        <f t="shared" si="199"/>
        <v>156823</v>
      </c>
      <c r="CF126" s="1024">
        <f t="shared" si="199"/>
        <v>111081</v>
      </c>
      <c r="CG126" s="1024">
        <f t="shared" si="199"/>
        <v>37545</v>
      </c>
      <c r="CH126" s="1024">
        <f t="shared" ref="CH126:CJ126" si="200">SUM(CH123:CH125)</f>
        <v>1111</v>
      </c>
      <c r="CI126" s="1024">
        <f t="shared" si="200"/>
        <v>7086</v>
      </c>
      <c r="CJ126" s="933">
        <f t="shared" si="200"/>
        <v>0.378</v>
      </c>
    </row>
    <row r="127" spans="1:88" ht="12.95" customHeight="1">
      <c r="A127" s="280">
        <v>25</v>
      </c>
      <c r="B127" s="212">
        <v>5433</v>
      </c>
      <c r="C127" s="212">
        <v>600099253</v>
      </c>
      <c r="D127" s="281">
        <v>70695300</v>
      </c>
      <c r="E127" s="211" t="s">
        <v>497</v>
      </c>
      <c r="F127" s="212">
        <v>3117</v>
      </c>
      <c r="G127" s="372" t="s">
        <v>308</v>
      </c>
      <c r="H127" s="285" t="s">
        <v>271</v>
      </c>
      <c r="I127" s="419">
        <v>3470594</v>
      </c>
      <c r="J127" s="414">
        <v>2531950</v>
      </c>
      <c r="K127" s="414">
        <v>2193761</v>
      </c>
      <c r="L127" s="414">
        <v>338189</v>
      </c>
      <c r="M127" s="414">
        <v>0</v>
      </c>
      <c r="N127" s="414">
        <v>0</v>
      </c>
      <c r="O127" s="414">
        <v>0</v>
      </c>
      <c r="P127" s="68">
        <v>855799</v>
      </c>
      <c r="Q127" s="68">
        <v>25320</v>
      </c>
      <c r="R127" s="414">
        <v>57525</v>
      </c>
      <c r="S127" s="415">
        <v>4.3079000000000001</v>
      </c>
      <c r="T127" s="415">
        <v>3.4348000000000001</v>
      </c>
      <c r="U127" s="422">
        <v>0.87309999999999999</v>
      </c>
      <c r="V127" s="423">
        <f t="shared" si="109"/>
        <v>0</v>
      </c>
      <c r="W127" s="417">
        <f t="shared" si="109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 t="shared" si="110"/>
        <v>0</v>
      </c>
      <c r="AF127" s="417">
        <f t="shared" si="111"/>
        <v>0</v>
      </c>
      <c r="AG127" s="417">
        <f t="shared" si="112"/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13"/>
        <v>0</v>
      </c>
      <c r="AN127" s="417">
        <f t="shared" si="114"/>
        <v>0</v>
      </c>
      <c r="AO127" s="417">
        <f t="shared" si="115"/>
        <v>0</v>
      </c>
      <c r="AP127" s="417">
        <f t="shared" si="116"/>
        <v>0</v>
      </c>
      <c r="AQ127" s="417">
        <f t="shared" si="116"/>
        <v>0</v>
      </c>
      <c r="AR127" s="417">
        <f t="shared" si="117"/>
        <v>0</v>
      </c>
      <c r="AS127" s="68">
        <f t="shared" si="118"/>
        <v>0</v>
      </c>
      <c r="AT127" s="68">
        <f t="shared" si="119"/>
        <v>0</v>
      </c>
      <c r="AU127" s="417">
        <v>0</v>
      </c>
      <c r="AV127" s="417">
        <v>0</v>
      </c>
      <c r="AW127" s="417">
        <v>0</v>
      </c>
      <c r="AX127" s="417">
        <f t="shared" si="120"/>
        <v>0</v>
      </c>
      <c r="AY127" s="417">
        <f t="shared" si="121"/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418">
        <v>0</v>
      </c>
      <c r="BG127" s="418">
        <v>0</v>
      </c>
      <c r="BH127" s="418">
        <v>0</v>
      </c>
      <c r="BI127" s="418">
        <f t="shared" si="122"/>
        <v>0</v>
      </c>
      <c r="BJ127" s="418">
        <f t="shared" si="123"/>
        <v>0</v>
      </c>
      <c r="BK127" s="420">
        <f t="shared" si="124"/>
        <v>0</v>
      </c>
      <c r="BL127" s="772">
        <f>I127+AY127</f>
        <v>3470594</v>
      </c>
      <c r="BM127" s="772">
        <f>J127+AG127</f>
        <v>2531950</v>
      </c>
      <c r="BN127" s="417">
        <f t="shared" ref="BN127:BO131" si="201">K127+AE127</f>
        <v>2193761</v>
      </c>
      <c r="BO127" s="417">
        <f t="shared" si="201"/>
        <v>338189</v>
      </c>
      <c r="BP127" s="417">
        <f>M127+AO127</f>
        <v>0</v>
      </c>
      <c r="BQ127" s="417">
        <f t="shared" ref="BQ127:BR131" si="202">N127+AM127</f>
        <v>0</v>
      </c>
      <c r="BR127" s="417">
        <f t="shared" si="202"/>
        <v>0</v>
      </c>
      <c r="BS127" s="417">
        <f t="shared" ref="BS127:BT131" si="203">P127+AS127</f>
        <v>855799</v>
      </c>
      <c r="BT127" s="417">
        <f t="shared" si="203"/>
        <v>25320</v>
      </c>
      <c r="BU127" s="417">
        <f>R127+AX127</f>
        <v>57525</v>
      </c>
      <c r="BV127" s="418">
        <f>S127+BK127</f>
        <v>4.3079000000000001</v>
      </c>
      <c r="BW127" s="418">
        <f t="shared" ref="BW127:BX131" si="204">T127+BI127</f>
        <v>3.4348000000000001</v>
      </c>
      <c r="BX127" s="420">
        <f t="shared" si="204"/>
        <v>0.87309999999999999</v>
      </c>
      <c r="BY127" s="840"/>
      <c r="BZ127" s="717"/>
      <c r="CA127" s="717"/>
      <c r="CB127" s="717"/>
      <c r="CC127" s="717"/>
      <c r="CD127" s="822"/>
      <c r="CE127" s="1029">
        <v>156409</v>
      </c>
      <c r="CF127" s="1030">
        <v>108566</v>
      </c>
      <c r="CG127" s="1030">
        <v>36695</v>
      </c>
      <c r="CH127" s="1030">
        <v>1086</v>
      </c>
      <c r="CI127" s="1030">
        <v>10062</v>
      </c>
      <c r="CJ127" s="828">
        <v>0.28029999999999999</v>
      </c>
    </row>
    <row r="128" spans="1:88" ht="12.95" customHeight="1">
      <c r="A128" s="280">
        <v>25</v>
      </c>
      <c r="B128" s="212">
        <v>5433</v>
      </c>
      <c r="C128" s="212">
        <v>600099253</v>
      </c>
      <c r="D128" s="281">
        <v>70695300</v>
      </c>
      <c r="E128" s="371" t="s">
        <v>497</v>
      </c>
      <c r="F128" s="212">
        <v>3117</v>
      </c>
      <c r="G128" s="323" t="s">
        <v>291</v>
      </c>
      <c r="H128" s="285" t="s">
        <v>272</v>
      </c>
      <c r="I128" s="419">
        <v>0</v>
      </c>
      <c r="J128" s="414">
        <v>0</v>
      </c>
      <c r="K128" s="414">
        <v>0</v>
      </c>
      <c r="L128" s="414">
        <v>0</v>
      </c>
      <c r="M128" s="414">
        <v>0</v>
      </c>
      <c r="N128" s="414">
        <v>0</v>
      </c>
      <c r="O128" s="414">
        <v>0</v>
      </c>
      <c r="P128" s="68">
        <v>0</v>
      </c>
      <c r="Q128" s="68">
        <v>0</v>
      </c>
      <c r="R128" s="414">
        <v>0</v>
      </c>
      <c r="S128" s="415">
        <v>0</v>
      </c>
      <c r="T128" s="415">
        <v>0</v>
      </c>
      <c r="U128" s="422">
        <v>0</v>
      </c>
      <c r="V128" s="423">
        <f t="shared" si="109"/>
        <v>0</v>
      </c>
      <c r="W128" s="417">
        <f t="shared" si="109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10"/>
        <v>0</v>
      </c>
      <c r="AF128" s="417">
        <f t="shared" si="111"/>
        <v>0</v>
      </c>
      <c r="AG128" s="417">
        <f t="shared" si="112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13"/>
        <v>0</v>
      </c>
      <c r="AN128" s="417">
        <f t="shared" si="114"/>
        <v>0</v>
      </c>
      <c r="AO128" s="417">
        <f t="shared" si="115"/>
        <v>0</v>
      </c>
      <c r="AP128" s="417">
        <f t="shared" si="116"/>
        <v>0</v>
      </c>
      <c r="AQ128" s="417">
        <f t="shared" si="116"/>
        <v>0</v>
      </c>
      <c r="AR128" s="417">
        <f t="shared" si="117"/>
        <v>0</v>
      </c>
      <c r="AS128" s="68">
        <f t="shared" si="118"/>
        <v>0</v>
      </c>
      <c r="AT128" s="68">
        <f t="shared" si="119"/>
        <v>0</v>
      </c>
      <c r="AU128" s="417">
        <v>0</v>
      </c>
      <c r="AV128" s="417">
        <v>0</v>
      </c>
      <c r="AW128" s="417">
        <v>0</v>
      </c>
      <c r="AX128" s="417">
        <f t="shared" si="120"/>
        <v>0</v>
      </c>
      <c r="AY128" s="417">
        <f t="shared" si="121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22"/>
        <v>0</v>
      </c>
      <c r="BJ128" s="418">
        <f t="shared" si="123"/>
        <v>0</v>
      </c>
      <c r="BK128" s="420">
        <f t="shared" si="124"/>
        <v>0</v>
      </c>
      <c r="BL128" s="772">
        <f>I128+AY128</f>
        <v>0</v>
      </c>
      <c r="BM128" s="772">
        <f>J128+AG128</f>
        <v>0</v>
      </c>
      <c r="BN128" s="417">
        <f t="shared" si="201"/>
        <v>0</v>
      </c>
      <c r="BO128" s="417">
        <f t="shared" si="201"/>
        <v>0</v>
      </c>
      <c r="BP128" s="417">
        <f>M128+AO128</f>
        <v>0</v>
      </c>
      <c r="BQ128" s="417">
        <f t="shared" si="202"/>
        <v>0</v>
      </c>
      <c r="BR128" s="417">
        <f t="shared" si="202"/>
        <v>0</v>
      </c>
      <c r="BS128" s="417">
        <f t="shared" si="203"/>
        <v>0</v>
      </c>
      <c r="BT128" s="417">
        <f t="shared" si="203"/>
        <v>0</v>
      </c>
      <c r="BU128" s="417">
        <f>R128+AX128</f>
        <v>0</v>
      </c>
      <c r="BV128" s="418">
        <f>S128+BK128</f>
        <v>0</v>
      </c>
      <c r="BW128" s="418">
        <f t="shared" si="204"/>
        <v>0</v>
      </c>
      <c r="BX128" s="420">
        <f t="shared" si="204"/>
        <v>0</v>
      </c>
      <c r="BY128" s="840"/>
      <c r="BZ128" s="717"/>
      <c r="CA128" s="717"/>
      <c r="CB128" s="717"/>
      <c r="CC128" s="717"/>
      <c r="CD128" s="822"/>
      <c r="CE128" s="1029"/>
      <c r="CF128" s="1030"/>
      <c r="CG128" s="1030"/>
      <c r="CH128" s="1030"/>
      <c r="CI128" s="1030"/>
      <c r="CJ128" s="828"/>
    </row>
    <row r="129" spans="1:88" ht="12.95" customHeight="1">
      <c r="A129" s="280">
        <v>25</v>
      </c>
      <c r="B129" s="212">
        <v>5433</v>
      </c>
      <c r="C129" s="212">
        <v>600099253</v>
      </c>
      <c r="D129" s="281">
        <v>70695300</v>
      </c>
      <c r="E129" s="372" t="s">
        <v>497</v>
      </c>
      <c r="F129" s="212">
        <v>3141</v>
      </c>
      <c r="G129" s="373" t="s">
        <v>294</v>
      </c>
      <c r="H129" s="285" t="s">
        <v>272</v>
      </c>
      <c r="I129" s="419">
        <v>445555</v>
      </c>
      <c r="J129" s="414">
        <v>329026</v>
      </c>
      <c r="K129" s="414">
        <v>0</v>
      </c>
      <c r="L129" s="414">
        <v>329026</v>
      </c>
      <c r="M129" s="414">
        <v>0</v>
      </c>
      <c r="N129" s="414">
        <v>0</v>
      </c>
      <c r="O129" s="414">
        <v>0</v>
      </c>
      <c r="P129" s="68">
        <v>111211</v>
      </c>
      <c r="Q129" s="68">
        <v>3290</v>
      </c>
      <c r="R129" s="414">
        <v>2028</v>
      </c>
      <c r="S129" s="415">
        <v>0.99</v>
      </c>
      <c r="T129" s="415">
        <v>0</v>
      </c>
      <c r="U129" s="422">
        <v>0.99</v>
      </c>
      <c r="V129" s="423">
        <f t="shared" si="109"/>
        <v>0</v>
      </c>
      <c r="W129" s="417">
        <f t="shared" si="109"/>
        <v>0</v>
      </c>
      <c r="X129" s="417">
        <v>0</v>
      </c>
      <c r="Y129" s="417">
        <v>0</v>
      </c>
      <c r="Z129" s="417">
        <v>0</v>
      </c>
      <c r="AA129" s="417">
        <v>-8007</v>
      </c>
      <c r="AB129" s="417">
        <v>0</v>
      </c>
      <c r="AC129" s="417">
        <v>0</v>
      </c>
      <c r="AD129" s="417">
        <v>0</v>
      </c>
      <c r="AE129" s="417">
        <f t="shared" si="110"/>
        <v>0</v>
      </c>
      <c r="AF129" s="417">
        <f t="shared" si="111"/>
        <v>-8007</v>
      </c>
      <c r="AG129" s="417">
        <f t="shared" si="112"/>
        <v>-8007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13"/>
        <v>0</v>
      </c>
      <c r="AN129" s="417">
        <f t="shared" si="114"/>
        <v>0</v>
      </c>
      <c r="AO129" s="417">
        <f t="shared" si="115"/>
        <v>0</v>
      </c>
      <c r="AP129" s="417">
        <f t="shared" si="116"/>
        <v>0</v>
      </c>
      <c r="AQ129" s="417">
        <f t="shared" si="116"/>
        <v>-8007</v>
      </c>
      <c r="AR129" s="417">
        <f t="shared" si="117"/>
        <v>-8007</v>
      </c>
      <c r="AS129" s="68">
        <f t="shared" si="118"/>
        <v>-2706</v>
      </c>
      <c r="AT129" s="68">
        <f t="shared" si="119"/>
        <v>-80</v>
      </c>
      <c r="AU129" s="417">
        <v>0</v>
      </c>
      <c r="AV129" s="417">
        <v>0</v>
      </c>
      <c r="AW129" s="417">
        <v>0</v>
      </c>
      <c r="AX129" s="417">
        <f t="shared" si="120"/>
        <v>0</v>
      </c>
      <c r="AY129" s="417">
        <f t="shared" si="121"/>
        <v>-10793</v>
      </c>
      <c r="AZ129" s="418">
        <v>0</v>
      </c>
      <c r="BA129" s="418">
        <v>0</v>
      </c>
      <c r="BB129" s="418">
        <v>0</v>
      </c>
      <c r="BC129" s="418">
        <v>0</v>
      </c>
      <c r="BD129" s="418">
        <v>-0.03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22"/>
        <v>0</v>
      </c>
      <c r="BJ129" s="418">
        <f t="shared" si="123"/>
        <v>-0.03</v>
      </c>
      <c r="BK129" s="420">
        <f t="shared" si="124"/>
        <v>-0.03</v>
      </c>
      <c r="BL129" s="772">
        <f>I129+AY129</f>
        <v>434762</v>
      </c>
      <c r="BM129" s="772">
        <f>J129+AG129</f>
        <v>321019</v>
      </c>
      <c r="BN129" s="417">
        <f t="shared" si="201"/>
        <v>0</v>
      </c>
      <c r="BO129" s="417">
        <f t="shared" si="201"/>
        <v>321019</v>
      </c>
      <c r="BP129" s="417">
        <f>M129+AO129</f>
        <v>0</v>
      </c>
      <c r="BQ129" s="417">
        <f t="shared" si="202"/>
        <v>0</v>
      </c>
      <c r="BR129" s="417">
        <f t="shared" si="202"/>
        <v>0</v>
      </c>
      <c r="BS129" s="417">
        <f t="shared" si="203"/>
        <v>108505</v>
      </c>
      <c r="BT129" s="417">
        <f t="shared" si="203"/>
        <v>3210</v>
      </c>
      <c r="BU129" s="417">
        <f>R129+AX129</f>
        <v>2028</v>
      </c>
      <c r="BV129" s="418">
        <f>S129+BK129</f>
        <v>0.96</v>
      </c>
      <c r="BW129" s="418">
        <f t="shared" si="204"/>
        <v>0</v>
      </c>
      <c r="BX129" s="420">
        <f t="shared" si="204"/>
        <v>0.96</v>
      </c>
      <c r="BY129" s="840"/>
      <c r="BZ129" s="717"/>
      <c r="CA129" s="717"/>
      <c r="CB129" s="717"/>
      <c r="CC129" s="717"/>
      <c r="CD129" s="822"/>
      <c r="CE129" s="1029"/>
      <c r="CF129" s="1030"/>
      <c r="CG129" s="1030"/>
      <c r="CH129" s="1030"/>
      <c r="CI129" s="1030"/>
      <c r="CJ129" s="828"/>
    </row>
    <row r="130" spans="1:88" ht="12.95" customHeight="1">
      <c r="A130" s="280">
        <v>25</v>
      </c>
      <c r="B130" s="212">
        <v>5433</v>
      </c>
      <c r="C130" s="212">
        <v>600099253</v>
      </c>
      <c r="D130" s="281">
        <v>70695300</v>
      </c>
      <c r="E130" s="371" t="s">
        <v>497</v>
      </c>
      <c r="F130" s="382">
        <v>3143</v>
      </c>
      <c r="G130" s="323" t="s">
        <v>595</v>
      </c>
      <c r="H130" s="285" t="s">
        <v>271</v>
      </c>
      <c r="I130" s="419">
        <v>679790</v>
      </c>
      <c r="J130" s="414">
        <v>504295</v>
      </c>
      <c r="K130" s="414">
        <v>504295</v>
      </c>
      <c r="L130" s="414">
        <v>0</v>
      </c>
      <c r="M130" s="414">
        <v>0</v>
      </c>
      <c r="N130" s="414">
        <v>0</v>
      </c>
      <c r="O130" s="414">
        <v>0</v>
      </c>
      <c r="P130" s="68">
        <v>170452</v>
      </c>
      <c r="Q130" s="68">
        <v>5043</v>
      </c>
      <c r="R130" s="414">
        <v>0</v>
      </c>
      <c r="S130" s="415">
        <v>1</v>
      </c>
      <c r="T130" s="415">
        <v>1</v>
      </c>
      <c r="U130" s="422">
        <v>0</v>
      </c>
      <c r="V130" s="423">
        <f t="shared" si="109"/>
        <v>0</v>
      </c>
      <c r="W130" s="417">
        <f t="shared" si="109"/>
        <v>0</v>
      </c>
      <c r="X130" s="417">
        <v>0</v>
      </c>
      <c r="Y130" s="417">
        <v>0</v>
      </c>
      <c r="Z130" s="417">
        <v>0</v>
      </c>
      <c r="AA130" s="417">
        <v>0</v>
      </c>
      <c r="AB130" s="417">
        <v>0</v>
      </c>
      <c r="AC130" s="417">
        <v>0</v>
      </c>
      <c r="AD130" s="417">
        <v>0</v>
      </c>
      <c r="AE130" s="417">
        <f t="shared" si="110"/>
        <v>0</v>
      </c>
      <c r="AF130" s="417">
        <f t="shared" si="111"/>
        <v>0</v>
      </c>
      <c r="AG130" s="417">
        <f t="shared" si="112"/>
        <v>0</v>
      </c>
      <c r="AH130" s="417">
        <v>0</v>
      </c>
      <c r="AI130" s="417">
        <v>0</v>
      </c>
      <c r="AJ130" s="417">
        <v>0</v>
      </c>
      <c r="AK130" s="417">
        <v>0</v>
      </c>
      <c r="AL130" s="417">
        <v>0</v>
      </c>
      <c r="AM130" s="417">
        <f t="shared" si="113"/>
        <v>0</v>
      </c>
      <c r="AN130" s="417">
        <f t="shared" si="114"/>
        <v>0</v>
      </c>
      <c r="AO130" s="417">
        <f t="shared" si="115"/>
        <v>0</v>
      </c>
      <c r="AP130" s="417">
        <f t="shared" si="116"/>
        <v>0</v>
      </c>
      <c r="AQ130" s="417">
        <f t="shared" si="116"/>
        <v>0</v>
      </c>
      <c r="AR130" s="417">
        <f t="shared" si="117"/>
        <v>0</v>
      </c>
      <c r="AS130" s="68">
        <f t="shared" si="118"/>
        <v>0</v>
      </c>
      <c r="AT130" s="68">
        <f t="shared" si="119"/>
        <v>0</v>
      </c>
      <c r="AU130" s="417">
        <v>0</v>
      </c>
      <c r="AV130" s="417">
        <v>0</v>
      </c>
      <c r="AW130" s="417">
        <v>0</v>
      </c>
      <c r="AX130" s="417">
        <f t="shared" si="120"/>
        <v>0</v>
      </c>
      <c r="AY130" s="417">
        <f t="shared" si="121"/>
        <v>0</v>
      </c>
      <c r="AZ130" s="418">
        <v>0</v>
      </c>
      <c r="BA130" s="418">
        <v>0</v>
      </c>
      <c r="BB130" s="418">
        <v>0</v>
      </c>
      <c r="BC130" s="418">
        <v>0</v>
      </c>
      <c r="BD130" s="418">
        <v>0</v>
      </c>
      <c r="BE130" s="418">
        <v>0</v>
      </c>
      <c r="BF130" s="418">
        <v>0</v>
      </c>
      <c r="BG130" s="418">
        <v>0</v>
      </c>
      <c r="BH130" s="418">
        <v>0</v>
      </c>
      <c r="BI130" s="418">
        <f t="shared" si="122"/>
        <v>0</v>
      </c>
      <c r="BJ130" s="418">
        <f t="shared" si="123"/>
        <v>0</v>
      </c>
      <c r="BK130" s="420">
        <f t="shared" si="124"/>
        <v>0</v>
      </c>
      <c r="BL130" s="772">
        <f>I130+AY130</f>
        <v>679790</v>
      </c>
      <c r="BM130" s="772">
        <f>J130+AG130</f>
        <v>504295</v>
      </c>
      <c r="BN130" s="417">
        <f t="shared" si="201"/>
        <v>504295</v>
      </c>
      <c r="BO130" s="417">
        <f t="shared" si="201"/>
        <v>0</v>
      </c>
      <c r="BP130" s="417">
        <f>M130+AO130</f>
        <v>0</v>
      </c>
      <c r="BQ130" s="417">
        <f t="shared" si="202"/>
        <v>0</v>
      </c>
      <c r="BR130" s="417">
        <f t="shared" si="202"/>
        <v>0</v>
      </c>
      <c r="BS130" s="417">
        <f t="shared" si="203"/>
        <v>170452</v>
      </c>
      <c r="BT130" s="417">
        <f t="shared" si="203"/>
        <v>5043</v>
      </c>
      <c r="BU130" s="417">
        <f>R130+AX130</f>
        <v>0</v>
      </c>
      <c r="BV130" s="418">
        <f>S130+BK130</f>
        <v>1</v>
      </c>
      <c r="BW130" s="418">
        <f t="shared" si="204"/>
        <v>1</v>
      </c>
      <c r="BX130" s="420">
        <f t="shared" si="204"/>
        <v>0</v>
      </c>
      <c r="BY130" s="840"/>
      <c r="BZ130" s="717"/>
      <c r="CA130" s="717"/>
      <c r="CB130" s="717"/>
      <c r="CC130" s="717"/>
      <c r="CD130" s="822"/>
      <c r="CE130" s="1029"/>
      <c r="CF130" s="1030"/>
      <c r="CG130" s="1030"/>
      <c r="CH130" s="1030"/>
      <c r="CI130" s="1030"/>
      <c r="CJ130" s="828"/>
    </row>
    <row r="131" spans="1:88" ht="12.95" customHeight="1">
      <c r="A131" s="280">
        <v>25</v>
      </c>
      <c r="B131" s="212">
        <v>5433</v>
      </c>
      <c r="C131" s="212">
        <v>600099253</v>
      </c>
      <c r="D131" s="281">
        <v>70695300</v>
      </c>
      <c r="E131" s="371" t="s">
        <v>497</v>
      </c>
      <c r="F131" s="382">
        <v>3143</v>
      </c>
      <c r="G131" s="323" t="s">
        <v>596</v>
      </c>
      <c r="H131" s="285" t="s">
        <v>272</v>
      </c>
      <c r="I131" s="419">
        <v>19978</v>
      </c>
      <c r="J131" s="414">
        <v>14300</v>
      </c>
      <c r="K131" s="414">
        <v>0</v>
      </c>
      <c r="L131" s="414">
        <v>14300</v>
      </c>
      <c r="M131" s="414">
        <v>0</v>
      </c>
      <c r="N131" s="414">
        <v>0</v>
      </c>
      <c r="O131" s="414">
        <v>0</v>
      </c>
      <c r="P131" s="68">
        <v>4833</v>
      </c>
      <c r="Q131" s="68">
        <v>143</v>
      </c>
      <c r="R131" s="414">
        <v>702</v>
      </c>
      <c r="S131" s="415">
        <v>5.6099999999999997E-2</v>
      </c>
      <c r="T131" s="415">
        <v>0</v>
      </c>
      <c r="U131" s="422">
        <v>5.6099999999999997E-2</v>
      </c>
      <c r="V131" s="423">
        <f t="shared" si="109"/>
        <v>0</v>
      </c>
      <c r="W131" s="417">
        <f t="shared" si="109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10"/>
        <v>0</v>
      </c>
      <c r="AF131" s="417">
        <f t="shared" si="111"/>
        <v>0</v>
      </c>
      <c r="AG131" s="417">
        <f t="shared" si="112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13"/>
        <v>0</v>
      </c>
      <c r="AN131" s="417">
        <f t="shared" si="114"/>
        <v>0</v>
      </c>
      <c r="AO131" s="417">
        <f t="shared" si="115"/>
        <v>0</v>
      </c>
      <c r="AP131" s="417">
        <f t="shared" si="116"/>
        <v>0</v>
      </c>
      <c r="AQ131" s="417">
        <f t="shared" si="116"/>
        <v>0</v>
      </c>
      <c r="AR131" s="417">
        <f t="shared" si="117"/>
        <v>0</v>
      </c>
      <c r="AS131" s="68">
        <f t="shared" si="118"/>
        <v>0</v>
      </c>
      <c r="AT131" s="68">
        <f t="shared" si="119"/>
        <v>0</v>
      </c>
      <c r="AU131" s="417">
        <v>0</v>
      </c>
      <c r="AV131" s="417">
        <v>0</v>
      </c>
      <c r="AW131" s="417">
        <v>0</v>
      </c>
      <c r="AX131" s="417">
        <f t="shared" si="120"/>
        <v>0</v>
      </c>
      <c r="AY131" s="417">
        <f t="shared" si="121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22"/>
        <v>0</v>
      </c>
      <c r="BJ131" s="418">
        <f t="shared" si="123"/>
        <v>0</v>
      </c>
      <c r="BK131" s="420">
        <f t="shared" si="124"/>
        <v>0</v>
      </c>
      <c r="BL131" s="772">
        <f>I131+AY131</f>
        <v>19978</v>
      </c>
      <c r="BM131" s="772">
        <f>J131+AG131</f>
        <v>14300</v>
      </c>
      <c r="BN131" s="417">
        <f t="shared" si="201"/>
        <v>0</v>
      </c>
      <c r="BO131" s="417">
        <f t="shared" si="201"/>
        <v>14300</v>
      </c>
      <c r="BP131" s="417">
        <f>M131+AO131</f>
        <v>0</v>
      </c>
      <c r="BQ131" s="417">
        <f t="shared" si="202"/>
        <v>0</v>
      </c>
      <c r="BR131" s="417">
        <f t="shared" si="202"/>
        <v>0</v>
      </c>
      <c r="BS131" s="417">
        <f t="shared" si="203"/>
        <v>4833</v>
      </c>
      <c r="BT131" s="417">
        <f t="shared" si="203"/>
        <v>143</v>
      </c>
      <c r="BU131" s="417">
        <f>R131+AX131</f>
        <v>702</v>
      </c>
      <c r="BV131" s="418">
        <f>S131+BK131</f>
        <v>5.6099999999999997E-2</v>
      </c>
      <c r="BW131" s="418">
        <f t="shared" si="204"/>
        <v>0</v>
      </c>
      <c r="BX131" s="420">
        <f t="shared" si="204"/>
        <v>5.6099999999999997E-2</v>
      </c>
      <c r="BY131" s="842"/>
      <c r="BZ131" s="673"/>
      <c r="CA131" s="673"/>
      <c r="CB131" s="673"/>
      <c r="CC131" s="673"/>
      <c r="CD131" s="802"/>
      <c r="CE131" s="1031"/>
      <c r="CF131" s="1032"/>
      <c r="CG131" s="1032"/>
      <c r="CH131" s="1032"/>
      <c r="CI131" s="1032"/>
      <c r="CJ131" s="17"/>
    </row>
    <row r="132" spans="1:88" ht="12.95" customHeight="1">
      <c r="A132" s="213">
        <v>25</v>
      </c>
      <c r="B132" s="45">
        <v>5433</v>
      </c>
      <c r="C132" s="45">
        <v>600099253</v>
      </c>
      <c r="D132" s="45">
        <v>70695300</v>
      </c>
      <c r="E132" s="383" t="s">
        <v>498</v>
      </c>
      <c r="F132" s="384"/>
      <c r="G132" s="383"/>
      <c r="H132" s="385"/>
      <c r="I132" s="464">
        <v>4615917</v>
      </c>
      <c r="J132" s="460">
        <v>3379571</v>
      </c>
      <c r="K132" s="460">
        <v>2698056</v>
      </c>
      <c r="L132" s="460">
        <v>681515</v>
      </c>
      <c r="M132" s="460">
        <v>0</v>
      </c>
      <c r="N132" s="460">
        <v>0</v>
      </c>
      <c r="O132" s="460">
        <v>0</v>
      </c>
      <c r="P132" s="460">
        <v>1142295</v>
      </c>
      <c r="Q132" s="460">
        <v>33796</v>
      </c>
      <c r="R132" s="460">
        <v>60255</v>
      </c>
      <c r="S132" s="461">
        <v>6.3540000000000001</v>
      </c>
      <c r="T132" s="461">
        <v>4.4348000000000001</v>
      </c>
      <c r="U132" s="534">
        <v>1.9192</v>
      </c>
      <c r="V132" s="464">
        <f t="shared" ref="V132:BK132" si="205">SUM(V127:V131)</f>
        <v>0</v>
      </c>
      <c r="W132" s="460">
        <f t="shared" si="205"/>
        <v>0</v>
      </c>
      <c r="X132" s="460">
        <f t="shared" si="205"/>
        <v>0</v>
      </c>
      <c r="Y132" s="460">
        <f t="shared" si="205"/>
        <v>0</v>
      </c>
      <c r="Z132" s="460">
        <f t="shared" si="205"/>
        <v>0</v>
      </c>
      <c r="AA132" s="460">
        <f t="shared" si="205"/>
        <v>-8007</v>
      </c>
      <c r="AB132" s="460">
        <f t="shared" si="205"/>
        <v>0</v>
      </c>
      <c r="AC132" s="460">
        <f t="shared" si="205"/>
        <v>0</v>
      </c>
      <c r="AD132" s="460">
        <f t="shared" si="205"/>
        <v>0</v>
      </c>
      <c r="AE132" s="460">
        <f t="shared" si="205"/>
        <v>0</v>
      </c>
      <c r="AF132" s="460">
        <f t="shared" si="205"/>
        <v>-8007</v>
      </c>
      <c r="AG132" s="460">
        <f t="shared" si="205"/>
        <v>-8007</v>
      </c>
      <c r="AH132" s="460">
        <f t="shared" si="205"/>
        <v>0</v>
      </c>
      <c r="AI132" s="460">
        <f t="shared" si="205"/>
        <v>0</v>
      </c>
      <c r="AJ132" s="460">
        <f t="shared" si="205"/>
        <v>0</v>
      </c>
      <c r="AK132" s="460">
        <f t="shared" si="205"/>
        <v>0</v>
      </c>
      <c r="AL132" s="460">
        <f t="shared" si="205"/>
        <v>0</v>
      </c>
      <c r="AM132" s="460">
        <f t="shared" si="205"/>
        <v>0</v>
      </c>
      <c r="AN132" s="460">
        <f t="shared" si="205"/>
        <v>0</v>
      </c>
      <c r="AO132" s="460">
        <f t="shared" si="205"/>
        <v>0</v>
      </c>
      <c r="AP132" s="460">
        <f t="shared" si="205"/>
        <v>0</v>
      </c>
      <c r="AQ132" s="460">
        <f t="shared" si="205"/>
        <v>-8007</v>
      </c>
      <c r="AR132" s="460">
        <f t="shared" si="205"/>
        <v>-8007</v>
      </c>
      <c r="AS132" s="460">
        <f t="shared" si="205"/>
        <v>-2706</v>
      </c>
      <c r="AT132" s="460">
        <f t="shared" si="205"/>
        <v>-80</v>
      </c>
      <c r="AU132" s="460">
        <f t="shared" si="205"/>
        <v>0</v>
      </c>
      <c r="AV132" s="460">
        <f t="shared" si="205"/>
        <v>0</v>
      </c>
      <c r="AW132" s="460">
        <f t="shared" si="205"/>
        <v>0</v>
      </c>
      <c r="AX132" s="460">
        <f t="shared" si="205"/>
        <v>0</v>
      </c>
      <c r="AY132" s="460">
        <f t="shared" si="205"/>
        <v>-10793</v>
      </c>
      <c r="AZ132" s="461">
        <f t="shared" si="205"/>
        <v>0</v>
      </c>
      <c r="BA132" s="461">
        <f t="shared" si="205"/>
        <v>0</v>
      </c>
      <c r="BB132" s="461">
        <f t="shared" si="205"/>
        <v>0</v>
      </c>
      <c r="BC132" s="461">
        <f t="shared" si="205"/>
        <v>0</v>
      </c>
      <c r="BD132" s="461">
        <f t="shared" si="205"/>
        <v>-0.03</v>
      </c>
      <c r="BE132" s="461">
        <f t="shared" si="205"/>
        <v>0</v>
      </c>
      <c r="BF132" s="461">
        <f t="shared" si="205"/>
        <v>0</v>
      </c>
      <c r="BG132" s="461">
        <f t="shared" si="205"/>
        <v>0</v>
      </c>
      <c r="BH132" s="461">
        <f t="shared" si="205"/>
        <v>0</v>
      </c>
      <c r="BI132" s="461">
        <f t="shared" si="205"/>
        <v>0</v>
      </c>
      <c r="BJ132" s="461">
        <f t="shared" si="205"/>
        <v>-0.03</v>
      </c>
      <c r="BK132" s="279">
        <f t="shared" si="205"/>
        <v>-0.03</v>
      </c>
      <c r="BL132" s="1075">
        <f t="shared" ref="BL132:CG132" si="206">SUM(BL127:BL131)</f>
        <v>4605124</v>
      </c>
      <c r="BM132" s="1075">
        <f t="shared" si="206"/>
        <v>3371564</v>
      </c>
      <c r="BN132" s="460">
        <f t="shared" si="206"/>
        <v>2698056</v>
      </c>
      <c r="BO132" s="460">
        <f t="shared" si="206"/>
        <v>673508</v>
      </c>
      <c r="BP132" s="460">
        <f t="shared" si="206"/>
        <v>0</v>
      </c>
      <c r="BQ132" s="460">
        <f t="shared" si="206"/>
        <v>0</v>
      </c>
      <c r="BR132" s="460">
        <f t="shared" si="206"/>
        <v>0</v>
      </c>
      <c r="BS132" s="460">
        <f t="shared" si="206"/>
        <v>1139589</v>
      </c>
      <c r="BT132" s="460">
        <f t="shared" si="206"/>
        <v>33716</v>
      </c>
      <c r="BU132" s="460">
        <f t="shared" si="206"/>
        <v>60255</v>
      </c>
      <c r="BV132" s="461">
        <f t="shared" si="206"/>
        <v>6.3239999999999998</v>
      </c>
      <c r="BW132" s="461">
        <f t="shared" si="206"/>
        <v>4.4348000000000001</v>
      </c>
      <c r="BX132" s="279">
        <f t="shared" si="206"/>
        <v>1.8892</v>
      </c>
      <c r="BY132" s="940">
        <f t="shared" si="206"/>
        <v>0</v>
      </c>
      <c r="BZ132" s="707">
        <f t="shared" si="206"/>
        <v>0</v>
      </c>
      <c r="CA132" s="707">
        <f t="shared" si="206"/>
        <v>0</v>
      </c>
      <c r="CB132" s="707">
        <f t="shared" si="206"/>
        <v>0</v>
      </c>
      <c r="CC132" s="707">
        <f t="shared" si="206"/>
        <v>0</v>
      </c>
      <c r="CD132" s="819">
        <f t="shared" si="206"/>
        <v>0</v>
      </c>
      <c r="CE132" s="1024">
        <f t="shared" si="206"/>
        <v>156409</v>
      </c>
      <c r="CF132" s="1024">
        <f t="shared" si="206"/>
        <v>108566</v>
      </c>
      <c r="CG132" s="1024">
        <f t="shared" si="206"/>
        <v>36695</v>
      </c>
      <c r="CH132" s="1024">
        <f t="shared" ref="CH132:CJ132" si="207">SUM(CH127:CH131)</f>
        <v>1086</v>
      </c>
      <c r="CI132" s="1024">
        <f t="shared" si="207"/>
        <v>10062</v>
      </c>
      <c r="CJ132" s="933">
        <f t="shared" si="207"/>
        <v>0.28029999999999999</v>
      </c>
    </row>
    <row r="133" spans="1:88" ht="12.95" customHeight="1">
      <c r="A133" s="280">
        <v>26</v>
      </c>
      <c r="B133" s="212">
        <v>5486</v>
      </c>
      <c r="C133" s="212">
        <v>600098711</v>
      </c>
      <c r="D133" s="281">
        <v>72744022</v>
      </c>
      <c r="E133" s="372" t="s">
        <v>499</v>
      </c>
      <c r="F133" s="212">
        <v>3111</v>
      </c>
      <c r="G133" s="373" t="s">
        <v>304</v>
      </c>
      <c r="H133" s="285" t="s">
        <v>271</v>
      </c>
      <c r="I133" s="419">
        <v>2127610</v>
      </c>
      <c r="J133" s="414">
        <v>1571224</v>
      </c>
      <c r="K133" s="414">
        <v>1398142</v>
      </c>
      <c r="L133" s="414">
        <v>173082</v>
      </c>
      <c r="M133" s="414">
        <v>0</v>
      </c>
      <c r="N133" s="414">
        <v>0</v>
      </c>
      <c r="O133" s="414">
        <v>0</v>
      </c>
      <c r="P133" s="68">
        <v>531074</v>
      </c>
      <c r="Q133" s="68">
        <v>15712</v>
      </c>
      <c r="R133" s="414">
        <v>9600</v>
      </c>
      <c r="S133" s="415">
        <v>2.879</v>
      </c>
      <c r="T133" s="415">
        <v>2.29</v>
      </c>
      <c r="U133" s="422">
        <v>0.58899999999999997</v>
      </c>
      <c r="V133" s="423">
        <f t="shared" si="109"/>
        <v>0</v>
      </c>
      <c r="W133" s="417">
        <f t="shared" si="109"/>
        <v>0</v>
      </c>
      <c r="X133" s="417">
        <v>0</v>
      </c>
      <c r="Y133" s="417">
        <v>0</v>
      </c>
      <c r="Z133" s="417">
        <v>227716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10"/>
        <v>227716</v>
      </c>
      <c r="AF133" s="417">
        <f t="shared" si="111"/>
        <v>0</v>
      </c>
      <c r="AG133" s="417">
        <f t="shared" si="112"/>
        <v>227716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13"/>
        <v>0</v>
      </c>
      <c r="AN133" s="417">
        <f t="shared" si="114"/>
        <v>0</v>
      </c>
      <c r="AO133" s="417">
        <f t="shared" si="115"/>
        <v>0</v>
      </c>
      <c r="AP133" s="417">
        <f t="shared" si="116"/>
        <v>227716</v>
      </c>
      <c r="AQ133" s="417">
        <f t="shared" si="116"/>
        <v>0</v>
      </c>
      <c r="AR133" s="417">
        <f t="shared" si="117"/>
        <v>227716</v>
      </c>
      <c r="AS133" s="68">
        <f t="shared" si="118"/>
        <v>76968</v>
      </c>
      <c r="AT133" s="68">
        <f t="shared" si="119"/>
        <v>2277</v>
      </c>
      <c r="AU133" s="417">
        <v>0</v>
      </c>
      <c r="AV133" s="417">
        <v>0</v>
      </c>
      <c r="AW133" s="417">
        <v>0</v>
      </c>
      <c r="AX133" s="417">
        <f t="shared" si="120"/>
        <v>0</v>
      </c>
      <c r="AY133" s="417">
        <f t="shared" si="121"/>
        <v>306961</v>
      </c>
      <c r="AZ133" s="418">
        <v>0</v>
      </c>
      <c r="BA133" s="418">
        <v>0</v>
      </c>
      <c r="BB133" s="418">
        <v>0</v>
      </c>
      <c r="BC133" s="418">
        <v>0.51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22"/>
        <v>0.51</v>
      </c>
      <c r="BJ133" s="418">
        <f t="shared" si="123"/>
        <v>0</v>
      </c>
      <c r="BK133" s="420">
        <f t="shared" si="124"/>
        <v>0.51</v>
      </c>
      <c r="BL133" s="772">
        <f>I133+AY133</f>
        <v>2434571</v>
      </c>
      <c r="BM133" s="772">
        <f>J133+AG133</f>
        <v>1798940</v>
      </c>
      <c r="BN133" s="417">
        <f t="shared" ref="BN133:BO135" si="208">K133+AE133</f>
        <v>1625858</v>
      </c>
      <c r="BO133" s="417">
        <f t="shared" si="208"/>
        <v>173082</v>
      </c>
      <c r="BP133" s="417">
        <f>M133+AO133</f>
        <v>0</v>
      </c>
      <c r="BQ133" s="417">
        <f t="shared" ref="BQ133:BR135" si="209">N133+AM133</f>
        <v>0</v>
      </c>
      <c r="BR133" s="417">
        <f t="shared" si="209"/>
        <v>0</v>
      </c>
      <c r="BS133" s="417">
        <f t="shared" ref="BS133:BT135" si="210">P133+AS133</f>
        <v>608042</v>
      </c>
      <c r="BT133" s="417">
        <f t="shared" si="210"/>
        <v>17989</v>
      </c>
      <c r="BU133" s="417">
        <f>R133+AX133</f>
        <v>9600</v>
      </c>
      <c r="BV133" s="418">
        <f>S133+BK133</f>
        <v>3.3890000000000002</v>
      </c>
      <c r="BW133" s="418">
        <f t="shared" ref="BW133:BX135" si="211">T133+BI133</f>
        <v>2.8</v>
      </c>
      <c r="BX133" s="420">
        <f t="shared" si="211"/>
        <v>0.58899999999999997</v>
      </c>
      <c r="BY133" s="840"/>
      <c r="BZ133" s="717"/>
      <c r="CA133" s="717"/>
      <c r="CB133" s="717"/>
      <c r="CC133" s="717"/>
      <c r="CD133" s="822"/>
      <c r="CE133" s="1029">
        <v>78061</v>
      </c>
      <c r="CF133" s="1030">
        <v>55541</v>
      </c>
      <c r="CG133" s="1030">
        <v>18773</v>
      </c>
      <c r="CH133" s="1030">
        <v>555</v>
      </c>
      <c r="CI133" s="1030">
        <v>3192</v>
      </c>
      <c r="CJ133" s="828">
        <v>0.189</v>
      </c>
    </row>
    <row r="134" spans="1:88" ht="12.95" customHeight="1">
      <c r="A134" s="280">
        <v>26</v>
      </c>
      <c r="B134" s="212">
        <v>5486</v>
      </c>
      <c r="C134" s="212">
        <v>600098711</v>
      </c>
      <c r="D134" s="281">
        <v>72744022</v>
      </c>
      <c r="E134" s="372" t="s">
        <v>499</v>
      </c>
      <c r="F134" s="212">
        <v>3111</v>
      </c>
      <c r="G134" s="373" t="s">
        <v>291</v>
      </c>
      <c r="H134" s="285" t="s">
        <v>272</v>
      </c>
      <c r="I134" s="419">
        <v>249921</v>
      </c>
      <c r="J134" s="414">
        <v>185401</v>
      </c>
      <c r="K134" s="414">
        <v>185401</v>
      </c>
      <c r="L134" s="414">
        <v>0</v>
      </c>
      <c r="M134" s="414">
        <v>0</v>
      </c>
      <c r="N134" s="414">
        <v>0</v>
      </c>
      <c r="O134" s="414">
        <v>0</v>
      </c>
      <c r="P134" s="68">
        <v>62666</v>
      </c>
      <c r="Q134" s="68">
        <v>1854</v>
      </c>
      <c r="R134" s="414">
        <v>0</v>
      </c>
      <c r="S134" s="415">
        <v>0.5</v>
      </c>
      <c r="T134" s="415">
        <v>0.5</v>
      </c>
      <c r="U134" s="422">
        <v>0</v>
      </c>
      <c r="V134" s="423">
        <f t="shared" si="109"/>
        <v>0</v>
      </c>
      <c r="W134" s="417">
        <f t="shared" si="109"/>
        <v>0</v>
      </c>
      <c r="X134" s="417">
        <v>-61800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 t="shared" si="110"/>
        <v>-61800</v>
      </c>
      <c r="AF134" s="417">
        <f t="shared" si="111"/>
        <v>0</v>
      </c>
      <c r="AG134" s="417">
        <f t="shared" si="112"/>
        <v>-61800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13"/>
        <v>0</v>
      </c>
      <c r="AN134" s="417">
        <f t="shared" si="114"/>
        <v>0</v>
      </c>
      <c r="AO134" s="417">
        <f t="shared" si="115"/>
        <v>0</v>
      </c>
      <c r="AP134" s="417">
        <f t="shared" si="116"/>
        <v>-61800</v>
      </c>
      <c r="AQ134" s="417">
        <f t="shared" si="116"/>
        <v>0</v>
      </c>
      <c r="AR134" s="417">
        <f t="shared" si="117"/>
        <v>-61800</v>
      </c>
      <c r="AS134" s="68">
        <f t="shared" si="118"/>
        <v>-20888</v>
      </c>
      <c r="AT134" s="68">
        <f t="shared" si="119"/>
        <v>-618</v>
      </c>
      <c r="AU134" s="417">
        <v>0</v>
      </c>
      <c r="AV134" s="417">
        <v>0</v>
      </c>
      <c r="AW134" s="417">
        <v>0</v>
      </c>
      <c r="AX134" s="417">
        <f t="shared" si="120"/>
        <v>0</v>
      </c>
      <c r="AY134" s="417">
        <f t="shared" si="121"/>
        <v>-83306</v>
      </c>
      <c r="AZ134" s="418">
        <v>0</v>
      </c>
      <c r="BA134" s="418">
        <v>0</v>
      </c>
      <c r="BB134" s="418">
        <v>-0.17</v>
      </c>
      <c r="BC134" s="418">
        <v>0</v>
      </c>
      <c r="BD134" s="418">
        <v>0</v>
      </c>
      <c r="BE134" s="418">
        <v>0</v>
      </c>
      <c r="BF134" s="418">
        <v>0</v>
      </c>
      <c r="BG134" s="418">
        <v>0</v>
      </c>
      <c r="BH134" s="418">
        <v>0</v>
      </c>
      <c r="BI134" s="418">
        <f t="shared" si="122"/>
        <v>-0.17</v>
      </c>
      <c r="BJ134" s="418">
        <f t="shared" si="123"/>
        <v>0</v>
      </c>
      <c r="BK134" s="420">
        <f t="shared" si="124"/>
        <v>-0.17</v>
      </c>
      <c r="BL134" s="772">
        <f>I134+AY134</f>
        <v>166615</v>
      </c>
      <c r="BM134" s="772">
        <f>J134+AG134</f>
        <v>123601</v>
      </c>
      <c r="BN134" s="417">
        <f t="shared" si="208"/>
        <v>123601</v>
      </c>
      <c r="BO134" s="417">
        <f t="shared" si="208"/>
        <v>0</v>
      </c>
      <c r="BP134" s="417">
        <f>M134+AO134</f>
        <v>0</v>
      </c>
      <c r="BQ134" s="417">
        <f t="shared" si="209"/>
        <v>0</v>
      </c>
      <c r="BR134" s="417">
        <f t="shared" si="209"/>
        <v>0</v>
      </c>
      <c r="BS134" s="417">
        <f t="shared" si="210"/>
        <v>41778</v>
      </c>
      <c r="BT134" s="417">
        <f t="shared" si="210"/>
        <v>1236</v>
      </c>
      <c r="BU134" s="417">
        <f>R134+AX134</f>
        <v>0</v>
      </c>
      <c r="BV134" s="418">
        <f>S134+BK134</f>
        <v>0.32999999999999996</v>
      </c>
      <c r="BW134" s="418">
        <f t="shared" si="211"/>
        <v>0.32999999999999996</v>
      </c>
      <c r="BX134" s="420">
        <f t="shared" si="211"/>
        <v>0</v>
      </c>
      <c r="BY134" s="840"/>
      <c r="BZ134" s="717"/>
      <c r="CA134" s="717"/>
      <c r="CB134" s="717"/>
      <c r="CC134" s="717"/>
      <c r="CD134" s="822"/>
      <c r="CE134" s="1029"/>
      <c r="CF134" s="1030"/>
      <c r="CG134" s="1030"/>
      <c r="CH134" s="1030"/>
      <c r="CI134" s="1030"/>
      <c r="CJ134" s="828"/>
    </row>
    <row r="135" spans="1:88" ht="12.95" customHeight="1">
      <c r="A135" s="280">
        <v>26</v>
      </c>
      <c r="B135" s="212">
        <v>5486</v>
      </c>
      <c r="C135" s="212">
        <v>600098711</v>
      </c>
      <c r="D135" s="281">
        <v>72744022</v>
      </c>
      <c r="E135" s="372" t="s">
        <v>499</v>
      </c>
      <c r="F135" s="212">
        <v>3141</v>
      </c>
      <c r="G135" s="373" t="s">
        <v>294</v>
      </c>
      <c r="H135" s="285" t="s">
        <v>272</v>
      </c>
      <c r="I135" s="419">
        <v>409518</v>
      </c>
      <c r="J135" s="414">
        <v>302871</v>
      </c>
      <c r="K135" s="414">
        <v>0</v>
      </c>
      <c r="L135" s="414">
        <v>302871</v>
      </c>
      <c r="M135" s="414">
        <v>0</v>
      </c>
      <c r="N135" s="414">
        <v>0</v>
      </c>
      <c r="O135" s="414">
        <v>0</v>
      </c>
      <c r="P135" s="68">
        <v>102371</v>
      </c>
      <c r="Q135" s="68">
        <v>3028</v>
      </c>
      <c r="R135" s="414">
        <v>1248</v>
      </c>
      <c r="S135" s="415">
        <v>0.90670000000000006</v>
      </c>
      <c r="T135" s="415">
        <v>0</v>
      </c>
      <c r="U135" s="422">
        <v>0.90670000000000006</v>
      </c>
      <c r="V135" s="423">
        <f t="shared" si="109"/>
        <v>0</v>
      </c>
      <c r="W135" s="417">
        <f t="shared" si="109"/>
        <v>0</v>
      </c>
      <c r="X135" s="417">
        <v>0</v>
      </c>
      <c r="Y135" s="417">
        <v>0</v>
      </c>
      <c r="Z135" s="417">
        <v>0</v>
      </c>
      <c r="AA135" s="417">
        <v>6354</v>
      </c>
      <c r="AB135" s="417">
        <v>0</v>
      </c>
      <c r="AC135" s="417">
        <v>0</v>
      </c>
      <c r="AD135" s="417">
        <v>0</v>
      </c>
      <c r="AE135" s="417">
        <f t="shared" si="110"/>
        <v>0</v>
      </c>
      <c r="AF135" s="417">
        <f t="shared" si="111"/>
        <v>6354</v>
      </c>
      <c r="AG135" s="417">
        <f t="shared" si="112"/>
        <v>6354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13"/>
        <v>0</v>
      </c>
      <c r="AN135" s="417">
        <f t="shared" si="114"/>
        <v>0</v>
      </c>
      <c r="AO135" s="417">
        <f t="shared" si="115"/>
        <v>0</v>
      </c>
      <c r="AP135" s="417">
        <f t="shared" si="116"/>
        <v>0</v>
      </c>
      <c r="AQ135" s="417">
        <f t="shared" si="116"/>
        <v>6354</v>
      </c>
      <c r="AR135" s="417">
        <f t="shared" si="117"/>
        <v>6354</v>
      </c>
      <c r="AS135" s="68">
        <f t="shared" si="118"/>
        <v>2148</v>
      </c>
      <c r="AT135" s="68">
        <f t="shared" si="119"/>
        <v>64</v>
      </c>
      <c r="AU135" s="417">
        <v>0</v>
      </c>
      <c r="AV135" s="417">
        <v>0</v>
      </c>
      <c r="AW135" s="417">
        <v>0</v>
      </c>
      <c r="AX135" s="417">
        <f t="shared" si="120"/>
        <v>0</v>
      </c>
      <c r="AY135" s="417">
        <f t="shared" si="121"/>
        <v>8566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0.02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22"/>
        <v>0</v>
      </c>
      <c r="BJ135" s="418">
        <f t="shared" si="123"/>
        <v>0.02</v>
      </c>
      <c r="BK135" s="420">
        <f t="shared" si="124"/>
        <v>0.02</v>
      </c>
      <c r="BL135" s="772">
        <f>I135+AY135</f>
        <v>418084</v>
      </c>
      <c r="BM135" s="772">
        <f>J135+AG135</f>
        <v>309225</v>
      </c>
      <c r="BN135" s="417">
        <f t="shared" si="208"/>
        <v>0</v>
      </c>
      <c r="BO135" s="417">
        <f t="shared" si="208"/>
        <v>309225</v>
      </c>
      <c r="BP135" s="417">
        <f>M135+AO135</f>
        <v>0</v>
      </c>
      <c r="BQ135" s="417">
        <f t="shared" si="209"/>
        <v>0</v>
      </c>
      <c r="BR135" s="417">
        <f t="shared" si="209"/>
        <v>0</v>
      </c>
      <c r="BS135" s="417">
        <f t="shared" si="210"/>
        <v>104519</v>
      </c>
      <c r="BT135" s="417">
        <f t="shared" si="210"/>
        <v>3092</v>
      </c>
      <c r="BU135" s="417">
        <f>R135+AX135</f>
        <v>1248</v>
      </c>
      <c r="BV135" s="418">
        <f>S135+BK135</f>
        <v>0.92670000000000008</v>
      </c>
      <c r="BW135" s="418">
        <f t="shared" si="211"/>
        <v>0</v>
      </c>
      <c r="BX135" s="420">
        <f t="shared" si="211"/>
        <v>0.92670000000000008</v>
      </c>
      <c r="BY135" s="840"/>
      <c r="BZ135" s="717"/>
      <c r="CA135" s="717"/>
      <c r="CB135" s="717"/>
      <c r="CC135" s="717"/>
      <c r="CD135" s="822"/>
      <c r="CE135" s="1029"/>
      <c r="CF135" s="1030"/>
      <c r="CG135" s="1030"/>
      <c r="CH135" s="1030"/>
      <c r="CI135" s="1030"/>
      <c r="CJ135" s="828"/>
    </row>
    <row r="136" spans="1:88" ht="12.95" customHeight="1">
      <c r="A136" s="213">
        <v>26</v>
      </c>
      <c r="B136" s="45">
        <v>5486</v>
      </c>
      <c r="C136" s="45">
        <v>600098711</v>
      </c>
      <c r="D136" s="45">
        <v>72744022</v>
      </c>
      <c r="E136" s="374" t="s">
        <v>500</v>
      </c>
      <c r="F136" s="45"/>
      <c r="G136" s="374"/>
      <c r="H136" s="182"/>
      <c r="I136" s="487">
        <v>2787049</v>
      </c>
      <c r="J136" s="484">
        <v>2059496</v>
      </c>
      <c r="K136" s="484">
        <v>1583543</v>
      </c>
      <c r="L136" s="484">
        <v>475953</v>
      </c>
      <c r="M136" s="484">
        <v>0</v>
      </c>
      <c r="N136" s="484">
        <v>0</v>
      </c>
      <c r="O136" s="484">
        <v>0</v>
      </c>
      <c r="P136" s="484">
        <v>696111</v>
      </c>
      <c r="Q136" s="484">
        <v>20594</v>
      </c>
      <c r="R136" s="484">
        <v>10848</v>
      </c>
      <c r="S136" s="485">
        <v>4.2857000000000003</v>
      </c>
      <c r="T136" s="485">
        <v>2.79</v>
      </c>
      <c r="U136" s="652">
        <v>1.4957</v>
      </c>
      <c r="V136" s="487">
        <f t="shared" ref="V136:BK136" si="212">SUM(V133:V135)</f>
        <v>0</v>
      </c>
      <c r="W136" s="484">
        <f t="shared" si="212"/>
        <v>0</v>
      </c>
      <c r="X136" s="484">
        <f t="shared" si="212"/>
        <v>-61800</v>
      </c>
      <c r="Y136" s="484">
        <f t="shared" si="212"/>
        <v>0</v>
      </c>
      <c r="Z136" s="484">
        <f t="shared" si="212"/>
        <v>227716</v>
      </c>
      <c r="AA136" s="484">
        <f t="shared" si="212"/>
        <v>6354</v>
      </c>
      <c r="AB136" s="484">
        <f t="shared" si="212"/>
        <v>0</v>
      </c>
      <c r="AC136" s="484">
        <f t="shared" si="212"/>
        <v>0</v>
      </c>
      <c r="AD136" s="484">
        <f t="shared" si="212"/>
        <v>0</v>
      </c>
      <c r="AE136" s="484">
        <f t="shared" si="212"/>
        <v>165916</v>
      </c>
      <c r="AF136" s="484">
        <f t="shared" si="212"/>
        <v>6354</v>
      </c>
      <c r="AG136" s="484">
        <f t="shared" si="212"/>
        <v>172270</v>
      </c>
      <c r="AH136" s="484">
        <f t="shared" si="212"/>
        <v>0</v>
      </c>
      <c r="AI136" s="484">
        <f t="shared" si="212"/>
        <v>0</v>
      </c>
      <c r="AJ136" s="484">
        <f t="shared" si="212"/>
        <v>0</v>
      </c>
      <c r="AK136" s="484">
        <f t="shared" si="212"/>
        <v>0</v>
      </c>
      <c r="AL136" s="484">
        <f t="shared" si="212"/>
        <v>0</v>
      </c>
      <c r="AM136" s="484">
        <f t="shared" si="212"/>
        <v>0</v>
      </c>
      <c r="AN136" s="484">
        <f t="shared" si="212"/>
        <v>0</v>
      </c>
      <c r="AO136" s="484">
        <f t="shared" si="212"/>
        <v>0</v>
      </c>
      <c r="AP136" s="484">
        <f t="shared" si="212"/>
        <v>165916</v>
      </c>
      <c r="AQ136" s="484">
        <f t="shared" si="212"/>
        <v>6354</v>
      </c>
      <c r="AR136" s="484">
        <f t="shared" si="212"/>
        <v>172270</v>
      </c>
      <c r="AS136" s="484">
        <f t="shared" si="212"/>
        <v>58228</v>
      </c>
      <c r="AT136" s="484">
        <f t="shared" si="212"/>
        <v>1723</v>
      </c>
      <c r="AU136" s="484">
        <f t="shared" si="212"/>
        <v>0</v>
      </c>
      <c r="AV136" s="484">
        <f t="shared" si="212"/>
        <v>0</v>
      </c>
      <c r="AW136" s="484">
        <f t="shared" si="212"/>
        <v>0</v>
      </c>
      <c r="AX136" s="484">
        <f t="shared" si="212"/>
        <v>0</v>
      </c>
      <c r="AY136" s="484">
        <f t="shared" si="212"/>
        <v>232221</v>
      </c>
      <c r="AZ136" s="485">
        <f t="shared" si="212"/>
        <v>0</v>
      </c>
      <c r="BA136" s="485">
        <f t="shared" si="212"/>
        <v>0</v>
      </c>
      <c r="BB136" s="485">
        <f t="shared" si="212"/>
        <v>-0.17</v>
      </c>
      <c r="BC136" s="485">
        <f t="shared" si="212"/>
        <v>0.51</v>
      </c>
      <c r="BD136" s="485">
        <f t="shared" si="212"/>
        <v>0.02</v>
      </c>
      <c r="BE136" s="485">
        <f t="shared" si="212"/>
        <v>0</v>
      </c>
      <c r="BF136" s="485">
        <f t="shared" si="212"/>
        <v>0</v>
      </c>
      <c r="BG136" s="485">
        <f t="shared" si="212"/>
        <v>0</v>
      </c>
      <c r="BH136" s="485">
        <f t="shared" si="212"/>
        <v>0</v>
      </c>
      <c r="BI136" s="485">
        <f t="shared" si="212"/>
        <v>0.33999999999999997</v>
      </c>
      <c r="BJ136" s="485">
        <f t="shared" si="212"/>
        <v>0.02</v>
      </c>
      <c r="BK136" s="379">
        <f t="shared" si="212"/>
        <v>0.36</v>
      </c>
      <c r="BL136" s="1076">
        <f t="shared" ref="BL136:CG136" si="213">SUM(BL133:BL135)</f>
        <v>3019270</v>
      </c>
      <c r="BM136" s="1076">
        <f t="shared" si="213"/>
        <v>2231766</v>
      </c>
      <c r="BN136" s="484">
        <f t="shared" si="213"/>
        <v>1749459</v>
      </c>
      <c r="BO136" s="484">
        <f t="shared" si="213"/>
        <v>482307</v>
      </c>
      <c r="BP136" s="484">
        <f t="shared" si="213"/>
        <v>0</v>
      </c>
      <c r="BQ136" s="484">
        <f t="shared" si="213"/>
        <v>0</v>
      </c>
      <c r="BR136" s="484">
        <f t="shared" si="213"/>
        <v>0</v>
      </c>
      <c r="BS136" s="484">
        <f t="shared" si="213"/>
        <v>754339</v>
      </c>
      <c r="BT136" s="484">
        <f t="shared" si="213"/>
        <v>22317</v>
      </c>
      <c r="BU136" s="484">
        <f t="shared" si="213"/>
        <v>10848</v>
      </c>
      <c r="BV136" s="485">
        <f t="shared" si="213"/>
        <v>4.6457000000000006</v>
      </c>
      <c r="BW136" s="485">
        <f t="shared" si="213"/>
        <v>3.13</v>
      </c>
      <c r="BX136" s="379">
        <f t="shared" si="213"/>
        <v>1.5157</v>
      </c>
      <c r="BY136" s="941">
        <f t="shared" si="213"/>
        <v>0</v>
      </c>
      <c r="BZ136" s="728">
        <f t="shared" si="213"/>
        <v>0</v>
      </c>
      <c r="CA136" s="728">
        <f t="shared" si="213"/>
        <v>0</v>
      </c>
      <c r="CB136" s="728">
        <f t="shared" si="213"/>
        <v>0</v>
      </c>
      <c r="CC136" s="728">
        <f t="shared" si="213"/>
        <v>0</v>
      </c>
      <c r="CD136" s="834">
        <f t="shared" si="213"/>
        <v>0</v>
      </c>
      <c r="CE136" s="1025">
        <f t="shared" si="213"/>
        <v>78061</v>
      </c>
      <c r="CF136" s="1025">
        <f t="shared" si="213"/>
        <v>55541</v>
      </c>
      <c r="CG136" s="1025">
        <f t="shared" si="213"/>
        <v>18773</v>
      </c>
      <c r="CH136" s="1025">
        <f t="shared" ref="CH136:CJ136" si="214">SUM(CH133:CH135)</f>
        <v>555</v>
      </c>
      <c r="CI136" s="1025">
        <f t="shared" si="214"/>
        <v>3192</v>
      </c>
      <c r="CJ136" s="933">
        <f t="shared" si="214"/>
        <v>0.189</v>
      </c>
    </row>
    <row r="137" spans="1:88" ht="12.95" customHeight="1">
      <c r="A137" s="280">
        <v>27</v>
      </c>
      <c r="B137" s="376">
        <v>2440</v>
      </c>
      <c r="C137" s="376">
        <v>600079392</v>
      </c>
      <c r="D137" s="281">
        <v>70981183</v>
      </c>
      <c r="E137" s="372" t="s">
        <v>501</v>
      </c>
      <c r="F137" s="212">
        <v>3111</v>
      </c>
      <c r="G137" s="373" t="s">
        <v>304</v>
      </c>
      <c r="H137" s="285" t="s">
        <v>271</v>
      </c>
      <c r="I137" s="419">
        <v>2621396</v>
      </c>
      <c r="J137" s="414">
        <v>1935160</v>
      </c>
      <c r="K137" s="414">
        <v>1608577</v>
      </c>
      <c r="L137" s="414">
        <v>326583</v>
      </c>
      <c r="M137" s="414">
        <v>0</v>
      </c>
      <c r="N137" s="414">
        <v>0</v>
      </c>
      <c r="O137" s="414">
        <v>0</v>
      </c>
      <c r="P137" s="68">
        <v>654084</v>
      </c>
      <c r="Q137" s="68">
        <v>19352</v>
      </c>
      <c r="R137" s="414">
        <v>12800</v>
      </c>
      <c r="S137" s="415">
        <v>4.0994999999999999</v>
      </c>
      <c r="T137" s="415">
        <v>3</v>
      </c>
      <c r="U137" s="422">
        <v>1.0994999999999999</v>
      </c>
      <c r="V137" s="423">
        <f t="shared" si="109"/>
        <v>0</v>
      </c>
      <c r="W137" s="417">
        <f t="shared" si="109"/>
        <v>0</v>
      </c>
      <c r="X137" s="417">
        <v>0</v>
      </c>
      <c r="Y137" s="417">
        <v>0</v>
      </c>
      <c r="Z137" s="417">
        <v>0</v>
      </c>
      <c r="AA137" s="417">
        <v>0</v>
      </c>
      <c r="AB137" s="417">
        <v>0</v>
      </c>
      <c r="AC137" s="417">
        <v>0</v>
      </c>
      <c r="AD137" s="417">
        <v>0</v>
      </c>
      <c r="AE137" s="417">
        <f t="shared" si="110"/>
        <v>0</v>
      </c>
      <c r="AF137" s="417">
        <f t="shared" si="111"/>
        <v>0</v>
      </c>
      <c r="AG137" s="417">
        <f t="shared" si="112"/>
        <v>0</v>
      </c>
      <c r="AH137" s="417">
        <v>0</v>
      </c>
      <c r="AI137" s="417">
        <v>0</v>
      </c>
      <c r="AJ137" s="417">
        <v>0</v>
      </c>
      <c r="AK137" s="417">
        <v>0</v>
      </c>
      <c r="AL137" s="417">
        <v>0</v>
      </c>
      <c r="AM137" s="417">
        <f t="shared" si="113"/>
        <v>0</v>
      </c>
      <c r="AN137" s="417">
        <f t="shared" si="114"/>
        <v>0</v>
      </c>
      <c r="AO137" s="417">
        <f t="shared" si="115"/>
        <v>0</v>
      </c>
      <c r="AP137" s="417">
        <f t="shared" si="116"/>
        <v>0</v>
      </c>
      <c r="AQ137" s="417">
        <f t="shared" si="116"/>
        <v>0</v>
      </c>
      <c r="AR137" s="417">
        <f t="shared" si="117"/>
        <v>0</v>
      </c>
      <c r="AS137" s="68">
        <f t="shared" si="118"/>
        <v>0</v>
      </c>
      <c r="AT137" s="68">
        <f t="shared" si="119"/>
        <v>0</v>
      </c>
      <c r="AU137" s="417">
        <v>0</v>
      </c>
      <c r="AV137" s="417">
        <v>0</v>
      </c>
      <c r="AW137" s="417">
        <v>0</v>
      </c>
      <c r="AX137" s="417">
        <f t="shared" si="120"/>
        <v>0</v>
      </c>
      <c r="AY137" s="417">
        <f t="shared" si="121"/>
        <v>0</v>
      </c>
      <c r="AZ137" s="418">
        <v>0</v>
      </c>
      <c r="BA137" s="418">
        <v>0</v>
      </c>
      <c r="BB137" s="418">
        <v>0</v>
      </c>
      <c r="BC137" s="418">
        <v>0</v>
      </c>
      <c r="BD137" s="418">
        <v>0</v>
      </c>
      <c r="BE137" s="418">
        <v>0</v>
      </c>
      <c r="BF137" s="418">
        <v>0</v>
      </c>
      <c r="BG137" s="418">
        <v>0</v>
      </c>
      <c r="BH137" s="418">
        <v>0</v>
      </c>
      <c r="BI137" s="418">
        <f t="shared" si="122"/>
        <v>0</v>
      </c>
      <c r="BJ137" s="418">
        <f t="shared" si="123"/>
        <v>0</v>
      </c>
      <c r="BK137" s="420">
        <f t="shared" si="124"/>
        <v>0</v>
      </c>
      <c r="BL137" s="772">
        <f>I137+AY137</f>
        <v>2621396</v>
      </c>
      <c r="BM137" s="772">
        <f>J137+AG137</f>
        <v>1935160</v>
      </c>
      <c r="BN137" s="417">
        <f t="shared" ref="BN137:BO139" si="215">K137+AE137</f>
        <v>1608577</v>
      </c>
      <c r="BO137" s="417">
        <f t="shared" si="215"/>
        <v>326583</v>
      </c>
      <c r="BP137" s="417">
        <f>M137+AO137</f>
        <v>0</v>
      </c>
      <c r="BQ137" s="417">
        <f t="shared" ref="BQ137:BR139" si="216">N137+AM137</f>
        <v>0</v>
      </c>
      <c r="BR137" s="417">
        <f t="shared" si="216"/>
        <v>0</v>
      </c>
      <c r="BS137" s="417">
        <f t="shared" ref="BS137:BT139" si="217">P137+AS137</f>
        <v>654084</v>
      </c>
      <c r="BT137" s="417">
        <f t="shared" si="217"/>
        <v>19352</v>
      </c>
      <c r="BU137" s="417">
        <f>R137+AX137</f>
        <v>12800</v>
      </c>
      <c r="BV137" s="418">
        <f>S137+BK137</f>
        <v>4.0994999999999999</v>
      </c>
      <c r="BW137" s="418">
        <f t="shared" ref="BW137:BX139" si="218">T137+BI137</f>
        <v>3</v>
      </c>
      <c r="BX137" s="420">
        <f t="shared" si="218"/>
        <v>1.0994999999999999</v>
      </c>
      <c r="BY137" s="840"/>
      <c r="BZ137" s="717"/>
      <c r="CA137" s="717"/>
      <c r="CB137" s="717"/>
      <c r="CC137" s="717"/>
      <c r="CD137" s="822"/>
      <c r="CE137" s="1029">
        <v>145514</v>
      </c>
      <c r="CF137" s="1030">
        <v>104791</v>
      </c>
      <c r="CG137" s="1030">
        <v>35419</v>
      </c>
      <c r="CH137" s="1030">
        <v>1048</v>
      </c>
      <c r="CI137" s="1030">
        <v>4256</v>
      </c>
      <c r="CJ137" s="828">
        <v>0.3528</v>
      </c>
    </row>
    <row r="138" spans="1:88" ht="12.95" customHeight="1">
      <c r="A138" s="280">
        <v>27</v>
      </c>
      <c r="B138" s="376">
        <v>2440</v>
      </c>
      <c r="C138" s="376">
        <v>600079392</v>
      </c>
      <c r="D138" s="281">
        <v>70981183</v>
      </c>
      <c r="E138" s="372" t="s">
        <v>501</v>
      </c>
      <c r="F138" s="212">
        <v>3111</v>
      </c>
      <c r="G138" s="373" t="s">
        <v>291</v>
      </c>
      <c r="H138" s="285" t="s">
        <v>272</v>
      </c>
      <c r="I138" s="419">
        <v>11124</v>
      </c>
      <c r="J138" s="414">
        <v>8252</v>
      </c>
      <c r="K138" s="414">
        <v>8252</v>
      </c>
      <c r="L138" s="414">
        <v>0</v>
      </c>
      <c r="M138" s="414">
        <v>0</v>
      </c>
      <c r="N138" s="414">
        <v>0</v>
      </c>
      <c r="O138" s="414">
        <v>0</v>
      </c>
      <c r="P138" s="68">
        <v>2789</v>
      </c>
      <c r="Q138" s="68">
        <v>83</v>
      </c>
      <c r="R138" s="414">
        <v>0</v>
      </c>
      <c r="S138" s="415">
        <v>0.02</v>
      </c>
      <c r="T138" s="415">
        <v>0.02</v>
      </c>
      <c r="U138" s="422">
        <v>0</v>
      </c>
      <c r="V138" s="423">
        <f t="shared" si="109"/>
        <v>0</v>
      </c>
      <c r="W138" s="417">
        <f t="shared" si="109"/>
        <v>0</v>
      </c>
      <c r="X138" s="417">
        <v>0</v>
      </c>
      <c r="Y138" s="417">
        <v>0</v>
      </c>
      <c r="Z138" s="417">
        <v>0</v>
      </c>
      <c r="AA138" s="417">
        <v>0</v>
      </c>
      <c r="AB138" s="417">
        <v>0</v>
      </c>
      <c r="AC138" s="417">
        <v>0</v>
      </c>
      <c r="AD138" s="417">
        <v>0</v>
      </c>
      <c r="AE138" s="417">
        <f t="shared" si="110"/>
        <v>0</v>
      </c>
      <c r="AF138" s="417">
        <f t="shared" si="111"/>
        <v>0</v>
      </c>
      <c r="AG138" s="417">
        <f t="shared" si="112"/>
        <v>0</v>
      </c>
      <c r="AH138" s="417">
        <v>0</v>
      </c>
      <c r="AI138" s="417">
        <v>0</v>
      </c>
      <c r="AJ138" s="417">
        <v>0</v>
      </c>
      <c r="AK138" s="417">
        <v>0</v>
      </c>
      <c r="AL138" s="417">
        <v>0</v>
      </c>
      <c r="AM138" s="417">
        <f t="shared" si="113"/>
        <v>0</v>
      </c>
      <c r="AN138" s="417">
        <f t="shared" si="114"/>
        <v>0</v>
      </c>
      <c r="AO138" s="417">
        <f t="shared" si="115"/>
        <v>0</v>
      </c>
      <c r="AP138" s="417">
        <f t="shared" si="116"/>
        <v>0</v>
      </c>
      <c r="AQ138" s="417">
        <f t="shared" si="116"/>
        <v>0</v>
      </c>
      <c r="AR138" s="417">
        <f t="shared" si="117"/>
        <v>0</v>
      </c>
      <c r="AS138" s="68">
        <f t="shared" si="118"/>
        <v>0</v>
      </c>
      <c r="AT138" s="68">
        <f t="shared" si="119"/>
        <v>0</v>
      </c>
      <c r="AU138" s="417">
        <v>0</v>
      </c>
      <c r="AV138" s="417">
        <v>0</v>
      </c>
      <c r="AW138" s="417">
        <v>0</v>
      </c>
      <c r="AX138" s="417">
        <f t="shared" si="120"/>
        <v>0</v>
      </c>
      <c r="AY138" s="417">
        <f t="shared" si="121"/>
        <v>0</v>
      </c>
      <c r="AZ138" s="418">
        <v>0</v>
      </c>
      <c r="BA138" s="418">
        <v>0</v>
      </c>
      <c r="BB138" s="418">
        <v>0</v>
      </c>
      <c r="BC138" s="418">
        <v>0</v>
      </c>
      <c r="BD138" s="418">
        <v>0</v>
      </c>
      <c r="BE138" s="418">
        <v>0</v>
      </c>
      <c r="BF138" s="418">
        <v>0</v>
      </c>
      <c r="BG138" s="418">
        <v>0</v>
      </c>
      <c r="BH138" s="418">
        <v>0</v>
      </c>
      <c r="BI138" s="418">
        <f t="shared" si="122"/>
        <v>0</v>
      </c>
      <c r="BJ138" s="418">
        <f t="shared" si="123"/>
        <v>0</v>
      </c>
      <c r="BK138" s="420">
        <f t="shared" si="124"/>
        <v>0</v>
      </c>
      <c r="BL138" s="772">
        <f>I138+AY138</f>
        <v>11124</v>
      </c>
      <c r="BM138" s="772">
        <f>J138+AG138</f>
        <v>8252</v>
      </c>
      <c r="BN138" s="417">
        <f t="shared" si="215"/>
        <v>8252</v>
      </c>
      <c r="BO138" s="417">
        <f t="shared" si="215"/>
        <v>0</v>
      </c>
      <c r="BP138" s="417">
        <f>M138+AO138</f>
        <v>0</v>
      </c>
      <c r="BQ138" s="417">
        <f t="shared" si="216"/>
        <v>0</v>
      </c>
      <c r="BR138" s="417">
        <f t="shared" si="216"/>
        <v>0</v>
      </c>
      <c r="BS138" s="417">
        <f t="shared" si="217"/>
        <v>2789</v>
      </c>
      <c r="BT138" s="417">
        <f t="shared" si="217"/>
        <v>83</v>
      </c>
      <c r="BU138" s="417">
        <f>R138+AX138</f>
        <v>0</v>
      </c>
      <c r="BV138" s="418">
        <f>S138+BK138</f>
        <v>0.02</v>
      </c>
      <c r="BW138" s="418">
        <f t="shared" si="218"/>
        <v>0.02</v>
      </c>
      <c r="BX138" s="420">
        <f t="shared" si="218"/>
        <v>0</v>
      </c>
      <c r="BY138" s="840"/>
      <c r="BZ138" s="717"/>
      <c r="CA138" s="717"/>
      <c r="CB138" s="717"/>
      <c r="CC138" s="717"/>
      <c r="CD138" s="822"/>
      <c r="CE138" s="1029"/>
      <c r="CF138" s="1030"/>
      <c r="CG138" s="1030"/>
      <c r="CH138" s="1030"/>
      <c r="CI138" s="1030"/>
      <c r="CJ138" s="828"/>
    </row>
    <row r="139" spans="1:88" ht="12.95" customHeight="1">
      <c r="A139" s="280">
        <v>27</v>
      </c>
      <c r="B139" s="212">
        <v>2440</v>
      </c>
      <c r="C139" s="212">
        <v>600079392</v>
      </c>
      <c r="D139" s="281">
        <v>70981183</v>
      </c>
      <c r="E139" s="372" t="s">
        <v>501</v>
      </c>
      <c r="F139" s="212">
        <v>3141</v>
      </c>
      <c r="G139" s="373" t="s">
        <v>294</v>
      </c>
      <c r="H139" s="285" t="s">
        <v>272</v>
      </c>
      <c r="I139" s="419">
        <v>508030</v>
      </c>
      <c r="J139" s="414">
        <v>375643</v>
      </c>
      <c r="K139" s="414">
        <v>0</v>
      </c>
      <c r="L139" s="414">
        <v>375643</v>
      </c>
      <c r="M139" s="414">
        <v>0</v>
      </c>
      <c r="N139" s="414">
        <v>0</v>
      </c>
      <c r="O139" s="414">
        <v>0</v>
      </c>
      <c r="P139" s="68">
        <v>126967</v>
      </c>
      <c r="Q139" s="68">
        <v>3756</v>
      </c>
      <c r="R139" s="414">
        <v>1664</v>
      </c>
      <c r="S139" s="415">
        <v>1.1333</v>
      </c>
      <c r="T139" s="415">
        <v>0</v>
      </c>
      <c r="U139" s="422">
        <v>1.1333</v>
      </c>
      <c r="V139" s="423">
        <f t="shared" si="109"/>
        <v>0</v>
      </c>
      <c r="W139" s="417">
        <f t="shared" si="109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0</v>
      </c>
      <c r="AC139" s="417">
        <v>0</v>
      </c>
      <c r="AD139" s="417">
        <v>0</v>
      </c>
      <c r="AE139" s="417">
        <f t="shared" si="110"/>
        <v>0</v>
      </c>
      <c r="AF139" s="417">
        <f t="shared" si="111"/>
        <v>0</v>
      </c>
      <c r="AG139" s="417">
        <f t="shared" si="112"/>
        <v>0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13"/>
        <v>0</v>
      </c>
      <c r="AN139" s="417">
        <f t="shared" si="114"/>
        <v>0</v>
      </c>
      <c r="AO139" s="417">
        <f t="shared" si="115"/>
        <v>0</v>
      </c>
      <c r="AP139" s="417">
        <f t="shared" si="116"/>
        <v>0</v>
      </c>
      <c r="AQ139" s="417">
        <f t="shared" si="116"/>
        <v>0</v>
      </c>
      <c r="AR139" s="417">
        <f t="shared" si="117"/>
        <v>0</v>
      </c>
      <c r="AS139" s="68">
        <f t="shared" si="118"/>
        <v>0</v>
      </c>
      <c r="AT139" s="68">
        <f t="shared" si="119"/>
        <v>0</v>
      </c>
      <c r="AU139" s="417">
        <v>0</v>
      </c>
      <c r="AV139" s="417">
        <v>0</v>
      </c>
      <c r="AW139" s="417">
        <v>0</v>
      </c>
      <c r="AX139" s="417">
        <f t="shared" si="120"/>
        <v>0</v>
      </c>
      <c r="AY139" s="417">
        <f t="shared" si="121"/>
        <v>0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418">
        <v>0</v>
      </c>
      <c r="BG139" s="418">
        <v>0</v>
      </c>
      <c r="BH139" s="418">
        <v>0</v>
      </c>
      <c r="BI139" s="418">
        <f t="shared" si="122"/>
        <v>0</v>
      </c>
      <c r="BJ139" s="418">
        <f t="shared" si="123"/>
        <v>0</v>
      </c>
      <c r="BK139" s="420">
        <f t="shared" si="124"/>
        <v>0</v>
      </c>
      <c r="BL139" s="772">
        <f>I139+AY139</f>
        <v>508030</v>
      </c>
      <c r="BM139" s="772">
        <f>J139+AG139</f>
        <v>375643</v>
      </c>
      <c r="BN139" s="417">
        <f t="shared" si="215"/>
        <v>0</v>
      </c>
      <c r="BO139" s="417">
        <f t="shared" si="215"/>
        <v>375643</v>
      </c>
      <c r="BP139" s="417">
        <f>M139+AO139</f>
        <v>0</v>
      </c>
      <c r="BQ139" s="417">
        <f t="shared" si="216"/>
        <v>0</v>
      </c>
      <c r="BR139" s="417">
        <f t="shared" si="216"/>
        <v>0</v>
      </c>
      <c r="BS139" s="417">
        <f t="shared" si="217"/>
        <v>126967</v>
      </c>
      <c r="BT139" s="417">
        <f t="shared" si="217"/>
        <v>3756</v>
      </c>
      <c r="BU139" s="417">
        <f>R139+AX139</f>
        <v>1664</v>
      </c>
      <c r="BV139" s="418">
        <f>S139+BK139</f>
        <v>1.1333</v>
      </c>
      <c r="BW139" s="418">
        <f t="shared" si="218"/>
        <v>0</v>
      </c>
      <c r="BX139" s="420">
        <f t="shared" si="218"/>
        <v>1.1333</v>
      </c>
      <c r="BY139" s="840"/>
      <c r="BZ139" s="717"/>
      <c r="CA139" s="717"/>
      <c r="CB139" s="717"/>
      <c r="CC139" s="717"/>
      <c r="CD139" s="822"/>
      <c r="CE139" s="1029"/>
      <c r="CF139" s="1030"/>
      <c r="CG139" s="1030"/>
      <c r="CH139" s="1030"/>
      <c r="CI139" s="1030"/>
      <c r="CJ139" s="828"/>
    </row>
    <row r="140" spans="1:88" ht="12.95" customHeight="1">
      <c r="A140" s="213">
        <v>27</v>
      </c>
      <c r="B140" s="45">
        <v>2440</v>
      </c>
      <c r="C140" s="45">
        <v>600079392</v>
      </c>
      <c r="D140" s="45">
        <v>70981183</v>
      </c>
      <c r="E140" s="374" t="s">
        <v>502</v>
      </c>
      <c r="F140" s="45"/>
      <c r="G140" s="374"/>
      <c r="H140" s="182"/>
      <c r="I140" s="487">
        <v>3140550</v>
      </c>
      <c r="J140" s="484">
        <v>2319055</v>
      </c>
      <c r="K140" s="484">
        <v>1616829</v>
      </c>
      <c r="L140" s="484">
        <v>702226</v>
      </c>
      <c r="M140" s="484">
        <v>0</v>
      </c>
      <c r="N140" s="484">
        <v>0</v>
      </c>
      <c r="O140" s="484">
        <v>0</v>
      </c>
      <c r="P140" s="484">
        <v>783840</v>
      </c>
      <c r="Q140" s="484">
        <v>23191</v>
      </c>
      <c r="R140" s="484">
        <v>14464</v>
      </c>
      <c r="S140" s="485">
        <v>5.2527999999999997</v>
      </c>
      <c r="T140" s="485">
        <v>3.02</v>
      </c>
      <c r="U140" s="652">
        <v>2.2328000000000001</v>
      </c>
      <c r="V140" s="487">
        <f t="shared" ref="V140:BK140" si="219">SUM(V137:V139)</f>
        <v>0</v>
      </c>
      <c r="W140" s="484">
        <f t="shared" si="219"/>
        <v>0</v>
      </c>
      <c r="X140" s="484">
        <f t="shared" si="219"/>
        <v>0</v>
      </c>
      <c r="Y140" s="484">
        <f t="shared" si="219"/>
        <v>0</v>
      </c>
      <c r="Z140" s="484">
        <f t="shared" si="219"/>
        <v>0</v>
      </c>
      <c r="AA140" s="484">
        <f t="shared" si="219"/>
        <v>0</v>
      </c>
      <c r="AB140" s="484">
        <f t="shared" si="219"/>
        <v>0</v>
      </c>
      <c r="AC140" s="484">
        <f t="shared" si="219"/>
        <v>0</v>
      </c>
      <c r="AD140" s="484">
        <f t="shared" si="219"/>
        <v>0</v>
      </c>
      <c r="AE140" s="484">
        <f t="shared" si="219"/>
        <v>0</v>
      </c>
      <c r="AF140" s="484">
        <f t="shared" si="219"/>
        <v>0</v>
      </c>
      <c r="AG140" s="484">
        <f t="shared" si="219"/>
        <v>0</v>
      </c>
      <c r="AH140" s="484">
        <f t="shared" si="219"/>
        <v>0</v>
      </c>
      <c r="AI140" s="484">
        <f t="shared" si="219"/>
        <v>0</v>
      </c>
      <c r="AJ140" s="484">
        <f t="shared" si="219"/>
        <v>0</v>
      </c>
      <c r="AK140" s="484">
        <f t="shared" si="219"/>
        <v>0</v>
      </c>
      <c r="AL140" s="484">
        <f t="shared" si="219"/>
        <v>0</v>
      </c>
      <c r="AM140" s="484">
        <f t="shared" si="219"/>
        <v>0</v>
      </c>
      <c r="AN140" s="484">
        <f t="shared" si="219"/>
        <v>0</v>
      </c>
      <c r="AO140" s="484">
        <f t="shared" si="219"/>
        <v>0</v>
      </c>
      <c r="AP140" s="484">
        <f t="shared" si="219"/>
        <v>0</v>
      </c>
      <c r="AQ140" s="484">
        <f t="shared" si="219"/>
        <v>0</v>
      </c>
      <c r="AR140" s="484">
        <f t="shared" si="219"/>
        <v>0</v>
      </c>
      <c r="AS140" s="484">
        <f t="shared" si="219"/>
        <v>0</v>
      </c>
      <c r="AT140" s="484">
        <f t="shared" si="219"/>
        <v>0</v>
      </c>
      <c r="AU140" s="484">
        <f t="shared" si="219"/>
        <v>0</v>
      </c>
      <c r="AV140" s="484">
        <f t="shared" si="219"/>
        <v>0</v>
      </c>
      <c r="AW140" s="484">
        <f t="shared" si="219"/>
        <v>0</v>
      </c>
      <c r="AX140" s="484">
        <f t="shared" si="219"/>
        <v>0</v>
      </c>
      <c r="AY140" s="484">
        <f t="shared" si="219"/>
        <v>0</v>
      </c>
      <c r="AZ140" s="485">
        <f t="shared" si="219"/>
        <v>0</v>
      </c>
      <c r="BA140" s="485">
        <f t="shared" si="219"/>
        <v>0</v>
      </c>
      <c r="BB140" s="485">
        <f t="shared" si="219"/>
        <v>0</v>
      </c>
      <c r="BC140" s="485">
        <f t="shared" si="219"/>
        <v>0</v>
      </c>
      <c r="BD140" s="485">
        <f t="shared" si="219"/>
        <v>0</v>
      </c>
      <c r="BE140" s="485">
        <f t="shared" si="219"/>
        <v>0</v>
      </c>
      <c r="BF140" s="485">
        <f t="shared" si="219"/>
        <v>0</v>
      </c>
      <c r="BG140" s="485">
        <f t="shared" si="219"/>
        <v>0</v>
      </c>
      <c r="BH140" s="485">
        <f t="shared" si="219"/>
        <v>0</v>
      </c>
      <c r="BI140" s="485">
        <f t="shared" si="219"/>
        <v>0</v>
      </c>
      <c r="BJ140" s="485">
        <f t="shared" si="219"/>
        <v>0</v>
      </c>
      <c r="BK140" s="379">
        <f t="shared" si="219"/>
        <v>0</v>
      </c>
      <c r="BL140" s="1076">
        <f t="shared" ref="BL140:CG140" si="220">SUM(BL137:BL139)</f>
        <v>3140550</v>
      </c>
      <c r="BM140" s="1076">
        <f t="shared" si="220"/>
        <v>2319055</v>
      </c>
      <c r="BN140" s="484">
        <f t="shared" si="220"/>
        <v>1616829</v>
      </c>
      <c r="BO140" s="484">
        <f t="shared" si="220"/>
        <v>702226</v>
      </c>
      <c r="BP140" s="484">
        <f t="shared" si="220"/>
        <v>0</v>
      </c>
      <c r="BQ140" s="484">
        <f t="shared" si="220"/>
        <v>0</v>
      </c>
      <c r="BR140" s="484">
        <f t="shared" si="220"/>
        <v>0</v>
      </c>
      <c r="BS140" s="484">
        <f t="shared" si="220"/>
        <v>783840</v>
      </c>
      <c r="BT140" s="484">
        <f t="shared" si="220"/>
        <v>23191</v>
      </c>
      <c r="BU140" s="484">
        <f t="shared" si="220"/>
        <v>14464</v>
      </c>
      <c r="BV140" s="485">
        <f t="shared" si="220"/>
        <v>5.2527999999999997</v>
      </c>
      <c r="BW140" s="485">
        <f t="shared" si="220"/>
        <v>3.02</v>
      </c>
      <c r="BX140" s="379">
        <f t="shared" si="220"/>
        <v>2.2328000000000001</v>
      </c>
      <c r="BY140" s="941">
        <f t="shared" si="220"/>
        <v>0</v>
      </c>
      <c r="BZ140" s="728">
        <f t="shared" si="220"/>
        <v>0</v>
      </c>
      <c r="CA140" s="728">
        <f t="shared" si="220"/>
        <v>0</v>
      </c>
      <c r="CB140" s="728">
        <f t="shared" si="220"/>
        <v>0</v>
      </c>
      <c r="CC140" s="728">
        <f t="shared" si="220"/>
        <v>0</v>
      </c>
      <c r="CD140" s="834">
        <f t="shared" si="220"/>
        <v>0</v>
      </c>
      <c r="CE140" s="1025">
        <f t="shared" si="220"/>
        <v>145514</v>
      </c>
      <c r="CF140" s="1025">
        <f t="shared" si="220"/>
        <v>104791</v>
      </c>
      <c r="CG140" s="1025">
        <f t="shared" si="220"/>
        <v>35419</v>
      </c>
      <c r="CH140" s="1025">
        <f t="shared" ref="CH140:CJ140" si="221">SUM(CH137:CH139)</f>
        <v>1048</v>
      </c>
      <c r="CI140" s="1025">
        <f t="shared" si="221"/>
        <v>4256</v>
      </c>
      <c r="CJ140" s="933">
        <f t="shared" si="221"/>
        <v>0.3528</v>
      </c>
    </row>
    <row r="141" spans="1:88" ht="12.95" customHeight="1">
      <c r="A141" s="280">
        <v>28</v>
      </c>
      <c r="B141" s="370">
        <v>2303</v>
      </c>
      <c r="C141" s="370">
        <v>600080048</v>
      </c>
      <c r="D141" s="281">
        <v>72743689</v>
      </c>
      <c r="E141" s="371" t="s">
        <v>503</v>
      </c>
      <c r="F141" s="370">
        <v>3111</v>
      </c>
      <c r="G141" s="373" t="s">
        <v>304</v>
      </c>
      <c r="H141" s="285" t="s">
        <v>271</v>
      </c>
      <c r="I141" s="419">
        <v>3380221</v>
      </c>
      <c r="J141" s="414">
        <v>2490156</v>
      </c>
      <c r="K141" s="414">
        <v>2299120</v>
      </c>
      <c r="L141" s="414">
        <v>191036</v>
      </c>
      <c r="M141" s="414">
        <v>5000</v>
      </c>
      <c r="N141" s="414">
        <v>0</v>
      </c>
      <c r="O141" s="414">
        <v>5000</v>
      </c>
      <c r="P141" s="68">
        <v>843363</v>
      </c>
      <c r="Q141" s="68">
        <v>24902</v>
      </c>
      <c r="R141" s="414">
        <v>16800</v>
      </c>
      <c r="S141" s="415">
        <v>4.6903999999999995</v>
      </c>
      <c r="T141" s="415">
        <v>3.9049999999999998</v>
      </c>
      <c r="U141" s="422">
        <v>0.78539999999999999</v>
      </c>
      <c r="V141" s="423">
        <f t="shared" si="109"/>
        <v>-3000</v>
      </c>
      <c r="W141" s="417">
        <f t="shared" si="109"/>
        <v>-17000</v>
      </c>
      <c r="X141" s="417">
        <v>0</v>
      </c>
      <c r="Y141" s="417">
        <v>0</v>
      </c>
      <c r="Z141" s="417">
        <v>0</v>
      </c>
      <c r="AA141" s="417">
        <v>0</v>
      </c>
      <c r="AB141" s="417">
        <v>0</v>
      </c>
      <c r="AC141" s="417">
        <v>0</v>
      </c>
      <c r="AD141" s="417">
        <v>0</v>
      </c>
      <c r="AE141" s="417">
        <f t="shared" si="110"/>
        <v>-3000</v>
      </c>
      <c r="AF141" s="417">
        <f t="shared" si="111"/>
        <v>-17000</v>
      </c>
      <c r="AG141" s="417">
        <f t="shared" si="112"/>
        <v>-20000</v>
      </c>
      <c r="AH141" s="417">
        <v>3000</v>
      </c>
      <c r="AI141" s="417">
        <v>17000</v>
      </c>
      <c r="AJ141" s="417">
        <v>0</v>
      </c>
      <c r="AK141" s="417">
        <v>0</v>
      </c>
      <c r="AL141" s="417">
        <v>0</v>
      </c>
      <c r="AM141" s="417">
        <f t="shared" si="113"/>
        <v>3000</v>
      </c>
      <c r="AN141" s="417">
        <f t="shared" si="114"/>
        <v>17000</v>
      </c>
      <c r="AO141" s="417">
        <f t="shared" si="115"/>
        <v>20000</v>
      </c>
      <c r="AP141" s="417">
        <f t="shared" si="116"/>
        <v>0</v>
      </c>
      <c r="AQ141" s="417">
        <f t="shared" si="116"/>
        <v>0</v>
      </c>
      <c r="AR141" s="417">
        <f t="shared" si="117"/>
        <v>0</v>
      </c>
      <c r="AS141" s="68">
        <f t="shared" si="118"/>
        <v>0</v>
      </c>
      <c r="AT141" s="68">
        <f t="shared" si="119"/>
        <v>-200</v>
      </c>
      <c r="AU141" s="417">
        <v>0</v>
      </c>
      <c r="AV141" s="417">
        <v>0</v>
      </c>
      <c r="AW141" s="417">
        <v>0</v>
      </c>
      <c r="AX141" s="417">
        <f t="shared" si="120"/>
        <v>0</v>
      </c>
      <c r="AY141" s="417">
        <f t="shared" si="121"/>
        <v>-200</v>
      </c>
      <c r="AZ141" s="418">
        <v>0</v>
      </c>
      <c r="BA141" s="418">
        <v>0</v>
      </c>
      <c r="BB141" s="418">
        <v>0</v>
      </c>
      <c r="BC141" s="418">
        <v>0</v>
      </c>
      <c r="BD141" s="418">
        <v>0</v>
      </c>
      <c r="BE141" s="418">
        <v>0</v>
      </c>
      <c r="BF141" s="418">
        <v>0</v>
      </c>
      <c r="BG141" s="418">
        <v>0</v>
      </c>
      <c r="BH141" s="418">
        <v>0</v>
      </c>
      <c r="BI141" s="418">
        <f t="shared" si="122"/>
        <v>0</v>
      </c>
      <c r="BJ141" s="418">
        <f t="shared" si="123"/>
        <v>0</v>
      </c>
      <c r="BK141" s="420">
        <f t="shared" si="124"/>
        <v>0</v>
      </c>
      <c r="BL141" s="772">
        <f t="shared" ref="BL141:BL146" si="222">I141+AY141</f>
        <v>3380021</v>
      </c>
      <c r="BM141" s="772">
        <f t="shared" ref="BM141:BM146" si="223">J141+AG141</f>
        <v>2470156</v>
      </c>
      <c r="BN141" s="417">
        <f t="shared" ref="BN141:BO146" si="224">K141+AE141</f>
        <v>2296120</v>
      </c>
      <c r="BO141" s="417">
        <f t="shared" si="224"/>
        <v>174036</v>
      </c>
      <c r="BP141" s="417">
        <f t="shared" ref="BP141:BP146" si="225">M141+AO141</f>
        <v>25000</v>
      </c>
      <c r="BQ141" s="417">
        <f t="shared" ref="BQ141:BR146" si="226">N141+AM141</f>
        <v>3000</v>
      </c>
      <c r="BR141" s="417">
        <f t="shared" si="226"/>
        <v>22000</v>
      </c>
      <c r="BS141" s="417">
        <f t="shared" ref="BS141:BT146" si="227">P141+AS141</f>
        <v>843363</v>
      </c>
      <c r="BT141" s="417">
        <f t="shared" si="227"/>
        <v>24702</v>
      </c>
      <c r="BU141" s="417">
        <f t="shared" ref="BU141:BU146" si="228">R141+AX141</f>
        <v>16800</v>
      </c>
      <c r="BV141" s="418">
        <f t="shared" ref="BV141:BV146" si="229">S141+BK141</f>
        <v>4.6903999999999995</v>
      </c>
      <c r="BW141" s="418">
        <f t="shared" ref="BW141:BX146" si="230">T141+BI141</f>
        <v>3.9049999999999998</v>
      </c>
      <c r="BX141" s="420">
        <f t="shared" si="230"/>
        <v>0.78539999999999999</v>
      </c>
      <c r="BY141" s="840"/>
      <c r="BZ141" s="717"/>
      <c r="CA141" s="717"/>
      <c r="CB141" s="717"/>
      <c r="CC141" s="717"/>
      <c r="CD141" s="822"/>
      <c r="CE141" s="1029">
        <v>90375</v>
      </c>
      <c r="CF141" s="1030">
        <v>62900</v>
      </c>
      <c r="CG141" s="1030">
        <v>21260</v>
      </c>
      <c r="CH141" s="1030">
        <v>629</v>
      </c>
      <c r="CI141" s="1030">
        <v>5586</v>
      </c>
      <c r="CJ141" s="828">
        <v>0.252</v>
      </c>
    </row>
    <row r="142" spans="1:88" ht="12.95" customHeight="1">
      <c r="A142" s="280">
        <v>28</v>
      </c>
      <c r="B142" s="376">
        <v>2303</v>
      </c>
      <c r="C142" s="376">
        <v>600080048</v>
      </c>
      <c r="D142" s="281">
        <v>72743689</v>
      </c>
      <c r="E142" s="211" t="s">
        <v>503</v>
      </c>
      <c r="F142" s="376">
        <v>3117</v>
      </c>
      <c r="G142" s="372" t="s">
        <v>308</v>
      </c>
      <c r="H142" s="285" t="s">
        <v>271</v>
      </c>
      <c r="I142" s="419">
        <v>4236338</v>
      </c>
      <c r="J142" s="414">
        <v>3095633</v>
      </c>
      <c r="K142" s="414">
        <v>2460268</v>
      </c>
      <c r="L142" s="414">
        <v>635365</v>
      </c>
      <c r="M142" s="414">
        <v>0</v>
      </c>
      <c r="N142" s="414">
        <v>0</v>
      </c>
      <c r="O142" s="414">
        <v>0</v>
      </c>
      <c r="P142" s="68">
        <v>1046324</v>
      </c>
      <c r="Q142" s="68">
        <v>30956</v>
      </c>
      <c r="R142" s="414">
        <v>63425</v>
      </c>
      <c r="S142" s="415">
        <v>5.6278999999999995</v>
      </c>
      <c r="T142" s="415">
        <v>3.8214000000000001</v>
      </c>
      <c r="U142" s="422">
        <v>1.8064999999999998</v>
      </c>
      <c r="V142" s="423">
        <f t="shared" ref="V142:W199" si="231">AH142*-1</f>
        <v>0</v>
      </c>
      <c r="W142" s="417">
        <f t="shared" si="231"/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ref="AE142:AE199" si="232">V142+X142+Y142+Z142+AC142</f>
        <v>0</v>
      </c>
      <c r="AF142" s="417">
        <f t="shared" ref="AF142:AF199" si="233">W142+AA142+AD142+AB142</f>
        <v>0</v>
      </c>
      <c r="AG142" s="417">
        <f t="shared" ref="AG142:AG199" si="234">SUM(AE142:AF142)</f>
        <v>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ref="AM142:AM199" si="235">AH142+AJ142+AK142</f>
        <v>0</v>
      </c>
      <c r="AN142" s="417">
        <f t="shared" ref="AN142:AN199" si="236">AI142+AL142</f>
        <v>0</v>
      </c>
      <c r="AO142" s="417">
        <f t="shared" ref="AO142:AO199" si="237">SUM(AM142:AN142)</f>
        <v>0</v>
      </c>
      <c r="AP142" s="417">
        <f t="shared" ref="AP142:AQ199" si="238">AE142+AM142</f>
        <v>0</v>
      </c>
      <c r="AQ142" s="417">
        <f t="shared" si="238"/>
        <v>0</v>
      </c>
      <c r="AR142" s="417">
        <f t="shared" ref="AR142:AR199" si="239">SUM(AP142:AQ142)</f>
        <v>0</v>
      </c>
      <c r="AS142" s="68">
        <f t="shared" ref="AS142:AS199" si="240">ROUND((AG142+AH142+AI142+AJ142)*33.8%,0)</f>
        <v>0</v>
      </c>
      <c r="AT142" s="68">
        <f t="shared" ref="AT142:AT199" si="241">ROUND(AG142*1%,0)</f>
        <v>0</v>
      </c>
      <c r="AU142" s="417">
        <v>0</v>
      </c>
      <c r="AV142" s="417">
        <v>0</v>
      </c>
      <c r="AW142" s="417">
        <v>0</v>
      </c>
      <c r="AX142" s="417">
        <f t="shared" ref="AX142:AX199" si="242">SUM(AU142:AW142)</f>
        <v>0</v>
      </c>
      <c r="AY142" s="417">
        <f t="shared" ref="AY142:AY199" si="243">AR142+AS142+AT142+AX142</f>
        <v>0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418">
        <v>0</v>
      </c>
      <c r="BG142" s="418">
        <v>0</v>
      </c>
      <c r="BH142" s="418">
        <v>0</v>
      </c>
      <c r="BI142" s="418">
        <f t="shared" ref="BI142:BI199" si="244">AZ142+BB142+BC142+BE142+BG142</f>
        <v>0</v>
      </c>
      <c r="BJ142" s="418">
        <f t="shared" ref="BJ142:BJ199" si="245">BA142+BD142+BH142+BF142</f>
        <v>0</v>
      </c>
      <c r="BK142" s="420">
        <f t="shared" ref="BK142:BK199" si="246">SUM(BI142:BJ142)</f>
        <v>0</v>
      </c>
      <c r="BL142" s="772">
        <f t="shared" si="222"/>
        <v>4236338</v>
      </c>
      <c r="BM142" s="772">
        <f t="shared" si="223"/>
        <v>3095633</v>
      </c>
      <c r="BN142" s="417">
        <f t="shared" si="224"/>
        <v>2460268</v>
      </c>
      <c r="BO142" s="417">
        <f t="shared" si="224"/>
        <v>635365</v>
      </c>
      <c r="BP142" s="417">
        <f t="shared" si="225"/>
        <v>0</v>
      </c>
      <c r="BQ142" s="417">
        <f t="shared" si="226"/>
        <v>0</v>
      </c>
      <c r="BR142" s="417">
        <f t="shared" si="226"/>
        <v>0</v>
      </c>
      <c r="BS142" s="417">
        <f t="shared" si="227"/>
        <v>1046324</v>
      </c>
      <c r="BT142" s="417">
        <f t="shared" si="227"/>
        <v>30956</v>
      </c>
      <c r="BU142" s="417">
        <f t="shared" si="228"/>
        <v>63425</v>
      </c>
      <c r="BV142" s="418">
        <f t="shared" si="229"/>
        <v>5.6278999999999995</v>
      </c>
      <c r="BW142" s="418">
        <f t="shared" si="230"/>
        <v>3.8214000000000001</v>
      </c>
      <c r="BX142" s="420">
        <f t="shared" si="230"/>
        <v>1.8064999999999998</v>
      </c>
      <c r="BY142" s="840"/>
      <c r="BZ142" s="717"/>
      <c r="CA142" s="717"/>
      <c r="CB142" s="717"/>
      <c r="CC142" s="717"/>
      <c r="CD142" s="822"/>
      <c r="CE142" s="1029">
        <v>285942</v>
      </c>
      <c r="CF142" s="1030">
        <v>203893</v>
      </c>
      <c r="CG142" s="1030">
        <v>68916</v>
      </c>
      <c r="CH142" s="1030">
        <v>2039</v>
      </c>
      <c r="CI142" s="1030">
        <v>11094</v>
      </c>
      <c r="CJ142" s="828">
        <v>0.57969999999999999</v>
      </c>
    </row>
    <row r="143" spans="1:88" ht="12.95" customHeight="1">
      <c r="A143" s="280">
        <v>28</v>
      </c>
      <c r="B143" s="212">
        <v>2303</v>
      </c>
      <c r="C143" s="212">
        <v>600080048</v>
      </c>
      <c r="D143" s="281">
        <v>72743689</v>
      </c>
      <c r="E143" s="371" t="s">
        <v>503</v>
      </c>
      <c r="F143" s="376">
        <v>3117</v>
      </c>
      <c r="G143" s="323" t="s">
        <v>291</v>
      </c>
      <c r="H143" s="285" t="s">
        <v>272</v>
      </c>
      <c r="I143" s="419">
        <v>194388</v>
      </c>
      <c r="J143" s="414">
        <v>144205</v>
      </c>
      <c r="K143" s="414">
        <v>144205</v>
      </c>
      <c r="L143" s="414">
        <v>0</v>
      </c>
      <c r="M143" s="414">
        <v>0</v>
      </c>
      <c r="N143" s="414">
        <v>0</v>
      </c>
      <c r="O143" s="414">
        <v>0</v>
      </c>
      <c r="P143" s="68">
        <v>48741</v>
      </c>
      <c r="Q143" s="68">
        <v>1442</v>
      </c>
      <c r="R143" s="414">
        <v>0</v>
      </c>
      <c r="S143" s="415">
        <v>0.39</v>
      </c>
      <c r="T143" s="415">
        <v>0.39</v>
      </c>
      <c r="U143" s="422">
        <v>0</v>
      </c>
      <c r="V143" s="423">
        <f t="shared" si="231"/>
        <v>0</v>
      </c>
      <c r="W143" s="417">
        <f t="shared" si="231"/>
        <v>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32"/>
        <v>0</v>
      </c>
      <c r="AF143" s="417">
        <f t="shared" si="233"/>
        <v>0</v>
      </c>
      <c r="AG143" s="417">
        <f t="shared" si="234"/>
        <v>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235"/>
        <v>0</v>
      </c>
      <c r="AN143" s="417">
        <f t="shared" si="236"/>
        <v>0</v>
      </c>
      <c r="AO143" s="417">
        <f t="shared" si="237"/>
        <v>0</v>
      </c>
      <c r="AP143" s="417">
        <f t="shared" si="238"/>
        <v>0</v>
      </c>
      <c r="AQ143" s="417">
        <f t="shared" si="238"/>
        <v>0</v>
      </c>
      <c r="AR143" s="417">
        <f t="shared" si="239"/>
        <v>0</v>
      </c>
      <c r="AS143" s="68">
        <f t="shared" si="240"/>
        <v>0</v>
      </c>
      <c r="AT143" s="68">
        <f t="shared" si="241"/>
        <v>0</v>
      </c>
      <c r="AU143" s="417">
        <v>0</v>
      </c>
      <c r="AV143" s="417">
        <v>0</v>
      </c>
      <c r="AW143" s="417">
        <v>0</v>
      </c>
      <c r="AX143" s="417">
        <f t="shared" si="242"/>
        <v>0</v>
      </c>
      <c r="AY143" s="417">
        <f t="shared" si="243"/>
        <v>0</v>
      </c>
      <c r="AZ143" s="418">
        <v>0</v>
      </c>
      <c r="BA143" s="418">
        <v>0</v>
      </c>
      <c r="BB143" s="418">
        <v>0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44"/>
        <v>0</v>
      </c>
      <c r="BJ143" s="418">
        <f t="shared" si="245"/>
        <v>0</v>
      </c>
      <c r="BK143" s="420">
        <f t="shared" si="246"/>
        <v>0</v>
      </c>
      <c r="BL143" s="772">
        <f t="shared" si="222"/>
        <v>194388</v>
      </c>
      <c r="BM143" s="772">
        <f t="shared" si="223"/>
        <v>144205</v>
      </c>
      <c r="BN143" s="417">
        <f t="shared" si="224"/>
        <v>144205</v>
      </c>
      <c r="BO143" s="417">
        <f t="shared" si="224"/>
        <v>0</v>
      </c>
      <c r="BP143" s="417">
        <f t="shared" si="225"/>
        <v>0</v>
      </c>
      <c r="BQ143" s="417">
        <f t="shared" si="226"/>
        <v>0</v>
      </c>
      <c r="BR143" s="417">
        <f t="shared" si="226"/>
        <v>0</v>
      </c>
      <c r="BS143" s="417">
        <f t="shared" si="227"/>
        <v>48741</v>
      </c>
      <c r="BT143" s="417">
        <f t="shared" si="227"/>
        <v>1442</v>
      </c>
      <c r="BU143" s="417">
        <f t="shared" si="228"/>
        <v>0</v>
      </c>
      <c r="BV143" s="418">
        <f t="shared" si="229"/>
        <v>0.39</v>
      </c>
      <c r="BW143" s="418">
        <f t="shared" si="230"/>
        <v>0.39</v>
      </c>
      <c r="BX143" s="420">
        <f t="shared" si="230"/>
        <v>0</v>
      </c>
      <c r="BY143" s="840"/>
      <c r="BZ143" s="717"/>
      <c r="CA143" s="717"/>
      <c r="CB143" s="717"/>
      <c r="CC143" s="717"/>
      <c r="CD143" s="822"/>
      <c r="CE143" s="1029"/>
      <c r="CF143" s="1030"/>
      <c r="CG143" s="1030"/>
      <c r="CH143" s="1030"/>
      <c r="CI143" s="1030"/>
      <c r="CJ143" s="828"/>
    </row>
    <row r="144" spans="1:88" ht="12.95" customHeight="1">
      <c r="A144" s="280">
        <v>28</v>
      </c>
      <c r="B144" s="212">
        <v>2303</v>
      </c>
      <c r="C144" s="212">
        <v>600080048</v>
      </c>
      <c r="D144" s="281">
        <v>72743689</v>
      </c>
      <c r="E144" s="372" t="s">
        <v>503</v>
      </c>
      <c r="F144" s="212">
        <v>3141</v>
      </c>
      <c r="G144" s="373" t="s">
        <v>294</v>
      </c>
      <c r="H144" s="285" t="s">
        <v>272</v>
      </c>
      <c r="I144" s="419">
        <v>1094306</v>
      </c>
      <c r="J144" s="414">
        <v>798595</v>
      </c>
      <c r="K144" s="414">
        <v>0</v>
      </c>
      <c r="L144" s="414">
        <v>798595</v>
      </c>
      <c r="M144" s="414">
        <v>10000</v>
      </c>
      <c r="N144" s="414">
        <v>0</v>
      </c>
      <c r="O144" s="414">
        <v>10000</v>
      </c>
      <c r="P144" s="68">
        <v>273305</v>
      </c>
      <c r="Q144" s="68">
        <v>7986</v>
      </c>
      <c r="R144" s="414">
        <v>4420</v>
      </c>
      <c r="S144" s="415">
        <v>2.3933</v>
      </c>
      <c r="T144" s="415">
        <v>0</v>
      </c>
      <c r="U144" s="422">
        <v>2.3933</v>
      </c>
      <c r="V144" s="423">
        <f t="shared" si="231"/>
        <v>0</v>
      </c>
      <c r="W144" s="417">
        <f t="shared" si="231"/>
        <v>-10000</v>
      </c>
      <c r="X144" s="417">
        <v>0</v>
      </c>
      <c r="Y144" s="417">
        <v>0</v>
      </c>
      <c r="Z144" s="417">
        <v>0</v>
      </c>
      <c r="AA144" s="417">
        <v>0</v>
      </c>
      <c r="AB144" s="417">
        <v>0</v>
      </c>
      <c r="AC144" s="417">
        <v>0</v>
      </c>
      <c r="AD144" s="417">
        <v>0</v>
      </c>
      <c r="AE144" s="417">
        <f t="shared" si="232"/>
        <v>0</v>
      </c>
      <c r="AF144" s="417">
        <f t="shared" si="233"/>
        <v>-10000</v>
      </c>
      <c r="AG144" s="417">
        <f t="shared" si="234"/>
        <v>-10000</v>
      </c>
      <c r="AH144" s="417">
        <v>0</v>
      </c>
      <c r="AI144" s="417">
        <v>10000</v>
      </c>
      <c r="AJ144" s="417">
        <v>0</v>
      </c>
      <c r="AK144" s="417">
        <v>0</v>
      </c>
      <c r="AL144" s="417">
        <v>0</v>
      </c>
      <c r="AM144" s="417">
        <f t="shared" si="235"/>
        <v>0</v>
      </c>
      <c r="AN144" s="417">
        <f t="shared" si="236"/>
        <v>10000</v>
      </c>
      <c r="AO144" s="417">
        <f t="shared" si="237"/>
        <v>10000</v>
      </c>
      <c r="AP144" s="417">
        <f t="shared" si="238"/>
        <v>0</v>
      </c>
      <c r="AQ144" s="417">
        <f t="shared" si="238"/>
        <v>0</v>
      </c>
      <c r="AR144" s="417">
        <f t="shared" si="239"/>
        <v>0</v>
      </c>
      <c r="AS144" s="68">
        <f t="shared" si="240"/>
        <v>0</v>
      </c>
      <c r="AT144" s="68">
        <f t="shared" si="241"/>
        <v>-100</v>
      </c>
      <c r="AU144" s="417">
        <v>0</v>
      </c>
      <c r="AV144" s="417">
        <v>0</v>
      </c>
      <c r="AW144" s="417">
        <v>0</v>
      </c>
      <c r="AX144" s="417">
        <f t="shared" si="242"/>
        <v>0</v>
      </c>
      <c r="AY144" s="417">
        <f t="shared" si="243"/>
        <v>-100</v>
      </c>
      <c r="AZ144" s="418">
        <v>0</v>
      </c>
      <c r="BA144" s="418">
        <v>0.03</v>
      </c>
      <c r="BB144" s="418">
        <v>0</v>
      </c>
      <c r="BC144" s="418">
        <v>0</v>
      </c>
      <c r="BD144" s="418">
        <v>0</v>
      </c>
      <c r="BE144" s="418">
        <v>0</v>
      </c>
      <c r="BF144" s="418">
        <v>0</v>
      </c>
      <c r="BG144" s="418">
        <v>0</v>
      </c>
      <c r="BH144" s="418">
        <v>0</v>
      </c>
      <c r="BI144" s="418">
        <f t="shared" si="244"/>
        <v>0</v>
      </c>
      <c r="BJ144" s="418">
        <f t="shared" si="245"/>
        <v>0.03</v>
      </c>
      <c r="BK144" s="420">
        <f t="shared" si="246"/>
        <v>0.03</v>
      </c>
      <c r="BL144" s="772">
        <f t="shared" si="222"/>
        <v>1094206</v>
      </c>
      <c r="BM144" s="772">
        <f t="shared" si="223"/>
        <v>788595</v>
      </c>
      <c r="BN144" s="417">
        <f t="shared" si="224"/>
        <v>0</v>
      </c>
      <c r="BO144" s="417">
        <f t="shared" si="224"/>
        <v>788595</v>
      </c>
      <c r="BP144" s="417">
        <f t="shared" si="225"/>
        <v>20000</v>
      </c>
      <c r="BQ144" s="417">
        <f t="shared" si="226"/>
        <v>0</v>
      </c>
      <c r="BR144" s="417">
        <f t="shared" si="226"/>
        <v>20000</v>
      </c>
      <c r="BS144" s="417">
        <f t="shared" si="227"/>
        <v>273305</v>
      </c>
      <c r="BT144" s="417">
        <f t="shared" si="227"/>
        <v>7886</v>
      </c>
      <c r="BU144" s="417">
        <f t="shared" si="228"/>
        <v>4420</v>
      </c>
      <c r="BV144" s="418">
        <f t="shared" si="229"/>
        <v>2.4232999999999998</v>
      </c>
      <c r="BW144" s="418">
        <f t="shared" si="230"/>
        <v>0</v>
      </c>
      <c r="BX144" s="420">
        <f t="shared" si="230"/>
        <v>2.4232999999999998</v>
      </c>
      <c r="BY144" s="840"/>
      <c r="BZ144" s="717"/>
      <c r="CA144" s="717"/>
      <c r="CB144" s="717"/>
      <c r="CC144" s="717"/>
      <c r="CD144" s="822"/>
      <c r="CE144" s="1029"/>
      <c r="CF144" s="1030"/>
      <c r="CG144" s="1030"/>
      <c r="CH144" s="1030"/>
      <c r="CI144" s="1030"/>
      <c r="CJ144" s="828"/>
    </row>
    <row r="145" spans="1:88" ht="12.95" customHeight="1">
      <c r="A145" s="280">
        <v>28</v>
      </c>
      <c r="B145" s="212">
        <v>2303</v>
      </c>
      <c r="C145" s="212">
        <v>600080048</v>
      </c>
      <c r="D145" s="281">
        <v>72743689</v>
      </c>
      <c r="E145" s="371" t="s">
        <v>503</v>
      </c>
      <c r="F145" s="382">
        <v>3143</v>
      </c>
      <c r="G145" s="323" t="s">
        <v>595</v>
      </c>
      <c r="H145" s="285" t="s">
        <v>271</v>
      </c>
      <c r="I145" s="419">
        <v>939592</v>
      </c>
      <c r="J145" s="414">
        <v>697027</v>
      </c>
      <c r="K145" s="414">
        <v>697027</v>
      </c>
      <c r="L145" s="414">
        <v>0</v>
      </c>
      <c r="M145" s="414">
        <v>0</v>
      </c>
      <c r="N145" s="414">
        <v>0</v>
      </c>
      <c r="O145" s="414">
        <v>0</v>
      </c>
      <c r="P145" s="68">
        <v>235595</v>
      </c>
      <c r="Q145" s="68">
        <v>6970</v>
      </c>
      <c r="R145" s="414">
        <v>0</v>
      </c>
      <c r="S145" s="415">
        <v>1.4</v>
      </c>
      <c r="T145" s="415">
        <v>1.4</v>
      </c>
      <c r="U145" s="422">
        <v>0</v>
      </c>
      <c r="V145" s="423">
        <f t="shared" si="231"/>
        <v>0</v>
      </c>
      <c r="W145" s="417">
        <f t="shared" si="231"/>
        <v>0</v>
      </c>
      <c r="X145" s="417">
        <v>0</v>
      </c>
      <c r="Y145" s="417">
        <v>0</v>
      </c>
      <c r="Z145" s="417">
        <v>0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232"/>
        <v>0</v>
      </c>
      <c r="AF145" s="417">
        <f t="shared" si="233"/>
        <v>0</v>
      </c>
      <c r="AG145" s="417">
        <f t="shared" si="234"/>
        <v>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235"/>
        <v>0</v>
      </c>
      <c r="AN145" s="417">
        <f t="shared" si="236"/>
        <v>0</v>
      </c>
      <c r="AO145" s="417">
        <f t="shared" si="237"/>
        <v>0</v>
      </c>
      <c r="AP145" s="417">
        <f t="shared" si="238"/>
        <v>0</v>
      </c>
      <c r="AQ145" s="417">
        <f t="shared" si="238"/>
        <v>0</v>
      </c>
      <c r="AR145" s="417">
        <f t="shared" si="239"/>
        <v>0</v>
      </c>
      <c r="AS145" s="68">
        <f t="shared" si="240"/>
        <v>0</v>
      </c>
      <c r="AT145" s="68">
        <f t="shared" si="241"/>
        <v>0</v>
      </c>
      <c r="AU145" s="417">
        <v>0</v>
      </c>
      <c r="AV145" s="417">
        <v>0</v>
      </c>
      <c r="AW145" s="417">
        <v>0</v>
      </c>
      <c r="AX145" s="417">
        <f t="shared" si="242"/>
        <v>0</v>
      </c>
      <c r="AY145" s="417">
        <f t="shared" si="243"/>
        <v>0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44"/>
        <v>0</v>
      </c>
      <c r="BJ145" s="418">
        <f t="shared" si="245"/>
        <v>0</v>
      </c>
      <c r="BK145" s="420">
        <f t="shared" si="246"/>
        <v>0</v>
      </c>
      <c r="BL145" s="772">
        <f t="shared" si="222"/>
        <v>939592</v>
      </c>
      <c r="BM145" s="772">
        <f t="shared" si="223"/>
        <v>697027</v>
      </c>
      <c r="BN145" s="417">
        <f t="shared" si="224"/>
        <v>697027</v>
      </c>
      <c r="BO145" s="417">
        <f t="shared" si="224"/>
        <v>0</v>
      </c>
      <c r="BP145" s="417">
        <f t="shared" si="225"/>
        <v>0</v>
      </c>
      <c r="BQ145" s="417">
        <f t="shared" si="226"/>
        <v>0</v>
      </c>
      <c r="BR145" s="417">
        <f t="shared" si="226"/>
        <v>0</v>
      </c>
      <c r="BS145" s="417">
        <f t="shared" si="227"/>
        <v>235595</v>
      </c>
      <c r="BT145" s="417">
        <f t="shared" si="227"/>
        <v>6970</v>
      </c>
      <c r="BU145" s="417">
        <f t="shared" si="228"/>
        <v>0</v>
      </c>
      <c r="BV145" s="418">
        <f t="shared" si="229"/>
        <v>1.4</v>
      </c>
      <c r="BW145" s="418">
        <f t="shared" si="230"/>
        <v>1.4</v>
      </c>
      <c r="BX145" s="420">
        <f t="shared" si="230"/>
        <v>0</v>
      </c>
      <c r="BY145" s="840"/>
      <c r="BZ145" s="717"/>
      <c r="CA145" s="717"/>
      <c r="CB145" s="717"/>
      <c r="CC145" s="717"/>
      <c r="CD145" s="822"/>
      <c r="CE145" s="1029"/>
      <c r="CF145" s="1030"/>
      <c r="CG145" s="1030"/>
      <c r="CH145" s="1030"/>
      <c r="CI145" s="1030"/>
      <c r="CJ145" s="828"/>
    </row>
    <row r="146" spans="1:88" ht="12.95" customHeight="1">
      <c r="A146" s="280">
        <v>28</v>
      </c>
      <c r="B146" s="212">
        <v>2303</v>
      </c>
      <c r="C146" s="212">
        <v>600080048</v>
      </c>
      <c r="D146" s="281">
        <v>72743689</v>
      </c>
      <c r="E146" s="371" t="s">
        <v>503</v>
      </c>
      <c r="F146" s="382">
        <v>3143</v>
      </c>
      <c r="G146" s="323" t="s">
        <v>596</v>
      </c>
      <c r="H146" s="285" t="s">
        <v>272</v>
      </c>
      <c r="I146" s="419">
        <v>23052</v>
      </c>
      <c r="J146" s="414">
        <v>16500</v>
      </c>
      <c r="K146" s="414">
        <v>0</v>
      </c>
      <c r="L146" s="414">
        <v>16500</v>
      </c>
      <c r="M146" s="414">
        <v>0</v>
      </c>
      <c r="N146" s="414">
        <v>0</v>
      </c>
      <c r="O146" s="414">
        <v>0</v>
      </c>
      <c r="P146" s="68">
        <v>5577</v>
      </c>
      <c r="Q146" s="68">
        <v>165</v>
      </c>
      <c r="R146" s="414">
        <v>810</v>
      </c>
      <c r="S146" s="415">
        <v>6.1700000000000005E-2</v>
      </c>
      <c r="T146" s="415">
        <v>0</v>
      </c>
      <c r="U146" s="422">
        <v>6.1700000000000005E-2</v>
      </c>
      <c r="V146" s="423">
        <f t="shared" si="231"/>
        <v>0</v>
      </c>
      <c r="W146" s="417">
        <f t="shared" si="231"/>
        <v>0</v>
      </c>
      <c r="X146" s="417">
        <v>0</v>
      </c>
      <c r="Y146" s="417">
        <v>0</v>
      </c>
      <c r="Z146" s="417">
        <v>0</v>
      </c>
      <c r="AA146" s="417">
        <v>0</v>
      </c>
      <c r="AB146" s="417">
        <v>0</v>
      </c>
      <c r="AC146" s="417">
        <v>0</v>
      </c>
      <c r="AD146" s="417">
        <v>0</v>
      </c>
      <c r="AE146" s="417">
        <f t="shared" si="232"/>
        <v>0</v>
      </c>
      <c r="AF146" s="417">
        <f t="shared" si="233"/>
        <v>0</v>
      </c>
      <c r="AG146" s="417">
        <f t="shared" si="234"/>
        <v>0</v>
      </c>
      <c r="AH146" s="417">
        <v>0</v>
      </c>
      <c r="AI146" s="417">
        <v>0</v>
      </c>
      <c r="AJ146" s="417">
        <v>0</v>
      </c>
      <c r="AK146" s="417">
        <v>0</v>
      </c>
      <c r="AL146" s="417">
        <v>0</v>
      </c>
      <c r="AM146" s="417">
        <f t="shared" si="235"/>
        <v>0</v>
      </c>
      <c r="AN146" s="417">
        <f t="shared" si="236"/>
        <v>0</v>
      </c>
      <c r="AO146" s="417">
        <f t="shared" si="237"/>
        <v>0</v>
      </c>
      <c r="AP146" s="417">
        <f t="shared" si="238"/>
        <v>0</v>
      </c>
      <c r="AQ146" s="417">
        <f t="shared" si="238"/>
        <v>0</v>
      </c>
      <c r="AR146" s="417">
        <f t="shared" si="239"/>
        <v>0</v>
      </c>
      <c r="AS146" s="68">
        <f t="shared" si="240"/>
        <v>0</v>
      </c>
      <c r="AT146" s="68">
        <f t="shared" si="241"/>
        <v>0</v>
      </c>
      <c r="AU146" s="417">
        <v>0</v>
      </c>
      <c r="AV146" s="417">
        <v>0</v>
      </c>
      <c r="AW146" s="417">
        <v>0</v>
      </c>
      <c r="AX146" s="417">
        <f t="shared" si="242"/>
        <v>0</v>
      </c>
      <c r="AY146" s="417">
        <f t="shared" si="243"/>
        <v>0</v>
      </c>
      <c r="AZ146" s="418">
        <v>0</v>
      </c>
      <c r="BA146" s="418">
        <v>0</v>
      </c>
      <c r="BB146" s="418">
        <v>0</v>
      </c>
      <c r="BC146" s="418">
        <v>0</v>
      </c>
      <c r="BD146" s="418">
        <v>0</v>
      </c>
      <c r="BE146" s="418">
        <v>0</v>
      </c>
      <c r="BF146" s="418">
        <v>0</v>
      </c>
      <c r="BG146" s="418">
        <v>0</v>
      </c>
      <c r="BH146" s="418">
        <v>0</v>
      </c>
      <c r="BI146" s="418">
        <f t="shared" si="244"/>
        <v>0</v>
      </c>
      <c r="BJ146" s="418">
        <f t="shared" si="245"/>
        <v>0</v>
      </c>
      <c r="BK146" s="420">
        <f t="shared" si="246"/>
        <v>0</v>
      </c>
      <c r="BL146" s="772">
        <f t="shared" si="222"/>
        <v>23052</v>
      </c>
      <c r="BM146" s="772">
        <f t="shared" si="223"/>
        <v>16500</v>
      </c>
      <c r="BN146" s="417">
        <f t="shared" si="224"/>
        <v>0</v>
      </c>
      <c r="BO146" s="417">
        <f t="shared" si="224"/>
        <v>16500</v>
      </c>
      <c r="BP146" s="417">
        <f t="shared" si="225"/>
        <v>0</v>
      </c>
      <c r="BQ146" s="417">
        <f t="shared" si="226"/>
        <v>0</v>
      </c>
      <c r="BR146" s="417">
        <f t="shared" si="226"/>
        <v>0</v>
      </c>
      <c r="BS146" s="417">
        <f t="shared" si="227"/>
        <v>5577</v>
      </c>
      <c r="BT146" s="417">
        <f t="shared" si="227"/>
        <v>165</v>
      </c>
      <c r="BU146" s="417">
        <f t="shared" si="228"/>
        <v>810</v>
      </c>
      <c r="BV146" s="418">
        <f t="shared" si="229"/>
        <v>6.1700000000000005E-2</v>
      </c>
      <c r="BW146" s="418">
        <f t="shared" si="230"/>
        <v>0</v>
      </c>
      <c r="BX146" s="420">
        <f t="shared" si="230"/>
        <v>6.1700000000000005E-2</v>
      </c>
      <c r="BY146" s="840"/>
      <c r="BZ146" s="717"/>
      <c r="CA146" s="717"/>
      <c r="CB146" s="717"/>
      <c r="CC146" s="717"/>
      <c r="CD146" s="822"/>
      <c r="CE146" s="1029"/>
      <c r="CF146" s="1030"/>
      <c r="CG146" s="1030"/>
      <c r="CH146" s="1030"/>
      <c r="CI146" s="1030"/>
      <c r="CJ146" s="828"/>
    </row>
    <row r="147" spans="1:88" ht="12.95" customHeight="1">
      <c r="A147" s="213">
        <v>28</v>
      </c>
      <c r="B147" s="45">
        <v>2303</v>
      </c>
      <c r="C147" s="45">
        <v>600080048</v>
      </c>
      <c r="D147" s="45">
        <v>72743689</v>
      </c>
      <c r="E147" s="383" t="s">
        <v>504</v>
      </c>
      <c r="F147" s="384"/>
      <c r="G147" s="383"/>
      <c r="H147" s="385"/>
      <c r="I147" s="487">
        <v>9867897</v>
      </c>
      <c r="J147" s="484">
        <v>7242116</v>
      </c>
      <c r="K147" s="484">
        <v>5600620</v>
      </c>
      <c r="L147" s="484">
        <v>1641496</v>
      </c>
      <c r="M147" s="484">
        <v>15000</v>
      </c>
      <c r="N147" s="484">
        <v>0</v>
      </c>
      <c r="O147" s="484">
        <v>15000</v>
      </c>
      <c r="P147" s="484">
        <v>2452905</v>
      </c>
      <c r="Q147" s="484">
        <v>72421</v>
      </c>
      <c r="R147" s="484">
        <v>85455</v>
      </c>
      <c r="S147" s="485">
        <v>14.5633</v>
      </c>
      <c r="T147" s="485">
        <v>9.5164000000000009</v>
      </c>
      <c r="U147" s="652">
        <v>5.0468999999999999</v>
      </c>
      <c r="V147" s="487">
        <f t="shared" ref="V147:BK147" si="247">SUM(V141:V146)</f>
        <v>-3000</v>
      </c>
      <c r="W147" s="484">
        <f t="shared" si="247"/>
        <v>-27000</v>
      </c>
      <c r="X147" s="484">
        <f t="shared" si="247"/>
        <v>0</v>
      </c>
      <c r="Y147" s="484">
        <f t="shared" si="247"/>
        <v>0</v>
      </c>
      <c r="Z147" s="484">
        <f t="shared" si="247"/>
        <v>0</v>
      </c>
      <c r="AA147" s="484">
        <f t="shared" si="247"/>
        <v>0</v>
      </c>
      <c r="AB147" s="484">
        <f t="shared" si="247"/>
        <v>0</v>
      </c>
      <c r="AC147" s="484">
        <f t="shared" si="247"/>
        <v>0</v>
      </c>
      <c r="AD147" s="484">
        <f t="shared" si="247"/>
        <v>0</v>
      </c>
      <c r="AE147" s="484">
        <f t="shared" si="247"/>
        <v>-3000</v>
      </c>
      <c r="AF147" s="484">
        <f t="shared" si="247"/>
        <v>-27000</v>
      </c>
      <c r="AG147" s="484">
        <f t="shared" si="247"/>
        <v>-30000</v>
      </c>
      <c r="AH147" s="484">
        <f t="shared" si="247"/>
        <v>3000</v>
      </c>
      <c r="AI147" s="484">
        <f t="shared" si="247"/>
        <v>27000</v>
      </c>
      <c r="AJ147" s="484">
        <f t="shared" si="247"/>
        <v>0</v>
      </c>
      <c r="AK147" s="484">
        <f t="shared" si="247"/>
        <v>0</v>
      </c>
      <c r="AL147" s="484">
        <f t="shared" si="247"/>
        <v>0</v>
      </c>
      <c r="AM147" s="484">
        <f t="shared" si="247"/>
        <v>3000</v>
      </c>
      <c r="AN147" s="484">
        <f t="shared" si="247"/>
        <v>27000</v>
      </c>
      <c r="AO147" s="484">
        <f t="shared" si="247"/>
        <v>30000</v>
      </c>
      <c r="AP147" s="484">
        <f t="shared" si="247"/>
        <v>0</v>
      </c>
      <c r="AQ147" s="484">
        <f t="shared" si="247"/>
        <v>0</v>
      </c>
      <c r="AR147" s="484">
        <f t="shared" si="247"/>
        <v>0</v>
      </c>
      <c r="AS147" s="484">
        <f t="shared" si="247"/>
        <v>0</v>
      </c>
      <c r="AT147" s="484">
        <f t="shared" si="247"/>
        <v>-300</v>
      </c>
      <c r="AU147" s="484">
        <f t="shared" si="247"/>
        <v>0</v>
      </c>
      <c r="AV147" s="484">
        <f t="shared" si="247"/>
        <v>0</v>
      </c>
      <c r="AW147" s="484">
        <f t="shared" si="247"/>
        <v>0</v>
      </c>
      <c r="AX147" s="484">
        <f t="shared" si="247"/>
        <v>0</v>
      </c>
      <c r="AY147" s="484">
        <f t="shared" si="247"/>
        <v>-300</v>
      </c>
      <c r="AZ147" s="485">
        <f t="shared" si="247"/>
        <v>0</v>
      </c>
      <c r="BA147" s="485">
        <f t="shared" si="247"/>
        <v>0.03</v>
      </c>
      <c r="BB147" s="485">
        <f t="shared" si="247"/>
        <v>0</v>
      </c>
      <c r="BC147" s="485">
        <f t="shared" si="247"/>
        <v>0</v>
      </c>
      <c r="BD147" s="485">
        <f t="shared" si="247"/>
        <v>0</v>
      </c>
      <c r="BE147" s="485">
        <f t="shared" si="247"/>
        <v>0</v>
      </c>
      <c r="BF147" s="485">
        <f t="shared" si="247"/>
        <v>0</v>
      </c>
      <c r="BG147" s="485">
        <f t="shared" si="247"/>
        <v>0</v>
      </c>
      <c r="BH147" s="485">
        <f t="shared" si="247"/>
        <v>0</v>
      </c>
      <c r="BI147" s="485">
        <f t="shared" si="247"/>
        <v>0</v>
      </c>
      <c r="BJ147" s="485">
        <f t="shared" si="247"/>
        <v>0.03</v>
      </c>
      <c r="BK147" s="379">
        <f t="shared" si="247"/>
        <v>0.03</v>
      </c>
      <c r="BL147" s="1076">
        <f t="shared" ref="BL147:CG147" si="248">SUM(BL141:BL146)</f>
        <v>9867597</v>
      </c>
      <c r="BM147" s="1076">
        <f t="shared" si="248"/>
        <v>7212116</v>
      </c>
      <c r="BN147" s="484">
        <f t="shared" si="248"/>
        <v>5597620</v>
      </c>
      <c r="BO147" s="484">
        <f t="shared" si="248"/>
        <v>1614496</v>
      </c>
      <c r="BP147" s="484">
        <f t="shared" si="248"/>
        <v>45000</v>
      </c>
      <c r="BQ147" s="484">
        <f t="shared" si="248"/>
        <v>3000</v>
      </c>
      <c r="BR147" s="484">
        <f t="shared" si="248"/>
        <v>42000</v>
      </c>
      <c r="BS147" s="484">
        <f t="shared" si="248"/>
        <v>2452905</v>
      </c>
      <c r="BT147" s="484">
        <f t="shared" si="248"/>
        <v>72121</v>
      </c>
      <c r="BU147" s="484">
        <f t="shared" si="248"/>
        <v>85455</v>
      </c>
      <c r="BV147" s="485">
        <f t="shared" si="248"/>
        <v>14.593299999999999</v>
      </c>
      <c r="BW147" s="485">
        <f t="shared" si="248"/>
        <v>9.5164000000000009</v>
      </c>
      <c r="BX147" s="379">
        <f t="shared" si="248"/>
        <v>5.0769000000000002</v>
      </c>
      <c r="BY147" s="941">
        <f t="shared" si="248"/>
        <v>0</v>
      </c>
      <c r="BZ147" s="728">
        <f t="shared" si="248"/>
        <v>0</v>
      </c>
      <c r="CA147" s="728">
        <f t="shared" si="248"/>
        <v>0</v>
      </c>
      <c r="CB147" s="728">
        <f t="shared" si="248"/>
        <v>0</v>
      </c>
      <c r="CC147" s="728">
        <f t="shared" si="248"/>
        <v>0</v>
      </c>
      <c r="CD147" s="834">
        <f t="shared" si="248"/>
        <v>0</v>
      </c>
      <c r="CE147" s="1025">
        <f t="shared" si="248"/>
        <v>376317</v>
      </c>
      <c r="CF147" s="1025">
        <f t="shared" si="248"/>
        <v>266793</v>
      </c>
      <c r="CG147" s="1025">
        <f t="shared" si="248"/>
        <v>90176</v>
      </c>
      <c r="CH147" s="1025">
        <f t="shared" ref="CH147:CJ147" si="249">SUM(CH141:CH146)</f>
        <v>2668</v>
      </c>
      <c r="CI147" s="1025">
        <f t="shared" si="249"/>
        <v>16680</v>
      </c>
      <c r="CJ147" s="933">
        <f t="shared" si="249"/>
        <v>0.83169999999999999</v>
      </c>
    </row>
    <row r="148" spans="1:88" ht="12.95" customHeight="1">
      <c r="A148" s="280">
        <v>29</v>
      </c>
      <c r="B148" s="212">
        <v>5437</v>
      </c>
      <c r="C148" s="212">
        <v>600098931</v>
      </c>
      <c r="D148" s="281">
        <v>72742135</v>
      </c>
      <c r="E148" s="372" t="s">
        <v>505</v>
      </c>
      <c r="F148" s="212">
        <v>3111</v>
      </c>
      <c r="G148" s="373" t="s">
        <v>304</v>
      </c>
      <c r="H148" s="285" t="s">
        <v>271</v>
      </c>
      <c r="I148" s="419">
        <v>5425136</v>
      </c>
      <c r="J148" s="414">
        <v>4007074</v>
      </c>
      <c r="K148" s="414">
        <v>3517218</v>
      </c>
      <c r="L148" s="414">
        <v>489856</v>
      </c>
      <c r="M148" s="414">
        <v>0</v>
      </c>
      <c r="N148" s="414">
        <v>0</v>
      </c>
      <c r="O148" s="414">
        <v>0</v>
      </c>
      <c r="P148" s="68">
        <v>1354391</v>
      </c>
      <c r="Q148" s="68">
        <v>40071</v>
      </c>
      <c r="R148" s="414">
        <v>23600</v>
      </c>
      <c r="S148" s="415">
        <v>7.8892000000000007</v>
      </c>
      <c r="T148" s="415">
        <v>6.24</v>
      </c>
      <c r="U148" s="422">
        <v>1.6492</v>
      </c>
      <c r="V148" s="423">
        <f t="shared" si="231"/>
        <v>0</v>
      </c>
      <c r="W148" s="417">
        <f t="shared" si="231"/>
        <v>0</v>
      </c>
      <c r="X148" s="417">
        <v>0</v>
      </c>
      <c r="Y148" s="417">
        <v>0</v>
      </c>
      <c r="Z148" s="417">
        <v>0</v>
      </c>
      <c r="AA148" s="417">
        <v>0</v>
      </c>
      <c r="AB148" s="417">
        <v>0</v>
      </c>
      <c r="AC148" s="417">
        <v>0</v>
      </c>
      <c r="AD148" s="417">
        <v>0</v>
      </c>
      <c r="AE148" s="417">
        <f t="shared" si="232"/>
        <v>0</v>
      </c>
      <c r="AF148" s="417">
        <f t="shared" si="233"/>
        <v>0</v>
      </c>
      <c r="AG148" s="417">
        <f t="shared" si="234"/>
        <v>0</v>
      </c>
      <c r="AH148" s="417">
        <v>0</v>
      </c>
      <c r="AI148" s="417">
        <v>0</v>
      </c>
      <c r="AJ148" s="417">
        <v>0</v>
      </c>
      <c r="AK148" s="417">
        <v>0</v>
      </c>
      <c r="AL148" s="417">
        <v>0</v>
      </c>
      <c r="AM148" s="417">
        <f t="shared" si="235"/>
        <v>0</v>
      </c>
      <c r="AN148" s="417">
        <f t="shared" si="236"/>
        <v>0</v>
      </c>
      <c r="AO148" s="417">
        <f t="shared" si="237"/>
        <v>0</v>
      </c>
      <c r="AP148" s="417">
        <f t="shared" si="238"/>
        <v>0</v>
      </c>
      <c r="AQ148" s="417">
        <f t="shared" si="238"/>
        <v>0</v>
      </c>
      <c r="AR148" s="417">
        <f t="shared" si="239"/>
        <v>0</v>
      </c>
      <c r="AS148" s="68">
        <f t="shared" si="240"/>
        <v>0</v>
      </c>
      <c r="AT148" s="68">
        <f t="shared" si="241"/>
        <v>0</v>
      </c>
      <c r="AU148" s="417">
        <v>0</v>
      </c>
      <c r="AV148" s="417">
        <v>0</v>
      </c>
      <c r="AW148" s="417">
        <v>0</v>
      </c>
      <c r="AX148" s="417">
        <f t="shared" si="242"/>
        <v>0</v>
      </c>
      <c r="AY148" s="417">
        <f t="shared" si="243"/>
        <v>0</v>
      </c>
      <c r="AZ148" s="418">
        <v>0</v>
      </c>
      <c r="BA148" s="418">
        <v>0</v>
      </c>
      <c r="BB148" s="418">
        <v>0</v>
      </c>
      <c r="BC148" s="418">
        <v>0</v>
      </c>
      <c r="BD148" s="418">
        <v>0</v>
      </c>
      <c r="BE148" s="418">
        <v>0</v>
      </c>
      <c r="BF148" s="418">
        <v>0</v>
      </c>
      <c r="BG148" s="418">
        <v>0</v>
      </c>
      <c r="BH148" s="418">
        <v>0</v>
      </c>
      <c r="BI148" s="418">
        <f t="shared" si="244"/>
        <v>0</v>
      </c>
      <c r="BJ148" s="418">
        <f t="shared" si="245"/>
        <v>0</v>
      </c>
      <c r="BK148" s="420">
        <f t="shared" si="246"/>
        <v>0</v>
      </c>
      <c r="BL148" s="772">
        <f>I148+AY148</f>
        <v>5425136</v>
      </c>
      <c r="BM148" s="772">
        <f>J148+AG148</f>
        <v>4007074</v>
      </c>
      <c r="BN148" s="417">
        <f>K148+AE148</f>
        <v>3517218</v>
      </c>
      <c r="BO148" s="417">
        <f>L148+AF148</f>
        <v>489856</v>
      </c>
      <c r="BP148" s="417">
        <f>M148+AO148</f>
        <v>0</v>
      </c>
      <c r="BQ148" s="417">
        <f>N148+AM148</f>
        <v>0</v>
      </c>
      <c r="BR148" s="417">
        <f>O148+AN148</f>
        <v>0</v>
      </c>
      <c r="BS148" s="417">
        <f>P148+AS148</f>
        <v>1354391</v>
      </c>
      <c r="BT148" s="417">
        <f>Q148+AT148</f>
        <v>40071</v>
      </c>
      <c r="BU148" s="417">
        <f>R148+AX148</f>
        <v>23600</v>
      </c>
      <c r="BV148" s="418">
        <f>S148+BK148</f>
        <v>7.8892000000000007</v>
      </c>
      <c r="BW148" s="418">
        <f>T148+BI148</f>
        <v>6.24</v>
      </c>
      <c r="BX148" s="420">
        <f>U148+BJ148</f>
        <v>1.6492</v>
      </c>
      <c r="BY148" s="840"/>
      <c r="BZ148" s="717"/>
      <c r="CA148" s="717"/>
      <c r="CB148" s="717"/>
      <c r="CC148" s="717"/>
      <c r="CD148" s="822"/>
      <c r="CE148" s="1029">
        <v>219735</v>
      </c>
      <c r="CF148" s="1030">
        <v>157187</v>
      </c>
      <c r="CG148" s="1030">
        <v>53129</v>
      </c>
      <c r="CH148" s="1030">
        <v>1572</v>
      </c>
      <c r="CI148" s="1030">
        <v>7847</v>
      </c>
      <c r="CJ148" s="828">
        <v>0.5292</v>
      </c>
    </row>
    <row r="149" spans="1:88" ht="12.95" customHeight="1">
      <c r="A149" s="280">
        <v>29</v>
      </c>
      <c r="B149" s="212">
        <v>5437</v>
      </c>
      <c r="C149" s="212">
        <v>600098931</v>
      </c>
      <c r="D149" s="281">
        <v>72742135</v>
      </c>
      <c r="E149" s="372" t="s">
        <v>505</v>
      </c>
      <c r="F149" s="212">
        <v>3141</v>
      </c>
      <c r="G149" s="373" t="s">
        <v>294</v>
      </c>
      <c r="H149" s="285" t="s">
        <v>272</v>
      </c>
      <c r="I149" s="419">
        <v>1333800</v>
      </c>
      <c r="J149" s="414">
        <v>985145</v>
      </c>
      <c r="K149" s="414">
        <v>0</v>
      </c>
      <c r="L149" s="414">
        <v>985145</v>
      </c>
      <c r="M149" s="414">
        <v>0</v>
      </c>
      <c r="N149" s="414">
        <v>0</v>
      </c>
      <c r="O149" s="414">
        <v>0</v>
      </c>
      <c r="P149" s="68">
        <v>332979</v>
      </c>
      <c r="Q149" s="68">
        <v>9852</v>
      </c>
      <c r="R149" s="414">
        <v>5824</v>
      </c>
      <c r="S149" s="415">
        <v>2.9466999999999999</v>
      </c>
      <c r="T149" s="415">
        <v>0</v>
      </c>
      <c r="U149" s="422">
        <v>2.9466999999999999</v>
      </c>
      <c r="V149" s="423">
        <f t="shared" si="231"/>
        <v>0</v>
      </c>
      <c r="W149" s="417">
        <f t="shared" si="231"/>
        <v>0</v>
      </c>
      <c r="X149" s="417">
        <v>0</v>
      </c>
      <c r="Y149" s="417">
        <v>0</v>
      </c>
      <c r="Z149" s="417">
        <v>0</v>
      </c>
      <c r="AA149" s="417">
        <v>-3767</v>
      </c>
      <c r="AB149" s="417">
        <v>0</v>
      </c>
      <c r="AC149" s="417">
        <v>0</v>
      </c>
      <c r="AD149" s="417">
        <v>0</v>
      </c>
      <c r="AE149" s="417">
        <f t="shared" si="232"/>
        <v>0</v>
      </c>
      <c r="AF149" s="417">
        <f t="shared" si="233"/>
        <v>-3767</v>
      </c>
      <c r="AG149" s="417">
        <f t="shared" si="234"/>
        <v>-3767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235"/>
        <v>0</v>
      </c>
      <c r="AN149" s="417">
        <f t="shared" si="236"/>
        <v>0</v>
      </c>
      <c r="AO149" s="417">
        <f t="shared" si="237"/>
        <v>0</v>
      </c>
      <c r="AP149" s="417">
        <f t="shared" si="238"/>
        <v>0</v>
      </c>
      <c r="AQ149" s="417">
        <f t="shared" si="238"/>
        <v>-3767</v>
      </c>
      <c r="AR149" s="417">
        <f t="shared" si="239"/>
        <v>-3767</v>
      </c>
      <c r="AS149" s="68">
        <f t="shared" si="240"/>
        <v>-1273</v>
      </c>
      <c r="AT149" s="68">
        <f t="shared" si="241"/>
        <v>-38</v>
      </c>
      <c r="AU149" s="417">
        <v>0</v>
      </c>
      <c r="AV149" s="417">
        <v>0</v>
      </c>
      <c r="AW149" s="417">
        <v>0</v>
      </c>
      <c r="AX149" s="417">
        <f t="shared" si="242"/>
        <v>0</v>
      </c>
      <c r="AY149" s="417">
        <f t="shared" si="243"/>
        <v>-5078</v>
      </c>
      <c r="AZ149" s="418">
        <v>0</v>
      </c>
      <c r="BA149" s="418">
        <v>0</v>
      </c>
      <c r="BB149" s="418">
        <v>0</v>
      </c>
      <c r="BC149" s="418">
        <v>0</v>
      </c>
      <c r="BD149" s="418">
        <v>-0.01</v>
      </c>
      <c r="BE149" s="418">
        <v>0</v>
      </c>
      <c r="BF149" s="418">
        <v>0</v>
      </c>
      <c r="BG149" s="418">
        <v>0</v>
      </c>
      <c r="BH149" s="418">
        <v>0</v>
      </c>
      <c r="BI149" s="418">
        <f t="shared" si="244"/>
        <v>0</v>
      </c>
      <c r="BJ149" s="418">
        <f t="shared" si="245"/>
        <v>-0.01</v>
      </c>
      <c r="BK149" s="420">
        <f t="shared" si="246"/>
        <v>-0.01</v>
      </c>
      <c r="BL149" s="772">
        <f>I149+AY149</f>
        <v>1328722</v>
      </c>
      <c r="BM149" s="772">
        <f>J149+AG149</f>
        <v>981378</v>
      </c>
      <c r="BN149" s="417">
        <f>K149+AE149</f>
        <v>0</v>
      </c>
      <c r="BO149" s="417">
        <f>L149+AF149</f>
        <v>981378</v>
      </c>
      <c r="BP149" s="417">
        <f>M149+AO149</f>
        <v>0</v>
      </c>
      <c r="BQ149" s="417">
        <f>N149+AM149</f>
        <v>0</v>
      </c>
      <c r="BR149" s="417">
        <f>O149+AN149</f>
        <v>0</v>
      </c>
      <c r="BS149" s="417">
        <f>P149+AS149</f>
        <v>331706</v>
      </c>
      <c r="BT149" s="417">
        <f>Q149+AT149</f>
        <v>9814</v>
      </c>
      <c r="BU149" s="417">
        <f>R149+AX149</f>
        <v>5824</v>
      </c>
      <c r="BV149" s="418">
        <f>S149+BK149</f>
        <v>2.9367000000000001</v>
      </c>
      <c r="BW149" s="418">
        <f>T149+BI149</f>
        <v>0</v>
      </c>
      <c r="BX149" s="420">
        <f>U149+BJ149</f>
        <v>2.9367000000000001</v>
      </c>
      <c r="BY149" s="840"/>
      <c r="BZ149" s="717"/>
      <c r="CA149" s="717"/>
      <c r="CB149" s="717"/>
      <c r="CC149" s="717"/>
      <c r="CD149" s="822"/>
      <c r="CE149" s="1029"/>
      <c r="CF149" s="1030"/>
      <c r="CG149" s="1030"/>
      <c r="CH149" s="1030"/>
      <c r="CI149" s="1030"/>
      <c r="CJ149" s="828"/>
    </row>
    <row r="150" spans="1:88" ht="12.95" customHeight="1">
      <c r="A150" s="213">
        <v>29</v>
      </c>
      <c r="B150" s="45">
        <v>5437</v>
      </c>
      <c r="C150" s="45">
        <v>600098931</v>
      </c>
      <c r="D150" s="45">
        <v>72742135</v>
      </c>
      <c r="E150" s="374" t="s">
        <v>506</v>
      </c>
      <c r="F150" s="45"/>
      <c r="G150" s="374"/>
      <c r="H150" s="182"/>
      <c r="I150" s="487">
        <v>6758936</v>
      </c>
      <c r="J150" s="484">
        <v>4992219</v>
      </c>
      <c r="K150" s="484">
        <v>3517218</v>
      </c>
      <c r="L150" s="484">
        <v>1475001</v>
      </c>
      <c r="M150" s="484">
        <v>0</v>
      </c>
      <c r="N150" s="484">
        <v>0</v>
      </c>
      <c r="O150" s="484">
        <v>0</v>
      </c>
      <c r="P150" s="484">
        <v>1687370</v>
      </c>
      <c r="Q150" s="484">
        <v>49923</v>
      </c>
      <c r="R150" s="484">
        <v>29424</v>
      </c>
      <c r="S150" s="485">
        <v>10.835900000000001</v>
      </c>
      <c r="T150" s="485">
        <v>6.24</v>
      </c>
      <c r="U150" s="652">
        <v>4.5959000000000003</v>
      </c>
      <c r="V150" s="487">
        <f t="shared" ref="V150:BK150" si="250">SUM(V148:V149)</f>
        <v>0</v>
      </c>
      <c r="W150" s="484">
        <f t="shared" si="250"/>
        <v>0</v>
      </c>
      <c r="X150" s="484">
        <f t="shared" si="250"/>
        <v>0</v>
      </c>
      <c r="Y150" s="484">
        <f t="shared" si="250"/>
        <v>0</v>
      </c>
      <c r="Z150" s="484">
        <f t="shared" si="250"/>
        <v>0</v>
      </c>
      <c r="AA150" s="484">
        <f t="shared" si="250"/>
        <v>-3767</v>
      </c>
      <c r="AB150" s="484">
        <f t="shared" si="250"/>
        <v>0</v>
      </c>
      <c r="AC150" s="484">
        <f t="shared" si="250"/>
        <v>0</v>
      </c>
      <c r="AD150" s="484">
        <f t="shared" si="250"/>
        <v>0</v>
      </c>
      <c r="AE150" s="484">
        <f t="shared" si="250"/>
        <v>0</v>
      </c>
      <c r="AF150" s="484">
        <f t="shared" si="250"/>
        <v>-3767</v>
      </c>
      <c r="AG150" s="484">
        <f t="shared" si="250"/>
        <v>-3767</v>
      </c>
      <c r="AH150" s="484">
        <f t="shared" si="250"/>
        <v>0</v>
      </c>
      <c r="AI150" s="484">
        <f t="shared" si="250"/>
        <v>0</v>
      </c>
      <c r="AJ150" s="484">
        <f t="shared" si="250"/>
        <v>0</v>
      </c>
      <c r="AK150" s="484">
        <f t="shared" si="250"/>
        <v>0</v>
      </c>
      <c r="AL150" s="484">
        <f t="shared" si="250"/>
        <v>0</v>
      </c>
      <c r="AM150" s="484">
        <f t="shared" si="250"/>
        <v>0</v>
      </c>
      <c r="AN150" s="484">
        <f t="shared" si="250"/>
        <v>0</v>
      </c>
      <c r="AO150" s="484">
        <f t="shared" si="250"/>
        <v>0</v>
      </c>
      <c r="AP150" s="484">
        <f t="shared" si="250"/>
        <v>0</v>
      </c>
      <c r="AQ150" s="484">
        <f t="shared" si="250"/>
        <v>-3767</v>
      </c>
      <c r="AR150" s="484">
        <f t="shared" si="250"/>
        <v>-3767</v>
      </c>
      <c r="AS150" s="484">
        <f t="shared" si="250"/>
        <v>-1273</v>
      </c>
      <c r="AT150" s="484">
        <f t="shared" si="250"/>
        <v>-38</v>
      </c>
      <c r="AU150" s="484">
        <f t="shared" si="250"/>
        <v>0</v>
      </c>
      <c r="AV150" s="484">
        <f t="shared" si="250"/>
        <v>0</v>
      </c>
      <c r="AW150" s="484">
        <f t="shared" si="250"/>
        <v>0</v>
      </c>
      <c r="AX150" s="484">
        <f t="shared" si="250"/>
        <v>0</v>
      </c>
      <c r="AY150" s="484">
        <f t="shared" si="250"/>
        <v>-5078</v>
      </c>
      <c r="AZ150" s="485">
        <f t="shared" si="250"/>
        <v>0</v>
      </c>
      <c r="BA150" s="485">
        <f t="shared" si="250"/>
        <v>0</v>
      </c>
      <c r="BB150" s="485">
        <f t="shared" si="250"/>
        <v>0</v>
      </c>
      <c r="BC150" s="485">
        <f t="shared" si="250"/>
        <v>0</v>
      </c>
      <c r="BD150" s="485">
        <f t="shared" si="250"/>
        <v>-0.01</v>
      </c>
      <c r="BE150" s="485">
        <f t="shared" si="250"/>
        <v>0</v>
      </c>
      <c r="BF150" s="485">
        <f t="shared" si="250"/>
        <v>0</v>
      </c>
      <c r="BG150" s="485">
        <f t="shared" si="250"/>
        <v>0</v>
      </c>
      <c r="BH150" s="485">
        <f t="shared" si="250"/>
        <v>0</v>
      </c>
      <c r="BI150" s="485">
        <f t="shared" si="250"/>
        <v>0</v>
      </c>
      <c r="BJ150" s="485">
        <f t="shared" si="250"/>
        <v>-0.01</v>
      </c>
      <c r="BK150" s="379">
        <f t="shared" si="250"/>
        <v>-0.01</v>
      </c>
      <c r="BL150" s="1076">
        <f t="shared" ref="BL150:CG150" si="251">SUM(BL148:BL149)</f>
        <v>6753858</v>
      </c>
      <c r="BM150" s="1076">
        <f t="shared" si="251"/>
        <v>4988452</v>
      </c>
      <c r="BN150" s="484">
        <f t="shared" si="251"/>
        <v>3517218</v>
      </c>
      <c r="BO150" s="484">
        <f t="shared" si="251"/>
        <v>1471234</v>
      </c>
      <c r="BP150" s="484">
        <f t="shared" si="251"/>
        <v>0</v>
      </c>
      <c r="BQ150" s="484">
        <f t="shared" si="251"/>
        <v>0</v>
      </c>
      <c r="BR150" s="484">
        <f t="shared" si="251"/>
        <v>0</v>
      </c>
      <c r="BS150" s="484">
        <f t="shared" si="251"/>
        <v>1686097</v>
      </c>
      <c r="BT150" s="484">
        <f t="shared" si="251"/>
        <v>49885</v>
      </c>
      <c r="BU150" s="484">
        <f t="shared" si="251"/>
        <v>29424</v>
      </c>
      <c r="BV150" s="485">
        <f t="shared" si="251"/>
        <v>10.825900000000001</v>
      </c>
      <c r="BW150" s="485">
        <f t="shared" si="251"/>
        <v>6.24</v>
      </c>
      <c r="BX150" s="379">
        <f t="shared" si="251"/>
        <v>4.5859000000000005</v>
      </c>
      <c r="BY150" s="941">
        <f t="shared" si="251"/>
        <v>0</v>
      </c>
      <c r="BZ150" s="728">
        <f t="shared" si="251"/>
        <v>0</v>
      </c>
      <c r="CA150" s="728">
        <f t="shared" si="251"/>
        <v>0</v>
      </c>
      <c r="CB150" s="728">
        <f t="shared" si="251"/>
        <v>0</v>
      </c>
      <c r="CC150" s="728">
        <f t="shared" si="251"/>
        <v>0</v>
      </c>
      <c r="CD150" s="834">
        <f t="shared" si="251"/>
        <v>0</v>
      </c>
      <c r="CE150" s="1025">
        <f t="shared" si="251"/>
        <v>219735</v>
      </c>
      <c r="CF150" s="1025">
        <f t="shared" si="251"/>
        <v>157187</v>
      </c>
      <c r="CG150" s="1025">
        <f t="shared" si="251"/>
        <v>53129</v>
      </c>
      <c r="CH150" s="1025">
        <f t="shared" ref="CH150:CJ150" si="252">SUM(CH148:CH149)</f>
        <v>1572</v>
      </c>
      <c r="CI150" s="1025">
        <f t="shared" si="252"/>
        <v>7847</v>
      </c>
      <c r="CJ150" s="933">
        <f t="shared" si="252"/>
        <v>0.5292</v>
      </c>
    </row>
    <row r="151" spans="1:88" ht="12.95" customHeight="1">
      <c r="A151" s="280">
        <v>30</v>
      </c>
      <c r="B151" s="376">
        <v>5438</v>
      </c>
      <c r="C151" s="376">
        <v>600099032</v>
      </c>
      <c r="D151" s="281">
        <v>72742054</v>
      </c>
      <c r="E151" s="211" t="s">
        <v>507</v>
      </c>
      <c r="F151" s="212">
        <v>3117</v>
      </c>
      <c r="G151" s="372" t="s">
        <v>308</v>
      </c>
      <c r="H151" s="285" t="s">
        <v>271</v>
      </c>
      <c r="I151" s="419">
        <v>4172828</v>
      </c>
      <c r="J151" s="414">
        <v>3034293</v>
      </c>
      <c r="K151" s="414">
        <v>2534815</v>
      </c>
      <c r="L151" s="414">
        <v>499478</v>
      </c>
      <c r="M151" s="414">
        <v>0</v>
      </c>
      <c r="N151" s="414">
        <v>0</v>
      </c>
      <c r="O151" s="414">
        <v>0</v>
      </c>
      <c r="P151" s="68">
        <v>1025591</v>
      </c>
      <c r="Q151" s="68">
        <v>30344</v>
      </c>
      <c r="R151" s="414">
        <v>82600</v>
      </c>
      <c r="S151" s="415">
        <v>5.1662999999999997</v>
      </c>
      <c r="T151" s="415">
        <v>3.8180000000000001</v>
      </c>
      <c r="U151" s="422">
        <v>1.3483000000000001</v>
      </c>
      <c r="V151" s="423">
        <f t="shared" si="231"/>
        <v>0</v>
      </c>
      <c r="W151" s="417">
        <f t="shared" si="231"/>
        <v>0</v>
      </c>
      <c r="X151" s="417">
        <v>0</v>
      </c>
      <c r="Y151" s="417">
        <v>0</v>
      </c>
      <c r="Z151" s="417">
        <v>0</v>
      </c>
      <c r="AA151" s="417">
        <v>0</v>
      </c>
      <c r="AB151" s="417">
        <v>0</v>
      </c>
      <c r="AC151" s="417">
        <v>0</v>
      </c>
      <c r="AD151" s="417">
        <v>0</v>
      </c>
      <c r="AE151" s="417">
        <f t="shared" si="232"/>
        <v>0</v>
      </c>
      <c r="AF151" s="417">
        <f t="shared" si="233"/>
        <v>0</v>
      </c>
      <c r="AG151" s="417">
        <f t="shared" si="234"/>
        <v>0</v>
      </c>
      <c r="AH151" s="417">
        <v>0</v>
      </c>
      <c r="AI151" s="417">
        <v>0</v>
      </c>
      <c r="AJ151" s="417">
        <v>0</v>
      </c>
      <c r="AK151" s="417">
        <v>0</v>
      </c>
      <c r="AL151" s="417">
        <v>0</v>
      </c>
      <c r="AM151" s="417">
        <f t="shared" si="235"/>
        <v>0</v>
      </c>
      <c r="AN151" s="417">
        <f t="shared" si="236"/>
        <v>0</v>
      </c>
      <c r="AO151" s="417">
        <f t="shared" si="237"/>
        <v>0</v>
      </c>
      <c r="AP151" s="417">
        <f t="shared" si="238"/>
        <v>0</v>
      </c>
      <c r="AQ151" s="417">
        <f t="shared" si="238"/>
        <v>0</v>
      </c>
      <c r="AR151" s="417">
        <f t="shared" si="239"/>
        <v>0</v>
      </c>
      <c r="AS151" s="68">
        <f t="shared" si="240"/>
        <v>0</v>
      </c>
      <c r="AT151" s="68">
        <f t="shared" si="241"/>
        <v>0</v>
      </c>
      <c r="AU151" s="417">
        <v>0</v>
      </c>
      <c r="AV151" s="417">
        <v>0</v>
      </c>
      <c r="AW151" s="417">
        <v>0</v>
      </c>
      <c r="AX151" s="417">
        <f t="shared" si="242"/>
        <v>0</v>
      </c>
      <c r="AY151" s="417">
        <f t="shared" si="243"/>
        <v>0</v>
      </c>
      <c r="AZ151" s="418">
        <v>0</v>
      </c>
      <c r="BA151" s="418">
        <v>0</v>
      </c>
      <c r="BB151" s="418">
        <v>0</v>
      </c>
      <c r="BC151" s="418">
        <v>0</v>
      </c>
      <c r="BD151" s="418">
        <v>0</v>
      </c>
      <c r="BE151" s="418">
        <v>0</v>
      </c>
      <c r="BF151" s="418">
        <v>0</v>
      </c>
      <c r="BG151" s="418">
        <v>0</v>
      </c>
      <c r="BH151" s="418">
        <v>0</v>
      </c>
      <c r="BI151" s="418">
        <f t="shared" si="244"/>
        <v>0</v>
      </c>
      <c r="BJ151" s="418">
        <f t="shared" si="245"/>
        <v>0</v>
      </c>
      <c r="BK151" s="420">
        <f t="shared" si="246"/>
        <v>0</v>
      </c>
      <c r="BL151" s="772">
        <f>I151+AY151</f>
        <v>4172828</v>
      </c>
      <c r="BM151" s="772">
        <f>J151+AG151</f>
        <v>3034293</v>
      </c>
      <c r="BN151" s="417">
        <f t="shared" ref="BN151:BO154" si="253">K151+AE151</f>
        <v>2534815</v>
      </c>
      <c r="BO151" s="417">
        <f t="shared" si="253"/>
        <v>499478</v>
      </c>
      <c r="BP151" s="417">
        <f>M151+AO151</f>
        <v>0</v>
      </c>
      <c r="BQ151" s="417">
        <f t="shared" ref="BQ151:BR154" si="254">N151+AM151</f>
        <v>0</v>
      </c>
      <c r="BR151" s="417">
        <f t="shared" si="254"/>
        <v>0</v>
      </c>
      <c r="BS151" s="417">
        <f t="shared" ref="BS151:BT154" si="255">P151+AS151</f>
        <v>1025591</v>
      </c>
      <c r="BT151" s="417">
        <f t="shared" si="255"/>
        <v>30344</v>
      </c>
      <c r="BU151" s="417">
        <f>R151+AX151</f>
        <v>82600</v>
      </c>
      <c r="BV151" s="418">
        <f>S151+BK151</f>
        <v>5.1662999999999997</v>
      </c>
      <c r="BW151" s="418">
        <f t="shared" ref="BW151:BX154" si="256">T151+BI151</f>
        <v>3.8180000000000001</v>
      </c>
      <c r="BX151" s="420">
        <f t="shared" si="256"/>
        <v>1.3483000000000001</v>
      </c>
      <c r="BY151" s="840"/>
      <c r="BZ151" s="717"/>
      <c r="CA151" s="717"/>
      <c r="CB151" s="717"/>
      <c r="CC151" s="717"/>
      <c r="CD151" s="822"/>
      <c r="CE151" s="1029">
        <v>230476</v>
      </c>
      <c r="CF151" s="1030">
        <v>160258</v>
      </c>
      <c r="CG151" s="1030">
        <v>54167</v>
      </c>
      <c r="CH151" s="1030">
        <v>1603</v>
      </c>
      <c r="CI151" s="1030">
        <v>14448</v>
      </c>
      <c r="CJ151" s="828">
        <v>0.43259999999999998</v>
      </c>
    </row>
    <row r="152" spans="1:88" ht="12.95" customHeight="1">
      <c r="A152" s="280">
        <v>30</v>
      </c>
      <c r="B152" s="212">
        <v>5438</v>
      </c>
      <c r="C152" s="212">
        <v>600099032</v>
      </c>
      <c r="D152" s="281">
        <v>72742054</v>
      </c>
      <c r="E152" s="371" t="s">
        <v>507</v>
      </c>
      <c r="F152" s="212">
        <v>3117</v>
      </c>
      <c r="G152" s="323" t="s">
        <v>291</v>
      </c>
      <c r="H152" s="285" t="s">
        <v>272</v>
      </c>
      <c r="I152" s="419">
        <v>296205</v>
      </c>
      <c r="J152" s="414">
        <v>219737</v>
      </c>
      <c r="K152" s="414">
        <v>219737</v>
      </c>
      <c r="L152" s="414">
        <v>0</v>
      </c>
      <c r="M152" s="414">
        <v>0</v>
      </c>
      <c r="N152" s="414">
        <v>0</v>
      </c>
      <c r="O152" s="414">
        <v>0</v>
      </c>
      <c r="P152" s="68">
        <v>74271</v>
      </c>
      <c r="Q152" s="68">
        <v>2197</v>
      </c>
      <c r="R152" s="414">
        <v>0</v>
      </c>
      <c r="S152" s="415">
        <v>0.59000000000000008</v>
      </c>
      <c r="T152" s="415">
        <v>0.59000000000000008</v>
      </c>
      <c r="U152" s="422">
        <v>0</v>
      </c>
      <c r="V152" s="423">
        <f t="shared" si="231"/>
        <v>0</v>
      </c>
      <c r="W152" s="417">
        <f t="shared" si="231"/>
        <v>0</v>
      </c>
      <c r="X152" s="417">
        <v>0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 t="shared" si="232"/>
        <v>0</v>
      </c>
      <c r="AF152" s="417">
        <f t="shared" si="233"/>
        <v>0</v>
      </c>
      <c r="AG152" s="417">
        <f t="shared" si="234"/>
        <v>0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235"/>
        <v>0</v>
      </c>
      <c r="AN152" s="417">
        <f t="shared" si="236"/>
        <v>0</v>
      </c>
      <c r="AO152" s="417">
        <f t="shared" si="237"/>
        <v>0</v>
      </c>
      <c r="AP152" s="417">
        <f t="shared" si="238"/>
        <v>0</v>
      </c>
      <c r="AQ152" s="417">
        <f t="shared" si="238"/>
        <v>0</v>
      </c>
      <c r="AR152" s="417">
        <f t="shared" si="239"/>
        <v>0</v>
      </c>
      <c r="AS152" s="68">
        <f t="shared" si="240"/>
        <v>0</v>
      </c>
      <c r="AT152" s="68">
        <f t="shared" si="241"/>
        <v>0</v>
      </c>
      <c r="AU152" s="417">
        <v>0</v>
      </c>
      <c r="AV152" s="417">
        <v>0</v>
      </c>
      <c r="AW152" s="417">
        <v>0</v>
      </c>
      <c r="AX152" s="417">
        <f t="shared" si="242"/>
        <v>0</v>
      </c>
      <c r="AY152" s="417">
        <f t="shared" si="243"/>
        <v>0</v>
      </c>
      <c r="AZ152" s="418">
        <v>0</v>
      </c>
      <c r="BA152" s="418">
        <v>0</v>
      </c>
      <c r="BB152" s="418">
        <v>0</v>
      </c>
      <c r="BC152" s="418">
        <v>0</v>
      </c>
      <c r="BD152" s="418">
        <v>0</v>
      </c>
      <c r="BE152" s="418">
        <v>0</v>
      </c>
      <c r="BF152" s="418">
        <v>0</v>
      </c>
      <c r="BG152" s="418">
        <v>0</v>
      </c>
      <c r="BH152" s="418">
        <v>0</v>
      </c>
      <c r="BI152" s="418">
        <f t="shared" si="244"/>
        <v>0</v>
      </c>
      <c r="BJ152" s="418">
        <f t="shared" si="245"/>
        <v>0</v>
      </c>
      <c r="BK152" s="420">
        <f t="shared" si="246"/>
        <v>0</v>
      </c>
      <c r="BL152" s="772">
        <f>I152+AY152</f>
        <v>296205</v>
      </c>
      <c r="BM152" s="772">
        <f>J152+AG152</f>
        <v>219737</v>
      </c>
      <c r="BN152" s="417">
        <f t="shared" si="253"/>
        <v>219737</v>
      </c>
      <c r="BO152" s="417">
        <f t="shared" si="253"/>
        <v>0</v>
      </c>
      <c r="BP152" s="417">
        <f>M152+AO152</f>
        <v>0</v>
      </c>
      <c r="BQ152" s="417">
        <f t="shared" si="254"/>
        <v>0</v>
      </c>
      <c r="BR152" s="417">
        <f t="shared" si="254"/>
        <v>0</v>
      </c>
      <c r="BS152" s="417">
        <f t="shared" si="255"/>
        <v>74271</v>
      </c>
      <c r="BT152" s="417">
        <f t="shared" si="255"/>
        <v>2197</v>
      </c>
      <c r="BU152" s="417">
        <f>R152+AX152</f>
        <v>0</v>
      </c>
      <c r="BV152" s="418">
        <f>S152+BK152</f>
        <v>0.59000000000000008</v>
      </c>
      <c r="BW152" s="418">
        <f t="shared" si="256"/>
        <v>0.59000000000000008</v>
      </c>
      <c r="BX152" s="420">
        <f t="shared" si="256"/>
        <v>0</v>
      </c>
      <c r="BY152" s="840"/>
      <c r="BZ152" s="717"/>
      <c r="CA152" s="717"/>
      <c r="CB152" s="717"/>
      <c r="CC152" s="717"/>
      <c r="CD152" s="822"/>
      <c r="CE152" s="1029"/>
      <c r="CF152" s="1030"/>
      <c r="CG152" s="1030"/>
      <c r="CH152" s="1030"/>
      <c r="CI152" s="1030"/>
      <c r="CJ152" s="828"/>
    </row>
    <row r="153" spans="1:88" ht="12.95" customHeight="1">
      <c r="A153" s="280">
        <v>30</v>
      </c>
      <c r="B153" s="212">
        <v>5438</v>
      </c>
      <c r="C153" s="212">
        <v>600099032</v>
      </c>
      <c r="D153" s="281">
        <v>72742054</v>
      </c>
      <c r="E153" s="371" t="s">
        <v>507</v>
      </c>
      <c r="F153" s="382">
        <v>3143</v>
      </c>
      <c r="G153" s="323" t="s">
        <v>595</v>
      </c>
      <c r="H153" s="285" t="s">
        <v>271</v>
      </c>
      <c r="I153" s="419">
        <v>658662</v>
      </c>
      <c r="J153" s="414">
        <v>488622</v>
      </c>
      <c r="K153" s="414">
        <v>488622</v>
      </c>
      <c r="L153" s="414">
        <v>0</v>
      </c>
      <c r="M153" s="414">
        <v>0</v>
      </c>
      <c r="N153" s="414">
        <v>0</v>
      </c>
      <c r="O153" s="414">
        <v>0</v>
      </c>
      <c r="P153" s="68">
        <v>165154</v>
      </c>
      <c r="Q153" s="68">
        <v>4886</v>
      </c>
      <c r="R153" s="414">
        <v>0</v>
      </c>
      <c r="S153" s="415">
        <v>0.9919</v>
      </c>
      <c r="T153" s="415">
        <v>0.9919</v>
      </c>
      <c r="U153" s="422">
        <v>0</v>
      </c>
      <c r="V153" s="423">
        <f t="shared" si="231"/>
        <v>0</v>
      </c>
      <c r="W153" s="417">
        <f t="shared" si="231"/>
        <v>0</v>
      </c>
      <c r="X153" s="417">
        <v>0</v>
      </c>
      <c r="Y153" s="417">
        <v>0</v>
      </c>
      <c r="Z153" s="417">
        <v>0</v>
      </c>
      <c r="AA153" s="417">
        <v>0</v>
      </c>
      <c r="AB153" s="417">
        <v>0</v>
      </c>
      <c r="AC153" s="417">
        <v>0</v>
      </c>
      <c r="AD153" s="417">
        <v>0</v>
      </c>
      <c r="AE153" s="417">
        <f t="shared" si="232"/>
        <v>0</v>
      </c>
      <c r="AF153" s="417">
        <f t="shared" si="233"/>
        <v>0</v>
      </c>
      <c r="AG153" s="417">
        <f t="shared" si="234"/>
        <v>0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235"/>
        <v>0</v>
      </c>
      <c r="AN153" s="417">
        <f t="shared" si="236"/>
        <v>0</v>
      </c>
      <c r="AO153" s="417">
        <f t="shared" si="237"/>
        <v>0</v>
      </c>
      <c r="AP153" s="417">
        <f t="shared" si="238"/>
        <v>0</v>
      </c>
      <c r="AQ153" s="417">
        <f t="shared" si="238"/>
        <v>0</v>
      </c>
      <c r="AR153" s="417">
        <f t="shared" si="239"/>
        <v>0</v>
      </c>
      <c r="AS153" s="68">
        <f t="shared" si="240"/>
        <v>0</v>
      </c>
      <c r="AT153" s="68">
        <f t="shared" si="241"/>
        <v>0</v>
      </c>
      <c r="AU153" s="417">
        <v>0</v>
      </c>
      <c r="AV153" s="417">
        <v>0</v>
      </c>
      <c r="AW153" s="417">
        <v>0</v>
      </c>
      <c r="AX153" s="417">
        <f t="shared" si="242"/>
        <v>0</v>
      </c>
      <c r="AY153" s="417">
        <f t="shared" si="243"/>
        <v>0</v>
      </c>
      <c r="AZ153" s="418">
        <v>0</v>
      </c>
      <c r="BA153" s="418">
        <v>0</v>
      </c>
      <c r="BB153" s="418">
        <v>0</v>
      </c>
      <c r="BC153" s="418">
        <v>0</v>
      </c>
      <c r="BD153" s="418">
        <v>0</v>
      </c>
      <c r="BE153" s="418">
        <v>0</v>
      </c>
      <c r="BF153" s="418">
        <v>0</v>
      </c>
      <c r="BG153" s="418">
        <v>0</v>
      </c>
      <c r="BH153" s="418">
        <v>0</v>
      </c>
      <c r="BI153" s="418">
        <f t="shared" si="244"/>
        <v>0</v>
      </c>
      <c r="BJ153" s="418">
        <f t="shared" si="245"/>
        <v>0</v>
      </c>
      <c r="BK153" s="420">
        <f t="shared" si="246"/>
        <v>0</v>
      </c>
      <c r="BL153" s="772">
        <f>I153+AY153</f>
        <v>658662</v>
      </c>
      <c r="BM153" s="772">
        <f>J153+AG153</f>
        <v>488622</v>
      </c>
      <c r="BN153" s="417">
        <f t="shared" si="253"/>
        <v>488622</v>
      </c>
      <c r="BO153" s="417">
        <f t="shared" si="253"/>
        <v>0</v>
      </c>
      <c r="BP153" s="417">
        <f>M153+AO153</f>
        <v>0</v>
      </c>
      <c r="BQ153" s="417">
        <f t="shared" si="254"/>
        <v>0</v>
      </c>
      <c r="BR153" s="417">
        <f t="shared" si="254"/>
        <v>0</v>
      </c>
      <c r="BS153" s="417">
        <f t="shared" si="255"/>
        <v>165154</v>
      </c>
      <c r="BT153" s="417">
        <f t="shared" si="255"/>
        <v>4886</v>
      </c>
      <c r="BU153" s="417">
        <f>R153+AX153</f>
        <v>0</v>
      </c>
      <c r="BV153" s="418">
        <f>S153+BK153</f>
        <v>0.9919</v>
      </c>
      <c r="BW153" s="418">
        <f t="shared" si="256"/>
        <v>0.9919</v>
      </c>
      <c r="BX153" s="420">
        <f t="shared" si="256"/>
        <v>0</v>
      </c>
      <c r="BY153" s="840"/>
      <c r="BZ153" s="717"/>
      <c r="CA153" s="717"/>
      <c r="CB153" s="717"/>
      <c r="CC153" s="717"/>
      <c r="CD153" s="822"/>
      <c r="CE153" s="1029"/>
      <c r="CF153" s="1030"/>
      <c r="CG153" s="1030"/>
      <c r="CH153" s="1030"/>
      <c r="CI153" s="1030"/>
      <c r="CJ153" s="828"/>
    </row>
    <row r="154" spans="1:88" ht="12.95" customHeight="1">
      <c r="A154" s="280">
        <v>30</v>
      </c>
      <c r="B154" s="212">
        <v>5438</v>
      </c>
      <c r="C154" s="212">
        <v>600099032</v>
      </c>
      <c r="D154" s="281">
        <v>72742054</v>
      </c>
      <c r="E154" s="371" t="s">
        <v>507</v>
      </c>
      <c r="F154" s="382">
        <v>3143</v>
      </c>
      <c r="G154" s="323" t="s">
        <v>596</v>
      </c>
      <c r="H154" s="285" t="s">
        <v>272</v>
      </c>
      <c r="I154" s="419">
        <v>19210</v>
      </c>
      <c r="J154" s="414">
        <v>13750</v>
      </c>
      <c r="K154" s="414">
        <v>0</v>
      </c>
      <c r="L154" s="414">
        <v>13750</v>
      </c>
      <c r="M154" s="414">
        <v>0</v>
      </c>
      <c r="N154" s="414">
        <v>0</v>
      </c>
      <c r="O154" s="414">
        <v>0</v>
      </c>
      <c r="P154" s="68">
        <v>4647</v>
      </c>
      <c r="Q154" s="68">
        <v>138</v>
      </c>
      <c r="R154" s="414">
        <v>675</v>
      </c>
      <c r="S154" s="415">
        <v>5.4699999999999999E-2</v>
      </c>
      <c r="T154" s="415">
        <v>0</v>
      </c>
      <c r="U154" s="422">
        <v>5.4699999999999999E-2</v>
      </c>
      <c r="V154" s="423">
        <f t="shared" si="231"/>
        <v>0</v>
      </c>
      <c r="W154" s="417">
        <f t="shared" si="231"/>
        <v>0</v>
      </c>
      <c r="X154" s="417">
        <v>0</v>
      </c>
      <c r="Y154" s="417">
        <v>0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232"/>
        <v>0</v>
      </c>
      <c r="AF154" s="417">
        <f t="shared" si="233"/>
        <v>0</v>
      </c>
      <c r="AG154" s="417">
        <f t="shared" si="234"/>
        <v>0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235"/>
        <v>0</v>
      </c>
      <c r="AN154" s="417">
        <f t="shared" si="236"/>
        <v>0</v>
      </c>
      <c r="AO154" s="417">
        <f t="shared" si="237"/>
        <v>0</v>
      </c>
      <c r="AP154" s="417">
        <f t="shared" si="238"/>
        <v>0</v>
      </c>
      <c r="AQ154" s="417">
        <f t="shared" si="238"/>
        <v>0</v>
      </c>
      <c r="AR154" s="417">
        <f t="shared" si="239"/>
        <v>0</v>
      </c>
      <c r="AS154" s="68">
        <f t="shared" si="240"/>
        <v>0</v>
      </c>
      <c r="AT154" s="68">
        <f t="shared" si="241"/>
        <v>0</v>
      </c>
      <c r="AU154" s="417">
        <v>0</v>
      </c>
      <c r="AV154" s="417">
        <v>0</v>
      </c>
      <c r="AW154" s="417">
        <v>0</v>
      </c>
      <c r="AX154" s="417">
        <f t="shared" si="242"/>
        <v>0</v>
      </c>
      <c r="AY154" s="417">
        <f t="shared" si="243"/>
        <v>0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</v>
      </c>
      <c r="BF154" s="418">
        <v>0</v>
      </c>
      <c r="BG154" s="418">
        <v>0</v>
      </c>
      <c r="BH154" s="418">
        <v>0</v>
      </c>
      <c r="BI154" s="418">
        <f t="shared" si="244"/>
        <v>0</v>
      </c>
      <c r="BJ154" s="418">
        <f t="shared" si="245"/>
        <v>0</v>
      </c>
      <c r="BK154" s="420">
        <f t="shared" si="246"/>
        <v>0</v>
      </c>
      <c r="BL154" s="772">
        <f>I154+AY154</f>
        <v>19210</v>
      </c>
      <c r="BM154" s="772">
        <f>J154+AG154</f>
        <v>13750</v>
      </c>
      <c r="BN154" s="417">
        <f t="shared" si="253"/>
        <v>0</v>
      </c>
      <c r="BO154" s="417">
        <f t="shared" si="253"/>
        <v>13750</v>
      </c>
      <c r="BP154" s="417">
        <f>M154+AO154</f>
        <v>0</v>
      </c>
      <c r="BQ154" s="417">
        <f t="shared" si="254"/>
        <v>0</v>
      </c>
      <c r="BR154" s="417">
        <f t="shared" si="254"/>
        <v>0</v>
      </c>
      <c r="BS154" s="417">
        <f t="shared" si="255"/>
        <v>4647</v>
      </c>
      <c r="BT154" s="417">
        <f t="shared" si="255"/>
        <v>138</v>
      </c>
      <c r="BU154" s="417">
        <f>R154+AX154</f>
        <v>675</v>
      </c>
      <c r="BV154" s="418">
        <f>S154+BK154</f>
        <v>5.4699999999999999E-2</v>
      </c>
      <c r="BW154" s="418">
        <f t="shared" si="256"/>
        <v>0</v>
      </c>
      <c r="BX154" s="420">
        <f t="shared" si="256"/>
        <v>5.4699999999999999E-2</v>
      </c>
      <c r="BY154" s="840"/>
      <c r="BZ154" s="717"/>
      <c r="CA154" s="717"/>
      <c r="CB154" s="717"/>
      <c r="CC154" s="717"/>
      <c r="CD154" s="822"/>
      <c r="CE154" s="1029"/>
      <c r="CF154" s="1030"/>
      <c r="CG154" s="1030"/>
      <c r="CH154" s="1030"/>
      <c r="CI154" s="1030"/>
      <c r="CJ154" s="828"/>
    </row>
    <row r="155" spans="1:88" ht="12.95" customHeight="1">
      <c r="A155" s="213">
        <v>30</v>
      </c>
      <c r="B155" s="45">
        <v>5438</v>
      </c>
      <c r="C155" s="45">
        <v>600099032</v>
      </c>
      <c r="D155" s="45">
        <v>72742054</v>
      </c>
      <c r="E155" s="383" t="s">
        <v>508</v>
      </c>
      <c r="F155" s="384"/>
      <c r="G155" s="383"/>
      <c r="H155" s="385"/>
      <c r="I155" s="487">
        <v>5146905</v>
      </c>
      <c r="J155" s="484">
        <v>3756402</v>
      </c>
      <c r="K155" s="484">
        <v>3243174</v>
      </c>
      <c r="L155" s="484">
        <v>513228</v>
      </c>
      <c r="M155" s="484">
        <v>0</v>
      </c>
      <c r="N155" s="484">
        <v>0</v>
      </c>
      <c r="O155" s="484">
        <v>0</v>
      </c>
      <c r="P155" s="484">
        <v>1269663</v>
      </c>
      <c r="Q155" s="484">
        <v>37565</v>
      </c>
      <c r="R155" s="484">
        <v>83275</v>
      </c>
      <c r="S155" s="485">
        <v>6.8029000000000002</v>
      </c>
      <c r="T155" s="485">
        <v>5.3999000000000006</v>
      </c>
      <c r="U155" s="652">
        <v>1.403</v>
      </c>
      <c r="V155" s="487">
        <f t="shared" ref="V155:BK155" si="257">SUM(V151:V154)</f>
        <v>0</v>
      </c>
      <c r="W155" s="484">
        <f t="shared" si="257"/>
        <v>0</v>
      </c>
      <c r="X155" s="484">
        <f t="shared" si="257"/>
        <v>0</v>
      </c>
      <c r="Y155" s="484">
        <f t="shared" si="257"/>
        <v>0</v>
      </c>
      <c r="Z155" s="484">
        <f t="shared" si="257"/>
        <v>0</v>
      </c>
      <c r="AA155" s="484">
        <f t="shared" si="257"/>
        <v>0</v>
      </c>
      <c r="AB155" s="484">
        <f t="shared" si="257"/>
        <v>0</v>
      </c>
      <c r="AC155" s="484">
        <f t="shared" si="257"/>
        <v>0</v>
      </c>
      <c r="AD155" s="484">
        <f t="shared" si="257"/>
        <v>0</v>
      </c>
      <c r="AE155" s="484">
        <f t="shared" si="257"/>
        <v>0</v>
      </c>
      <c r="AF155" s="484">
        <f t="shared" si="257"/>
        <v>0</v>
      </c>
      <c r="AG155" s="484">
        <f t="shared" si="257"/>
        <v>0</v>
      </c>
      <c r="AH155" s="484">
        <f t="shared" si="257"/>
        <v>0</v>
      </c>
      <c r="AI155" s="484">
        <f t="shared" si="257"/>
        <v>0</v>
      </c>
      <c r="AJ155" s="484">
        <f t="shared" si="257"/>
        <v>0</v>
      </c>
      <c r="AK155" s="484">
        <f t="shared" si="257"/>
        <v>0</v>
      </c>
      <c r="AL155" s="484">
        <f t="shared" si="257"/>
        <v>0</v>
      </c>
      <c r="AM155" s="484">
        <f t="shared" si="257"/>
        <v>0</v>
      </c>
      <c r="AN155" s="484">
        <f t="shared" si="257"/>
        <v>0</v>
      </c>
      <c r="AO155" s="484">
        <f t="shared" si="257"/>
        <v>0</v>
      </c>
      <c r="AP155" s="484">
        <f t="shared" si="257"/>
        <v>0</v>
      </c>
      <c r="AQ155" s="484">
        <f t="shared" si="257"/>
        <v>0</v>
      </c>
      <c r="AR155" s="484">
        <f t="shared" si="257"/>
        <v>0</v>
      </c>
      <c r="AS155" s="484">
        <f t="shared" si="257"/>
        <v>0</v>
      </c>
      <c r="AT155" s="484">
        <f t="shared" si="257"/>
        <v>0</v>
      </c>
      <c r="AU155" s="484">
        <f t="shared" si="257"/>
        <v>0</v>
      </c>
      <c r="AV155" s="484">
        <f t="shared" si="257"/>
        <v>0</v>
      </c>
      <c r="AW155" s="484">
        <f t="shared" si="257"/>
        <v>0</v>
      </c>
      <c r="AX155" s="484">
        <f t="shared" si="257"/>
        <v>0</v>
      </c>
      <c r="AY155" s="484">
        <f t="shared" si="257"/>
        <v>0</v>
      </c>
      <c r="AZ155" s="485">
        <f t="shared" si="257"/>
        <v>0</v>
      </c>
      <c r="BA155" s="485">
        <f t="shared" si="257"/>
        <v>0</v>
      </c>
      <c r="BB155" s="485">
        <f t="shared" si="257"/>
        <v>0</v>
      </c>
      <c r="BC155" s="485">
        <f t="shared" si="257"/>
        <v>0</v>
      </c>
      <c r="BD155" s="485">
        <f t="shared" si="257"/>
        <v>0</v>
      </c>
      <c r="BE155" s="485">
        <f t="shared" si="257"/>
        <v>0</v>
      </c>
      <c r="BF155" s="485">
        <f t="shared" si="257"/>
        <v>0</v>
      </c>
      <c r="BG155" s="485">
        <f t="shared" si="257"/>
        <v>0</v>
      </c>
      <c r="BH155" s="485">
        <f t="shared" si="257"/>
        <v>0</v>
      </c>
      <c r="BI155" s="485">
        <f t="shared" si="257"/>
        <v>0</v>
      </c>
      <c r="BJ155" s="485">
        <f t="shared" si="257"/>
        <v>0</v>
      </c>
      <c r="BK155" s="379">
        <f t="shared" si="257"/>
        <v>0</v>
      </c>
      <c r="BL155" s="1076">
        <f t="shared" ref="BL155:CG155" si="258">SUM(BL151:BL154)</f>
        <v>5146905</v>
      </c>
      <c r="BM155" s="1076">
        <f t="shared" si="258"/>
        <v>3756402</v>
      </c>
      <c r="BN155" s="484">
        <f t="shared" si="258"/>
        <v>3243174</v>
      </c>
      <c r="BO155" s="484">
        <f t="shared" si="258"/>
        <v>513228</v>
      </c>
      <c r="BP155" s="484">
        <f t="shared" si="258"/>
        <v>0</v>
      </c>
      <c r="BQ155" s="484">
        <f t="shared" si="258"/>
        <v>0</v>
      </c>
      <c r="BR155" s="484">
        <f t="shared" si="258"/>
        <v>0</v>
      </c>
      <c r="BS155" s="484">
        <f t="shared" si="258"/>
        <v>1269663</v>
      </c>
      <c r="BT155" s="484">
        <f t="shared" si="258"/>
        <v>37565</v>
      </c>
      <c r="BU155" s="484">
        <f t="shared" si="258"/>
        <v>83275</v>
      </c>
      <c r="BV155" s="485">
        <f t="shared" si="258"/>
        <v>6.8029000000000002</v>
      </c>
      <c r="BW155" s="485">
        <f t="shared" si="258"/>
        <v>5.3999000000000006</v>
      </c>
      <c r="BX155" s="379">
        <f t="shared" si="258"/>
        <v>1.403</v>
      </c>
      <c r="BY155" s="941">
        <f t="shared" si="258"/>
        <v>0</v>
      </c>
      <c r="BZ155" s="728">
        <f t="shared" si="258"/>
        <v>0</v>
      </c>
      <c r="CA155" s="728">
        <f t="shared" si="258"/>
        <v>0</v>
      </c>
      <c r="CB155" s="728">
        <f t="shared" si="258"/>
        <v>0</v>
      </c>
      <c r="CC155" s="728">
        <f t="shared" si="258"/>
        <v>0</v>
      </c>
      <c r="CD155" s="834">
        <f t="shared" si="258"/>
        <v>0</v>
      </c>
      <c r="CE155" s="1025">
        <f t="shared" si="258"/>
        <v>230476</v>
      </c>
      <c r="CF155" s="1025">
        <f t="shared" si="258"/>
        <v>160258</v>
      </c>
      <c r="CG155" s="1025">
        <f t="shared" si="258"/>
        <v>54167</v>
      </c>
      <c r="CH155" s="1025">
        <f t="shared" ref="CH155:CJ155" si="259">SUM(CH151:CH154)</f>
        <v>1603</v>
      </c>
      <c r="CI155" s="1025">
        <f t="shared" si="259"/>
        <v>14448</v>
      </c>
      <c r="CJ155" s="933">
        <f t="shared" si="259"/>
        <v>0.43259999999999998</v>
      </c>
    </row>
    <row r="156" spans="1:88" ht="12.95" customHeight="1">
      <c r="A156" s="280">
        <v>31</v>
      </c>
      <c r="B156" s="212">
        <v>2441</v>
      </c>
      <c r="C156" s="212">
        <v>600079406</v>
      </c>
      <c r="D156" s="281">
        <v>70695920</v>
      </c>
      <c r="E156" s="372" t="s">
        <v>509</v>
      </c>
      <c r="F156" s="212">
        <v>3111</v>
      </c>
      <c r="G156" s="373" t="s">
        <v>304</v>
      </c>
      <c r="H156" s="285" t="s">
        <v>271</v>
      </c>
      <c r="I156" s="419">
        <v>3783080</v>
      </c>
      <c r="J156" s="414">
        <v>2792493</v>
      </c>
      <c r="K156" s="414">
        <v>2446292</v>
      </c>
      <c r="L156" s="414">
        <v>346201</v>
      </c>
      <c r="M156" s="414">
        <v>0</v>
      </c>
      <c r="N156" s="414">
        <v>0</v>
      </c>
      <c r="O156" s="414">
        <v>0</v>
      </c>
      <c r="P156" s="68">
        <v>943862</v>
      </c>
      <c r="Q156" s="68">
        <v>27925</v>
      </c>
      <c r="R156" s="414">
        <v>18800</v>
      </c>
      <c r="S156" s="415">
        <v>5.1781000000000006</v>
      </c>
      <c r="T156" s="415">
        <v>4</v>
      </c>
      <c r="U156" s="422">
        <v>1.1781000000000001</v>
      </c>
      <c r="V156" s="423">
        <f t="shared" si="231"/>
        <v>0</v>
      </c>
      <c r="W156" s="417">
        <f t="shared" si="231"/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 t="shared" si="232"/>
        <v>0</v>
      </c>
      <c r="AF156" s="417">
        <f t="shared" si="233"/>
        <v>0</v>
      </c>
      <c r="AG156" s="417">
        <f t="shared" si="234"/>
        <v>0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35"/>
        <v>0</v>
      </c>
      <c r="AN156" s="417">
        <f t="shared" si="236"/>
        <v>0</v>
      </c>
      <c r="AO156" s="417">
        <f t="shared" si="237"/>
        <v>0</v>
      </c>
      <c r="AP156" s="417">
        <f t="shared" si="238"/>
        <v>0</v>
      </c>
      <c r="AQ156" s="417">
        <f t="shared" si="238"/>
        <v>0</v>
      </c>
      <c r="AR156" s="417">
        <f t="shared" si="239"/>
        <v>0</v>
      </c>
      <c r="AS156" s="68">
        <f t="shared" si="240"/>
        <v>0</v>
      </c>
      <c r="AT156" s="68">
        <f t="shared" si="241"/>
        <v>0</v>
      </c>
      <c r="AU156" s="417">
        <v>0</v>
      </c>
      <c r="AV156" s="417">
        <v>0</v>
      </c>
      <c r="AW156" s="417">
        <v>0</v>
      </c>
      <c r="AX156" s="417">
        <f t="shared" si="242"/>
        <v>0</v>
      </c>
      <c r="AY156" s="417">
        <f t="shared" si="243"/>
        <v>0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418">
        <v>0</v>
      </c>
      <c r="BG156" s="418">
        <v>0</v>
      </c>
      <c r="BH156" s="418">
        <v>0</v>
      </c>
      <c r="BI156" s="418">
        <f t="shared" si="244"/>
        <v>0</v>
      </c>
      <c r="BJ156" s="418">
        <f t="shared" si="245"/>
        <v>0</v>
      </c>
      <c r="BK156" s="420">
        <f t="shared" si="246"/>
        <v>0</v>
      </c>
      <c r="BL156" s="772">
        <f>I156+AY156</f>
        <v>3783080</v>
      </c>
      <c r="BM156" s="772">
        <f>J156+AG156</f>
        <v>2792493</v>
      </c>
      <c r="BN156" s="417">
        <f>K156+AE156</f>
        <v>2446292</v>
      </c>
      <c r="BO156" s="417">
        <f>L156+AF156</f>
        <v>346201</v>
      </c>
      <c r="BP156" s="417">
        <f>M156+AO156</f>
        <v>0</v>
      </c>
      <c r="BQ156" s="417">
        <f>N156+AM156</f>
        <v>0</v>
      </c>
      <c r="BR156" s="417">
        <f>O156+AN156</f>
        <v>0</v>
      </c>
      <c r="BS156" s="417">
        <f>P156+AS156</f>
        <v>943862</v>
      </c>
      <c r="BT156" s="417">
        <f>Q156+AT156</f>
        <v>27925</v>
      </c>
      <c r="BU156" s="417">
        <f>R156+AX156</f>
        <v>18800</v>
      </c>
      <c r="BV156" s="418">
        <f>S156+BK156</f>
        <v>5.1781000000000006</v>
      </c>
      <c r="BW156" s="418">
        <f>T156+BI156</f>
        <v>4</v>
      </c>
      <c r="BX156" s="420">
        <f>U156+BJ156</f>
        <v>1.1781000000000001</v>
      </c>
      <c r="BY156" s="840"/>
      <c r="BZ156" s="717"/>
      <c r="CA156" s="717"/>
      <c r="CB156" s="717"/>
      <c r="CC156" s="717"/>
      <c r="CD156" s="822"/>
      <c r="CE156" s="1029">
        <v>155988</v>
      </c>
      <c r="CF156" s="1030">
        <v>111081</v>
      </c>
      <c r="CG156" s="1030">
        <v>37545</v>
      </c>
      <c r="CH156" s="1030">
        <v>1111</v>
      </c>
      <c r="CI156" s="1030">
        <v>6251</v>
      </c>
      <c r="CJ156" s="828">
        <v>0.378</v>
      </c>
    </row>
    <row r="157" spans="1:88" ht="12.95" customHeight="1">
      <c r="A157" s="280">
        <v>31</v>
      </c>
      <c r="B157" s="376">
        <v>2441</v>
      </c>
      <c r="C157" s="376">
        <v>600079406</v>
      </c>
      <c r="D157" s="281">
        <v>70695920</v>
      </c>
      <c r="E157" s="211" t="s">
        <v>509</v>
      </c>
      <c r="F157" s="212">
        <v>3141</v>
      </c>
      <c r="G157" s="373" t="s">
        <v>294</v>
      </c>
      <c r="H157" s="285" t="s">
        <v>272</v>
      </c>
      <c r="I157" s="419">
        <v>666853</v>
      </c>
      <c r="J157" s="414">
        <v>492886</v>
      </c>
      <c r="K157" s="414">
        <v>0</v>
      </c>
      <c r="L157" s="414">
        <v>492886</v>
      </c>
      <c r="M157" s="414">
        <v>0</v>
      </c>
      <c r="N157" s="414">
        <v>0</v>
      </c>
      <c r="O157" s="414">
        <v>0</v>
      </c>
      <c r="P157" s="68">
        <v>166595</v>
      </c>
      <c r="Q157" s="68">
        <v>4928</v>
      </c>
      <c r="R157" s="414">
        <v>2444</v>
      </c>
      <c r="S157" s="415">
        <v>1.4767000000000001</v>
      </c>
      <c r="T157" s="415">
        <v>0</v>
      </c>
      <c r="U157" s="422">
        <v>1.4767000000000001</v>
      </c>
      <c r="V157" s="423">
        <f t="shared" si="231"/>
        <v>0</v>
      </c>
      <c r="W157" s="417">
        <f t="shared" si="231"/>
        <v>0</v>
      </c>
      <c r="X157" s="417">
        <v>0</v>
      </c>
      <c r="Y157" s="417">
        <v>0</v>
      </c>
      <c r="Z157" s="417">
        <v>0</v>
      </c>
      <c r="AA157" s="417">
        <v>0</v>
      </c>
      <c r="AB157" s="417">
        <v>0</v>
      </c>
      <c r="AC157" s="417">
        <v>0</v>
      </c>
      <c r="AD157" s="417">
        <v>0</v>
      </c>
      <c r="AE157" s="417">
        <f t="shared" si="232"/>
        <v>0</v>
      </c>
      <c r="AF157" s="417">
        <f t="shared" si="233"/>
        <v>0</v>
      </c>
      <c r="AG157" s="417">
        <f t="shared" si="234"/>
        <v>0</v>
      </c>
      <c r="AH157" s="417">
        <v>0</v>
      </c>
      <c r="AI157" s="417">
        <v>0</v>
      </c>
      <c r="AJ157" s="417">
        <v>0</v>
      </c>
      <c r="AK157" s="417">
        <v>0</v>
      </c>
      <c r="AL157" s="417">
        <v>0</v>
      </c>
      <c r="AM157" s="417">
        <f t="shared" si="235"/>
        <v>0</v>
      </c>
      <c r="AN157" s="417">
        <f t="shared" si="236"/>
        <v>0</v>
      </c>
      <c r="AO157" s="417">
        <f t="shared" si="237"/>
        <v>0</v>
      </c>
      <c r="AP157" s="417">
        <f t="shared" si="238"/>
        <v>0</v>
      </c>
      <c r="AQ157" s="417">
        <f t="shared" si="238"/>
        <v>0</v>
      </c>
      <c r="AR157" s="417">
        <f t="shared" si="239"/>
        <v>0</v>
      </c>
      <c r="AS157" s="68">
        <f t="shared" si="240"/>
        <v>0</v>
      </c>
      <c r="AT157" s="68">
        <f t="shared" si="241"/>
        <v>0</v>
      </c>
      <c r="AU157" s="417">
        <v>0</v>
      </c>
      <c r="AV157" s="417">
        <v>0</v>
      </c>
      <c r="AW157" s="417">
        <v>0</v>
      </c>
      <c r="AX157" s="417">
        <f t="shared" si="242"/>
        <v>0</v>
      </c>
      <c r="AY157" s="417">
        <f t="shared" si="243"/>
        <v>0</v>
      </c>
      <c r="AZ157" s="418">
        <v>0</v>
      </c>
      <c r="BA157" s="418">
        <v>0</v>
      </c>
      <c r="BB157" s="418">
        <v>0</v>
      </c>
      <c r="BC157" s="418">
        <v>0</v>
      </c>
      <c r="BD157" s="418">
        <v>0</v>
      </c>
      <c r="BE157" s="418">
        <v>0</v>
      </c>
      <c r="BF157" s="418">
        <v>0</v>
      </c>
      <c r="BG157" s="418">
        <v>0</v>
      </c>
      <c r="BH157" s="418">
        <v>0</v>
      </c>
      <c r="BI157" s="418">
        <f t="shared" si="244"/>
        <v>0</v>
      </c>
      <c r="BJ157" s="418">
        <f t="shared" si="245"/>
        <v>0</v>
      </c>
      <c r="BK157" s="420">
        <f t="shared" si="246"/>
        <v>0</v>
      </c>
      <c r="BL157" s="772">
        <f>I157+AY157</f>
        <v>666853</v>
      </c>
      <c r="BM157" s="772">
        <f>J157+AG157</f>
        <v>492886</v>
      </c>
      <c r="BN157" s="417">
        <f>K157+AE157</f>
        <v>0</v>
      </c>
      <c r="BO157" s="417">
        <f>L157+AF157</f>
        <v>492886</v>
      </c>
      <c r="BP157" s="417">
        <f>M157+AO157</f>
        <v>0</v>
      </c>
      <c r="BQ157" s="417">
        <f>N157+AM157</f>
        <v>0</v>
      </c>
      <c r="BR157" s="417">
        <f>O157+AN157</f>
        <v>0</v>
      </c>
      <c r="BS157" s="417">
        <f>P157+AS157</f>
        <v>166595</v>
      </c>
      <c r="BT157" s="417">
        <f>Q157+AT157</f>
        <v>4928</v>
      </c>
      <c r="BU157" s="417">
        <f>R157+AX157</f>
        <v>2444</v>
      </c>
      <c r="BV157" s="418">
        <f>S157+BK157</f>
        <v>1.4767000000000001</v>
      </c>
      <c r="BW157" s="418">
        <f>T157+BI157</f>
        <v>0</v>
      </c>
      <c r="BX157" s="420">
        <f>U157+BJ157</f>
        <v>1.4767000000000001</v>
      </c>
      <c r="BY157" s="840"/>
      <c r="BZ157" s="717"/>
      <c r="CA157" s="717"/>
      <c r="CB157" s="717"/>
      <c r="CC157" s="717"/>
      <c r="CD157" s="822"/>
      <c r="CE157" s="1029"/>
      <c r="CF157" s="1030"/>
      <c r="CG157" s="1030"/>
      <c r="CH157" s="1030"/>
      <c r="CI157" s="1030"/>
      <c r="CJ157" s="828"/>
    </row>
    <row r="158" spans="1:88" ht="12.95" customHeight="1">
      <c r="A158" s="213">
        <v>31</v>
      </c>
      <c r="B158" s="46">
        <v>2441</v>
      </c>
      <c r="C158" s="46">
        <v>600079406</v>
      </c>
      <c r="D158" s="46">
        <v>70695920</v>
      </c>
      <c r="E158" s="374" t="s">
        <v>510</v>
      </c>
      <c r="F158" s="48"/>
      <c r="G158" s="387"/>
      <c r="H158" s="185"/>
      <c r="I158" s="487">
        <v>4449933</v>
      </c>
      <c r="J158" s="484">
        <v>3285379</v>
      </c>
      <c r="K158" s="484">
        <v>2446292</v>
      </c>
      <c r="L158" s="484">
        <v>839087</v>
      </c>
      <c r="M158" s="484">
        <v>0</v>
      </c>
      <c r="N158" s="484">
        <v>0</v>
      </c>
      <c r="O158" s="484">
        <v>0</v>
      </c>
      <c r="P158" s="484">
        <v>1110457</v>
      </c>
      <c r="Q158" s="484">
        <v>32853</v>
      </c>
      <c r="R158" s="484">
        <v>21244</v>
      </c>
      <c r="S158" s="485">
        <v>6.6548000000000007</v>
      </c>
      <c r="T158" s="485">
        <v>4</v>
      </c>
      <c r="U158" s="652">
        <v>2.6548000000000003</v>
      </c>
      <c r="V158" s="487">
        <f t="shared" ref="V158:BK158" si="260">SUM(V156:V157)</f>
        <v>0</v>
      </c>
      <c r="W158" s="484">
        <f t="shared" si="260"/>
        <v>0</v>
      </c>
      <c r="X158" s="484">
        <f t="shared" si="260"/>
        <v>0</v>
      </c>
      <c r="Y158" s="484">
        <f t="shared" si="260"/>
        <v>0</v>
      </c>
      <c r="Z158" s="484">
        <f t="shared" si="260"/>
        <v>0</v>
      </c>
      <c r="AA158" s="484">
        <f t="shared" si="260"/>
        <v>0</v>
      </c>
      <c r="AB158" s="484">
        <f t="shared" si="260"/>
        <v>0</v>
      </c>
      <c r="AC158" s="484">
        <f t="shared" si="260"/>
        <v>0</v>
      </c>
      <c r="AD158" s="484">
        <f t="shared" si="260"/>
        <v>0</v>
      </c>
      <c r="AE158" s="484">
        <f t="shared" si="260"/>
        <v>0</v>
      </c>
      <c r="AF158" s="484">
        <f t="shared" si="260"/>
        <v>0</v>
      </c>
      <c r="AG158" s="484">
        <f t="shared" si="260"/>
        <v>0</v>
      </c>
      <c r="AH158" s="484">
        <f t="shared" si="260"/>
        <v>0</v>
      </c>
      <c r="AI158" s="484">
        <f t="shared" si="260"/>
        <v>0</v>
      </c>
      <c r="AJ158" s="484">
        <f t="shared" si="260"/>
        <v>0</v>
      </c>
      <c r="AK158" s="484">
        <f t="shared" si="260"/>
        <v>0</v>
      </c>
      <c r="AL158" s="484">
        <f t="shared" si="260"/>
        <v>0</v>
      </c>
      <c r="AM158" s="484">
        <f t="shared" si="260"/>
        <v>0</v>
      </c>
      <c r="AN158" s="484">
        <f t="shared" si="260"/>
        <v>0</v>
      </c>
      <c r="AO158" s="484">
        <f t="shared" si="260"/>
        <v>0</v>
      </c>
      <c r="AP158" s="484">
        <f t="shared" si="260"/>
        <v>0</v>
      </c>
      <c r="AQ158" s="484">
        <f t="shared" si="260"/>
        <v>0</v>
      </c>
      <c r="AR158" s="484">
        <f t="shared" si="260"/>
        <v>0</v>
      </c>
      <c r="AS158" s="484">
        <f t="shared" si="260"/>
        <v>0</v>
      </c>
      <c r="AT158" s="484">
        <f t="shared" si="260"/>
        <v>0</v>
      </c>
      <c r="AU158" s="484">
        <f t="shared" si="260"/>
        <v>0</v>
      </c>
      <c r="AV158" s="484">
        <f t="shared" si="260"/>
        <v>0</v>
      </c>
      <c r="AW158" s="484">
        <f t="shared" si="260"/>
        <v>0</v>
      </c>
      <c r="AX158" s="484">
        <f t="shared" si="260"/>
        <v>0</v>
      </c>
      <c r="AY158" s="484">
        <f t="shared" si="260"/>
        <v>0</v>
      </c>
      <c r="AZ158" s="485">
        <f t="shared" si="260"/>
        <v>0</v>
      </c>
      <c r="BA158" s="485">
        <f t="shared" si="260"/>
        <v>0</v>
      </c>
      <c r="BB158" s="485">
        <f t="shared" si="260"/>
        <v>0</v>
      </c>
      <c r="BC158" s="485">
        <f t="shared" si="260"/>
        <v>0</v>
      </c>
      <c r="BD158" s="485">
        <f t="shared" si="260"/>
        <v>0</v>
      </c>
      <c r="BE158" s="485">
        <f t="shared" si="260"/>
        <v>0</v>
      </c>
      <c r="BF158" s="485">
        <f t="shared" si="260"/>
        <v>0</v>
      </c>
      <c r="BG158" s="485">
        <f t="shared" si="260"/>
        <v>0</v>
      </c>
      <c r="BH158" s="485">
        <f t="shared" si="260"/>
        <v>0</v>
      </c>
      <c r="BI158" s="485">
        <f t="shared" si="260"/>
        <v>0</v>
      </c>
      <c r="BJ158" s="485">
        <f t="shared" si="260"/>
        <v>0</v>
      </c>
      <c r="BK158" s="379">
        <f t="shared" si="260"/>
        <v>0</v>
      </c>
      <c r="BL158" s="1076">
        <f t="shared" ref="BL158:CG158" si="261">SUM(BL156:BL157)</f>
        <v>4449933</v>
      </c>
      <c r="BM158" s="1076">
        <f t="shared" si="261"/>
        <v>3285379</v>
      </c>
      <c r="BN158" s="484">
        <f t="shared" si="261"/>
        <v>2446292</v>
      </c>
      <c r="BO158" s="484">
        <f t="shared" si="261"/>
        <v>839087</v>
      </c>
      <c r="BP158" s="484">
        <f t="shared" si="261"/>
        <v>0</v>
      </c>
      <c r="BQ158" s="484">
        <f t="shared" si="261"/>
        <v>0</v>
      </c>
      <c r="BR158" s="484">
        <f t="shared" si="261"/>
        <v>0</v>
      </c>
      <c r="BS158" s="484">
        <f t="shared" si="261"/>
        <v>1110457</v>
      </c>
      <c r="BT158" s="484">
        <f t="shared" si="261"/>
        <v>32853</v>
      </c>
      <c r="BU158" s="484">
        <f t="shared" si="261"/>
        <v>21244</v>
      </c>
      <c r="BV158" s="485">
        <f t="shared" si="261"/>
        <v>6.6548000000000007</v>
      </c>
      <c r="BW158" s="485">
        <f t="shared" si="261"/>
        <v>4</v>
      </c>
      <c r="BX158" s="379">
        <f t="shared" si="261"/>
        <v>2.6548000000000003</v>
      </c>
      <c r="BY158" s="941">
        <f t="shared" si="261"/>
        <v>0</v>
      </c>
      <c r="BZ158" s="728">
        <f t="shared" si="261"/>
        <v>0</v>
      </c>
      <c r="CA158" s="728">
        <f t="shared" si="261"/>
        <v>0</v>
      </c>
      <c r="CB158" s="728">
        <f t="shared" si="261"/>
        <v>0</v>
      </c>
      <c r="CC158" s="728">
        <f t="shared" si="261"/>
        <v>0</v>
      </c>
      <c r="CD158" s="834">
        <f t="shared" si="261"/>
        <v>0</v>
      </c>
      <c r="CE158" s="1025">
        <f t="shared" si="261"/>
        <v>155988</v>
      </c>
      <c r="CF158" s="1025">
        <f t="shared" si="261"/>
        <v>111081</v>
      </c>
      <c r="CG158" s="1025">
        <f t="shared" si="261"/>
        <v>37545</v>
      </c>
      <c r="CH158" s="1025">
        <f t="shared" ref="CH158:CJ158" si="262">SUM(CH156:CH157)</f>
        <v>1111</v>
      </c>
      <c r="CI158" s="1025">
        <f t="shared" si="262"/>
        <v>6251</v>
      </c>
      <c r="CJ158" s="933">
        <f t="shared" si="262"/>
        <v>0.378</v>
      </c>
    </row>
    <row r="159" spans="1:88" ht="12.95" customHeight="1">
      <c r="A159" s="280">
        <v>32</v>
      </c>
      <c r="B159" s="212">
        <v>2496</v>
      </c>
      <c r="C159" s="212">
        <v>600080251</v>
      </c>
      <c r="D159" s="281">
        <v>70695938</v>
      </c>
      <c r="E159" s="372" t="s">
        <v>511</v>
      </c>
      <c r="F159" s="212">
        <v>3117</v>
      </c>
      <c r="G159" s="372" t="s">
        <v>308</v>
      </c>
      <c r="H159" s="285" t="s">
        <v>271</v>
      </c>
      <c r="I159" s="419">
        <v>6484232</v>
      </c>
      <c r="J159" s="414">
        <v>4720536</v>
      </c>
      <c r="K159" s="414">
        <v>3997003</v>
      </c>
      <c r="L159" s="414">
        <v>723533</v>
      </c>
      <c r="M159" s="414">
        <v>0</v>
      </c>
      <c r="N159" s="414">
        <v>0</v>
      </c>
      <c r="O159" s="414">
        <v>0</v>
      </c>
      <c r="P159" s="68">
        <v>1595541</v>
      </c>
      <c r="Q159" s="68">
        <v>47205</v>
      </c>
      <c r="R159" s="414">
        <v>120950</v>
      </c>
      <c r="S159" s="415">
        <v>7.9716000000000005</v>
      </c>
      <c r="T159" s="415">
        <v>5.91</v>
      </c>
      <c r="U159" s="422">
        <v>2.0615999999999999</v>
      </c>
      <c r="V159" s="423">
        <f t="shared" si="231"/>
        <v>0</v>
      </c>
      <c r="W159" s="417">
        <f t="shared" si="231"/>
        <v>0</v>
      </c>
      <c r="X159" s="417">
        <v>0</v>
      </c>
      <c r="Y159" s="417">
        <v>0</v>
      </c>
      <c r="Z159" s="417">
        <v>0</v>
      </c>
      <c r="AA159" s="417">
        <v>0</v>
      </c>
      <c r="AB159" s="417">
        <v>0</v>
      </c>
      <c r="AC159" s="417">
        <v>0</v>
      </c>
      <c r="AD159" s="417">
        <v>0</v>
      </c>
      <c r="AE159" s="417">
        <f t="shared" si="232"/>
        <v>0</v>
      </c>
      <c r="AF159" s="417">
        <f t="shared" si="233"/>
        <v>0</v>
      </c>
      <c r="AG159" s="417">
        <f t="shared" si="234"/>
        <v>0</v>
      </c>
      <c r="AH159" s="417">
        <v>0</v>
      </c>
      <c r="AI159" s="417">
        <v>0</v>
      </c>
      <c r="AJ159" s="417">
        <v>0</v>
      </c>
      <c r="AK159" s="417">
        <v>0</v>
      </c>
      <c r="AL159" s="417">
        <v>0</v>
      </c>
      <c r="AM159" s="417">
        <f t="shared" si="235"/>
        <v>0</v>
      </c>
      <c r="AN159" s="417">
        <f t="shared" si="236"/>
        <v>0</v>
      </c>
      <c r="AO159" s="417">
        <f t="shared" si="237"/>
        <v>0</v>
      </c>
      <c r="AP159" s="417">
        <f t="shared" si="238"/>
        <v>0</v>
      </c>
      <c r="AQ159" s="417">
        <f t="shared" si="238"/>
        <v>0</v>
      </c>
      <c r="AR159" s="417">
        <f t="shared" si="239"/>
        <v>0</v>
      </c>
      <c r="AS159" s="68">
        <f t="shared" si="240"/>
        <v>0</v>
      </c>
      <c r="AT159" s="68">
        <f t="shared" si="241"/>
        <v>0</v>
      </c>
      <c r="AU159" s="417">
        <v>0</v>
      </c>
      <c r="AV159" s="417">
        <v>0</v>
      </c>
      <c r="AW159" s="417">
        <v>0</v>
      </c>
      <c r="AX159" s="417">
        <f t="shared" si="242"/>
        <v>0</v>
      </c>
      <c r="AY159" s="417">
        <f t="shared" si="243"/>
        <v>0</v>
      </c>
      <c r="AZ159" s="418">
        <v>0</v>
      </c>
      <c r="BA159" s="418">
        <v>0</v>
      </c>
      <c r="BB159" s="418">
        <v>0</v>
      </c>
      <c r="BC159" s="418">
        <v>0</v>
      </c>
      <c r="BD159" s="418">
        <v>0</v>
      </c>
      <c r="BE159" s="418">
        <v>0</v>
      </c>
      <c r="BF159" s="418">
        <v>0</v>
      </c>
      <c r="BG159" s="418">
        <v>0</v>
      </c>
      <c r="BH159" s="418">
        <v>0</v>
      </c>
      <c r="BI159" s="418">
        <f t="shared" si="244"/>
        <v>0</v>
      </c>
      <c r="BJ159" s="418">
        <f t="shared" si="245"/>
        <v>0</v>
      </c>
      <c r="BK159" s="420">
        <f t="shared" si="246"/>
        <v>0</v>
      </c>
      <c r="BL159" s="772">
        <f>I159+AY159</f>
        <v>6484232</v>
      </c>
      <c r="BM159" s="772">
        <f>J159+AG159</f>
        <v>4720536</v>
      </c>
      <c r="BN159" s="417">
        <f t="shared" ref="BN159:BO163" si="263">K159+AE159</f>
        <v>3997003</v>
      </c>
      <c r="BO159" s="417">
        <f t="shared" si="263"/>
        <v>723533</v>
      </c>
      <c r="BP159" s="417">
        <f>M159+AO159</f>
        <v>0</v>
      </c>
      <c r="BQ159" s="417">
        <f t="shared" ref="BQ159:BR163" si="264">N159+AM159</f>
        <v>0</v>
      </c>
      <c r="BR159" s="417">
        <f t="shared" si="264"/>
        <v>0</v>
      </c>
      <c r="BS159" s="417">
        <f t="shared" ref="BS159:BT163" si="265">P159+AS159</f>
        <v>1595541</v>
      </c>
      <c r="BT159" s="417">
        <f t="shared" si="265"/>
        <v>47205</v>
      </c>
      <c r="BU159" s="417">
        <f>R159+AX159</f>
        <v>120950</v>
      </c>
      <c r="BV159" s="418">
        <f>S159+BK159</f>
        <v>7.9716000000000005</v>
      </c>
      <c r="BW159" s="418">
        <f t="shared" ref="BW159:BX163" si="266">T159+BI159</f>
        <v>5.91</v>
      </c>
      <c r="BX159" s="420">
        <f t="shared" si="266"/>
        <v>2.0615999999999999</v>
      </c>
      <c r="BY159" s="840"/>
      <c r="BZ159" s="717"/>
      <c r="CA159" s="717"/>
      <c r="CB159" s="717"/>
      <c r="CC159" s="717"/>
      <c r="CD159" s="822"/>
      <c r="CE159" s="1029">
        <v>334224</v>
      </c>
      <c r="CF159" s="1030">
        <v>232247</v>
      </c>
      <c r="CG159" s="1030">
        <v>78499</v>
      </c>
      <c r="CH159" s="1030">
        <v>2322</v>
      </c>
      <c r="CI159" s="1030">
        <v>21156</v>
      </c>
      <c r="CJ159" s="828">
        <v>0.66179999999999994</v>
      </c>
    </row>
    <row r="160" spans="1:88" ht="12.95" customHeight="1">
      <c r="A160" s="280">
        <v>32</v>
      </c>
      <c r="B160" s="212">
        <v>2496</v>
      </c>
      <c r="C160" s="212">
        <v>600080251</v>
      </c>
      <c r="D160" s="281">
        <v>70695938</v>
      </c>
      <c r="E160" s="372" t="s">
        <v>511</v>
      </c>
      <c r="F160" s="212">
        <v>3117</v>
      </c>
      <c r="G160" s="323" t="s">
        <v>291</v>
      </c>
      <c r="H160" s="285" t="s">
        <v>272</v>
      </c>
      <c r="I160" s="419">
        <v>124960</v>
      </c>
      <c r="J160" s="414">
        <v>92700</v>
      </c>
      <c r="K160" s="414">
        <v>92700</v>
      </c>
      <c r="L160" s="414">
        <v>0</v>
      </c>
      <c r="M160" s="414">
        <v>0</v>
      </c>
      <c r="N160" s="414">
        <v>0</v>
      </c>
      <c r="O160" s="414">
        <v>0</v>
      </c>
      <c r="P160" s="68">
        <v>31333</v>
      </c>
      <c r="Q160" s="68">
        <v>927</v>
      </c>
      <c r="R160" s="414">
        <v>0</v>
      </c>
      <c r="S160" s="415">
        <v>0.25</v>
      </c>
      <c r="T160" s="415">
        <v>0.25</v>
      </c>
      <c r="U160" s="422">
        <v>0</v>
      </c>
      <c r="V160" s="423">
        <f t="shared" si="231"/>
        <v>0</v>
      </c>
      <c r="W160" s="417">
        <f t="shared" si="231"/>
        <v>0</v>
      </c>
      <c r="X160" s="417">
        <v>-23175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232"/>
        <v>-23175</v>
      </c>
      <c r="AF160" s="417">
        <f t="shared" si="233"/>
        <v>0</v>
      </c>
      <c r="AG160" s="417">
        <f t="shared" si="234"/>
        <v>-23175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235"/>
        <v>0</v>
      </c>
      <c r="AN160" s="417">
        <f t="shared" si="236"/>
        <v>0</v>
      </c>
      <c r="AO160" s="417">
        <f t="shared" si="237"/>
        <v>0</v>
      </c>
      <c r="AP160" s="417">
        <f t="shared" si="238"/>
        <v>-23175</v>
      </c>
      <c r="AQ160" s="417">
        <f t="shared" si="238"/>
        <v>0</v>
      </c>
      <c r="AR160" s="417">
        <f t="shared" si="239"/>
        <v>-23175</v>
      </c>
      <c r="AS160" s="68">
        <f t="shared" si="240"/>
        <v>-7833</v>
      </c>
      <c r="AT160" s="68">
        <f t="shared" si="241"/>
        <v>-232</v>
      </c>
      <c r="AU160" s="417">
        <v>0</v>
      </c>
      <c r="AV160" s="417">
        <v>0</v>
      </c>
      <c r="AW160" s="417">
        <v>0</v>
      </c>
      <c r="AX160" s="417">
        <f t="shared" si="242"/>
        <v>0</v>
      </c>
      <c r="AY160" s="417">
        <f t="shared" si="243"/>
        <v>-31240</v>
      </c>
      <c r="AZ160" s="418">
        <v>0</v>
      </c>
      <c r="BA160" s="418">
        <v>0</v>
      </c>
      <c r="BB160" s="418">
        <v>-0.06</v>
      </c>
      <c r="BC160" s="418">
        <v>0</v>
      </c>
      <c r="BD160" s="418">
        <v>0</v>
      </c>
      <c r="BE160" s="418">
        <v>0</v>
      </c>
      <c r="BF160" s="418">
        <v>0</v>
      </c>
      <c r="BG160" s="418">
        <v>0</v>
      </c>
      <c r="BH160" s="418">
        <v>0</v>
      </c>
      <c r="BI160" s="418">
        <f t="shared" si="244"/>
        <v>-0.06</v>
      </c>
      <c r="BJ160" s="418">
        <f t="shared" si="245"/>
        <v>0</v>
      </c>
      <c r="BK160" s="420">
        <f t="shared" si="246"/>
        <v>-0.06</v>
      </c>
      <c r="BL160" s="772">
        <f>I160+AY160</f>
        <v>93720</v>
      </c>
      <c r="BM160" s="772">
        <f>J160+AG160</f>
        <v>69525</v>
      </c>
      <c r="BN160" s="417">
        <f t="shared" si="263"/>
        <v>69525</v>
      </c>
      <c r="BO160" s="417">
        <f t="shared" si="263"/>
        <v>0</v>
      </c>
      <c r="BP160" s="417">
        <f>M160+AO160</f>
        <v>0</v>
      </c>
      <c r="BQ160" s="417">
        <f t="shared" si="264"/>
        <v>0</v>
      </c>
      <c r="BR160" s="417">
        <f t="shared" si="264"/>
        <v>0</v>
      </c>
      <c r="BS160" s="417">
        <f t="shared" si="265"/>
        <v>23500</v>
      </c>
      <c r="BT160" s="417">
        <f t="shared" si="265"/>
        <v>695</v>
      </c>
      <c r="BU160" s="417">
        <f>R160+AX160</f>
        <v>0</v>
      </c>
      <c r="BV160" s="418">
        <f>S160+BK160</f>
        <v>0.19</v>
      </c>
      <c r="BW160" s="418">
        <f t="shared" si="266"/>
        <v>0.19</v>
      </c>
      <c r="BX160" s="420">
        <f t="shared" si="266"/>
        <v>0</v>
      </c>
      <c r="BY160" s="840"/>
      <c r="BZ160" s="717"/>
      <c r="CA160" s="717"/>
      <c r="CB160" s="717"/>
      <c r="CC160" s="717"/>
      <c r="CD160" s="822"/>
      <c r="CE160" s="1029"/>
      <c r="CF160" s="1030"/>
      <c r="CG160" s="1030"/>
      <c r="CH160" s="1030"/>
      <c r="CI160" s="1030"/>
      <c r="CJ160" s="828"/>
    </row>
    <row r="161" spans="1:88" ht="12.95" customHeight="1">
      <c r="A161" s="280">
        <v>32</v>
      </c>
      <c r="B161" s="376">
        <v>2496</v>
      </c>
      <c r="C161" s="376">
        <v>600080251</v>
      </c>
      <c r="D161" s="281">
        <v>70695938</v>
      </c>
      <c r="E161" s="211" t="s">
        <v>511</v>
      </c>
      <c r="F161" s="212">
        <v>3141</v>
      </c>
      <c r="G161" s="373" t="s">
        <v>294</v>
      </c>
      <c r="H161" s="285" t="s">
        <v>272</v>
      </c>
      <c r="I161" s="419">
        <v>760941</v>
      </c>
      <c r="J161" s="414">
        <v>561372</v>
      </c>
      <c r="K161" s="414">
        <v>0</v>
      </c>
      <c r="L161" s="414">
        <v>561372</v>
      </c>
      <c r="M161" s="414">
        <v>0</v>
      </c>
      <c r="N161" s="414">
        <v>0</v>
      </c>
      <c r="O161" s="414">
        <v>0</v>
      </c>
      <c r="P161" s="68">
        <v>189743</v>
      </c>
      <c r="Q161" s="68">
        <v>5614</v>
      </c>
      <c r="R161" s="414">
        <v>4212</v>
      </c>
      <c r="S161" s="415">
        <v>1.6800000000000002</v>
      </c>
      <c r="T161" s="415">
        <v>0</v>
      </c>
      <c r="U161" s="422">
        <v>1.6800000000000002</v>
      </c>
      <c r="V161" s="423">
        <f t="shared" si="231"/>
        <v>0</v>
      </c>
      <c r="W161" s="417">
        <f t="shared" si="231"/>
        <v>0</v>
      </c>
      <c r="X161" s="417">
        <v>0</v>
      </c>
      <c r="Y161" s="417">
        <v>0</v>
      </c>
      <c r="Z161" s="417">
        <v>0</v>
      </c>
      <c r="AA161" s="417">
        <v>1738</v>
      </c>
      <c r="AB161" s="417">
        <v>0</v>
      </c>
      <c r="AC161" s="417">
        <v>0</v>
      </c>
      <c r="AD161" s="417">
        <v>0</v>
      </c>
      <c r="AE161" s="417">
        <f t="shared" si="232"/>
        <v>0</v>
      </c>
      <c r="AF161" s="417">
        <f t="shared" si="233"/>
        <v>1738</v>
      </c>
      <c r="AG161" s="417">
        <f t="shared" si="234"/>
        <v>1738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235"/>
        <v>0</v>
      </c>
      <c r="AN161" s="417">
        <f t="shared" si="236"/>
        <v>0</v>
      </c>
      <c r="AO161" s="417">
        <f t="shared" si="237"/>
        <v>0</v>
      </c>
      <c r="AP161" s="417">
        <f t="shared" si="238"/>
        <v>0</v>
      </c>
      <c r="AQ161" s="417">
        <f t="shared" si="238"/>
        <v>1738</v>
      </c>
      <c r="AR161" s="417">
        <f t="shared" si="239"/>
        <v>1738</v>
      </c>
      <c r="AS161" s="68">
        <f t="shared" si="240"/>
        <v>587</v>
      </c>
      <c r="AT161" s="68">
        <f t="shared" si="241"/>
        <v>17</v>
      </c>
      <c r="AU161" s="417">
        <v>0</v>
      </c>
      <c r="AV161" s="417">
        <v>0</v>
      </c>
      <c r="AW161" s="417">
        <v>0</v>
      </c>
      <c r="AX161" s="417">
        <f t="shared" si="242"/>
        <v>0</v>
      </c>
      <c r="AY161" s="417">
        <f t="shared" si="243"/>
        <v>2342</v>
      </c>
      <c r="AZ161" s="418">
        <v>0</v>
      </c>
      <c r="BA161" s="418">
        <v>0</v>
      </c>
      <c r="BB161" s="418">
        <v>0</v>
      </c>
      <c r="BC161" s="418">
        <v>0</v>
      </c>
      <c r="BD161" s="418">
        <v>0.01</v>
      </c>
      <c r="BE161" s="418">
        <v>0</v>
      </c>
      <c r="BF161" s="418">
        <v>0</v>
      </c>
      <c r="BG161" s="418">
        <v>0</v>
      </c>
      <c r="BH161" s="418">
        <v>0</v>
      </c>
      <c r="BI161" s="418">
        <f t="shared" si="244"/>
        <v>0</v>
      </c>
      <c r="BJ161" s="418">
        <f t="shared" si="245"/>
        <v>0.01</v>
      </c>
      <c r="BK161" s="420">
        <f t="shared" si="246"/>
        <v>0.01</v>
      </c>
      <c r="BL161" s="772">
        <f>I161+AY161</f>
        <v>763283</v>
      </c>
      <c r="BM161" s="772">
        <f>J161+AG161</f>
        <v>563110</v>
      </c>
      <c r="BN161" s="417">
        <f t="shared" si="263"/>
        <v>0</v>
      </c>
      <c r="BO161" s="417">
        <f t="shared" si="263"/>
        <v>563110</v>
      </c>
      <c r="BP161" s="417">
        <f>M161+AO161</f>
        <v>0</v>
      </c>
      <c r="BQ161" s="417">
        <f t="shared" si="264"/>
        <v>0</v>
      </c>
      <c r="BR161" s="417">
        <f t="shared" si="264"/>
        <v>0</v>
      </c>
      <c r="BS161" s="417">
        <f t="shared" si="265"/>
        <v>190330</v>
      </c>
      <c r="BT161" s="417">
        <f t="shared" si="265"/>
        <v>5631</v>
      </c>
      <c r="BU161" s="417">
        <f>R161+AX161</f>
        <v>4212</v>
      </c>
      <c r="BV161" s="418">
        <f>S161+BK161</f>
        <v>1.6900000000000002</v>
      </c>
      <c r="BW161" s="418">
        <f t="shared" si="266"/>
        <v>0</v>
      </c>
      <c r="BX161" s="420">
        <f t="shared" si="266"/>
        <v>1.6900000000000002</v>
      </c>
      <c r="BY161" s="840"/>
      <c r="BZ161" s="717"/>
      <c r="CA161" s="717"/>
      <c r="CB161" s="717"/>
      <c r="CC161" s="717"/>
      <c r="CD161" s="822"/>
      <c r="CE161" s="1029"/>
      <c r="CF161" s="1030"/>
      <c r="CG161" s="1030"/>
      <c r="CH161" s="1030"/>
      <c r="CI161" s="1030"/>
      <c r="CJ161" s="828"/>
    </row>
    <row r="162" spans="1:88" ht="12.95" customHeight="1">
      <c r="A162" s="280">
        <v>32</v>
      </c>
      <c r="B162" s="212">
        <v>2496</v>
      </c>
      <c r="C162" s="212">
        <v>600080251</v>
      </c>
      <c r="D162" s="281">
        <v>70695938</v>
      </c>
      <c r="E162" s="372" t="s">
        <v>511</v>
      </c>
      <c r="F162" s="212">
        <v>3143</v>
      </c>
      <c r="G162" s="323" t="s">
        <v>595</v>
      </c>
      <c r="H162" s="285" t="s">
        <v>271</v>
      </c>
      <c r="I162" s="419">
        <v>1306152</v>
      </c>
      <c r="J162" s="414">
        <v>964509</v>
      </c>
      <c r="K162" s="414">
        <v>964509</v>
      </c>
      <c r="L162" s="414">
        <v>0</v>
      </c>
      <c r="M162" s="414">
        <v>4480</v>
      </c>
      <c r="N162" s="414">
        <v>4480</v>
      </c>
      <c r="O162" s="414">
        <v>0</v>
      </c>
      <c r="P162" s="68">
        <v>327518</v>
      </c>
      <c r="Q162" s="68">
        <v>9645</v>
      </c>
      <c r="R162" s="414">
        <v>0</v>
      </c>
      <c r="S162" s="415">
        <v>1.79</v>
      </c>
      <c r="T162" s="415">
        <v>1.79</v>
      </c>
      <c r="U162" s="422">
        <v>0</v>
      </c>
      <c r="V162" s="423">
        <f t="shared" si="231"/>
        <v>0</v>
      </c>
      <c r="W162" s="417">
        <f t="shared" si="231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232"/>
        <v>0</v>
      </c>
      <c r="AF162" s="417">
        <f t="shared" si="233"/>
        <v>0</v>
      </c>
      <c r="AG162" s="417">
        <f t="shared" si="234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35"/>
        <v>0</v>
      </c>
      <c r="AN162" s="417">
        <f t="shared" si="236"/>
        <v>0</v>
      </c>
      <c r="AO162" s="417">
        <f t="shared" si="237"/>
        <v>0</v>
      </c>
      <c r="AP162" s="417">
        <f t="shared" si="238"/>
        <v>0</v>
      </c>
      <c r="AQ162" s="417">
        <f t="shared" si="238"/>
        <v>0</v>
      </c>
      <c r="AR162" s="417">
        <f t="shared" si="239"/>
        <v>0</v>
      </c>
      <c r="AS162" s="68">
        <f t="shared" si="240"/>
        <v>0</v>
      </c>
      <c r="AT162" s="68">
        <f t="shared" si="241"/>
        <v>0</v>
      </c>
      <c r="AU162" s="417">
        <v>0</v>
      </c>
      <c r="AV162" s="417">
        <v>0</v>
      </c>
      <c r="AW162" s="417">
        <v>0</v>
      </c>
      <c r="AX162" s="417">
        <f t="shared" si="242"/>
        <v>0</v>
      </c>
      <c r="AY162" s="417">
        <f t="shared" si="243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44"/>
        <v>0</v>
      </c>
      <c r="BJ162" s="418">
        <f t="shared" si="245"/>
        <v>0</v>
      </c>
      <c r="BK162" s="420">
        <f t="shared" si="246"/>
        <v>0</v>
      </c>
      <c r="BL162" s="772">
        <f>I162+AY162</f>
        <v>1306152</v>
      </c>
      <c r="BM162" s="772">
        <f>J162+AG162</f>
        <v>964509</v>
      </c>
      <c r="BN162" s="417">
        <f t="shared" si="263"/>
        <v>964509</v>
      </c>
      <c r="BO162" s="417">
        <f t="shared" si="263"/>
        <v>0</v>
      </c>
      <c r="BP162" s="417">
        <f>M162+AO162</f>
        <v>4480</v>
      </c>
      <c r="BQ162" s="417">
        <f t="shared" si="264"/>
        <v>4480</v>
      </c>
      <c r="BR162" s="417">
        <f t="shared" si="264"/>
        <v>0</v>
      </c>
      <c r="BS162" s="417">
        <f t="shared" si="265"/>
        <v>327518</v>
      </c>
      <c r="BT162" s="417">
        <f t="shared" si="265"/>
        <v>9645</v>
      </c>
      <c r="BU162" s="417">
        <f>R162+AX162</f>
        <v>0</v>
      </c>
      <c r="BV162" s="418">
        <f>S162+BK162</f>
        <v>1.79</v>
      </c>
      <c r="BW162" s="418">
        <f t="shared" si="266"/>
        <v>1.79</v>
      </c>
      <c r="BX162" s="420">
        <f t="shared" si="266"/>
        <v>0</v>
      </c>
      <c r="BY162" s="840"/>
      <c r="BZ162" s="717"/>
      <c r="CA162" s="717"/>
      <c r="CB162" s="717"/>
      <c r="CC162" s="717"/>
      <c r="CD162" s="822"/>
      <c r="CE162" s="1029"/>
      <c r="CF162" s="1030"/>
      <c r="CG162" s="1030"/>
      <c r="CH162" s="1030"/>
      <c r="CI162" s="1030"/>
      <c r="CJ162" s="828"/>
    </row>
    <row r="163" spans="1:88" ht="12.95" customHeight="1">
      <c r="A163" s="280">
        <v>32</v>
      </c>
      <c r="B163" s="212">
        <v>2496</v>
      </c>
      <c r="C163" s="212">
        <v>600080251</v>
      </c>
      <c r="D163" s="281">
        <v>70695938</v>
      </c>
      <c r="E163" s="372" t="s">
        <v>511</v>
      </c>
      <c r="F163" s="212">
        <v>3143</v>
      </c>
      <c r="G163" s="323" t="s">
        <v>596</v>
      </c>
      <c r="H163" s="285" t="s">
        <v>272</v>
      </c>
      <c r="I163" s="419">
        <v>38395</v>
      </c>
      <c r="J163" s="414">
        <v>24980</v>
      </c>
      <c r="K163" s="414">
        <v>0</v>
      </c>
      <c r="L163" s="414">
        <v>24980</v>
      </c>
      <c r="M163" s="414">
        <v>2520</v>
      </c>
      <c r="N163" s="414">
        <v>0</v>
      </c>
      <c r="O163" s="414">
        <v>2520</v>
      </c>
      <c r="P163" s="68">
        <v>9295</v>
      </c>
      <c r="Q163" s="68">
        <v>250</v>
      </c>
      <c r="R163" s="414">
        <v>1350</v>
      </c>
      <c r="S163" s="415">
        <v>9.9400000000000002E-2</v>
      </c>
      <c r="T163" s="415">
        <v>0</v>
      </c>
      <c r="U163" s="422">
        <v>9.9400000000000002E-2</v>
      </c>
      <c r="V163" s="423">
        <f t="shared" si="231"/>
        <v>0</v>
      </c>
      <c r="W163" s="417">
        <f t="shared" si="231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232"/>
        <v>0</v>
      </c>
      <c r="AF163" s="417">
        <f t="shared" si="233"/>
        <v>0</v>
      </c>
      <c r="AG163" s="417">
        <f t="shared" si="234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235"/>
        <v>0</v>
      </c>
      <c r="AN163" s="417">
        <f t="shared" si="236"/>
        <v>0</v>
      </c>
      <c r="AO163" s="417">
        <f t="shared" si="237"/>
        <v>0</v>
      </c>
      <c r="AP163" s="417">
        <f t="shared" si="238"/>
        <v>0</v>
      </c>
      <c r="AQ163" s="417">
        <f t="shared" si="238"/>
        <v>0</v>
      </c>
      <c r="AR163" s="417">
        <f t="shared" si="239"/>
        <v>0</v>
      </c>
      <c r="AS163" s="68">
        <f t="shared" si="240"/>
        <v>0</v>
      </c>
      <c r="AT163" s="68">
        <f t="shared" si="241"/>
        <v>0</v>
      </c>
      <c r="AU163" s="417">
        <v>0</v>
      </c>
      <c r="AV163" s="417">
        <v>0</v>
      </c>
      <c r="AW163" s="417">
        <v>0</v>
      </c>
      <c r="AX163" s="417">
        <f t="shared" si="242"/>
        <v>0</v>
      </c>
      <c r="AY163" s="417">
        <f t="shared" si="243"/>
        <v>0</v>
      </c>
      <c r="AZ163" s="418">
        <v>0.01</v>
      </c>
      <c r="BA163" s="418">
        <v>-0.01</v>
      </c>
      <c r="BB163" s="418">
        <v>0</v>
      </c>
      <c r="BC163" s="418">
        <v>0</v>
      </c>
      <c r="BD163" s="418">
        <v>0</v>
      </c>
      <c r="BE163" s="418">
        <v>0</v>
      </c>
      <c r="BF163" s="418">
        <v>0</v>
      </c>
      <c r="BG163" s="418">
        <v>0</v>
      </c>
      <c r="BH163" s="418">
        <v>0</v>
      </c>
      <c r="BI163" s="418">
        <f t="shared" si="244"/>
        <v>0.01</v>
      </c>
      <c r="BJ163" s="418">
        <f t="shared" si="245"/>
        <v>-0.01</v>
      </c>
      <c r="BK163" s="420">
        <f t="shared" si="246"/>
        <v>0</v>
      </c>
      <c r="BL163" s="772">
        <f>I163+AY163</f>
        <v>38395</v>
      </c>
      <c r="BM163" s="772">
        <f>J163+AG163</f>
        <v>24980</v>
      </c>
      <c r="BN163" s="417">
        <f t="shared" si="263"/>
        <v>0</v>
      </c>
      <c r="BO163" s="417">
        <f t="shared" si="263"/>
        <v>24980</v>
      </c>
      <c r="BP163" s="417">
        <f>M163+AO163</f>
        <v>2520</v>
      </c>
      <c r="BQ163" s="417">
        <f t="shared" si="264"/>
        <v>0</v>
      </c>
      <c r="BR163" s="417">
        <f t="shared" si="264"/>
        <v>2520</v>
      </c>
      <c r="BS163" s="417">
        <f t="shared" si="265"/>
        <v>9295</v>
      </c>
      <c r="BT163" s="417">
        <f t="shared" si="265"/>
        <v>250</v>
      </c>
      <c r="BU163" s="417">
        <f>R163+AX163</f>
        <v>1350</v>
      </c>
      <c r="BV163" s="418">
        <f>S163+BK163</f>
        <v>9.9400000000000002E-2</v>
      </c>
      <c r="BW163" s="418">
        <f t="shared" si="266"/>
        <v>0.01</v>
      </c>
      <c r="BX163" s="420">
        <f t="shared" si="266"/>
        <v>8.9400000000000007E-2</v>
      </c>
      <c r="BY163" s="840"/>
      <c r="BZ163" s="717"/>
      <c r="CA163" s="717"/>
      <c r="CB163" s="717"/>
      <c r="CC163" s="717"/>
      <c r="CD163" s="822"/>
      <c r="CE163" s="1029"/>
      <c r="CF163" s="1030"/>
      <c r="CG163" s="1030"/>
      <c r="CH163" s="1030"/>
      <c r="CI163" s="1030"/>
      <c r="CJ163" s="828"/>
    </row>
    <row r="164" spans="1:88" ht="12.95" customHeight="1">
      <c r="A164" s="213">
        <v>32</v>
      </c>
      <c r="B164" s="45">
        <v>2496</v>
      </c>
      <c r="C164" s="45">
        <v>600080251</v>
      </c>
      <c r="D164" s="45">
        <v>70695938</v>
      </c>
      <c r="E164" s="374" t="s">
        <v>512</v>
      </c>
      <c r="F164" s="45"/>
      <c r="G164" s="374"/>
      <c r="H164" s="182"/>
      <c r="I164" s="487">
        <v>8714680</v>
      </c>
      <c r="J164" s="484">
        <v>6364097</v>
      </c>
      <c r="K164" s="484">
        <v>5054212</v>
      </c>
      <c r="L164" s="484">
        <v>1309885</v>
      </c>
      <c r="M164" s="484">
        <v>7000</v>
      </c>
      <c r="N164" s="484">
        <v>4480</v>
      </c>
      <c r="O164" s="484">
        <v>2520</v>
      </c>
      <c r="P164" s="484">
        <v>2153430</v>
      </c>
      <c r="Q164" s="484">
        <v>63641</v>
      </c>
      <c r="R164" s="484">
        <v>126512</v>
      </c>
      <c r="S164" s="485">
        <v>11.791</v>
      </c>
      <c r="T164" s="485">
        <v>7.95</v>
      </c>
      <c r="U164" s="652">
        <v>3.8410000000000002</v>
      </c>
      <c r="V164" s="487">
        <f t="shared" ref="V164:BK164" si="267">SUM(V159:V163)</f>
        <v>0</v>
      </c>
      <c r="W164" s="484">
        <f t="shared" si="267"/>
        <v>0</v>
      </c>
      <c r="X164" s="484">
        <f t="shared" si="267"/>
        <v>-23175</v>
      </c>
      <c r="Y164" s="484">
        <f t="shared" si="267"/>
        <v>0</v>
      </c>
      <c r="Z164" s="484">
        <f t="shared" si="267"/>
        <v>0</v>
      </c>
      <c r="AA164" s="484">
        <f t="shared" si="267"/>
        <v>1738</v>
      </c>
      <c r="AB164" s="484">
        <f t="shared" si="267"/>
        <v>0</v>
      </c>
      <c r="AC164" s="484">
        <f t="shared" si="267"/>
        <v>0</v>
      </c>
      <c r="AD164" s="484">
        <f t="shared" si="267"/>
        <v>0</v>
      </c>
      <c r="AE164" s="484">
        <f t="shared" si="267"/>
        <v>-23175</v>
      </c>
      <c r="AF164" s="484">
        <f t="shared" si="267"/>
        <v>1738</v>
      </c>
      <c r="AG164" s="484">
        <f t="shared" si="267"/>
        <v>-21437</v>
      </c>
      <c r="AH164" s="484">
        <f t="shared" si="267"/>
        <v>0</v>
      </c>
      <c r="AI164" s="484">
        <f t="shared" si="267"/>
        <v>0</v>
      </c>
      <c r="AJ164" s="484">
        <f t="shared" si="267"/>
        <v>0</v>
      </c>
      <c r="AK164" s="484">
        <f t="shared" si="267"/>
        <v>0</v>
      </c>
      <c r="AL164" s="484">
        <f t="shared" si="267"/>
        <v>0</v>
      </c>
      <c r="AM164" s="484">
        <f t="shared" si="267"/>
        <v>0</v>
      </c>
      <c r="AN164" s="484">
        <f t="shared" si="267"/>
        <v>0</v>
      </c>
      <c r="AO164" s="484">
        <f t="shared" si="267"/>
        <v>0</v>
      </c>
      <c r="AP164" s="484">
        <f t="shared" si="267"/>
        <v>-23175</v>
      </c>
      <c r="AQ164" s="484">
        <f t="shared" si="267"/>
        <v>1738</v>
      </c>
      <c r="AR164" s="484">
        <f t="shared" si="267"/>
        <v>-21437</v>
      </c>
      <c r="AS164" s="484">
        <f t="shared" si="267"/>
        <v>-7246</v>
      </c>
      <c r="AT164" s="484">
        <f t="shared" si="267"/>
        <v>-215</v>
      </c>
      <c r="AU164" s="484">
        <f t="shared" si="267"/>
        <v>0</v>
      </c>
      <c r="AV164" s="484">
        <f t="shared" si="267"/>
        <v>0</v>
      </c>
      <c r="AW164" s="484">
        <f t="shared" si="267"/>
        <v>0</v>
      </c>
      <c r="AX164" s="484">
        <f t="shared" si="267"/>
        <v>0</v>
      </c>
      <c r="AY164" s="484">
        <f t="shared" si="267"/>
        <v>-28898</v>
      </c>
      <c r="AZ164" s="485">
        <f t="shared" si="267"/>
        <v>0.01</v>
      </c>
      <c r="BA164" s="485">
        <f t="shared" si="267"/>
        <v>-0.01</v>
      </c>
      <c r="BB164" s="485">
        <f t="shared" si="267"/>
        <v>-0.06</v>
      </c>
      <c r="BC164" s="485">
        <f t="shared" si="267"/>
        <v>0</v>
      </c>
      <c r="BD164" s="485">
        <f t="shared" si="267"/>
        <v>0.01</v>
      </c>
      <c r="BE164" s="485">
        <f t="shared" si="267"/>
        <v>0</v>
      </c>
      <c r="BF164" s="485">
        <f t="shared" si="267"/>
        <v>0</v>
      </c>
      <c r="BG164" s="485">
        <f t="shared" si="267"/>
        <v>0</v>
      </c>
      <c r="BH164" s="485">
        <f t="shared" si="267"/>
        <v>0</v>
      </c>
      <c r="BI164" s="485">
        <f t="shared" si="267"/>
        <v>-4.9999999999999996E-2</v>
      </c>
      <c r="BJ164" s="485">
        <f t="shared" si="267"/>
        <v>0</v>
      </c>
      <c r="BK164" s="379">
        <f t="shared" si="267"/>
        <v>-4.9999999999999996E-2</v>
      </c>
      <c r="BL164" s="1076">
        <f t="shared" ref="BL164:CG164" si="268">SUM(BL159:BL163)</f>
        <v>8685782</v>
      </c>
      <c r="BM164" s="1076">
        <f t="shared" si="268"/>
        <v>6342660</v>
      </c>
      <c r="BN164" s="484">
        <f t="shared" si="268"/>
        <v>5031037</v>
      </c>
      <c r="BO164" s="484">
        <f t="shared" si="268"/>
        <v>1311623</v>
      </c>
      <c r="BP164" s="484">
        <f t="shared" si="268"/>
        <v>7000</v>
      </c>
      <c r="BQ164" s="484">
        <f t="shared" si="268"/>
        <v>4480</v>
      </c>
      <c r="BR164" s="484">
        <f t="shared" si="268"/>
        <v>2520</v>
      </c>
      <c r="BS164" s="484">
        <f t="shared" si="268"/>
        <v>2146184</v>
      </c>
      <c r="BT164" s="484">
        <f t="shared" si="268"/>
        <v>63426</v>
      </c>
      <c r="BU164" s="484">
        <f t="shared" si="268"/>
        <v>126512</v>
      </c>
      <c r="BV164" s="485">
        <f t="shared" si="268"/>
        <v>11.741</v>
      </c>
      <c r="BW164" s="485">
        <f t="shared" si="268"/>
        <v>7.9</v>
      </c>
      <c r="BX164" s="379">
        <f t="shared" si="268"/>
        <v>3.8409999999999997</v>
      </c>
      <c r="BY164" s="941">
        <f t="shared" si="268"/>
        <v>0</v>
      </c>
      <c r="BZ164" s="728">
        <f t="shared" si="268"/>
        <v>0</v>
      </c>
      <c r="CA164" s="728">
        <f t="shared" si="268"/>
        <v>0</v>
      </c>
      <c r="CB164" s="728">
        <f t="shared" si="268"/>
        <v>0</v>
      </c>
      <c r="CC164" s="728">
        <f t="shared" si="268"/>
        <v>0</v>
      </c>
      <c r="CD164" s="834">
        <f t="shared" si="268"/>
        <v>0</v>
      </c>
      <c r="CE164" s="1025">
        <f t="shared" si="268"/>
        <v>334224</v>
      </c>
      <c r="CF164" s="1025">
        <f t="shared" si="268"/>
        <v>232247</v>
      </c>
      <c r="CG164" s="1025">
        <f t="shared" si="268"/>
        <v>78499</v>
      </c>
      <c r="CH164" s="1025">
        <f t="shared" ref="CH164:CJ164" si="269">SUM(CH159:CH163)</f>
        <v>2322</v>
      </c>
      <c r="CI164" s="1025">
        <f t="shared" si="269"/>
        <v>21156</v>
      </c>
      <c r="CJ164" s="933">
        <f t="shared" si="269"/>
        <v>0.66179999999999994</v>
      </c>
    </row>
    <row r="165" spans="1:88" ht="12.95" customHeight="1">
      <c r="A165" s="280">
        <v>33</v>
      </c>
      <c r="B165" s="212">
        <v>5440</v>
      </c>
      <c r="C165" s="212">
        <v>600098559</v>
      </c>
      <c r="D165" s="281">
        <v>70998108</v>
      </c>
      <c r="E165" s="372" t="s">
        <v>513</v>
      </c>
      <c r="F165" s="212">
        <v>3111</v>
      </c>
      <c r="G165" s="373" t="s">
        <v>304</v>
      </c>
      <c r="H165" s="285" t="s">
        <v>271</v>
      </c>
      <c r="I165" s="419">
        <v>3634593</v>
      </c>
      <c r="J165" s="414">
        <v>2682042</v>
      </c>
      <c r="K165" s="414">
        <v>2335841</v>
      </c>
      <c r="L165" s="414">
        <v>346201</v>
      </c>
      <c r="M165" s="414">
        <v>0</v>
      </c>
      <c r="N165" s="414">
        <v>0</v>
      </c>
      <c r="O165" s="414">
        <v>0</v>
      </c>
      <c r="P165" s="68">
        <v>906530</v>
      </c>
      <c r="Q165" s="68">
        <v>26821</v>
      </c>
      <c r="R165" s="414">
        <v>19200</v>
      </c>
      <c r="S165" s="415">
        <v>5.0042</v>
      </c>
      <c r="T165" s="415">
        <v>3.8260999999999998</v>
      </c>
      <c r="U165" s="422">
        <v>1.1781000000000001</v>
      </c>
      <c r="V165" s="423">
        <f t="shared" si="231"/>
        <v>0</v>
      </c>
      <c r="W165" s="417">
        <f t="shared" si="231"/>
        <v>-18000</v>
      </c>
      <c r="X165" s="417">
        <v>0</v>
      </c>
      <c r="Y165" s="417">
        <v>0</v>
      </c>
      <c r="Z165" s="417">
        <v>234535</v>
      </c>
      <c r="AA165" s="417">
        <v>0</v>
      </c>
      <c r="AB165" s="417">
        <v>0</v>
      </c>
      <c r="AC165" s="417">
        <v>0</v>
      </c>
      <c r="AD165" s="417">
        <v>0</v>
      </c>
      <c r="AE165" s="417">
        <f t="shared" si="232"/>
        <v>234535</v>
      </c>
      <c r="AF165" s="417">
        <f t="shared" si="233"/>
        <v>-18000</v>
      </c>
      <c r="AG165" s="417">
        <f t="shared" si="234"/>
        <v>216535</v>
      </c>
      <c r="AH165" s="417">
        <v>0</v>
      </c>
      <c r="AI165" s="417">
        <v>18000</v>
      </c>
      <c r="AJ165" s="417">
        <v>0</v>
      </c>
      <c r="AK165" s="417">
        <v>0</v>
      </c>
      <c r="AL165" s="417">
        <v>0</v>
      </c>
      <c r="AM165" s="417">
        <f t="shared" si="235"/>
        <v>0</v>
      </c>
      <c r="AN165" s="417">
        <f t="shared" si="236"/>
        <v>18000</v>
      </c>
      <c r="AO165" s="417">
        <f t="shared" si="237"/>
        <v>18000</v>
      </c>
      <c r="AP165" s="417">
        <f t="shared" si="238"/>
        <v>234535</v>
      </c>
      <c r="AQ165" s="417">
        <f t="shared" si="238"/>
        <v>0</v>
      </c>
      <c r="AR165" s="417">
        <f t="shared" si="239"/>
        <v>234535</v>
      </c>
      <c r="AS165" s="68">
        <f t="shared" si="240"/>
        <v>79273</v>
      </c>
      <c r="AT165" s="68">
        <f t="shared" si="241"/>
        <v>2165</v>
      </c>
      <c r="AU165" s="417">
        <v>0</v>
      </c>
      <c r="AV165" s="417">
        <v>0</v>
      </c>
      <c r="AW165" s="417">
        <v>0</v>
      </c>
      <c r="AX165" s="417">
        <f t="shared" si="242"/>
        <v>0</v>
      </c>
      <c r="AY165" s="417">
        <f t="shared" si="243"/>
        <v>315973</v>
      </c>
      <c r="AZ165" s="418">
        <v>0</v>
      </c>
      <c r="BA165" s="418">
        <v>-0.06</v>
      </c>
      <c r="BB165" s="418">
        <v>0</v>
      </c>
      <c r="BC165" s="418">
        <v>0.53</v>
      </c>
      <c r="BD165" s="418">
        <v>0</v>
      </c>
      <c r="BE165" s="418">
        <v>0</v>
      </c>
      <c r="BF165" s="418">
        <v>0</v>
      </c>
      <c r="BG165" s="418">
        <v>0</v>
      </c>
      <c r="BH165" s="418">
        <v>0</v>
      </c>
      <c r="BI165" s="418">
        <f t="shared" si="244"/>
        <v>0.53</v>
      </c>
      <c r="BJ165" s="418">
        <f t="shared" si="245"/>
        <v>-0.06</v>
      </c>
      <c r="BK165" s="420">
        <f t="shared" si="246"/>
        <v>0.47000000000000003</v>
      </c>
      <c r="BL165" s="772">
        <f>I165+AY165</f>
        <v>3950566</v>
      </c>
      <c r="BM165" s="772">
        <f>J165+AG165</f>
        <v>2898577</v>
      </c>
      <c r="BN165" s="417">
        <f t="shared" ref="BN165:BO167" si="270">K165+AE165</f>
        <v>2570376</v>
      </c>
      <c r="BO165" s="417">
        <f t="shared" si="270"/>
        <v>328201</v>
      </c>
      <c r="BP165" s="417">
        <f>M165+AO165</f>
        <v>18000</v>
      </c>
      <c r="BQ165" s="417">
        <f t="shared" ref="BQ165:BR167" si="271">N165+AM165</f>
        <v>0</v>
      </c>
      <c r="BR165" s="417">
        <f t="shared" si="271"/>
        <v>18000</v>
      </c>
      <c r="BS165" s="417">
        <f t="shared" ref="BS165:BT167" si="272">P165+AS165</f>
        <v>985803</v>
      </c>
      <c r="BT165" s="417">
        <f t="shared" si="272"/>
        <v>28986</v>
      </c>
      <c r="BU165" s="417">
        <f>R165+AX165</f>
        <v>19200</v>
      </c>
      <c r="BV165" s="418">
        <f>S165+BK165</f>
        <v>5.4741999999999997</v>
      </c>
      <c r="BW165" s="418">
        <f t="shared" ref="BW165:BX167" si="273">T165+BI165</f>
        <v>4.3560999999999996</v>
      </c>
      <c r="BX165" s="420">
        <f t="shared" si="273"/>
        <v>1.1181000000000001</v>
      </c>
      <c r="BY165" s="840"/>
      <c r="BZ165" s="717"/>
      <c r="CA165" s="717"/>
      <c r="CB165" s="717"/>
      <c r="CC165" s="717"/>
      <c r="CD165" s="822"/>
      <c r="CE165" s="1029">
        <v>156121</v>
      </c>
      <c r="CF165" s="1030">
        <v>111081</v>
      </c>
      <c r="CG165" s="1030">
        <v>37545</v>
      </c>
      <c r="CH165" s="1030">
        <v>1111</v>
      </c>
      <c r="CI165" s="1030">
        <v>6384</v>
      </c>
      <c r="CJ165" s="828">
        <v>0.378</v>
      </c>
    </row>
    <row r="166" spans="1:88" ht="12.95" customHeight="1">
      <c r="A166" s="280">
        <v>33</v>
      </c>
      <c r="B166" s="212">
        <v>5440</v>
      </c>
      <c r="C166" s="212">
        <v>600098559</v>
      </c>
      <c r="D166" s="281">
        <v>70998108</v>
      </c>
      <c r="E166" s="372" t="s">
        <v>513</v>
      </c>
      <c r="F166" s="212">
        <v>3111</v>
      </c>
      <c r="G166" s="373" t="s">
        <v>291</v>
      </c>
      <c r="H166" s="285" t="s">
        <v>272</v>
      </c>
      <c r="I166" s="419">
        <v>0</v>
      </c>
      <c r="J166" s="414">
        <v>0</v>
      </c>
      <c r="K166" s="414">
        <v>0</v>
      </c>
      <c r="L166" s="414">
        <v>0</v>
      </c>
      <c r="M166" s="414">
        <v>0</v>
      </c>
      <c r="N166" s="414">
        <v>0</v>
      </c>
      <c r="O166" s="414">
        <v>0</v>
      </c>
      <c r="P166" s="68">
        <v>0</v>
      </c>
      <c r="Q166" s="68">
        <v>0</v>
      </c>
      <c r="R166" s="414">
        <v>0</v>
      </c>
      <c r="S166" s="415">
        <v>0</v>
      </c>
      <c r="T166" s="415">
        <v>0</v>
      </c>
      <c r="U166" s="422">
        <v>0</v>
      </c>
      <c r="V166" s="423">
        <f t="shared" si="231"/>
        <v>0</v>
      </c>
      <c r="W166" s="417">
        <f t="shared" si="231"/>
        <v>0</v>
      </c>
      <c r="X166" s="417">
        <v>0</v>
      </c>
      <c r="Y166" s="417">
        <v>0</v>
      </c>
      <c r="Z166" s="417">
        <v>0</v>
      </c>
      <c r="AA166" s="417">
        <v>0</v>
      </c>
      <c r="AB166" s="417">
        <v>0</v>
      </c>
      <c r="AC166" s="417">
        <v>0</v>
      </c>
      <c r="AD166" s="417">
        <v>0</v>
      </c>
      <c r="AE166" s="417">
        <f t="shared" si="232"/>
        <v>0</v>
      </c>
      <c r="AF166" s="417">
        <f t="shared" si="233"/>
        <v>0</v>
      </c>
      <c r="AG166" s="417">
        <f t="shared" si="234"/>
        <v>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235"/>
        <v>0</v>
      </c>
      <c r="AN166" s="417">
        <f t="shared" si="236"/>
        <v>0</v>
      </c>
      <c r="AO166" s="417">
        <f t="shared" si="237"/>
        <v>0</v>
      </c>
      <c r="AP166" s="417">
        <f t="shared" si="238"/>
        <v>0</v>
      </c>
      <c r="AQ166" s="417">
        <f t="shared" si="238"/>
        <v>0</v>
      </c>
      <c r="AR166" s="417">
        <f t="shared" si="239"/>
        <v>0</v>
      </c>
      <c r="AS166" s="68">
        <f t="shared" si="240"/>
        <v>0</v>
      </c>
      <c r="AT166" s="68">
        <f t="shared" si="241"/>
        <v>0</v>
      </c>
      <c r="AU166" s="417">
        <v>0</v>
      </c>
      <c r="AV166" s="417">
        <v>0</v>
      </c>
      <c r="AW166" s="417">
        <v>0</v>
      </c>
      <c r="AX166" s="417">
        <f t="shared" si="242"/>
        <v>0</v>
      </c>
      <c r="AY166" s="417">
        <f t="shared" si="243"/>
        <v>0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</v>
      </c>
      <c r="BF166" s="418">
        <v>0</v>
      </c>
      <c r="BG166" s="418">
        <v>0</v>
      </c>
      <c r="BH166" s="418">
        <v>0</v>
      </c>
      <c r="BI166" s="418">
        <f t="shared" si="244"/>
        <v>0</v>
      </c>
      <c r="BJ166" s="418">
        <f t="shared" si="245"/>
        <v>0</v>
      </c>
      <c r="BK166" s="420">
        <f t="shared" si="246"/>
        <v>0</v>
      </c>
      <c r="BL166" s="772">
        <f>I166+AY166</f>
        <v>0</v>
      </c>
      <c r="BM166" s="772">
        <f>J166+AG166</f>
        <v>0</v>
      </c>
      <c r="BN166" s="417">
        <f t="shared" si="270"/>
        <v>0</v>
      </c>
      <c r="BO166" s="417">
        <f t="shared" si="270"/>
        <v>0</v>
      </c>
      <c r="BP166" s="417">
        <f>M166+AO166</f>
        <v>0</v>
      </c>
      <c r="BQ166" s="417">
        <f t="shared" si="271"/>
        <v>0</v>
      </c>
      <c r="BR166" s="417">
        <f t="shared" si="271"/>
        <v>0</v>
      </c>
      <c r="BS166" s="417">
        <f t="shared" si="272"/>
        <v>0</v>
      </c>
      <c r="BT166" s="417">
        <f t="shared" si="272"/>
        <v>0</v>
      </c>
      <c r="BU166" s="417">
        <f>R166+AX166</f>
        <v>0</v>
      </c>
      <c r="BV166" s="418">
        <f>S166+BK166</f>
        <v>0</v>
      </c>
      <c r="BW166" s="418">
        <f t="shared" si="273"/>
        <v>0</v>
      </c>
      <c r="BX166" s="420">
        <f t="shared" si="273"/>
        <v>0</v>
      </c>
      <c r="BY166" s="840"/>
      <c r="BZ166" s="717"/>
      <c r="CA166" s="717"/>
      <c r="CB166" s="717"/>
      <c r="CC166" s="717"/>
      <c r="CD166" s="822"/>
      <c r="CE166" s="1029"/>
      <c r="CF166" s="1030"/>
      <c r="CG166" s="1030"/>
      <c r="CH166" s="1030"/>
      <c r="CI166" s="1030"/>
      <c r="CJ166" s="828"/>
    </row>
    <row r="167" spans="1:88" ht="12.95" customHeight="1">
      <c r="A167" s="280">
        <v>33</v>
      </c>
      <c r="B167" s="376">
        <v>5440</v>
      </c>
      <c r="C167" s="376">
        <v>600098559</v>
      </c>
      <c r="D167" s="281">
        <v>70998108</v>
      </c>
      <c r="E167" s="372" t="s">
        <v>513</v>
      </c>
      <c r="F167" s="212">
        <v>3141</v>
      </c>
      <c r="G167" s="373" t="s">
        <v>294</v>
      </c>
      <c r="H167" s="285" t="s">
        <v>272</v>
      </c>
      <c r="I167" s="419">
        <v>271261</v>
      </c>
      <c r="J167" s="414">
        <v>200022</v>
      </c>
      <c r="K167" s="414">
        <v>0</v>
      </c>
      <c r="L167" s="414">
        <v>200022</v>
      </c>
      <c r="M167" s="414">
        <v>0</v>
      </c>
      <c r="N167" s="414">
        <v>0</v>
      </c>
      <c r="O167" s="414">
        <v>0</v>
      </c>
      <c r="P167" s="68">
        <v>67607</v>
      </c>
      <c r="Q167" s="68">
        <v>2000</v>
      </c>
      <c r="R167" s="414">
        <v>1632</v>
      </c>
      <c r="S167" s="415">
        <v>0.60000000000000009</v>
      </c>
      <c r="T167" s="415">
        <v>0</v>
      </c>
      <c r="U167" s="422">
        <v>0.60000000000000009</v>
      </c>
      <c r="V167" s="423">
        <f t="shared" si="231"/>
        <v>0</v>
      </c>
      <c r="W167" s="417">
        <f t="shared" si="231"/>
        <v>0</v>
      </c>
      <c r="X167" s="417">
        <v>0</v>
      </c>
      <c r="Y167" s="417">
        <v>0</v>
      </c>
      <c r="Z167" s="417">
        <v>0</v>
      </c>
      <c r="AA167" s="417">
        <v>1887</v>
      </c>
      <c r="AB167" s="417">
        <v>0</v>
      </c>
      <c r="AC167" s="417">
        <v>0</v>
      </c>
      <c r="AD167" s="417">
        <v>0</v>
      </c>
      <c r="AE167" s="417">
        <f t="shared" si="232"/>
        <v>0</v>
      </c>
      <c r="AF167" s="417">
        <f t="shared" si="233"/>
        <v>1887</v>
      </c>
      <c r="AG167" s="417">
        <f t="shared" si="234"/>
        <v>1887</v>
      </c>
      <c r="AH167" s="417">
        <v>0</v>
      </c>
      <c r="AI167" s="417">
        <v>0</v>
      </c>
      <c r="AJ167" s="417">
        <v>0</v>
      </c>
      <c r="AK167" s="417">
        <v>0</v>
      </c>
      <c r="AL167" s="417">
        <v>0</v>
      </c>
      <c r="AM167" s="417">
        <f t="shared" si="235"/>
        <v>0</v>
      </c>
      <c r="AN167" s="417">
        <f t="shared" si="236"/>
        <v>0</v>
      </c>
      <c r="AO167" s="417">
        <f t="shared" si="237"/>
        <v>0</v>
      </c>
      <c r="AP167" s="417">
        <f t="shared" si="238"/>
        <v>0</v>
      </c>
      <c r="AQ167" s="417">
        <f t="shared" si="238"/>
        <v>1887</v>
      </c>
      <c r="AR167" s="417">
        <f t="shared" si="239"/>
        <v>1887</v>
      </c>
      <c r="AS167" s="68">
        <f t="shared" si="240"/>
        <v>638</v>
      </c>
      <c r="AT167" s="68">
        <f t="shared" si="241"/>
        <v>19</v>
      </c>
      <c r="AU167" s="417">
        <v>0</v>
      </c>
      <c r="AV167" s="417">
        <v>0</v>
      </c>
      <c r="AW167" s="417">
        <v>0</v>
      </c>
      <c r="AX167" s="417">
        <f t="shared" si="242"/>
        <v>0</v>
      </c>
      <c r="AY167" s="417">
        <f t="shared" si="243"/>
        <v>2544</v>
      </c>
      <c r="AZ167" s="418">
        <v>0</v>
      </c>
      <c r="BA167" s="418">
        <v>0</v>
      </c>
      <c r="BB167" s="418">
        <v>0</v>
      </c>
      <c r="BC167" s="418">
        <v>0</v>
      </c>
      <c r="BD167" s="418">
        <v>0.01</v>
      </c>
      <c r="BE167" s="418">
        <v>0</v>
      </c>
      <c r="BF167" s="418">
        <v>0</v>
      </c>
      <c r="BG167" s="418">
        <v>0</v>
      </c>
      <c r="BH167" s="418">
        <v>0</v>
      </c>
      <c r="BI167" s="418">
        <f t="shared" si="244"/>
        <v>0</v>
      </c>
      <c r="BJ167" s="418">
        <f t="shared" si="245"/>
        <v>0.01</v>
      </c>
      <c r="BK167" s="420">
        <f t="shared" si="246"/>
        <v>0.01</v>
      </c>
      <c r="BL167" s="772">
        <f>I167+AY167</f>
        <v>273805</v>
      </c>
      <c r="BM167" s="772">
        <f>J167+AG167</f>
        <v>201909</v>
      </c>
      <c r="BN167" s="417">
        <f t="shared" si="270"/>
        <v>0</v>
      </c>
      <c r="BO167" s="417">
        <f t="shared" si="270"/>
        <v>201909</v>
      </c>
      <c r="BP167" s="417">
        <f>M167+AO167</f>
        <v>0</v>
      </c>
      <c r="BQ167" s="417">
        <f t="shared" si="271"/>
        <v>0</v>
      </c>
      <c r="BR167" s="417">
        <f t="shared" si="271"/>
        <v>0</v>
      </c>
      <c r="BS167" s="417">
        <f t="shared" si="272"/>
        <v>68245</v>
      </c>
      <c r="BT167" s="417">
        <f t="shared" si="272"/>
        <v>2019</v>
      </c>
      <c r="BU167" s="417">
        <f>R167+AX167</f>
        <v>1632</v>
      </c>
      <c r="BV167" s="418">
        <f>S167+BK167</f>
        <v>0.6100000000000001</v>
      </c>
      <c r="BW167" s="418">
        <f t="shared" si="273"/>
        <v>0</v>
      </c>
      <c r="BX167" s="420">
        <f t="shared" si="273"/>
        <v>0.6100000000000001</v>
      </c>
      <c r="BY167" s="840"/>
      <c r="BZ167" s="717"/>
      <c r="CA167" s="717"/>
      <c r="CB167" s="717"/>
      <c r="CC167" s="717"/>
      <c r="CD167" s="822"/>
      <c r="CE167" s="1029"/>
      <c r="CF167" s="1030"/>
      <c r="CG167" s="1030"/>
      <c r="CH167" s="1030"/>
      <c r="CI167" s="1030"/>
      <c r="CJ167" s="828"/>
    </row>
    <row r="168" spans="1:88" ht="12.95" customHeight="1">
      <c r="A168" s="213">
        <v>33</v>
      </c>
      <c r="B168" s="46">
        <v>5440</v>
      </c>
      <c r="C168" s="46">
        <v>600098559</v>
      </c>
      <c r="D168" s="46">
        <v>70998108</v>
      </c>
      <c r="E168" s="374" t="s">
        <v>514</v>
      </c>
      <c r="F168" s="45"/>
      <c r="G168" s="374"/>
      <c r="H168" s="182"/>
      <c r="I168" s="486">
        <v>3905854</v>
      </c>
      <c r="J168" s="482">
        <v>2882064</v>
      </c>
      <c r="K168" s="482">
        <v>2335841</v>
      </c>
      <c r="L168" s="482">
        <v>546223</v>
      </c>
      <c r="M168" s="482">
        <v>0</v>
      </c>
      <c r="N168" s="482">
        <v>0</v>
      </c>
      <c r="O168" s="482">
        <v>0</v>
      </c>
      <c r="P168" s="482">
        <v>974137</v>
      </c>
      <c r="Q168" s="482">
        <v>28821</v>
      </c>
      <c r="R168" s="482">
        <v>20832</v>
      </c>
      <c r="S168" s="483">
        <v>5.6042000000000005</v>
      </c>
      <c r="T168" s="483">
        <v>3.8260999999999998</v>
      </c>
      <c r="U168" s="651">
        <v>1.7781000000000002</v>
      </c>
      <c r="V168" s="486">
        <f t="shared" ref="V168:BK168" si="274">SUM(V165:V167)</f>
        <v>0</v>
      </c>
      <c r="W168" s="482">
        <f t="shared" si="274"/>
        <v>-18000</v>
      </c>
      <c r="X168" s="482">
        <f t="shared" si="274"/>
        <v>0</v>
      </c>
      <c r="Y168" s="482">
        <f t="shared" si="274"/>
        <v>0</v>
      </c>
      <c r="Z168" s="482">
        <f t="shared" si="274"/>
        <v>234535</v>
      </c>
      <c r="AA168" s="482">
        <f t="shared" si="274"/>
        <v>1887</v>
      </c>
      <c r="AB168" s="482">
        <f t="shared" si="274"/>
        <v>0</v>
      </c>
      <c r="AC168" s="482">
        <f t="shared" si="274"/>
        <v>0</v>
      </c>
      <c r="AD168" s="482">
        <f t="shared" si="274"/>
        <v>0</v>
      </c>
      <c r="AE168" s="482">
        <f t="shared" si="274"/>
        <v>234535</v>
      </c>
      <c r="AF168" s="482">
        <f t="shared" si="274"/>
        <v>-16113</v>
      </c>
      <c r="AG168" s="482">
        <f t="shared" si="274"/>
        <v>218422</v>
      </c>
      <c r="AH168" s="482">
        <f t="shared" si="274"/>
        <v>0</v>
      </c>
      <c r="AI168" s="482">
        <f t="shared" si="274"/>
        <v>18000</v>
      </c>
      <c r="AJ168" s="482">
        <f t="shared" si="274"/>
        <v>0</v>
      </c>
      <c r="AK168" s="482">
        <f t="shared" si="274"/>
        <v>0</v>
      </c>
      <c r="AL168" s="482">
        <f t="shared" si="274"/>
        <v>0</v>
      </c>
      <c r="AM168" s="482">
        <f t="shared" si="274"/>
        <v>0</v>
      </c>
      <c r="AN168" s="482">
        <f t="shared" si="274"/>
        <v>18000</v>
      </c>
      <c r="AO168" s="482">
        <f t="shared" si="274"/>
        <v>18000</v>
      </c>
      <c r="AP168" s="482">
        <f t="shared" si="274"/>
        <v>234535</v>
      </c>
      <c r="AQ168" s="482">
        <f t="shared" si="274"/>
        <v>1887</v>
      </c>
      <c r="AR168" s="482">
        <f t="shared" si="274"/>
        <v>236422</v>
      </c>
      <c r="AS168" s="482">
        <f t="shared" si="274"/>
        <v>79911</v>
      </c>
      <c r="AT168" s="482">
        <f t="shared" si="274"/>
        <v>2184</v>
      </c>
      <c r="AU168" s="482">
        <f t="shared" si="274"/>
        <v>0</v>
      </c>
      <c r="AV168" s="482">
        <f t="shared" si="274"/>
        <v>0</v>
      </c>
      <c r="AW168" s="482">
        <f t="shared" si="274"/>
        <v>0</v>
      </c>
      <c r="AX168" s="482">
        <f t="shared" si="274"/>
        <v>0</v>
      </c>
      <c r="AY168" s="482">
        <f t="shared" si="274"/>
        <v>318517</v>
      </c>
      <c r="AZ168" s="483">
        <f t="shared" si="274"/>
        <v>0</v>
      </c>
      <c r="BA168" s="483">
        <f t="shared" si="274"/>
        <v>-0.06</v>
      </c>
      <c r="BB168" s="483">
        <f t="shared" si="274"/>
        <v>0</v>
      </c>
      <c r="BC168" s="483">
        <f t="shared" si="274"/>
        <v>0.53</v>
      </c>
      <c r="BD168" s="483">
        <f t="shared" si="274"/>
        <v>0.01</v>
      </c>
      <c r="BE168" s="483">
        <f t="shared" si="274"/>
        <v>0</v>
      </c>
      <c r="BF168" s="483">
        <f t="shared" si="274"/>
        <v>0</v>
      </c>
      <c r="BG168" s="483">
        <f t="shared" si="274"/>
        <v>0</v>
      </c>
      <c r="BH168" s="483">
        <f t="shared" si="274"/>
        <v>0</v>
      </c>
      <c r="BI168" s="483">
        <f t="shared" si="274"/>
        <v>0.53</v>
      </c>
      <c r="BJ168" s="483">
        <f t="shared" si="274"/>
        <v>-4.9999999999999996E-2</v>
      </c>
      <c r="BK168" s="375">
        <f t="shared" si="274"/>
        <v>0.48000000000000004</v>
      </c>
      <c r="BL168" s="1074">
        <f t="shared" ref="BL168:CG168" si="275">SUM(BL165:BL167)</f>
        <v>4224371</v>
      </c>
      <c r="BM168" s="1074">
        <f t="shared" si="275"/>
        <v>3100486</v>
      </c>
      <c r="BN168" s="482">
        <f t="shared" si="275"/>
        <v>2570376</v>
      </c>
      <c r="BO168" s="482">
        <f t="shared" si="275"/>
        <v>530110</v>
      </c>
      <c r="BP168" s="482">
        <f t="shared" si="275"/>
        <v>18000</v>
      </c>
      <c r="BQ168" s="482">
        <f t="shared" si="275"/>
        <v>0</v>
      </c>
      <c r="BR168" s="482">
        <f t="shared" si="275"/>
        <v>18000</v>
      </c>
      <c r="BS168" s="482">
        <f t="shared" si="275"/>
        <v>1054048</v>
      </c>
      <c r="BT168" s="482">
        <f t="shared" si="275"/>
        <v>31005</v>
      </c>
      <c r="BU168" s="482">
        <f t="shared" si="275"/>
        <v>20832</v>
      </c>
      <c r="BV168" s="483">
        <f t="shared" si="275"/>
        <v>6.0842000000000001</v>
      </c>
      <c r="BW168" s="483">
        <f t="shared" si="275"/>
        <v>4.3560999999999996</v>
      </c>
      <c r="BX168" s="375">
        <f t="shared" si="275"/>
        <v>1.7281000000000002</v>
      </c>
      <c r="BY168" s="939">
        <f t="shared" si="275"/>
        <v>0</v>
      </c>
      <c r="BZ168" s="727">
        <f t="shared" si="275"/>
        <v>0</v>
      </c>
      <c r="CA168" s="727">
        <f t="shared" si="275"/>
        <v>0</v>
      </c>
      <c r="CB168" s="727">
        <f t="shared" si="275"/>
        <v>0</v>
      </c>
      <c r="CC168" s="727">
        <f t="shared" si="275"/>
        <v>0</v>
      </c>
      <c r="CD168" s="833">
        <f t="shared" si="275"/>
        <v>0</v>
      </c>
      <c r="CE168" s="1023">
        <f t="shared" si="275"/>
        <v>156121</v>
      </c>
      <c r="CF168" s="1023">
        <f t="shared" si="275"/>
        <v>111081</v>
      </c>
      <c r="CG168" s="1023">
        <f t="shared" si="275"/>
        <v>37545</v>
      </c>
      <c r="CH168" s="1023">
        <f t="shared" ref="CH168:CJ168" si="276">SUM(CH165:CH167)</f>
        <v>1111</v>
      </c>
      <c r="CI168" s="1023">
        <f t="shared" si="276"/>
        <v>6384</v>
      </c>
      <c r="CJ168" s="934">
        <f t="shared" si="276"/>
        <v>0.378</v>
      </c>
    </row>
    <row r="169" spans="1:88" ht="12.95" customHeight="1">
      <c r="A169" s="280">
        <v>34</v>
      </c>
      <c r="B169" s="212">
        <v>5441</v>
      </c>
      <c r="C169" s="212">
        <v>600099270</v>
      </c>
      <c r="D169" s="281">
        <v>856118</v>
      </c>
      <c r="E169" s="372" t="s">
        <v>515</v>
      </c>
      <c r="F169" s="212">
        <v>3113</v>
      </c>
      <c r="G169" s="372" t="s">
        <v>308</v>
      </c>
      <c r="H169" s="285" t="s">
        <v>271</v>
      </c>
      <c r="I169" s="419">
        <v>15214914</v>
      </c>
      <c r="J169" s="414">
        <v>11092305</v>
      </c>
      <c r="K169" s="414">
        <v>9714018</v>
      </c>
      <c r="L169" s="414">
        <v>1378287</v>
      </c>
      <c r="M169" s="414">
        <v>25000</v>
      </c>
      <c r="N169" s="414">
        <v>20000</v>
      </c>
      <c r="O169" s="414">
        <v>5000</v>
      </c>
      <c r="P169" s="68">
        <v>3757650</v>
      </c>
      <c r="Q169" s="68">
        <v>110924</v>
      </c>
      <c r="R169" s="414">
        <v>229035</v>
      </c>
      <c r="S169" s="415">
        <v>18.175300000000004</v>
      </c>
      <c r="T169" s="415">
        <v>14.140500000000001</v>
      </c>
      <c r="U169" s="422">
        <v>4.0347999999999997</v>
      </c>
      <c r="V169" s="423">
        <f t="shared" si="231"/>
        <v>-72000</v>
      </c>
      <c r="W169" s="417">
        <f t="shared" si="231"/>
        <v>0</v>
      </c>
      <c r="X169" s="417">
        <v>0</v>
      </c>
      <c r="Y169" s="417">
        <v>59580</v>
      </c>
      <c r="Z169" s="417">
        <v>0</v>
      </c>
      <c r="AA169" s="417">
        <v>0</v>
      </c>
      <c r="AB169" s="417">
        <v>0</v>
      </c>
      <c r="AC169" s="417">
        <v>0</v>
      </c>
      <c r="AD169" s="417">
        <v>0</v>
      </c>
      <c r="AE169" s="417">
        <f t="shared" si="232"/>
        <v>-12420</v>
      </c>
      <c r="AF169" s="417">
        <f t="shared" si="233"/>
        <v>0</v>
      </c>
      <c r="AG169" s="417">
        <f t="shared" si="234"/>
        <v>-12420</v>
      </c>
      <c r="AH169" s="417">
        <v>72000</v>
      </c>
      <c r="AI169" s="417">
        <v>0</v>
      </c>
      <c r="AJ169" s="417">
        <v>0</v>
      </c>
      <c r="AK169" s="417">
        <v>0</v>
      </c>
      <c r="AL169" s="417">
        <v>0</v>
      </c>
      <c r="AM169" s="417">
        <f t="shared" si="235"/>
        <v>72000</v>
      </c>
      <c r="AN169" s="417">
        <f t="shared" si="236"/>
        <v>0</v>
      </c>
      <c r="AO169" s="417">
        <f t="shared" si="237"/>
        <v>72000</v>
      </c>
      <c r="AP169" s="417">
        <f t="shared" si="238"/>
        <v>59580</v>
      </c>
      <c r="AQ169" s="417">
        <f t="shared" si="238"/>
        <v>0</v>
      </c>
      <c r="AR169" s="417">
        <f t="shared" si="239"/>
        <v>59580</v>
      </c>
      <c r="AS169" s="68">
        <f t="shared" si="240"/>
        <v>20138</v>
      </c>
      <c r="AT169" s="68">
        <f t="shared" si="241"/>
        <v>-124</v>
      </c>
      <c r="AU169" s="417">
        <v>0</v>
      </c>
      <c r="AV169" s="417">
        <v>0</v>
      </c>
      <c r="AW169" s="417">
        <v>0</v>
      </c>
      <c r="AX169" s="417">
        <f t="shared" si="242"/>
        <v>0</v>
      </c>
      <c r="AY169" s="417">
        <f t="shared" si="243"/>
        <v>79594</v>
      </c>
      <c r="AZ169" s="418">
        <v>-0.11</v>
      </c>
      <c r="BA169" s="418">
        <v>-0.02</v>
      </c>
      <c r="BB169" s="418">
        <v>0</v>
      </c>
      <c r="BC169" s="418">
        <v>0</v>
      </c>
      <c r="BD169" s="418">
        <v>0</v>
      </c>
      <c r="BE169" s="418">
        <v>0.09</v>
      </c>
      <c r="BF169" s="418">
        <v>0</v>
      </c>
      <c r="BG169" s="418">
        <v>0</v>
      </c>
      <c r="BH169" s="418">
        <v>0</v>
      </c>
      <c r="BI169" s="418">
        <f t="shared" si="244"/>
        <v>-2.0000000000000004E-2</v>
      </c>
      <c r="BJ169" s="418">
        <f t="shared" si="245"/>
        <v>-0.02</v>
      </c>
      <c r="BK169" s="420">
        <f t="shared" si="246"/>
        <v>-4.0000000000000008E-2</v>
      </c>
      <c r="BL169" s="772">
        <f>I169+AY169</f>
        <v>15294508</v>
      </c>
      <c r="BM169" s="772">
        <f>J169+AG169</f>
        <v>11079885</v>
      </c>
      <c r="BN169" s="417">
        <f t="shared" ref="BN169:BO173" si="277">K169+AE169</f>
        <v>9701598</v>
      </c>
      <c r="BO169" s="417">
        <f t="shared" si="277"/>
        <v>1378287</v>
      </c>
      <c r="BP169" s="417">
        <f>M169+AO169</f>
        <v>97000</v>
      </c>
      <c r="BQ169" s="417">
        <f t="shared" ref="BQ169:BR173" si="278">N169+AM169</f>
        <v>92000</v>
      </c>
      <c r="BR169" s="417">
        <f t="shared" si="278"/>
        <v>5000</v>
      </c>
      <c r="BS169" s="417">
        <f t="shared" ref="BS169:BT173" si="279">P169+AS169</f>
        <v>3777788</v>
      </c>
      <c r="BT169" s="417">
        <f t="shared" si="279"/>
        <v>110800</v>
      </c>
      <c r="BU169" s="417">
        <f>R169+AX169</f>
        <v>229035</v>
      </c>
      <c r="BV169" s="418">
        <f>S169+BK169</f>
        <v>18.135300000000004</v>
      </c>
      <c r="BW169" s="418">
        <f t="shared" ref="BW169:BX173" si="280">T169+BI169</f>
        <v>14.120500000000002</v>
      </c>
      <c r="BX169" s="420">
        <f t="shared" si="280"/>
        <v>4.0148000000000001</v>
      </c>
      <c r="BY169" s="841">
        <v>304109</v>
      </c>
      <c r="BZ169" s="729">
        <v>225600</v>
      </c>
      <c r="CA169" s="729">
        <v>0</v>
      </c>
      <c r="CB169" s="729">
        <v>76253</v>
      </c>
      <c r="CC169" s="729">
        <v>2256</v>
      </c>
      <c r="CD169" s="828">
        <v>0.4</v>
      </c>
      <c r="CE169" s="1026">
        <v>653831</v>
      </c>
      <c r="CF169" s="1022">
        <v>443981</v>
      </c>
      <c r="CG169" s="1022">
        <v>150066</v>
      </c>
      <c r="CH169" s="1022">
        <v>4440</v>
      </c>
      <c r="CI169" s="1022">
        <v>55344</v>
      </c>
      <c r="CJ169" s="981">
        <v>1.2950999999999999</v>
      </c>
    </row>
    <row r="170" spans="1:88" ht="12.95" customHeight="1">
      <c r="A170" s="280">
        <v>34</v>
      </c>
      <c r="B170" s="212">
        <v>5441</v>
      </c>
      <c r="C170" s="212">
        <v>600099270</v>
      </c>
      <c r="D170" s="281">
        <v>856118</v>
      </c>
      <c r="E170" s="372" t="s">
        <v>515</v>
      </c>
      <c r="F170" s="212">
        <v>3113</v>
      </c>
      <c r="G170" s="323" t="s">
        <v>291</v>
      </c>
      <c r="H170" s="285" t="s">
        <v>272</v>
      </c>
      <c r="I170" s="419">
        <v>1272467</v>
      </c>
      <c r="J170" s="414">
        <v>943968</v>
      </c>
      <c r="K170" s="414">
        <v>943968</v>
      </c>
      <c r="L170" s="414">
        <v>0</v>
      </c>
      <c r="M170" s="414">
        <v>0</v>
      </c>
      <c r="N170" s="414">
        <v>0</v>
      </c>
      <c r="O170" s="414">
        <v>0</v>
      </c>
      <c r="P170" s="68">
        <v>319060</v>
      </c>
      <c r="Q170" s="68">
        <v>9439</v>
      </c>
      <c r="R170" s="414">
        <v>0</v>
      </c>
      <c r="S170" s="415">
        <v>2.57</v>
      </c>
      <c r="T170" s="415">
        <v>2.57</v>
      </c>
      <c r="U170" s="422">
        <v>0</v>
      </c>
      <c r="V170" s="423">
        <f t="shared" si="231"/>
        <v>0</v>
      </c>
      <c r="W170" s="417">
        <f t="shared" si="231"/>
        <v>0</v>
      </c>
      <c r="X170" s="417">
        <v>234328</v>
      </c>
      <c r="Y170" s="417">
        <v>0</v>
      </c>
      <c r="Z170" s="417">
        <v>0</v>
      </c>
      <c r="AA170" s="417">
        <v>0</v>
      </c>
      <c r="AB170" s="417">
        <v>0</v>
      </c>
      <c r="AC170" s="417">
        <v>0</v>
      </c>
      <c r="AD170" s="417">
        <v>0</v>
      </c>
      <c r="AE170" s="417">
        <f t="shared" si="232"/>
        <v>234328</v>
      </c>
      <c r="AF170" s="417">
        <f t="shared" si="233"/>
        <v>0</v>
      </c>
      <c r="AG170" s="417">
        <f t="shared" si="234"/>
        <v>234328</v>
      </c>
      <c r="AH170" s="417">
        <v>0</v>
      </c>
      <c r="AI170" s="417">
        <v>0</v>
      </c>
      <c r="AJ170" s="417">
        <v>0</v>
      </c>
      <c r="AK170" s="417">
        <v>0</v>
      </c>
      <c r="AL170" s="417">
        <v>0</v>
      </c>
      <c r="AM170" s="417">
        <f t="shared" si="235"/>
        <v>0</v>
      </c>
      <c r="AN170" s="417">
        <f t="shared" si="236"/>
        <v>0</v>
      </c>
      <c r="AO170" s="417">
        <f t="shared" si="237"/>
        <v>0</v>
      </c>
      <c r="AP170" s="417">
        <f t="shared" si="238"/>
        <v>234328</v>
      </c>
      <c r="AQ170" s="417">
        <f t="shared" si="238"/>
        <v>0</v>
      </c>
      <c r="AR170" s="417">
        <f t="shared" si="239"/>
        <v>234328</v>
      </c>
      <c r="AS170" s="68">
        <f t="shared" si="240"/>
        <v>79203</v>
      </c>
      <c r="AT170" s="68">
        <f t="shared" si="241"/>
        <v>2343</v>
      </c>
      <c r="AU170" s="417">
        <v>2500</v>
      </c>
      <c r="AV170" s="417">
        <v>0</v>
      </c>
      <c r="AW170" s="417">
        <v>0</v>
      </c>
      <c r="AX170" s="417">
        <f t="shared" si="242"/>
        <v>2500</v>
      </c>
      <c r="AY170" s="417">
        <f t="shared" si="243"/>
        <v>318374</v>
      </c>
      <c r="AZ170" s="418">
        <v>0</v>
      </c>
      <c r="BA170" s="418">
        <v>0</v>
      </c>
      <c r="BB170" s="418">
        <v>0.64</v>
      </c>
      <c r="BC170" s="418">
        <v>0</v>
      </c>
      <c r="BD170" s="418">
        <v>0</v>
      </c>
      <c r="BE170" s="418">
        <v>0</v>
      </c>
      <c r="BF170" s="418">
        <v>0</v>
      </c>
      <c r="BG170" s="418">
        <v>0</v>
      </c>
      <c r="BH170" s="418">
        <v>0</v>
      </c>
      <c r="BI170" s="418">
        <f t="shared" si="244"/>
        <v>0.64</v>
      </c>
      <c r="BJ170" s="418">
        <f t="shared" si="245"/>
        <v>0</v>
      </c>
      <c r="BK170" s="420">
        <f t="shared" si="246"/>
        <v>0.64</v>
      </c>
      <c r="BL170" s="772">
        <f>I170+AY170</f>
        <v>1590841</v>
      </c>
      <c r="BM170" s="772">
        <f>J170+AG170</f>
        <v>1178296</v>
      </c>
      <c r="BN170" s="417">
        <f t="shared" si="277"/>
        <v>1178296</v>
      </c>
      <c r="BO170" s="417">
        <f t="shared" si="277"/>
        <v>0</v>
      </c>
      <c r="BP170" s="417">
        <f>M170+AO170</f>
        <v>0</v>
      </c>
      <c r="BQ170" s="417">
        <f t="shared" si="278"/>
        <v>0</v>
      </c>
      <c r="BR170" s="417">
        <f t="shared" si="278"/>
        <v>0</v>
      </c>
      <c r="BS170" s="417">
        <f t="shared" si="279"/>
        <v>398263</v>
      </c>
      <c r="BT170" s="417">
        <f t="shared" si="279"/>
        <v>11782</v>
      </c>
      <c r="BU170" s="417">
        <f>R170+AX170</f>
        <v>2500</v>
      </c>
      <c r="BV170" s="418">
        <f>S170+BK170</f>
        <v>3.21</v>
      </c>
      <c r="BW170" s="418">
        <f t="shared" si="280"/>
        <v>3.21</v>
      </c>
      <c r="BX170" s="420">
        <f t="shared" si="280"/>
        <v>0</v>
      </c>
      <c r="BY170" s="840"/>
      <c r="BZ170" s="717"/>
      <c r="CA170" s="717"/>
      <c r="CB170" s="717"/>
      <c r="CC170" s="717"/>
      <c r="CD170" s="822"/>
      <c r="CE170" s="1029"/>
      <c r="CF170" s="1030"/>
      <c r="CG170" s="1030"/>
      <c r="CH170" s="1030"/>
      <c r="CI170" s="1030"/>
      <c r="CJ170" s="828"/>
    </row>
    <row r="171" spans="1:88" ht="12.95" customHeight="1">
      <c r="A171" s="280">
        <v>34</v>
      </c>
      <c r="B171" s="376">
        <v>5441</v>
      </c>
      <c r="C171" s="376">
        <v>600099270</v>
      </c>
      <c r="D171" s="281">
        <v>856118</v>
      </c>
      <c r="E171" s="211" t="s">
        <v>515</v>
      </c>
      <c r="F171" s="212">
        <v>3141</v>
      </c>
      <c r="G171" s="373" t="s">
        <v>294</v>
      </c>
      <c r="H171" s="285" t="s">
        <v>272</v>
      </c>
      <c r="I171" s="419">
        <v>2013857</v>
      </c>
      <c r="J171" s="414">
        <v>1460475</v>
      </c>
      <c r="K171" s="414">
        <v>0</v>
      </c>
      <c r="L171" s="414">
        <v>1460475</v>
      </c>
      <c r="M171" s="414">
        <v>25000</v>
      </c>
      <c r="N171" s="414">
        <v>0</v>
      </c>
      <c r="O171" s="414">
        <v>25000</v>
      </c>
      <c r="P171" s="68">
        <v>502090</v>
      </c>
      <c r="Q171" s="68">
        <v>14604</v>
      </c>
      <c r="R171" s="414">
        <v>11688</v>
      </c>
      <c r="S171" s="415">
        <v>4.4466999999999999</v>
      </c>
      <c r="T171" s="415">
        <v>0</v>
      </c>
      <c r="U171" s="422">
        <v>4.4466999999999999</v>
      </c>
      <c r="V171" s="423">
        <f t="shared" si="231"/>
        <v>0</v>
      </c>
      <c r="W171" s="417">
        <f t="shared" si="231"/>
        <v>-57000</v>
      </c>
      <c r="X171" s="417">
        <v>0</v>
      </c>
      <c r="Y171" s="417">
        <v>0</v>
      </c>
      <c r="Z171" s="417">
        <v>0</v>
      </c>
      <c r="AA171" s="417">
        <v>-98335</v>
      </c>
      <c r="AB171" s="417">
        <v>0</v>
      </c>
      <c r="AC171" s="417">
        <v>0</v>
      </c>
      <c r="AD171" s="417">
        <v>0</v>
      </c>
      <c r="AE171" s="417">
        <f t="shared" si="232"/>
        <v>0</v>
      </c>
      <c r="AF171" s="417">
        <f t="shared" si="233"/>
        <v>-155335</v>
      </c>
      <c r="AG171" s="417">
        <f t="shared" si="234"/>
        <v>-155335</v>
      </c>
      <c r="AH171" s="417">
        <v>0</v>
      </c>
      <c r="AI171" s="417">
        <v>57000</v>
      </c>
      <c r="AJ171" s="417">
        <v>0</v>
      </c>
      <c r="AK171" s="417">
        <v>0</v>
      </c>
      <c r="AL171" s="417">
        <v>0</v>
      </c>
      <c r="AM171" s="417">
        <f t="shared" si="235"/>
        <v>0</v>
      </c>
      <c r="AN171" s="417">
        <f t="shared" si="236"/>
        <v>57000</v>
      </c>
      <c r="AO171" s="417">
        <f t="shared" si="237"/>
        <v>57000</v>
      </c>
      <c r="AP171" s="417">
        <f t="shared" si="238"/>
        <v>0</v>
      </c>
      <c r="AQ171" s="417">
        <f t="shared" si="238"/>
        <v>-98335</v>
      </c>
      <c r="AR171" s="417">
        <f t="shared" si="239"/>
        <v>-98335</v>
      </c>
      <c r="AS171" s="68">
        <f t="shared" si="240"/>
        <v>-33237</v>
      </c>
      <c r="AT171" s="68">
        <f t="shared" si="241"/>
        <v>-1553</v>
      </c>
      <c r="AU171" s="417">
        <v>0</v>
      </c>
      <c r="AV171" s="417">
        <v>0</v>
      </c>
      <c r="AW171" s="417">
        <v>0</v>
      </c>
      <c r="AX171" s="417">
        <f t="shared" si="242"/>
        <v>0</v>
      </c>
      <c r="AY171" s="417">
        <f t="shared" si="243"/>
        <v>-133125</v>
      </c>
      <c r="AZ171" s="418">
        <v>0</v>
      </c>
      <c r="BA171" s="418">
        <v>0</v>
      </c>
      <c r="BB171" s="418">
        <v>0</v>
      </c>
      <c r="BC171" s="418">
        <v>0</v>
      </c>
      <c r="BD171" s="418">
        <v>-0.28999999999999998</v>
      </c>
      <c r="BE171" s="418">
        <v>0</v>
      </c>
      <c r="BF171" s="418">
        <v>0</v>
      </c>
      <c r="BG171" s="418">
        <v>0</v>
      </c>
      <c r="BH171" s="418">
        <v>0</v>
      </c>
      <c r="BI171" s="418">
        <f t="shared" si="244"/>
        <v>0</v>
      </c>
      <c r="BJ171" s="418">
        <f t="shared" si="245"/>
        <v>-0.28999999999999998</v>
      </c>
      <c r="BK171" s="420">
        <f t="shared" si="246"/>
        <v>-0.28999999999999998</v>
      </c>
      <c r="BL171" s="772">
        <f>I171+AY171</f>
        <v>1880732</v>
      </c>
      <c r="BM171" s="772">
        <f>J171+AG171</f>
        <v>1305140</v>
      </c>
      <c r="BN171" s="417">
        <f t="shared" si="277"/>
        <v>0</v>
      </c>
      <c r="BO171" s="417">
        <f t="shared" si="277"/>
        <v>1305140</v>
      </c>
      <c r="BP171" s="417">
        <f>M171+AO171</f>
        <v>82000</v>
      </c>
      <c r="BQ171" s="417">
        <f t="shared" si="278"/>
        <v>0</v>
      </c>
      <c r="BR171" s="417">
        <f t="shared" si="278"/>
        <v>82000</v>
      </c>
      <c r="BS171" s="417">
        <f t="shared" si="279"/>
        <v>468853</v>
      </c>
      <c r="BT171" s="417">
        <f t="shared" si="279"/>
        <v>13051</v>
      </c>
      <c r="BU171" s="417">
        <f>R171+AX171</f>
        <v>11688</v>
      </c>
      <c r="BV171" s="418">
        <f>S171+BK171</f>
        <v>4.1566999999999998</v>
      </c>
      <c r="BW171" s="418">
        <f t="shared" si="280"/>
        <v>0</v>
      </c>
      <c r="BX171" s="420">
        <f t="shared" si="280"/>
        <v>4.1566999999999998</v>
      </c>
      <c r="BY171" s="840"/>
      <c r="BZ171" s="717"/>
      <c r="CA171" s="717"/>
      <c r="CB171" s="717"/>
      <c r="CC171" s="717"/>
      <c r="CD171" s="822"/>
      <c r="CE171" s="1029"/>
      <c r="CF171" s="1030"/>
      <c r="CG171" s="1030"/>
      <c r="CH171" s="1030"/>
      <c r="CI171" s="1030"/>
      <c r="CJ171" s="828"/>
    </row>
    <row r="172" spans="1:88" ht="12.95" customHeight="1">
      <c r="A172" s="280">
        <v>34</v>
      </c>
      <c r="B172" s="212">
        <v>5441</v>
      </c>
      <c r="C172" s="212">
        <v>600099270</v>
      </c>
      <c r="D172" s="281">
        <v>856118</v>
      </c>
      <c r="E172" s="372" t="s">
        <v>515</v>
      </c>
      <c r="F172" s="212">
        <v>3143</v>
      </c>
      <c r="G172" s="323" t="s">
        <v>595</v>
      </c>
      <c r="H172" s="285" t="s">
        <v>271</v>
      </c>
      <c r="I172" s="419">
        <v>1324805</v>
      </c>
      <c r="J172" s="414">
        <v>975647</v>
      </c>
      <c r="K172" s="414">
        <v>975647</v>
      </c>
      <c r="L172" s="414">
        <v>0</v>
      </c>
      <c r="M172" s="414">
        <v>7200</v>
      </c>
      <c r="N172" s="414">
        <v>7200</v>
      </c>
      <c r="O172" s="414">
        <v>0</v>
      </c>
      <c r="P172" s="68">
        <v>332202</v>
      </c>
      <c r="Q172" s="68">
        <v>9756</v>
      </c>
      <c r="R172" s="414">
        <v>0</v>
      </c>
      <c r="S172" s="415">
        <v>1.9</v>
      </c>
      <c r="T172" s="415">
        <v>1.9</v>
      </c>
      <c r="U172" s="422">
        <v>0</v>
      </c>
      <c r="V172" s="423">
        <f t="shared" si="231"/>
        <v>5400</v>
      </c>
      <c r="W172" s="417">
        <f t="shared" si="231"/>
        <v>0</v>
      </c>
      <c r="X172" s="417">
        <v>0</v>
      </c>
      <c r="Y172" s="417">
        <v>0</v>
      </c>
      <c r="Z172" s="417">
        <v>0</v>
      </c>
      <c r="AA172" s="417">
        <v>0</v>
      </c>
      <c r="AB172" s="417">
        <v>0</v>
      </c>
      <c r="AC172" s="417">
        <v>0</v>
      </c>
      <c r="AD172" s="417">
        <v>0</v>
      </c>
      <c r="AE172" s="417">
        <f t="shared" si="232"/>
        <v>5400</v>
      </c>
      <c r="AF172" s="417">
        <f t="shared" si="233"/>
        <v>0</v>
      </c>
      <c r="AG172" s="417">
        <f t="shared" si="234"/>
        <v>5400</v>
      </c>
      <c r="AH172" s="417">
        <v>-5400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235"/>
        <v>-5400</v>
      </c>
      <c r="AN172" s="417">
        <f t="shared" si="236"/>
        <v>0</v>
      </c>
      <c r="AO172" s="417">
        <f t="shared" si="237"/>
        <v>-5400</v>
      </c>
      <c r="AP172" s="417">
        <f t="shared" si="238"/>
        <v>0</v>
      </c>
      <c r="AQ172" s="417">
        <f t="shared" si="238"/>
        <v>0</v>
      </c>
      <c r="AR172" s="417">
        <f t="shared" si="239"/>
        <v>0</v>
      </c>
      <c r="AS172" s="68">
        <f t="shared" si="240"/>
        <v>0</v>
      </c>
      <c r="AT172" s="68">
        <f t="shared" si="241"/>
        <v>54</v>
      </c>
      <c r="AU172" s="417">
        <v>0</v>
      </c>
      <c r="AV172" s="417">
        <v>0</v>
      </c>
      <c r="AW172" s="417">
        <v>0</v>
      </c>
      <c r="AX172" s="417">
        <f t="shared" si="242"/>
        <v>0</v>
      </c>
      <c r="AY172" s="417">
        <f t="shared" si="243"/>
        <v>54</v>
      </c>
      <c r="AZ172" s="418">
        <v>0</v>
      </c>
      <c r="BA172" s="418">
        <v>0</v>
      </c>
      <c r="BB172" s="418">
        <v>0</v>
      </c>
      <c r="BC172" s="418">
        <v>0</v>
      </c>
      <c r="BD172" s="418">
        <v>0</v>
      </c>
      <c r="BE172" s="418">
        <v>0</v>
      </c>
      <c r="BF172" s="418">
        <v>0</v>
      </c>
      <c r="BG172" s="418">
        <v>0</v>
      </c>
      <c r="BH172" s="418">
        <v>0</v>
      </c>
      <c r="BI172" s="418">
        <f t="shared" si="244"/>
        <v>0</v>
      </c>
      <c r="BJ172" s="418">
        <f t="shared" si="245"/>
        <v>0</v>
      </c>
      <c r="BK172" s="420">
        <f t="shared" si="246"/>
        <v>0</v>
      </c>
      <c r="BL172" s="772">
        <f>I172+AY172</f>
        <v>1324859</v>
      </c>
      <c r="BM172" s="772">
        <f>J172+AG172</f>
        <v>981047</v>
      </c>
      <c r="BN172" s="417">
        <f t="shared" si="277"/>
        <v>981047</v>
      </c>
      <c r="BO172" s="417">
        <f t="shared" si="277"/>
        <v>0</v>
      </c>
      <c r="BP172" s="417">
        <f>M172+AO172</f>
        <v>1800</v>
      </c>
      <c r="BQ172" s="417">
        <f t="shared" si="278"/>
        <v>1800</v>
      </c>
      <c r="BR172" s="417">
        <f t="shared" si="278"/>
        <v>0</v>
      </c>
      <c r="BS172" s="417">
        <f t="shared" si="279"/>
        <v>332202</v>
      </c>
      <c r="BT172" s="417">
        <f t="shared" si="279"/>
        <v>9810</v>
      </c>
      <c r="BU172" s="417">
        <f>R172+AX172</f>
        <v>0</v>
      </c>
      <c r="BV172" s="418">
        <f>S172+BK172</f>
        <v>1.9</v>
      </c>
      <c r="BW172" s="418">
        <f t="shared" si="280"/>
        <v>1.9</v>
      </c>
      <c r="BX172" s="420">
        <f t="shared" si="280"/>
        <v>0</v>
      </c>
      <c r="BY172" s="840"/>
      <c r="BZ172" s="717"/>
      <c r="CA172" s="717"/>
      <c r="CB172" s="717"/>
      <c r="CC172" s="717"/>
      <c r="CD172" s="822"/>
      <c r="CE172" s="1029"/>
      <c r="CF172" s="1030"/>
      <c r="CG172" s="1030"/>
      <c r="CH172" s="1030"/>
      <c r="CI172" s="1030"/>
      <c r="CJ172" s="828"/>
    </row>
    <row r="173" spans="1:88" ht="12.95" customHeight="1">
      <c r="A173" s="280">
        <v>34</v>
      </c>
      <c r="B173" s="212">
        <v>5441</v>
      </c>
      <c r="C173" s="212">
        <v>600099270</v>
      </c>
      <c r="D173" s="281">
        <v>856118</v>
      </c>
      <c r="E173" s="372" t="s">
        <v>515</v>
      </c>
      <c r="F173" s="212">
        <v>3143</v>
      </c>
      <c r="G173" s="323" t="s">
        <v>596</v>
      </c>
      <c r="H173" s="285" t="s">
        <v>272</v>
      </c>
      <c r="I173" s="419">
        <v>38420</v>
      </c>
      <c r="J173" s="414">
        <v>27500</v>
      </c>
      <c r="K173" s="414">
        <v>0</v>
      </c>
      <c r="L173" s="414">
        <v>27500</v>
      </c>
      <c r="M173" s="414">
        <v>0</v>
      </c>
      <c r="N173" s="414">
        <v>0</v>
      </c>
      <c r="O173" s="414">
        <v>0</v>
      </c>
      <c r="P173" s="68">
        <v>9295</v>
      </c>
      <c r="Q173" s="68">
        <v>275</v>
      </c>
      <c r="R173" s="414">
        <v>1350</v>
      </c>
      <c r="S173" s="415">
        <v>9.9400000000000002E-2</v>
      </c>
      <c r="T173" s="415">
        <v>0</v>
      </c>
      <c r="U173" s="422">
        <v>9.9400000000000002E-2</v>
      </c>
      <c r="V173" s="423">
        <f t="shared" si="231"/>
        <v>0</v>
      </c>
      <c r="W173" s="417">
        <f t="shared" si="231"/>
        <v>0</v>
      </c>
      <c r="X173" s="417">
        <v>0</v>
      </c>
      <c r="Y173" s="417">
        <v>0</v>
      </c>
      <c r="Z173" s="417">
        <v>0</v>
      </c>
      <c r="AA173" s="417">
        <v>0</v>
      </c>
      <c r="AB173" s="417">
        <v>0</v>
      </c>
      <c r="AC173" s="417">
        <v>0</v>
      </c>
      <c r="AD173" s="417">
        <v>0</v>
      </c>
      <c r="AE173" s="417">
        <f t="shared" si="232"/>
        <v>0</v>
      </c>
      <c r="AF173" s="417">
        <f t="shared" si="233"/>
        <v>0</v>
      </c>
      <c r="AG173" s="417">
        <f t="shared" si="234"/>
        <v>0</v>
      </c>
      <c r="AH173" s="417">
        <v>0</v>
      </c>
      <c r="AI173" s="417">
        <v>0</v>
      </c>
      <c r="AJ173" s="417">
        <v>0</v>
      </c>
      <c r="AK173" s="417">
        <v>0</v>
      </c>
      <c r="AL173" s="417">
        <v>0</v>
      </c>
      <c r="AM173" s="417">
        <f t="shared" si="235"/>
        <v>0</v>
      </c>
      <c r="AN173" s="417">
        <f t="shared" si="236"/>
        <v>0</v>
      </c>
      <c r="AO173" s="417">
        <f t="shared" si="237"/>
        <v>0</v>
      </c>
      <c r="AP173" s="417">
        <f t="shared" si="238"/>
        <v>0</v>
      </c>
      <c r="AQ173" s="417">
        <f t="shared" si="238"/>
        <v>0</v>
      </c>
      <c r="AR173" s="417">
        <f t="shared" si="239"/>
        <v>0</v>
      </c>
      <c r="AS173" s="68">
        <f t="shared" si="240"/>
        <v>0</v>
      </c>
      <c r="AT173" s="68">
        <f t="shared" si="241"/>
        <v>0</v>
      </c>
      <c r="AU173" s="417">
        <v>0</v>
      </c>
      <c r="AV173" s="417">
        <v>0</v>
      </c>
      <c r="AW173" s="417">
        <v>0</v>
      </c>
      <c r="AX173" s="417">
        <f t="shared" si="242"/>
        <v>0</v>
      </c>
      <c r="AY173" s="417">
        <f t="shared" si="243"/>
        <v>0</v>
      </c>
      <c r="AZ173" s="418">
        <v>0</v>
      </c>
      <c r="BA173" s="418">
        <v>0</v>
      </c>
      <c r="BB173" s="418">
        <v>0</v>
      </c>
      <c r="BC173" s="418">
        <v>0</v>
      </c>
      <c r="BD173" s="418">
        <v>0</v>
      </c>
      <c r="BE173" s="418">
        <v>0</v>
      </c>
      <c r="BF173" s="418">
        <v>0</v>
      </c>
      <c r="BG173" s="418">
        <v>0</v>
      </c>
      <c r="BH173" s="418">
        <v>0</v>
      </c>
      <c r="BI173" s="418">
        <f t="shared" si="244"/>
        <v>0</v>
      </c>
      <c r="BJ173" s="418">
        <f t="shared" si="245"/>
        <v>0</v>
      </c>
      <c r="BK173" s="420">
        <f t="shared" si="246"/>
        <v>0</v>
      </c>
      <c r="BL173" s="772">
        <f>I173+AY173</f>
        <v>38420</v>
      </c>
      <c r="BM173" s="772">
        <f>J173+AG173</f>
        <v>27500</v>
      </c>
      <c r="BN173" s="417">
        <f t="shared" si="277"/>
        <v>0</v>
      </c>
      <c r="BO173" s="417">
        <f t="shared" si="277"/>
        <v>27500</v>
      </c>
      <c r="BP173" s="417">
        <f>M173+AO173</f>
        <v>0</v>
      </c>
      <c r="BQ173" s="417">
        <f t="shared" si="278"/>
        <v>0</v>
      </c>
      <c r="BR173" s="417">
        <f t="shared" si="278"/>
        <v>0</v>
      </c>
      <c r="BS173" s="417">
        <f t="shared" si="279"/>
        <v>9295</v>
      </c>
      <c r="BT173" s="417">
        <f t="shared" si="279"/>
        <v>275</v>
      </c>
      <c r="BU173" s="417">
        <f>R173+AX173</f>
        <v>1350</v>
      </c>
      <c r="BV173" s="418">
        <f>S173+BK173</f>
        <v>9.9400000000000002E-2</v>
      </c>
      <c r="BW173" s="418">
        <f t="shared" si="280"/>
        <v>0</v>
      </c>
      <c r="BX173" s="420">
        <f t="shared" si="280"/>
        <v>9.9400000000000002E-2</v>
      </c>
      <c r="BY173" s="840"/>
      <c r="BZ173" s="717"/>
      <c r="CA173" s="717"/>
      <c r="CB173" s="717"/>
      <c r="CC173" s="717"/>
      <c r="CD173" s="822"/>
      <c r="CE173" s="1029"/>
      <c r="CF173" s="1030"/>
      <c r="CG173" s="1030"/>
      <c r="CH173" s="1030"/>
      <c r="CI173" s="1030"/>
      <c r="CJ173" s="828"/>
    </row>
    <row r="174" spans="1:88" ht="12.95" customHeight="1">
      <c r="A174" s="213">
        <v>34</v>
      </c>
      <c r="B174" s="45">
        <v>5441</v>
      </c>
      <c r="C174" s="45">
        <v>600099270</v>
      </c>
      <c r="D174" s="45">
        <v>856118</v>
      </c>
      <c r="E174" s="374" t="s">
        <v>516</v>
      </c>
      <c r="F174" s="45"/>
      <c r="G174" s="374"/>
      <c r="H174" s="182"/>
      <c r="I174" s="487">
        <v>19864463</v>
      </c>
      <c r="J174" s="484">
        <v>14499895</v>
      </c>
      <c r="K174" s="484">
        <v>11633633</v>
      </c>
      <c r="L174" s="484">
        <v>2866262</v>
      </c>
      <c r="M174" s="484">
        <v>57200</v>
      </c>
      <c r="N174" s="484">
        <v>27200</v>
      </c>
      <c r="O174" s="484">
        <v>30000</v>
      </c>
      <c r="P174" s="484">
        <v>4920297</v>
      </c>
      <c r="Q174" s="484">
        <v>144998</v>
      </c>
      <c r="R174" s="484">
        <v>242073</v>
      </c>
      <c r="S174" s="485">
        <v>27.191400000000002</v>
      </c>
      <c r="T174" s="485">
        <v>18.610499999999998</v>
      </c>
      <c r="U174" s="652">
        <v>8.5808999999999997</v>
      </c>
      <c r="V174" s="487">
        <f t="shared" ref="V174:BK174" si="281">SUM(V169:V173)</f>
        <v>-66600</v>
      </c>
      <c r="W174" s="484">
        <f t="shared" si="281"/>
        <v>-57000</v>
      </c>
      <c r="X174" s="484">
        <f t="shared" si="281"/>
        <v>234328</v>
      </c>
      <c r="Y174" s="484">
        <f t="shared" si="281"/>
        <v>59580</v>
      </c>
      <c r="Z174" s="484">
        <f t="shared" si="281"/>
        <v>0</v>
      </c>
      <c r="AA174" s="484">
        <f t="shared" si="281"/>
        <v>-98335</v>
      </c>
      <c r="AB174" s="484">
        <f t="shared" si="281"/>
        <v>0</v>
      </c>
      <c r="AC174" s="484">
        <f t="shared" si="281"/>
        <v>0</v>
      </c>
      <c r="AD174" s="484">
        <f t="shared" si="281"/>
        <v>0</v>
      </c>
      <c r="AE174" s="484">
        <f t="shared" si="281"/>
        <v>227308</v>
      </c>
      <c r="AF174" s="484">
        <f t="shared" si="281"/>
        <v>-155335</v>
      </c>
      <c r="AG174" s="484">
        <f t="shared" si="281"/>
        <v>71973</v>
      </c>
      <c r="AH174" s="484">
        <f t="shared" si="281"/>
        <v>66600</v>
      </c>
      <c r="AI174" s="484">
        <f t="shared" si="281"/>
        <v>57000</v>
      </c>
      <c r="AJ174" s="484">
        <f t="shared" si="281"/>
        <v>0</v>
      </c>
      <c r="AK174" s="484">
        <f t="shared" si="281"/>
        <v>0</v>
      </c>
      <c r="AL174" s="484">
        <f t="shared" si="281"/>
        <v>0</v>
      </c>
      <c r="AM174" s="484">
        <f t="shared" si="281"/>
        <v>66600</v>
      </c>
      <c r="AN174" s="484">
        <f t="shared" si="281"/>
        <v>57000</v>
      </c>
      <c r="AO174" s="484">
        <f t="shared" si="281"/>
        <v>123600</v>
      </c>
      <c r="AP174" s="484">
        <f t="shared" si="281"/>
        <v>293908</v>
      </c>
      <c r="AQ174" s="484">
        <f t="shared" si="281"/>
        <v>-98335</v>
      </c>
      <c r="AR174" s="484">
        <f t="shared" si="281"/>
        <v>195573</v>
      </c>
      <c r="AS174" s="484">
        <f t="shared" si="281"/>
        <v>66104</v>
      </c>
      <c r="AT174" s="484">
        <f t="shared" si="281"/>
        <v>720</v>
      </c>
      <c r="AU174" s="484">
        <f t="shared" si="281"/>
        <v>2500</v>
      </c>
      <c r="AV174" s="484">
        <f t="shared" si="281"/>
        <v>0</v>
      </c>
      <c r="AW174" s="484">
        <f t="shared" si="281"/>
        <v>0</v>
      </c>
      <c r="AX174" s="484">
        <f t="shared" si="281"/>
        <v>2500</v>
      </c>
      <c r="AY174" s="484">
        <f t="shared" si="281"/>
        <v>264897</v>
      </c>
      <c r="AZ174" s="485">
        <f t="shared" si="281"/>
        <v>-0.11</v>
      </c>
      <c r="BA174" s="485">
        <f t="shared" si="281"/>
        <v>-0.02</v>
      </c>
      <c r="BB174" s="485">
        <f t="shared" si="281"/>
        <v>0.64</v>
      </c>
      <c r="BC174" s="485">
        <f t="shared" si="281"/>
        <v>0</v>
      </c>
      <c r="BD174" s="485">
        <f t="shared" si="281"/>
        <v>-0.28999999999999998</v>
      </c>
      <c r="BE174" s="485">
        <f t="shared" si="281"/>
        <v>0.09</v>
      </c>
      <c r="BF174" s="485">
        <f t="shared" si="281"/>
        <v>0</v>
      </c>
      <c r="BG174" s="485">
        <f t="shared" si="281"/>
        <v>0</v>
      </c>
      <c r="BH174" s="485">
        <f t="shared" si="281"/>
        <v>0</v>
      </c>
      <c r="BI174" s="485">
        <f t="shared" si="281"/>
        <v>0.62</v>
      </c>
      <c r="BJ174" s="485">
        <f t="shared" si="281"/>
        <v>-0.31</v>
      </c>
      <c r="BK174" s="379">
        <f t="shared" si="281"/>
        <v>0.31</v>
      </c>
      <c r="BL174" s="1076">
        <f t="shared" ref="BL174:CG174" si="282">SUM(BL169:BL173)</f>
        <v>20129360</v>
      </c>
      <c r="BM174" s="1076">
        <f t="shared" si="282"/>
        <v>14571868</v>
      </c>
      <c r="BN174" s="484">
        <f t="shared" si="282"/>
        <v>11860941</v>
      </c>
      <c r="BO174" s="484">
        <f t="shared" si="282"/>
        <v>2710927</v>
      </c>
      <c r="BP174" s="484">
        <f t="shared" si="282"/>
        <v>180800</v>
      </c>
      <c r="BQ174" s="484">
        <f t="shared" si="282"/>
        <v>93800</v>
      </c>
      <c r="BR174" s="484">
        <f t="shared" si="282"/>
        <v>87000</v>
      </c>
      <c r="BS174" s="484">
        <f t="shared" si="282"/>
        <v>4986401</v>
      </c>
      <c r="BT174" s="484">
        <f t="shared" si="282"/>
        <v>145718</v>
      </c>
      <c r="BU174" s="484">
        <f t="shared" si="282"/>
        <v>244573</v>
      </c>
      <c r="BV174" s="485">
        <f t="shared" si="282"/>
        <v>27.501400000000004</v>
      </c>
      <c r="BW174" s="485">
        <f t="shared" si="282"/>
        <v>19.230499999999999</v>
      </c>
      <c r="BX174" s="379">
        <f t="shared" si="282"/>
        <v>8.2708999999999993</v>
      </c>
      <c r="BY174" s="941">
        <f t="shared" si="282"/>
        <v>304109</v>
      </c>
      <c r="BZ174" s="728">
        <f t="shared" si="282"/>
        <v>225600</v>
      </c>
      <c r="CA174" s="728">
        <f t="shared" si="282"/>
        <v>0</v>
      </c>
      <c r="CB174" s="728">
        <f t="shared" si="282"/>
        <v>76253</v>
      </c>
      <c r="CC174" s="728">
        <f t="shared" si="282"/>
        <v>2256</v>
      </c>
      <c r="CD174" s="834">
        <f t="shared" si="282"/>
        <v>0.4</v>
      </c>
      <c r="CE174" s="1025">
        <f t="shared" si="282"/>
        <v>653831</v>
      </c>
      <c r="CF174" s="1025">
        <f t="shared" si="282"/>
        <v>443981</v>
      </c>
      <c r="CG174" s="1025">
        <f t="shared" si="282"/>
        <v>150066</v>
      </c>
      <c r="CH174" s="1025">
        <f t="shared" ref="CH174:CJ174" si="283">SUM(CH169:CH173)</f>
        <v>4440</v>
      </c>
      <c r="CI174" s="1025">
        <f t="shared" si="283"/>
        <v>55344</v>
      </c>
      <c r="CJ174" s="933">
        <f t="shared" si="283"/>
        <v>1.2950999999999999</v>
      </c>
    </row>
    <row r="175" spans="1:88" ht="12.95" customHeight="1">
      <c r="A175" s="280">
        <v>35</v>
      </c>
      <c r="B175" s="376">
        <v>2306</v>
      </c>
      <c r="C175" s="376">
        <v>650025873</v>
      </c>
      <c r="D175" s="281">
        <v>70695946</v>
      </c>
      <c r="E175" s="372" t="s">
        <v>517</v>
      </c>
      <c r="F175" s="212">
        <v>3111</v>
      </c>
      <c r="G175" s="373" t="s">
        <v>304</v>
      </c>
      <c r="H175" s="285" t="s">
        <v>271</v>
      </c>
      <c r="I175" s="419">
        <v>3121360</v>
      </c>
      <c r="J175" s="414">
        <v>2304274</v>
      </c>
      <c r="K175" s="414">
        <v>2127856</v>
      </c>
      <c r="L175" s="414">
        <v>176418</v>
      </c>
      <c r="M175" s="414">
        <v>0</v>
      </c>
      <c r="N175" s="414">
        <v>0</v>
      </c>
      <c r="O175" s="414">
        <v>0</v>
      </c>
      <c r="P175" s="68">
        <v>778844</v>
      </c>
      <c r="Q175" s="68">
        <v>23042</v>
      </c>
      <c r="R175" s="414">
        <v>15200</v>
      </c>
      <c r="S175" s="415">
        <v>4.4325999999999999</v>
      </c>
      <c r="T175" s="415">
        <v>3.7258</v>
      </c>
      <c r="U175" s="422">
        <v>0.70679999999999998</v>
      </c>
      <c r="V175" s="423">
        <f t="shared" si="231"/>
        <v>0</v>
      </c>
      <c r="W175" s="417">
        <f t="shared" si="231"/>
        <v>0</v>
      </c>
      <c r="X175" s="417">
        <v>0</v>
      </c>
      <c r="Y175" s="417">
        <v>0</v>
      </c>
      <c r="Z175" s="417">
        <v>0</v>
      </c>
      <c r="AA175" s="417">
        <v>0</v>
      </c>
      <c r="AB175" s="417">
        <v>0</v>
      </c>
      <c r="AC175" s="417">
        <v>0</v>
      </c>
      <c r="AD175" s="417">
        <v>0</v>
      </c>
      <c r="AE175" s="417">
        <f t="shared" si="232"/>
        <v>0</v>
      </c>
      <c r="AF175" s="417">
        <f t="shared" si="233"/>
        <v>0</v>
      </c>
      <c r="AG175" s="417">
        <f t="shared" si="234"/>
        <v>0</v>
      </c>
      <c r="AH175" s="417">
        <v>0</v>
      </c>
      <c r="AI175" s="417">
        <v>0</v>
      </c>
      <c r="AJ175" s="417">
        <v>0</v>
      </c>
      <c r="AK175" s="417">
        <v>0</v>
      </c>
      <c r="AL175" s="417">
        <v>0</v>
      </c>
      <c r="AM175" s="417">
        <f t="shared" si="235"/>
        <v>0</v>
      </c>
      <c r="AN175" s="417">
        <f t="shared" si="236"/>
        <v>0</v>
      </c>
      <c r="AO175" s="417">
        <f t="shared" si="237"/>
        <v>0</v>
      </c>
      <c r="AP175" s="417">
        <f t="shared" si="238"/>
        <v>0</v>
      </c>
      <c r="AQ175" s="417">
        <f t="shared" si="238"/>
        <v>0</v>
      </c>
      <c r="AR175" s="417">
        <f t="shared" si="239"/>
        <v>0</v>
      </c>
      <c r="AS175" s="68">
        <f t="shared" si="240"/>
        <v>0</v>
      </c>
      <c r="AT175" s="68">
        <f t="shared" si="241"/>
        <v>0</v>
      </c>
      <c r="AU175" s="417">
        <v>0</v>
      </c>
      <c r="AV175" s="417">
        <v>0</v>
      </c>
      <c r="AW175" s="417">
        <v>0</v>
      </c>
      <c r="AX175" s="417">
        <f t="shared" si="242"/>
        <v>0</v>
      </c>
      <c r="AY175" s="417">
        <f t="shared" si="243"/>
        <v>0</v>
      </c>
      <c r="AZ175" s="418">
        <v>0</v>
      </c>
      <c r="BA175" s="418">
        <v>0</v>
      </c>
      <c r="BB175" s="418">
        <v>0</v>
      </c>
      <c r="BC175" s="418">
        <v>0</v>
      </c>
      <c r="BD175" s="418">
        <v>0</v>
      </c>
      <c r="BE175" s="418">
        <v>0</v>
      </c>
      <c r="BF175" s="418">
        <v>0</v>
      </c>
      <c r="BG175" s="418">
        <v>0</v>
      </c>
      <c r="BH175" s="418">
        <v>0</v>
      </c>
      <c r="BI175" s="418">
        <f t="shared" si="244"/>
        <v>0</v>
      </c>
      <c r="BJ175" s="418">
        <f t="shared" si="245"/>
        <v>0</v>
      </c>
      <c r="BK175" s="420">
        <f t="shared" si="246"/>
        <v>0</v>
      </c>
      <c r="BL175" s="772">
        <f t="shared" ref="BL175:BL180" si="284">I175+AY175</f>
        <v>3121360</v>
      </c>
      <c r="BM175" s="772">
        <f t="shared" ref="BM175:BM180" si="285">J175+AG175</f>
        <v>2304274</v>
      </c>
      <c r="BN175" s="417">
        <f t="shared" ref="BN175:BO180" si="286">K175+AE175</f>
        <v>2127856</v>
      </c>
      <c r="BO175" s="417">
        <f t="shared" si="286"/>
        <v>176418</v>
      </c>
      <c r="BP175" s="417">
        <f t="shared" ref="BP175:BP180" si="287">M175+AO175</f>
        <v>0</v>
      </c>
      <c r="BQ175" s="417">
        <f t="shared" ref="BQ175:BR180" si="288">N175+AM175</f>
        <v>0</v>
      </c>
      <c r="BR175" s="417">
        <f t="shared" si="288"/>
        <v>0</v>
      </c>
      <c r="BS175" s="417">
        <f t="shared" ref="BS175:BT180" si="289">P175+AS175</f>
        <v>778844</v>
      </c>
      <c r="BT175" s="417">
        <f t="shared" si="289"/>
        <v>23042</v>
      </c>
      <c r="BU175" s="417">
        <f t="shared" ref="BU175:BU180" si="290">R175+AX175</f>
        <v>15200</v>
      </c>
      <c r="BV175" s="418">
        <f t="shared" ref="BV175:BV180" si="291">S175+BK175</f>
        <v>4.4325999999999999</v>
      </c>
      <c r="BW175" s="418">
        <f t="shared" ref="BW175:BX180" si="292">T175+BI175</f>
        <v>3.7258</v>
      </c>
      <c r="BX175" s="420">
        <f t="shared" si="292"/>
        <v>0.70679999999999998</v>
      </c>
      <c r="BY175" s="840"/>
      <c r="BZ175" s="717"/>
      <c r="CA175" s="717"/>
      <c r="CB175" s="717"/>
      <c r="CC175" s="717"/>
      <c r="CD175" s="822"/>
      <c r="CE175" s="1029">
        <v>81364</v>
      </c>
      <c r="CF175" s="1030">
        <v>56610</v>
      </c>
      <c r="CG175" s="1030">
        <v>19134</v>
      </c>
      <c r="CH175" s="1030">
        <v>566</v>
      </c>
      <c r="CI175" s="1030">
        <v>5054</v>
      </c>
      <c r="CJ175" s="828">
        <v>0.2268</v>
      </c>
    </row>
    <row r="176" spans="1:88" ht="12.95" customHeight="1">
      <c r="A176" s="280">
        <v>35</v>
      </c>
      <c r="B176" s="376">
        <v>2306</v>
      </c>
      <c r="C176" s="376">
        <v>650025873</v>
      </c>
      <c r="D176" s="281">
        <v>70695946</v>
      </c>
      <c r="E176" s="211" t="s">
        <v>517</v>
      </c>
      <c r="F176" s="376">
        <v>3117</v>
      </c>
      <c r="G176" s="372" t="s">
        <v>308</v>
      </c>
      <c r="H176" s="285" t="s">
        <v>271</v>
      </c>
      <c r="I176" s="419">
        <v>3068496</v>
      </c>
      <c r="J176" s="414">
        <v>2246788</v>
      </c>
      <c r="K176" s="414">
        <v>1760230</v>
      </c>
      <c r="L176" s="414">
        <v>486558</v>
      </c>
      <c r="M176" s="414">
        <v>0</v>
      </c>
      <c r="N176" s="414">
        <v>0</v>
      </c>
      <c r="O176" s="414">
        <v>0</v>
      </c>
      <c r="P176" s="68">
        <v>759415</v>
      </c>
      <c r="Q176" s="68">
        <v>22468</v>
      </c>
      <c r="R176" s="414">
        <v>39825</v>
      </c>
      <c r="S176" s="415">
        <v>4.2833999999999994</v>
      </c>
      <c r="T176" s="415">
        <v>2.9091</v>
      </c>
      <c r="U176" s="422">
        <v>1.3743000000000001</v>
      </c>
      <c r="V176" s="423">
        <f t="shared" si="231"/>
        <v>0</v>
      </c>
      <c r="W176" s="417">
        <f t="shared" si="231"/>
        <v>0</v>
      </c>
      <c r="X176" s="417">
        <v>0</v>
      </c>
      <c r="Y176" s="417">
        <v>0</v>
      </c>
      <c r="Z176" s="417">
        <v>0</v>
      </c>
      <c r="AA176" s="417">
        <v>0</v>
      </c>
      <c r="AB176" s="417">
        <v>0</v>
      </c>
      <c r="AC176" s="417">
        <v>0</v>
      </c>
      <c r="AD176" s="417">
        <v>0</v>
      </c>
      <c r="AE176" s="417">
        <f t="shared" si="232"/>
        <v>0</v>
      </c>
      <c r="AF176" s="417">
        <f t="shared" si="233"/>
        <v>0</v>
      </c>
      <c r="AG176" s="417">
        <f t="shared" si="234"/>
        <v>0</v>
      </c>
      <c r="AH176" s="417">
        <v>0</v>
      </c>
      <c r="AI176" s="417">
        <v>0</v>
      </c>
      <c r="AJ176" s="417">
        <v>0</v>
      </c>
      <c r="AK176" s="417">
        <v>0</v>
      </c>
      <c r="AL176" s="417">
        <v>0</v>
      </c>
      <c r="AM176" s="417">
        <f t="shared" si="235"/>
        <v>0</v>
      </c>
      <c r="AN176" s="417">
        <f t="shared" si="236"/>
        <v>0</v>
      </c>
      <c r="AO176" s="417">
        <f t="shared" si="237"/>
        <v>0</v>
      </c>
      <c r="AP176" s="417">
        <f t="shared" si="238"/>
        <v>0</v>
      </c>
      <c r="AQ176" s="417">
        <f t="shared" si="238"/>
        <v>0</v>
      </c>
      <c r="AR176" s="417">
        <f t="shared" si="239"/>
        <v>0</v>
      </c>
      <c r="AS176" s="68">
        <f t="shared" si="240"/>
        <v>0</v>
      </c>
      <c r="AT176" s="68">
        <f t="shared" si="241"/>
        <v>0</v>
      </c>
      <c r="AU176" s="417">
        <v>0</v>
      </c>
      <c r="AV176" s="417">
        <v>0</v>
      </c>
      <c r="AW176" s="417">
        <v>0</v>
      </c>
      <c r="AX176" s="417">
        <f t="shared" si="242"/>
        <v>0</v>
      </c>
      <c r="AY176" s="417">
        <f t="shared" si="243"/>
        <v>0</v>
      </c>
      <c r="AZ176" s="418">
        <v>0</v>
      </c>
      <c r="BA176" s="418">
        <v>0</v>
      </c>
      <c r="BB176" s="418">
        <v>0</v>
      </c>
      <c r="BC176" s="418">
        <v>0</v>
      </c>
      <c r="BD176" s="418">
        <v>0</v>
      </c>
      <c r="BE176" s="418">
        <v>0</v>
      </c>
      <c r="BF176" s="418">
        <v>0</v>
      </c>
      <c r="BG176" s="418">
        <v>0</v>
      </c>
      <c r="BH176" s="418">
        <v>0</v>
      </c>
      <c r="BI176" s="418">
        <f t="shared" si="244"/>
        <v>0</v>
      </c>
      <c r="BJ176" s="418">
        <f t="shared" si="245"/>
        <v>0</v>
      </c>
      <c r="BK176" s="420">
        <f t="shared" si="246"/>
        <v>0</v>
      </c>
      <c r="BL176" s="772">
        <f t="shared" si="284"/>
        <v>3068496</v>
      </c>
      <c r="BM176" s="772">
        <f t="shared" si="285"/>
        <v>2246788</v>
      </c>
      <c r="BN176" s="417">
        <f t="shared" si="286"/>
        <v>1760230</v>
      </c>
      <c r="BO176" s="417">
        <f t="shared" si="286"/>
        <v>486558</v>
      </c>
      <c r="BP176" s="417">
        <f t="shared" si="287"/>
        <v>0</v>
      </c>
      <c r="BQ176" s="417">
        <f t="shared" si="288"/>
        <v>0</v>
      </c>
      <c r="BR176" s="417">
        <f t="shared" si="288"/>
        <v>0</v>
      </c>
      <c r="BS176" s="417">
        <f t="shared" si="289"/>
        <v>759415</v>
      </c>
      <c r="BT176" s="417">
        <f t="shared" si="289"/>
        <v>22468</v>
      </c>
      <c r="BU176" s="417">
        <f t="shared" si="290"/>
        <v>39825</v>
      </c>
      <c r="BV176" s="418">
        <f t="shared" si="291"/>
        <v>4.2833999999999994</v>
      </c>
      <c r="BW176" s="418">
        <f t="shared" si="292"/>
        <v>2.9091</v>
      </c>
      <c r="BX176" s="420">
        <f t="shared" si="292"/>
        <v>1.3743000000000001</v>
      </c>
      <c r="BY176" s="840"/>
      <c r="BZ176" s="717"/>
      <c r="CA176" s="717"/>
      <c r="CB176" s="717"/>
      <c r="CC176" s="717"/>
      <c r="CD176" s="822"/>
      <c r="CE176" s="1029">
        <v>217473</v>
      </c>
      <c r="CF176" s="1030">
        <v>156162</v>
      </c>
      <c r="CG176" s="1030">
        <v>52783</v>
      </c>
      <c r="CH176" s="1030">
        <v>1562</v>
      </c>
      <c r="CI176" s="1030">
        <v>6966</v>
      </c>
      <c r="CJ176" s="828">
        <v>0.44109999999999999</v>
      </c>
    </row>
    <row r="177" spans="1:88" ht="12.95" customHeight="1">
      <c r="A177" s="280">
        <v>35</v>
      </c>
      <c r="B177" s="212">
        <v>2306</v>
      </c>
      <c r="C177" s="212">
        <v>650025873</v>
      </c>
      <c r="D177" s="281">
        <v>70695946</v>
      </c>
      <c r="E177" s="211" t="s">
        <v>517</v>
      </c>
      <c r="F177" s="376">
        <v>3117</v>
      </c>
      <c r="G177" s="323" t="s">
        <v>291</v>
      </c>
      <c r="H177" s="285" t="s">
        <v>272</v>
      </c>
      <c r="I177" s="419">
        <v>319348</v>
      </c>
      <c r="J177" s="414">
        <v>236905</v>
      </c>
      <c r="K177" s="414">
        <v>236905</v>
      </c>
      <c r="L177" s="414">
        <v>0</v>
      </c>
      <c r="M177" s="414">
        <v>0</v>
      </c>
      <c r="N177" s="414">
        <v>0</v>
      </c>
      <c r="O177" s="414">
        <v>0</v>
      </c>
      <c r="P177" s="68">
        <v>80074</v>
      </c>
      <c r="Q177" s="68">
        <v>2369</v>
      </c>
      <c r="R177" s="414">
        <v>0</v>
      </c>
      <c r="S177" s="415">
        <v>0.64</v>
      </c>
      <c r="T177" s="415">
        <v>0.64</v>
      </c>
      <c r="U177" s="422">
        <v>0</v>
      </c>
      <c r="V177" s="423">
        <f t="shared" si="231"/>
        <v>0</v>
      </c>
      <c r="W177" s="417">
        <f t="shared" si="231"/>
        <v>0</v>
      </c>
      <c r="X177" s="417">
        <v>0</v>
      </c>
      <c r="Y177" s="417">
        <v>0</v>
      </c>
      <c r="Z177" s="417">
        <v>0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si="232"/>
        <v>0</v>
      </c>
      <c r="AF177" s="417">
        <f t="shared" si="233"/>
        <v>0</v>
      </c>
      <c r="AG177" s="417">
        <f t="shared" si="234"/>
        <v>0</v>
      </c>
      <c r="AH177" s="417">
        <v>0</v>
      </c>
      <c r="AI177" s="417">
        <v>0</v>
      </c>
      <c r="AJ177" s="417">
        <v>0</v>
      </c>
      <c r="AK177" s="417">
        <v>0</v>
      </c>
      <c r="AL177" s="417">
        <v>0</v>
      </c>
      <c r="AM177" s="417">
        <f t="shared" si="235"/>
        <v>0</v>
      </c>
      <c r="AN177" s="417">
        <f t="shared" si="236"/>
        <v>0</v>
      </c>
      <c r="AO177" s="417">
        <f t="shared" si="237"/>
        <v>0</v>
      </c>
      <c r="AP177" s="417">
        <f t="shared" si="238"/>
        <v>0</v>
      </c>
      <c r="AQ177" s="417">
        <f t="shared" si="238"/>
        <v>0</v>
      </c>
      <c r="AR177" s="417">
        <f t="shared" si="239"/>
        <v>0</v>
      </c>
      <c r="AS177" s="68">
        <f t="shared" si="240"/>
        <v>0</v>
      </c>
      <c r="AT177" s="68">
        <f t="shared" si="241"/>
        <v>0</v>
      </c>
      <c r="AU177" s="417">
        <v>0</v>
      </c>
      <c r="AV177" s="417">
        <v>0</v>
      </c>
      <c r="AW177" s="417">
        <v>0</v>
      </c>
      <c r="AX177" s="417">
        <f t="shared" si="242"/>
        <v>0</v>
      </c>
      <c r="AY177" s="417">
        <f t="shared" si="243"/>
        <v>0</v>
      </c>
      <c r="AZ177" s="418">
        <v>0</v>
      </c>
      <c r="BA177" s="418">
        <v>0</v>
      </c>
      <c r="BB177" s="418">
        <v>0</v>
      </c>
      <c r="BC177" s="418">
        <v>0</v>
      </c>
      <c r="BD177" s="418">
        <v>0</v>
      </c>
      <c r="BE177" s="418">
        <v>0</v>
      </c>
      <c r="BF177" s="418">
        <v>0</v>
      </c>
      <c r="BG177" s="418">
        <v>0</v>
      </c>
      <c r="BH177" s="418">
        <v>0</v>
      </c>
      <c r="BI177" s="418">
        <f t="shared" si="244"/>
        <v>0</v>
      </c>
      <c r="BJ177" s="418">
        <f t="shared" si="245"/>
        <v>0</v>
      </c>
      <c r="BK177" s="420">
        <f t="shared" si="246"/>
        <v>0</v>
      </c>
      <c r="BL177" s="772">
        <f t="shared" si="284"/>
        <v>319348</v>
      </c>
      <c r="BM177" s="772">
        <f t="shared" si="285"/>
        <v>236905</v>
      </c>
      <c r="BN177" s="417">
        <f t="shared" si="286"/>
        <v>236905</v>
      </c>
      <c r="BO177" s="417">
        <f t="shared" si="286"/>
        <v>0</v>
      </c>
      <c r="BP177" s="417">
        <f t="shared" si="287"/>
        <v>0</v>
      </c>
      <c r="BQ177" s="417">
        <f t="shared" si="288"/>
        <v>0</v>
      </c>
      <c r="BR177" s="417">
        <f t="shared" si="288"/>
        <v>0</v>
      </c>
      <c r="BS177" s="417">
        <f t="shared" si="289"/>
        <v>80074</v>
      </c>
      <c r="BT177" s="417">
        <f t="shared" si="289"/>
        <v>2369</v>
      </c>
      <c r="BU177" s="417">
        <f t="shared" si="290"/>
        <v>0</v>
      </c>
      <c r="BV177" s="418">
        <f t="shared" si="291"/>
        <v>0.64</v>
      </c>
      <c r="BW177" s="418">
        <f t="shared" si="292"/>
        <v>0.64</v>
      </c>
      <c r="BX177" s="420">
        <f t="shared" si="292"/>
        <v>0</v>
      </c>
      <c r="BY177" s="840"/>
      <c r="BZ177" s="717"/>
      <c r="CA177" s="717"/>
      <c r="CB177" s="717"/>
      <c r="CC177" s="717"/>
      <c r="CD177" s="822"/>
      <c r="CE177" s="1029"/>
      <c r="CF177" s="1030"/>
      <c r="CG177" s="1030"/>
      <c r="CH177" s="1030"/>
      <c r="CI177" s="1030"/>
      <c r="CJ177" s="828"/>
    </row>
    <row r="178" spans="1:88" ht="12.95" customHeight="1">
      <c r="A178" s="280">
        <v>35</v>
      </c>
      <c r="B178" s="212">
        <v>2306</v>
      </c>
      <c r="C178" s="212">
        <v>650025873</v>
      </c>
      <c r="D178" s="281">
        <v>70695946</v>
      </c>
      <c r="E178" s="371" t="s">
        <v>517</v>
      </c>
      <c r="F178" s="382">
        <v>3141</v>
      </c>
      <c r="G178" s="373" t="s">
        <v>294</v>
      </c>
      <c r="H178" s="285" t="s">
        <v>272</v>
      </c>
      <c r="I178" s="419">
        <v>917858</v>
      </c>
      <c r="J178" s="414">
        <v>678357</v>
      </c>
      <c r="K178" s="414">
        <v>0</v>
      </c>
      <c r="L178" s="414">
        <v>678357</v>
      </c>
      <c r="M178" s="414">
        <v>0</v>
      </c>
      <c r="N178" s="414">
        <v>0</v>
      </c>
      <c r="O178" s="414">
        <v>0</v>
      </c>
      <c r="P178" s="68">
        <v>229285</v>
      </c>
      <c r="Q178" s="68">
        <v>6784</v>
      </c>
      <c r="R178" s="414">
        <v>3432</v>
      </c>
      <c r="S178" s="415">
        <v>2.0333000000000001</v>
      </c>
      <c r="T178" s="415">
        <v>0</v>
      </c>
      <c r="U178" s="422">
        <v>2.0333000000000001</v>
      </c>
      <c r="V178" s="423">
        <f t="shared" si="231"/>
        <v>0</v>
      </c>
      <c r="W178" s="417">
        <f t="shared" si="231"/>
        <v>0</v>
      </c>
      <c r="X178" s="417">
        <v>0</v>
      </c>
      <c r="Y178" s="417">
        <v>0</v>
      </c>
      <c r="Z178" s="417">
        <v>0</v>
      </c>
      <c r="AA178" s="417">
        <v>-2330</v>
      </c>
      <c r="AB178" s="417">
        <v>0</v>
      </c>
      <c r="AC178" s="417">
        <v>0</v>
      </c>
      <c r="AD178" s="417">
        <v>0</v>
      </c>
      <c r="AE178" s="417">
        <f t="shared" si="232"/>
        <v>0</v>
      </c>
      <c r="AF178" s="417">
        <f t="shared" si="233"/>
        <v>-2330</v>
      </c>
      <c r="AG178" s="417">
        <f t="shared" si="234"/>
        <v>-2330</v>
      </c>
      <c r="AH178" s="417">
        <v>0</v>
      </c>
      <c r="AI178" s="417">
        <v>0</v>
      </c>
      <c r="AJ178" s="417">
        <v>0</v>
      </c>
      <c r="AK178" s="417">
        <v>0</v>
      </c>
      <c r="AL178" s="417">
        <v>0</v>
      </c>
      <c r="AM178" s="417">
        <f t="shared" si="235"/>
        <v>0</v>
      </c>
      <c r="AN178" s="417">
        <f t="shared" si="236"/>
        <v>0</v>
      </c>
      <c r="AO178" s="417">
        <f t="shared" si="237"/>
        <v>0</v>
      </c>
      <c r="AP178" s="417">
        <f t="shared" si="238"/>
        <v>0</v>
      </c>
      <c r="AQ178" s="417">
        <f t="shared" si="238"/>
        <v>-2330</v>
      </c>
      <c r="AR178" s="417">
        <f t="shared" si="239"/>
        <v>-2330</v>
      </c>
      <c r="AS178" s="68">
        <f t="shared" si="240"/>
        <v>-788</v>
      </c>
      <c r="AT178" s="68">
        <f t="shared" si="241"/>
        <v>-23</v>
      </c>
      <c r="AU178" s="417">
        <v>0</v>
      </c>
      <c r="AV178" s="417">
        <v>0</v>
      </c>
      <c r="AW178" s="417">
        <v>0</v>
      </c>
      <c r="AX178" s="417">
        <f t="shared" si="242"/>
        <v>0</v>
      </c>
      <c r="AY178" s="417">
        <f t="shared" si="243"/>
        <v>-3141</v>
      </c>
      <c r="AZ178" s="418">
        <v>0</v>
      </c>
      <c r="BA178" s="418">
        <v>0</v>
      </c>
      <c r="BB178" s="418">
        <v>0</v>
      </c>
      <c r="BC178" s="418">
        <v>0</v>
      </c>
      <c r="BD178" s="418">
        <v>-0.01</v>
      </c>
      <c r="BE178" s="418">
        <v>0</v>
      </c>
      <c r="BF178" s="418">
        <v>0</v>
      </c>
      <c r="BG178" s="418">
        <v>0</v>
      </c>
      <c r="BH178" s="418">
        <v>0</v>
      </c>
      <c r="BI178" s="418">
        <f t="shared" si="244"/>
        <v>0</v>
      </c>
      <c r="BJ178" s="418">
        <f t="shared" si="245"/>
        <v>-0.01</v>
      </c>
      <c r="BK178" s="420">
        <f t="shared" si="246"/>
        <v>-0.01</v>
      </c>
      <c r="BL178" s="772">
        <f t="shared" si="284"/>
        <v>914717</v>
      </c>
      <c r="BM178" s="772">
        <f t="shared" si="285"/>
        <v>676027</v>
      </c>
      <c r="BN178" s="417">
        <f t="shared" si="286"/>
        <v>0</v>
      </c>
      <c r="BO178" s="417">
        <f t="shared" si="286"/>
        <v>676027</v>
      </c>
      <c r="BP178" s="417">
        <f t="shared" si="287"/>
        <v>0</v>
      </c>
      <c r="BQ178" s="417">
        <f t="shared" si="288"/>
        <v>0</v>
      </c>
      <c r="BR178" s="417">
        <f t="shared" si="288"/>
        <v>0</v>
      </c>
      <c r="BS178" s="417">
        <f t="shared" si="289"/>
        <v>228497</v>
      </c>
      <c r="BT178" s="417">
        <f t="shared" si="289"/>
        <v>6761</v>
      </c>
      <c r="BU178" s="417">
        <f t="shared" si="290"/>
        <v>3432</v>
      </c>
      <c r="BV178" s="418">
        <f t="shared" si="291"/>
        <v>2.0233000000000003</v>
      </c>
      <c r="BW178" s="418">
        <f t="shared" si="292"/>
        <v>0</v>
      </c>
      <c r="BX178" s="420">
        <f t="shared" si="292"/>
        <v>2.0233000000000003</v>
      </c>
      <c r="BY178" s="840"/>
      <c r="BZ178" s="717"/>
      <c r="CA178" s="717"/>
      <c r="CB178" s="717"/>
      <c r="CC178" s="717"/>
      <c r="CD178" s="822"/>
      <c r="CE178" s="1029"/>
      <c r="CF178" s="1030"/>
      <c r="CG178" s="1030"/>
      <c r="CH178" s="1030"/>
      <c r="CI178" s="1030"/>
      <c r="CJ178" s="828"/>
    </row>
    <row r="179" spans="1:88" ht="12.95" customHeight="1">
      <c r="A179" s="280">
        <v>35</v>
      </c>
      <c r="B179" s="212">
        <v>2306</v>
      </c>
      <c r="C179" s="212">
        <v>650025873</v>
      </c>
      <c r="D179" s="281">
        <v>70695946</v>
      </c>
      <c r="E179" s="211" t="s">
        <v>517</v>
      </c>
      <c r="F179" s="212">
        <v>3143</v>
      </c>
      <c r="G179" s="323" t="s">
        <v>595</v>
      </c>
      <c r="H179" s="285" t="s">
        <v>271</v>
      </c>
      <c r="I179" s="419">
        <v>766407</v>
      </c>
      <c r="J179" s="414">
        <v>568551</v>
      </c>
      <c r="K179" s="414">
        <v>568551</v>
      </c>
      <c r="L179" s="414">
        <v>0</v>
      </c>
      <c r="M179" s="414">
        <v>0</v>
      </c>
      <c r="N179" s="414">
        <v>0</v>
      </c>
      <c r="O179" s="414">
        <v>0</v>
      </c>
      <c r="P179" s="68">
        <v>192170</v>
      </c>
      <c r="Q179" s="68">
        <v>5686</v>
      </c>
      <c r="R179" s="414">
        <v>0</v>
      </c>
      <c r="S179" s="415">
        <v>1.1341000000000001</v>
      </c>
      <c r="T179" s="415">
        <v>1.1341000000000001</v>
      </c>
      <c r="U179" s="422">
        <v>0</v>
      </c>
      <c r="V179" s="423">
        <f t="shared" si="231"/>
        <v>0</v>
      </c>
      <c r="W179" s="417">
        <f t="shared" si="231"/>
        <v>0</v>
      </c>
      <c r="X179" s="417">
        <v>0</v>
      </c>
      <c r="Y179" s="417">
        <v>0</v>
      </c>
      <c r="Z179" s="417">
        <v>0</v>
      </c>
      <c r="AA179" s="417">
        <v>0</v>
      </c>
      <c r="AB179" s="417">
        <v>0</v>
      </c>
      <c r="AC179" s="417">
        <v>0</v>
      </c>
      <c r="AD179" s="417">
        <v>0</v>
      </c>
      <c r="AE179" s="417">
        <f t="shared" si="232"/>
        <v>0</v>
      </c>
      <c r="AF179" s="417">
        <f t="shared" si="233"/>
        <v>0</v>
      </c>
      <c r="AG179" s="417">
        <f t="shared" si="234"/>
        <v>0</v>
      </c>
      <c r="AH179" s="417">
        <v>0</v>
      </c>
      <c r="AI179" s="417">
        <v>0</v>
      </c>
      <c r="AJ179" s="417">
        <v>0</v>
      </c>
      <c r="AK179" s="417">
        <v>0</v>
      </c>
      <c r="AL179" s="417">
        <v>0</v>
      </c>
      <c r="AM179" s="417">
        <f t="shared" si="235"/>
        <v>0</v>
      </c>
      <c r="AN179" s="417">
        <f t="shared" si="236"/>
        <v>0</v>
      </c>
      <c r="AO179" s="417">
        <f t="shared" si="237"/>
        <v>0</v>
      </c>
      <c r="AP179" s="417">
        <f t="shared" si="238"/>
        <v>0</v>
      </c>
      <c r="AQ179" s="417">
        <f t="shared" si="238"/>
        <v>0</v>
      </c>
      <c r="AR179" s="417">
        <f t="shared" si="239"/>
        <v>0</v>
      </c>
      <c r="AS179" s="68">
        <f t="shared" si="240"/>
        <v>0</v>
      </c>
      <c r="AT179" s="68">
        <f t="shared" si="241"/>
        <v>0</v>
      </c>
      <c r="AU179" s="417">
        <v>0</v>
      </c>
      <c r="AV179" s="417">
        <v>0</v>
      </c>
      <c r="AW179" s="417">
        <v>0</v>
      </c>
      <c r="AX179" s="417">
        <f t="shared" si="242"/>
        <v>0</v>
      </c>
      <c r="AY179" s="417">
        <f t="shared" si="243"/>
        <v>0</v>
      </c>
      <c r="AZ179" s="418">
        <v>0</v>
      </c>
      <c r="BA179" s="418">
        <v>0</v>
      </c>
      <c r="BB179" s="418">
        <v>0</v>
      </c>
      <c r="BC179" s="418">
        <v>0</v>
      </c>
      <c r="BD179" s="418">
        <v>0</v>
      </c>
      <c r="BE179" s="418">
        <v>0</v>
      </c>
      <c r="BF179" s="418">
        <v>0</v>
      </c>
      <c r="BG179" s="418">
        <v>0</v>
      </c>
      <c r="BH179" s="418">
        <v>0</v>
      </c>
      <c r="BI179" s="418">
        <f t="shared" si="244"/>
        <v>0</v>
      </c>
      <c r="BJ179" s="418">
        <f t="shared" si="245"/>
        <v>0</v>
      </c>
      <c r="BK179" s="420">
        <f t="shared" si="246"/>
        <v>0</v>
      </c>
      <c r="BL179" s="772">
        <f t="shared" si="284"/>
        <v>766407</v>
      </c>
      <c r="BM179" s="772">
        <f t="shared" si="285"/>
        <v>568551</v>
      </c>
      <c r="BN179" s="417">
        <f t="shared" si="286"/>
        <v>568551</v>
      </c>
      <c r="BO179" s="417">
        <f t="shared" si="286"/>
        <v>0</v>
      </c>
      <c r="BP179" s="417">
        <f t="shared" si="287"/>
        <v>0</v>
      </c>
      <c r="BQ179" s="417">
        <f t="shared" si="288"/>
        <v>0</v>
      </c>
      <c r="BR179" s="417">
        <f t="shared" si="288"/>
        <v>0</v>
      </c>
      <c r="BS179" s="417">
        <f t="shared" si="289"/>
        <v>192170</v>
      </c>
      <c r="BT179" s="417">
        <f t="shared" si="289"/>
        <v>5686</v>
      </c>
      <c r="BU179" s="417">
        <f t="shared" si="290"/>
        <v>0</v>
      </c>
      <c r="BV179" s="418">
        <f t="shared" si="291"/>
        <v>1.1341000000000001</v>
      </c>
      <c r="BW179" s="418">
        <f t="shared" si="292"/>
        <v>1.1341000000000001</v>
      </c>
      <c r="BX179" s="420">
        <f t="shared" si="292"/>
        <v>0</v>
      </c>
      <c r="BY179" s="840"/>
      <c r="BZ179" s="717"/>
      <c r="CA179" s="717"/>
      <c r="CB179" s="717"/>
      <c r="CC179" s="717"/>
      <c r="CD179" s="822"/>
      <c r="CE179" s="1029"/>
      <c r="CF179" s="1030"/>
      <c r="CG179" s="1030"/>
      <c r="CH179" s="1030"/>
      <c r="CI179" s="1030"/>
      <c r="CJ179" s="828"/>
    </row>
    <row r="180" spans="1:88" ht="12.95" customHeight="1">
      <c r="A180" s="280">
        <v>35</v>
      </c>
      <c r="B180" s="212">
        <v>2306</v>
      </c>
      <c r="C180" s="212">
        <v>650025873</v>
      </c>
      <c r="D180" s="281">
        <v>70695946</v>
      </c>
      <c r="E180" s="211" t="s">
        <v>517</v>
      </c>
      <c r="F180" s="212">
        <v>3143</v>
      </c>
      <c r="G180" s="323" t="s">
        <v>596</v>
      </c>
      <c r="H180" s="285" t="s">
        <v>272</v>
      </c>
      <c r="I180" s="419">
        <v>20747</v>
      </c>
      <c r="J180" s="414">
        <v>14850</v>
      </c>
      <c r="K180" s="414">
        <v>0</v>
      </c>
      <c r="L180" s="414">
        <v>14850</v>
      </c>
      <c r="M180" s="414">
        <v>0</v>
      </c>
      <c r="N180" s="414">
        <v>0</v>
      </c>
      <c r="O180" s="414">
        <v>0</v>
      </c>
      <c r="P180" s="68">
        <v>5019</v>
      </c>
      <c r="Q180" s="68">
        <v>149</v>
      </c>
      <c r="R180" s="414">
        <v>729</v>
      </c>
      <c r="S180" s="415">
        <v>5.7499999999999996E-2</v>
      </c>
      <c r="T180" s="415">
        <v>0</v>
      </c>
      <c r="U180" s="422">
        <v>5.7499999999999996E-2</v>
      </c>
      <c r="V180" s="423">
        <f t="shared" si="231"/>
        <v>0</v>
      </c>
      <c r="W180" s="417">
        <f t="shared" si="231"/>
        <v>0</v>
      </c>
      <c r="X180" s="417">
        <v>0</v>
      </c>
      <c r="Y180" s="417">
        <v>0</v>
      </c>
      <c r="Z180" s="417">
        <v>0</v>
      </c>
      <c r="AA180" s="417">
        <v>0</v>
      </c>
      <c r="AB180" s="417">
        <v>0</v>
      </c>
      <c r="AC180" s="417">
        <v>0</v>
      </c>
      <c r="AD180" s="417">
        <v>0</v>
      </c>
      <c r="AE180" s="417">
        <f t="shared" si="232"/>
        <v>0</v>
      </c>
      <c r="AF180" s="417">
        <f t="shared" si="233"/>
        <v>0</v>
      </c>
      <c r="AG180" s="417">
        <f t="shared" si="234"/>
        <v>0</v>
      </c>
      <c r="AH180" s="417">
        <v>0</v>
      </c>
      <c r="AI180" s="417">
        <v>0</v>
      </c>
      <c r="AJ180" s="417">
        <v>0</v>
      </c>
      <c r="AK180" s="417">
        <v>0</v>
      </c>
      <c r="AL180" s="417">
        <v>0</v>
      </c>
      <c r="AM180" s="417">
        <f t="shared" si="235"/>
        <v>0</v>
      </c>
      <c r="AN180" s="417">
        <f t="shared" si="236"/>
        <v>0</v>
      </c>
      <c r="AO180" s="417">
        <f t="shared" si="237"/>
        <v>0</v>
      </c>
      <c r="AP180" s="417">
        <f t="shared" si="238"/>
        <v>0</v>
      </c>
      <c r="AQ180" s="417">
        <f t="shared" si="238"/>
        <v>0</v>
      </c>
      <c r="AR180" s="417">
        <f t="shared" si="239"/>
        <v>0</v>
      </c>
      <c r="AS180" s="68">
        <f t="shared" si="240"/>
        <v>0</v>
      </c>
      <c r="AT180" s="68">
        <f t="shared" si="241"/>
        <v>0</v>
      </c>
      <c r="AU180" s="417">
        <v>0</v>
      </c>
      <c r="AV180" s="417">
        <v>0</v>
      </c>
      <c r="AW180" s="417">
        <v>0</v>
      </c>
      <c r="AX180" s="417">
        <f t="shared" si="242"/>
        <v>0</v>
      </c>
      <c r="AY180" s="417">
        <f t="shared" si="243"/>
        <v>0</v>
      </c>
      <c r="AZ180" s="418">
        <v>0</v>
      </c>
      <c r="BA180" s="418">
        <v>0</v>
      </c>
      <c r="BB180" s="418">
        <v>0</v>
      </c>
      <c r="BC180" s="418">
        <v>0</v>
      </c>
      <c r="BD180" s="418">
        <v>0</v>
      </c>
      <c r="BE180" s="418">
        <v>0</v>
      </c>
      <c r="BF180" s="418">
        <v>0</v>
      </c>
      <c r="BG180" s="418">
        <v>0</v>
      </c>
      <c r="BH180" s="418">
        <v>0</v>
      </c>
      <c r="BI180" s="418">
        <f t="shared" si="244"/>
        <v>0</v>
      </c>
      <c r="BJ180" s="418">
        <f t="shared" si="245"/>
        <v>0</v>
      </c>
      <c r="BK180" s="420">
        <f t="shared" si="246"/>
        <v>0</v>
      </c>
      <c r="BL180" s="772">
        <f t="shared" si="284"/>
        <v>20747</v>
      </c>
      <c r="BM180" s="772">
        <f t="shared" si="285"/>
        <v>14850</v>
      </c>
      <c r="BN180" s="417">
        <f t="shared" si="286"/>
        <v>0</v>
      </c>
      <c r="BO180" s="417">
        <f t="shared" si="286"/>
        <v>14850</v>
      </c>
      <c r="BP180" s="417">
        <f t="shared" si="287"/>
        <v>0</v>
      </c>
      <c r="BQ180" s="417">
        <f t="shared" si="288"/>
        <v>0</v>
      </c>
      <c r="BR180" s="417">
        <f t="shared" si="288"/>
        <v>0</v>
      </c>
      <c r="BS180" s="417">
        <f t="shared" si="289"/>
        <v>5019</v>
      </c>
      <c r="BT180" s="417">
        <f t="shared" si="289"/>
        <v>149</v>
      </c>
      <c r="BU180" s="417">
        <f t="shared" si="290"/>
        <v>729</v>
      </c>
      <c r="BV180" s="418">
        <f t="shared" si="291"/>
        <v>5.7499999999999996E-2</v>
      </c>
      <c r="BW180" s="418">
        <f t="shared" si="292"/>
        <v>0</v>
      </c>
      <c r="BX180" s="420">
        <f t="shared" si="292"/>
        <v>5.7499999999999996E-2</v>
      </c>
      <c r="BY180" s="840"/>
      <c r="BZ180" s="717"/>
      <c r="CA180" s="717"/>
      <c r="CB180" s="717"/>
      <c r="CC180" s="717"/>
      <c r="CD180" s="822"/>
      <c r="CE180" s="1029"/>
      <c r="CF180" s="1030"/>
      <c r="CG180" s="1030"/>
      <c r="CH180" s="1030"/>
      <c r="CI180" s="1030"/>
      <c r="CJ180" s="828"/>
    </row>
    <row r="181" spans="1:88" ht="12.95" customHeight="1">
      <c r="A181" s="214">
        <v>35</v>
      </c>
      <c r="B181" s="45">
        <v>2306</v>
      </c>
      <c r="C181" s="45">
        <v>650025873</v>
      </c>
      <c r="D181" s="45">
        <v>70695946</v>
      </c>
      <c r="E181" s="374" t="s">
        <v>518</v>
      </c>
      <c r="F181" s="45"/>
      <c r="G181" s="374"/>
      <c r="H181" s="182"/>
      <c r="I181" s="464">
        <v>8214216</v>
      </c>
      <c r="J181" s="460">
        <v>6049725</v>
      </c>
      <c r="K181" s="460">
        <v>4693542</v>
      </c>
      <c r="L181" s="460">
        <v>1356183</v>
      </c>
      <c r="M181" s="460">
        <v>0</v>
      </c>
      <c r="N181" s="460">
        <v>0</v>
      </c>
      <c r="O181" s="460">
        <v>0</v>
      </c>
      <c r="P181" s="460">
        <v>2044807</v>
      </c>
      <c r="Q181" s="460">
        <v>60498</v>
      </c>
      <c r="R181" s="460">
        <v>59186</v>
      </c>
      <c r="S181" s="461">
        <v>12.5809</v>
      </c>
      <c r="T181" s="461">
        <v>8.4089999999999989</v>
      </c>
      <c r="U181" s="534">
        <v>4.1718999999999999</v>
      </c>
      <c r="V181" s="464">
        <f t="shared" ref="V181:BK181" si="293">SUM(V175:V180)</f>
        <v>0</v>
      </c>
      <c r="W181" s="460">
        <f t="shared" si="293"/>
        <v>0</v>
      </c>
      <c r="X181" s="460">
        <f t="shared" si="293"/>
        <v>0</v>
      </c>
      <c r="Y181" s="460">
        <f t="shared" si="293"/>
        <v>0</v>
      </c>
      <c r="Z181" s="460">
        <f t="shared" si="293"/>
        <v>0</v>
      </c>
      <c r="AA181" s="460">
        <f t="shared" si="293"/>
        <v>-2330</v>
      </c>
      <c r="AB181" s="460">
        <f t="shared" si="293"/>
        <v>0</v>
      </c>
      <c r="AC181" s="460">
        <f t="shared" si="293"/>
        <v>0</v>
      </c>
      <c r="AD181" s="460">
        <f t="shared" si="293"/>
        <v>0</v>
      </c>
      <c r="AE181" s="460">
        <f t="shared" si="293"/>
        <v>0</v>
      </c>
      <c r="AF181" s="460">
        <f t="shared" si="293"/>
        <v>-2330</v>
      </c>
      <c r="AG181" s="460">
        <f t="shared" si="293"/>
        <v>-2330</v>
      </c>
      <c r="AH181" s="460">
        <f t="shared" si="293"/>
        <v>0</v>
      </c>
      <c r="AI181" s="460">
        <f t="shared" si="293"/>
        <v>0</v>
      </c>
      <c r="AJ181" s="460">
        <f t="shared" si="293"/>
        <v>0</v>
      </c>
      <c r="AK181" s="460">
        <f t="shared" si="293"/>
        <v>0</v>
      </c>
      <c r="AL181" s="460">
        <f t="shared" si="293"/>
        <v>0</v>
      </c>
      <c r="AM181" s="460">
        <f t="shared" si="293"/>
        <v>0</v>
      </c>
      <c r="AN181" s="460">
        <f t="shared" si="293"/>
        <v>0</v>
      </c>
      <c r="AO181" s="460">
        <f t="shared" si="293"/>
        <v>0</v>
      </c>
      <c r="AP181" s="460">
        <f t="shared" si="293"/>
        <v>0</v>
      </c>
      <c r="AQ181" s="460">
        <f t="shared" si="293"/>
        <v>-2330</v>
      </c>
      <c r="AR181" s="460">
        <f t="shared" si="293"/>
        <v>-2330</v>
      </c>
      <c r="AS181" s="460">
        <f t="shared" si="293"/>
        <v>-788</v>
      </c>
      <c r="AT181" s="460">
        <f t="shared" si="293"/>
        <v>-23</v>
      </c>
      <c r="AU181" s="460">
        <f t="shared" si="293"/>
        <v>0</v>
      </c>
      <c r="AV181" s="460">
        <f t="shared" si="293"/>
        <v>0</v>
      </c>
      <c r="AW181" s="460">
        <f t="shared" si="293"/>
        <v>0</v>
      </c>
      <c r="AX181" s="460">
        <f t="shared" si="293"/>
        <v>0</v>
      </c>
      <c r="AY181" s="460">
        <f t="shared" si="293"/>
        <v>-3141</v>
      </c>
      <c r="AZ181" s="461">
        <f t="shared" si="293"/>
        <v>0</v>
      </c>
      <c r="BA181" s="461">
        <f t="shared" si="293"/>
        <v>0</v>
      </c>
      <c r="BB181" s="461">
        <f t="shared" si="293"/>
        <v>0</v>
      </c>
      <c r="BC181" s="461">
        <f t="shared" si="293"/>
        <v>0</v>
      </c>
      <c r="BD181" s="461">
        <f t="shared" si="293"/>
        <v>-0.01</v>
      </c>
      <c r="BE181" s="461">
        <f t="shared" si="293"/>
        <v>0</v>
      </c>
      <c r="BF181" s="461">
        <f t="shared" si="293"/>
        <v>0</v>
      </c>
      <c r="BG181" s="461">
        <f t="shared" si="293"/>
        <v>0</v>
      </c>
      <c r="BH181" s="461">
        <f t="shared" si="293"/>
        <v>0</v>
      </c>
      <c r="BI181" s="461">
        <f t="shared" si="293"/>
        <v>0</v>
      </c>
      <c r="BJ181" s="461">
        <f t="shared" si="293"/>
        <v>-0.01</v>
      </c>
      <c r="BK181" s="279">
        <f t="shared" si="293"/>
        <v>-0.01</v>
      </c>
      <c r="BL181" s="1075">
        <f t="shared" ref="BL181:CG181" si="294">SUM(BL175:BL180)</f>
        <v>8211075</v>
      </c>
      <c r="BM181" s="1075">
        <f t="shared" si="294"/>
        <v>6047395</v>
      </c>
      <c r="BN181" s="460">
        <f t="shared" si="294"/>
        <v>4693542</v>
      </c>
      <c r="BO181" s="460">
        <f t="shared" si="294"/>
        <v>1353853</v>
      </c>
      <c r="BP181" s="460">
        <f t="shared" si="294"/>
        <v>0</v>
      </c>
      <c r="BQ181" s="460">
        <f t="shared" si="294"/>
        <v>0</v>
      </c>
      <c r="BR181" s="460">
        <f t="shared" si="294"/>
        <v>0</v>
      </c>
      <c r="BS181" s="460">
        <f t="shared" si="294"/>
        <v>2044019</v>
      </c>
      <c r="BT181" s="460">
        <f t="shared" si="294"/>
        <v>60475</v>
      </c>
      <c r="BU181" s="460">
        <f t="shared" si="294"/>
        <v>59186</v>
      </c>
      <c r="BV181" s="461">
        <f t="shared" si="294"/>
        <v>12.5709</v>
      </c>
      <c r="BW181" s="461">
        <f t="shared" si="294"/>
        <v>8.4089999999999989</v>
      </c>
      <c r="BX181" s="279">
        <f t="shared" si="294"/>
        <v>4.1619000000000002</v>
      </c>
      <c r="BY181" s="940">
        <f t="shared" si="294"/>
        <v>0</v>
      </c>
      <c r="BZ181" s="707">
        <f t="shared" si="294"/>
        <v>0</v>
      </c>
      <c r="CA181" s="707">
        <f t="shared" si="294"/>
        <v>0</v>
      </c>
      <c r="CB181" s="707">
        <f t="shared" si="294"/>
        <v>0</v>
      </c>
      <c r="CC181" s="707">
        <f t="shared" si="294"/>
        <v>0</v>
      </c>
      <c r="CD181" s="819">
        <f t="shared" si="294"/>
        <v>0</v>
      </c>
      <c r="CE181" s="1024">
        <f t="shared" si="294"/>
        <v>298837</v>
      </c>
      <c r="CF181" s="1024">
        <f t="shared" si="294"/>
        <v>212772</v>
      </c>
      <c r="CG181" s="1024">
        <f t="shared" si="294"/>
        <v>71917</v>
      </c>
      <c r="CH181" s="1024">
        <f t="shared" ref="CH181:CJ181" si="295">SUM(CH175:CH180)</f>
        <v>2128</v>
      </c>
      <c r="CI181" s="1024">
        <f t="shared" si="295"/>
        <v>12020</v>
      </c>
      <c r="CJ181" s="933">
        <f t="shared" si="295"/>
        <v>0.66789999999999994</v>
      </c>
    </row>
    <row r="182" spans="1:88" ht="12.95" customHeight="1">
      <c r="A182" s="280">
        <v>36</v>
      </c>
      <c r="B182" s="381">
        <v>2447</v>
      </c>
      <c r="C182" s="381">
        <v>600080111</v>
      </c>
      <c r="D182" s="281">
        <v>72744961</v>
      </c>
      <c r="E182" s="389" t="s">
        <v>519</v>
      </c>
      <c r="F182" s="381">
        <v>3117</v>
      </c>
      <c r="G182" s="372" t="s">
        <v>308</v>
      </c>
      <c r="H182" s="285" t="s">
        <v>271</v>
      </c>
      <c r="I182" s="419">
        <v>3261775</v>
      </c>
      <c r="J182" s="414">
        <v>2378135</v>
      </c>
      <c r="K182" s="414">
        <v>2040871</v>
      </c>
      <c r="L182" s="414">
        <v>337264</v>
      </c>
      <c r="M182" s="414">
        <v>0</v>
      </c>
      <c r="N182" s="414">
        <v>0</v>
      </c>
      <c r="O182" s="414">
        <v>0</v>
      </c>
      <c r="P182" s="68">
        <v>803809</v>
      </c>
      <c r="Q182" s="68">
        <v>23781</v>
      </c>
      <c r="R182" s="414">
        <v>56050</v>
      </c>
      <c r="S182" s="415">
        <v>4.0926</v>
      </c>
      <c r="T182" s="415">
        <v>3.2229999999999999</v>
      </c>
      <c r="U182" s="422">
        <v>0.86960000000000004</v>
      </c>
      <c r="V182" s="423">
        <f t="shared" si="231"/>
        <v>0</v>
      </c>
      <c r="W182" s="417">
        <f t="shared" si="231"/>
        <v>0</v>
      </c>
      <c r="X182" s="417">
        <v>0</v>
      </c>
      <c r="Y182" s="417">
        <v>0</v>
      </c>
      <c r="Z182" s="417">
        <v>0</v>
      </c>
      <c r="AA182" s="417">
        <v>0</v>
      </c>
      <c r="AB182" s="417">
        <v>0</v>
      </c>
      <c r="AC182" s="417">
        <v>0</v>
      </c>
      <c r="AD182" s="417">
        <v>0</v>
      </c>
      <c r="AE182" s="417">
        <f t="shared" si="232"/>
        <v>0</v>
      </c>
      <c r="AF182" s="417">
        <f t="shared" si="233"/>
        <v>0</v>
      </c>
      <c r="AG182" s="417">
        <f t="shared" si="234"/>
        <v>0</v>
      </c>
      <c r="AH182" s="417">
        <v>0</v>
      </c>
      <c r="AI182" s="417">
        <v>0</v>
      </c>
      <c r="AJ182" s="417">
        <v>0</v>
      </c>
      <c r="AK182" s="417">
        <v>0</v>
      </c>
      <c r="AL182" s="417">
        <v>0</v>
      </c>
      <c r="AM182" s="417">
        <f t="shared" si="235"/>
        <v>0</v>
      </c>
      <c r="AN182" s="417">
        <f t="shared" si="236"/>
        <v>0</v>
      </c>
      <c r="AO182" s="417">
        <f t="shared" si="237"/>
        <v>0</v>
      </c>
      <c r="AP182" s="417">
        <f t="shared" si="238"/>
        <v>0</v>
      </c>
      <c r="AQ182" s="417">
        <f t="shared" si="238"/>
        <v>0</v>
      </c>
      <c r="AR182" s="417">
        <f t="shared" si="239"/>
        <v>0</v>
      </c>
      <c r="AS182" s="68">
        <f t="shared" si="240"/>
        <v>0</v>
      </c>
      <c r="AT182" s="68">
        <f t="shared" si="241"/>
        <v>0</v>
      </c>
      <c r="AU182" s="417">
        <v>0</v>
      </c>
      <c r="AV182" s="417">
        <v>0</v>
      </c>
      <c r="AW182" s="417">
        <v>0</v>
      </c>
      <c r="AX182" s="417">
        <f t="shared" si="242"/>
        <v>0</v>
      </c>
      <c r="AY182" s="417">
        <f t="shared" si="243"/>
        <v>0</v>
      </c>
      <c r="AZ182" s="418">
        <v>0</v>
      </c>
      <c r="BA182" s="418">
        <v>0</v>
      </c>
      <c r="BB182" s="418">
        <v>0</v>
      </c>
      <c r="BC182" s="418">
        <v>0</v>
      </c>
      <c r="BD182" s="418">
        <v>0</v>
      </c>
      <c r="BE182" s="418">
        <v>0</v>
      </c>
      <c r="BF182" s="418">
        <v>0</v>
      </c>
      <c r="BG182" s="418">
        <v>0</v>
      </c>
      <c r="BH182" s="418">
        <v>0</v>
      </c>
      <c r="BI182" s="418">
        <f t="shared" si="244"/>
        <v>0</v>
      </c>
      <c r="BJ182" s="418">
        <f t="shared" si="245"/>
        <v>0</v>
      </c>
      <c r="BK182" s="420">
        <f t="shared" si="246"/>
        <v>0</v>
      </c>
      <c r="BL182" s="772">
        <f>I182+AY182</f>
        <v>3261775</v>
      </c>
      <c r="BM182" s="772">
        <f>J182+AG182</f>
        <v>2378135</v>
      </c>
      <c r="BN182" s="417">
        <f t="shared" ref="BN182:BO186" si="296">K182+AE182</f>
        <v>2040871</v>
      </c>
      <c r="BO182" s="417">
        <f t="shared" si="296"/>
        <v>337264</v>
      </c>
      <c r="BP182" s="417">
        <f>M182+AO182</f>
        <v>0</v>
      </c>
      <c r="BQ182" s="417">
        <f t="shared" ref="BQ182:BR186" si="297">N182+AM182</f>
        <v>0</v>
      </c>
      <c r="BR182" s="417">
        <f t="shared" si="297"/>
        <v>0</v>
      </c>
      <c r="BS182" s="417">
        <f t="shared" ref="BS182:BT186" si="298">P182+AS182</f>
        <v>803809</v>
      </c>
      <c r="BT182" s="417">
        <f t="shared" si="298"/>
        <v>23781</v>
      </c>
      <c r="BU182" s="417">
        <f>R182+AX182</f>
        <v>56050</v>
      </c>
      <c r="BV182" s="418">
        <f>S182+BK182</f>
        <v>4.0926</v>
      </c>
      <c r="BW182" s="418">
        <f t="shared" ref="BW182:BX186" si="299">T182+BI182</f>
        <v>3.2229999999999999</v>
      </c>
      <c r="BX182" s="420">
        <f t="shared" si="299"/>
        <v>0.86960000000000004</v>
      </c>
      <c r="BY182" s="840"/>
      <c r="BZ182" s="717"/>
      <c r="CA182" s="717"/>
      <c r="CB182" s="717"/>
      <c r="CC182" s="717"/>
      <c r="CD182" s="822"/>
      <c r="CE182" s="1029">
        <v>155751</v>
      </c>
      <c r="CF182" s="1030">
        <v>108269</v>
      </c>
      <c r="CG182" s="1030">
        <v>36595</v>
      </c>
      <c r="CH182" s="1030">
        <v>1083</v>
      </c>
      <c r="CI182" s="1030">
        <v>9804</v>
      </c>
      <c r="CJ182" s="828">
        <v>0.2792</v>
      </c>
    </row>
    <row r="183" spans="1:88" ht="12.95" customHeight="1">
      <c r="A183" s="280">
        <v>36</v>
      </c>
      <c r="B183" s="376">
        <v>2447</v>
      </c>
      <c r="C183" s="376">
        <v>600080111</v>
      </c>
      <c r="D183" s="281">
        <v>72744961</v>
      </c>
      <c r="E183" s="211" t="s">
        <v>519</v>
      </c>
      <c r="F183" s="381">
        <v>3117</v>
      </c>
      <c r="G183" s="323" t="s">
        <v>291</v>
      </c>
      <c r="H183" s="285" t="s">
        <v>272</v>
      </c>
      <c r="I183" s="419">
        <v>0</v>
      </c>
      <c r="J183" s="414">
        <v>0</v>
      </c>
      <c r="K183" s="414">
        <v>0</v>
      </c>
      <c r="L183" s="414">
        <v>0</v>
      </c>
      <c r="M183" s="414">
        <v>0</v>
      </c>
      <c r="N183" s="414">
        <v>0</v>
      </c>
      <c r="O183" s="414">
        <v>0</v>
      </c>
      <c r="P183" s="68">
        <v>0</v>
      </c>
      <c r="Q183" s="68">
        <v>0</v>
      </c>
      <c r="R183" s="414">
        <v>0</v>
      </c>
      <c r="S183" s="415">
        <v>0</v>
      </c>
      <c r="T183" s="415">
        <v>0</v>
      </c>
      <c r="U183" s="422">
        <v>0</v>
      </c>
      <c r="V183" s="423">
        <f t="shared" si="231"/>
        <v>0</v>
      </c>
      <c r="W183" s="417">
        <f t="shared" si="231"/>
        <v>0</v>
      </c>
      <c r="X183" s="417">
        <v>58729</v>
      </c>
      <c r="Y183" s="417">
        <v>0</v>
      </c>
      <c r="Z183" s="417">
        <v>0</v>
      </c>
      <c r="AA183" s="417">
        <v>0</v>
      </c>
      <c r="AB183" s="417">
        <v>0</v>
      </c>
      <c r="AC183" s="417">
        <v>0</v>
      </c>
      <c r="AD183" s="417">
        <v>0</v>
      </c>
      <c r="AE183" s="417">
        <f t="shared" si="232"/>
        <v>58729</v>
      </c>
      <c r="AF183" s="417">
        <f t="shared" si="233"/>
        <v>0</v>
      </c>
      <c r="AG183" s="417">
        <f t="shared" si="234"/>
        <v>58729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235"/>
        <v>0</v>
      </c>
      <c r="AN183" s="417">
        <f t="shared" si="236"/>
        <v>0</v>
      </c>
      <c r="AO183" s="417">
        <f t="shared" si="237"/>
        <v>0</v>
      </c>
      <c r="AP183" s="417">
        <f t="shared" si="238"/>
        <v>58729</v>
      </c>
      <c r="AQ183" s="417">
        <f t="shared" si="238"/>
        <v>0</v>
      </c>
      <c r="AR183" s="417">
        <f t="shared" si="239"/>
        <v>58729</v>
      </c>
      <c r="AS183" s="68">
        <f t="shared" si="240"/>
        <v>19850</v>
      </c>
      <c r="AT183" s="68">
        <f t="shared" si="241"/>
        <v>587</v>
      </c>
      <c r="AU183" s="417">
        <v>500</v>
      </c>
      <c r="AV183" s="417">
        <v>0</v>
      </c>
      <c r="AW183" s="417">
        <v>0</v>
      </c>
      <c r="AX183" s="417">
        <f t="shared" si="242"/>
        <v>500</v>
      </c>
      <c r="AY183" s="417">
        <f t="shared" si="243"/>
        <v>79666</v>
      </c>
      <c r="AZ183" s="418">
        <v>0</v>
      </c>
      <c r="BA183" s="418">
        <v>0</v>
      </c>
      <c r="BB183" s="418">
        <v>0.16</v>
      </c>
      <c r="BC183" s="418">
        <v>0</v>
      </c>
      <c r="BD183" s="418">
        <v>0</v>
      </c>
      <c r="BE183" s="418">
        <v>0</v>
      </c>
      <c r="BF183" s="418">
        <v>0</v>
      </c>
      <c r="BG183" s="418">
        <v>0</v>
      </c>
      <c r="BH183" s="418">
        <v>0</v>
      </c>
      <c r="BI183" s="418">
        <f t="shared" si="244"/>
        <v>0.16</v>
      </c>
      <c r="BJ183" s="418">
        <f t="shared" si="245"/>
        <v>0</v>
      </c>
      <c r="BK183" s="420">
        <f t="shared" si="246"/>
        <v>0.16</v>
      </c>
      <c r="BL183" s="772">
        <f>I183+AY183</f>
        <v>79666</v>
      </c>
      <c r="BM183" s="772">
        <f>J183+AG183</f>
        <v>58729</v>
      </c>
      <c r="BN183" s="417">
        <f t="shared" si="296"/>
        <v>58729</v>
      </c>
      <c r="BO183" s="417">
        <f t="shared" si="296"/>
        <v>0</v>
      </c>
      <c r="BP183" s="417">
        <f>M183+AO183</f>
        <v>0</v>
      </c>
      <c r="BQ183" s="417">
        <f t="shared" si="297"/>
        <v>0</v>
      </c>
      <c r="BR183" s="417">
        <f t="shared" si="297"/>
        <v>0</v>
      </c>
      <c r="BS183" s="417">
        <f t="shared" si="298"/>
        <v>19850</v>
      </c>
      <c r="BT183" s="417">
        <f t="shared" si="298"/>
        <v>587</v>
      </c>
      <c r="BU183" s="417">
        <f>R183+AX183</f>
        <v>500</v>
      </c>
      <c r="BV183" s="418">
        <f>S183+BK183</f>
        <v>0.16</v>
      </c>
      <c r="BW183" s="418">
        <f t="shared" si="299"/>
        <v>0.16</v>
      </c>
      <c r="BX183" s="420">
        <f t="shared" si="299"/>
        <v>0</v>
      </c>
      <c r="BY183" s="840"/>
      <c r="BZ183" s="717"/>
      <c r="CA183" s="717"/>
      <c r="CB183" s="717"/>
      <c r="CC183" s="717"/>
      <c r="CD183" s="822"/>
      <c r="CE183" s="1029"/>
      <c r="CF183" s="1030"/>
      <c r="CG183" s="1030"/>
      <c r="CH183" s="1030"/>
      <c r="CI183" s="1030"/>
      <c r="CJ183" s="828"/>
    </row>
    <row r="184" spans="1:88" ht="12.95" customHeight="1">
      <c r="A184" s="280">
        <v>36</v>
      </c>
      <c r="B184" s="212">
        <v>2447</v>
      </c>
      <c r="C184" s="212">
        <v>600080111</v>
      </c>
      <c r="D184" s="281">
        <v>72744961</v>
      </c>
      <c r="E184" s="371" t="s">
        <v>519</v>
      </c>
      <c r="F184" s="382">
        <v>3141</v>
      </c>
      <c r="G184" s="373" t="s">
        <v>294</v>
      </c>
      <c r="H184" s="285" t="s">
        <v>272</v>
      </c>
      <c r="I184" s="419">
        <v>172224</v>
      </c>
      <c r="J184" s="414">
        <v>126829</v>
      </c>
      <c r="K184" s="414">
        <v>0</v>
      </c>
      <c r="L184" s="414">
        <v>126829</v>
      </c>
      <c r="M184" s="414">
        <v>0</v>
      </c>
      <c r="N184" s="414">
        <v>0</v>
      </c>
      <c r="O184" s="414">
        <v>0</v>
      </c>
      <c r="P184" s="68">
        <v>42868</v>
      </c>
      <c r="Q184" s="68">
        <v>1269</v>
      </c>
      <c r="R184" s="414">
        <v>1258</v>
      </c>
      <c r="S184" s="415">
        <v>0.38330000000000003</v>
      </c>
      <c r="T184" s="415">
        <v>0</v>
      </c>
      <c r="U184" s="422">
        <v>0.38330000000000003</v>
      </c>
      <c r="V184" s="423">
        <f t="shared" si="231"/>
        <v>0</v>
      </c>
      <c r="W184" s="417">
        <f t="shared" si="231"/>
        <v>0</v>
      </c>
      <c r="X184" s="417">
        <v>0</v>
      </c>
      <c r="Y184" s="417">
        <v>0</v>
      </c>
      <c r="Z184" s="417">
        <v>0</v>
      </c>
      <c r="AA184" s="417">
        <v>0</v>
      </c>
      <c r="AB184" s="417">
        <v>0</v>
      </c>
      <c r="AC184" s="417">
        <v>0</v>
      </c>
      <c r="AD184" s="417">
        <v>0</v>
      </c>
      <c r="AE184" s="417">
        <f t="shared" si="232"/>
        <v>0</v>
      </c>
      <c r="AF184" s="417">
        <f t="shared" si="233"/>
        <v>0</v>
      </c>
      <c r="AG184" s="417">
        <f t="shared" si="234"/>
        <v>0</v>
      </c>
      <c r="AH184" s="417">
        <v>0</v>
      </c>
      <c r="AI184" s="417">
        <v>0</v>
      </c>
      <c r="AJ184" s="417">
        <v>0</v>
      </c>
      <c r="AK184" s="417">
        <v>0</v>
      </c>
      <c r="AL184" s="417">
        <v>0</v>
      </c>
      <c r="AM184" s="417">
        <f t="shared" si="235"/>
        <v>0</v>
      </c>
      <c r="AN184" s="417">
        <f t="shared" si="236"/>
        <v>0</v>
      </c>
      <c r="AO184" s="417">
        <f t="shared" si="237"/>
        <v>0</v>
      </c>
      <c r="AP184" s="417">
        <f t="shared" si="238"/>
        <v>0</v>
      </c>
      <c r="AQ184" s="417">
        <f t="shared" si="238"/>
        <v>0</v>
      </c>
      <c r="AR184" s="417">
        <f t="shared" si="239"/>
        <v>0</v>
      </c>
      <c r="AS184" s="68">
        <f t="shared" si="240"/>
        <v>0</v>
      </c>
      <c r="AT184" s="68">
        <f t="shared" si="241"/>
        <v>0</v>
      </c>
      <c r="AU184" s="417">
        <v>0</v>
      </c>
      <c r="AV184" s="417">
        <v>0</v>
      </c>
      <c r="AW184" s="417">
        <v>0</v>
      </c>
      <c r="AX184" s="417">
        <f t="shared" si="242"/>
        <v>0</v>
      </c>
      <c r="AY184" s="417">
        <f t="shared" si="243"/>
        <v>0</v>
      </c>
      <c r="AZ184" s="418">
        <v>0</v>
      </c>
      <c r="BA184" s="418">
        <v>0</v>
      </c>
      <c r="BB184" s="418">
        <v>0</v>
      </c>
      <c r="BC184" s="418">
        <v>0</v>
      </c>
      <c r="BD184" s="418">
        <v>0</v>
      </c>
      <c r="BE184" s="418">
        <v>0</v>
      </c>
      <c r="BF184" s="418">
        <v>0</v>
      </c>
      <c r="BG184" s="418">
        <v>0</v>
      </c>
      <c r="BH184" s="418">
        <v>0</v>
      </c>
      <c r="BI184" s="418">
        <f t="shared" si="244"/>
        <v>0</v>
      </c>
      <c r="BJ184" s="418">
        <f t="shared" si="245"/>
        <v>0</v>
      </c>
      <c r="BK184" s="420">
        <f t="shared" si="246"/>
        <v>0</v>
      </c>
      <c r="BL184" s="772">
        <f>I184+AY184</f>
        <v>172224</v>
      </c>
      <c r="BM184" s="772">
        <f>J184+AG184</f>
        <v>126829</v>
      </c>
      <c r="BN184" s="417">
        <f t="shared" si="296"/>
        <v>0</v>
      </c>
      <c r="BO184" s="417">
        <f t="shared" si="296"/>
        <v>126829</v>
      </c>
      <c r="BP184" s="417">
        <f>M184+AO184</f>
        <v>0</v>
      </c>
      <c r="BQ184" s="417">
        <f t="shared" si="297"/>
        <v>0</v>
      </c>
      <c r="BR184" s="417">
        <f t="shared" si="297"/>
        <v>0</v>
      </c>
      <c r="BS184" s="417">
        <f t="shared" si="298"/>
        <v>42868</v>
      </c>
      <c r="BT184" s="417">
        <f t="shared" si="298"/>
        <v>1269</v>
      </c>
      <c r="BU184" s="417">
        <f>R184+AX184</f>
        <v>1258</v>
      </c>
      <c r="BV184" s="418">
        <f>S184+BK184</f>
        <v>0.38330000000000003</v>
      </c>
      <c r="BW184" s="418">
        <f t="shared" si="299"/>
        <v>0</v>
      </c>
      <c r="BX184" s="420">
        <f t="shared" si="299"/>
        <v>0.38330000000000003</v>
      </c>
      <c r="BY184" s="840"/>
      <c r="BZ184" s="717"/>
      <c r="CA184" s="717"/>
      <c r="CB184" s="717"/>
      <c r="CC184" s="717"/>
      <c r="CD184" s="822"/>
      <c r="CE184" s="1029"/>
      <c r="CF184" s="1030"/>
      <c r="CG184" s="1030"/>
      <c r="CH184" s="1030"/>
      <c r="CI184" s="1030"/>
      <c r="CJ184" s="828"/>
    </row>
    <row r="185" spans="1:88" ht="12.95" customHeight="1">
      <c r="A185" s="280">
        <v>36</v>
      </c>
      <c r="B185" s="376">
        <v>2447</v>
      </c>
      <c r="C185" s="376">
        <v>600080111</v>
      </c>
      <c r="D185" s="281">
        <v>72744961</v>
      </c>
      <c r="E185" s="211" t="s">
        <v>519</v>
      </c>
      <c r="F185" s="376">
        <v>3143</v>
      </c>
      <c r="G185" s="323" t="s">
        <v>595</v>
      </c>
      <c r="H185" s="285" t="s">
        <v>271</v>
      </c>
      <c r="I185" s="419">
        <v>931982</v>
      </c>
      <c r="J185" s="414">
        <v>691381</v>
      </c>
      <c r="K185" s="414">
        <v>691381</v>
      </c>
      <c r="L185" s="414">
        <v>0</v>
      </c>
      <c r="M185" s="414">
        <v>0</v>
      </c>
      <c r="N185" s="414">
        <v>0</v>
      </c>
      <c r="O185" s="414">
        <v>0</v>
      </c>
      <c r="P185" s="68">
        <v>233687</v>
      </c>
      <c r="Q185" s="68">
        <v>6914</v>
      </c>
      <c r="R185" s="414">
        <v>0</v>
      </c>
      <c r="S185" s="415">
        <v>1.5178</v>
      </c>
      <c r="T185" s="415">
        <v>1.5178</v>
      </c>
      <c r="U185" s="422">
        <v>0</v>
      </c>
      <c r="V185" s="423">
        <f t="shared" si="231"/>
        <v>0</v>
      </c>
      <c r="W185" s="417">
        <f t="shared" si="231"/>
        <v>0</v>
      </c>
      <c r="X185" s="417">
        <v>0</v>
      </c>
      <c r="Y185" s="417">
        <v>0</v>
      </c>
      <c r="Z185" s="417">
        <v>0</v>
      </c>
      <c r="AA185" s="417">
        <v>0</v>
      </c>
      <c r="AB185" s="417">
        <v>0</v>
      </c>
      <c r="AC185" s="417">
        <v>0</v>
      </c>
      <c r="AD185" s="417">
        <v>0</v>
      </c>
      <c r="AE185" s="417">
        <f t="shared" si="232"/>
        <v>0</v>
      </c>
      <c r="AF185" s="417">
        <f t="shared" si="233"/>
        <v>0</v>
      </c>
      <c r="AG185" s="417">
        <f t="shared" si="234"/>
        <v>0</v>
      </c>
      <c r="AH185" s="417">
        <v>0</v>
      </c>
      <c r="AI185" s="417">
        <v>0</v>
      </c>
      <c r="AJ185" s="417">
        <v>0</v>
      </c>
      <c r="AK185" s="417">
        <v>0</v>
      </c>
      <c r="AL185" s="417">
        <v>0</v>
      </c>
      <c r="AM185" s="417">
        <f t="shared" si="235"/>
        <v>0</v>
      </c>
      <c r="AN185" s="417">
        <f t="shared" si="236"/>
        <v>0</v>
      </c>
      <c r="AO185" s="417">
        <f t="shared" si="237"/>
        <v>0</v>
      </c>
      <c r="AP185" s="417">
        <f t="shared" si="238"/>
        <v>0</v>
      </c>
      <c r="AQ185" s="417">
        <f t="shared" si="238"/>
        <v>0</v>
      </c>
      <c r="AR185" s="417">
        <f t="shared" si="239"/>
        <v>0</v>
      </c>
      <c r="AS185" s="68">
        <f t="shared" si="240"/>
        <v>0</v>
      </c>
      <c r="AT185" s="68">
        <f t="shared" si="241"/>
        <v>0</v>
      </c>
      <c r="AU185" s="417">
        <v>0</v>
      </c>
      <c r="AV185" s="417">
        <v>0</v>
      </c>
      <c r="AW185" s="417">
        <v>0</v>
      </c>
      <c r="AX185" s="417">
        <f t="shared" si="242"/>
        <v>0</v>
      </c>
      <c r="AY185" s="417">
        <f t="shared" si="243"/>
        <v>0</v>
      </c>
      <c r="AZ185" s="418">
        <v>0</v>
      </c>
      <c r="BA185" s="418">
        <v>0</v>
      </c>
      <c r="BB185" s="418">
        <v>0</v>
      </c>
      <c r="BC185" s="418">
        <v>0</v>
      </c>
      <c r="BD185" s="418">
        <v>0</v>
      </c>
      <c r="BE185" s="418">
        <v>0</v>
      </c>
      <c r="BF185" s="418">
        <v>0</v>
      </c>
      <c r="BG185" s="418">
        <v>0</v>
      </c>
      <c r="BH185" s="418">
        <v>0</v>
      </c>
      <c r="BI185" s="418">
        <f t="shared" si="244"/>
        <v>0</v>
      </c>
      <c r="BJ185" s="418">
        <f t="shared" si="245"/>
        <v>0</v>
      </c>
      <c r="BK185" s="420">
        <f t="shared" si="246"/>
        <v>0</v>
      </c>
      <c r="BL185" s="772">
        <f>I185+AY185</f>
        <v>931982</v>
      </c>
      <c r="BM185" s="772">
        <f>J185+AG185</f>
        <v>691381</v>
      </c>
      <c r="BN185" s="417">
        <f t="shared" si="296"/>
        <v>691381</v>
      </c>
      <c r="BO185" s="417">
        <f t="shared" si="296"/>
        <v>0</v>
      </c>
      <c r="BP185" s="417">
        <f>M185+AO185</f>
        <v>0</v>
      </c>
      <c r="BQ185" s="417">
        <f t="shared" si="297"/>
        <v>0</v>
      </c>
      <c r="BR185" s="417">
        <f t="shared" si="297"/>
        <v>0</v>
      </c>
      <c r="BS185" s="417">
        <f t="shared" si="298"/>
        <v>233687</v>
      </c>
      <c r="BT185" s="417">
        <f t="shared" si="298"/>
        <v>6914</v>
      </c>
      <c r="BU185" s="417">
        <f>R185+AX185</f>
        <v>0</v>
      </c>
      <c r="BV185" s="418">
        <f>S185+BK185</f>
        <v>1.5178</v>
      </c>
      <c r="BW185" s="418">
        <f t="shared" si="299"/>
        <v>1.5178</v>
      </c>
      <c r="BX185" s="420">
        <f t="shared" si="299"/>
        <v>0</v>
      </c>
      <c r="BY185" s="840"/>
      <c r="BZ185" s="717"/>
      <c r="CA185" s="717"/>
      <c r="CB185" s="717"/>
      <c r="CC185" s="717"/>
      <c r="CD185" s="822"/>
      <c r="CE185" s="1029"/>
      <c r="CF185" s="1030"/>
      <c r="CG185" s="1030"/>
      <c r="CH185" s="1030"/>
      <c r="CI185" s="1030"/>
      <c r="CJ185" s="828"/>
    </row>
    <row r="186" spans="1:88" ht="12.95" customHeight="1">
      <c r="A186" s="280">
        <v>36</v>
      </c>
      <c r="B186" s="376">
        <v>2447</v>
      </c>
      <c r="C186" s="376">
        <v>600080111</v>
      </c>
      <c r="D186" s="281">
        <v>72744961</v>
      </c>
      <c r="E186" s="211" t="s">
        <v>519</v>
      </c>
      <c r="F186" s="376">
        <v>3143</v>
      </c>
      <c r="G186" s="323" t="s">
        <v>596</v>
      </c>
      <c r="H186" s="285" t="s">
        <v>272</v>
      </c>
      <c r="I186" s="419">
        <v>26126</v>
      </c>
      <c r="J186" s="414">
        <v>18700</v>
      </c>
      <c r="K186" s="414">
        <v>0</v>
      </c>
      <c r="L186" s="414">
        <v>18700</v>
      </c>
      <c r="M186" s="414">
        <v>0</v>
      </c>
      <c r="N186" s="414">
        <v>0</v>
      </c>
      <c r="O186" s="414">
        <v>0</v>
      </c>
      <c r="P186" s="68">
        <v>6321</v>
      </c>
      <c r="Q186" s="68">
        <v>187</v>
      </c>
      <c r="R186" s="414">
        <v>918</v>
      </c>
      <c r="S186" s="415">
        <v>6.7199999999999996E-2</v>
      </c>
      <c r="T186" s="415">
        <v>0</v>
      </c>
      <c r="U186" s="422">
        <v>6.7199999999999996E-2</v>
      </c>
      <c r="V186" s="423">
        <f t="shared" si="231"/>
        <v>0</v>
      </c>
      <c r="W186" s="417">
        <f t="shared" si="231"/>
        <v>0</v>
      </c>
      <c r="X186" s="417">
        <v>0</v>
      </c>
      <c r="Y186" s="417">
        <v>0</v>
      </c>
      <c r="Z186" s="417">
        <v>0</v>
      </c>
      <c r="AA186" s="417">
        <v>0</v>
      </c>
      <c r="AB186" s="417">
        <v>0</v>
      </c>
      <c r="AC186" s="417">
        <v>0</v>
      </c>
      <c r="AD186" s="417">
        <v>0</v>
      </c>
      <c r="AE186" s="417">
        <f t="shared" si="232"/>
        <v>0</v>
      </c>
      <c r="AF186" s="417">
        <f t="shared" si="233"/>
        <v>0</v>
      </c>
      <c r="AG186" s="417">
        <f t="shared" si="234"/>
        <v>0</v>
      </c>
      <c r="AH186" s="417">
        <v>0</v>
      </c>
      <c r="AI186" s="417">
        <v>0</v>
      </c>
      <c r="AJ186" s="417">
        <v>0</v>
      </c>
      <c r="AK186" s="417">
        <v>0</v>
      </c>
      <c r="AL186" s="417">
        <v>0</v>
      </c>
      <c r="AM186" s="417">
        <f t="shared" si="235"/>
        <v>0</v>
      </c>
      <c r="AN186" s="417">
        <f t="shared" si="236"/>
        <v>0</v>
      </c>
      <c r="AO186" s="417">
        <f t="shared" si="237"/>
        <v>0</v>
      </c>
      <c r="AP186" s="417">
        <f t="shared" si="238"/>
        <v>0</v>
      </c>
      <c r="AQ186" s="417">
        <f t="shared" si="238"/>
        <v>0</v>
      </c>
      <c r="AR186" s="417">
        <f t="shared" si="239"/>
        <v>0</v>
      </c>
      <c r="AS186" s="68">
        <f t="shared" si="240"/>
        <v>0</v>
      </c>
      <c r="AT186" s="68">
        <f t="shared" si="241"/>
        <v>0</v>
      </c>
      <c r="AU186" s="417">
        <v>0</v>
      </c>
      <c r="AV186" s="417">
        <v>0</v>
      </c>
      <c r="AW186" s="417">
        <v>0</v>
      </c>
      <c r="AX186" s="417">
        <f t="shared" si="242"/>
        <v>0</v>
      </c>
      <c r="AY186" s="417">
        <f t="shared" si="243"/>
        <v>0</v>
      </c>
      <c r="AZ186" s="418">
        <v>0</v>
      </c>
      <c r="BA186" s="418">
        <v>0</v>
      </c>
      <c r="BB186" s="418">
        <v>0</v>
      </c>
      <c r="BC186" s="418">
        <v>0</v>
      </c>
      <c r="BD186" s="418">
        <v>0</v>
      </c>
      <c r="BE186" s="418">
        <v>0</v>
      </c>
      <c r="BF186" s="418">
        <v>0</v>
      </c>
      <c r="BG186" s="418">
        <v>0</v>
      </c>
      <c r="BH186" s="418">
        <v>0</v>
      </c>
      <c r="BI186" s="418">
        <f t="shared" si="244"/>
        <v>0</v>
      </c>
      <c r="BJ186" s="418">
        <f t="shared" si="245"/>
        <v>0</v>
      </c>
      <c r="BK186" s="420">
        <f t="shared" si="246"/>
        <v>0</v>
      </c>
      <c r="BL186" s="772">
        <f>I186+AY186</f>
        <v>26126</v>
      </c>
      <c r="BM186" s="772">
        <f>J186+AG186</f>
        <v>18700</v>
      </c>
      <c r="BN186" s="417">
        <f t="shared" si="296"/>
        <v>0</v>
      </c>
      <c r="BO186" s="417">
        <f t="shared" si="296"/>
        <v>18700</v>
      </c>
      <c r="BP186" s="417">
        <f>M186+AO186</f>
        <v>0</v>
      </c>
      <c r="BQ186" s="417">
        <f t="shared" si="297"/>
        <v>0</v>
      </c>
      <c r="BR186" s="417">
        <f t="shared" si="297"/>
        <v>0</v>
      </c>
      <c r="BS186" s="417">
        <f t="shared" si="298"/>
        <v>6321</v>
      </c>
      <c r="BT186" s="417">
        <f t="shared" si="298"/>
        <v>187</v>
      </c>
      <c r="BU186" s="417">
        <f>R186+AX186</f>
        <v>918</v>
      </c>
      <c r="BV186" s="418">
        <f>S186+BK186</f>
        <v>6.7199999999999996E-2</v>
      </c>
      <c r="BW186" s="418">
        <f t="shared" si="299"/>
        <v>0</v>
      </c>
      <c r="BX186" s="420">
        <f t="shared" si="299"/>
        <v>6.7199999999999996E-2</v>
      </c>
      <c r="BY186" s="840"/>
      <c r="BZ186" s="717"/>
      <c r="CA186" s="717"/>
      <c r="CB186" s="717"/>
      <c r="CC186" s="717"/>
      <c r="CD186" s="822"/>
      <c r="CE186" s="1029"/>
      <c r="CF186" s="1030"/>
      <c r="CG186" s="1030"/>
      <c r="CH186" s="1030"/>
      <c r="CI186" s="1030"/>
      <c r="CJ186" s="828"/>
    </row>
    <row r="187" spans="1:88" ht="12.95" customHeight="1">
      <c r="A187" s="214">
        <v>36</v>
      </c>
      <c r="B187" s="46">
        <v>2447</v>
      </c>
      <c r="C187" s="46">
        <v>600080111</v>
      </c>
      <c r="D187" s="46">
        <v>72744961</v>
      </c>
      <c r="E187" s="378" t="s">
        <v>520</v>
      </c>
      <c r="F187" s="46"/>
      <c r="G187" s="378"/>
      <c r="H187" s="183"/>
      <c r="I187" s="464">
        <v>4392107</v>
      </c>
      <c r="J187" s="460">
        <v>3215045</v>
      </c>
      <c r="K187" s="460">
        <v>2732252</v>
      </c>
      <c r="L187" s="460">
        <v>482793</v>
      </c>
      <c r="M187" s="460">
        <v>0</v>
      </c>
      <c r="N187" s="460">
        <v>0</v>
      </c>
      <c r="O187" s="460">
        <v>0</v>
      </c>
      <c r="P187" s="460">
        <v>1086685</v>
      </c>
      <c r="Q187" s="460">
        <v>32151</v>
      </c>
      <c r="R187" s="460">
        <v>58226</v>
      </c>
      <c r="S187" s="461">
        <v>6.0609000000000002</v>
      </c>
      <c r="T187" s="461">
        <v>4.7408000000000001</v>
      </c>
      <c r="U187" s="534">
        <v>1.3201000000000001</v>
      </c>
      <c r="V187" s="464">
        <f t="shared" ref="V187:BK187" si="300">SUM(V182:V186)</f>
        <v>0</v>
      </c>
      <c r="W187" s="460">
        <f t="shared" si="300"/>
        <v>0</v>
      </c>
      <c r="X187" s="460">
        <f t="shared" si="300"/>
        <v>58729</v>
      </c>
      <c r="Y187" s="460">
        <f t="shared" si="300"/>
        <v>0</v>
      </c>
      <c r="Z187" s="460">
        <f t="shared" si="300"/>
        <v>0</v>
      </c>
      <c r="AA187" s="460">
        <f t="shared" si="300"/>
        <v>0</v>
      </c>
      <c r="AB187" s="460">
        <f t="shared" si="300"/>
        <v>0</v>
      </c>
      <c r="AC187" s="460">
        <f t="shared" si="300"/>
        <v>0</v>
      </c>
      <c r="AD187" s="460">
        <f t="shared" si="300"/>
        <v>0</v>
      </c>
      <c r="AE187" s="460">
        <f t="shared" si="300"/>
        <v>58729</v>
      </c>
      <c r="AF187" s="460">
        <f t="shared" si="300"/>
        <v>0</v>
      </c>
      <c r="AG187" s="460">
        <f t="shared" si="300"/>
        <v>58729</v>
      </c>
      <c r="AH187" s="460">
        <f t="shared" si="300"/>
        <v>0</v>
      </c>
      <c r="AI187" s="460">
        <f t="shared" si="300"/>
        <v>0</v>
      </c>
      <c r="AJ187" s="460">
        <f t="shared" si="300"/>
        <v>0</v>
      </c>
      <c r="AK187" s="460">
        <f t="shared" si="300"/>
        <v>0</v>
      </c>
      <c r="AL187" s="460">
        <f t="shared" si="300"/>
        <v>0</v>
      </c>
      <c r="AM187" s="460">
        <f t="shared" si="300"/>
        <v>0</v>
      </c>
      <c r="AN187" s="460">
        <f t="shared" si="300"/>
        <v>0</v>
      </c>
      <c r="AO187" s="460">
        <f t="shared" si="300"/>
        <v>0</v>
      </c>
      <c r="AP187" s="460">
        <f t="shared" si="300"/>
        <v>58729</v>
      </c>
      <c r="AQ187" s="460">
        <f t="shared" si="300"/>
        <v>0</v>
      </c>
      <c r="AR187" s="460">
        <f t="shared" si="300"/>
        <v>58729</v>
      </c>
      <c r="AS187" s="460">
        <f t="shared" si="300"/>
        <v>19850</v>
      </c>
      <c r="AT187" s="460">
        <f t="shared" si="300"/>
        <v>587</v>
      </c>
      <c r="AU187" s="460">
        <f t="shared" si="300"/>
        <v>500</v>
      </c>
      <c r="AV187" s="460">
        <f t="shared" si="300"/>
        <v>0</v>
      </c>
      <c r="AW187" s="460">
        <f t="shared" si="300"/>
        <v>0</v>
      </c>
      <c r="AX187" s="460">
        <f t="shared" si="300"/>
        <v>500</v>
      </c>
      <c r="AY187" s="460">
        <f t="shared" si="300"/>
        <v>79666</v>
      </c>
      <c r="AZ187" s="461">
        <f t="shared" si="300"/>
        <v>0</v>
      </c>
      <c r="BA187" s="461">
        <f t="shared" si="300"/>
        <v>0</v>
      </c>
      <c r="BB187" s="461">
        <f t="shared" si="300"/>
        <v>0.16</v>
      </c>
      <c r="BC187" s="461">
        <f t="shared" si="300"/>
        <v>0</v>
      </c>
      <c r="BD187" s="461">
        <f t="shared" si="300"/>
        <v>0</v>
      </c>
      <c r="BE187" s="461">
        <f t="shared" si="300"/>
        <v>0</v>
      </c>
      <c r="BF187" s="461">
        <f t="shared" si="300"/>
        <v>0</v>
      </c>
      <c r="BG187" s="461">
        <f t="shared" si="300"/>
        <v>0</v>
      </c>
      <c r="BH187" s="461">
        <f t="shared" si="300"/>
        <v>0</v>
      </c>
      <c r="BI187" s="461">
        <f t="shared" si="300"/>
        <v>0.16</v>
      </c>
      <c r="BJ187" s="461">
        <f t="shared" si="300"/>
        <v>0</v>
      </c>
      <c r="BK187" s="279">
        <f t="shared" si="300"/>
        <v>0.16</v>
      </c>
      <c r="BL187" s="1075">
        <f t="shared" ref="BL187:CG187" si="301">SUM(BL182:BL186)</f>
        <v>4471773</v>
      </c>
      <c r="BM187" s="1075">
        <f t="shared" si="301"/>
        <v>3273774</v>
      </c>
      <c r="BN187" s="460">
        <f t="shared" si="301"/>
        <v>2790981</v>
      </c>
      <c r="BO187" s="460">
        <f t="shared" si="301"/>
        <v>482793</v>
      </c>
      <c r="BP187" s="460">
        <f t="shared" si="301"/>
        <v>0</v>
      </c>
      <c r="BQ187" s="460">
        <f t="shared" si="301"/>
        <v>0</v>
      </c>
      <c r="BR187" s="460">
        <f t="shared" si="301"/>
        <v>0</v>
      </c>
      <c r="BS187" s="460">
        <f t="shared" si="301"/>
        <v>1106535</v>
      </c>
      <c r="BT187" s="460">
        <f t="shared" si="301"/>
        <v>32738</v>
      </c>
      <c r="BU187" s="460">
        <f t="shared" si="301"/>
        <v>58726</v>
      </c>
      <c r="BV187" s="461">
        <f t="shared" si="301"/>
        <v>6.2209000000000003</v>
      </c>
      <c r="BW187" s="461">
        <f t="shared" si="301"/>
        <v>4.9008000000000003</v>
      </c>
      <c r="BX187" s="279">
        <f t="shared" si="301"/>
        <v>1.3201000000000001</v>
      </c>
      <c r="BY187" s="940">
        <f t="shared" si="301"/>
        <v>0</v>
      </c>
      <c r="BZ187" s="707">
        <f t="shared" si="301"/>
        <v>0</v>
      </c>
      <c r="CA187" s="707">
        <f t="shared" si="301"/>
        <v>0</v>
      </c>
      <c r="CB187" s="707">
        <f t="shared" si="301"/>
        <v>0</v>
      </c>
      <c r="CC187" s="707">
        <f t="shared" si="301"/>
        <v>0</v>
      </c>
      <c r="CD187" s="819">
        <f t="shared" si="301"/>
        <v>0</v>
      </c>
      <c r="CE187" s="1024">
        <f t="shared" si="301"/>
        <v>155751</v>
      </c>
      <c r="CF187" s="1024">
        <f t="shared" si="301"/>
        <v>108269</v>
      </c>
      <c r="CG187" s="1024">
        <f t="shared" si="301"/>
        <v>36595</v>
      </c>
      <c r="CH187" s="1024">
        <f t="shared" ref="CH187:CJ187" si="302">SUM(CH182:CH186)</f>
        <v>1083</v>
      </c>
      <c r="CI187" s="1024">
        <f t="shared" si="302"/>
        <v>9804</v>
      </c>
      <c r="CJ187" s="933">
        <f t="shared" si="302"/>
        <v>0.2792</v>
      </c>
    </row>
    <row r="188" spans="1:88" ht="12.95" customHeight="1">
      <c r="A188" s="280">
        <v>37</v>
      </c>
      <c r="B188" s="212">
        <v>5455</v>
      </c>
      <c r="C188" s="212">
        <v>600099067</v>
      </c>
      <c r="D188" s="281">
        <v>70986088</v>
      </c>
      <c r="E188" s="371" t="s">
        <v>521</v>
      </c>
      <c r="F188" s="382">
        <v>3111</v>
      </c>
      <c r="G188" s="373" t="s">
        <v>304</v>
      </c>
      <c r="H188" s="285" t="s">
        <v>271</v>
      </c>
      <c r="I188" s="419">
        <v>3036465</v>
      </c>
      <c r="J188" s="414">
        <v>2243965</v>
      </c>
      <c r="K188" s="414">
        <v>2067547</v>
      </c>
      <c r="L188" s="414">
        <v>176418</v>
      </c>
      <c r="M188" s="414">
        <v>0</v>
      </c>
      <c r="N188" s="414">
        <v>0</v>
      </c>
      <c r="O188" s="414">
        <v>0</v>
      </c>
      <c r="P188" s="68">
        <v>758460</v>
      </c>
      <c r="Q188" s="68">
        <v>22440</v>
      </c>
      <c r="R188" s="414">
        <v>11600</v>
      </c>
      <c r="S188" s="415">
        <v>4.7068000000000003</v>
      </c>
      <c r="T188" s="415">
        <v>4</v>
      </c>
      <c r="U188" s="422">
        <v>0.70679999999999998</v>
      </c>
      <c r="V188" s="423">
        <f t="shared" si="231"/>
        <v>0</v>
      </c>
      <c r="W188" s="417">
        <f t="shared" si="231"/>
        <v>0</v>
      </c>
      <c r="X188" s="417">
        <v>0</v>
      </c>
      <c r="Y188" s="417">
        <v>0</v>
      </c>
      <c r="Z188" s="417">
        <v>0</v>
      </c>
      <c r="AA188" s="417">
        <v>0</v>
      </c>
      <c r="AB188" s="417">
        <v>0</v>
      </c>
      <c r="AC188" s="417">
        <v>0</v>
      </c>
      <c r="AD188" s="417">
        <v>0</v>
      </c>
      <c r="AE188" s="417">
        <f t="shared" si="232"/>
        <v>0</v>
      </c>
      <c r="AF188" s="417">
        <f t="shared" si="233"/>
        <v>0</v>
      </c>
      <c r="AG188" s="417">
        <f t="shared" si="234"/>
        <v>0</v>
      </c>
      <c r="AH188" s="417">
        <v>0</v>
      </c>
      <c r="AI188" s="417">
        <v>0</v>
      </c>
      <c r="AJ188" s="417">
        <v>0</v>
      </c>
      <c r="AK188" s="417">
        <v>0</v>
      </c>
      <c r="AL188" s="417">
        <v>0</v>
      </c>
      <c r="AM188" s="417">
        <f t="shared" si="235"/>
        <v>0</v>
      </c>
      <c r="AN188" s="417">
        <f t="shared" si="236"/>
        <v>0</v>
      </c>
      <c r="AO188" s="417">
        <f t="shared" si="237"/>
        <v>0</v>
      </c>
      <c r="AP188" s="417">
        <f t="shared" si="238"/>
        <v>0</v>
      </c>
      <c r="AQ188" s="417">
        <f t="shared" si="238"/>
        <v>0</v>
      </c>
      <c r="AR188" s="417">
        <f t="shared" si="239"/>
        <v>0</v>
      </c>
      <c r="AS188" s="68">
        <f t="shared" si="240"/>
        <v>0</v>
      </c>
      <c r="AT188" s="68">
        <f t="shared" si="241"/>
        <v>0</v>
      </c>
      <c r="AU188" s="417">
        <v>0</v>
      </c>
      <c r="AV188" s="417">
        <v>0</v>
      </c>
      <c r="AW188" s="417">
        <v>0</v>
      </c>
      <c r="AX188" s="417">
        <f t="shared" si="242"/>
        <v>0</v>
      </c>
      <c r="AY188" s="417">
        <f t="shared" si="243"/>
        <v>0</v>
      </c>
      <c r="AZ188" s="418">
        <v>0</v>
      </c>
      <c r="BA188" s="418">
        <v>0</v>
      </c>
      <c r="BB188" s="418">
        <v>0</v>
      </c>
      <c r="BC188" s="418">
        <v>0</v>
      </c>
      <c r="BD188" s="418">
        <v>0</v>
      </c>
      <c r="BE188" s="418">
        <v>0</v>
      </c>
      <c r="BF188" s="418">
        <v>0</v>
      </c>
      <c r="BG188" s="418">
        <v>0</v>
      </c>
      <c r="BH188" s="418">
        <v>0</v>
      </c>
      <c r="BI188" s="418">
        <f t="shared" si="244"/>
        <v>0</v>
      </c>
      <c r="BJ188" s="418">
        <f t="shared" si="245"/>
        <v>0</v>
      </c>
      <c r="BK188" s="420">
        <f t="shared" si="246"/>
        <v>0</v>
      </c>
      <c r="BL188" s="772">
        <f>I188+AY188</f>
        <v>3036465</v>
      </c>
      <c r="BM188" s="772">
        <f>J188+AG188</f>
        <v>2243965</v>
      </c>
      <c r="BN188" s="417">
        <f t="shared" ref="BN188:BO192" si="303">K188+AE188</f>
        <v>2067547</v>
      </c>
      <c r="BO188" s="417">
        <f t="shared" si="303"/>
        <v>176418</v>
      </c>
      <c r="BP188" s="417">
        <f>M188+AO188</f>
        <v>0</v>
      </c>
      <c r="BQ188" s="417">
        <f t="shared" ref="BQ188:BR192" si="304">N188+AM188</f>
        <v>0</v>
      </c>
      <c r="BR188" s="417">
        <f t="shared" si="304"/>
        <v>0</v>
      </c>
      <c r="BS188" s="417">
        <f t="shared" ref="BS188:BT192" si="305">P188+AS188</f>
        <v>758460</v>
      </c>
      <c r="BT188" s="417">
        <f t="shared" si="305"/>
        <v>22440</v>
      </c>
      <c r="BU188" s="417">
        <f>R188+AX188</f>
        <v>11600</v>
      </c>
      <c r="BV188" s="418">
        <f>S188+BK188</f>
        <v>4.7068000000000003</v>
      </c>
      <c r="BW188" s="418">
        <f t="shared" ref="BW188:BX192" si="306">T188+BI188</f>
        <v>4</v>
      </c>
      <c r="BX188" s="420">
        <f t="shared" si="306"/>
        <v>0.70679999999999998</v>
      </c>
      <c r="BY188" s="840"/>
      <c r="BZ188" s="717"/>
      <c r="CA188" s="717"/>
      <c r="CB188" s="717"/>
      <c r="CC188" s="717"/>
      <c r="CD188" s="822"/>
      <c r="CE188" s="1029">
        <v>80167</v>
      </c>
      <c r="CF188" s="1030">
        <v>56610</v>
      </c>
      <c r="CG188" s="1030">
        <v>19134</v>
      </c>
      <c r="CH188" s="1030">
        <v>566</v>
      </c>
      <c r="CI188" s="1030">
        <v>3857</v>
      </c>
      <c r="CJ188" s="828">
        <v>0.2268</v>
      </c>
    </row>
    <row r="189" spans="1:88" ht="12.95" customHeight="1">
      <c r="A189" s="280">
        <v>37</v>
      </c>
      <c r="B189" s="381">
        <v>5455</v>
      </c>
      <c r="C189" s="381">
        <v>600099067</v>
      </c>
      <c r="D189" s="281">
        <v>70986088</v>
      </c>
      <c r="E189" s="389" t="s">
        <v>521</v>
      </c>
      <c r="F189" s="381">
        <v>3117</v>
      </c>
      <c r="G189" s="372" t="s">
        <v>308</v>
      </c>
      <c r="H189" s="285" t="s">
        <v>271</v>
      </c>
      <c r="I189" s="419">
        <v>3321104</v>
      </c>
      <c r="J189" s="414">
        <v>2425429</v>
      </c>
      <c r="K189" s="414">
        <v>1985904</v>
      </c>
      <c r="L189" s="414">
        <v>439525</v>
      </c>
      <c r="M189" s="414">
        <v>0</v>
      </c>
      <c r="N189" s="414">
        <v>0</v>
      </c>
      <c r="O189" s="414">
        <v>0</v>
      </c>
      <c r="P189" s="68">
        <v>819796</v>
      </c>
      <c r="Q189" s="68">
        <v>24254</v>
      </c>
      <c r="R189" s="414">
        <v>51625</v>
      </c>
      <c r="S189" s="415">
        <v>3.5808</v>
      </c>
      <c r="T189" s="415">
        <v>2.3635999999999999</v>
      </c>
      <c r="U189" s="422">
        <v>1.2172000000000001</v>
      </c>
      <c r="V189" s="423">
        <f t="shared" si="231"/>
        <v>0</v>
      </c>
      <c r="W189" s="417">
        <f t="shared" si="231"/>
        <v>0</v>
      </c>
      <c r="X189" s="417">
        <v>0</v>
      </c>
      <c r="Y189" s="417">
        <v>0</v>
      </c>
      <c r="Z189" s="417">
        <v>0</v>
      </c>
      <c r="AA189" s="417">
        <v>0</v>
      </c>
      <c r="AB189" s="417">
        <v>0</v>
      </c>
      <c r="AC189" s="417">
        <v>0</v>
      </c>
      <c r="AD189" s="417">
        <v>0</v>
      </c>
      <c r="AE189" s="417">
        <f t="shared" si="232"/>
        <v>0</v>
      </c>
      <c r="AF189" s="417">
        <f t="shared" si="233"/>
        <v>0</v>
      </c>
      <c r="AG189" s="417">
        <f t="shared" si="234"/>
        <v>0</v>
      </c>
      <c r="AH189" s="417">
        <v>0</v>
      </c>
      <c r="AI189" s="417">
        <v>0</v>
      </c>
      <c r="AJ189" s="417">
        <v>0</v>
      </c>
      <c r="AK189" s="417">
        <v>0</v>
      </c>
      <c r="AL189" s="417">
        <v>0</v>
      </c>
      <c r="AM189" s="417">
        <f t="shared" si="235"/>
        <v>0</v>
      </c>
      <c r="AN189" s="417">
        <f t="shared" si="236"/>
        <v>0</v>
      </c>
      <c r="AO189" s="417">
        <f t="shared" si="237"/>
        <v>0</v>
      </c>
      <c r="AP189" s="417">
        <f t="shared" si="238"/>
        <v>0</v>
      </c>
      <c r="AQ189" s="417">
        <f t="shared" si="238"/>
        <v>0</v>
      </c>
      <c r="AR189" s="417">
        <f t="shared" si="239"/>
        <v>0</v>
      </c>
      <c r="AS189" s="68">
        <f t="shared" si="240"/>
        <v>0</v>
      </c>
      <c r="AT189" s="68">
        <f t="shared" si="241"/>
        <v>0</v>
      </c>
      <c r="AU189" s="417">
        <v>0</v>
      </c>
      <c r="AV189" s="417">
        <v>0</v>
      </c>
      <c r="AW189" s="417">
        <v>0</v>
      </c>
      <c r="AX189" s="417">
        <f t="shared" si="242"/>
        <v>0</v>
      </c>
      <c r="AY189" s="417">
        <f t="shared" si="243"/>
        <v>0</v>
      </c>
      <c r="AZ189" s="418">
        <v>0</v>
      </c>
      <c r="BA189" s="418">
        <v>0</v>
      </c>
      <c r="BB189" s="418">
        <v>0</v>
      </c>
      <c r="BC189" s="418">
        <v>0</v>
      </c>
      <c r="BD189" s="418">
        <v>0</v>
      </c>
      <c r="BE189" s="418">
        <v>0</v>
      </c>
      <c r="BF189" s="418">
        <v>0</v>
      </c>
      <c r="BG189" s="418">
        <v>0</v>
      </c>
      <c r="BH189" s="418">
        <v>0</v>
      </c>
      <c r="BI189" s="418">
        <f t="shared" si="244"/>
        <v>0</v>
      </c>
      <c r="BJ189" s="418">
        <f t="shared" si="245"/>
        <v>0</v>
      </c>
      <c r="BK189" s="420">
        <f t="shared" si="246"/>
        <v>0</v>
      </c>
      <c r="BL189" s="772">
        <f>I189+AY189</f>
        <v>3321104</v>
      </c>
      <c r="BM189" s="772">
        <f>J189+AG189</f>
        <v>2425429</v>
      </c>
      <c r="BN189" s="417">
        <f t="shared" si="303"/>
        <v>1985904</v>
      </c>
      <c r="BO189" s="417">
        <f t="shared" si="303"/>
        <v>439525</v>
      </c>
      <c r="BP189" s="417">
        <f>M189+AO189</f>
        <v>0</v>
      </c>
      <c r="BQ189" s="417">
        <f t="shared" si="304"/>
        <v>0</v>
      </c>
      <c r="BR189" s="417">
        <f t="shared" si="304"/>
        <v>0</v>
      </c>
      <c r="BS189" s="417">
        <f t="shared" si="305"/>
        <v>819796</v>
      </c>
      <c r="BT189" s="417">
        <f t="shared" si="305"/>
        <v>24254</v>
      </c>
      <c r="BU189" s="417">
        <f>R189+AX189</f>
        <v>51625</v>
      </c>
      <c r="BV189" s="418">
        <f>S189+BK189</f>
        <v>3.5808</v>
      </c>
      <c r="BW189" s="418">
        <f t="shared" si="306"/>
        <v>2.3635999999999999</v>
      </c>
      <c r="BX189" s="420">
        <f t="shared" si="306"/>
        <v>1.2172000000000001</v>
      </c>
      <c r="BY189" s="840"/>
      <c r="BZ189" s="717"/>
      <c r="CA189" s="717"/>
      <c r="CB189" s="717"/>
      <c r="CC189" s="717"/>
      <c r="CD189" s="822"/>
      <c r="CE189" s="1029">
        <v>199197</v>
      </c>
      <c r="CF189" s="1030">
        <v>141073</v>
      </c>
      <c r="CG189" s="1030">
        <v>47683</v>
      </c>
      <c r="CH189" s="1030">
        <v>1411</v>
      </c>
      <c r="CI189" s="1030">
        <v>9030</v>
      </c>
      <c r="CJ189" s="828">
        <v>0.39069999999999999</v>
      </c>
    </row>
    <row r="190" spans="1:88" ht="12.95" customHeight="1">
      <c r="A190" s="280">
        <v>37</v>
      </c>
      <c r="B190" s="212">
        <v>5455</v>
      </c>
      <c r="C190" s="212">
        <v>600099067</v>
      </c>
      <c r="D190" s="281">
        <v>70986088</v>
      </c>
      <c r="E190" s="372" t="s">
        <v>521</v>
      </c>
      <c r="F190" s="212">
        <v>3141</v>
      </c>
      <c r="G190" s="373" t="s">
        <v>294</v>
      </c>
      <c r="H190" s="285" t="s">
        <v>272</v>
      </c>
      <c r="I190" s="419">
        <v>860583</v>
      </c>
      <c r="J190" s="414">
        <v>636062</v>
      </c>
      <c r="K190" s="414">
        <v>0</v>
      </c>
      <c r="L190" s="414">
        <v>636062</v>
      </c>
      <c r="M190" s="414">
        <v>0</v>
      </c>
      <c r="N190" s="414">
        <v>0</v>
      </c>
      <c r="O190" s="414">
        <v>0</v>
      </c>
      <c r="P190" s="68">
        <v>214989</v>
      </c>
      <c r="Q190" s="68">
        <v>6360</v>
      </c>
      <c r="R190" s="414">
        <v>3172</v>
      </c>
      <c r="S190" s="415">
        <v>1.9133</v>
      </c>
      <c r="T190" s="415">
        <v>0</v>
      </c>
      <c r="U190" s="422">
        <v>1.9133</v>
      </c>
      <c r="V190" s="423">
        <f t="shared" si="231"/>
        <v>0</v>
      </c>
      <c r="W190" s="417">
        <f t="shared" si="231"/>
        <v>0</v>
      </c>
      <c r="X190" s="417">
        <v>0</v>
      </c>
      <c r="Y190" s="417">
        <v>0</v>
      </c>
      <c r="Z190" s="417">
        <v>0</v>
      </c>
      <c r="AA190" s="417">
        <v>6506</v>
      </c>
      <c r="AB190" s="417">
        <v>0</v>
      </c>
      <c r="AC190" s="417">
        <v>0</v>
      </c>
      <c r="AD190" s="417">
        <v>0</v>
      </c>
      <c r="AE190" s="417">
        <f t="shared" si="232"/>
        <v>0</v>
      </c>
      <c r="AF190" s="417">
        <f t="shared" si="233"/>
        <v>6506</v>
      </c>
      <c r="AG190" s="417">
        <f t="shared" si="234"/>
        <v>6506</v>
      </c>
      <c r="AH190" s="417">
        <v>0</v>
      </c>
      <c r="AI190" s="417">
        <v>0</v>
      </c>
      <c r="AJ190" s="417">
        <v>0</v>
      </c>
      <c r="AK190" s="417">
        <v>0</v>
      </c>
      <c r="AL190" s="417">
        <v>0</v>
      </c>
      <c r="AM190" s="417">
        <f t="shared" si="235"/>
        <v>0</v>
      </c>
      <c r="AN190" s="417">
        <f t="shared" si="236"/>
        <v>0</v>
      </c>
      <c r="AO190" s="417">
        <f t="shared" si="237"/>
        <v>0</v>
      </c>
      <c r="AP190" s="417">
        <f t="shared" si="238"/>
        <v>0</v>
      </c>
      <c r="AQ190" s="417">
        <f t="shared" si="238"/>
        <v>6506</v>
      </c>
      <c r="AR190" s="417">
        <f t="shared" si="239"/>
        <v>6506</v>
      </c>
      <c r="AS190" s="68">
        <f t="shared" si="240"/>
        <v>2199</v>
      </c>
      <c r="AT190" s="68">
        <f t="shared" si="241"/>
        <v>65</v>
      </c>
      <c r="AU190" s="417">
        <v>0</v>
      </c>
      <c r="AV190" s="417">
        <v>0</v>
      </c>
      <c r="AW190" s="417">
        <v>0</v>
      </c>
      <c r="AX190" s="417">
        <f t="shared" si="242"/>
        <v>0</v>
      </c>
      <c r="AY190" s="417">
        <f t="shared" si="243"/>
        <v>8770</v>
      </c>
      <c r="AZ190" s="418">
        <v>0</v>
      </c>
      <c r="BA190" s="418">
        <v>0</v>
      </c>
      <c r="BB190" s="418">
        <v>0</v>
      </c>
      <c r="BC190" s="418">
        <v>0</v>
      </c>
      <c r="BD190" s="418">
        <v>0.02</v>
      </c>
      <c r="BE190" s="418">
        <v>0</v>
      </c>
      <c r="BF190" s="418">
        <v>0</v>
      </c>
      <c r="BG190" s="418">
        <v>0</v>
      </c>
      <c r="BH190" s="418">
        <v>0</v>
      </c>
      <c r="BI190" s="418">
        <f t="shared" si="244"/>
        <v>0</v>
      </c>
      <c r="BJ190" s="418">
        <f t="shared" si="245"/>
        <v>0.02</v>
      </c>
      <c r="BK190" s="420">
        <f t="shared" si="246"/>
        <v>0.02</v>
      </c>
      <c r="BL190" s="772">
        <f>I190+AY190</f>
        <v>869353</v>
      </c>
      <c r="BM190" s="772">
        <f>J190+AG190</f>
        <v>642568</v>
      </c>
      <c r="BN190" s="417">
        <f t="shared" si="303"/>
        <v>0</v>
      </c>
      <c r="BO190" s="417">
        <f t="shared" si="303"/>
        <v>642568</v>
      </c>
      <c r="BP190" s="417">
        <f>M190+AO190</f>
        <v>0</v>
      </c>
      <c r="BQ190" s="417">
        <f t="shared" si="304"/>
        <v>0</v>
      </c>
      <c r="BR190" s="417">
        <f t="shared" si="304"/>
        <v>0</v>
      </c>
      <c r="BS190" s="417">
        <f t="shared" si="305"/>
        <v>217188</v>
      </c>
      <c r="BT190" s="417">
        <f t="shared" si="305"/>
        <v>6425</v>
      </c>
      <c r="BU190" s="417">
        <f>R190+AX190</f>
        <v>3172</v>
      </c>
      <c r="BV190" s="418">
        <f>S190+BK190</f>
        <v>1.9333</v>
      </c>
      <c r="BW190" s="418">
        <f t="shared" si="306"/>
        <v>0</v>
      </c>
      <c r="BX190" s="420">
        <f t="shared" si="306"/>
        <v>1.9333</v>
      </c>
      <c r="BY190" s="840"/>
      <c r="BZ190" s="717"/>
      <c r="CA190" s="717"/>
      <c r="CB190" s="717"/>
      <c r="CC190" s="717"/>
      <c r="CD190" s="822"/>
      <c r="CE190" s="1029"/>
      <c r="CF190" s="1030"/>
      <c r="CG190" s="1030"/>
      <c r="CH190" s="1030"/>
      <c r="CI190" s="1030"/>
      <c r="CJ190" s="828"/>
    </row>
    <row r="191" spans="1:88" ht="12.95" customHeight="1">
      <c r="A191" s="280">
        <v>37</v>
      </c>
      <c r="B191" s="212">
        <v>5455</v>
      </c>
      <c r="C191" s="212">
        <v>600099067</v>
      </c>
      <c r="D191" s="281">
        <v>70986088</v>
      </c>
      <c r="E191" s="371" t="s">
        <v>521</v>
      </c>
      <c r="F191" s="382">
        <v>3143</v>
      </c>
      <c r="G191" s="323" t="s">
        <v>595</v>
      </c>
      <c r="H191" s="285" t="s">
        <v>271</v>
      </c>
      <c r="I191" s="419">
        <v>493636</v>
      </c>
      <c r="J191" s="414">
        <v>366199</v>
      </c>
      <c r="K191" s="414">
        <v>366199</v>
      </c>
      <c r="L191" s="414">
        <v>0</v>
      </c>
      <c r="M191" s="414">
        <v>0</v>
      </c>
      <c r="N191" s="414">
        <v>0</v>
      </c>
      <c r="O191" s="414">
        <v>0</v>
      </c>
      <c r="P191" s="68">
        <v>123775</v>
      </c>
      <c r="Q191" s="68">
        <v>3662</v>
      </c>
      <c r="R191" s="414">
        <v>0</v>
      </c>
      <c r="S191" s="415">
        <v>0.67800000000000005</v>
      </c>
      <c r="T191" s="415">
        <v>0.67800000000000005</v>
      </c>
      <c r="U191" s="422">
        <v>0</v>
      </c>
      <c r="V191" s="423">
        <f t="shared" si="231"/>
        <v>0</v>
      </c>
      <c r="W191" s="417">
        <f t="shared" si="231"/>
        <v>0</v>
      </c>
      <c r="X191" s="417">
        <v>0</v>
      </c>
      <c r="Y191" s="417">
        <v>0</v>
      </c>
      <c r="Z191" s="417">
        <v>0</v>
      </c>
      <c r="AA191" s="417">
        <v>0</v>
      </c>
      <c r="AB191" s="417">
        <v>0</v>
      </c>
      <c r="AC191" s="417">
        <v>0</v>
      </c>
      <c r="AD191" s="417">
        <v>0</v>
      </c>
      <c r="AE191" s="417">
        <f t="shared" si="232"/>
        <v>0</v>
      </c>
      <c r="AF191" s="417">
        <f t="shared" si="233"/>
        <v>0</v>
      </c>
      <c r="AG191" s="417">
        <f t="shared" si="234"/>
        <v>0</v>
      </c>
      <c r="AH191" s="417">
        <v>0</v>
      </c>
      <c r="AI191" s="417">
        <v>0</v>
      </c>
      <c r="AJ191" s="417">
        <v>0</v>
      </c>
      <c r="AK191" s="417">
        <v>0</v>
      </c>
      <c r="AL191" s="417">
        <v>0</v>
      </c>
      <c r="AM191" s="417">
        <f t="shared" si="235"/>
        <v>0</v>
      </c>
      <c r="AN191" s="417">
        <f t="shared" si="236"/>
        <v>0</v>
      </c>
      <c r="AO191" s="417">
        <f t="shared" si="237"/>
        <v>0</v>
      </c>
      <c r="AP191" s="417">
        <f t="shared" si="238"/>
        <v>0</v>
      </c>
      <c r="AQ191" s="417">
        <f t="shared" si="238"/>
        <v>0</v>
      </c>
      <c r="AR191" s="417">
        <f t="shared" si="239"/>
        <v>0</v>
      </c>
      <c r="AS191" s="68">
        <f t="shared" si="240"/>
        <v>0</v>
      </c>
      <c r="AT191" s="68">
        <f t="shared" si="241"/>
        <v>0</v>
      </c>
      <c r="AU191" s="417">
        <v>0</v>
      </c>
      <c r="AV191" s="417">
        <v>0</v>
      </c>
      <c r="AW191" s="417">
        <v>0</v>
      </c>
      <c r="AX191" s="417">
        <f t="shared" si="242"/>
        <v>0</v>
      </c>
      <c r="AY191" s="417">
        <f t="shared" si="243"/>
        <v>0</v>
      </c>
      <c r="AZ191" s="418">
        <v>0</v>
      </c>
      <c r="BA191" s="418">
        <v>0</v>
      </c>
      <c r="BB191" s="418">
        <v>0</v>
      </c>
      <c r="BC191" s="418">
        <v>0</v>
      </c>
      <c r="BD191" s="418">
        <v>0</v>
      </c>
      <c r="BE191" s="418">
        <v>0</v>
      </c>
      <c r="BF191" s="418">
        <v>0</v>
      </c>
      <c r="BG191" s="418">
        <v>0</v>
      </c>
      <c r="BH191" s="418">
        <v>0</v>
      </c>
      <c r="BI191" s="418">
        <f t="shared" si="244"/>
        <v>0</v>
      </c>
      <c r="BJ191" s="418">
        <f t="shared" si="245"/>
        <v>0</v>
      </c>
      <c r="BK191" s="420">
        <f t="shared" si="246"/>
        <v>0</v>
      </c>
      <c r="BL191" s="772">
        <f>I191+AY191</f>
        <v>493636</v>
      </c>
      <c r="BM191" s="772">
        <f>J191+AG191</f>
        <v>366199</v>
      </c>
      <c r="BN191" s="417">
        <f t="shared" si="303"/>
        <v>366199</v>
      </c>
      <c r="BO191" s="417">
        <f t="shared" si="303"/>
        <v>0</v>
      </c>
      <c r="BP191" s="417">
        <f>M191+AO191</f>
        <v>0</v>
      </c>
      <c r="BQ191" s="417">
        <f t="shared" si="304"/>
        <v>0</v>
      </c>
      <c r="BR191" s="417">
        <f t="shared" si="304"/>
        <v>0</v>
      </c>
      <c r="BS191" s="417">
        <f t="shared" si="305"/>
        <v>123775</v>
      </c>
      <c r="BT191" s="417">
        <f t="shared" si="305"/>
        <v>3662</v>
      </c>
      <c r="BU191" s="417">
        <f>R191+AX191</f>
        <v>0</v>
      </c>
      <c r="BV191" s="418">
        <f>S191+BK191</f>
        <v>0.67800000000000005</v>
      </c>
      <c r="BW191" s="418">
        <f t="shared" si="306"/>
        <v>0.67800000000000005</v>
      </c>
      <c r="BX191" s="420">
        <f t="shared" si="306"/>
        <v>0</v>
      </c>
      <c r="BY191" s="840"/>
      <c r="BZ191" s="717"/>
      <c r="CA191" s="717"/>
      <c r="CB191" s="717"/>
      <c r="CC191" s="717"/>
      <c r="CD191" s="822"/>
      <c r="CE191" s="1029"/>
      <c r="CF191" s="1030"/>
      <c r="CG191" s="1030"/>
      <c r="CH191" s="1030"/>
      <c r="CI191" s="1030"/>
      <c r="CJ191" s="828"/>
    </row>
    <row r="192" spans="1:88" ht="12.95" customHeight="1">
      <c r="A192" s="280">
        <v>37</v>
      </c>
      <c r="B192" s="212">
        <v>5455</v>
      </c>
      <c r="C192" s="212">
        <v>600099067</v>
      </c>
      <c r="D192" s="281">
        <v>70986088</v>
      </c>
      <c r="E192" s="371" t="s">
        <v>521</v>
      </c>
      <c r="F192" s="382">
        <v>3143</v>
      </c>
      <c r="G192" s="323" t="s">
        <v>596</v>
      </c>
      <c r="H192" s="285" t="s">
        <v>272</v>
      </c>
      <c r="I192" s="419">
        <v>17673</v>
      </c>
      <c r="J192" s="414">
        <v>12650</v>
      </c>
      <c r="K192" s="414">
        <v>0</v>
      </c>
      <c r="L192" s="414">
        <v>12650</v>
      </c>
      <c r="M192" s="414">
        <v>0</v>
      </c>
      <c r="N192" s="414">
        <v>0</v>
      </c>
      <c r="O192" s="414">
        <v>0</v>
      </c>
      <c r="P192" s="68">
        <v>4276</v>
      </c>
      <c r="Q192" s="68">
        <v>126</v>
      </c>
      <c r="R192" s="414">
        <v>621</v>
      </c>
      <c r="S192" s="415">
        <v>5.1900000000000002E-2</v>
      </c>
      <c r="T192" s="415">
        <v>0</v>
      </c>
      <c r="U192" s="422">
        <v>5.1900000000000002E-2</v>
      </c>
      <c r="V192" s="423">
        <f t="shared" si="231"/>
        <v>0</v>
      </c>
      <c r="W192" s="417">
        <f t="shared" si="231"/>
        <v>0</v>
      </c>
      <c r="X192" s="417">
        <v>0</v>
      </c>
      <c r="Y192" s="417">
        <v>0</v>
      </c>
      <c r="Z192" s="417">
        <v>0</v>
      </c>
      <c r="AA192" s="417">
        <v>0</v>
      </c>
      <c r="AB192" s="417">
        <v>0</v>
      </c>
      <c r="AC192" s="417">
        <v>0</v>
      </c>
      <c r="AD192" s="417">
        <v>0</v>
      </c>
      <c r="AE192" s="417">
        <f t="shared" si="232"/>
        <v>0</v>
      </c>
      <c r="AF192" s="417">
        <f t="shared" si="233"/>
        <v>0</v>
      </c>
      <c r="AG192" s="417">
        <f t="shared" si="234"/>
        <v>0</v>
      </c>
      <c r="AH192" s="417">
        <v>0</v>
      </c>
      <c r="AI192" s="417">
        <v>0</v>
      </c>
      <c r="AJ192" s="417">
        <v>0</v>
      </c>
      <c r="AK192" s="417">
        <v>0</v>
      </c>
      <c r="AL192" s="417">
        <v>0</v>
      </c>
      <c r="AM192" s="417">
        <f t="shared" si="235"/>
        <v>0</v>
      </c>
      <c r="AN192" s="417">
        <f t="shared" si="236"/>
        <v>0</v>
      </c>
      <c r="AO192" s="417">
        <f t="shared" si="237"/>
        <v>0</v>
      </c>
      <c r="AP192" s="417">
        <f t="shared" si="238"/>
        <v>0</v>
      </c>
      <c r="AQ192" s="417">
        <f t="shared" si="238"/>
        <v>0</v>
      </c>
      <c r="AR192" s="417">
        <f t="shared" si="239"/>
        <v>0</v>
      </c>
      <c r="AS192" s="68">
        <f t="shared" si="240"/>
        <v>0</v>
      </c>
      <c r="AT192" s="68">
        <f t="shared" si="241"/>
        <v>0</v>
      </c>
      <c r="AU192" s="417">
        <v>0</v>
      </c>
      <c r="AV192" s="417">
        <v>0</v>
      </c>
      <c r="AW192" s="417">
        <v>0</v>
      </c>
      <c r="AX192" s="417">
        <f t="shared" si="242"/>
        <v>0</v>
      </c>
      <c r="AY192" s="417">
        <f t="shared" si="243"/>
        <v>0</v>
      </c>
      <c r="AZ192" s="418">
        <v>0</v>
      </c>
      <c r="BA192" s="418">
        <v>0</v>
      </c>
      <c r="BB192" s="418">
        <v>0</v>
      </c>
      <c r="BC192" s="418">
        <v>0</v>
      </c>
      <c r="BD192" s="418">
        <v>0</v>
      </c>
      <c r="BE192" s="418">
        <v>0</v>
      </c>
      <c r="BF192" s="418">
        <v>0</v>
      </c>
      <c r="BG192" s="418">
        <v>0</v>
      </c>
      <c r="BH192" s="418">
        <v>0</v>
      </c>
      <c r="BI192" s="418">
        <f t="shared" si="244"/>
        <v>0</v>
      </c>
      <c r="BJ192" s="418">
        <f t="shared" si="245"/>
        <v>0</v>
      </c>
      <c r="BK192" s="420">
        <f t="shared" si="246"/>
        <v>0</v>
      </c>
      <c r="BL192" s="772">
        <f>I192+AY192</f>
        <v>17673</v>
      </c>
      <c r="BM192" s="772">
        <f>J192+AG192</f>
        <v>12650</v>
      </c>
      <c r="BN192" s="417">
        <f t="shared" si="303"/>
        <v>0</v>
      </c>
      <c r="BO192" s="417">
        <f t="shared" si="303"/>
        <v>12650</v>
      </c>
      <c r="BP192" s="417">
        <f>M192+AO192</f>
        <v>0</v>
      </c>
      <c r="BQ192" s="417">
        <f t="shared" si="304"/>
        <v>0</v>
      </c>
      <c r="BR192" s="417">
        <f t="shared" si="304"/>
        <v>0</v>
      </c>
      <c r="BS192" s="417">
        <f t="shared" si="305"/>
        <v>4276</v>
      </c>
      <c r="BT192" s="417">
        <f t="shared" si="305"/>
        <v>126</v>
      </c>
      <c r="BU192" s="417">
        <f>R192+AX192</f>
        <v>621</v>
      </c>
      <c r="BV192" s="418">
        <f>S192+BK192</f>
        <v>5.1900000000000002E-2</v>
      </c>
      <c r="BW192" s="418">
        <f t="shared" si="306"/>
        <v>0</v>
      </c>
      <c r="BX192" s="420">
        <f t="shared" si="306"/>
        <v>5.1900000000000002E-2</v>
      </c>
      <c r="BY192" s="840"/>
      <c r="BZ192" s="717"/>
      <c r="CA192" s="717"/>
      <c r="CB192" s="717"/>
      <c r="CC192" s="717"/>
      <c r="CD192" s="822"/>
      <c r="CE192" s="1029"/>
      <c r="CF192" s="1030"/>
      <c r="CG192" s="1030"/>
      <c r="CH192" s="1030"/>
      <c r="CI192" s="1030"/>
      <c r="CJ192" s="828"/>
    </row>
    <row r="193" spans="1:88" ht="12.95" customHeight="1">
      <c r="A193" s="214">
        <v>37</v>
      </c>
      <c r="B193" s="45">
        <v>5455</v>
      </c>
      <c r="C193" s="45">
        <v>600099067</v>
      </c>
      <c r="D193" s="45">
        <v>70986088</v>
      </c>
      <c r="E193" s="383" t="s">
        <v>522</v>
      </c>
      <c r="F193" s="384"/>
      <c r="G193" s="383"/>
      <c r="H193" s="385"/>
      <c r="I193" s="486">
        <v>7729461</v>
      </c>
      <c r="J193" s="482">
        <v>5684305</v>
      </c>
      <c r="K193" s="482">
        <v>4419650</v>
      </c>
      <c r="L193" s="482">
        <v>1264655</v>
      </c>
      <c r="M193" s="482">
        <v>0</v>
      </c>
      <c r="N193" s="482">
        <v>0</v>
      </c>
      <c r="O193" s="482">
        <v>0</v>
      </c>
      <c r="P193" s="482">
        <v>1921296</v>
      </c>
      <c r="Q193" s="482">
        <v>56842</v>
      </c>
      <c r="R193" s="482">
        <v>67018</v>
      </c>
      <c r="S193" s="483">
        <v>10.930800000000001</v>
      </c>
      <c r="T193" s="483">
        <v>7.0415999999999999</v>
      </c>
      <c r="U193" s="651">
        <v>3.8891999999999998</v>
      </c>
      <c r="V193" s="486">
        <f t="shared" ref="V193:BK193" si="307">SUM(V188:V192)</f>
        <v>0</v>
      </c>
      <c r="W193" s="482">
        <f t="shared" si="307"/>
        <v>0</v>
      </c>
      <c r="X193" s="482">
        <f t="shared" si="307"/>
        <v>0</v>
      </c>
      <c r="Y193" s="482">
        <f t="shared" si="307"/>
        <v>0</v>
      </c>
      <c r="Z193" s="482">
        <f t="shared" si="307"/>
        <v>0</v>
      </c>
      <c r="AA193" s="482">
        <f t="shared" si="307"/>
        <v>6506</v>
      </c>
      <c r="AB193" s="482">
        <f t="shared" si="307"/>
        <v>0</v>
      </c>
      <c r="AC193" s="482">
        <f t="shared" si="307"/>
        <v>0</v>
      </c>
      <c r="AD193" s="482">
        <f t="shared" si="307"/>
        <v>0</v>
      </c>
      <c r="AE193" s="482">
        <f t="shared" si="307"/>
        <v>0</v>
      </c>
      <c r="AF193" s="482">
        <f t="shared" si="307"/>
        <v>6506</v>
      </c>
      <c r="AG193" s="482">
        <f t="shared" si="307"/>
        <v>6506</v>
      </c>
      <c r="AH193" s="482">
        <f t="shared" si="307"/>
        <v>0</v>
      </c>
      <c r="AI193" s="482">
        <f t="shared" si="307"/>
        <v>0</v>
      </c>
      <c r="AJ193" s="482">
        <f t="shared" si="307"/>
        <v>0</v>
      </c>
      <c r="AK193" s="482">
        <f t="shared" si="307"/>
        <v>0</v>
      </c>
      <c r="AL193" s="482">
        <f t="shared" si="307"/>
        <v>0</v>
      </c>
      <c r="AM193" s="482">
        <f t="shared" si="307"/>
        <v>0</v>
      </c>
      <c r="AN193" s="482">
        <f t="shared" si="307"/>
        <v>0</v>
      </c>
      <c r="AO193" s="482">
        <f t="shared" si="307"/>
        <v>0</v>
      </c>
      <c r="AP193" s="482">
        <f t="shared" si="307"/>
        <v>0</v>
      </c>
      <c r="AQ193" s="482">
        <f t="shared" si="307"/>
        <v>6506</v>
      </c>
      <c r="AR193" s="482">
        <f t="shared" si="307"/>
        <v>6506</v>
      </c>
      <c r="AS193" s="482">
        <f t="shared" si="307"/>
        <v>2199</v>
      </c>
      <c r="AT193" s="482">
        <f t="shared" si="307"/>
        <v>65</v>
      </c>
      <c r="AU193" s="482">
        <f t="shared" si="307"/>
        <v>0</v>
      </c>
      <c r="AV193" s="482">
        <f t="shared" si="307"/>
        <v>0</v>
      </c>
      <c r="AW193" s="482">
        <f t="shared" si="307"/>
        <v>0</v>
      </c>
      <c r="AX193" s="482">
        <f t="shared" si="307"/>
        <v>0</v>
      </c>
      <c r="AY193" s="482">
        <f t="shared" si="307"/>
        <v>8770</v>
      </c>
      <c r="AZ193" s="483">
        <f t="shared" si="307"/>
        <v>0</v>
      </c>
      <c r="BA193" s="483">
        <f t="shared" si="307"/>
        <v>0</v>
      </c>
      <c r="BB193" s="483">
        <f t="shared" si="307"/>
        <v>0</v>
      </c>
      <c r="BC193" s="483">
        <f t="shared" si="307"/>
        <v>0</v>
      </c>
      <c r="BD193" s="483">
        <f t="shared" si="307"/>
        <v>0.02</v>
      </c>
      <c r="BE193" s="483">
        <f t="shared" si="307"/>
        <v>0</v>
      </c>
      <c r="BF193" s="483">
        <f t="shared" si="307"/>
        <v>0</v>
      </c>
      <c r="BG193" s="483">
        <f t="shared" si="307"/>
        <v>0</v>
      </c>
      <c r="BH193" s="483">
        <f t="shared" si="307"/>
        <v>0</v>
      </c>
      <c r="BI193" s="483">
        <f t="shared" si="307"/>
        <v>0</v>
      </c>
      <c r="BJ193" s="483">
        <f t="shared" si="307"/>
        <v>0.02</v>
      </c>
      <c r="BK193" s="375">
        <f t="shared" si="307"/>
        <v>0.02</v>
      </c>
      <c r="BL193" s="1074">
        <f t="shared" ref="BL193:CG193" si="308">SUM(BL188:BL192)</f>
        <v>7738231</v>
      </c>
      <c r="BM193" s="1074">
        <f t="shared" si="308"/>
        <v>5690811</v>
      </c>
      <c r="BN193" s="482">
        <f t="shared" si="308"/>
        <v>4419650</v>
      </c>
      <c r="BO193" s="482">
        <f t="shared" si="308"/>
        <v>1271161</v>
      </c>
      <c r="BP193" s="482">
        <f t="shared" si="308"/>
        <v>0</v>
      </c>
      <c r="BQ193" s="482">
        <f t="shared" si="308"/>
        <v>0</v>
      </c>
      <c r="BR193" s="482">
        <f t="shared" si="308"/>
        <v>0</v>
      </c>
      <c r="BS193" s="482">
        <f t="shared" si="308"/>
        <v>1923495</v>
      </c>
      <c r="BT193" s="482">
        <f t="shared" si="308"/>
        <v>56907</v>
      </c>
      <c r="BU193" s="482">
        <f t="shared" si="308"/>
        <v>67018</v>
      </c>
      <c r="BV193" s="483">
        <f t="shared" si="308"/>
        <v>10.950800000000001</v>
      </c>
      <c r="BW193" s="483">
        <f t="shared" si="308"/>
        <v>7.0415999999999999</v>
      </c>
      <c r="BX193" s="375">
        <f t="shared" si="308"/>
        <v>3.9091999999999998</v>
      </c>
      <c r="BY193" s="939">
        <f t="shared" si="308"/>
        <v>0</v>
      </c>
      <c r="BZ193" s="727">
        <f t="shared" si="308"/>
        <v>0</v>
      </c>
      <c r="CA193" s="727">
        <f t="shared" si="308"/>
        <v>0</v>
      </c>
      <c r="CB193" s="727">
        <f t="shared" si="308"/>
        <v>0</v>
      </c>
      <c r="CC193" s="727">
        <f t="shared" si="308"/>
        <v>0</v>
      </c>
      <c r="CD193" s="833">
        <f t="shared" si="308"/>
        <v>0</v>
      </c>
      <c r="CE193" s="1023">
        <f t="shared" si="308"/>
        <v>279364</v>
      </c>
      <c r="CF193" s="1023">
        <f t="shared" si="308"/>
        <v>197683</v>
      </c>
      <c r="CG193" s="1023">
        <f t="shared" si="308"/>
        <v>66817</v>
      </c>
      <c r="CH193" s="1023">
        <f t="shared" ref="CH193:CJ193" si="309">SUM(CH188:CH192)</f>
        <v>1977</v>
      </c>
      <c r="CI193" s="1023">
        <f t="shared" si="309"/>
        <v>12887</v>
      </c>
      <c r="CJ193" s="934">
        <f t="shared" si="309"/>
        <v>0.61749999999999994</v>
      </c>
    </row>
    <row r="194" spans="1:88" ht="12.95" customHeight="1">
      <c r="A194" s="280">
        <v>38</v>
      </c>
      <c r="B194" s="212">
        <v>5470</v>
      </c>
      <c r="C194" s="212">
        <v>600099091</v>
      </c>
      <c r="D194" s="281">
        <v>70695822</v>
      </c>
      <c r="E194" s="372" t="s">
        <v>523</v>
      </c>
      <c r="F194" s="212">
        <v>3111</v>
      </c>
      <c r="G194" s="373" t="s">
        <v>304</v>
      </c>
      <c r="H194" s="285" t="s">
        <v>271</v>
      </c>
      <c r="I194" s="419">
        <v>2990314</v>
      </c>
      <c r="J194" s="414">
        <v>2210322</v>
      </c>
      <c r="K194" s="414">
        <v>2033904</v>
      </c>
      <c r="L194" s="414">
        <v>176418</v>
      </c>
      <c r="M194" s="414">
        <v>0</v>
      </c>
      <c r="N194" s="414">
        <v>0</v>
      </c>
      <c r="O194" s="414">
        <v>0</v>
      </c>
      <c r="P194" s="68">
        <v>747089</v>
      </c>
      <c r="Q194" s="68">
        <v>22103</v>
      </c>
      <c r="R194" s="414">
        <v>10800</v>
      </c>
      <c r="S194" s="415">
        <v>4.6100000000000003</v>
      </c>
      <c r="T194" s="415">
        <v>3.9032</v>
      </c>
      <c r="U194" s="422">
        <v>0.70679999999999998</v>
      </c>
      <c r="V194" s="423">
        <f t="shared" si="231"/>
        <v>0</v>
      </c>
      <c r="W194" s="417">
        <f t="shared" si="231"/>
        <v>0</v>
      </c>
      <c r="X194" s="417">
        <v>0</v>
      </c>
      <c r="Y194" s="417">
        <v>0</v>
      </c>
      <c r="Z194" s="417">
        <v>0</v>
      </c>
      <c r="AA194" s="417">
        <v>0</v>
      </c>
      <c r="AB194" s="417">
        <v>0</v>
      </c>
      <c r="AC194" s="417">
        <v>0</v>
      </c>
      <c r="AD194" s="417">
        <v>0</v>
      </c>
      <c r="AE194" s="417">
        <f t="shared" si="232"/>
        <v>0</v>
      </c>
      <c r="AF194" s="417">
        <f t="shared" si="233"/>
        <v>0</v>
      </c>
      <c r="AG194" s="417">
        <f t="shared" si="234"/>
        <v>0</v>
      </c>
      <c r="AH194" s="417">
        <v>0</v>
      </c>
      <c r="AI194" s="417">
        <v>0</v>
      </c>
      <c r="AJ194" s="417">
        <v>0</v>
      </c>
      <c r="AK194" s="417">
        <v>20535</v>
      </c>
      <c r="AL194" s="417">
        <v>0</v>
      </c>
      <c r="AM194" s="417">
        <f t="shared" si="235"/>
        <v>20535</v>
      </c>
      <c r="AN194" s="417">
        <f t="shared" si="236"/>
        <v>0</v>
      </c>
      <c r="AO194" s="417">
        <f t="shared" si="237"/>
        <v>20535</v>
      </c>
      <c r="AP194" s="417">
        <f t="shared" si="238"/>
        <v>20535</v>
      </c>
      <c r="AQ194" s="417">
        <f t="shared" si="238"/>
        <v>0</v>
      </c>
      <c r="AR194" s="417">
        <f t="shared" si="239"/>
        <v>20535</v>
      </c>
      <c r="AS194" s="68">
        <f t="shared" si="240"/>
        <v>0</v>
      </c>
      <c r="AT194" s="68">
        <f t="shared" si="241"/>
        <v>0</v>
      </c>
      <c r="AU194" s="417">
        <v>0</v>
      </c>
      <c r="AV194" s="417">
        <v>0</v>
      </c>
      <c r="AW194" s="417">
        <v>0</v>
      </c>
      <c r="AX194" s="417">
        <f t="shared" si="242"/>
        <v>0</v>
      </c>
      <c r="AY194" s="417">
        <f t="shared" si="243"/>
        <v>20535</v>
      </c>
      <c r="AZ194" s="418">
        <v>0</v>
      </c>
      <c r="BA194" s="418">
        <v>0</v>
      </c>
      <c r="BB194" s="418">
        <v>0</v>
      </c>
      <c r="BC194" s="418">
        <v>0</v>
      </c>
      <c r="BD194" s="418">
        <v>0</v>
      </c>
      <c r="BE194" s="418">
        <v>0</v>
      </c>
      <c r="BF194" s="418">
        <v>0</v>
      </c>
      <c r="BG194" s="418">
        <v>0</v>
      </c>
      <c r="BH194" s="418">
        <v>0</v>
      </c>
      <c r="BI194" s="418">
        <f t="shared" si="244"/>
        <v>0</v>
      </c>
      <c r="BJ194" s="418">
        <f t="shared" si="245"/>
        <v>0</v>
      </c>
      <c r="BK194" s="420">
        <f t="shared" si="246"/>
        <v>0</v>
      </c>
      <c r="BL194" s="772">
        <f t="shared" ref="BL194:BL199" si="310">I194+AY194</f>
        <v>3010849</v>
      </c>
      <c r="BM194" s="772">
        <f t="shared" ref="BM194:BM199" si="311">J194+AG194</f>
        <v>2210322</v>
      </c>
      <c r="BN194" s="417">
        <f t="shared" ref="BN194:BO199" si="312">K194+AE194</f>
        <v>2033904</v>
      </c>
      <c r="BO194" s="417">
        <f t="shared" si="312"/>
        <v>176418</v>
      </c>
      <c r="BP194" s="417">
        <f t="shared" ref="BP194:BP199" si="313">M194+AO194</f>
        <v>20535</v>
      </c>
      <c r="BQ194" s="417">
        <f t="shared" ref="BQ194:BR199" si="314">N194+AM194</f>
        <v>20535</v>
      </c>
      <c r="BR194" s="417">
        <f t="shared" si="314"/>
        <v>0</v>
      </c>
      <c r="BS194" s="417">
        <f t="shared" ref="BS194:BT199" si="315">P194+AS194</f>
        <v>747089</v>
      </c>
      <c r="BT194" s="417">
        <f t="shared" si="315"/>
        <v>22103</v>
      </c>
      <c r="BU194" s="417">
        <f t="shared" ref="BU194:BU199" si="316">R194+AX194</f>
        <v>10800</v>
      </c>
      <c r="BV194" s="418">
        <f t="shared" ref="BV194:BV199" si="317">S194+BK194</f>
        <v>4.6100000000000003</v>
      </c>
      <c r="BW194" s="418">
        <f t="shared" ref="BW194:BX199" si="318">T194+BI194</f>
        <v>3.9032</v>
      </c>
      <c r="BX194" s="420">
        <f t="shared" si="318"/>
        <v>0.70679999999999998</v>
      </c>
      <c r="BY194" s="840"/>
      <c r="BZ194" s="717"/>
      <c r="CA194" s="717"/>
      <c r="CB194" s="717"/>
      <c r="CC194" s="717"/>
      <c r="CD194" s="822"/>
      <c r="CE194" s="1029">
        <v>79901</v>
      </c>
      <c r="CF194" s="1030">
        <v>56610</v>
      </c>
      <c r="CG194" s="1030">
        <v>19134</v>
      </c>
      <c r="CH194" s="1030">
        <v>566</v>
      </c>
      <c r="CI194" s="1030">
        <v>3591</v>
      </c>
      <c r="CJ194" s="828">
        <v>0.2268</v>
      </c>
    </row>
    <row r="195" spans="1:88" ht="12.95" customHeight="1">
      <c r="A195" s="280">
        <v>38</v>
      </c>
      <c r="B195" s="212">
        <v>5470</v>
      </c>
      <c r="C195" s="212">
        <v>600099091</v>
      </c>
      <c r="D195" s="281">
        <v>70695822</v>
      </c>
      <c r="E195" s="372" t="s">
        <v>523</v>
      </c>
      <c r="F195" s="212">
        <v>3117</v>
      </c>
      <c r="G195" s="372" t="s">
        <v>308</v>
      </c>
      <c r="H195" s="285" t="s">
        <v>271</v>
      </c>
      <c r="I195" s="419">
        <v>5991176</v>
      </c>
      <c r="J195" s="414">
        <v>4062269</v>
      </c>
      <c r="K195" s="414">
        <v>3372566</v>
      </c>
      <c r="L195" s="414">
        <v>689703</v>
      </c>
      <c r="M195" s="414">
        <v>302400</v>
      </c>
      <c r="N195" s="414">
        <v>152400</v>
      </c>
      <c r="O195" s="414">
        <v>150000</v>
      </c>
      <c r="P195" s="68">
        <v>1475258</v>
      </c>
      <c r="Q195" s="68">
        <v>40624</v>
      </c>
      <c r="R195" s="414">
        <v>110625</v>
      </c>
      <c r="S195" s="415">
        <v>7.6566999999999998</v>
      </c>
      <c r="T195" s="415">
        <v>5.2907000000000002</v>
      </c>
      <c r="U195" s="422">
        <v>2.3659999999999997</v>
      </c>
      <c r="V195" s="423">
        <f t="shared" si="231"/>
        <v>-88309</v>
      </c>
      <c r="W195" s="417">
        <f t="shared" si="231"/>
        <v>150000</v>
      </c>
      <c r="X195" s="417">
        <v>0</v>
      </c>
      <c r="Y195" s="417">
        <v>0</v>
      </c>
      <c r="Z195" s="417">
        <v>48248</v>
      </c>
      <c r="AA195" s="417">
        <v>0</v>
      </c>
      <c r="AB195" s="417">
        <v>0</v>
      </c>
      <c r="AC195" s="417">
        <v>0</v>
      </c>
      <c r="AD195" s="417">
        <v>0</v>
      </c>
      <c r="AE195" s="417">
        <f t="shared" si="232"/>
        <v>-40061</v>
      </c>
      <c r="AF195" s="417">
        <f t="shared" si="233"/>
        <v>150000</v>
      </c>
      <c r="AG195" s="417">
        <f t="shared" si="234"/>
        <v>109939</v>
      </c>
      <c r="AH195" s="417">
        <v>88309</v>
      </c>
      <c r="AI195" s="417">
        <v>-150000</v>
      </c>
      <c r="AJ195" s="417">
        <v>0</v>
      </c>
      <c r="AK195" s="417">
        <v>45756</v>
      </c>
      <c r="AL195" s="417">
        <v>0</v>
      </c>
      <c r="AM195" s="417">
        <f t="shared" si="235"/>
        <v>134065</v>
      </c>
      <c r="AN195" s="417">
        <f t="shared" si="236"/>
        <v>-150000</v>
      </c>
      <c r="AO195" s="417">
        <f t="shared" si="237"/>
        <v>-15935</v>
      </c>
      <c r="AP195" s="417">
        <f t="shared" si="238"/>
        <v>94004</v>
      </c>
      <c r="AQ195" s="417">
        <f t="shared" si="238"/>
        <v>0</v>
      </c>
      <c r="AR195" s="417">
        <f t="shared" si="239"/>
        <v>94004</v>
      </c>
      <c r="AS195" s="68">
        <f t="shared" si="240"/>
        <v>16308</v>
      </c>
      <c r="AT195" s="68">
        <f t="shared" si="241"/>
        <v>1099</v>
      </c>
      <c r="AU195" s="417">
        <v>0</v>
      </c>
      <c r="AV195" s="417">
        <v>0</v>
      </c>
      <c r="AW195" s="417">
        <v>0</v>
      </c>
      <c r="AX195" s="417">
        <f t="shared" si="242"/>
        <v>0</v>
      </c>
      <c r="AY195" s="417">
        <f t="shared" si="243"/>
        <v>111411</v>
      </c>
      <c r="AZ195" s="418">
        <v>-0.34</v>
      </c>
      <c r="BA195" s="418">
        <v>0</v>
      </c>
      <c r="BB195" s="418">
        <v>0</v>
      </c>
      <c r="BC195" s="418">
        <v>0.1</v>
      </c>
      <c r="BD195" s="418">
        <v>0</v>
      </c>
      <c r="BE195" s="418">
        <v>0</v>
      </c>
      <c r="BF195" s="418">
        <v>0</v>
      </c>
      <c r="BG195" s="418">
        <v>0</v>
      </c>
      <c r="BH195" s="418">
        <v>0</v>
      </c>
      <c r="BI195" s="418">
        <f t="shared" si="244"/>
        <v>-0.24000000000000002</v>
      </c>
      <c r="BJ195" s="418">
        <f t="shared" si="245"/>
        <v>0</v>
      </c>
      <c r="BK195" s="420">
        <f t="shared" si="246"/>
        <v>-0.24000000000000002</v>
      </c>
      <c r="BL195" s="772">
        <f t="shared" si="310"/>
        <v>6102587</v>
      </c>
      <c r="BM195" s="772">
        <f t="shared" si="311"/>
        <v>4172208</v>
      </c>
      <c r="BN195" s="417">
        <f t="shared" si="312"/>
        <v>3332505</v>
      </c>
      <c r="BO195" s="417">
        <f t="shared" si="312"/>
        <v>839703</v>
      </c>
      <c r="BP195" s="417">
        <f t="shared" si="313"/>
        <v>286465</v>
      </c>
      <c r="BQ195" s="417">
        <f t="shared" si="314"/>
        <v>286465</v>
      </c>
      <c r="BR195" s="417">
        <f t="shared" si="314"/>
        <v>0</v>
      </c>
      <c r="BS195" s="417">
        <f t="shared" si="315"/>
        <v>1491566</v>
      </c>
      <c r="BT195" s="417">
        <f t="shared" si="315"/>
        <v>41723</v>
      </c>
      <c r="BU195" s="417">
        <f t="shared" si="316"/>
        <v>110625</v>
      </c>
      <c r="BV195" s="418">
        <f t="shared" si="317"/>
        <v>7.4166999999999996</v>
      </c>
      <c r="BW195" s="418">
        <f t="shared" si="318"/>
        <v>5.0507</v>
      </c>
      <c r="BX195" s="420">
        <f t="shared" si="318"/>
        <v>2.3659999999999997</v>
      </c>
      <c r="BY195" s="168">
        <v>152054</v>
      </c>
      <c r="BZ195" s="729">
        <v>112800</v>
      </c>
      <c r="CA195" s="729">
        <v>0</v>
      </c>
      <c r="CB195" s="729">
        <v>38126</v>
      </c>
      <c r="CC195" s="729">
        <v>1128</v>
      </c>
      <c r="CD195" s="828">
        <v>0.2</v>
      </c>
      <c r="CE195" s="1026">
        <v>382571</v>
      </c>
      <c r="CF195" s="1022">
        <v>269451</v>
      </c>
      <c r="CG195" s="1022">
        <v>91075</v>
      </c>
      <c r="CH195" s="1022">
        <v>2695</v>
      </c>
      <c r="CI195" s="1022">
        <v>19350</v>
      </c>
      <c r="CJ195" s="981">
        <v>0.75919999999999999</v>
      </c>
    </row>
    <row r="196" spans="1:88" ht="12.95" customHeight="1">
      <c r="A196" s="280">
        <v>38</v>
      </c>
      <c r="B196" s="376">
        <v>5470</v>
      </c>
      <c r="C196" s="376">
        <v>600099091</v>
      </c>
      <c r="D196" s="281">
        <v>70695822</v>
      </c>
      <c r="E196" s="372" t="s">
        <v>523</v>
      </c>
      <c r="F196" s="212">
        <v>3117</v>
      </c>
      <c r="G196" s="323" t="s">
        <v>291</v>
      </c>
      <c r="H196" s="285" t="s">
        <v>272</v>
      </c>
      <c r="I196" s="419">
        <v>1694654</v>
      </c>
      <c r="J196" s="414">
        <v>1254565</v>
      </c>
      <c r="K196" s="414">
        <v>1254565</v>
      </c>
      <c r="L196" s="414">
        <v>0</v>
      </c>
      <c r="M196" s="414">
        <v>0</v>
      </c>
      <c r="N196" s="414">
        <v>0</v>
      </c>
      <c r="O196" s="414">
        <v>0</v>
      </c>
      <c r="P196" s="68">
        <v>424043</v>
      </c>
      <c r="Q196" s="68">
        <v>12546</v>
      </c>
      <c r="R196" s="414">
        <v>3500</v>
      </c>
      <c r="S196" s="415">
        <v>3.38</v>
      </c>
      <c r="T196" s="415">
        <v>3.38</v>
      </c>
      <c r="U196" s="422">
        <v>0</v>
      </c>
      <c r="V196" s="423">
        <f t="shared" si="231"/>
        <v>0</v>
      </c>
      <c r="W196" s="417">
        <f t="shared" si="231"/>
        <v>0</v>
      </c>
      <c r="X196" s="417">
        <v>0</v>
      </c>
      <c r="Y196" s="417">
        <v>0</v>
      </c>
      <c r="Z196" s="417">
        <v>0</v>
      </c>
      <c r="AA196" s="417">
        <v>0</v>
      </c>
      <c r="AB196" s="417">
        <v>0</v>
      </c>
      <c r="AC196" s="417">
        <v>0</v>
      </c>
      <c r="AD196" s="417">
        <v>0</v>
      </c>
      <c r="AE196" s="417">
        <f t="shared" si="232"/>
        <v>0</v>
      </c>
      <c r="AF196" s="417">
        <f t="shared" si="233"/>
        <v>0</v>
      </c>
      <c r="AG196" s="417">
        <f t="shared" si="234"/>
        <v>0</v>
      </c>
      <c r="AH196" s="417">
        <v>0</v>
      </c>
      <c r="AI196" s="417">
        <v>0</v>
      </c>
      <c r="AJ196" s="417">
        <v>0</v>
      </c>
      <c r="AK196" s="417">
        <v>0</v>
      </c>
      <c r="AL196" s="417">
        <v>0</v>
      </c>
      <c r="AM196" s="417">
        <f t="shared" si="235"/>
        <v>0</v>
      </c>
      <c r="AN196" s="417">
        <f t="shared" si="236"/>
        <v>0</v>
      </c>
      <c r="AO196" s="417">
        <f t="shared" si="237"/>
        <v>0</v>
      </c>
      <c r="AP196" s="417">
        <f t="shared" si="238"/>
        <v>0</v>
      </c>
      <c r="AQ196" s="417">
        <f t="shared" si="238"/>
        <v>0</v>
      </c>
      <c r="AR196" s="417">
        <f t="shared" si="239"/>
        <v>0</v>
      </c>
      <c r="AS196" s="68">
        <f t="shared" si="240"/>
        <v>0</v>
      </c>
      <c r="AT196" s="68">
        <f t="shared" si="241"/>
        <v>0</v>
      </c>
      <c r="AU196" s="417">
        <v>0</v>
      </c>
      <c r="AV196" s="417">
        <v>0</v>
      </c>
      <c r="AW196" s="417">
        <v>0</v>
      </c>
      <c r="AX196" s="417">
        <f t="shared" si="242"/>
        <v>0</v>
      </c>
      <c r="AY196" s="417">
        <f t="shared" si="243"/>
        <v>0</v>
      </c>
      <c r="AZ196" s="418">
        <v>0</v>
      </c>
      <c r="BA196" s="418">
        <v>0</v>
      </c>
      <c r="BB196" s="418">
        <v>0</v>
      </c>
      <c r="BC196" s="418">
        <v>0</v>
      </c>
      <c r="BD196" s="418">
        <v>0</v>
      </c>
      <c r="BE196" s="418">
        <v>0</v>
      </c>
      <c r="BF196" s="418">
        <v>0</v>
      </c>
      <c r="BG196" s="418">
        <v>0</v>
      </c>
      <c r="BH196" s="418">
        <v>0</v>
      </c>
      <c r="BI196" s="418">
        <f t="shared" si="244"/>
        <v>0</v>
      </c>
      <c r="BJ196" s="418">
        <f t="shared" si="245"/>
        <v>0</v>
      </c>
      <c r="BK196" s="420">
        <f t="shared" si="246"/>
        <v>0</v>
      </c>
      <c r="BL196" s="772">
        <f t="shared" si="310"/>
        <v>1694654</v>
      </c>
      <c r="BM196" s="772">
        <f t="shared" si="311"/>
        <v>1254565</v>
      </c>
      <c r="BN196" s="417">
        <f t="shared" si="312"/>
        <v>1254565</v>
      </c>
      <c r="BO196" s="417">
        <f t="shared" si="312"/>
        <v>0</v>
      </c>
      <c r="BP196" s="417">
        <f t="shared" si="313"/>
        <v>0</v>
      </c>
      <c r="BQ196" s="417">
        <f t="shared" si="314"/>
        <v>0</v>
      </c>
      <c r="BR196" s="417">
        <f t="shared" si="314"/>
        <v>0</v>
      </c>
      <c r="BS196" s="417">
        <f t="shared" si="315"/>
        <v>424043</v>
      </c>
      <c r="BT196" s="417">
        <f t="shared" si="315"/>
        <v>12546</v>
      </c>
      <c r="BU196" s="417">
        <f t="shared" si="316"/>
        <v>3500</v>
      </c>
      <c r="BV196" s="418">
        <f t="shared" si="317"/>
        <v>3.38</v>
      </c>
      <c r="BW196" s="418">
        <f t="shared" si="318"/>
        <v>3.38</v>
      </c>
      <c r="BX196" s="420">
        <f t="shared" si="318"/>
        <v>0</v>
      </c>
      <c r="BY196" s="840"/>
      <c r="BZ196" s="717"/>
      <c r="CA196" s="717"/>
      <c r="CB196" s="717"/>
      <c r="CC196" s="717"/>
      <c r="CD196" s="822"/>
      <c r="CE196" s="1029"/>
      <c r="CF196" s="1030"/>
      <c r="CG196" s="1030"/>
      <c r="CH196" s="1030"/>
      <c r="CI196" s="1030"/>
      <c r="CJ196" s="828"/>
    </row>
    <row r="197" spans="1:88" ht="12.95" customHeight="1">
      <c r="A197" s="280">
        <v>38</v>
      </c>
      <c r="B197" s="212">
        <v>5470</v>
      </c>
      <c r="C197" s="212">
        <v>600099091</v>
      </c>
      <c r="D197" s="281">
        <v>70695822</v>
      </c>
      <c r="E197" s="371" t="s">
        <v>523</v>
      </c>
      <c r="F197" s="382">
        <v>3141</v>
      </c>
      <c r="G197" s="373" t="s">
        <v>294</v>
      </c>
      <c r="H197" s="285" t="s">
        <v>272</v>
      </c>
      <c r="I197" s="419">
        <v>1114084</v>
      </c>
      <c r="J197" s="414">
        <v>822063</v>
      </c>
      <c r="K197" s="414">
        <v>0</v>
      </c>
      <c r="L197" s="414">
        <v>822063</v>
      </c>
      <c r="M197" s="414">
        <v>0</v>
      </c>
      <c r="N197" s="414">
        <v>0</v>
      </c>
      <c r="O197" s="414">
        <v>0</v>
      </c>
      <c r="P197" s="68">
        <v>277857</v>
      </c>
      <c r="Q197" s="68">
        <v>8220</v>
      </c>
      <c r="R197" s="414">
        <v>5944</v>
      </c>
      <c r="S197" s="415">
        <v>2.4667000000000003</v>
      </c>
      <c r="T197" s="415">
        <v>0</v>
      </c>
      <c r="U197" s="422">
        <v>2.4667000000000003</v>
      </c>
      <c r="V197" s="423">
        <f t="shared" si="231"/>
        <v>0</v>
      </c>
      <c r="W197" s="417">
        <f t="shared" si="231"/>
        <v>0</v>
      </c>
      <c r="X197" s="417">
        <v>0</v>
      </c>
      <c r="Y197" s="417">
        <v>0</v>
      </c>
      <c r="Z197" s="417">
        <v>0</v>
      </c>
      <c r="AA197" s="417">
        <v>13423</v>
      </c>
      <c r="AB197" s="417">
        <v>0</v>
      </c>
      <c r="AC197" s="417">
        <v>0</v>
      </c>
      <c r="AD197" s="417">
        <v>0</v>
      </c>
      <c r="AE197" s="417">
        <f t="shared" si="232"/>
        <v>0</v>
      </c>
      <c r="AF197" s="417">
        <f t="shared" si="233"/>
        <v>13423</v>
      </c>
      <c r="AG197" s="417">
        <f t="shared" si="234"/>
        <v>13423</v>
      </c>
      <c r="AH197" s="417">
        <v>0</v>
      </c>
      <c r="AI197" s="417">
        <v>0</v>
      </c>
      <c r="AJ197" s="417">
        <v>0</v>
      </c>
      <c r="AK197" s="417">
        <v>0</v>
      </c>
      <c r="AL197" s="417">
        <v>0</v>
      </c>
      <c r="AM197" s="417">
        <f t="shared" si="235"/>
        <v>0</v>
      </c>
      <c r="AN197" s="417">
        <f t="shared" si="236"/>
        <v>0</v>
      </c>
      <c r="AO197" s="417">
        <f t="shared" si="237"/>
        <v>0</v>
      </c>
      <c r="AP197" s="417">
        <f t="shared" si="238"/>
        <v>0</v>
      </c>
      <c r="AQ197" s="417">
        <f t="shared" si="238"/>
        <v>13423</v>
      </c>
      <c r="AR197" s="417">
        <f t="shared" si="239"/>
        <v>13423</v>
      </c>
      <c r="AS197" s="68">
        <f t="shared" si="240"/>
        <v>4537</v>
      </c>
      <c r="AT197" s="68">
        <f t="shared" si="241"/>
        <v>134</v>
      </c>
      <c r="AU197" s="417">
        <v>0</v>
      </c>
      <c r="AV197" s="417">
        <v>0</v>
      </c>
      <c r="AW197" s="417">
        <v>0</v>
      </c>
      <c r="AX197" s="417">
        <f t="shared" si="242"/>
        <v>0</v>
      </c>
      <c r="AY197" s="417">
        <f t="shared" si="243"/>
        <v>18094</v>
      </c>
      <c r="AZ197" s="418">
        <v>0</v>
      </c>
      <c r="BA197" s="418">
        <v>0</v>
      </c>
      <c r="BB197" s="418">
        <v>0</v>
      </c>
      <c r="BC197" s="418">
        <v>0</v>
      </c>
      <c r="BD197" s="418">
        <v>0.05</v>
      </c>
      <c r="BE197" s="418">
        <v>0</v>
      </c>
      <c r="BF197" s="418">
        <v>0</v>
      </c>
      <c r="BG197" s="418">
        <v>0</v>
      </c>
      <c r="BH197" s="418">
        <v>0</v>
      </c>
      <c r="BI197" s="418">
        <f t="shared" si="244"/>
        <v>0</v>
      </c>
      <c r="BJ197" s="418">
        <f t="shared" si="245"/>
        <v>0.05</v>
      </c>
      <c r="BK197" s="420">
        <f t="shared" si="246"/>
        <v>0.05</v>
      </c>
      <c r="BL197" s="772">
        <f t="shared" si="310"/>
        <v>1132178</v>
      </c>
      <c r="BM197" s="772">
        <f t="shared" si="311"/>
        <v>835486</v>
      </c>
      <c r="BN197" s="417">
        <f t="shared" si="312"/>
        <v>0</v>
      </c>
      <c r="BO197" s="417">
        <f t="shared" si="312"/>
        <v>835486</v>
      </c>
      <c r="BP197" s="417">
        <f t="shared" si="313"/>
        <v>0</v>
      </c>
      <c r="BQ197" s="417">
        <f t="shared" si="314"/>
        <v>0</v>
      </c>
      <c r="BR197" s="417">
        <f t="shared" si="314"/>
        <v>0</v>
      </c>
      <c r="BS197" s="417">
        <f t="shared" si="315"/>
        <v>282394</v>
      </c>
      <c r="BT197" s="417">
        <f t="shared" si="315"/>
        <v>8354</v>
      </c>
      <c r="BU197" s="417">
        <f t="shared" si="316"/>
        <v>5944</v>
      </c>
      <c r="BV197" s="418">
        <f t="shared" si="317"/>
        <v>2.5167000000000002</v>
      </c>
      <c r="BW197" s="418">
        <f t="shared" si="318"/>
        <v>0</v>
      </c>
      <c r="BX197" s="420">
        <f t="shared" si="318"/>
        <v>2.5167000000000002</v>
      </c>
      <c r="BY197" s="840"/>
      <c r="BZ197" s="717"/>
      <c r="CA197" s="717"/>
      <c r="CB197" s="717"/>
      <c r="CC197" s="717"/>
      <c r="CD197" s="822"/>
      <c r="CE197" s="1029"/>
      <c r="CF197" s="1030"/>
      <c r="CG197" s="1030"/>
      <c r="CH197" s="1030"/>
      <c r="CI197" s="1030"/>
      <c r="CJ197" s="828"/>
    </row>
    <row r="198" spans="1:88" ht="12.95" customHeight="1">
      <c r="A198" s="280">
        <v>38</v>
      </c>
      <c r="B198" s="376">
        <v>5470</v>
      </c>
      <c r="C198" s="376">
        <v>600099091</v>
      </c>
      <c r="D198" s="281">
        <v>70695822</v>
      </c>
      <c r="E198" s="372" t="s">
        <v>523</v>
      </c>
      <c r="F198" s="212">
        <v>3143</v>
      </c>
      <c r="G198" s="323" t="s">
        <v>595</v>
      </c>
      <c r="H198" s="285" t="s">
        <v>271</v>
      </c>
      <c r="I198" s="419">
        <v>1032744</v>
      </c>
      <c r="J198" s="414">
        <v>766131</v>
      </c>
      <c r="K198" s="414">
        <v>766131</v>
      </c>
      <c r="L198" s="414">
        <v>0</v>
      </c>
      <c r="M198" s="414">
        <v>0</v>
      </c>
      <c r="N198" s="414">
        <v>0</v>
      </c>
      <c r="O198" s="414">
        <v>0</v>
      </c>
      <c r="P198" s="68">
        <v>258952</v>
      </c>
      <c r="Q198" s="68">
        <v>7661</v>
      </c>
      <c r="R198" s="414">
        <v>0</v>
      </c>
      <c r="S198" s="415">
        <v>1.6225000000000001</v>
      </c>
      <c r="T198" s="415">
        <v>1.6225000000000001</v>
      </c>
      <c r="U198" s="422">
        <v>0</v>
      </c>
      <c r="V198" s="423">
        <f t="shared" si="231"/>
        <v>0</v>
      </c>
      <c r="W198" s="417">
        <f t="shared" si="231"/>
        <v>0</v>
      </c>
      <c r="X198" s="417">
        <v>0</v>
      </c>
      <c r="Y198" s="417">
        <v>0</v>
      </c>
      <c r="Z198" s="417">
        <v>0</v>
      </c>
      <c r="AA198" s="417">
        <v>0</v>
      </c>
      <c r="AB198" s="417">
        <v>0</v>
      </c>
      <c r="AC198" s="417">
        <v>0</v>
      </c>
      <c r="AD198" s="417">
        <v>0</v>
      </c>
      <c r="AE198" s="417">
        <f t="shared" si="232"/>
        <v>0</v>
      </c>
      <c r="AF198" s="417">
        <f t="shared" si="233"/>
        <v>0</v>
      </c>
      <c r="AG198" s="417">
        <f t="shared" si="234"/>
        <v>0</v>
      </c>
      <c r="AH198" s="417">
        <v>0</v>
      </c>
      <c r="AI198" s="417">
        <v>0</v>
      </c>
      <c r="AJ198" s="417">
        <v>0</v>
      </c>
      <c r="AK198" s="417">
        <v>0</v>
      </c>
      <c r="AL198" s="417">
        <v>0</v>
      </c>
      <c r="AM198" s="417">
        <f t="shared" si="235"/>
        <v>0</v>
      </c>
      <c r="AN198" s="417">
        <f t="shared" si="236"/>
        <v>0</v>
      </c>
      <c r="AO198" s="417">
        <f t="shared" si="237"/>
        <v>0</v>
      </c>
      <c r="AP198" s="417">
        <f t="shared" si="238"/>
        <v>0</v>
      </c>
      <c r="AQ198" s="417">
        <f t="shared" si="238"/>
        <v>0</v>
      </c>
      <c r="AR198" s="417">
        <f t="shared" si="239"/>
        <v>0</v>
      </c>
      <c r="AS198" s="68">
        <f t="shared" si="240"/>
        <v>0</v>
      </c>
      <c r="AT198" s="68">
        <f t="shared" si="241"/>
        <v>0</v>
      </c>
      <c r="AU198" s="417">
        <v>0</v>
      </c>
      <c r="AV198" s="417">
        <v>0</v>
      </c>
      <c r="AW198" s="417">
        <v>0</v>
      </c>
      <c r="AX198" s="417">
        <f t="shared" si="242"/>
        <v>0</v>
      </c>
      <c r="AY198" s="417">
        <f t="shared" si="243"/>
        <v>0</v>
      </c>
      <c r="AZ198" s="418">
        <v>0</v>
      </c>
      <c r="BA198" s="418">
        <v>0</v>
      </c>
      <c r="BB198" s="418">
        <v>0</v>
      </c>
      <c r="BC198" s="418">
        <v>0</v>
      </c>
      <c r="BD198" s="418">
        <v>0</v>
      </c>
      <c r="BE198" s="418">
        <v>0</v>
      </c>
      <c r="BF198" s="418">
        <v>0</v>
      </c>
      <c r="BG198" s="418">
        <v>0</v>
      </c>
      <c r="BH198" s="418">
        <v>0</v>
      </c>
      <c r="BI198" s="418">
        <f t="shared" si="244"/>
        <v>0</v>
      </c>
      <c r="BJ198" s="418">
        <f t="shared" si="245"/>
        <v>0</v>
      </c>
      <c r="BK198" s="420">
        <f t="shared" si="246"/>
        <v>0</v>
      </c>
      <c r="BL198" s="772">
        <f t="shared" si="310"/>
        <v>1032744</v>
      </c>
      <c r="BM198" s="772">
        <f t="shared" si="311"/>
        <v>766131</v>
      </c>
      <c r="BN198" s="417">
        <f t="shared" si="312"/>
        <v>766131</v>
      </c>
      <c r="BO198" s="417">
        <f t="shared" si="312"/>
        <v>0</v>
      </c>
      <c r="BP198" s="417">
        <f t="shared" si="313"/>
        <v>0</v>
      </c>
      <c r="BQ198" s="417">
        <f t="shared" si="314"/>
        <v>0</v>
      </c>
      <c r="BR198" s="417">
        <f t="shared" si="314"/>
        <v>0</v>
      </c>
      <c r="BS198" s="417">
        <f t="shared" si="315"/>
        <v>258952</v>
      </c>
      <c r="BT198" s="417">
        <f t="shared" si="315"/>
        <v>7661</v>
      </c>
      <c r="BU198" s="417">
        <f t="shared" si="316"/>
        <v>0</v>
      </c>
      <c r="BV198" s="418">
        <f t="shared" si="317"/>
        <v>1.6225000000000001</v>
      </c>
      <c r="BW198" s="418">
        <f t="shared" si="318"/>
        <v>1.6225000000000001</v>
      </c>
      <c r="BX198" s="420">
        <f t="shared" si="318"/>
        <v>0</v>
      </c>
      <c r="BY198" s="840"/>
      <c r="BZ198" s="717"/>
      <c r="CA198" s="717"/>
      <c r="CB198" s="717"/>
      <c r="CC198" s="717"/>
      <c r="CD198" s="822"/>
      <c r="CE198" s="1029"/>
      <c r="CF198" s="1030"/>
      <c r="CG198" s="1030"/>
      <c r="CH198" s="1030"/>
      <c r="CI198" s="1030"/>
      <c r="CJ198" s="828"/>
    </row>
    <row r="199" spans="1:88" ht="12.95" customHeight="1">
      <c r="A199" s="280">
        <v>38</v>
      </c>
      <c r="B199" s="376">
        <v>5470</v>
      </c>
      <c r="C199" s="376">
        <v>600099091</v>
      </c>
      <c r="D199" s="281">
        <v>70695822</v>
      </c>
      <c r="E199" s="372" t="s">
        <v>523</v>
      </c>
      <c r="F199" s="212">
        <v>3143</v>
      </c>
      <c r="G199" s="323" t="s">
        <v>596</v>
      </c>
      <c r="H199" s="285" t="s">
        <v>272</v>
      </c>
      <c r="I199" s="419">
        <v>34579</v>
      </c>
      <c r="J199" s="414">
        <v>24750</v>
      </c>
      <c r="K199" s="414">
        <v>0</v>
      </c>
      <c r="L199" s="414">
        <v>24750</v>
      </c>
      <c r="M199" s="414">
        <v>0</v>
      </c>
      <c r="N199" s="414">
        <v>0</v>
      </c>
      <c r="O199" s="414">
        <v>0</v>
      </c>
      <c r="P199" s="68">
        <v>8366</v>
      </c>
      <c r="Q199" s="68">
        <v>248</v>
      </c>
      <c r="R199" s="414">
        <v>1215</v>
      </c>
      <c r="S199" s="415">
        <v>9.2499999999999999E-2</v>
      </c>
      <c r="T199" s="415">
        <v>0</v>
      </c>
      <c r="U199" s="422">
        <v>9.2499999999999999E-2</v>
      </c>
      <c r="V199" s="423">
        <f t="shared" si="231"/>
        <v>0</v>
      </c>
      <c r="W199" s="417">
        <f t="shared" si="231"/>
        <v>0</v>
      </c>
      <c r="X199" s="417">
        <v>0</v>
      </c>
      <c r="Y199" s="417">
        <v>0</v>
      </c>
      <c r="Z199" s="417">
        <v>0</v>
      </c>
      <c r="AA199" s="417">
        <v>0</v>
      </c>
      <c r="AB199" s="417">
        <v>0</v>
      </c>
      <c r="AC199" s="417">
        <v>0</v>
      </c>
      <c r="AD199" s="417">
        <v>0</v>
      </c>
      <c r="AE199" s="417">
        <f t="shared" si="232"/>
        <v>0</v>
      </c>
      <c r="AF199" s="417">
        <f t="shared" si="233"/>
        <v>0</v>
      </c>
      <c r="AG199" s="417">
        <f t="shared" si="234"/>
        <v>0</v>
      </c>
      <c r="AH199" s="417">
        <v>0</v>
      </c>
      <c r="AI199" s="417">
        <v>0</v>
      </c>
      <c r="AJ199" s="417">
        <v>0</v>
      </c>
      <c r="AK199" s="417">
        <v>0</v>
      </c>
      <c r="AL199" s="417">
        <v>0</v>
      </c>
      <c r="AM199" s="417">
        <f t="shared" si="235"/>
        <v>0</v>
      </c>
      <c r="AN199" s="417">
        <f t="shared" si="236"/>
        <v>0</v>
      </c>
      <c r="AO199" s="417">
        <f t="shared" si="237"/>
        <v>0</v>
      </c>
      <c r="AP199" s="417">
        <f t="shared" si="238"/>
        <v>0</v>
      </c>
      <c r="AQ199" s="417">
        <f t="shared" si="238"/>
        <v>0</v>
      </c>
      <c r="AR199" s="417">
        <f t="shared" si="239"/>
        <v>0</v>
      </c>
      <c r="AS199" s="68">
        <f t="shared" si="240"/>
        <v>0</v>
      </c>
      <c r="AT199" s="68">
        <f t="shared" si="241"/>
        <v>0</v>
      </c>
      <c r="AU199" s="417">
        <v>0</v>
      </c>
      <c r="AV199" s="417">
        <v>0</v>
      </c>
      <c r="AW199" s="417">
        <v>0</v>
      </c>
      <c r="AX199" s="417">
        <f t="shared" si="242"/>
        <v>0</v>
      </c>
      <c r="AY199" s="417">
        <f t="shared" si="243"/>
        <v>0</v>
      </c>
      <c r="AZ199" s="418">
        <v>0</v>
      </c>
      <c r="BA199" s="418">
        <v>0</v>
      </c>
      <c r="BB199" s="418">
        <v>0</v>
      </c>
      <c r="BC199" s="418">
        <v>0</v>
      </c>
      <c r="BD199" s="418">
        <v>0</v>
      </c>
      <c r="BE199" s="418">
        <v>0</v>
      </c>
      <c r="BF199" s="418">
        <v>0</v>
      </c>
      <c r="BG199" s="418">
        <v>0</v>
      </c>
      <c r="BH199" s="418">
        <v>0</v>
      </c>
      <c r="BI199" s="418">
        <f t="shared" si="244"/>
        <v>0</v>
      </c>
      <c r="BJ199" s="418">
        <f t="shared" si="245"/>
        <v>0</v>
      </c>
      <c r="BK199" s="420">
        <f t="shared" si="246"/>
        <v>0</v>
      </c>
      <c r="BL199" s="772">
        <f t="shared" si="310"/>
        <v>34579</v>
      </c>
      <c r="BM199" s="772">
        <f t="shared" si="311"/>
        <v>24750</v>
      </c>
      <c r="BN199" s="417">
        <f t="shared" si="312"/>
        <v>0</v>
      </c>
      <c r="BO199" s="417">
        <f t="shared" si="312"/>
        <v>24750</v>
      </c>
      <c r="BP199" s="417">
        <f t="shared" si="313"/>
        <v>0</v>
      </c>
      <c r="BQ199" s="417">
        <f t="shared" si="314"/>
        <v>0</v>
      </c>
      <c r="BR199" s="417">
        <f t="shared" si="314"/>
        <v>0</v>
      </c>
      <c r="BS199" s="417">
        <f t="shared" si="315"/>
        <v>8366</v>
      </c>
      <c r="BT199" s="417">
        <f t="shared" si="315"/>
        <v>248</v>
      </c>
      <c r="BU199" s="417">
        <f t="shared" si="316"/>
        <v>1215</v>
      </c>
      <c r="BV199" s="418">
        <f t="shared" si="317"/>
        <v>9.2499999999999999E-2</v>
      </c>
      <c r="BW199" s="418">
        <f t="shared" si="318"/>
        <v>0</v>
      </c>
      <c r="BX199" s="420">
        <f t="shared" si="318"/>
        <v>9.2499999999999999E-2</v>
      </c>
      <c r="BY199" s="840"/>
      <c r="BZ199" s="717"/>
      <c r="CA199" s="717"/>
      <c r="CB199" s="717"/>
      <c r="CC199" s="717"/>
      <c r="CD199" s="822"/>
      <c r="CE199" s="1029"/>
      <c r="CF199" s="1030"/>
      <c r="CG199" s="1030"/>
      <c r="CH199" s="1030"/>
      <c r="CI199" s="1030"/>
      <c r="CJ199" s="828"/>
    </row>
    <row r="200" spans="1:88" ht="12.95" customHeight="1" thickBot="1">
      <c r="A200" s="215">
        <v>38</v>
      </c>
      <c r="B200" s="166">
        <v>5470</v>
      </c>
      <c r="C200" s="166">
        <v>600099091</v>
      </c>
      <c r="D200" s="166">
        <v>70695822</v>
      </c>
      <c r="E200" s="390" t="s">
        <v>524</v>
      </c>
      <c r="F200" s="49"/>
      <c r="G200" s="390"/>
      <c r="H200" s="186"/>
      <c r="I200" s="512">
        <v>12857551</v>
      </c>
      <c r="J200" s="513">
        <v>9140100</v>
      </c>
      <c r="K200" s="513">
        <v>7427166</v>
      </c>
      <c r="L200" s="513">
        <v>1712934</v>
      </c>
      <c r="M200" s="513">
        <v>302400</v>
      </c>
      <c r="N200" s="513">
        <v>152400</v>
      </c>
      <c r="O200" s="513">
        <v>150000</v>
      </c>
      <c r="P200" s="513">
        <v>3191565</v>
      </c>
      <c r="Q200" s="513">
        <v>91402</v>
      </c>
      <c r="R200" s="513">
        <v>132084</v>
      </c>
      <c r="S200" s="514">
        <v>19.828399999999998</v>
      </c>
      <c r="T200" s="514">
        <v>14.196399999999999</v>
      </c>
      <c r="U200" s="766">
        <v>5.6320000000000006</v>
      </c>
      <c r="V200" s="512">
        <f t="shared" ref="V200:BK200" si="319">SUM(V194:V199)</f>
        <v>-88309</v>
      </c>
      <c r="W200" s="513">
        <f t="shared" si="319"/>
        <v>150000</v>
      </c>
      <c r="X200" s="513">
        <f t="shared" si="319"/>
        <v>0</v>
      </c>
      <c r="Y200" s="513">
        <f t="shared" si="319"/>
        <v>0</v>
      </c>
      <c r="Z200" s="513">
        <f t="shared" si="319"/>
        <v>48248</v>
      </c>
      <c r="AA200" s="513">
        <f t="shared" si="319"/>
        <v>13423</v>
      </c>
      <c r="AB200" s="513">
        <f t="shared" si="319"/>
        <v>0</v>
      </c>
      <c r="AC200" s="513">
        <f t="shared" si="319"/>
        <v>0</v>
      </c>
      <c r="AD200" s="513">
        <f t="shared" si="319"/>
        <v>0</v>
      </c>
      <c r="AE200" s="513">
        <f t="shared" si="319"/>
        <v>-40061</v>
      </c>
      <c r="AF200" s="513">
        <f t="shared" si="319"/>
        <v>163423</v>
      </c>
      <c r="AG200" s="513">
        <f t="shared" si="319"/>
        <v>123362</v>
      </c>
      <c r="AH200" s="513">
        <f t="shared" si="319"/>
        <v>88309</v>
      </c>
      <c r="AI200" s="513">
        <f t="shared" si="319"/>
        <v>-150000</v>
      </c>
      <c r="AJ200" s="513">
        <f t="shared" si="319"/>
        <v>0</v>
      </c>
      <c r="AK200" s="513">
        <f t="shared" si="319"/>
        <v>66291</v>
      </c>
      <c r="AL200" s="513">
        <f t="shared" si="319"/>
        <v>0</v>
      </c>
      <c r="AM200" s="513">
        <f t="shared" si="319"/>
        <v>154600</v>
      </c>
      <c r="AN200" s="513">
        <f t="shared" si="319"/>
        <v>-150000</v>
      </c>
      <c r="AO200" s="513">
        <f t="shared" si="319"/>
        <v>4600</v>
      </c>
      <c r="AP200" s="513">
        <f t="shared" si="319"/>
        <v>114539</v>
      </c>
      <c r="AQ200" s="513">
        <f t="shared" si="319"/>
        <v>13423</v>
      </c>
      <c r="AR200" s="513">
        <f t="shared" si="319"/>
        <v>127962</v>
      </c>
      <c r="AS200" s="513">
        <f t="shared" si="319"/>
        <v>20845</v>
      </c>
      <c r="AT200" s="513">
        <f t="shared" si="319"/>
        <v>1233</v>
      </c>
      <c r="AU200" s="513">
        <f t="shared" si="319"/>
        <v>0</v>
      </c>
      <c r="AV200" s="513">
        <f t="shared" si="319"/>
        <v>0</v>
      </c>
      <c r="AW200" s="513">
        <f t="shared" si="319"/>
        <v>0</v>
      </c>
      <c r="AX200" s="513">
        <f t="shared" si="319"/>
        <v>0</v>
      </c>
      <c r="AY200" s="513">
        <f t="shared" si="319"/>
        <v>150040</v>
      </c>
      <c r="AZ200" s="514">
        <f t="shared" si="319"/>
        <v>-0.34</v>
      </c>
      <c r="BA200" s="514">
        <f t="shared" si="319"/>
        <v>0</v>
      </c>
      <c r="BB200" s="514">
        <f t="shared" si="319"/>
        <v>0</v>
      </c>
      <c r="BC200" s="514">
        <f t="shared" si="319"/>
        <v>0.1</v>
      </c>
      <c r="BD200" s="514">
        <f t="shared" si="319"/>
        <v>0.05</v>
      </c>
      <c r="BE200" s="514">
        <f t="shared" si="319"/>
        <v>0</v>
      </c>
      <c r="BF200" s="514">
        <f t="shared" si="319"/>
        <v>0</v>
      </c>
      <c r="BG200" s="514">
        <f t="shared" si="319"/>
        <v>0</v>
      </c>
      <c r="BH200" s="514">
        <f t="shared" si="319"/>
        <v>0</v>
      </c>
      <c r="BI200" s="514">
        <f t="shared" si="319"/>
        <v>-0.24000000000000002</v>
      </c>
      <c r="BJ200" s="514">
        <f t="shared" si="319"/>
        <v>0.05</v>
      </c>
      <c r="BK200" s="515">
        <f t="shared" si="319"/>
        <v>-0.19</v>
      </c>
      <c r="BL200" s="1078">
        <f t="shared" ref="BL200:CG200" si="320">SUM(BL194:BL199)</f>
        <v>13007591</v>
      </c>
      <c r="BM200" s="1078">
        <f t="shared" si="320"/>
        <v>9263462</v>
      </c>
      <c r="BN200" s="513">
        <f t="shared" si="320"/>
        <v>7387105</v>
      </c>
      <c r="BO200" s="513">
        <f t="shared" si="320"/>
        <v>1876357</v>
      </c>
      <c r="BP200" s="513">
        <f t="shared" si="320"/>
        <v>307000</v>
      </c>
      <c r="BQ200" s="513">
        <f t="shared" si="320"/>
        <v>307000</v>
      </c>
      <c r="BR200" s="513">
        <f t="shared" si="320"/>
        <v>0</v>
      </c>
      <c r="BS200" s="513">
        <f t="shared" si="320"/>
        <v>3212410</v>
      </c>
      <c r="BT200" s="513">
        <f t="shared" si="320"/>
        <v>92635</v>
      </c>
      <c r="BU200" s="513">
        <f t="shared" si="320"/>
        <v>132084</v>
      </c>
      <c r="BV200" s="514">
        <f t="shared" si="320"/>
        <v>19.638400000000001</v>
      </c>
      <c r="BW200" s="514">
        <f t="shared" si="320"/>
        <v>13.9564</v>
      </c>
      <c r="BX200" s="515">
        <f t="shared" si="320"/>
        <v>5.6819999999999995</v>
      </c>
      <c r="BY200" s="943">
        <f t="shared" si="320"/>
        <v>152054</v>
      </c>
      <c r="BZ200" s="724">
        <f t="shared" si="320"/>
        <v>112800</v>
      </c>
      <c r="CA200" s="724">
        <f t="shared" si="320"/>
        <v>0</v>
      </c>
      <c r="CB200" s="724">
        <f t="shared" si="320"/>
        <v>38126</v>
      </c>
      <c r="CC200" s="724">
        <f t="shared" si="320"/>
        <v>1128</v>
      </c>
      <c r="CD200" s="831">
        <f t="shared" si="320"/>
        <v>0.2</v>
      </c>
      <c r="CE200" s="1033">
        <f t="shared" si="320"/>
        <v>462472</v>
      </c>
      <c r="CF200" s="1033">
        <f t="shared" si="320"/>
        <v>326061</v>
      </c>
      <c r="CG200" s="1033">
        <f t="shared" si="320"/>
        <v>110209</v>
      </c>
      <c r="CH200" s="1033">
        <f t="shared" ref="CH200:CJ200" si="321">SUM(CH194:CH199)</f>
        <v>3261</v>
      </c>
      <c r="CI200" s="1033">
        <f t="shared" si="321"/>
        <v>22941</v>
      </c>
      <c r="CJ200" s="1014">
        <f t="shared" si="321"/>
        <v>0.98599999999999999</v>
      </c>
    </row>
    <row r="201" spans="1:88" ht="12.95" customHeight="1" thickBot="1">
      <c r="A201" s="391"/>
      <c r="B201" s="392"/>
      <c r="C201" s="392"/>
      <c r="D201" s="392"/>
      <c r="E201" s="305" t="s">
        <v>759</v>
      </c>
      <c r="F201" s="392"/>
      <c r="G201" s="393"/>
      <c r="H201" s="394"/>
      <c r="I201" s="578">
        <v>513149447</v>
      </c>
      <c r="J201" s="636">
        <v>375338984</v>
      </c>
      <c r="K201" s="636">
        <v>312984392</v>
      </c>
      <c r="L201" s="636">
        <v>62354592</v>
      </c>
      <c r="M201" s="636">
        <v>1425180</v>
      </c>
      <c r="N201" s="636">
        <v>709660</v>
      </c>
      <c r="O201" s="636">
        <v>715520</v>
      </c>
      <c r="P201" s="636">
        <v>127346275</v>
      </c>
      <c r="Q201" s="636">
        <v>3753394</v>
      </c>
      <c r="R201" s="636">
        <v>5285614</v>
      </c>
      <c r="S201" s="637">
        <v>709.8737000000001</v>
      </c>
      <c r="T201" s="637">
        <v>517.66340000000002</v>
      </c>
      <c r="U201" s="650">
        <v>192.21030000000005</v>
      </c>
      <c r="V201" s="578">
        <f t="shared" ref="V201:BX201" si="322">V200+V193+V187+V181+V174+V168+V164+V158+V155+V150+V147+V140+V136+V132+V126+V122+V116+V112+V105+V99+V95+V89+V85+V78+V76+V69+V64+V58+V52+V46+V44+V40+V37+V33+V29+V25+V21</f>
        <v>-191824</v>
      </c>
      <c r="W201" s="636">
        <f t="shared" si="322"/>
        <v>-27776</v>
      </c>
      <c r="X201" s="636">
        <f t="shared" si="322"/>
        <v>302844</v>
      </c>
      <c r="Y201" s="636">
        <f t="shared" si="322"/>
        <v>82750</v>
      </c>
      <c r="Z201" s="765">
        <f t="shared" si="322"/>
        <v>970415</v>
      </c>
      <c r="AA201" s="636">
        <f t="shared" si="322"/>
        <v>-137142</v>
      </c>
      <c r="AB201" s="636">
        <f t="shared" si="322"/>
        <v>0</v>
      </c>
      <c r="AC201" s="636">
        <f t="shared" si="322"/>
        <v>0</v>
      </c>
      <c r="AD201" s="636">
        <f t="shared" si="322"/>
        <v>0</v>
      </c>
      <c r="AE201" s="636">
        <f t="shared" si="322"/>
        <v>1164185</v>
      </c>
      <c r="AF201" s="636">
        <f t="shared" si="322"/>
        <v>-164918</v>
      </c>
      <c r="AG201" s="636">
        <f t="shared" si="322"/>
        <v>999267</v>
      </c>
      <c r="AH201" s="636">
        <f t="shared" si="322"/>
        <v>191824</v>
      </c>
      <c r="AI201" s="636">
        <f t="shared" si="322"/>
        <v>27776</v>
      </c>
      <c r="AJ201" s="636">
        <f t="shared" si="322"/>
        <v>0</v>
      </c>
      <c r="AK201" s="636">
        <f t="shared" si="322"/>
        <v>66291</v>
      </c>
      <c r="AL201" s="636">
        <f t="shared" si="322"/>
        <v>0</v>
      </c>
      <c r="AM201" s="636">
        <f t="shared" si="322"/>
        <v>258115</v>
      </c>
      <c r="AN201" s="636">
        <f t="shared" si="322"/>
        <v>27776</v>
      </c>
      <c r="AO201" s="636">
        <f t="shared" si="322"/>
        <v>285891</v>
      </c>
      <c r="AP201" s="636">
        <f t="shared" si="322"/>
        <v>1422300</v>
      </c>
      <c r="AQ201" s="636">
        <f t="shared" si="322"/>
        <v>-137142</v>
      </c>
      <c r="AR201" s="636">
        <f t="shared" si="322"/>
        <v>1285158</v>
      </c>
      <c r="AS201" s="636">
        <f t="shared" si="322"/>
        <v>411978</v>
      </c>
      <c r="AT201" s="636">
        <f t="shared" si="322"/>
        <v>9993</v>
      </c>
      <c r="AU201" s="636">
        <f t="shared" si="322"/>
        <v>3500</v>
      </c>
      <c r="AV201" s="636">
        <f t="shared" si="322"/>
        <v>0</v>
      </c>
      <c r="AW201" s="636">
        <f t="shared" si="322"/>
        <v>0</v>
      </c>
      <c r="AX201" s="636">
        <f t="shared" si="322"/>
        <v>3500</v>
      </c>
      <c r="AY201" s="636">
        <f t="shared" si="322"/>
        <v>1710629</v>
      </c>
      <c r="AZ201" s="637">
        <f t="shared" si="322"/>
        <v>-0.55000000000000004</v>
      </c>
      <c r="BA201" s="637">
        <f t="shared" si="322"/>
        <v>-0.51</v>
      </c>
      <c r="BB201" s="637">
        <f t="shared" si="322"/>
        <v>0.84</v>
      </c>
      <c r="BC201" s="637">
        <f t="shared" si="322"/>
        <v>2.09</v>
      </c>
      <c r="BD201" s="637">
        <f t="shared" si="322"/>
        <v>-0.37999999999999995</v>
      </c>
      <c r="BE201" s="637">
        <f t="shared" si="322"/>
        <v>0.12</v>
      </c>
      <c r="BF201" s="637">
        <f t="shared" si="322"/>
        <v>0</v>
      </c>
      <c r="BG201" s="637">
        <f t="shared" si="322"/>
        <v>0</v>
      </c>
      <c r="BH201" s="637">
        <f t="shared" si="322"/>
        <v>0</v>
      </c>
      <c r="BI201" s="637">
        <f t="shared" si="322"/>
        <v>2.5</v>
      </c>
      <c r="BJ201" s="637">
        <f t="shared" si="322"/>
        <v>-0.89</v>
      </c>
      <c r="BK201" s="650">
        <f t="shared" si="322"/>
        <v>1.6099999999999997</v>
      </c>
      <c r="BL201" s="578">
        <f t="shared" si="322"/>
        <v>514860076</v>
      </c>
      <c r="BM201" s="773">
        <f t="shared" si="322"/>
        <v>376338251</v>
      </c>
      <c r="BN201" s="636">
        <f t="shared" si="322"/>
        <v>314148577</v>
      </c>
      <c r="BO201" s="636">
        <f t="shared" si="322"/>
        <v>62189674</v>
      </c>
      <c r="BP201" s="636">
        <f t="shared" si="322"/>
        <v>1711071</v>
      </c>
      <c r="BQ201" s="636">
        <f t="shared" si="322"/>
        <v>967775</v>
      </c>
      <c r="BR201" s="636">
        <f t="shared" si="322"/>
        <v>743296</v>
      </c>
      <c r="BS201" s="636">
        <f t="shared" si="322"/>
        <v>127758253</v>
      </c>
      <c r="BT201" s="636">
        <f t="shared" si="322"/>
        <v>3763387</v>
      </c>
      <c r="BU201" s="636">
        <f t="shared" si="322"/>
        <v>5289114</v>
      </c>
      <c r="BV201" s="637">
        <f t="shared" si="322"/>
        <v>711.4837</v>
      </c>
      <c r="BW201" s="637">
        <f t="shared" si="322"/>
        <v>520.16340000000002</v>
      </c>
      <c r="BX201" s="767">
        <f t="shared" si="322"/>
        <v>191.3203</v>
      </c>
      <c r="BY201" s="725">
        <f t="shared" ref="BY201:CJ201" si="323">BY200+BY193+BY187+BY181+BY174+BY168+BY164+BY158+BY155+BY150+BY147+BY140+BY136+BY132+BY126+BY122+BY116+BY112+BY105+BY99+BY95+BY89+BY85+BY78+BY76+BY69+BY64+BY58+BY52+BY46+BY44+BY40+BY37+BY33+BY29+BY25+BY21</f>
        <v>3193142</v>
      </c>
      <c r="BZ201" s="669">
        <f t="shared" si="323"/>
        <v>2368800</v>
      </c>
      <c r="CA201" s="669">
        <f t="shared" si="323"/>
        <v>0</v>
      </c>
      <c r="CB201" s="669">
        <f t="shared" si="323"/>
        <v>800654</v>
      </c>
      <c r="CC201" s="669">
        <f t="shared" si="323"/>
        <v>23688</v>
      </c>
      <c r="CD201" s="726">
        <f t="shared" si="323"/>
        <v>4.2</v>
      </c>
      <c r="CE201" s="1015">
        <f t="shared" si="323"/>
        <v>15671734</v>
      </c>
      <c r="CF201" s="1015">
        <f t="shared" si="323"/>
        <v>10727498</v>
      </c>
      <c r="CG201" s="1015">
        <f t="shared" si="323"/>
        <v>3625890</v>
      </c>
      <c r="CH201" s="1015">
        <f t="shared" si="323"/>
        <v>107276</v>
      </c>
      <c r="CI201" s="1015">
        <f t="shared" si="323"/>
        <v>1211070</v>
      </c>
      <c r="CJ201" s="1066">
        <f t="shared" si="323"/>
        <v>33.192</v>
      </c>
    </row>
    <row r="202" spans="1:88" s="314" customFormat="1" ht="12.95" customHeight="1">
      <c r="A202" s="395"/>
      <c r="B202" s="250"/>
      <c r="C202" s="250"/>
      <c r="D202" s="250"/>
      <c r="E202" s="310"/>
      <c r="F202" s="309"/>
      <c r="G202" s="250"/>
      <c r="H202" s="396"/>
      <c r="I202" s="427">
        <f>J201+M201+P201+Q201+R201</f>
        <v>513149447</v>
      </c>
      <c r="J202" s="427">
        <f>SUM(K201:L201)</f>
        <v>375338984</v>
      </c>
      <c r="K202" s="427"/>
      <c r="L202" s="427"/>
      <c r="M202" s="427">
        <f>SUM(N201:O201)</f>
        <v>1425180</v>
      </c>
      <c r="N202" s="427"/>
      <c r="O202" s="427"/>
      <c r="P202" s="427"/>
      <c r="Q202" s="427"/>
      <c r="R202" s="427"/>
      <c r="S202" s="428">
        <f>SUM(T201:U201)</f>
        <v>709.8737000000001</v>
      </c>
      <c r="T202" s="428"/>
      <c r="U202" s="428"/>
      <c r="V202" s="427">
        <f>AH201</f>
        <v>191824</v>
      </c>
      <c r="W202" s="427">
        <f>AI201</f>
        <v>27776</v>
      </c>
      <c r="X202" s="428"/>
      <c r="Y202" s="428"/>
      <c r="Z202" s="428"/>
      <c r="AA202" s="428"/>
      <c r="AB202" s="427"/>
      <c r="AC202" s="428"/>
      <c r="AD202" s="428"/>
      <c r="AE202" s="429"/>
      <c r="AF202" s="429"/>
      <c r="AG202" s="429">
        <f>SUM(AE201:AF201)</f>
        <v>999267</v>
      </c>
      <c r="AH202" s="429">
        <f>V201</f>
        <v>-191824</v>
      </c>
      <c r="AI202" s="429">
        <f>W201</f>
        <v>-27776</v>
      </c>
      <c r="AJ202" s="430"/>
      <c r="AK202" s="430"/>
      <c r="AL202" s="430"/>
      <c r="AM202" s="429"/>
      <c r="AN202" s="429"/>
      <c r="AO202" s="429">
        <f>SUM(AM201:AN201)</f>
        <v>285891</v>
      </c>
      <c r="AP202" s="429"/>
      <c r="AQ202" s="429"/>
      <c r="AR202" s="429">
        <f>SUM(AP201:AQ201)</f>
        <v>1285158</v>
      </c>
      <c r="AS202" s="431"/>
      <c r="AT202" s="431"/>
      <c r="AU202" s="430"/>
      <c r="AV202" s="430"/>
      <c r="AW202" s="429"/>
      <c r="AX202" s="429">
        <f>SUM(AU201:AW201)</f>
        <v>3500</v>
      </c>
      <c r="AY202" s="429">
        <f>AG201+AO201+AS201+AT201+AX201</f>
        <v>1710629</v>
      </c>
      <c r="AZ202" s="432"/>
      <c r="BA202" s="432"/>
      <c r="BB202" s="432"/>
      <c r="BC202" s="432"/>
      <c r="BD202" s="432"/>
      <c r="BE202" s="432"/>
      <c r="BF202" s="507"/>
      <c r="BG202" s="432"/>
      <c r="BH202" s="432"/>
      <c r="BI202" s="507">
        <f>AZ201+BB201+BC201+BE201+BG201</f>
        <v>2.5</v>
      </c>
      <c r="BJ202" s="507">
        <f>BA201+BD201+BF201+BH201</f>
        <v>-0.8899999999999999</v>
      </c>
      <c r="BK202" s="507">
        <f>SUM(BI201:BJ201)</f>
        <v>1.6099999999999999</v>
      </c>
      <c r="BL202" s="427">
        <f>BM201+BP201+BS201+BT201+BU201</f>
        <v>514860076</v>
      </c>
      <c r="BM202" s="427">
        <f>SUM(BN201:BO201)</f>
        <v>376338251</v>
      </c>
      <c r="BN202" s="429">
        <f>K201+AE201</f>
        <v>314148577</v>
      </c>
      <c r="BO202" s="429">
        <f>L201+AF201</f>
        <v>62189674</v>
      </c>
      <c r="BP202" s="86">
        <f>SUM(BQ201:BR201)</f>
        <v>1711071</v>
      </c>
      <c r="BQ202" s="429">
        <f>N201+AM201</f>
        <v>967775</v>
      </c>
      <c r="BR202" s="429">
        <f>O201+AN201</f>
        <v>743296</v>
      </c>
      <c r="BS202" s="429">
        <f>P201+AS201</f>
        <v>127758253</v>
      </c>
      <c r="BT202" s="429">
        <f>Q201+AT201</f>
        <v>3763387</v>
      </c>
      <c r="BU202" s="429">
        <f>R201+AX201</f>
        <v>5289114</v>
      </c>
      <c r="BV202" s="428">
        <f>SUM(BW201:BX201)</f>
        <v>711.4837</v>
      </c>
      <c r="BW202" s="507">
        <f>T201+BI201</f>
        <v>520.16340000000002</v>
      </c>
      <c r="BX202" s="507">
        <f>U201+BJ201</f>
        <v>191.32030000000006</v>
      </c>
      <c r="BY202" s="235">
        <f>SUM(BZ201:CC201)</f>
        <v>3193142</v>
      </c>
      <c r="BZ202" s="8"/>
      <c r="CA202" s="8"/>
      <c r="CB202" s="8"/>
      <c r="CC202" s="8"/>
      <c r="CD202" s="7"/>
      <c r="CE202" s="235">
        <f>SUM(CF201:CI201)</f>
        <v>15671734</v>
      </c>
      <c r="CF202" s="8"/>
      <c r="CG202" s="8"/>
      <c r="CH202" s="8"/>
      <c r="CI202" s="8"/>
      <c r="CJ202" s="4"/>
    </row>
    <row r="203" spans="1:88" s="314" customFormat="1" ht="12.95" customHeight="1" thickBot="1">
      <c r="A203" s="395"/>
      <c r="B203" s="250"/>
      <c r="C203" s="250"/>
      <c r="D203" s="250"/>
      <c r="E203" s="250"/>
      <c r="F203" s="309"/>
      <c r="G203" s="250"/>
      <c r="H203" s="396"/>
      <c r="I203" s="427">
        <f>J204+M204+P204+Q204+R204</f>
        <v>513149447</v>
      </c>
      <c r="J203" s="427">
        <f>SUM(K204:L204)</f>
        <v>375338984</v>
      </c>
      <c r="K203" s="427"/>
      <c r="L203" s="427"/>
      <c r="M203" s="427">
        <f>SUM(N204:O204)</f>
        <v>1425180</v>
      </c>
      <c r="N203" s="427"/>
      <c r="O203" s="427"/>
      <c r="P203" s="427"/>
      <c r="Q203" s="427"/>
      <c r="R203" s="427"/>
      <c r="S203" s="428">
        <f>SUM(T204:U204)</f>
        <v>709.87369999999999</v>
      </c>
      <c r="T203" s="428"/>
      <c r="U203" s="428"/>
      <c r="V203" s="427">
        <f>AH204</f>
        <v>191824</v>
      </c>
      <c r="W203" s="427">
        <f>AI204</f>
        <v>27776</v>
      </c>
      <c r="X203" s="428"/>
      <c r="Y203" s="428"/>
      <c r="Z203" s="428"/>
      <c r="AA203" s="428"/>
      <c r="AB203" s="427"/>
      <c r="AC203" s="428"/>
      <c r="AD203" s="428"/>
      <c r="AE203" s="429"/>
      <c r="AF203" s="429"/>
      <c r="AG203" s="429">
        <f>SUM(AE204:AF204)</f>
        <v>999267</v>
      </c>
      <c r="AH203" s="429"/>
      <c r="AI203" s="429"/>
      <c r="AJ203" s="430"/>
      <c r="AK203" s="430"/>
      <c r="AL203" s="430"/>
      <c r="AM203" s="429"/>
      <c r="AN203" s="429"/>
      <c r="AO203" s="429">
        <f>SUM(AM204:AN204)</f>
        <v>285891</v>
      </c>
      <c r="AP203" s="429"/>
      <c r="AQ203" s="429"/>
      <c r="AR203" s="429">
        <f>SUM(AP204:AQ204)</f>
        <v>1285158</v>
      </c>
      <c r="AS203" s="431"/>
      <c r="AT203" s="431"/>
      <c r="AU203" s="430"/>
      <c r="AV203" s="430"/>
      <c r="AW203" s="429"/>
      <c r="AX203" s="429">
        <f>SUM(AU204:AW204)</f>
        <v>3500</v>
      </c>
      <c r="AY203" s="429">
        <f>AG204+AO204+AS204+AT204+AX204</f>
        <v>1710629</v>
      </c>
      <c r="AZ203" s="432"/>
      <c r="BA203" s="432"/>
      <c r="BB203" s="432"/>
      <c r="BC203" s="432"/>
      <c r="BD203" s="432"/>
      <c r="BE203" s="432"/>
      <c r="BF203" s="507"/>
      <c r="BG203" s="432"/>
      <c r="BH203" s="432"/>
      <c r="BI203" s="507">
        <f>AZ204+BB204+BC204+BE204+BG204</f>
        <v>2.5</v>
      </c>
      <c r="BJ203" s="507">
        <f>BA204+BD204+BF204+BH204</f>
        <v>-0.8899999999999999</v>
      </c>
      <c r="BK203" s="507">
        <f>SUM(BI204:BJ204)</f>
        <v>1.6099999999999997</v>
      </c>
      <c r="BL203" s="427">
        <f>BM204+BP204+BS204+BT204+BU204</f>
        <v>514860076</v>
      </c>
      <c r="BM203" s="427">
        <f>SUM(BN204:BO204)</f>
        <v>376338251</v>
      </c>
      <c r="BN203" s="53"/>
      <c r="BO203" s="53"/>
      <c r="BP203" s="86">
        <f>SUM(BQ204:BR204)</f>
        <v>1711071</v>
      </c>
      <c r="BQ203" s="53"/>
      <c r="BR203" s="53"/>
      <c r="BS203" s="53"/>
      <c r="BT203" s="53"/>
      <c r="BU203" s="53"/>
      <c r="BV203" s="428">
        <f>SUM(BW204:BX204)</f>
        <v>711.4837</v>
      </c>
      <c r="BW203" s="87"/>
      <c r="BX203" s="87"/>
      <c r="BY203" s="235">
        <f>SUM(BZ204:CC204)</f>
        <v>3193142</v>
      </c>
      <c r="BZ203" s="8"/>
      <c r="CA203" s="8"/>
      <c r="CB203" s="8"/>
      <c r="CC203" s="8"/>
      <c r="CD203" s="7"/>
      <c r="CE203" s="235">
        <f>SUM(CF204:CI204)</f>
        <v>15671734</v>
      </c>
      <c r="CF203" s="8"/>
      <c r="CG203" s="8"/>
      <c r="CH203" s="8"/>
      <c r="CI203" s="8"/>
      <c r="CJ203" s="4"/>
    </row>
    <row r="204" spans="1:88" s="89" customFormat="1" ht="12.75" customHeight="1" thickBot="1">
      <c r="A204" s="311"/>
      <c r="D204" s="311"/>
      <c r="E204" s="312"/>
      <c r="F204" s="311"/>
      <c r="G204" s="313"/>
      <c r="H204" s="439" t="s">
        <v>0</v>
      </c>
      <c r="I204" s="659">
        <f t="shared" ref="I204:BW204" si="324">SUM(I205:I214)</f>
        <v>513149447</v>
      </c>
      <c r="J204" s="660">
        <f t="shared" si="324"/>
        <v>375338984</v>
      </c>
      <c r="K204" s="660">
        <f t="shared" si="324"/>
        <v>312984392</v>
      </c>
      <c r="L204" s="660">
        <f t="shared" si="324"/>
        <v>62354592</v>
      </c>
      <c r="M204" s="660">
        <f t="shared" si="324"/>
        <v>1425180</v>
      </c>
      <c r="N204" s="660">
        <f t="shared" si="324"/>
        <v>709660</v>
      </c>
      <c r="O204" s="660">
        <f t="shared" si="324"/>
        <v>715520</v>
      </c>
      <c r="P204" s="660">
        <f t="shared" si="324"/>
        <v>127346275</v>
      </c>
      <c r="Q204" s="660">
        <f t="shared" si="324"/>
        <v>3753394</v>
      </c>
      <c r="R204" s="660">
        <f t="shared" si="324"/>
        <v>5285614</v>
      </c>
      <c r="S204" s="661">
        <f t="shared" si="324"/>
        <v>709.87369999999999</v>
      </c>
      <c r="T204" s="661">
        <f t="shared" si="324"/>
        <v>517.66340000000002</v>
      </c>
      <c r="U204" s="662">
        <f t="shared" si="324"/>
        <v>192.21029999999999</v>
      </c>
      <c r="V204" s="560">
        <f t="shared" si="324"/>
        <v>-191824</v>
      </c>
      <c r="W204" s="479">
        <f t="shared" si="324"/>
        <v>-27776</v>
      </c>
      <c r="X204" s="479">
        <f t="shared" si="324"/>
        <v>302844</v>
      </c>
      <c r="Y204" s="479">
        <f t="shared" si="324"/>
        <v>82750</v>
      </c>
      <c r="Z204" s="754">
        <f t="shared" si="324"/>
        <v>970415</v>
      </c>
      <c r="AA204" s="479">
        <f t="shared" si="324"/>
        <v>-137142</v>
      </c>
      <c r="AB204" s="479">
        <f t="shared" si="324"/>
        <v>0</v>
      </c>
      <c r="AC204" s="479">
        <f t="shared" si="324"/>
        <v>0</v>
      </c>
      <c r="AD204" s="479">
        <f t="shared" si="324"/>
        <v>0</v>
      </c>
      <c r="AE204" s="479">
        <f t="shared" si="324"/>
        <v>1164185</v>
      </c>
      <c r="AF204" s="479">
        <f t="shared" si="324"/>
        <v>-164918</v>
      </c>
      <c r="AG204" s="479">
        <f t="shared" si="324"/>
        <v>999267</v>
      </c>
      <c r="AH204" s="479">
        <f t="shared" si="324"/>
        <v>191824</v>
      </c>
      <c r="AI204" s="479">
        <f t="shared" si="324"/>
        <v>27776</v>
      </c>
      <c r="AJ204" s="479">
        <f t="shared" si="324"/>
        <v>0</v>
      </c>
      <c r="AK204" s="479">
        <f t="shared" si="324"/>
        <v>66291</v>
      </c>
      <c r="AL204" s="479">
        <f t="shared" si="324"/>
        <v>0</v>
      </c>
      <c r="AM204" s="479">
        <f t="shared" si="324"/>
        <v>258115</v>
      </c>
      <c r="AN204" s="479">
        <f t="shared" si="324"/>
        <v>27776</v>
      </c>
      <c r="AO204" s="479">
        <f t="shared" si="324"/>
        <v>285891</v>
      </c>
      <c r="AP204" s="479">
        <f t="shared" si="324"/>
        <v>1422300</v>
      </c>
      <c r="AQ204" s="479">
        <f t="shared" si="324"/>
        <v>-137142</v>
      </c>
      <c r="AR204" s="479">
        <f t="shared" si="324"/>
        <v>1285158</v>
      </c>
      <c r="AS204" s="479">
        <f t="shared" si="324"/>
        <v>411978</v>
      </c>
      <c r="AT204" s="479">
        <f t="shared" si="324"/>
        <v>9993</v>
      </c>
      <c r="AU204" s="479">
        <f t="shared" si="324"/>
        <v>3500</v>
      </c>
      <c r="AV204" s="479">
        <f t="shared" si="324"/>
        <v>0</v>
      </c>
      <c r="AW204" s="479">
        <f t="shared" si="324"/>
        <v>0</v>
      </c>
      <c r="AX204" s="479">
        <f t="shared" si="324"/>
        <v>3500</v>
      </c>
      <c r="AY204" s="479">
        <f t="shared" si="324"/>
        <v>1710629</v>
      </c>
      <c r="AZ204" s="480">
        <f t="shared" si="324"/>
        <v>-0.55000000000000004</v>
      </c>
      <c r="BA204" s="480">
        <f t="shared" si="324"/>
        <v>-0.51</v>
      </c>
      <c r="BB204" s="480">
        <f t="shared" si="324"/>
        <v>0.84</v>
      </c>
      <c r="BC204" s="480">
        <f t="shared" si="324"/>
        <v>2.09</v>
      </c>
      <c r="BD204" s="480">
        <f t="shared" si="324"/>
        <v>-0.37999999999999995</v>
      </c>
      <c r="BE204" s="480">
        <f t="shared" si="324"/>
        <v>0.12</v>
      </c>
      <c r="BF204" s="480">
        <f t="shared" si="324"/>
        <v>0</v>
      </c>
      <c r="BG204" s="480">
        <f t="shared" si="324"/>
        <v>0</v>
      </c>
      <c r="BH204" s="480">
        <f t="shared" si="324"/>
        <v>0</v>
      </c>
      <c r="BI204" s="480">
        <f t="shared" si="324"/>
        <v>2.4999999999999996</v>
      </c>
      <c r="BJ204" s="480">
        <f t="shared" si="324"/>
        <v>-0.8899999999999999</v>
      </c>
      <c r="BK204" s="585">
        <f t="shared" si="324"/>
        <v>1.6099999999999999</v>
      </c>
      <c r="BL204" s="478">
        <f t="shared" si="324"/>
        <v>514860076</v>
      </c>
      <c r="BM204" s="479">
        <f t="shared" si="324"/>
        <v>376338251</v>
      </c>
      <c r="BN204" s="479">
        <f t="shared" si="324"/>
        <v>314148577</v>
      </c>
      <c r="BO204" s="479">
        <f t="shared" si="324"/>
        <v>62189674</v>
      </c>
      <c r="BP204" s="479">
        <f t="shared" si="324"/>
        <v>1711071</v>
      </c>
      <c r="BQ204" s="479">
        <f t="shared" si="324"/>
        <v>967775</v>
      </c>
      <c r="BR204" s="479">
        <f t="shared" si="324"/>
        <v>743296</v>
      </c>
      <c r="BS204" s="479">
        <f t="shared" si="324"/>
        <v>127758253</v>
      </c>
      <c r="BT204" s="479">
        <f t="shared" si="324"/>
        <v>3763387</v>
      </c>
      <c r="BU204" s="479">
        <f t="shared" si="324"/>
        <v>5289114</v>
      </c>
      <c r="BV204" s="480">
        <f t="shared" si="324"/>
        <v>711.48369999999989</v>
      </c>
      <c r="BW204" s="480">
        <f t="shared" si="324"/>
        <v>520.16339999999991</v>
      </c>
      <c r="BX204" s="585">
        <f t="shared" ref="BX204:CJ204" si="325">SUM(BX205:BX214)</f>
        <v>191.32030000000003</v>
      </c>
      <c r="BY204" s="725">
        <f t="shared" si="325"/>
        <v>3193142</v>
      </c>
      <c r="BZ204" s="669">
        <f t="shared" si="325"/>
        <v>2368800</v>
      </c>
      <c r="CA204" s="669">
        <f t="shared" si="325"/>
        <v>0</v>
      </c>
      <c r="CB204" s="669">
        <f t="shared" si="325"/>
        <v>800654</v>
      </c>
      <c r="CC204" s="669">
        <f t="shared" si="325"/>
        <v>23688</v>
      </c>
      <c r="CD204" s="726">
        <f t="shared" si="325"/>
        <v>4.2</v>
      </c>
      <c r="CE204" s="1015">
        <f t="shared" si="325"/>
        <v>15671734</v>
      </c>
      <c r="CF204" s="1015">
        <f t="shared" si="325"/>
        <v>10727498</v>
      </c>
      <c r="CG204" s="1015">
        <f t="shared" si="325"/>
        <v>3625890</v>
      </c>
      <c r="CH204" s="1015">
        <f t="shared" si="325"/>
        <v>107276</v>
      </c>
      <c r="CI204" s="1015">
        <f t="shared" si="325"/>
        <v>1211070</v>
      </c>
      <c r="CJ204" s="1066">
        <f t="shared" si="325"/>
        <v>33.192</v>
      </c>
    </row>
    <row r="205" spans="1:88" s="89" customFormat="1" ht="12.75" customHeight="1">
      <c r="A205" s="311"/>
      <c r="D205" s="311"/>
      <c r="E205" s="397"/>
      <c r="F205" s="311"/>
      <c r="G205" s="313"/>
      <c r="H205" s="440">
        <v>3111</v>
      </c>
      <c r="I205" s="663">
        <f t="shared" ref="I205:BW205" si="326">SUMIF($F$12:$F$466,"=3111",I$12:I$466)</f>
        <v>116325550</v>
      </c>
      <c r="J205" s="664">
        <f t="shared" si="326"/>
        <v>85807023</v>
      </c>
      <c r="K205" s="664">
        <f t="shared" si="326"/>
        <v>76505018</v>
      </c>
      <c r="L205" s="664">
        <f t="shared" si="326"/>
        <v>9302005</v>
      </c>
      <c r="M205" s="664">
        <f t="shared" si="326"/>
        <v>70000</v>
      </c>
      <c r="N205" s="664">
        <f t="shared" si="326"/>
        <v>30000</v>
      </c>
      <c r="O205" s="664">
        <f t="shared" si="326"/>
        <v>40000</v>
      </c>
      <c r="P205" s="664">
        <f t="shared" si="326"/>
        <v>29026429</v>
      </c>
      <c r="Q205" s="664">
        <f t="shared" si="326"/>
        <v>858074</v>
      </c>
      <c r="R205" s="664">
        <f t="shared" si="326"/>
        <v>564024</v>
      </c>
      <c r="S205" s="665">
        <f t="shared" si="326"/>
        <v>170.59170000000003</v>
      </c>
      <c r="T205" s="665">
        <f t="shared" si="326"/>
        <v>137.91730000000001</v>
      </c>
      <c r="U205" s="666">
        <f t="shared" si="326"/>
        <v>32.674399999999999</v>
      </c>
      <c r="V205" s="490">
        <f t="shared" si="326"/>
        <v>-76445</v>
      </c>
      <c r="W205" s="489">
        <f t="shared" si="326"/>
        <v>-159476</v>
      </c>
      <c r="X205" s="489">
        <f t="shared" si="326"/>
        <v>-15450</v>
      </c>
      <c r="Y205" s="489">
        <f t="shared" si="326"/>
        <v>0</v>
      </c>
      <c r="Z205" s="489">
        <f t="shared" si="326"/>
        <v>318635</v>
      </c>
      <c r="AA205" s="489">
        <f t="shared" si="326"/>
        <v>0</v>
      </c>
      <c r="AB205" s="489">
        <f t="shared" si="326"/>
        <v>0</v>
      </c>
      <c r="AC205" s="489">
        <f t="shared" si="326"/>
        <v>0</v>
      </c>
      <c r="AD205" s="489">
        <f t="shared" si="326"/>
        <v>0</v>
      </c>
      <c r="AE205" s="489">
        <f t="shared" si="326"/>
        <v>226740</v>
      </c>
      <c r="AF205" s="489">
        <f t="shared" si="326"/>
        <v>-159476</v>
      </c>
      <c r="AG205" s="489">
        <f t="shared" si="326"/>
        <v>67264</v>
      </c>
      <c r="AH205" s="489">
        <f t="shared" si="326"/>
        <v>76445</v>
      </c>
      <c r="AI205" s="489">
        <f t="shared" si="326"/>
        <v>159476</v>
      </c>
      <c r="AJ205" s="489">
        <f t="shared" si="326"/>
        <v>0</v>
      </c>
      <c r="AK205" s="489">
        <f t="shared" si="326"/>
        <v>20535</v>
      </c>
      <c r="AL205" s="489">
        <f t="shared" si="326"/>
        <v>0</v>
      </c>
      <c r="AM205" s="489">
        <f t="shared" si="326"/>
        <v>96980</v>
      </c>
      <c r="AN205" s="489">
        <f t="shared" si="326"/>
        <v>159476</v>
      </c>
      <c r="AO205" s="489">
        <f t="shared" si="326"/>
        <v>256456</v>
      </c>
      <c r="AP205" s="489">
        <f t="shared" si="326"/>
        <v>323720</v>
      </c>
      <c r="AQ205" s="489">
        <f t="shared" si="326"/>
        <v>0</v>
      </c>
      <c r="AR205" s="489">
        <f t="shared" si="326"/>
        <v>323720</v>
      </c>
      <c r="AS205" s="489">
        <f t="shared" si="326"/>
        <v>102477</v>
      </c>
      <c r="AT205" s="489">
        <f t="shared" si="326"/>
        <v>673</v>
      </c>
      <c r="AU205" s="489">
        <f t="shared" si="326"/>
        <v>0</v>
      </c>
      <c r="AV205" s="489">
        <f t="shared" si="326"/>
        <v>0</v>
      </c>
      <c r="AW205" s="489">
        <f t="shared" si="326"/>
        <v>0</v>
      </c>
      <c r="AX205" s="489">
        <f t="shared" si="326"/>
        <v>0</v>
      </c>
      <c r="AY205" s="489">
        <f t="shared" si="326"/>
        <v>426870</v>
      </c>
      <c r="AZ205" s="492">
        <f t="shared" si="326"/>
        <v>-0.06</v>
      </c>
      <c r="BA205" s="492">
        <f t="shared" si="326"/>
        <v>-0.49</v>
      </c>
      <c r="BB205" s="492">
        <f t="shared" si="326"/>
        <v>-4.0000000000000008E-2</v>
      </c>
      <c r="BC205" s="492">
        <f t="shared" si="326"/>
        <v>0.71</v>
      </c>
      <c r="BD205" s="492">
        <f t="shared" si="326"/>
        <v>0</v>
      </c>
      <c r="BE205" s="492">
        <f t="shared" si="326"/>
        <v>0</v>
      </c>
      <c r="BF205" s="492">
        <f t="shared" si="326"/>
        <v>0</v>
      </c>
      <c r="BG205" s="492">
        <f t="shared" si="326"/>
        <v>0</v>
      </c>
      <c r="BH205" s="492">
        <f t="shared" si="326"/>
        <v>0</v>
      </c>
      <c r="BI205" s="492">
        <f t="shared" si="326"/>
        <v>0.61</v>
      </c>
      <c r="BJ205" s="492">
        <f t="shared" si="326"/>
        <v>-0.49</v>
      </c>
      <c r="BK205" s="493">
        <f t="shared" si="326"/>
        <v>0.11999999999999994</v>
      </c>
      <c r="BL205" s="488">
        <f t="shared" si="326"/>
        <v>116752420</v>
      </c>
      <c r="BM205" s="489">
        <f t="shared" si="326"/>
        <v>85874287</v>
      </c>
      <c r="BN205" s="489">
        <f t="shared" si="326"/>
        <v>76731758</v>
      </c>
      <c r="BO205" s="489">
        <f t="shared" si="326"/>
        <v>9142529</v>
      </c>
      <c r="BP205" s="489">
        <f t="shared" si="326"/>
        <v>326456</v>
      </c>
      <c r="BQ205" s="489">
        <f t="shared" si="326"/>
        <v>126980</v>
      </c>
      <c r="BR205" s="489">
        <f t="shared" si="326"/>
        <v>199476</v>
      </c>
      <c r="BS205" s="489">
        <f t="shared" si="326"/>
        <v>29128906</v>
      </c>
      <c r="BT205" s="489">
        <f t="shared" si="326"/>
        <v>858747</v>
      </c>
      <c r="BU205" s="489">
        <f t="shared" si="326"/>
        <v>564024</v>
      </c>
      <c r="BV205" s="492">
        <f t="shared" si="326"/>
        <v>170.71170000000004</v>
      </c>
      <c r="BW205" s="492">
        <f t="shared" si="326"/>
        <v>138.5273</v>
      </c>
      <c r="BX205" s="493">
        <f t="shared" ref="BX205:CJ205" si="327">SUMIF($F$12:$F$466,"=3111",BX$12:BX$466)</f>
        <v>32.184400000000004</v>
      </c>
      <c r="BY205" s="488">
        <f t="shared" si="327"/>
        <v>0</v>
      </c>
      <c r="BZ205" s="489">
        <f t="shared" si="327"/>
        <v>0</v>
      </c>
      <c r="CA205" s="489">
        <f t="shared" si="327"/>
        <v>0</v>
      </c>
      <c r="CB205" s="489">
        <f t="shared" si="327"/>
        <v>0</v>
      </c>
      <c r="CC205" s="489">
        <f t="shared" si="327"/>
        <v>0</v>
      </c>
      <c r="CD205" s="495">
        <f t="shared" si="327"/>
        <v>0</v>
      </c>
      <c r="CE205" s="488">
        <f t="shared" si="327"/>
        <v>4407157</v>
      </c>
      <c r="CF205" s="489">
        <f t="shared" si="327"/>
        <v>3122827</v>
      </c>
      <c r="CG205" s="489">
        <f t="shared" si="327"/>
        <v>1055512</v>
      </c>
      <c r="CH205" s="489">
        <f t="shared" si="327"/>
        <v>31229</v>
      </c>
      <c r="CI205" s="489">
        <f t="shared" si="327"/>
        <v>197589</v>
      </c>
      <c r="CJ205" s="495">
        <f t="shared" si="327"/>
        <v>10.863600000000002</v>
      </c>
    </row>
    <row r="206" spans="1:88" s="89" customFormat="1" ht="12.75" customHeight="1">
      <c r="A206" s="311"/>
      <c r="D206" s="311"/>
      <c r="E206" s="397"/>
      <c r="F206" s="311"/>
      <c r="G206" s="313"/>
      <c r="H206" s="2">
        <v>3113</v>
      </c>
      <c r="I206" s="167">
        <f t="shared" ref="I206:BW206" si="328">SUMIF($F$12:$F$466,"=3113",I$12:I$466)</f>
        <v>215798120</v>
      </c>
      <c r="J206" s="16">
        <f t="shared" si="328"/>
        <v>157057836</v>
      </c>
      <c r="K206" s="16">
        <f t="shared" si="328"/>
        <v>142639615</v>
      </c>
      <c r="L206" s="16">
        <f t="shared" si="328"/>
        <v>14418221</v>
      </c>
      <c r="M206" s="16">
        <f t="shared" si="328"/>
        <v>596480</v>
      </c>
      <c r="N206" s="16">
        <f t="shared" si="328"/>
        <v>461880</v>
      </c>
      <c r="O206" s="16">
        <f t="shared" si="328"/>
        <v>134600</v>
      </c>
      <c r="P206" s="16">
        <f t="shared" si="328"/>
        <v>53287156</v>
      </c>
      <c r="Q206" s="16">
        <f t="shared" si="328"/>
        <v>1570578</v>
      </c>
      <c r="R206" s="16">
        <f t="shared" si="328"/>
        <v>3286070</v>
      </c>
      <c r="S206" s="13">
        <f t="shared" si="328"/>
        <v>264.02429999999998</v>
      </c>
      <c r="T206" s="13">
        <f t="shared" si="328"/>
        <v>220.19050000000001</v>
      </c>
      <c r="U206" s="17">
        <f t="shared" si="328"/>
        <v>43.833799999999989</v>
      </c>
      <c r="V206" s="168">
        <f t="shared" si="328"/>
        <v>75030</v>
      </c>
      <c r="W206" s="16">
        <f t="shared" si="328"/>
        <v>25100</v>
      </c>
      <c r="X206" s="16">
        <f t="shared" si="328"/>
        <v>282740</v>
      </c>
      <c r="Y206" s="16">
        <f t="shared" si="328"/>
        <v>82750</v>
      </c>
      <c r="Z206" s="16">
        <f t="shared" si="328"/>
        <v>346952</v>
      </c>
      <c r="AA206" s="16">
        <f t="shared" si="328"/>
        <v>0</v>
      </c>
      <c r="AB206" s="16">
        <f t="shared" si="328"/>
        <v>0</v>
      </c>
      <c r="AC206" s="16">
        <f t="shared" si="328"/>
        <v>0</v>
      </c>
      <c r="AD206" s="16">
        <f t="shared" si="328"/>
        <v>0</v>
      </c>
      <c r="AE206" s="16">
        <f t="shared" si="328"/>
        <v>787472</v>
      </c>
      <c r="AF206" s="16">
        <f t="shared" si="328"/>
        <v>25100</v>
      </c>
      <c r="AG206" s="16">
        <f t="shared" si="328"/>
        <v>812572</v>
      </c>
      <c r="AH206" s="16">
        <f t="shared" si="328"/>
        <v>-75030</v>
      </c>
      <c r="AI206" s="16">
        <f t="shared" si="328"/>
        <v>-25100</v>
      </c>
      <c r="AJ206" s="16">
        <f t="shared" si="328"/>
        <v>0</v>
      </c>
      <c r="AK206" s="16">
        <f t="shared" si="328"/>
        <v>0</v>
      </c>
      <c r="AL206" s="16">
        <f t="shared" si="328"/>
        <v>0</v>
      </c>
      <c r="AM206" s="16">
        <f t="shared" si="328"/>
        <v>-75030</v>
      </c>
      <c r="AN206" s="16">
        <f t="shared" si="328"/>
        <v>-25100</v>
      </c>
      <c r="AO206" s="16">
        <f t="shared" si="328"/>
        <v>-100130</v>
      </c>
      <c r="AP206" s="16">
        <f t="shared" si="328"/>
        <v>712442</v>
      </c>
      <c r="AQ206" s="16">
        <f t="shared" si="328"/>
        <v>0</v>
      </c>
      <c r="AR206" s="16">
        <f t="shared" si="328"/>
        <v>712442</v>
      </c>
      <c r="AS206" s="16">
        <f t="shared" si="328"/>
        <v>240805</v>
      </c>
      <c r="AT206" s="16">
        <f t="shared" si="328"/>
        <v>8127</v>
      </c>
      <c r="AU206" s="16">
        <f t="shared" si="328"/>
        <v>3000</v>
      </c>
      <c r="AV206" s="16">
        <f t="shared" si="328"/>
        <v>0</v>
      </c>
      <c r="AW206" s="16">
        <f t="shared" si="328"/>
        <v>0</v>
      </c>
      <c r="AX206" s="16">
        <f t="shared" si="328"/>
        <v>3000</v>
      </c>
      <c r="AY206" s="16">
        <f t="shared" si="328"/>
        <v>964374</v>
      </c>
      <c r="AZ206" s="13">
        <f t="shared" si="328"/>
        <v>-0.16</v>
      </c>
      <c r="BA206" s="13">
        <f t="shared" si="328"/>
        <v>-0.01</v>
      </c>
      <c r="BB206" s="13">
        <f t="shared" si="328"/>
        <v>0.78</v>
      </c>
      <c r="BC206" s="13">
        <f t="shared" si="328"/>
        <v>0.69</v>
      </c>
      <c r="BD206" s="13">
        <f t="shared" si="328"/>
        <v>0</v>
      </c>
      <c r="BE206" s="13">
        <f t="shared" si="328"/>
        <v>0.12</v>
      </c>
      <c r="BF206" s="13">
        <f t="shared" si="328"/>
        <v>0</v>
      </c>
      <c r="BG206" s="13">
        <f t="shared" si="328"/>
        <v>0</v>
      </c>
      <c r="BH206" s="13">
        <f t="shared" si="328"/>
        <v>0</v>
      </c>
      <c r="BI206" s="13">
        <f t="shared" si="328"/>
        <v>1.43</v>
      </c>
      <c r="BJ206" s="13">
        <f t="shared" si="328"/>
        <v>-0.01</v>
      </c>
      <c r="BK206" s="169">
        <f t="shared" si="328"/>
        <v>1.42</v>
      </c>
      <c r="BL206" s="167">
        <f t="shared" si="328"/>
        <v>216762494</v>
      </c>
      <c r="BM206" s="16">
        <f t="shared" si="328"/>
        <v>157870408</v>
      </c>
      <c r="BN206" s="16">
        <f t="shared" si="328"/>
        <v>143427087</v>
      </c>
      <c r="BO206" s="16">
        <f t="shared" si="328"/>
        <v>14443321</v>
      </c>
      <c r="BP206" s="16">
        <f t="shared" si="328"/>
        <v>496350</v>
      </c>
      <c r="BQ206" s="16">
        <f t="shared" si="328"/>
        <v>386850</v>
      </c>
      <c r="BR206" s="16">
        <f t="shared" si="328"/>
        <v>109500</v>
      </c>
      <c r="BS206" s="16">
        <f t="shared" si="328"/>
        <v>53527961</v>
      </c>
      <c r="BT206" s="16">
        <f t="shared" si="328"/>
        <v>1578705</v>
      </c>
      <c r="BU206" s="16">
        <f t="shared" si="328"/>
        <v>3289070</v>
      </c>
      <c r="BV206" s="13">
        <f t="shared" si="328"/>
        <v>265.44429999999994</v>
      </c>
      <c r="BW206" s="13">
        <f t="shared" si="328"/>
        <v>221.62049999999999</v>
      </c>
      <c r="BX206" s="169">
        <f t="shared" ref="BX206:CJ206" si="329">SUMIF($F$12:$F$466,"=3113",BX$12:BX$466)</f>
        <v>43.823800000000006</v>
      </c>
      <c r="BY206" s="167">
        <f t="shared" si="329"/>
        <v>2889034</v>
      </c>
      <c r="BZ206" s="16">
        <f t="shared" si="329"/>
        <v>2143200</v>
      </c>
      <c r="CA206" s="16">
        <f t="shared" si="329"/>
        <v>0</v>
      </c>
      <c r="CB206" s="16">
        <f t="shared" si="329"/>
        <v>724402</v>
      </c>
      <c r="CC206" s="16">
        <f t="shared" si="329"/>
        <v>21432</v>
      </c>
      <c r="CD206" s="17">
        <f t="shared" si="329"/>
        <v>3.8</v>
      </c>
      <c r="CE206" s="167">
        <f t="shared" si="329"/>
        <v>7094638</v>
      </c>
      <c r="CF206" s="16">
        <f t="shared" si="329"/>
        <v>4670907</v>
      </c>
      <c r="CG206" s="16">
        <f t="shared" si="329"/>
        <v>1578766</v>
      </c>
      <c r="CH206" s="16">
        <f t="shared" si="329"/>
        <v>46709</v>
      </c>
      <c r="CI206" s="16">
        <f t="shared" si="329"/>
        <v>798256</v>
      </c>
      <c r="CJ206" s="17">
        <f t="shared" si="329"/>
        <v>14.1083</v>
      </c>
    </row>
    <row r="207" spans="1:88" s="89" customFormat="1" ht="12.75" customHeight="1">
      <c r="A207" s="311"/>
      <c r="D207" s="311"/>
      <c r="E207" s="397"/>
      <c r="F207" s="311"/>
      <c r="G207" s="313"/>
      <c r="H207" s="2">
        <v>3114</v>
      </c>
      <c r="I207" s="167">
        <f t="shared" ref="I207:BW207" si="330">SUMIF($F$12:$F$466,"=3114",I$12:I$466)</f>
        <v>28848799</v>
      </c>
      <c r="J207" s="16">
        <f t="shared" si="330"/>
        <v>21141183</v>
      </c>
      <c r="K207" s="16">
        <f t="shared" si="330"/>
        <v>18753870</v>
      </c>
      <c r="L207" s="16">
        <f t="shared" si="330"/>
        <v>2387313</v>
      </c>
      <c r="M207" s="16">
        <f t="shared" si="330"/>
        <v>110000</v>
      </c>
      <c r="N207" s="16">
        <f t="shared" si="330"/>
        <v>0</v>
      </c>
      <c r="O207" s="16">
        <f t="shared" si="330"/>
        <v>110000</v>
      </c>
      <c r="P207" s="16">
        <f t="shared" si="330"/>
        <v>7182899</v>
      </c>
      <c r="Q207" s="16">
        <f t="shared" si="330"/>
        <v>211412</v>
      </c>
      <c r="R207" s="16">
        <f t="shared" si="330"/>
        <v>203305</v>
      </c>
      <c r="S207" s="13">
        <f t="shared" si="330"/>
        <v>36.973599999999998</v>
      </c>
      <c r="T207" s="13">
        <f t="shared" si="330"/>
        <v>30.158899999999999</v>
      </c>
      <c r="U207" s="17">
        <f t="shared" si="330"/>
        <v>6.8146999999999993</v>
      </c>
      <c r="V207" s="168">
        <f t="shared" si="330"/>
        <v>0</v>
      </c>
      <c r="W207" s="16">
        <f t="shared" si="330"/>
        <v>-65000</v>
      </c>
      <c r="X207" s="16">
        <f t="shared" si="330"/>
        <v>0</v>
      </c>
      <c r="Y207" s="16">
        <f t="shared" si="330"/>
        <v>0</v>
      </c>
      <c r="Z207" s="16">
        <f t="shared" si="330"/>
        <v>0</v>
      </c>
      <c r="AA207" s="16">
        <f t="shared" si="330"/>
        <v>0</v>
      </c>
      <c r="AB207" s="16">
        <f t="shared" si="330"/>
        <v>0</v>
      </c>
      <c r="AC207" s="16">
        <f t="shared" si="330"/>
        <v>0</v>
      </c>
      <c r="AD207" s="16">
        <f t="shared" si="330"/>
        <v>0</v>
      </c>
      <c r="AE207" s="16">
        <f t="shared" si="330"/>
        <v>0</v>
      </c>
      <c r="AF207" s="16">
        <f t="shared" si="330"/>
        <v>-65000</v>
      </c>
      <c r="AG207" s="16">
        <f t="shared" si="330"/>
        <v>-65000</v>
      </c>
      <c r="AH207" s="16">
        <f t="shared" si="330"/>
        <v>0</v>
      </c>
      <c r="AI207" s="16">
        <f t="shared" si="330"/>
        <v>65000</v>
      </c>
      <c r="AJ207" s="16">
        <f t="shared" si="330"/>
        <v>0</v>
      </c>
      <c r="AK207" s="16">
        <f t="shared" si="330"/>
        <v>0</v>
      </c>
      <c r="AL207" s="16">
        <f t="shared" si="330"/>
        <v>0</v>
      </c>
      <c r="AM207" s="16">
        <f t="shared" si="330"/>
        <v>0</v>
      </c>
      <c r="AN207" s="16">
        <f t="shared" si="330"/>
        <v>65000</v>
      </c>
      <c r="AO207" s="16">
        <f t="shared" si="330"/>
        <v>65000</v>
      </c>
      <c r="AP207" s="16">
        <f t="shared" si="330"/>
        <v>0</v>
      </c>
      <c r="AQ207" s="16">
        <f t="shared" si="330"/>
        <v>0</v>
      </c>
      <c r="AR207" s="16">
        <f t="shared" si="330"/>
        <v>0</v>
      </c>
      <c r="AS207" s="16">
        <f t="shared" si="330"/>
        <v>0</v>
      </c>
      <c r="AT207" s="16">
        <f t="shared" si="330"/>
        <v>-650</v>
      </c>
      <c r="AU207" s="16">
        <f t="shared" si="330"/>
        <v>0</v>
      </c>
      <c r="AV207" s="16">
        <f t="shared" si="330"/>
        <v>0</v>
      </c>
      <c r="AW207" s="16">
        <f t="shared" si="330"/>
        <v>0</v>
      </c>
      <c r="AX207" s="16">
        <f t="shared" si="330"/>
        <v>0</v>
      </c>
      <c r="AY207" s="16">
        <f t="shared" si="330"/>
        <v>-650</v>
      </c>
      <c r="AZ207" s="13">
        <f t="shared" si="330"/>
        <v>0</v>
      </c>
      <c r="BA207" s="13">
        <f t="shared" si="330"/>
        <v>-0.2</v>
      </c>
      <c r="BB207" s="13">
        <f t="shared" si="330"/>
        <v>0</v>
      </c>
      <c r="BC207" s="13">
        <f t="shared" si="330"/>
        <v>0</v>
      </c>
      <c r="BD207" s="13">
        <f t="shared" si="330"/>
        <v>0</v>
      </c>
      <c r="BE207" s="13">
        <f t="shared" si="330"/>
        <v>0</v>
      </c>
      <c r="BF207" s="13">
        <f t="shared" si="330"/>
        <v>0</v>
      </c>
      <c r="BG207" s="13">
        <f t="shared" si="330"/>
        <v>0</v>
      </c>
      <c r="BH207" s="13">
        <f t="shared" si="330"/>
        <v>0</v>
      </c>
      <c r="BI207" s="13">
        <f t="shared" si="330"/>
        <v>0</v>
      </c>
      <c r="BJ207" s="13">
        <f t="shared" si="330"/>
        <v>-0.2</v>
      </c>
      <c r="BK207" s="169">
        <f t="shared" si="330"/>
        <v>-0.2</v>
      </c>
      <c r="BL207" s="167">
        <f t="shared" si="330"/>
        <v>28848149</v>
      </c>
      <c r="BM207" s="16">
        <f t="shared" si="330"/>
        <v>21076183</v>
      </c>
      <c r="BN207" s="16">
        <f t="shared" si="330"/>
        <v>18753870</v>
      </c>
      <c r="BO207" s="16">
        <f t="shared" si="330"/>
        <v>2322313</v>
      </c>
      <c r="BP207" s="16">
        <f t="shared" si="330"/>
        <v>175000</v>
      </c>
      <c r="BQ207" s="16">
        <f t="shared" si="330"/>
        <v>0</v>
      </c>
      <c r="BR207" s="16">
        <f t="shared" si="330"/>
        <v>175000</v>
      </c>
      <c r="BS207" s="16">
        <f t="shared" si="330"/>
        <v>7182899</v>
      </c>
      <c r="BT207" s="16">
        <f t="shared" si="330"/>
        <v>210762</v>
      </c>
      <c r="BU207" s="16">
        <f t="shared" si="330"/>
        <v>203305</v>
      </c>
      <c r="BV207" s="13">
        <f t="shared" si="330"/>
        <v>36.773599999999995</v>
      </c>
      <c r="BW207" s="13">
        <f t="shared" si="330"/>
        <v>30.158899999999999</v>
      </c>
      <c r="BX207" s="169">
        <f t="shared" ref="BX207:CJ207" si="331">SUMIF($F$12:$F$466,"=3114",BX$12:BX$466)</f>
        <v>6.6146999999999991</v>
      </c>
      <c r="BY207" s="167">
        <f t="shared" si="331"/>
        <v>0</v>
      </c>
      <c r="BZ207" s="16">
        <f t="shared" si="331"/>
        <v>0</v>
      </c>
      <c r="CA207" s="16">
        <f t="shared" si="331"/>
        <v>0</v>
      </c>
      <c r="CB207" s="16">
        <f t="shared" si="331"/>
        <v>0</v>
      </c>
      <c r="CC207" s="16">
        <f t="shared" si="331"/>
        <v>0</v>
      </c>
      <c r="CD207" s="17">
        <f t="shared" si="331"/>
        <v>0</v>
      </c>
      <c r="CE207" s="167">
        <f t="shared" si="331"/>
        <v>1134611</v>
      </c>
      <c r="CF207" s="16">
        <f t="shared" si="331"/>
        <v>801346</v>
      </c>
      <c r="CG207" s="16">
        <f t="shared" si="331"/>
        <v>270855</v>
      </c>
      <c r="CH207" s="16">
        <f t="shared" si="331"/>
        <v>8013</v>
      </c>
      <c r="CI207" s="16">
        <f t="shared" si="331"/>
        <v>54397</v>
      </c>
      <c r="CJ207" s="17">
        <f t="shared" si="331"/>
        <v>2.2926000000000002</v>
      </c>
    </row>
    <row r="208" spans="1:88" s="89" customFormat="1" ht="12.95" customHeight="1">
      <c r="A208" s="311"/>
      <c r="D208" s="311"/>
      <c r="E208" s="397"/>
      <c r="F208" s="311"/>
      <c r="G208" s="313"/>
      <c r="H208" s="2">
        <v>3117</v>
      </c>
      <c r="I208" s="167">
        <f t="shared" ref="I208:BW208" si="332">SUMIF($F$12:$F$466,"=3117",I$12:I$466)</f>
        <v>56016679</v>
      </c>
      <c r="J208" s="16">
        <f t="shared" si="332"/>
        <v>40517437</v>
      </c>
      <c r="K208" s="16">
        <f t="shared" si="332"/>
        <v>34633307</v>
      </c>
      <c r="L208" s="16">
        <f t="shared" si="332"/>
        <v>5884130</v>
      </c>
      <c r="M208" s="16">
        <f t="shared" si="332"/>
        <v>358100</v>
      </c>
      <c r="N208" s="16">
        <f t="shared" si="332"/>
        <v>196100</v>
      </c>
      <c r="O208" s="16">
        <f t="shared" si="332"/>
        <v>162000</v>
      </c>
      <c r="P208" s="16">
        <f t="shared" si="332"/>
        <v>13815931</v>
      </c>
      <c r="Q208" s="16">
        <f t="shared" si="332"/>
        <v>405175</v>
      </c>
      <c r="R208" s="16">
        <f t="shared" si="332"/>
        <v>920036</v>
      </c>
      <c r="S208" s="13">
        <f t="shared" si="332"/>
        <v>73.214700000000008</v>
      </c>
      <c r="T208" s="13">
        <f t="shared" si="332"/>
        <v>56.467100000000009</v>
      </c>
      <c r="U208" s="17">
        <f t="shared" si="332"/>
        <v>16.747599999999998</v>
      </c>
      <c r="V208" s="168">
        <f t="shared" si="332"/>
        <v>-53309</v>
      </c>
      <c r="W208" s="16">
        <f t="shared" si="332"/>
        <v>132000</v>
      </c>
      <c r="X208" s="16">
        <f t="shared" si="332"/>
        <v>35554</v>
      </c>
      <c r="Y208" s="16">
        <f t="shared" si="332"/>
        <v>0</v>
      </c>
      <c r="Z208" s="16">
        <f t="shared" si="332"/>
        <v>135376</v>
      </c>
      <c r="AA208" s="16">
        <f t="shared" si="332"/>
        <v>0</v>
      </c>
      <c r="AB208" s="16">
        <f t="shared" si="332"/>
        <v>0</v>
      </c>
      <c r="AC208" s="16">
        <f t="shared" si="332"/>
        <v>0</v>
      </c>
      <c r="AD208" s="16">
        <f t="shared" si="332"/>
        <v>0</v>
      </c>
      <c r="AE208" s="16">
        <f t="shared" si="332"/>
        <v>117621</v>
      </c>
      <c r="AF208" s="16">
        <f t="shared" si="332"/>
        <v>132000</v>
      </c>
      <c r="AG208" s="16">
        <f t="shared" si="332"/>
        <v>249621</v>
      </c>
      <c r="AH208" s="16">
        <f t="shared" si="332"/>
        <v>53309</v>
      </c>
      <c r="AI208" s="16">
        <f t="shared" si="332"/>
        <v>-132000</v>
      </c>
      <c r="AJ208" s="16">
        <f t="shared" si="332"/>
        <v>0</v>
      </c>
      <c r="AK208" s="16">
        <f t="shared" si="332"/>
        <v>45756</v>
      </c>
      <c r="AL208" s="16">
        <f t="shared" si="332"/>
        <v>0</v>
      </c>
      <c r="AM208" s="16">
        <f t="shared" si="332"/>
        <v>99065</v>
      </c>
      <c r="AN208" s="16">
        <f t="shared" si="332"/>
        <v>-132000</v>
      </c>
      <c r="AO208" s="16">
        <f t="shared" si="332"/>
        <v>-32935</v>
      </c>
      <c r="AP208" s="16">
        <f t="shared" si="332"/>
        <v>216686</v>
      </c>
      <c r="AQ208" s="16">
        <f t="shared" si="332"/>
        <v>0</v>
      </c>
      <c r="AR208" s="16">
        <f t="shared" si="332"/>
        <v>216686</v>
      </c>
      <c r="AS208" s="16">
        <f t="shared" si="332"/>
        <v>57774</v>
      </c>
      <c r="AT208" s="16">
        <f t="shared" si="332"/>
        <v>2495</v>
      </c>
      <c r="AU208" s="16">
        <f t="shared" si="332"/>
        <v>500</v>
      </c>
      <c r="AV208" s="16">
        <f t="shared" si="332"/>
        <v>0</v>
      </c>
      <c r="AW208" s="16">
        <f t="shared" si="332"/>
        <v>0</v>
      </c>
      <c r="AX208" s="16">
        <f t="shared" si="332"/>
        <v>500</v>
      </c>
      <c r="AY208" s="16">
        <f t="shared" si="332"/>
        <v>277455</v>
      </c>
      <c r="AZ208" s="13">
        <f t="shared" si="332"/>
        <v>-0.34</v>
      </c>
      <c r="BA208" s="13">
        <f t="shared" si="332"/>
        <v>-0.03</v>
      </c>
      <c r="BB208" s="13">
        <f t="shared" si="332"/>
        <v>0.1</v>
      </c>
      <c r="BC208" s="13">
        <f t="shared" si="332"/>
        <v>0.27</v>
      </c>
      <c r="BD208" s="13">
        <f t="shared" si="332"/>
        <v>0</v>
      </c>
      <c r="BE208" s="13">
        <f t="shared" si="332"/>
        <v>0</v>
      </c>
      <c r="BF208" s="13">
        <f t="shared" si="332"/>
        <v>0</v>
      </c>
      <c r="BG208" s="13">
        <f t="shared" si="332"/>
        <v>0</v>
      </c>
      <c r="BH208" s="13">
        <f t="shared" si="332"/>
        <v>0</v>
      </c>
      <c r="BI208" s="13">
        <f t="shared" si="332"/>
        <v>0.03</v>
      </c>
      <c r="BJ208" s="13">
        <f t="shared" si="332"/>
        <v>-0.03</v>
      </c>
      <c r="BK208" s="169">
        <f t="shared" si="332"/>
        <v>0</v>
      </c>
      <c r="BL208" s="167">
        <f t="shared" si="332"/>
        <v>56294134</v>
      </c>
      <c r="BM208" s="16">
        <f t="shared" si="332"/>
        <v>40767058</v>
      </c>
      <c r="BN208" s="16">
        <f t="shared" si="332"/>
        <v>34750928</v>
      </c>
      <c r="BO208" s="16">
        <f t="shared" si="332"/>
        <v>6016130</v>
      </c>
      <c r="BP208" s="16">
        <f t="shared" si="332"/>
        <v>325165</v>
      </c>
      <c r="BQ208" s="16">
        <f t="shared" si="332"/>
        <v>295165</v>
      </c>
      <c r="BR208" s="16">
        <f t="shared" si="332"/>
        <v>30000</v>
      </c>
      <c r="BS208" s="16">
        <f t="shared" si="332"/>
        <v>13873705</v>
      </c>
      <c r="BT208" s="16">
        <f t="shared" si="332"/>
        <v>407670</v>
      </c>
      <c r="BU208" s="16">
        <f t="shared" si="332"/>
        <v>920536</v>
      </c>
      <c r="BV208" s="13">
        <f t="shared" si="332"/>
        <v>73.214699999999993</v>
      </c>
      <c r="BW208" s="13">
        <f t="shared" si="332"/>
        <v>56.497100000000003</v>
      </c>
      <c r="BX208" s="169">
        <f t="shared" ref="BX208:CJ208" si="333">SUMIF($F$12:$F$466,"=3117",BX$12:BX$466)</f>
        <v>16.717600000000001</v>
      </c>
      <c r="BY208" s="167">
        <f t="shared" si="333"/>
        <v>304108</v>
      </c>
      <c r="BZ208" s="16">
        <f t="shared" si="333"/>
        <v>225600</v>
      </c>
      <c r="CA208" s="16">
        <f t="shared" si="333"/>
        <v>0</v>
      </c>
      <c r="CB208" s="16">
        <f t="shared" si="333"/>
        <v>76252</v>
      </c>
      <c r="CC208" s="16">
        <f t="shared" si="333"/>
        <v>2256</v>
      </c>
      <c r="CD208" s="17">
        <f t="shared" si="333"/>
        <v>0.4</v>
      </c>
      <c r="CE208" s="167">
        <f t="shared" si="333"/>
        <v>2594572</v>
      </c>
      <c r="CF208" s="16">
        <f t="shared" si="333"/>
        <v>1815278</v>
      </c>
      <c r="CG208" s="16">
        <f t="shared" si="333"/>
        <v>613564</v>
      </c>
      <c r="CH208" s="16">
        <f t="shared" si="333"/>
        <v>18154</v>
      </c>
      <c r="CI208" s="16">
        <f t="shared" si="333"/>
        <v>147576</v>
      </c>
      <c r="CJ208" s="17">
        <f t="shared" si="333"/>
        <v>5.0376999999999992</v>
      </c>
    </row>
    <row r="209" spans="1:88" s="89" customFormat="1" ht="12.95" customHeight="1">
      <c r="A209" s="311"/>
      <c r="D209" s="311"/>
      <c r="E209" s="397"/>
      <c r="F209" s="311"/>
      <c r="G209" s="313"/>
      <c r="H209" s="2">
        <v>3122</v>
      </c>
      <c r="I209" s="167">
        <f t="shared" ref="I209:BW209" si="334">SUMIF($F$12:$F$466,"=3122",I$12:I$466)</f>
        <v>0</v>
      </c>
      <c r="J209" s="16">
        <f t="shared" si="334"/>
        <v>0</v>
      </c>
      <c r="K209" s="16">
        <f t="shared" si="334"/>
        <v>0</v>
      </c>
      <c r="L209" s="16">
        <f t="shared" si="334"/>
        <v>0</v>
      </c>
      <c r="M209" s="16">
        <f t="shared" si="334"/>
        <v>0</v>
      </c>
      <c r="N209" s="16">
        <f t="shared" si="334"/>
        <v>0</v>
      </c>
      <c r="O209" s="16">
        <f t="shared" si="334"/>
        <v>0</v>
      </c>
      <c r="P209" s="16">
        <f t="shared" si="334"/>
        <v>0</v>
      </c>
      <c r="Q209" s="16">
        <f t="shared" si="334"/>
        <v>0</v>
      </c>
      <c r="R209" s="16">
        <f t="shared" si="334"/>
        <v>0</v>
      </c>
      <c r="S209" s="13">
        <f t="shared" si="334"/>
        <v>0</v>
      </c>
      <c r="T209" s="13">
        <f t="shared" si="334"/>
        <v>0</v>
      </c>
      <c r="U209" s="17">
        <f t="shared" si="334"/>
        <v>0</v>
      </c>
      <c r="V209" s="168">
        <f t="shared" si="334"/>
        <v>0</v>
      </c>
      <c r="W209" s="16">
        <f t="shared" si="334"/>
        <v>0</v>
      </c>
      <c r="X209" s="16">
        <f t="shared" si="334"/>
        <v>0</v>
      </c>
      <c r="Y209" s="16">
        <f t="shared" si="334"/>
        <v>0</v>
      </c>
      <c r="Z209" s="16">
        <f t="shared" si="334"/>
        <v>0</v>
      </c>
      <c r="AA209" s="16">
        <f t="shared" si="334"/>
        <v>0</v>
      </c>
      <c r="AB209" s="16">
        <f t="shared" si="334"/>
        <v>0</v>
      </c>
      <c r="AC209" s="16">
        <f t="shared" si="334"/>
        <v>0</v>
      </c>
      <c r="AD209" s="16">
        <f t="shared" si="334"/>
        <v>0</v>
      </c>
      <c r="AE209" s="16">
        <f t="shared" si="334"/>
        <v>0</v>
      </c>
      <c r="AF209" s="16">
        <f t="shared" si="334"/>
        <v>0</v>
      </c>
      <c r="AG209" s="16">
        <f t="shared" si="334"/>
        <v>0</v>
      </c>
      <c r="AH209" s="16">
        <f t="shared" si="334"/>
        <v>0</v>
      </c>
      <c r="AI209" s="16">
        <f t="shared" si="334"/>
        <v>0</v>
      </c>
      <c r="AJ209" s="16">
        <f t="shared" si="334"/>
        <v>0</v>
      </c>
      <c r="AK209" s="16">
        <f t="shared" si="334"/>
        <v>0</v>
      </c>
      <c r="AL209" s="16">
        <f t="shared" si="334"/>
        <v>0</v>
      </c>
      <c r="AM209" s="16">
        <f t="shared" si="334"/>
        <v>0</v>
      </c>
      <c r="AN209" s="16">
        <f t="shared" si="334"/>
        <v>0</v>
      </c>
      <c r="AO209" s="16">
        <f t="shared" si="334"/>
        <v>0</v>
      </c>
      <c r="AP209" s="16">
        <f t="shared" si="334"/>
        <v>0</v>
      </c>
      <c r="AQ209" s="16">
        <f t="shared" si="334"/>
        <v>0</v>
      </c>
      <c r="AR209" s="16">
        <f t="shared" si="334"/>
        <v>0</v>
      </c>
      <c r="AS209" s="16">
        <f t="shared" si="334"/>
        <v>0</v>
      </c>
      <c r="AT209" s="16">
        <f t="shared" si="334"/>
        <v>0</v>
      </c>
      <c r="AU209" s="16">
        <f t="shared" si="334"/>
        <v>0</v>
      </c>
      <c r="AV209" s="16">
        <f t="shared" si="334"/>
        <v>0</v>
      </c>
      <c r="AW209" s="16">
        <f t="shared" si="334"/>
        <v>0</v>
      </c>
      <c r="AX209" s="16">
        <f t="shared" si="334"/>
        <v>0</v>
      </c>
      <c r="AY209" s="16">
        <f t="shared" si="334"/>
        <v>0</v>
      </c>
      <c r="AZ209" s="13">
        <f t="shared" si="334"/>
        <v>0</v>
      </c>
      <c r="BA209" s="13">
        <f t="shared" si="334"/>
        <v>0</v>
      </c>
      <c r="BB209" s="13">
        <f t="shared" si="334"/>
        <v>0</v>
      </c>
      <c r="BC209" s="13">
        <f t="shared" si="334"/>
        <v>0</v>
      </c>
      <c r="BD209" s="13">
        <f t="shared" si="334"/>
        <v>0</v>
      </c>
      <c r="BE209" s="13">
        <f t="shared" si="334"/>
        <v>0</v>
      </c>
      <c r="BF209" s="13">
        <f t="shared" si="334"/>
        <v>0</v>
      </c>
      <c r="BG209" s="13">
        <f t="shared" si="334"/>
        <v>0</v>
      </c>
      <c r="BH209" s="13">
        <f t="shared" si="334"/>
        <v>0</v>
      </c>
      <c r="BI209" s="13">
        <f t="shared" si="334"/>
        <v>0</v>
      </c>
      <c r="BJ209" s="13">
        <f t="shared" si="334"/>
        <v>0</v>
      </c>
      <c r="BK209" s="169">
        <f t="shared" si="334"/>
        <v>0</v>
      </c>
      <c r="BL209" s="167">
        <f t="shared" si="334"/>
        <v>0</v>
      </c>
      <c r="BM209" s="16">
        <f t="shared" si="334"/>
        <v>0</v>
      </c>
      <c r="BN209" s="16">
        <f t="shared" si="334"/>
        <v>0</v>
      </c>
      <c r="BO209" s="16">
        <f t="shared" si="334"/>
        <v>0</v>
      </c>
      <c r="BP209" s="16">
        <f t="shared" si="334"/>
        <v>0</v>
      </c>
      <c r="BQ209" s="16">
        <f t="shared" si="334"/>
        <v>0</v>
      </c>
      <c r="BR209" s="16">
        <f t="shared" si="334"/>
        <v>0</v>
      </c>
      <c r="BS209" s="16">
        <f t="shared" si="334"/>
        <v>0</v>
      </c>
      <c r="BT209" s="16">
        <f t="shared" si="334"/>
        <v>0</v>
      </c>
      <c r="BU209" s="16">
        <f t="shared" si="334"/>
        <v>0</v>
      </c>
      <c r="BV209" s="13">
        <f t="shared" si="334"/>
        <v>0</v>
      </c>
      <c r="BW209" s="13">
        <f t="shared" si="334"/>
        <v>0</v>
      </c>
      <c r="BX209" s="169">
        <f t="shared" ref="BX209:CJ209" si="335">SUMIF($F$12:$F$466,"=3122",BX$12:BX$466)</f>
        <v>0</v>
      </c>
      <c r="BY209" s="167">
        <f t="shared" si="335"/>
        <v>0</v>
      </c>
      <c r="BZ209" s="16">
        <f t="shared" si="335"/>
        <v>0</v>
      </c>
      <c r="CA209" s="16">
        <f t="shared" si="335"/>
        <v>0</v>
      </c>
      <c r="CB209" s="16">
        <f t="shared" si="335"/>
        <v>0</v>
      </c>
      <c r="CC209" s="16">
        <f t="shared" si="335"/>
        <v>0</v>
      </c>
      <c r="CD209" s="17">
        <f t="shared" si="335"/>
        <v>0</v>
      </c>
      <c r="CE209" s="167">
        <f t="shared" si="335"/>
        <v>0</v>
      </c>
      <c r="CF209" s="16">
        <f t="shared" si="335"/>
        <v>0</v>
      </c>
      <c r="CG209" s="16">
        <f t="shared" si="335"/>
        <v>0</v>
      </c>
      <c r="CH209" s="16">
        <f t="shared" si="335"/>
        <v>0</v>
      </c>
      <c r="CI209" s="16">
        <f t="shared" si="335"/>
        <v>0</v>
      </c>
      <c r="CJ209" s="17">
        <f t="shared" si="335"/>
        <v>0</v>
      </c>
    </row>
    <row r="210" spans="1:88" s="89" customFormat="1" ht="12.95" customHeight="1">
      <c r="A210" s="311"/>
      <c r="D210" s="311"/>
      <c r="E210" s="397"/>
      <c r="F210" s="311"/>
      <c r="G210" s="313"/>
      <c r="H210" s="2">
        <v>3124</v>
      </c>
      <c r="I210" s="167">
        <f t="shared" ref="I210:BW210" si="336">SUMIF($F$12:$F$466,"=3124",I$12:I$466)</f>
        <v>0</v>
      </c>
      <c r="J210" s="16">
        <f t="shared" si="336"/>
        <v>0</v>
      </c>
      <c r="K210" s="16">
        <f t="shared" si="336"/>
        <v>0</v>
      </c>
      <c r="L210" s="16">
        <f t="shared" si="336"/>
        <v>0</v>
      </c>
      <c r="M210" s="16">
        <f t="shared" si="336"/>
        <v>0</v>
      </c>
      <c r="N210" s="16">
        <f t="shared" si="336"/>
        <v>0</v>
      </c>
      <c r="O210" s="16">
        <f t="shared" si="336"/>
        <v>0</v>
      </c>
      <c r="P210" s="16">
        <f t="shared" si="336"/>
        <v>0</v>
      </c>
      <c r="Q210" s="16">
        <f t="shared" si="336"/>
        <v>0</v>
      </c>
      <c r="R210" s="16">
        <f t="shared" si="336"/>
        <v>0</v>
      </c>
      <c r="S210" s="13">
        <f t="shared" si="336"/>
        <v>0</v>
      </c>
      <c r="T210" s="13">
        <f t="shared" si="336"/>
        <v>0</v>
      </c>
      <c r="U210" s="17">
        <f t="shared" si="336"/>
        <v>0</v>
      </c>
      <c r="V210" s="168">
        <f t="shared" si="336"/>
        <v>0</v>
      </c>
      <c r="W210" s="16">
        <f t="shared" si="336"/>
        <v>0</v>
      </c>
      <c r="X210" s="16">
        <f t="shared" si="336"/>
        <v>0</v>
      </c>
      <c r="Y210" s="16">
        <f t="shared" si="336"/>
        <v>0</v>
      </c>
      <c r="Z210" s="16">
        <f t="shared" si="336"/>
        <v>0</v>
      </c>
      <c r="AA210" s="16">
        <f t="shared" si="336"/>
        <v>0</v>
      </c>
      <c r="AB210" s="16">
        <f t="shared" si="336"/>
        <v>0</v>
      </c>
      <c r="AC210" s="16">
        <f t="shared" si="336"/>
        <v>0</v>
      </c>
      <c r="AD210" s="16">
        <f t="shared" si="336"/>
        <v>0</v>
      </c>
      <c r="AE210" s="16">
        <f t="shared" si="336"/>
        <v>0</v>
      </c>
      <c r="AF210" s="16">
        <f t="shared" si="336"/>
        <v>0</v>
      </c>
      <c r="AG210" s="16">
        <f t="shared" si="336"/>
        <v>0</v>
      </c>
      <c r="AH210" s="16">
        <f t="shared" si="336"/>
        <v>0</v>
      </c>
      <c r="AI210" s="16">
        <f t="shared" si="336"/>
        <v>0</v>
      </c>
      <c r="AJ210" s="16">
        <f t="shared" si="336"/>
        <v>0</v>
      </c>
      <c r="AK210" s="16">
        <f t="shared" si="336"/>
        <v>0</v>
      </c>
      <c r="AL210" s="16">
        <f t="shared" si="336"/>
        <v>0</v>
      </c>
      <c r="AM210" s="16">
        <f t="shared" si="336"/>
        <v>0</v>
      </c>
      <c r="AN210" s="16">
        <f t="shared" si="336"/>
        <v>0</v>
      </c>
      <c r="AO210" s="16">
        <f t="shared" si="336"/>
        <v>0</v>
      </c>
      <c r="AP210" s="16">
        <f t="shared" si="336"/>
        <v>0</v>
      </c>
      <c r="AQ210" s="16">
        <f t="shared" si="336"/>
        <v>0</v>
      </c>
      <c r="AR210" s="16">
        <f t="shared" si="336"/>
        <v>0</v>
      </c>
      <c r="AS210" s="16">
        <f t="shared" si="336"/>
        <v>0</v>
      </c>
      <c r="AT210" s="16">
        <f t="shared" si="336"/>
        <v>0</v>
      </c>
      <c r="AU210" s="16">
        <f t="shared" si="336"/>
        <v>0</v>
      </c>
      <c r="AV210" s="16">
        <f t="shared" si="336"/>
        <v>0</v>
      </c>
      <c r="AW210" s="16">
        <f t="shared" si="336"/>
        <v>0</v>
      </c>
      <c r="AX210" s="16">
        <f t="shared" si="336"/>
        <v>0</v>
      </c>
      <c r="AY210" s="16">
        <f t="shared" si="336"/>
        <v>0</v>
      </c>
      <c r="AZ210" s="13">
        <f t="shared" si="336"/>
        <v>0</v>
      </c>
      <c r="BA210" s="13">
        <f t="shared" si="336"/>
        <v>0</v>
      </c>
      <c r="BB210" s="13">
        <f t="shared" si="336"/>
        <v>0</v>
      </c>
      <c r="BC210" s="13">
        <f t="shared" si="336"/>
        <v>0</v>
      </c>
      <c r="BD210" s="13">
        <f t="shared" si="336"/>
        <v>0</v>
      </c>
      <c r="BE210" s="13">
        <f t="shared" si="336"/>
        <v>0</v>
      </c>
      <c r="BF210" s="13">
        <f t="shared" si="336"/>
        <v>0</v>
      </c>
      <c r="BG210" s="13">
        <f t="shared" si="336"/>
        <v>0</v>
      </c>
      <c r="BH210" s="13">
        <f t="shared" si="336"/>
        <v>0</v>
      </c>
      <c r="BI210" s="13">
        <f t="shared" si="336"/>
        <v>0</v>
      </c>
      <c r="BJ210" s="13">
        <f t="shared" si="336"/>
        <v>0</v>
      </c>
      <c r="BK210" s="169">
        <f t="shared" si="336"/>
        <v>0</v>
      </c>
      <c r="BL210" s="167">
        <f t="shared" si="336"/>
        <v>0</v>
      </c>
      <c r="BM210" s="16">
        <f t="shared" si="336"/>
        <v>0</v>
      </c>
      <c r="BN210" s="16">
        <f t="shared" si="336"/>
        <v>0</v>
      </c>
      <c r="BO210" s="16">
        <f t="shared" si="336"/>
        <v>0</v>
      </c>
      <c r="BP210" s="16">
        <f t="shared" si="336"/>
        <v>0</v>
      </c>
      <c r="BQ210" s="16">
        <f t="shared" si="336"/>
        <v>0</v>
      </c>
      <c r="BR210" s="16">
        <f t="shared" si="336"/>
        <v>0</v>
      </c>
      <c r="BS210" s="16">
        <f t="shared" si="336"/>
        <v>0</v>
      </c>
      <c r="BT210" s="16">
        <f t="shared" si="336"/>
        <v>0</v>
      </c>
      <c r="BU210" s="16">
        <f t="shared" si="336"/>
        <v>0</v>
      </c>
      <c r="BV210" s="13">
        <f t="shared" si="336"/>
        <v>0</v>
      </c>
      <c r="BW210" s="13">
        <f t="shared" si="336"/>
        <v>0</v>
      </c>
      <c r="BX210" s="169">
        <f t="shared" ref="BX210:CJ210" si="337">SUMIF($F$12:$F$466,"=3124",BX$12:BX$466)</f>
        <v>0</v>
      </c>
      <c r="BY210" s="167">
        <f t="shared" si="337"/>
        <v>0</v>
      </c>
      <c r="BZ210" s="16">
        <f t="shared" si="337"/>
        <v>0</v>
      </c>
      <c r="CA210" s="16">
        <f t="shared" si="337"/>
        <v>0</v>
      </c>
      <c r="CB210" s="16">
        <f t="shared" si="337"/>
        <v>0</v>
      </c>
      <c r="CC210" s="16">
        <f t="shared" si="337"/>
        <v>0</v>
      </c>
      <c r="CD210" s="17">
        <f t="shared" si="337"/>
        <v>0</v>
      </c>
      <c r="CE210" s="167">
        <f t="shared" si="337"/>
        <v>0</v>
      </c>
      <c r="CF210" s="16">
        <f t="shared" si="337"/>
        <v>0</v>
      </c>
      <c r="CG210" s="16">
        <f t="shared" si="337"/>
        <v>0</v>
      </c>
      <c r="CH210" s="16">
        <f t="shared" si="337"/>
        <v>0</v>
      </c>
      <c r="CI210" s="16">
        <f t="shared" si="337"/>
        <v>0</v>
      </c>
      <c r="CJ210" s="17">
        <f t="shared" si="337"/>
        <v>0</v>
      </c>
    </row>
    <row r="211" spans="1:88" s="89" customFormat="1" ht="12.95" customHeight="1">
      <c r="A211" s="311"/>
      <c r="D211" s="311"/>
      <c r="E211" s="397"/>
      <c r="F211" s="311"/>
      <c r="G211" s="313"/>
      <c r="H211" s="2">
        <v>3141</v>
      </c>
      <c r="I211" s="167">
        <f t="shared" ref="I211:BW211" si="338">SUMIF($F$12:$F$466,"=3141",I$12:I$466)</f>
        <v>37944478</v>
      </c>
      <c r="J211" s="16">
        <f t="shared" si="338"/>
        <v>27731325</v>
      </c>
      <c r="K211" s="16">
        <f t="shared" si="338"/>
        <v>0</v>
      </c>
      <c r="L211" s="16">
        <f t="shared" si="338"/>
        <v>27731325</v>
      </c>
      <c r="M211" s="16">
        <f t="shared" si="338"/>
        <v>246400</v>
      </c>
      <c r="N211" s="16">
        <f t="shared" si="338"/>
        <v>0</v>
      </c>
      <c r="O211" s="16">
        <f t="shared" si="338"/>
        <v>246400</v>
      </c>
      <c r="P211" s="16">
        <f t="shared" si="338"/>
        <v>9456468</v>
      </c>
      <c r="Q211" s="16">
        <f t="shared" si="338"/>
        <v>277311</v>
      </c>
      <c r="R211" s="16">
        <f t="shared" si="338"/>
        <v>232974</v>
      </c>
      <c r="S211" s="13">
        <f t="shared" si="338"/>
        <v>83.623400000000004</v>
      </c>
      <c r="T211" s="13">
        <f t="shared" si="338"/>
        <v>0</v>
      </c>
      <c r="U211" s="17">
        <f t="shared" si="338"/>
        <v>83.623400000000004</v>
      </c>
      <c r="V211" s="168">
        <f t="shared" si="338"/>
        <v>0</v>
      </c>
      <c r="W211" s="16">
        <f t="shared" si="338"/>
        <v>39600</v>
      </c>
      <c r="X211" s="16">
        <f t="shared" si="338"/>
        <v>0</v>
      </c>
      <c r="Y211" s="16">
        <f t="shared" si="338"/>
        <v>0</v>
      </c>
      <c r="Z211" s="16">
        <f t="shared" si="338"/>
        <v>0</v>
      </c>
      <c r="AA211" s="16">
        <f t="shared" si="338"/>
        <v>-137142</v>
      </c>
      <c r="AB211" s="16">
        <f t="shared" si="338"/>
        <v>0</v>
      </c>
      <c r="AC211" s="16">
        <f t="shared" si="338"/>
        <v>0</v>
      </c>
      <c r="AD211" s="16">
        <f t="shared" si="338"/>
        <v>0</v>
      </c>
      <c r="AE211" s="16">
        <f t="shared" si="338"/>
        <v>0</v>
      </c>
      <c r="AF211" s="16">
        <f t="shared" si="338"/>
        <v>-97542</v>
      </c>
      <c r="AG211" s="16">
        <f t="shared" si="338"/>
        <v>-97542</v>
      </c>
      <c r="AH211" s="16">
        <f t="shared" si="338"/>
        <v>0</v>
      </c>
      <c r="AI211" s="16">
        <f t="shared" si="338"/>
        <v>-39600</v>
      </c>
      <c r="AJ211" s="16">
        <f t="shared" si="338"/>
        <v>0</v>
      </c>
      <c r="AK211" s="16">
        <f t="shared" si="338"/>
        <v>0</v>
      </c>
      <c r="AL211" s="16">
        <f t="shared" si="338"/>
        <v>0</v>
      </c>
      <c r="AM211" s="16">
        <f t="shared" si="338"/>
        <v>0</v>
      </c>
      <c r="AN211" s="16">
        <f t="shared" si="338"/>
        <v>-39600</v>
      </c>
      <c r="AO211" s="16">
        <f t="shared" si="338"/>
        <v>-39600</v>
      </c>
      <c r="AP211" s="16">
        <f t="shared" si="338"/>
        <v>0</v>
      </c>
      <c r="AQ211" s="16">
        <f t="shared" si="338"/>
        <v>-137142</v>
      </c>
      <c r="AR211" s="16">
        <f t="shared" si="338"/>
        <v>-137142</v>
      </c>
      <c r="AS211" s="16">
        <f t="shared" si="338"/>
        <v>-46353</v>
      </c>
      <c r="AT211" s="16">
        <f t="shared" si="338"/>
        <v>-976</v>
      </c>
      <c r="AU211" s="16">
        <f t="shared" si="338"/>
        <v>0</v>
      </c>
      <c r="AV211" s="16">
        <f t="shared" si="338"/>
        <v>0</v>
      </c>
      <c r="AW211" s="16">
        <f t="shared" si="338"/>
        <v>0</v>
      </c>
      <c r="AX211" s="16">
        <f t="shared" si="338"/>
        <v>0</v>
      </c>
      <c r="AY211" s="16">
        <f t="shared" si="338"/>
        <v>-184471</v>
      </c>
      <c r="AZ211" s="13">
        <f t="shared" si="338"/>
        <v>0</v>
      </c>
      <c r="BA211" s="13">
        <f t="shared" si="338"/>
        <v>0.23</v>
      </c>
      <c r="BB211" s="13">
        <f t="shared" si="338"/>
        <v>0</v>
      </c>
      <c r="BC211" s="13">
        <f t="shared" si="338"/>
        <v>0.01</v>
      </c>
      <c r="BD211" s="13">
        <f t="shared" si="338"/>
        <v>-0.37999999999999995</v>
      </c>
      <c r="BE211" s="13">
        <f t="shared" si="338"/>
        <v>0</v>
      </c>
      <c r="BF211" s="13">
        <f t="shared" si="338"/>
        <v>0</v>
      </c>
      <c r="BG211" s="13">
        <f t="shared" si="338"/>
        <v>0</v>
      </c>
      <c r="BH211" s="13">
        <f t="shared" si="338"/>
        <v>0</v>
      </c>
      <c r="BI211" s="13">
        <f t="shared" si="338"/>
        <v>0.01</v>
      </c>
      <c r="BJ211" s="13">
        <f t="shared" si="338"/>
        <v>-0.14999999999999997</v>
      </c>
      <c r="BK211" s="169">
        <f t="shared" si="338"/>
        <v>-0.13999999999999996</v>
      </c>
      <c r="BL211" s="167">
        <f t="shared" si="338"/>
        <v>37760007</v>
      </c>
      <c r="BM211" s="16">
        <f t="shared" si="338"/>
        <v>27633783</v>
      </c>
      <c r="BN211" s="16">
        <f t="shared" si="338"/>
        <v>0</v>
      </c>
      <c r="BO211" s="16">
        <f t="shared" si="338"/>
        <v>27633783</v>
      </c>
      <c r="BP211" s="16">
        <f t="shared" si="338"/>
        <v>206800</v>
      </c>
      <c r="BQ211" s="16">
        <f t="shared" si="338"/>
        <v>0</v>
      </c>
      <c r="BR211" s="16">
        <f t="shared" si="338"/>
        <v>206800</v>
      </c>
      <c r="BS211" s="16">
        <f t="shared" si="338"/>
        <v>9410115</v>
      </c>
      <c r="BT211" s="16">
        <f t="shared" si="338"/>
        <v>276335</v>
      </c>
      <c r="BU211" s="16">
        <f t="shared" si="338"/>
        <v>232974</v>
      </c>
      <c r="BV211" s="13">
        <f t="shared" si="338"/>
        <v>83.483400000000003</v>
      </c>
      <c r="BW211" s="13">
        <f t="shared" si="338"/>
        <v>0.01</v>
      </c>
      <c r="BX211" s="169">
        <f t="shared" ref="BX211:CJ211" si="339">SUMIF($F$12:$F$466,"=3141",BX$12:BX$466)</f>
        <v>83.473399999999998</v>
      </c>
      <c r="BY211" s="167">
        <f t="shared" si="339"/>
        <v>0</v>
      </c>
      <c r="BZ211" s="16">
        <f t="shared" si="339"/>
        <v>0</v>
      </c>
      <c r="CA211" s="16">
        <f t="shared" si="339"/>
        <v>0</v>
      </c>
      <c r="CB211" s="16">
        <f t="shared" si="339"/>
        <v>0</v>
      </c>
      <c r="CC211" s="16">
        <f t="shared" si="339"/>
        <v>0</v>
      </c>
      <c r="CD211" s="17">
        <f t="shared" si="339"/>
        <v>0</v>
      </c>
      <c r="CE211" s="167">
        <f t="shared" si="339"/>
        <v>0</v>
      </c>
      <c r="CF211" s="16">
        <f t="shared" si="339"/>
        <v>0</v>
      </c>
      <c r="CG211" s="16">
        <f t="shared" si="339"/>
        <v>0</v>
      </c>
      <c r="CH211" s="16">
        <f t="shared" si="339"/>
        <v>0</v>
      </c>
      <c r="CI211" s="16">
        <f t="shared" si="339"/>
        <v>0</v>
      </c>
      <c r="CJ211" s="17">
        <f t="shared" si="339"/>
        <v>0</v>
      </c>
    </row>
    <row r="212" spans="1:88" s="89" customFormat="1" ht="12.95" customHeight="1">
      <c r="A212" s="311"/>
      <c r="D212" s="311"/>
      <c r="E212" s="397"/>
      <c r="F212" s="311"/>
      <c r="G212" s="313"/>
      <c r="H212" s="2">
        <v>3143</v>
      </c>
      <c r="I212" s="167">
        <f t="shared" ref="I212:BW212" si="340">SUMIF($F$12:$F$466,"=3143",I$12:I$466)</f>
        <v>28792527</v>
      </c>
      <c r="J212" s="16">
        <f t="shared" si="340"/>
        <v>21292013</v>
      </c>
      <c r="K212" s="16">
        <f t="shared" si="340"/>
        <v>20645733</v>
      </c>
      <c r="L212" s="16">
        <f t="shared" si="340"/>
        <v>646280</v>
      </c>
      <c r="M212" s="16">
        <f t="shared" si="340"/>
        <v>44200</v>
      </c>
      <c r="N212" s="16">
        <f t="shared" si="340"/>
        <v>21680</v>
      </c>
      <c r="O212" s="16">
        <f t="shared" si="340"/>
        <v>22520</v>
      </c>
      <c r="P212" s="16">
        <f t="shared" si="340"/>
        <v>7211640</v>
      </c>
      <c r="Q212" s="16">
        <f t="shared" si="340"/>
        <v>212922</v>
      </c>
      <c r="R212" s="16">
        <f t="shared" si="340"/>
        <v>31752</v>
      </c>
      <c r="S212" s="13">
        <f t="shared" si="340"/>
        <v>43.458400000000012</v>
      </c>
      <c r="T212" s="13">
        <f t="shared" si="340"/>
        <v>40.926600000000001</v>
      </c>
      <c r="U212" s="17">
        <f t="shared" si="340"/>
        <v>2.5318000000000001</v>
      </c>
      <c r="V212" s="168">
        <f t="shared" si="340"/>
        <v>12900</v>
      </c>
      <c r="W212" s="16">
        <f t="shared" si="340"/>
        <v>0</v>
      </c>
      <c r="X212" s="16">
        <f t="shared" si="340"/>
        <v>0</v>
      </c>
      <c r="Y212" s="16">
        <f t="shared" si="340"/>
        <v>0</v>
      </c>
      <c r="Z212" s="16">
        <f t="shared" si="340"/>
        <v>169452</v>
      </c>
      <c r="AA212" s="16">
        <f t="shared" si="340"/>
        <v>0</v>
      </c>
      <c r="AB212" s="16">
        <f t="shared" si="340"/>
        <v>0</v>
      </c>
      <c r="AC212" s="16">
        <f t="shared" si="340"/>
        <v>0</v>
      </c>
      <c r="AD212" s="16">
        <f t="shared" si="340"/>
        <v>0</v>
      </c>
      <c r="AE212" s="16">
        <f t="shared" si="340"/>
        <v>182352</v>
      </c>
      <c r="AF212" s="16">
        <f t="shared" si="340"/>
        <v>0</v>
      </c>
      <c r="AG212" s="16">
        <f t="shared" si="340"/>
        <v>182352</v>
      </c>
      <c r="AH212" s="16">
        <f t="shared" si="340"/>
        <v>-12900</v>
      </c>
      <c r="AI212" s="16">
        <f t="shared" si="340"/>
        <v>0</v>
      </c>
      <c r="AJ212" s="16">
        <f t="shared" si="340"/>
        <v>0</v>
      </c>
      <c r="AK212" s="16">
        <f t="shared" si="340"/>
        <v>0</v>
      </c>
      <c r="AL212" s="16">
        <f t="shared" si="340"/>
        <v>0</v>
      </c>
      <c r="AM212" s="16">
        <f t="shared" si="340"/>
        <v>-12900</v>
      </c>
      <c r="AN212" s="16">
        <f t="shared" si="340"/>
        <v>0</v>
      </c>
      <c r="AO212" s="16">
        <f t="shared" si="340"/>
        <v>-12900</v>
      </c>
      <c r="AP212" s="16">
        <f t="shared" si="340"/>
        <v>169452</v>
      </c>
      <c r="AQ212" s="16">
        <f t="shared" si="340"/>
        <v>0</v>
      </c>
      <c r="AR212" s="16">
        <f t="shared" si="340"/>
        <v>169452</v>
      </c>
      <c r="AS212" s="16">
        <f t="shared" si="340"/>
        <v>57275</v>
      </c>
      <c r="AT212" s="16">
        <f t="shared" si="340"/>
        <v>1824</v>
      </c>
      <c r="AU212" s="16">
        <f t="shared" si="340"/>
        <v>0</v>
      </c>
      <c r="AV212" s="16">
        <f t="shared" si="340"/>
        <v>0</v>
      </c>
      <c r="AW212" s="16">
        <f t="shared" si="340"/>
        <v>0</v>
      </c>
      <c r="AX212" s="16">
        <f t="shared" si="340"/>
        <v>0</v>
      </c>
      <c r="AY212" s="16">
        <f t="shared" si="340"/>
        <v>228551</v>
      </c>
      <c r="AZ212" s="13">
        <f t="shared" si="340"/>
        <v>0.01</v>
      </c>
      <c r="BA212" s="13">
        <f t="shared" si="340"/>
        <v>-0.01</v>
      </c>
      <c r="BB212" s="13">
        <f t="shared" si="340"/>
        <v>0</v>
      </c>
      <c r="BC212" s="13">
        <f t="shared" si="340"/>
        <v>0.41000000000000003</v>
      </c>
      <c r="BD212" s="13">
        <f t="shared" si="340"/>
        <v>0</v>
      </c>
      <c r="BE212" s="13">
        <f t="shared" si="340"/>
        <v>0</v>
      </c>
      <c r="BF212" s="13">
        <f t="shared" si="340"/>
        <v>0</v>
      </c>
      <c r="BG212" s="13">
        <f t="shared" si="340"/>
        <v>0</v>
      </c>
      <c r="BH212" s="13">
        <f t="shared" si="340"/>
        <v>0</v>
      </c>
      <c r="BI212" s="13">
        <f t="shared" si="340"/>
        <v>0.42000000000000004</v>
      </c>
      <c r="BJ212" s="13">
        <f t="shared" si="340"/>
        <v>-0.01</v>
      </c>
      <c r="BK212" s="169">
        <f t="shared" si="340"/>
        <v>0.41000000000000003</v>
      </c>
      <c r="BL212" s="167">
        <f t="shared" si="340"/>
        <v>29021078</v>
      </c>
      <c r="BM212" s="16">
        <f t="shared" si="340"/>
        <v>21474365</v>
      </c>
      <c r="BN212" s="16">
        <f t="shared" si="340"/>
        <v>20828085</v>
      </c>
      <c r="BO212" s="16">
        <f t="shared" si="340"/>
        <v>646280</v>
      </c>
      <c r="BP212" s="16">
        <f t="shared" si="340"/>
        <v>31300</v>
      </c>
      <c r="BQ212" s="16">
        <f t="shared" si="340"/>
        <v>8780</v>
      </c>
      <c r="BR212" s="16">
        <f t="shared" si="340"/>
        <v>22520</v>
      </c>
      <c r="BS212" s="16">
        <f t="shared" si="340"/>
        <v>7268915</v>
      </c>
      <c r="BT212" s="16">
        <f t="shared" si="340"/>
        <v>214746</v>
      </c>
      <c r="BU212" s="16">
        <f t="shared" si="340"/>
        <v>31752</v>
      </c>
      <c r="BV212" s="13">
        <f t="shared" si="340"/>
        <v>43.868400000000008</v>
      </c>
      <c r="BW212" s="13">
        <f t="shared" si="340"/>
        <v>41.346600000000002</v>
      </c>
      <c r="BX212" s="169">
        <f t="shared" ref="BX212:CJ212" si="341">SUMIF($F$12:$F$466,"=3143",BX$12:BX$466)</f>
        <v>2.5217999999999998</v>
      </c>
      <c r="BY212" s="167">
        <f t="shared" si="341"/>
        <v>0</v>
      </c>
      <c r="BZ212" s="16">
        <f t="shared" si="341"/>
        <v>0</v>
      </c>
      <c r="CA212" s="16">
        <f t="shared" si="341"/>
        <v>0</v>
      </c>
      <c r="CB212" s="16">
        <f t="shared" si="341"/>
        <v>0</v>
      </c>
      <c r="CC212" s="16">
        <f t="shared" si="341"/>
        <v>0</v>
      </c>
      <c r="CD212" s="17">
        <f t="shared" si="341"/>
        <v>0</v>
      </c>
      <c r="CE212" s="167">
        <f t="shared" si="341"/>
        <v>0</v>
      </c>
      <c r="CF212" s="16">
        <f t="shared" si="341"/>
        <v>0</v>
      </c>
      <c r="CG212" s="16">
        <f t="shared" si="341"/>
        <v>0</v>
      </c>
      <c r="CH212" s="16">
        <f t="shared" si="341"/>
        <v>0</v>
      </c>
      <c r="CI212" s="16">
        <f t="shared" si="341"/>
        <v>0</v>
      </c>
      <c r="CJ212" s="17">
        <f t="shared" si="341"/>
        <v>0</v>
      </c>
    </row>
    <row r="213" spans="1:88" s="89" customFormat="1" ht="12.95" customHeight="1">
      <c r="A213" s="311"/>
      <c r="D213" s="311"/>
      <c r="E213" s="397"/>
      <c r="F213" s="311"/>
      <c r="G213" s="313"/>
      <c r="H213" s="2">
        <v>3231</v>
      </c>
      <c r="I213" s="167">
        <f t="shared" ref="I213:BW213" si="342">SUMIF($F$12:$F$466,"=3231",I$12:I$466)</f>
        <v>24378328</v>
      </c>
      <c r="J213" s="16">
        <f t="shared" si="342"/>
        <v>18054809</v>
      </c>
      <c r="K213" s="16">
        <f t="shared" si="342"/>
        <v>17087355</v>
      </c>
      <c r="L213" s="16">
        <f t="shared" si="342"/>
        <v>967454</v>
      </c>
      <c r="M213" s="16">
        <f t="shared" si="342"/>
        <v>0</v>
      </c>
      <c r="N213" s="16">
        <f t="shared" si="342"/>
        <v>0</v>
      </c>
      <c r="O213" s="16">
        <f t="shared" si="342"/>
        <v>0</v>
      </c>
      <c r="P213" s="16">
        <f t="shared" si="342"/>
        <v>6102525</v>
      </c>
      <c r="Q213" s="16">
        <f t="shared" si="342"/>
        <v>180548</v>
      </c>
      <c r="R213" s="16">
        <f t="shared" si="342"/>
        <v>40446</v>
      </c>
      <c r="S213" s="13">
        <f t="shared" si="342"/>
        <v>29.797599999999999</v>
      </c>
      <c r="T213" s="13">
        <f t="shared" si="342"/>
        <v>27.082999999999998</v>
      </c>
      <c r="U213" s="17">
        <f t="shared" si="342"/>
        <v>2.7145999999999999</v>
      </c>
      <c r="V213" s="168">
        <f t="shared" si="342"/>
        <v>0</v>
      </c>
      <c r="W213" s="16">
        <f t="shared" si="342"/>
        <v>0</v>
      </c>
      <c r="X213" s="16">
        <f t="shared" si="342"/>
        <v>0</v>
      </c>
      <c r="Y213" s="16">
        <f t="shared" si="342"/>
        <v>0</v>
      </c>
      <c r="Z213" s="16">
        <f t="shared" si="342"/>
        <v>0</v>
      </c>
      <c r="AA213" s="16">
        <f t="shared" si="342"/>
        <v>0</v>
      </c>
      <c r="AB213" s="16">
        <f t="shared" si="342"/>
        <v>0</v>
      </c>
      <c r="AC213" s="16">
        <f t="shared" si="342"/>
        <v>0</v>
      </c>
      <c r="AD213" s="16">
        <f t="shared" si="342"/>
        <v>0</v>
      </c>
      <c r="AE213" s="16">
        <f t="shared" si="342"/>
        <v>0</v>
      </c>
      <c r="AF213" s="16">
        <f t="shared" si="342"/>
        <v>0</v>
      </c>
      <c r="AG213" s="16">
        <f t="shared" si="342"/>
        <v>0</v>
      </c>
      <c r="AH213" s="16">
        <f t="shared" si="342"/>
        <v>0</v>
      </c>
      <c r="AI213" s="16">
        <f t="shared" si="342"/>
        <v>0</v>
      </c>
      <c r="AJ213" s="16">
        <f t="shared" si="342"/>
        <v>0</v>
      </c>
      <c r="AK213" s="16">
        <f t="shared" si="342"/>
        <v>0</v>
      </c>
      <c r="AL213" s="16">
        <f t="shared" si="342"/>
        <v>0</v>
      </c>
      <c r="AM213" s="16">
        <f t="shared" si="342"/>
        <v>0</v>
      </c>
      <c r="AN213" s="16">
        <f t="shared" si="342"/>
        <v>0</v>
      </c>
      <c r="AO213" s="16">
        <f t="shared" si="342"/>
        <v>0</v>
      </c>
      <c r="AP213" s="16">
        <f t="shared" si="342"/>
        <v>0</v>
      </c>
      <c r="AQ213" s="16">
        <f t="shared" si="342"/>
        <v>0</v>
      </c>
      <c r="AR213" s="16">
        <f t="shared" si="342"/>
        <v>0</v>
      </c>
      <c r="AS213" s="16">
        <f t="shared" si="342"/>
        <v>0</v>
      </c>
      <c r="AT213" s="16">
        <f t="shared" si="342"/>
        <v>0</v>
      </c>
      <c r="AU213" s="16">
        <f t="shared" si="342"/>
        <v>0</v>
      </c>
      <c r="AV213" s="16">
        <f t="shared" si="342"/>
        <v>0</v>
      </c>
      <c r="AW213" s="16">
        <f t="shared" si="342"/>
        <v>0</v>
      </c>
      <c r="AX213" s="16">
        <f t="shared" si="342"/>
        <v>0</v>
      </c>
      <c r="AY213" s="16">
        <f t="shared" si="342"/>
        <v>0</v>
      </c>
      <c r="AZ213" s="13">
        <f t="shared" si="342"/>
        <v>0</v>
      </c>
      <c r="BA213" s="13">
        <f t="shared" si="342"/>
        <v>0</v>
      </c>
      <c r="BB213" s="13">
        <f t="shared" si="342"/>
        <v>0</v>
      </c>
      <c r="BC213" s="13">
        <f t="shared" si="342"/>
        <v>0</v>
      </c>
      <c r="BD213" s="13">
        <f t="shared" si="342"/>
        <v>0</v>
      </c>
      <c r="BE213" s="13">
        <f t="shared" si="342"/>
        <v>0</v>
      </c>
      <c r="BF213" s="13">
        <f t="shared" si="342"/>
        <v>0</v>
      </c>
      <c r="BG213" s="13">
        <f t="shared" si="342"/>
        <v>0</v>
      </c>
      <c r="BH213" s="13">
        <f t="shared" si="342"/>
        <v>0</v>
      </c>
      <c r="BI213" s="13">
        <f t="shared" si="342"/>
        <v>0</v>
      </c>
      <c r="BJ213" s="13">
        <f t="shared" si="342"/>
        <v>0</v>
      </c>
      <c r="BK213" s="169">
        <f t="shared" si="342"/>
        <v>0</v>
      </c>
      <c r="BL213" s="167">
        <f t="shared" si="342"/>
        <v>24378328</v>
      </c>
      <c r="BM213" s="16">
        <f t="shared" si="342"/>
        <v>18054809</v>
      </c>
      <c r="BN213" s="16">
        <f t="shared" si="342"/>
        <v>17087355</v>
      </c>
      <c r="BO213" s="16">
        <f t="shared" si="342"/>
        <v>967454</v>
      </c>
      <c r="BP213" s="16">
        <f t="shared" si="342"/>
        <v>0</v>
      </c>
      <c r="BQ213" s="16">
        <f t="shared" si="342"/>
        <v>0</v>
      </c>
      <c r="BR213" s="16">
        <f t="shared" si="342"/>
        <v>0</v>
      </c>
      <c r="BS213" s="16">
        <f t="shared" si="342"/>
        <v>6102525</v>
      </c>
      <c r="BT213" s="16">
        <f t="shared" si="342"/>
        <v>180548</v>
      </c>
      <c r="BU213" s="16">
        <f t="shared" si="342"/>
        <v>40446</v>
      </c>
      <c r="BV213" s="13">
        <f t="shared" si="342"/>
        <v>29.797599999999999</v>
      </c>
      <c r="BW213" s="13">
        <f t="shared" si="342"/>
        <v>27.082999999999998</v>
      </c>
      <c r="BX213" s="169">
        <f t="shared" ref="BX213:CJ213" si="343">SUMIF($F$12:$F$466,"=3231",BX$12:BX$466)</f>
        <v>2.7145999999999999</v>
      </c>
      <c r="BY213" s="167">
        <f t="shared" si="343"/>
        <v>0</v>
      </c>
      <c r="BZ213" s="16">
        <f t="shared" si="343"/>
        <v>0</v>
      </c>
      <c r="CA213" s="16">
        <f t="shared" si="343"/>
        <v>0</v>
      </c>
      <c r="CB213" s="16">
        <f t="shared" si="343"/>
        <v>0</v>
      </c>
      <c r="CC213" s="16">
        <f t="shared" si="343"/>
        <v>0</v>
      </c>
      <c r="CD213" s="17">
        <f t="shared" si="343"/>
        <v>0</v>
      </c>
      <c r="CE213" s="167">
        <f t="shared" si="343"/>
        <v>440756</v>
      </c>
      <c r="CF213" s="16">
        <f t="shared" si="343"/>
        <v>317140</v>
      </c>
      <c r="CG213" s="16">
        <f t="shared" si="343"/>
        <v>107193</v>
      </c>
      <c r="CH213" s="16">
        <f t="shared" si="343"/>
        <v>3171</v>
      </c>
      <c r="CI213" s="16">
        <f t="shared" si="343"/>
        <v>13252</v>
      </c>
      <c r="CJ213" s="17">
        <f t="shared" si="343"/>
        <v>0.88980000000000004</v>
      </c>
    </row>
    <row r="214" spans="1:88" s="89" customFormat="1" ht="12.95" customHeight="1" thickBot="1">
      <c r="A214" s="311"/>
      <c r="D214" s="311"/>
      <c r="E214" s="397"/>
      <c r="F214" s="311"/>
      <c r="G214" s="313"/>
      <c r="H214" s="151">
        <v>3233</v>
      </c>
      <c r="I214" s="170">
        <f t="shared" ref="I214:BW214" si="344">SUMIF($F$12:$F$466,"=3233",I$12:I$466)</f>
        <v>5044966</v>
      </c>
      <c r="J214" s="171">
        <f t="shared" si="344"/>
        <v>3737358</v>
      </c>
      <c r="K214" s="171">
        <f t="shared" si="344"/>
        <v>2719494</v>
      </c>
      <c r="L214" s="171">
        <f t="shared" si="344"/>
        <v>1017864</v>
      </c>
      <c r="M214" s="171">
        <f t="shared" si="344"/>
        <v>0</v>
      </c>
      <c r="N214" s="171">
        <f t="shared" si="344"/>
        <v>0</v>
      </c>
      <c r="O214" s="171">
        <f t="shared" si="344"/>
        <v>0</v>
      </c>
      <c r="P214" s="171">
        <f t="shared" si="344"/>
        <v>1263227</v>
      </c>
      <c r="Q214" s="171">
        <f t="shared" si="344"/>
        <v>37374</v>
      </c>
      <c r="R214" s="171">
        <f t="shared" si="344"/>
        <v>7007</v>
      </c>
      <c r="S214" s="172">
        <f t="shared" si="344"/>
        <v>8.19</v>
      </c>
      <c r="T214" s="172">
        <f t="shared" si="344"/>
        <v>4.92</v>
      </c>
      <c r="U214" s="173">
        <f t="shared" si="344"/>
        <v>3.2700000000000005</v>
      </c>
      <c r="V214" s="174">
        <f t="shared" si="344"/>
        <v>-150000</v>
      </c>
      <c r="W214" s="171">
        <f t="shared" si="344"/>
        <v>0</v>
      </c>
      <c r="X214" s="171">
        <f t="shared" si="344"/>
        <v>0</v>
      </c>
      <c r="Y214" s="171">
        <f t="shared" si="344"/>
        <v>0</v>
      </c>
      <c r="Z214" s="171">
        <f t="shared" si="344"/>
        <v>0</v>
      </c>
      <c r="AA214" s="171">
        <f t="shared" si="344"/>
        <v>0</v>
      </c>
      <c r="AB214" s="171">
        <f t="shared" si="344"/>
        <v>0</v>
      </c>
      <c r="AC214" s="171">
        <f t="shared" si="344"/>
        <v>0</v>
      </c>
      <c r="AD214" s="171">
        <f t="shared" si="344"/>
        <v>0</v>
      </c>
      <c r="AE214" s="171">
        <f t="shared" si="344"/>
        <v>-150000</v>
      </c>
      <c r="AF214" s="171">
        <f t="shared" si="344"/>
        <v>0</v>
      </c>
      <c r="AG214" s="171">
        <f t="shared" si="344"/>
        <v>-150000</v>
      </c>
      <c r="AH214" s="171">
        <f t="shared" si="344"/>
        <v>150000</v>
      </c>
      <c r="AI214" s="171">
        <f t="shared" si="344"/>
        <v>0</v>
      </c>
      <c r="AJ214" s="171">
        <f t="shared" si="344"/>
        <v>0</v>
      </c>
      <c r="AK214" s="171">
        <f t="shared" si="344"/>
        <v>0</v>
      </c>
      <c r="AL214" s="171">
        <f t="shared" si="344"/>
        <v>0</v>
      </c>
      <c r="AM214" s="171">
        <f t="shared" si="344"/>
        <v>150000</v>
      </c>
      <c r="AN214" s="171">
        <f t="shared" si="344"/>
        <v>0</v>
      </c>
      <c r="AO214" s="171">
        <f t="shared" si="344"/>
        <v>150000</v>
      </c>
      <c r="AP214" s="171">
        <f t="shared" si="344"/>
        <v>0</v>
      </c>
      <c r="AQ214" s="171">
        <f t="shared" si="344"/>
        <v>0</v>
      </c>
      <c r="AR214" s="171">
        <f t="shared" si="344"/>
        <v>0</v>
      </c>
      <c r="AS214" s="171">
        <f t="shared" si="344"/>
        <v>0</v>
      </c>
      <c r="AT214" s="171">
        <f t="shared" si="344"/>
        <v>-1500</v>
      </c>
      <c r="AU214" s="171">
        <f t="shared" si="344"/>
        <v>0</v>
      </c>
      <c r="AV214" s="171">
        <f t="shared" si="344"/>
        <v>0</v>
      </c>
      <c r="AW214" s="171">
        <f t="shared" si="344"/>
        <v>0</v>
      </c>
      <c r="AX214" s="171">
        <f t="shared" si="344"/>
        <v>0</v>
      </c>
      <c r="AY214" s="171">
        <f t="shared" si="344"/>
        <v>-1500</v>
      </c>
      <c r="AZ214" s="172">
        <f t="shared" si="344"/>
        <v>0</v>
      </c>
      <c r="BA214" s="172">
        <f t="shared" si="344"/>
        <v>0</v>
      </c>
      <c r="BB214" s="172">
        <f t="shared" si="344"/>
        <v>0</v>
      </c>
      <c r="BC214" s="172">
        <f t="shared" si="344"/>
        <v>0</v>
      </c>
      <c r="BD214" s="172">
        <f t="shared" si="344"/>
        <v>0</v>
      </c>
      <c r="BE214" s="172">
        <f t="shared" si="344"/>
        <v>0</v>
      </c>
      <c r="BF214" s="172">
        <f t="shared" si="344"/>
        <v>0</v>
      </c>
      <c r="BG214" s="172">
        <f t="shared" si="344"/>
        <v>0</v>
      </c>
      <c r="BH214" s="172">
        <f t="shared" si="344"/>
        <v>0</v>
      </c>
      <c r="BI214" s="172">
        <f t="shared" si="344"/>
        <v>0</v>
      </c>
      <c r="BJ214" s="172">
        <f t="shared" si="344"/>
        <v>0</v>
      </c>
      <c r="BK214" s="175">
        <f t="shared" si="344"/>
        <v>0</v>
      </c>
      <c r="BL214" s="170">
        <f t="shared" si="344"/>
        <v>5043466</v>
      </c>
      <c r="BM214" s="171">
        <f t="shared" si="344"/>
        <v>3587358</v>
      </c>
      <c r="BN214" s="171">
        <f t="shared" si="344"/>
        <v>2569494</v>
      </c>
      <c r="BO214" s="171">
        <f t="shared" si="344"/>
        <v>1017864</v>
      </c>
      <c r="BP214" s="171">
        <f t="shared" si="344"/>
        <v>150000</v>
      </c>
      <c r="BQ214" s="171">
        <f t="shared" si="344"/>
        <v>150000</v>
      </c>
      <c r="BR214" s="171">
        <f t="shared" si="344"/>
        <v>0</v>
      </c>
      <c r="BS214" s="171">
        <f t="shared" si="344"/>
        <v>1263227</v>
      </c>
      <c r="BT214" s="171">
        <f t="shared" si="344"/>
        <v>35874</v>
      </c>
      <c r="BU214" s="171">
        <f t="shared" si="344"/>
        <v>7007</v>
      </c>
      <c r="BV214" s="172">
        <f t="shared" si="344"/>
        <v>8.19</v>
      </c>
      <c r="BW214" s="172">
        <f t="shared" si="344"/>
        <v>4.92</v>
      </c>
      <c r="BX214" s="175">
        <f t="shared" ref="BX214:CJ214" si="345">SUMIF($F$12:$F$466,"=3233",BX$12:BX$466)</f>
        <v>3.2700000000000005</v>
      </c>
      <c r="BY214" s="170">
        <f t="shared" si="345"/>
        <v>0</v>
      </c>
      <c r="BZ214" s="171">
        <f t="shared" si="345"/>
        <v>0</v>
      </c>
      <c r="CA214" s="171">
        <f t="shared" si="345"/>
        <v>0</v>
      </c>
      <c r="CB214" s="171">
        <f t="shared" si="345"/>
        <v>0</v>
      </c>
      <c r="CC214" s="171">
        <f t="shared" si="345"/>
        <v>0</v>
      </c>
      <c r="CD214" s="173">
        <f t="shared" si="345"/>
        <v>0</v>
      </c>
      <c r="CE214" s="170">
        <f t="shared" si="345"/>
        <v>0</v>
      </c>
      <c r="CF214" s="171">
        <f t="shared" si="345"/>
        <v>0</v>
      </c>
      <c r="CG214" s="171">
        <f t="shared" si="345"/>
        <v>0</v>
      </c>
      <c r="CH214" s="171">
        <f t="shared" si="345"/>
        <v>0</v>
      </c>
      <c r="CI214" s="171">
        <f t="shared" si="345"/>
        <v>0</v>
      </c>
      <c r="CJ214" s="173">
        <f t="shared" si="345"/>
        <v>0</v>
      </c>
    </row>
    <row r="215" spans="1:88" s="314" customFormat="1" ht="12.95" customHeight="1">
      <c r="A215" s="395"/>
      <c r="B215" s="250"/>
      <c r="C215" s="250"/>
      <c r="D215" s="250"/>
      <c r="E215" s="250"/>
      <c r="F215" s="250"/>
      <c r="G215" s="250"/>
      <c r="H215" s="396"/>
      <c r="S215" s="315"/>
      <c r="T215" s="315"/>
      <c r="U215" s="315"/>
      <c r="AB215" s="1061"/>
      <c r="AQ215" s="315"/>
      <c r="AR215" s="315"/>
      <c r="AS215" s="315"/>
      <c r="AW215" s="1061"/>
      <c r="AZ215" s="315"/>
      <c r="BA215" s="315"/>
      <c r="BB215" s="315"/>
      <c r="BC215" s="315"/>
      <c r="BD215" s="315"/>
      <c r="BE215" s="315"/>
      <c r="BF215" s="1060"/>
      <c r="BG215" s="315"/>
      <c r="BH215" s="315"/>
      <c r="BI215" s="315"/>
      <c r="BJ215" s="315"/>
      <c r="BK215" s="315"/>
      <c r="BL215" s="315"/>
      <c r="BM215" s="315"/>
      <c r="BN215" s="315"/>
      <c r="BO215" s="315"/>
      <c r="BP215" s="315"/>
      <c r="BQ215" s="315"/>
      <c r="BR215" s="315"/>
      <c r="BS215" s="315"/>
      <c r="BT215" s="315"/>
      <c r="BU215" s="315"/>
      <c r="BV215" s="315"/>
      <c r="BW215" s="315"/>
      <c r="BX215" s="315"/>
      <c r="CD215" s="315"/>
      <c r="CJ215" s="1063"/>
    </row>
    <row r="216" spans="1:88" s="314" customFormat="1" ht="12.95" customHeight="1">
      <c r="A216" s="395"/>
      <c r="B216" s="250"/>
      <c r="C216" s="250"/>
      <c r="D216" s="250"/>
      <c r="E216" s="250"/>
      <c r="F216" s="309"/>
      <c r="G216" s="250"/>
      <c r="H216" s="396"/>
      <c r="S216" s="315"/>
      <c r="T216" s="315"/>
      <c r="U216" s="315"/>
      <c r="AB216" s="1061"/>
      <c r="AQ216" s="315"/>
      <c r="AR216" s="315"/>
      <c r="AS216" s="315"/>
      <c r="AW216" s="1061"/>
      <c r="AZ216" s="315"/>
      <c r="BA216" s="315"/>
      <c r="BB216" s="315"/>
      <c r="BC216" s="315"/>
      <c r="BD216" s="315"/>
      <c r="BE216" s="315"/>
      <c r="BF216" s="1060"/>
      <c r="BG216" s="315"/>
      <c r="BH216" s="315"/>
      <c r="BI216" s="315"/>
      <c r="BJ216" s="315"/>
      <c r="BK216" s="315"/>
      <c r="BL216" s="315"/>
      <c r="BM216" s="315"/>
      <c r="BN216" s="315"/>
      <c r="BO216" s="315"/>
      <c r="BP216" s="315"/>
      <c r="BQ216" s="315"/>
      <c r="BR216" s="315"/>
      <c r="BS216" s="315"/>
      <c r="BT216" s="315"/>
      <c r="BU216" s="315"/>
      <c r="BV216" s="315"/>
      <c r="BW216" s="315"/>
      <c r="BX216" s="315"/>
      <c r="CD216" s="315"/>
      <c r="CJ216" s="1063"/>
    </row>
    <row r="217" spans="1:88" s="314" customFormat="1" ht="12.95" customHeight="1">
      <c r="A217" s="395"/>
      <c r="B217" s="250"/>
      <c r="C217" s="250"/>
      <c r="D217" s="250"/>
      <c r="E217" s="250"/>
      <c r="F217" s="309"/>
      <c r="G217" s="250"/>
      <c r="H217" s="396"/>
      <c r="S217" s="315"/>
      <c r="T217" s="315"/>
      <c r="U217" s="315"/>
      <c r="AB217" s="1061"/>
      <c r="AQ217" s="315"/>
      <c r="AR217" s="315"/>
      <c r="AS217" s="315"/>
      <c r="AW217" s="1061"/>
      <c r="AZ217" s="315"/>
      <c r="BA217" s="315"/>
      <c r="BB217" s="315"/>
      <c r="BC217" s="315"/>
      <c r="BD217" s="315"/>
      <c r="BE217" s="315"/>
      <c r="BF217" s="1060"/>
      <c r="BG217" s="315"/>
      <c r="BH217" s="315"/>
      <c r="BI217" s="315"/>
      <c r="BJ217" s="315"/>
      <c r="BK217" s="315"/>
      <c r="BL217" s="315"/>
      <c r="BM217" s="315"/>
      <c r="BN217" s="315"/>
      <c r="BO217" s="315"/>
      <c r="BP217" s="315"/>
      <c r="BQ217" s="315"/>
      <c r="BR217" s="315"/>
      <c r="BS217" s="315"/>
      <c r="BT217" s="315"/>
      <c r="BU217" s="315"/>
      <c r="BV217" s="315"/>
      <c r="BW217" s="315"/>
      <c r="BX217" s="315"/>
      <c r="CD217" s="315"/>
      <c r="CJ217" s="1063"/>
    </row>
    <row r="218" spans="1:88" s="314" customFormat="1" ht="12.95" customHeight="1">
      <c r="A218" s="395"/>
      <c r="B218" s="250"/>
      <c r="C218" s="250"/>
      <c r="D218" s="250"/>
      <c r="E218" s="250"/>
      <c r="F218" s="309"/>
      <c r="G218" s="250"/>
      <c r="H218" s="396"/>
      <c r="S218" s="315"/>
      <c r="T218" s="315"/>
      <c r="U218" s="315"/>
      <c r="AB218" s="1061"/>
      <c r="AQ218" s="315"/>
      <c r="AR218" s="315"/>
      <c r="AS218" s="315"/>
      <c r="AW218" s="1061"/>
      <c r="AZ218" s="315"/>
      <c r="BA218" s="315"/>
      <c r="BB218" s="315"/>
      <c r="BC218" s="315"/>
      <c r="BD218" s="315"/>
      <c r="BE218" s="315"/>
      <c r="BF218" s="1060"/>
      <c r="BG218" s="315"/>
      <c r="BH218" s="315"/>
      <c r="BI218" s="315"/>
      <c r="BJ218" s="315"/>
      <c r="BK218" s="315"/>
      <c r="BL218" s="315"/>
      <c r="BM218" s="315"/>
      <c r="BN218" s="315"/>
      <c r="BO218" s="315"/>
      <c r="BP218" s="315"/>
      <c r="BQ218" s="315"/>
      <c r="BR218" s="315"/>
      <c r="BS218" s="315"/>
      <c r="BT218" s="315"/>
      <c r="BU218" s="315"/>
      <c r="BV218" s="315"/>
      <c r="BW218" s="315"/>
      <c r="BX218" s="315"/>
      <c r="CD218" s="315"/>
      <c r="CJ218" s="1063"/>
    </row>
    <row r="219" spans="1:88" s="314" customFormat="1" ht="12.95" customHeight="1">
      <c r="A219" s="395"/>
      <c r="B219" s="250"/>
      <c r="C219" s="250"/>
      <c r="D219" s="250"/>
      <c r="E219" s="250"/>
      <c r="F219" s="309"/>
      <c r="G219" s="250"/>
      <c r="H219" s="396"/>
      <c r="S219" s="315"/>
      <c r="T219" s="315"/>
      <c r="U219" s="315"/>
      <c r="AB219" s="1061"/>
      <c r="AR219" s="315"/>
      <c r="AS219" s="315"/>
      <c r="AW219" s="1061"/>
      <c r="AZ219" s="315"/>
      <c r="BA219" s="315"/>
      <c r="BB219" s="315"/>
      <c r="BC219" s="315"/>
      <c r="BD219" s="315"/>
      <c r="BE219" s="315"/>
      <c r="BF219" s="1060"/>
      <c r="BG219" s="315"/>
      <c r="BH219" s="315"/>
      <c r="BI219" s="315"/>
      <c r="BJ219" s="315"/>
      <c r="BK219" s="315"/>
      <c r="BL219" s="315"/>
      <c r="BM219" s="315"/>
      <c r="BN219" s="315"/>
      <c r="BO219" s="315"/>
      <c r="BP219" s="315"/>
      <c r="BQ219" s="315"/>
      <c r="BR219" s="315"/>
      <c r="BS219" s="315"/>
      <c r="BT219" s="315"/>
      <c r="BU219" s="315"/>
      <c r="BV219" s="315"/>
      <c r="BW219" s="315"/>
      <c r="BX219" s="315"/>
      <c r="CD219" s="315"/>
      <c r="CJ219" s="1063"/>
    </row>
    <row r="220" spans="1:88" s="314" customFormat="1" ht="12.95" customHeight="1">
      <c r="A220" s="395"/>
      <c r="B220" s="250"/>
      <c r="C220" s="250"/>
      <c r="D220" s="250"/>
      <c r="E220" s="250"/>
      <c r="F220" s="309"/>
      <c r="G220" s="250"/>
      <c r="H220" s="396"/>
      <c r="S220" s="315"/>
      <c r="T220" s="315"/>
      <c r="U220" s="315"/>
      <c r="AB220" s="1061"/>
      <c r="AQ220" s="315"/>
      <c r="AR220" s="315"/>
      <c r="AS220" s="315"/>
      <c r="AW220" s="1061"/>
      <c r="AZ220" s="315"/>
      <c r="BA220" s="315"/>
      <c r="BB220" s="315"/>
      <c r="BC220" s="315"/>
      <c r="BD220" s="315"/>
      <c r="BE220" s="315"/>
      <c r="BF220" s="1060"/>
      <c r="BG220" s="315"/>
      <c r="BH220" s="315"/>
      <c r="BI220" s="315"/>
      <c r="BJ220" s="315"/>
      <c r="BK220" s="315"/>
      <c r="BL220" s="315"/>
      <c r="BM220" s="315"/>
      <c r="BN220" s="315"/>
      <c r="BO220" s="315"/>
      <c r="BP220" s="315"/>
      <c r="BQ220" s="315"/>
      <c r="BR220" s="315"/>
      <c r="BS220" s="315"/>
      <c r="BT220" s="315"/>
      <c r="BU220" s="315"/>
      <c r="BV220" s="315"/>
      <c r="BW220" s="315"/>
      <c r="BX220" s="315"/>
      <c r="CD220" s="315"/>
      <c r="CJ220" s="1063"/>
    </row>
    <row r="221" spans="1:88" s="314" customFormat="1" ht="12.95" customHeight="1">
      <c r="A221" s="395"/>
      <c r="B221" s="250"/>
      <c r="C221" s="250"/>
      <c r="D221" s="250"/>
      <c r="E221" s="250"/>
      <c r="F221" s="309"/>
      <c r="G221" s="250"/>
      <c r="H221" s="396"/>
      <c r="S221" s="315"/>
      <c r="T221" s="315"/>
      <c r="U221" s="315"/>
      <c r="AB221" s="1061"/>
      <c r="AQ221" s="315"/>
      <c r="AR221" s="315"/>
      <c r="AS221" s="315"/>
      <c r="AW221" s="1061"/>
      <c r="AZ221" s="315"/>
      <c r="BA221" s="315"/>
      <c r="BB221" s="315"/>
      <c r="BC221" s="315"/>
      <c r="BD221" s="315"/>
      <c r="BE221" s="315"/>
      <c r="BF221" s="1060"/>
      <c r="BG221" s="315"/>
      <c r="BH221" s="315"/>
      <c r="BI221" s="315"/>
      <c r="BJ221" s="315"/>
      <c r="BK221" s="315"/>
      <c r="BL221" s="315"/>
      <c r="BM221" s="315"/>
      <c r="BN221" s="315"/>
      <c r="BO221" s="315"/>
      <c r="BP221" s="315"/>
      <c r="BQ221" s="315"/>
      <c r="BR221" s="315"/>
      <c r="BS221" s="315"/>
      <c r="BT221" s="315"/>
      <c r="BU221" s="315"/>
      <c r="BV221" s="315"/>
      <c r="BW221" s="315"/>
      <c r="BX221" s="315"/>
      <c r="CD221" s="315"/>
      <c r="CJ221" s="1063"/>
    </row>
    <row r="222" spans="1:88">
      <c r="CE222" s="845"/>
      <c r="CF222" s="845"/>
      <c r="CG222" s="845"/>
      <c r="CH222" s="845"/>
      <c r="CI222" s="845"/>
    </row>
    <row r="223" spans="1:88">
      <c r="CE223" s="1034"/>
      <c r="CF223" s="1034"/>
      <c r="CG223" s="1034"/>
      <c r="CH223" s="1034"/>
      <c r="CI223" s="1034"/>
    </row>
  </sheetData>
  <mergeCells count="58">
    <mergeCell ref="CE6:CJ7"/>
    <mergeCell ref="CE8:CJ9"/>
    <mergeCell ref="AB9:AB10"/>
    <mergeCell ref="BF8:BF9"/>
    <mergeCell ref="BY6:CD7"/>
    <mergeCell ref="BY8:CD9"/>
    <mergeCell ref="BL6:BX7"/>
    <mergeCell ref="BP9:BP10"/>
    <mergeCell ref="BW8:BX9"/>
    <mergeCell ref="BV8:BV10"/>
    <mergeCell ref="BQ9:BR9"/>
    <mergeCell ref="BN9:BO9"/>
    <mergeCell ref="AZ8:BA9"/>
    <mergeCell ref="BM8:BU8"/>
    <mergeCell ref="BB8:BB9"/>
    <mergeCell ref="BM9:BM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BS9:BS10"/>
    <mergeCell ref="BT9:BT10"/>
    <mergeCell ref="BL8:BL10"/>
    <mergeCell ref="BU9:BU10"/>
    <mergeCell ref="BE8:BE9"/>
    <mergeCell ref="BG8:BH9"/>
    <mergeCell ref="BI8:BK9"/>
    <mergeCell ref="BC8:BD9"/>
    <mergeCell ref="AY7:AY10"/>
    <mergeCell ref="V9:W9"/>
    <mergeCell ref="X9:X10"/>
    <mergeCell ref="V7:AG8"/>
    <mergeCell ref="AH7:AO8"/>
    <mergeCell ref="AP7:AR9"/>
    <mergeCell ref="AS7:AS10"/>
    <mergeCell ref="AT7:AT10"/>
    <mergeCell ref="AE9:AF9"/>
    <mergeCell ref="A3:E3"/>
    <mergeCell ref="I8:I10"/>
    <mergeCell ref="I6:U7"/>
    <mergeCell ref="AO9:AO10"/>
    <mergeCell ref="AM9:AN9"/>
    <mergeCell ref="V6:BK6"/>
    <mergeCell ref="AG9:AG10"/>
    <mergeCell ref="AH9:AI9"/>
    <mergeCell ref="AJ9:AJ10"/>
    <mergeCell ref="AK9:AL9"/>
    <mergeCell ref="Y9:Y10"/>
    <mergeCell ref="AC9:AD9"/>
    <mergeCell ref="AZ7:BK7"/>
    <mergeCell ref="Z9:AA9"/>
    <mergeCell ref="Q9:Q10"/>
    <mergeCell ref="AU7:AX9"/>
  </mergeCells>
  <pageMargins left="0.7" right="0.7" top="0.78740157499999996" bottom="0.78740157499999996" header="0.3" footer="0.3"/>
  <pageSetup paperSize="9" orientation="portrait" r:id="rId1"/>
  <ignoredErrors>
    <ignoredError sqref="S202 M202 J202" formulaRange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CI37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M4" sqref="BM4"/>
    </sheetView>
  </sheetViews>
  <sheetFormatPr defaultRowHeight="12.75"/>
  <cols>
    <col min="1" max="1" width="7.85546875" style="21" customWidth="1"/>
    <col min="2" max="11" width="10.85546875" style="8" customWidth="1"/>
    <col min="12" max="12" width="11.28515625" style="7" customWidth="1"/>
    <col min="13" max="14" width="10" style="7" customWidth="1"/>
    <col min="15" max="16" width="9.140625" style="8"/>
    <col min="17" max="17" width="9.42578125" style="8" customWidth="1"/>
    <col min="18" max="18" width="9.140625" style="8"/>
    <col min="19" max="20" width="10.5703125" style="8" customWidth="1"/>
    <col min="21" max="21" width="12.140625" style="8" hidden="1" customWidth="1"/>
    <col min="22" max="23" width="9.140625" style="8"/>
    <col min="24" max="24" width="9.85546875" style="8" customWidth="1"/>
    <col min="25" max="25" width="9.42578125" style="8" customWidth="1"/>
    <col min="26" max="26" width="9.5703125" style="8" customWidth="1"/>
    <col min="27" max="34" width="9.140625" style="8"/>
    <col min="35" max="35" width="9.28515625" style="8" customWidth="1"/>
    <col min="36" max="36" width="9.7109375" style="8" customWidth="1"/>
    <col min="37" max="37" width="9.28515625" style="8" customWidth="1"/>
    <col min="38" max="38" width="11.42578125" style="8" customWidth="1"/>
    <col min="39" max="40" width="9.140625" style="8"/>
    <col min="41" max="41" width="10" style="8" customWidth="1"/>
    <col min="42" max="42" width="12.28515625" style="8" hidden="1" customWidth="1"/>
    <col min="43" max="43" width="9.140625" style="8"/>
    <col min="44" max="44" width="9.28515625" style="8" customWidth="1"/>
    <col min="45" max="47" width="9.140625" style="7"/>
    <col min="48" max="49" width="9.7109375" style="7" customWidth="1"/>
    <col min="50" max="50" width="9.140625" style="7"/>
    <col min="51" max="51" width="12.140625" style="7" hidden="1" customWidth="1"/>
    <col min="52" max="56" width="9.140625" style="7"/>
    <col min="57" max="66" width="10.85546875" style="8" customWidth="1"/>
    <col min="67" max="67" width="10.85546875" style="7" customWidth="1"/>
    <col min="68" max="68" width="11.5703125" style="7" customWidth="1"/>
    <col min="69" max="69" width="10.85546875" style="7" customWidth="1"/>
    <col min="70" max="74" width="9.140625" customWidth="1"/>
    <col min="75" max="75" width="9.140625" style="7" customWidth="1"/>
    <col min="76" max="76" width="9.5703125" style="8" customWidth="1"/>
    <col min="77" max="77" width="11.140625" style="8" customWidth="1"/>
    <col min="78" max="79" width="9.140625" style="8" customWidth="1"/>
    <col min="80" max="80" width="10.140625" style="8" customWidth="1"/>
    <col min="81" max="81" width="9.140625" style="7" customWidth="1"/>
    <col min="82" max="82" width="10.85546875" bestFit="1" customWidth="1"/>
    <col min="83" max="83" width="12.7109375" style="5" bestFit="1" customWidth="1"/>
    <col min="84" max="84" width="10.85546875" style="15" customWidth="1"/>
    <col min="85" max="85" width="10.85546875" customWidth="1"/>
    <col min="86" max="86" width="10" style="15" customWidth="1"/>
    <col min="87" max="87" width="10" style="5" customWidth="1"/>
    <col min="88" max="90" width="10" customWidth="1"/>
    <col min="94" max="95" width="10.85546875" bestFit="1" customWidth="1"/>
    <col min="96" max="96" width="10" bestFit="1" customWidth="1"/>
    <col min="97" max="98" width="9.28515625" bestFit="1" customWidth="1"/>
    <col min="337" max="337" width="7.42578125" customWidth="1"/>
    <col min="338" max="339" width="10.85546875" bestFit="1" customWidth="1"/>
    <col min="340" max="341" width="10.85546875" customWidth="1"/>
    <col min="342" max="346" width="10" customWidth="1"/>
    <col min="350" max="351" width="10.85546875" bestFit="1" customWidth="1"/>
    <col min="352" max="352" width="10" bestFit="1" customWidth="1"/>
    <col min="353" max="354" width="9.28515625" bestFit="1" customWidth="1"/>
    <col min="593" max="593" width="7.42578125" customWidth="1"/>
    <col min="594" max="595" width="10.85546875" bestFit="1" customWidth="1"/>
    <col min="596" max="597" width="10.85546875" customWidth="1"/>
    <col min="598" max="602" width="10" customWidth="1"/>
    <col min="606" max="607" width="10.85546875" bestFit="1" customWidth="1"/>
    <col min="608" max="608" width="10" bestFit="1" customWidth="1"/>
    <col min="609" max="610" width="9.28515625" bestFit="1" customWidth="1"/>
    <col min="849" max="849" width="7.42578125" customWidth="1"/>
    <col min="850" max="851" width="10.85546875" bestFit="1" customWidth="1"/>
    <col min="852" max="853" width="10.85546875" customWidth="1"/>
    <col min="854" max="858" width="10" customWidth="1"/>
    <col min="862" max="863" width="10.85546875" bestFit="1" customWidth="1"/>
    <col min="864" max="864" width="10" bestFit="1" customWidth="1"/>
    <col min="865" max="866" width="9.28515625" bestFit="1" customWidth="1"/>
    <col min="1105" max="1105" width="7.42578125" customWidth="1"/>
    <col min="1106" max="1107" width="10.85546875" bestFit="1" customWidth="1"/>
    <col min="1108" max="1109" width="10.85546875" customWidth="1"/>
    <col min="1110" max="1114" width="10" customWidth="1"/>
    <col min="1118" max="1119" width="10.85546875" bestFit="1" customWidth="1"/>
    <col min="1120" max="1120" width="10" bestFit="1" customWidth="1"/>
    <col min="1121" max="1122" width="9.28515625" bestFit="1" customWidth="1"/>
    <col min="1361" max="1361" width="7.42578125" customWidth="1"/>
    <col min="1362" max="1363" width="10.85546875" bestFit="1" customWidth="1"/>
    <col min="1364" max="1365" width="10.85546875" customWidth="1"/>
    <col min="1366" max="1370" width="10" customWidth="1"/>
    <col min="1374" max="1375" width="10.85546875" bestFit="1" customWidth="1"/>
    <col min="1376" max="1376" width="10" bestFit="1" customWidth="1"/>
    <col min="1377" max="1378" width="9.28515625" bestFit="1" customWidth="1"/>
    <col min="1617" max="1617" width="7.42578125" customWidth="1"/>
    <col min="1618" max="1619" width="10.85546875" bestFit="1" customWidth="1"/>
    <col min="1620" max="1621" width="10.85546875" customWidth="1"/>
    <col min="1622" max="1626" width="10" customWidth="1"/>
    <col min="1630" max="1631" width="10.85546875" bestFit="1" customWidth="1"/>
    <col min="1632" max="1632" width="10" bestFit="1" customWidth="1"/>
    <col min="1633" max="1634" width="9.28515625" bestFit="1" customWidth="1"/>
    <col min="1873" max="1873" width="7.42578125" customWidth="1"/>
    <col min="1874" max="1875" width="10.85546875" bestFit="1" customWidth="1"/>
    <col min="1876" max="1877" width="10.85546875" customWidth="1"/>
    <col min="1878" max="1882" width="10" customWidth="1"/>
    <col min="1886" max="1887" width="10.85546875" bestFit="1" customWidth="1"/>
    <col min="1888" max="1888" width="10" bestFit="1" customWidth="1"/>
    <col min="1889" max="1890" width="9.28515625" bestFit="1" customWidth="1"/>
    <col min="2129" max="2129" width="7.42578125" customWidth="1"/>
    <col min="2130" max="2131" width="10.85546875" bestFit="1" customWidth="1"/>
    <col min="2132" max="2133" width="10.85546875" customWidth="1"/>
    <col min="2134" max="2138" width="10" customWidth="1"/>
    <col min="2142" max="2143" width="10.85546875" bestFit="1" customWidth="1"/>
    <col min="2144" max="2144" width="10" bestFit="1" customWidth="1"/>
    <col min="2145" max="2146" width="9.28515625" bestFit="1" customWidth="1"/>
    <col min="2385" max="2385" width="7.42578125" customWidth="1"/>
    <col min="2386" max="2387" width="10.85546875" bestFit="1" customWidth="1"/>
    <col min="2388" max="2389" width="10.85546875" customWidth="1"/>
    <col min="2390" max="2394" width="10" customWidth="1"/>
    <col min="2398" max="2399" width="10.85546875" bestFit="1" customWidth="1"/>
    <col min="2400" max="2400" width="10" bestFit="1" customWidth="1"/>
    <col min="2401" max="2402" width="9.28515625" bestFit="1" customWidth="1"/>
    <col min="2641" max="2641" width="7.42578125" customWidth="1"/>
    <col min="2642" max="2643" width="10.85546875" bestFit="1" customWidth="1"/>
    <col min="2644" max="2645" width="10.85546875" customWidth="1"/>
    <col min="2646" max="2650" width="10" customWidth="1"/>
    <col min="2654" max="2655" width="10.85546875" bestFit="1" customWidth="1"/>
    <col min="2656" max="2656" width="10" bestFit="1" customWidth="1"/>
    <col min="2657" max="2658" width="9.28515625" bestFit="1" customWidth="1"/>
    <col min="2897" max="2897" width="7.42578125" customWidth="1"/>
    <col min="2898" max="2899" width="10.85546875" bestFit="1" customWidth="1"/>
    <col min="2900" max="2901" width="10.85546875" customWidth="1"/>
    <col min="2902" max="2906" width="10" customWidth="1"/>
    <col min="2910" max="2911" width="10.85546875" bestFit="1" customWidth="1"/>
    <col min="2912" max="2912" width="10" bestFit="1" customWidth="1"/>
    <col min="2913" max="2914" width="9.28515625" bestFit="1" customWidth="1"/>
    <col min="3153" max="3153" width="7.42578125" customWidth="1"/>
    <col min="3154" max="3155" width="10.85546875" bestFit="1" customWidth="1"/>
    <col min="3156" max="3157" width="10.85546875" customWidth="1"/>
    <col min="3158" max="3162" width="10" customWidth="1"/>
    <col min="3166" max="3167" width="10.85546875" bestFit="1" customWidth="1"/>
    <col min="3168" max="3168" width="10" bestFit="1" customWidth="1"/>
    <col min="3169" max="3170" width="9.28515625" bestFit="1" customWidth="1"/>
    <col min="3409" max="3409" width="7.42578125" customWidth="1"/>
    <col min="3410" max="3411" width="10.85546875" bestFit="1" customWidth="1"/>
    <col min="3412" max="3413" width="10.85546875" customWidth="1"/>
    <col min="3414" max="3418" width="10" customWidth="1"/>
    <col min="3422" max="3423" width="10.85546875" bestFit="1" customWidth="1"/>
    <col min="3424" max="3424" width="10" bestFit="1" customWidth="1"/>
    <col min="3425" max="3426" width="9.28515625" bestFit="1" customWidth="1"/>
    <col min="3665" max="3665" width="7.42578125" customWidth="1"/>
    <col min="3666" max="3667" width="10.85546875" bestFit="1" customWidth="1"/>
    <col min="3668" max="3669" width="10.85546875" customWidth="1"/>
    <col min="3670" max="3674" width="10" customWidth="1"/>
    <col min="3678" max="3679" width="10.85546875" bestFit="1" customWidth="1"/>
    <col min="3680" max="3680" width="10" bestFit="1" customWidth="1"/>
    <col min="3681" max="3682" width="9.28515625" bestFit="1" customWidth="1"/>
    <col min="3921" max="3921" width="7.42578125" customWidth="1"/>
    <col min="3922" max="3923" width="10.85546875" bestFit="1" customWidth="1"/>
    <col min="3924" max="3925" width="10.85546875" customWidth="1"/>
    <col min="3926" max="3930" width="10" customWidth="1"/>
    <col min="3934" max="3935" width="10.85546875" bestFit="1" customWidth="1"/>
    <col min="3936" max="3936" width="10" bestFit="1" customWidth="1"/>
    <col min="3937" max="3938" width="9.28515625" bestFit="1" customWidth="1"/>
    <col min="4177" max="4177" width="7.42578125" customWidth="1"/>
    <col min="4178" max="4179" width="10.85546875" bestFit="1" customWidth="1"/>
    <col min="4180" max="4181" width="10.85546875" customWidth="1"/>
    <col min="4182" max="4186" width="10" customWidth="1"/>
    <col min="4190" max="4191" width="10.85546875" bestFit="1" customWidth="1"/>
    <col min="4192" max="4192" width="10" bestFit="1" customWidth="1"/>
    <col min="4193" max="4194" width="9.28515625" bestFit="1" customWidth="1"/>
    <col min="4433" max="4433" width="7.42578125" customWidth="1"/>
    <col min="4434" max="4435" width="10.85546875" bestFit="1" customWidth="1"/>
    <col min="4436" max="4437" width="10.85546875" customWidth="1"/>
    <col min="4438" max="4442" width="10" customWidth="1"/>
    <col min="4446" max="4447" width="10.85546875" bestFit="1" customWidth="1"/>
    <col min="4448" max="4448" width="10" bestFit="1" customWidth="1"/>
    <col min="4449" max="4450" width="9.28515625" bestFit="1" customWidth="1"/>
    <col min="4689" max="4689" width="7.42578125" customWidth="1"/>
    <col min="4690" max="4691" width="10.85546875" bestFit="1" customWidth="1"/>
    <col min="4692" max="4693" width="10.85546875" customWidth="1"/>
    <col min="4694" max="4698" width="10" customWidth="1"/>
    <col min="4702" max="4703" width="10.85546875" bestFit="1" customWidth="1"/>
    <col min="4704" max="4704" width="10" bestFit="1" customWidth="1"/>
    <col min="4705" max="4706" width="9.28515625" bestFit="1" customWidth="1"/>
    <col min="4945" max="4945" width="7.42578125" customWidth="1"/>
    <col min="4946" max="4947" width="10.85546875" bestFit="1" customWidth="1"/>
    <col min="4948" max="4949" width="10.85546875" customWidth="1"/>
    <col min="4950" max="4954" width="10" customWidth="1"/>
    <col min="4958" max="4959" width="10.85546875" bestFit="1" customWidth="1"/>
    <col min="4960" max="4960" width="10" bestFit="1" customWidth="1"/>
    <col min="4961" max="4962" width="9.28515625" bestFit="1" customWidth="1"/>
    <col min="5201" max="5201" width="7.42578125" customWidth="1"/>
    <col min="5202" max="5203" width="10.85546875" bestFit="1" customWidth="1"/>
    <col min="5204" max="5205" width="10.85546875" customWidth="1"/>
    <col min="5206" max="5210" width="10" customWidth="1"/>
    <col min="5214" max="5215" width="10.85546875" bestFit="1" customWidth="1"/>
    <col min="5216" max="5216" width="10" bestFit="1" customWidth="1"/>
    <col min="5217" max="5218" width="9.28515625" bestFit="1" customWidth="1"/>
    <col min="5457" max="5457" width="7.42578125" customWidth="1"/>
    <col min="5458" max="5459" width="10.85546875" bestFit="1" customWidth="1"/>
    <col min="5460" max="5461" width="10.85546875" customWidth="1"/>
    <col min="5462" max="5466" width="10" customWidth="1"/>
    <col min="5470" max="5471" width="10.85546875" bestFit="1" customWidth="1"/>
    <col min="5472" max="5472" width="10" bestFit="1" customWidth="1"/>
    <col min="5473" max="5474" width="9.28515625" bestFit="1" customWidth="1"/>
    <col min="5713" max="5713" width="7.42578125" customWidth="1"/>
    <col min="5714" max="5715" width="10.85546875" bestFit="1" customWidth="1"/>
    <col min="5716" max="5717" width="10.85546875" customWidth="1"/>
    <col min="5718" max="5722" width="10" customWidth="1"/>
    <col min="5726" max="5727" width="10.85546875" bestFit="1" customWidth="1"/>
    <col min="5728" max="5728" width="10" bestFit="1" customWidth="1"/>
    <col min="5729" max="5730" width="9.28515625" bestFit="1" customWidth="1"/>
    <col min="5969" max="5969" width="7.42578125" customWidth="1"/>
    <col min="5970" max="5971" width="10.85546875" bestFit="1" customWidth="1"/>
    <col min="5972" max="5973" width="10.85546875" customWidth="1"/>
    <col min="5974" max="5978" width="10" customWidth="1"/>
    <col min="5982" max="5983" width="10.85546875" bestFit="1" customWidth="1"/>
    <col min="5984" max="5984" width="10" bestFit="1" customWidth="1"/>
    <col min="5985" max="5986" width="9.28515625" bestFit="1" customWidth="1"/>
    <col min="6225" max="6225" width="7.42578125" customWidth="1"/>
    <col min="6226" max="6227" width="10.85546875" bestFit="1" customWidth="1"/>
    <col min="6228" max="6229" width="10.85546875" customWidth="1"/>
    <col min="6230" max="6234" width="10" customWidth="1"/>
    <col min="6238" max="6239" width="10.85546875" bestFit="1" customWidth="1"/>
    <col min="6240" max="6240" width="10" bestFit="1" customWidth="1"/>
    <col min="6241" max="6242" width="9.28515625" bestFit="1" customWidth="1"/>
    <col min="6481" max="6481" width="7.42578125" customWidth="1"/>
    <col min="6482" max="6483" width="10.85546875" bestFit="1" customWidth="1"/>
    <col min="6484" max="6485" width="10.85546875" customWidth="1"/>
    <col min="6486" max="6490" width="10" customWidth="1"/>
    <col min="6494" max="6495" width="10.85546875" bestFit="1" customWidth="1"/>
    <col min="6496" max="6496" width="10" bestFit="1" customWidth="1"/>
    <col min="6497" max="6498" width="9.28515625" bestFit="1" customWidth="1"/>
    <col min="6737" max="6737" width="7.42578125" customWidth="1"/>
    <col min="6738" max="6739" width="10.85546875" bestFit="1" customWidth="1"/>
    <col min="6740" max="6741" width="10.85546875" customWidth="1"/>
    <col min="6742" max="6746" width="10" customWidth="1"/>
    <col min="6750" max="6751" width="10.85546875" bestFit="1" customWidth="1"/>
    <col min="6752" max="6752" width="10" bestFit="1" customWidth="1"/>
    <col min="6753" max="6754" width="9.28515625" bestFit="1" customWidth="1"/>
    <col min="6993" max="6993" width="7.42578125" customWidth="1"/>
    <col min="6994" max="6995" width="10.85546875" bestFit="1" customWidth="1"/>
    <col min="6996" max="6997" width="10.85546875" customWidth="1"/>
    <col min="6998" max="7002" width="10" customWidth="1"/>
    <col min="7006" max="7007" width="10.85546875" bestFit="1" customWidth="1"/>
    <col min="7008" max="7008" width="10" bestFit="1" customWidth="1"/>
    <col min="7009" max="7010" width="9.28515625" bestFit="1" customWidth="1"/>
    <col min="7249" max="7249" width="7.42578125" customWidth="1"/>
    <col min="7250" max="7251" width="10.85546875" bestFit="1" customWidth="1"/>
    <col min="7252" max="7253" width="10.85546875" customWidth="1"/>
    <col min="7254" max="7258" width="10" customWidth="1"/>
    <col min="7262" max="7263" width="10.85546875" bestFit="1" customWidth="1"/>
    <col min="7264" max="7264" width="10" bestFit="1" customWidth="1"/>
    <col min="7265" max="7266" width="9.28515625" bestFit="1" customWidth="1"/>
    <col min="7505" max="7505" width="7.42578125" customWidth="1"/>
    <col min="7506" max="7507" width="10.85546875" bestFit="1" customWidth="1"/>
    <col min="7508" max="7509" width="10.85546875" customWidth="1"/>
    <col min="7510" max="7514" width="10" customWidth="1"/>
    <col min="7518" max="7519" width="10.85546875" bestFit="1" customWidth="1"/>
    <col min="7520" max="7520" width="10" bestFit="1" customWidth="1"/>
    <col min="7521" max="7522" width="9.28515625" bestFit="1" customWidth="1"/>
    <col min="7761" max="7761" width="7.42578125" customWidth="1"/>
    <col min="7762" max="7763" width="10.85546875" bestFit="1" customWidth="1"/>
    <col min="7764" max="7765" width="10.85546875" customWidth="1"/>
    <col min="7766" max="7770" width="10" customWidth="1"/>
    <col min="7774" max="7775" width="10.85546875" bestFit="1" customWidth="1"/>
    <col min="7776" max="7776" width="10" bestFit="1" customWidth="1"/>
    <col min="7777" max="7778" width="9.28515625" bestFit="1" customWidth="1"/>
    <col min="8017" max="8017" width="7.42578125" customWidth="1"/>
    <col min="8018" max="8019" width="10.85546875" bestFit="1" customWidth="1"/>
    <col min="8020" max="8021" width="10.85546875" customWidth="1"/>
    <col min="8022" max="8026" width="10" customWidth="1"/>
    <col min="8030" max="8031" width="10.85546875" bestFit="1" customWidth="1"/>
    <col min="8032" max="8032" width="10" bestFit="1" customWidth="1"/>
    <col min="8033" max="8034" width="9.28515625" bestFit="1" customWidth="1"/>
    <col min="8273" max="8273" width="7.42578125" customWidth="1"/>
    <col min="8274" max="8275" width="10.85546875" bestFit="1" customWidth="1"/>
    <col min="8276" max="8277" width="10.85546875" customWidth="1"/>
    <col min="8278" max="8282" width="10" customWidth="1"/>
    <col min="8286" max="8287" width="10.85546875" bestFit="1" customWidth="1"/>
    <col min="8288" max="8288" width="10" bestFit="1" customWidth="1"/>
    <col min="8289" max="8290" width="9.28515625" bestFit="1" customWidth="1"/>
    <col min="8529" max="8529" width="7.42578125" customWidth="1"/>
    <col min="8530" max="8531" width="10.85546875" bestFit="1" customWidth="1"/>
    <col min="8532" max="8533" width="10.85546875" customWidth="1"/>
    <col min="8534" max="8538" width="10" customWidth="1"/>
    <col min="8542" max="8543" width="10.85546875" bestFit="1" customWidth="1"/>
    <col min="8544" max="8544" width="10" bestFit="1" customWidth="1"/>
    <col min="8545" max="8546" width="9.28515625" bestFit="1" customWidth="1"/>
    <col min="8785" max="8785" width="7.42578125" customWidth="1"/>
    <col min="8786" max="8787" width="10.85546875" bestFit="1" customWidth="1"/>
    <col min="8788" max="8789" width="10.85546875" customWidth="1"/>
    <col min="8790" max="8794" width="10" customWidth="1"/>
    <col min="8798" max="8799" width="10.85546875" bestFit="1" customWidth="1"/>
    <col min="8800" max="8800" width="10" bestFit="1" customWidth="1"/>
    <col min="8801" max="8802" width="9.28515625" bestFit="1" customWidth="1"/>
    <col min="9041" max="9041" width="7.42578125" customWidth="1"/>
    <col min="9042" max="9043" width="10.85546875" bestFit="1" customWidth="1"/>
    <col min="9044" max="9045" width="10.85546875" customWidth="1"/>
    <col min="9046" max="9050" width="10" customWidth="1"/>
    <col min="9054" max="9055" width="10.85546875" bestFit="1" customWidth="1"/>
    <col min="9056" max="9056" width="10" bestFit="1" customWidth="1"/>
    <col min="9057" max="9058" width="9.28515625" bestFit="1" customWidth="1"/>
    <col min="9297" max="9297" width="7.42578125" customWidth="1"/>
    <col min="9298" max="9299" width="10.85546875" bestFit="1" customWidth="1"/>
    <col min="9300" max="9301" width="10.85546875" customWidth="1"/>
    <col min="9302" max="9306" width="10" customWidth="1"/>
    <col min="9310" max="9311" width="10.85546875" bestFit="1" customWidth="1"/>
    <col min="9312" max="9312" width="10" bestFit="1" customWidth="1"/>
    <col min="9313" max="9314" width="9.28515625" bestFit="1" customWidth="1"/>
    <col min="9553" max="9553" width="7.42578125" customWidth="1"/>
    <col min="9554" max="9555" width="10.85546875" bestFit="1" customWidth="1"/>
    <col min="9556" max="9557" width="10.85546875" customWidth="1"/>
    <col min="9558" max="9562" width="10" customWidth="1"/>
    <col min="9566" max="9567" width="10.85546875" bestFit="1" customWidth="1"/>
    <col min="9568" max="9568" width="10" bestFit="1" customWidth="1"/>
    <col min="9569" max="9570" width="9.28515625" bestFit="1" customWidth="1"/>
    <col min="9809" max="9809" width="7.42578125" customWidth="1"/>
    <col min="9810" max="9811" width="10.85546875" bestFit="1" customWidth="1"/>
    <col min="9812" max="9813" width="10.85546875" customWidth="1"/>
    <col min="9814" max="9818" width="10" customWidth="1"/>
    <col min="9822" max="9823" width="10.85546875" bestFit="1" customWidth="1"/>
    <col min="9824" max="9824" width="10" bestFit="1" customWidth="1"/>
    <col min="9825" max="9826" width="9.28515625" bestFit="1" customWidth="1"/>
    <col min="10065" max="10065" width="7.42578125" customWidth="1"/>
    <col min="10066" max="10067" width="10.85546875" bestFit="1" customWidth="1"/>
    <col min="10068" max="10069" width="10.85546875" customWidth="1"/>
    <col min="10070" max="10074" width="10" customWidth="1"/>
    <col min="10078" max="10079" width="10.85546875" bestFit="1" customWidth="1"/>
    <col min="10080" max="10080" width="10" bestFit="1" customWidth="1"/>
    <col min="10081" max="10082" width="9.28515625" bestFit="1" customWidth="1"/>
    <col min="10321" max="10321" width="7.42578125" customWidth="1"/>
    <col min="10322" max="10323" width="10.85546875" bestFit="1" customWidth="1"/>
    <col min="10324" max="10325" width="10.85546875" customWidth="1"/>
    <col min="10326" max="10330" width="10" customWidth="1"/>
    <col min="10334" max="10335" width="10.85546875" bestFit="1" customWidth="1"/>
    <col min="10336" max="10336" width="10" bestFit="1" customWidth="1"/>
    <col min="10337" max="10338" width="9.28515625" bestFit="1" customWidth="1"/>
    <col min="10577" max="10577" width="7.42578125" customWidth="1"/>
    <col min="10578" max="10579" width="10.85546875" bestFit="1" customWidth="1"/>
    <col min="10580" max="10581" width="10.85546875" customWidth="1"/>
    <col min="10582" max="10586" width="10" customWidth="1"/>
    <col min="10590" max="10591" width="10.85546875" bestFit="1" customWidth="1"/>
    <col min="10592" max="10592" width="10" bestFit="1" customWidth="1"/>
    <col min="10593" max="10594" width="9.28515625" bestFit="1" customWidth="1"/>
    <col min="10833" max="10833" width="7.42578125" customWidth="1"/>
    <col min="10834" max="10835" width="10.85546875" bestFit="1" customWidth="1"/>
    <col min="10836" max="10837" width="10.85546875" customWidth="1"/>
    <col min="10838" max="10842" width="10" customWidth="1"/>
    <col min="10846" max="10847" width="10.85546875" bestFit="1" customWidth="1"/>
    <col min="10848" max="10848" width="10" bestFit="1" customWidth="1"/>
    <col min="10849" max="10850" width="9.28515625" bestFit="1" customWidth="1"/>
    <col min="11089" max="11089" width="7.42578125" customWidth="1"/>
    <col min="11090" max="11091" width="10.85546875" bestFit="1" customWidth="1"/>
    <col min="11092" max="11093" width="10.85546875" customWidth="1"/>
    <col min="11094" max="11098" width="10" customWidth="1"/>
    <col min="11102" max="11103" width="10.85546875" bestFit="1" customWidth="1"/>
    <col min="11104" max="11104" width="10" bestFit="1" customWidth="1"/>
    <col min="11105" max="11106" width="9.28515625" bestFit="1" customWidth="1"/>
    <col min="11345" max="11345" width="7.42578125" customWidth="1"/>
    <col min="11346" max="11347" width="10.85546875" bestFit="1" customWidth="1"/>
    <col min="11348" max="11349" width="10.85546875" customWidth="1"/>
    <col min="11350" max="11354" width="10" customWidth="1"/>
    <col min="11358" max="11359" width="10.85546875" bestFit="1" customWidth="1"/>
    <col min="11360" max="11360" width="10" bestFit="1" customWidth="1"/>
    <col min="11361" max="11362" width="9.28515625" bestFit="1" customWidth="1"/>
    <col min="11601" max="11601" width="7.42578125" customWidth="1"/>
    <col min="11602" max="11603" width="10.85546875" bestFit="1" customWidth="1"/>
    <col min="11604" max="11605" width="10.85546875" customWidth="1"/>
    <col min="11606" max="11610" width="10" customWidth="1"/>
    <col min="11614" max="11615" width="10.85546875" bestFit="1" customWidth="1"/>
    <col min="11616" max="11616" width="10" bestFit="1" customWidth="1"/>
    <col min="11617" max="11618" width="9.28515625" bestFit="1" customWidth="1"/>
    <col min="11857" max="11857" width="7.42578125" customWidth="1"/>
    <col min="11858" max="11859" width="10.85546875" bestFit="1" customWidth="1"/>
    <col min="11860" max="11861" width="10.85546875" customWidth="1"/>
    <col min="11862" max="11866" width="10" customWidth="1"/>
    <col min="11870" max="11871" width="10.85546875" bestFit="1" customWidth="1"/>
    <col min="11872" max="11872" width="10" bestFit="1" customWidth="1"/>
    <col min="11873" max="11874" width="9.28515625" bestFit="1" customWidth="1"/>
    <col min="12113" max="12113" width="7.42578125" customWidth="1"/>
    <col min="12114" max="12115" width="10.85546875" bestFit="1" customWidth="1"/>
    <col min="12116" max="12117" width="10.85546875" customWidth="1"/>
    <col min="12118" max="12122" width="10" customWidth="1"/>
    <col min="12126" max="12127" width="10.85546875" bestFit="1" customWidth="1"/>
    <col min="12128" max="12128" width="10" bestFit="1" customWidth="1"/>
    <col min="12129" max="12130" width="9.28515625" bestFit="1" customWidth="1"/>
    <col min="12369" max="12369" width="7.42578125" customWidth="1"/>
    <col min="12370" max="12371" width="10.85546875" bestFit="1" customWidth="1"/>
    <col min="12372" max="12373" width="10.85546875" customWidth="1"/>
    <col min="12374" max="12378" width="10" customWidth="1"/>
    <col min="12382" max="12383" width="10.85546875" bestFit="1" customWidth="1"/>
    <col min="12384" max="12384" width="10" bestFit="1" customWidth="1"/>
    <col min="12385" max="12386" width="9.28515625" bestFit="1" customWidth="1"/>
    <col min="12625" max="12625" width="7.42578125" customWidth="1"/>
    <col min="12626" max="12627" width="10.85546875" bestFit="1" customWidth="1"/>
    <col min="12628" max="12629" width="10.85546875" customWidth="1"/>
    <col min="12630" max="12634" width="10" customWidth="1"/>
    <col min="12638" max="12639" width="10.85546875" bestFit="1" customWidth="1"/>
    <col min="12640" max="12640" width="10" bestFit="1" customWidth="1"/>
    <col min="12641" max="12642" width="9.28515625" bestFit="1" customWidth="1"/>
    <col min="12881" max="12881" width="7.42578125" customWidth="1"/>
    <col min="12882" max="12883" width="10.85546875" bestFit="1" customWidth="1"/>
    <col min="12884" max="12885" width="10.85546875" customWidth="1"/>
    <col min="12886" max="12890" width="10" customWidth="1"/>
    <col min="12894" max="12895" width="10.85546875" bestFit="1" customWidth="1"/>
    <col min="12896" max="12896" width="10" bestFit="1" customWidth="1"/>
    <col min="12897" max="12898" width="9.28515625" bestFit="1" customWidth="1"/>
    <col min="13137" max="13137" width="7.42578125" customWidth="1"/>
    <col min="13138" max="13139" width="10.85546875" bestFit="1" customWidth="1"/>
    <col min="13140" max="13141" width="10.85546875" customWidth="1"/>
    <col min="13142" max="13146" width="10" customWidth="1"/>
    <col min="13150" max="13151" width="10.85546875" bestFit="1" customWidth="1"/>
    <col min="13152" max="13152" width="10" bestFit="1" customWidth="1"/>
    <col min="13153" max="13154" width="9.28515625" bestFit="1" customWidth="1"/>
    <col min="13393" max="13393" width="7.42578125" customWidth="1"/>
    <col min="13394" max="13395" width="10.85546875" bestFit="1" customWidth="1"/>
    <col min="13396" max="13397" width="10.85546875" customWidth="1"/>
    <col min="13398" max="13402" width="10" customWidth="1"/>
    <col min="13406" max="13407" width="10.85546875" bestFit="1" customWidth="1"/>
    <col min="13408" max="13408" width="10" bestFit="1" customWidth="1"/>
    <col min="13409" max="13410" width="9.28515625" bestFit="1" customWidth="1"/>
    <col min="13649" max="13649" width="7.42578125" customWidth="1"/>
    <col min="13650" max="13651" width="10.85546875" bestFit="1" customWidth="1"/>
    <col min="13652" max="13653" width="10.85546875" customWidth="1"/>
    <col min="13654" max="13658" width="10" customWidth="1"/>
    <col min="13662" max="13663" width="10.85546875" bestFit="1" customWidth="1"/>
    <col min="13664" max="13664" width="10" bestFit="1" customWidth="1"/>
    <col min="13665" max="13666" width="9.28515625" bestFit="1" customWidth="1"/>
    <col min="13905" max="13905" width="7.42578125" customWidth="1"/>
    <col min="13906" max="13907" width="10.85546875" bestFit="1" customWidth="1"/>
    <col min="13908" max="13909" width="10.85546875" customWidth="1"/>
    <col min="13910" max="13914" width="10" customWidth="1"/>
    <col min="13918" max="13919" width="10.85546875" bestFit="1" customWidth="1"/>
    <col min="13920" max="13920" width="10" bestFit="1" customWidth="1"/>
    <col min="13921" max="13922" width="9.28515625" bestFit="1" customWidth="1"/>
    <col min="14161" max="14161" width="7.42578125" customWidth="1"/>
    <col min="14162" max="14163" width="10.85546875" bestFit="1" customWidth="1"/>
    <col min="14164" max="14165" width="10.85546875" customWidth="1"/>
    <col min="14166" max="14170" width="10" customWidth="1"/>
    <col min="14174" max="14175" width="10.85546875" bestFit="1" customWidth="1"/>
    <col min="14176" max="14176" width="10" bestFit="1" customWidth="1"/>
    <col min="14177" max="14178" width="9.28515625" bestFit="1" customWidth="1"/>
    <col min="14417" max="14417" width="7.42578125" customWidth="1"/>
    <col min="14418" max="14419" width="10.85546875" bestFit="1" customWidth="1"/>
    <col min="14420" max="14421" width="10.85546875" customWidth="1"/>
    <col min="14422" max="14426" width="10" customWidth="1"/>
    <col min="14430" max="14431" width="10.85546875" bestFit="1" customWidth="1"/>
    <col min="14432" max="14432" width="10" bestFit="1" customWidth="1"/>
    <col min="14433" max="14434" width="9.28515625" bestFit="1" customWidth="1"/>
    <col min="14673" max="14673" width="7.42578125" customWidth="1"/>
    <col min="14674" max="14675" width="10.85546875" bestFit="1" customWidth="1"/>
    <col min="14676" max="14677" width="10.85546875" customWidth="1"/>
    <col min="14678" max="14682" width="10" customWidth="1"/>
    <col min="14686" max="14687" width="10.85546875" bestFit="1" customWidth="1"/>
    <col min="14688" max="14688" width="10" bestFit="1" customWidth="1"/>
    <col min="14689" max="14690" width="9.28515625" bestFit="1" customWidth="1"/>
    <col min="14929" max="14929" width="7.42578125" customWidth="1"/>
    <col min="14930" max="14931" width="10.85546875" bestFit="1" customWidth="1"/>
    <col min="14932" max="14933" width="10.85546875" customWidth="1"/>
    <col min="14934" max="14938" width="10" customWidth="1"/>
    <col min="14942" max="14943" width="10.85546875" bestFit="1" customWidth="1"/>
    <col min="14944" max="14944" width="10" bestFit="1" customWidth="1"/>
    <col min="14945" max="14946" width="9.28515625" bestFit="1" customWidth="1"/>
    <col min="15185" max="15185" width="7.42578125" customWidth="1"/>
    <col min="15186" max="15187" width="10.85546875" bestFit="1" customWidth="1"/>
    <col min="15188" max="15189" width="10.85546875" customWidth="1"/>
    <col min="15190" max="15194" width="10" customWidth="1"/>
    <col min="15198" max="15199" width="10.85546875" bestFit="1" customWidth="1"/>
    <col min="15200" max="15200" width="10" bestFit="1" customWidth="1"/>
    <col min="15201" max="15202" width="9.28515625" bestFit="1" customWidth="1"/>
    <col min="15441" max="15441" width="7.42578125" customWidth="1"/>
    <col min="15442" max="15443" width="10.85546875" bestFit="1" customWidth="1"/>
    <col min="15444" max="15445" width="10.85546875" customWidth="1"/>
    <col min="15446" max="15450" width="10" customWidth="1"/>
    <col min="15454" max="15455" width="10.85546875" bestFit="1" customWidth="1"/>
    <col min="15456" max="15456" width="10" bestFit="1" customWidth="1"/>
    <col min="15457" max="15458" width="9.28515625" bestFit="1" customWidth="1"/>
  </cols>
  <sheetData>
    <row r="1" spans="1:87">
      <c r="A1" s="44" t="s">
        <v>2</v>
      </c>
    </row>
    <row r="2" spans="1:87">
      <c r="A2" s="44" t="s">
        <v>3</v>
      </c>
    </row>
    <row r="3" spans="1:87">
      <c r="A3" s="1227" t="s">
        <v>4</v>
      </c>
      <c r="B3" s="1227"/>
      <c r="C3" s="1227"/>
      <c r="D3" s="1227"/>
      <c r="E3" s="1227"/>
      <c r="F3" s="1227"/>
      <c r="G3" s="1227"/>
      <c r="H3" s="1227"/>
      <c r="I3" s="1227"/>
      <c r="J3" s="1227"/>
      <c r="K3" s="1227"/>
      <c r="L3" s="1227"/>
      <c r="M3" s="1227"/>
      <c r="N3" s="1227"/>
    </row>
    <row r="4" spans="1:87">
      <c r="A4" s="6"/>
      <c r="BM4" s="15"/>
      <c r="BN4" s="15"/>
      <c r="BP4" s="4"/>
    </row>
    <row r="5" spans="1:87" ht="16.5" customHeight="1">
      <c r="A5" s="181" t="s">
        <v>890</v>
      </c>
      <c r="B5" s="51"/>
      <c r="C5" s="51"/>
      <c r="D5" s="51"/>
      <c r="E5" s="52"/>
      <c r="F5" s="252"/>
      <c r="G5" s="51"/>
      <c r="H5" s="51"/>
      <c r="I5" s="52"/>
      <c r="J5" s="252"/>
      <c r="K5" s="252"/>
      <c r="L5" s="491"/>
      <c r="M5" s="180"/>
      <c r="N5" s="180"/>
    </row>
    <row r="6" spans="1:87" ht="13.5" thickBot="1">
      <c r="A6" s="527" t="s">
        <v>800</v>
      </c>
      <c r="B6" s="528"/>
      <c r="C6" s="529"/>
      <c r="D6" s="529"/>
      <c r="E6" s="529"/>
      <c r="F6" s="529"/>
      <c r="G6" s="529"/>
      <c r="H6" s="529"/>
      <c r="I6" s="528"/>
      <c r="J6" s="528"/>
      <c r="K6" s="528"/>
      <c r="L6" s="180"/>
      <c r="M6" s="11"/>
      <c r="N6" s="11"/>
      <c r="BE6" s="15"/>
    </row>
    <row r="7" spans="1:87" ht="15.75" customHeight="1">
      <c r="A7" s="10"/>
      <c r="B7" s="1116" t="s">
        <v>877</v>
      </c>
      <c r="C7" s="1117"/>
      <c r="D7" s="1117"/>
      <c r="E7" s="1117"/>
      <c r="F7" s="1117"/>
      <c r="G7" s="1117"/>
      <c r="H7" s="1117"/>
      <c r="I7" s="1117"/>
      <c r="J7" s="1117"/>
      <c r="K7" s="1117"/>
      <c r="L7" s="1117"/>
      <c r="M7" s="1117"/>
      <c r="N7" s="1118"/>
      <c r="O7" s="1122" t="s">
        <v>888</v>
      </c>
      <c r="P7" s="1122"/>
      <c r="Q7" s="1122"/>
      <c r="R7" s="1122"/>
      <c r="S7" s="1122"/>
      <c r="T7" s="1122"/>
      <c r="U7" s="1122"/>
      <c r="V7" s="1122"/>
      <c r="W7" s="1122"/>
      <c r="X7" s="1122"/>
      <c r="Y7" s="1122"/>
      <c r="Z7" s="1122"/>
      <c r="AA7" s="1122"/>
      <c r="AB7" s="1122"/>
      <c r="AC7" s="1122"/>
      <c r="AD7" s="1122"/>
      <c r="AE7" s="1122"/>
      <c r="AF7" s="1122"/>
      <c r="AG7" s="1122"/>
      <c r="AH7" s="1122"/>
      <c r="AI7" s="1122"/>
      <c r="AJ7" s="1122"/>
      <c r="AK7" s="1122"/>
      <c r="AL7" s="1122"/>
      <c r="AM7" s="1122"/>
      <c r="AN7" s="1122"/>
      <c r="AO7" s="1122"/>
      <c r="AP7" s="1122"/>
      <c r="AQ7" s="1122"/>
      <c r="AR7" s="1122"/>
      <c r="AS7" s="1122"/>
      <c r="AT7" s="1122"/>
      <c r="AU7" s="1122"/>
      <c r="AV7" s="1122"/>
      <c r="AW7" s="1122"/>
      <c r="AX7" s="1122"/>
      <c r="AY7" s="1122"/>
      <c r="AZ7" s="1122"/>
      <c r="BA7" s="1122"/>
      <c r="BB7" s="1122"/>
      <c r="BC7" s="1122"/>
      <c r="BD7" s="1123"/>
      <c r="BE7" s="1116" t="s">
        <v>889</v>
      </c>
      <c r="BF7" s="1117"/>
      <c r="BG7" s="1117"/>
      <c r="BH7" s="1117"/>
      <c r="BI7" s="1117"/>
      <c r="BJ7" s="1117"/>
      <c r="BK7" s="1117"/>
      <c r="BL7" s="1117"/>
      <c r="BM7" s="1117"/>
      <c r="BN7" s="1117"/>
      <c r="BO7" s="1117"/>
      <c r="BP7" s="1117"/>
      <c r="BQ7" s="1118"/>
      <c r="BR7" s="1209" t="s">
        <v>847</v>
      </c>
      <c r="BS7" s="1210"/>
      <c r="BT7" s="1210"/>
      <c r="BU7" s="1210"/>
      <c r="BV7" s="1210"/>
      <c r="BW7" s="1211"/>
      <c r="BX7" s="1231" t="s">
        <v>847</v>
      </c>
      <c r="BY7" s="1169"/>
      <c r="BZ7" s="1169"/>
      <c r="CA7" s="1169"/>
      <c r="CB7" s="1170"/>
      <c r="CC7" s="1171"/>
    </row>
    <row r="8" spans="1:87" ht="13.5" customHeight="1" thickBot="1">
      <c r="B8" s="1119"/>
      <c r="C8" s="1120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1"/>
      <c r="O8" s="1140" t="s">
        <v>807</v>
      </c>
      <c r="P8" s="1140"/>
      <c r="Q8" s="1140"/>
      <c r="R8" s="1140"/>
      <c r="S8" s="1140"/>
      <c r="T8" s="1140"/>
      <c r="U8" s="1140"/>
      <c r="V8" s="1140"/>
      <c r="W8" s="1140"/>
      <c r="X8" s="1140"/>
      <c r="Y8" s="1140"/>
      <c r="Z8" s="1141"/>
      <c r="AA8" s="1139" t="s">
        <v>808</v>
      </c>
      <c r="AB8" s="1140"/>
      <c r="AC8" s="1140"/>
      <c r="AD8" s="1140"/>
      <c r="AE8" s="1140"/>
      <c r="AF8" s="1140"/>
      <c r="AG8" s="1140"/>
      <c r="AH8" s="1141"/>
      <c r="AI8" s="1190" t="s">
        <v>822</v>
      </c>
      <c r="AJ8" s="1190"/>
      <c r="AK8" s="1190"/>
      <c r="AL8" s="1113" t="s">
        <v>5</v>
      </c>
      <c r="AM8" s="1113" t="s">
        <v>275</v>
      </c>
      <c r="AN8" s="1197" t="s">
        <v>796</v>
      </c>
      <c r="AO8" s="1197"/>
      <c r="AP8" s="1197"/>
      <c r="AQ8" s="1198"/>
      <c r="AR8" s="1203" t="s">
        <v>288</v>
      </c>
      <c r="AS8" s="1206" t="s">
        <v>809</v>
      </c>
      <c r="AT8" s="1207"/>
      <c r="AU8" s="1207"/>
      <c r="AV8" s="1207"/>
      <c r="AW8" s="1207"/>
      <c r="AX8" s="1207"/>
      <c r="AY8" s="1207"/>
      <c r="AZ8" s="1207"/>
      <c r="BA8" s="1207"/>
      <c r="BB8" s="1207"/>
      <c r="BC8" s="1207"/>
      <c r="BD8" s="1208"/>
      <c r="BE8" s="1119"/>
      <c r="BF8" s="1120"/>
      <c r="BG8" s="1120"/>
      <c r="BH8" s="1120"/>
      <c r="BI8" s="1120"/>
      <c r="BJ8" s="1120"/>
      <c r="BK8" s="1120"/>
      <c r="BL8" s="1120"/>
      <c r="BM8" s="1120"/>
      <c r="BN8" s="1120"/>
      <c r="BO8" s="1120"/>
      <c r="BP8" s="1120"/>
      <c r="BQ8" s="1121"/>
      <c r="BR8" s="1212"/>
      <c r="BS8" s="1213"/>
      <c r="BT8" s="1213"/>
      <c r="BU8" s="1213"/>
      <c r="BV8" s="1213"/>
      <c r="BW8" s="1214"/>
      <c r="BX8" s="1232"/>
      <c r="BY8" s="1173"/>
      <c r="BZ8" s="1173"/>
      <c r="CA8" s="1173"/>
      <c r="CB8" s="1174"/>
      <c r="CC8" s="1175"/>
    </row>
    <row r="9" spans="1:87" ht="12.75" customHeight="1">
      <c r="B9" s="1127" t="s">
        <v>6</v>
      </c>
      <c r="C9" s="1124" t="s">
        <v>777</v>
      </c>
      <c r="D9" s="1125"/>
      <c r="E9" s="1125"/>
      <c r="F9" s="1125"/>
      <c r="G9" s="1125"/>
      <c r="H9" s="1125"/>
      <c r="I9" s="1125"/>
      <c r="J9" s="1125"/>
      <c r="K9" s="1126"/>
      <c r="L9" s="1130" t="s">
        <v>813</v>
      </c>
      <c r="M9" s="1133" t="s">
        <v>814</v>
      </c>
      <c r="N9" s="1134"/>
      <c r="O9" s="1143"/>
      <c r="P9" s="1143"/>
      <c r="Q9" s="1143"/>
      <c r="R9" s="1143"/>
      <c r="S9" s="1143"/>
      <c r="T9" s="1143"/>
      <c r="U9" s="1143"/>
      <c r="V9" s="1143"/>
      <c r="W9" s="1143"/>
      <c r="X9" s="1143"/>
      <c r="Y9" s="1143"/>
      <c r="Z9" s="1144"/>
      <c r="AA9" s="1142"/>
      <c r="AB9" s="1143"/>
      <c r="AC9" s="1143"/>
      <c r="AD9" s="1143"/>
      <c r="AE9" s="1143"/>
      <c r="AF9" s="1143"/>
      <c r="AG9" s="1143"/>
      <c r="AH9" s="1144"/>
      <c r="AI9" s="1190"/>
      <c r="AJ9" s="1190"/>
      <c r="AK9" s="1190"/>
      <c r="AL9" s="1114"/>
      <c r="AM9" s="1114"/>
      <c r="AN9" s="1199"/>
      <c r="AO9" s="1199"/>
      <c r="AP9" s="1199"/>
      <c r="AQ9" s="1200"/>
      <c r="AR9" s="1204"/>
      <c r="AS9" s="1145" t="s">
        <v>276</v>
      </c>
      <c r="AT9" s="1195"/>
      <c r="AU9" s="1184" t="s">
        <v>277</v>
      </c>
      <c r="AV9" s="1186" t="s">
        <v>860</v>
      </c>
      <c r="AW9" s="1187"/>
      <c r="AX9" s="1184" t="s">
        <v>787</v>
      </c>
      <c r="AY9" s="1184"/>
      <c r="AZ9" s="1145" t="s">
        <v>278</v>
      </c>
      <c r="BA9" s="1195"/>
      <c r="BB9" s="1145" t="s">
        <v>823</v>
      </c>
      <c r="BC9" s="1146"/>
      <c r="BD9" s="1147"/>
      <c r="BE9" s="1228" t="s">
        <v>6</v>
      </c>
      <c r="BF9" s="1161" t="s">
        <v>777</v>
      </c>
      <c r="BG9" s="1161"/>
      <c r="BH9" s="1161"/>
      <c r="BI9" s="1161"/>
      <c r="BJ9" s="1161"/>
      <c r="BK9" s="1161"/>
      <c r="BL9" s="1161"/>
      <c r="BM9" s="1161"/>
      <c r="BN9" s="1161"/>
      <c r="BO9" s="1130" t="s">
        <v>813</v>
      </c>
      <c r="BP9" s="1191" t="s">
        <v>778</v>
      </c>
      <c r="BQ9" s="1135"/>
      <c r="BR9" s="1151" t="s">
        <v>846</v>
      </c>
      <c r="BS9" s="1152"/>
      <c r="BT9" s="1152"/>
      <c r="BU9" s="1152"/>
      <c r="BV9" s="1152"/>
      <c r="BW9" s="1153"/>
      <c r="BX9" s="1177" t="s">
        <v>864</v>
      </c>
      <c r="BY9" s="1177"/>
      <c r="BZ9" s="1177"/>
      <c r="CA9" s="1177"/>
      <c r="CB9" s="1177"/>
      <c r="CC9" s="1178"/>
    </row>
    <row r="10" spans="1:87" ht="24.75" customHeight="1" thickBot="1">
      <c r="A10"/>
      <c r="B10" s="1128"/>
      <c r="C10" s="1137" t="s">
        <v>268</v>
      </c>
      <c r="D10" s="1108" t="s">
        <v>827</v>
      </c>
      <c r="E10" s="1109"/>
      <c r="F10" s="1111" t="s">
        <v>274</v>
      </c>
      <c r="G10" s="1108" t="s">
        <v>834</v>
      </c>
      <c r="H10" s="1109"/>
      <c r="I10" s="1111" t="s">
        <v>5</v>
      </c>
      <c r="J10" s="1111" t="s">
        <v>1</v>
      </c>
      <c r="K10" s="1111" t="s">
        <v>7</v>
      </c>
      <c r="L10" s="1131"/>
      <c r="M10" s="1135"/>
      <c r="N10" s="1136"/>
      <c r="O10" s="1110" t="s">
        <v>279</v>
      </c>
      <c r="P10" s="1104"/>
      <c r="Q10" s="1100" t="s">
        <v>812</v>
      </c>
      <c r="R10" s="1100" t="s">
        <v>811</v>
      </c>
      <c r="S10" s="1105" t="s">
        <v>860</v>
      </c>
      <c r="T10" s="1105"/>
      <c r="U10" s="1182"/>
      <c r="V10" s="1105" t="s">
        <v>278</v>
      </c>
      <c r="W10" s="1105"/>
      <c r="X10" s="1103" t="s">
        <v>788</v>
      </c>
      <c r="Y10" s="1104"/>
      <c r="Z10" s="1106" t="s">
        <v>788</v>
      </c>
      <c r="AA10" s="1103" t="s">
        <v>280</v>
      </c>
      <c r="AB10" s="1104"/>
      <c r="AC10" s="1101" t="s">
        <v>810</v>
      </c>
      <c r="AD10" s="1103" t="s">
        <v>281</v>
      </c>
      <c r="AE10" s="1104"/>
      <c r="AF10" s="1103" t="s">
        <v>745</v>
      </c>
      <c r="AG10" s="1104"/>
      <c r="AH10" s="1106" t="s">
        <v>745</v>
      </c>
      <c r="AI10" s="1190"/>
      <c r="AJ10" s="1190"/>
      <c r="AK10" s="1190"/>
      <c r="AL10" s="1114"/>
      <c r="AM10" s="1114"/>
      <c r="AN10" s="1201"/>
      <c r="AO10" s="1201"/>
      <c r="AP10" s="1201"/>
      <c r="AQ10" s="1202"/>
      <c r="AR10" s="1204"/>
      <c r="AS10" s="1148"/>
      <c r="AT10" s="1196"/>
      <c r="AU10" s="1185"/>
      <c r="AV10" s="1188"/>
      <c r="AW10" s="1189"/>
      <c r="AX10" s="1185"/>
      <c r="AY10" s="1185"/>
      <c r="AZ10" s="1148"/>
      <c r="BA10" s="1196"/>
      <c r="BB10" s="1148"/>
      <c r="BC10" s="1149"/>
      <c r="BD10" s="1150"/>
      <c r="BE10" s="1229"/>
      <c r="BF10" s="1157" t="s">
        <v>268</v>
      </c>
      <c r="BG10" s="1108" t="s">
        <v>827</v>
      </c>
      <c r="BH10" s="1109"/>
      <c r="BI10" s="1159" t="s">
        <v>274</v>
      </c>
      <c r="BJ10" s="1162" t="s">
        <v>834</v>
      </c>
      <c r="BK10" s="1162"/>
      <c r="BL10" s="1163" t="s">
        <v>5</v>
      </c>
      <c r="BM10" s="1163" t="s">
        <v>1</v>
      </c>
      <c r="BN10" s="1163" t="s">
        <v>7</v>
      </c>
      <c r="BO10" s="1131"/>
      <c r="BP10" s="1193"/>
      <c r="BQ10" s="1233"/>
      <c r="BR10" s="1154"/>
      <c r="BS10" s="1155"/>
      <c r="BT10" s="1155"/>
      <c r="BU10" s="1155"/>
      <c r="BV10" s="1155"/>
      <c r="BW10" s="1156"/>
      <c r="BX10" s="1180"/>
      <c r="BY10" s="1180"/>
      <c r="BZ10" s="1180"/>
      <c r="CA10" s="1180"/>
      <c r="CB10" s="1180"/>
      <c r="CC10" s="1181"/>
    </row>
    <row r="11" spans="1:87" s="5" customFormat="1" ht="39.950000000000003" customHeight="1" thickBot="1">
      <c r="A11" s="12" t="s">
        <v>244</v>
      </c>
      <c r="B11" s="1129"/>
      <c r="C11" s="1138"/>
      <c r="D11" s="587" t="s">
        <v>805</v>
      </c>
      <c r="E11" s="587" t="s">
        <v>806</v>
      </c>
      <c r="F11" s="1112"/>
      <c r="G11" s="587" t="s">
        <v>805</v>
      </c>
      <c r="H11" s="587" t="s">
        <v>806</v>
      </c>
      <c r="I11" s="1112"/>
      <c r="J11" s="1112"/>
      <c r="K11" s="1112"/>
      <c r="L11" s="1132"/>
      <c r="M11" s="588" t="s">
        <v>805</v>
      </c>
      <c r="N11" s="604" t="s">
        <v>806</v>
      </c>
      <c r="O11" s="562" t="s">
        <v>805</v>
      </c>
      <c r="P11" s="556" t="s">
        <v>806</v>
      </c>
      <c r="Q11" s="1100"/>
      <c r="R11" s="1100"/>
      <c r="S11" s="556" t="s">
        <v>805</v>
      </c>
      <c r="T11" s="561" t="s">
        <v>806</v>
      </c>
      <c r="U11" s="1183"/>
      <c r="V11" s="556" t="s">
        <v>805</v>
      </c>
      <c r="W11" s="561" t="s">
        <v>806</v>
      </c>
      <c r="X11" s="556" t="s">
        <v>805</v>
      </c>
      <c r="Y11" s="561" t="s">
        <v>806</v>
      </c>
      <c r="Z11" s="1107"/>
      <c r="AA11" s="557" t="s">
        <v>805</v>
      </c>
      <c r="AB11" s="557" t="s">
        <v>806</v>
      </c>
      <c r="AC11" s="1102"/>
      <c r="AD11" s="556" t="s">
        <v>805</v>
      </c>
      <c r="AE11" s="556" t="s">
        <v>806</v>
      </c>
      <c r="AF11" s="556" t="s">
        <v>805</v>
      </c>
      <c r="AG11" s="556" t="s">
        <v>806</v>
      </c>
      <c r="AH11" s="1107"/>
      <c r="AI11" s="556" t="s">
        <v>805</v>
      </c>
      <c r="AJ11" s="556" t="s">
        <v>806</v>
      </c>
      <c r="AK11" s="556" t="s">
        <v>256</v>
      </c>
      <c r="AL11" s="1115"/>
      <c r="AM11" s="1115"/>
      <c r="AN11" s="403" t="s">
        <v>277</v>
      </c>
      <c r="AO11" s="403" t="s">
        <v>278</v>
      </c>
      <c r="AP11" s="403"/>
      <c r="AQ11" s="403" t="s">
        <v>746</v>
      </c>
      <c r="AR11" s="1205"/>
      <c r="AS11" s="565" t="s">
        <v>805</v>
      </c>
      <c r="AT11" s="565" t="s">
        <v>806</v>
      </c>
      <c r="AU11" s="565" t="s">
        <v>805</v>
      </c>
      <c r="AV11" s="565" t="s">
        <v>805</v>
      </c>
      <c r="AW11" s="565" t="s">
        <v>806</v>
      </c>
      <c r="AX11" s="565" t="s">
        <v>805</v>
      </c>
      <c r="AY11" s="565"/>
      <c r="AZ11" s="565" t="s">
        <v>805</v>
      </c>
      <c r="BA11" s="565" t="s">
        <v>806</v>
      </c>
      <c r="BB11" s="565" t="s">
        <v>805</v>
      </c>
      <c r="BC11" s="565" t="s">
        <v>806</v>
      </c>
      <c r="BD11" s="404" t="s">
        <v>826</v>
      </c>
      <c r="BE11" s="1230"/>
      <c r="BF11" s="1158"/>
      <c r="BG11" s="557" t="s">
        <v>805</v>
      </c>
      <c r="BH11" s="557" t="s">
        <v>806</v>
      </c>
      <c r="BI11" s="1160"/>
      <c r="BJ11" s="557" t="s">
        <v>805</v>
      </c>
      <c r="BK11" s="557" t="s">
        <v>806</v>
      </c>
      <c r="BL11" s="1164"/>
      <c r="BM11" s="1164"/>
      <c r="BN11" s="1164"/>
      <c r="BO11" s="1132"/>
      <c r="BP11" s="565" t="s">
        <v>805</v>
      </c>
      <c r="BQ11" s="570" t="s">
        <v>806</v>
      </c>
      <c r="BR11" s="676" t="s">
        <v>841</v>
      </c>
      <c r="BS11" s="677" t="s">
        <v>268</v>
      </c>
      <c r="BT11" s="677" t="s">
        <v>274</v>
      </c>
      <c r="BU11" s="677" t="s">
        <v>840</v>
      </c>
      <c r="BV11" s="677" t="s">
        <v>1</v>
      </c>
      <c r="BW11" s="678" t="s">
        <v>842</v>
      </c>
      <c r="BX11" s="1050" t="s">
        <v>841</v>
      </c>
      <c r="BY11" s="871" t="s">
        <v>268</v>
      </c>
      <c r="BZ11" s="871" t="s">
        <v>840</v>
      </c>
      <c r="CA11" s="871" t="s">
        <v>1</v>
      </c>
      <c r="CB11" s="876" t="s">
        <v>796</v>
      </c>
      <c r="CC11" s="872" t="s">
        <v>842</v>
      </c>
      <c r="CF11" s="15"/>
      <c r="CH11" s="15"/>
    </row>
    <row r="12" spans="1:87" s="5" customFormat="1" ht="12" customHeight="1" thickBot="1">
      <c r="A12" s="413" t="s">
        <v>245</v>
      </c>
      <c r="B12" s="140" t="s">
        <v>262</v>
      </c>
      <c r="C12" s="141" t="s">
        <v>263</v>
      </c>
      <c r="D12" s="141" t="s">
        <v>801</v>
      </c>
      <c r="E12" s="141" t="s">
        <v>802</v>
      </c>
      <c r="F12" s="141" t="s">
        <v>269</v>
      </c>
      <c r="G12" s="141" t="s">
        <v>803</v>
      </c>
      <c r="H12" s="141" t="s">
        <v>804</v>
      </c>
      <c r="I12" s="141" t="s">
        <v>264</v>
      </c>
      <c r="J12" s="141" t="s">
        <v>265</v>
      </c>
      <c r="K12" s="141" t="s">
        <v>266</v>
      </c>
      <c r="L12" s="401" t="s">
        <v>267</v>
      </c>
      <c r="M12" s="142" t="s">
        <v>532</v>
      </c>
      <c r="N12" s="179" t="s">
        <v>533</v>
      </c>
      <c r="O12" s="508" t="s">
        <v>815</v>
      </c>
      <c r="P12" s="141" t="s">
        <v>816</v>
      </c>
      <c r="Q12" s="141" t="s">
        <v>815</v>
      </c>
      <c r="R12" s="141" t="s">
        <v>815</v>
      </c>
      <c r="S12" s="141" t="s">
        <v>815</v>
      </c>
      <c r="T12" s="141" t="s">
        <v>816</v>
      </c>
      <c r="U12" s="141" t="s">
        <v>816</v>
      </c>
      <c r="V12" s="141" t="s">
        <v>815</v>
      </c>
      <c r="W12" s="141" t="s">
        <v>816</v>
      </c>
      <c r="X12" s="141" t="s">
        <v>815</v>
      </c>
      <c r="Y12" s="141" t="s">
        <v>816</v>
      </c>
      <c r="Z12" s="141" t="s">
        <v>824</v>
      </c>
      <c r="AA12" s="141" t="s">
        <v>817</v>
      </c>
      <c r="AB12" s="141" t="s">
        <v>818</v>
      </c>
      <c r="AC12" s="141" t="s">
        <v>817</v>
      </c>
      <c r="AD12" s="141" t="s">
        <v>817</v>
      </c>
      <c r="AE12" s="141" t="s">
        <v>818</v>
      </c>
      <c r="AF12" s="141" t="s">
        <v>817</v>
      </c>
      <c r="AG12" s="141" t="s">
        <v>818</v>
      </c>
      <c r="AH12" s="141" t="s">
        <v>825</v>
      </c>
      <c r="AI12" s="508" t="s">
        <v>819</v>
      </c>
      <c r="AJ12" s="508" t="s">
        <v>820</v>
      </c>
      <c r="AK12" s="141" t="s">
        <v>821</v>
      </c>
      <c r="AL12" s="141" t="s">
        <v>282</v>
      </c>
      <c r="AM12" s="141" t="s">
        <v>283</v>
      </c>
      <c r="AN12" s="141" t="s">
        <v>284</v>
      </c>
      <c r="AO12" s="141" t="s">
        <v>284</v>
      </c>
      <c r="AP12" s="141" t="s">
        <v>284</v>
      </c>
      <c r="AQ12" s="141" t="s">
        <v>284</v>
      </c>
      <c r="AR12" s="141" t="s">
        <v>289</v>
      </c>
      <c r="AS12" s="401" t="s">
        <v>285</v>
      </c>
      <c r="AT12" s="142" t="s">
        <v>286</v>
      </c>
      <c r="AU12" s="142" t="s">
        <v>285</v>
      </c>
      <c r="AV12" s="142" t="s">
        <v>285</v>
      </c>
      <c r="AW12" s="142" t="s">
        <v>286</v>
      </c>
      <c r="AX12" s="142" t="s">
        <v>285</v>
      </c>
      <c r="AY12" s="142" t="s">
        <v>286</v>
      </c>
      <c r="AZ12" s="142" t="s">
        <v>285</v>
      </c>
      <c r="BA12" s="142" t="s">
        <v>286</v>
      </c>
      <c r="BB12" s="142" t="s">
        <v>285</v>
      </c>
      <c r="BC12" s="142" t="s">
        <v>286</v>
      </c>
      <c r="BD12" s="179" t="s">
        <v>287</v>
      </c>
      <c r="BE12" s="508" t="s">
        <v>262</v>
      </c>
      <c r="BF12" s="141" t="s">
        <v>263</v>
      </c>
      <c r="BG12" s="141" t="s">
        <v>801</v>
      </c>
      <c r="BH12" s="141" t="s">
        <v>802</v>
      </c>
      <c r="BI12" s="141" t="s">
        <v>269</v>
      </c>
      <c r="BJ12" s="141" t="s">
        <v>803</v>
      </c>
      <c r="BK12" s="141" t="s">
        <v>804</v>
      </c>
      <c r="BL12" s="141" t="s">
        <v>264</v>
      </c>
      <c r="BM12" s="141" t="s">
        <v>265</v>
      </c>
      <c r="BN12" s="141" t="s">
        <v>266</v>
      </c>
      <c r="BO12" s="142" t="s">
        <v>267</v>
      </c>
      <c r="BP12" s="142" t="s">
        <v>532</v>
      </c>
      <c r="BQ12" s="143" t="s">
        <v>533</v>
      </c>
      <c r="BR12" s="683" t="s">
        <v>843</v>
      </c>
      <c r="BS12" s="657" t="s">
        <v>837</v>
      </c>
      <c r="BT12" s="657" t="s">
        <v>838</v>
      </c>
      <c r="BU12" s="657" t="s">
        <v>844</v>
      </c>
      <c r="BV12" s="657" t="s">
        <v>845</v>
      </c>
      <c r="BW12" s="684" t="s">
        <v>839</v>
      </c>
      <c r="BX12" s="1051" t="s">
        <v>857</v>
      </c>
      <c r="BY12" s="874" t="s">
        <v>802</v>
      </c>
      <c r="BZ12" s="874" t="s">
        <v>858</v>
      </c>
      <c r="CA12" s="874" t="s">
        <v>859</v>
      </c>
      <c r="CB12" s="874" t="s">
        <v>796</v>
      </c>
      <c r="CC12" s="875" t="s">
        <v>533</v>
      </c>
      <c r="CF12" s="15"/>
      <c r="CH12" s="15"/>
    </row>
    <row r="13" spans="1:87">
      <c r="A13" s="176" t="s">
        <v>246</v>
      </c>
      <c r="B13" s="405">
        <f>LB!I466</f>
        <v>2001441572</v>
      </c>
      <c r="C13" s="406">
        <f>LB!J466</f>
        <v>1461782758</v>
      </c>
      <c r="D13" s="406">
        <f>LB!K466</f>
        <v>1249896373</v>
      </c>
      <c r="E13" s="406">
        <f>LB!L466</f>
        <v>211886385</v>
      </c>
      <c r="F13" s="406">
        <f>LB!M466</f>
        <v>6878806</v>
      </c>
      <c r="G13" s="406">
        <f>LB!N466</f>
        <v>4536046</v>
      </c>
      <c r="H13" s="406">
        <f>LB!O466</f>
        <v>2342760</v>
      </c>
      <c r="I13" s="406">
        <f>LB!P466</f>
        <v>496372384</v>
      </c>
      <c r="J13" s="406">
        <f>LB!Q466</f>
        <v>14617832</v>
      </c>
      <c r="K13" s="406">
        <f>LB!R466</f>
        <v>21789792</v>
      </c>
      <c r="L13" s="407">
        <f>LB!S466</f>
        <v>2720.3154</v>
      </c>
      <c r="M13" s="407">
        <f>LB!T466</f>
        <v>2065.7833999999998</v>
      </c>
      <c r="N13" s="494">
        <f>LB!U466</f>
        <v>654.53200000000015</v>
      </c>
      <c r="O13" s="530">
        <f>LB!V466</f>
        <v>-81769</v>
      </c>
      <c r="P13" s="406">
        <f>LB!W466</f>
        <v>-607314</v>
      </c>
      <c r="Q13" s="406">
        <f>LB!X466</f>
        <v>-640388</v>
      </c>
      <c r="R13" s="406">
        <f>LB!Y466</f>
        <v>681198</v>
      </c>
      <c r="S13" s="406">
        <f>LB!Z466</f>
        <v>25597</v>
      </c>
      <c r="T13" s="406">
        <f>LB!AA466</f>
        <v>275217</v>
      </c>
      <c r="U13" s="406">
        <f>LB!AB466</f>
        <v>0</v>
      </c>
      <c r="V13" s="406">
        <f>LB!AC466</f>
        <v>0</v>
      </c>
      <c r="W13" s="406">
        <f>LB!AD466</f>
        <v>-81402</v>
      </c>
      <c r="X13" s="406">
        <f>LB!AE466</f>
        <v>-15362</v>
      </c>
      <c r="Y13" s="406">
        <f>LB!AF466</f>
        <v>-413499</v>
      </c>
      <c r="Z13" s="406">
        <f>LB!AG466</f>
        <v>-428861</v>
      </c>
      <c r="AA13" s="406">
        <f>LB!AH466</f>
        <v>-31459</v>
      </c>
      <c r="AB13" s="406">
        <f>LB!AI466</f>
        <v>607314</v>
      </c>
      <c r="AC13" s="406">
        <f>LB!AJ466</f>
        <v>0</v>
      </c>
      <c r="AD13" s="406">
        <f>LB!AK466</f>
        <v>158979</v>
      </c>
      <c r="AE13" s="406">
        <f>LB!AL466</f>
        <v>76770</v>
      </c>
      <c r="AF13" s="406">
        <f>LB!AM466</f>
        <v>127520</v>
      </c>
      <c r="AG13" s="406">
        <f>LB!AN466</f>
        <v>684084</v>
      </c>
      <c r="AH13" s="406">
        <f>LB!AO466</f>
        <v>811604</v>
      </c>
      <c r="AI13" s="406">
        <f>LB!AP466</f>
        <v>112158</v>
      </c>
      <c r="AJ13" s="406">
        <f>LB!AQ466</f>
        <v>270585</v>
      </c>
      <c r="AK13" s="406">
        <f>LB!AR466</f>
        <v>382743</v>
      </c>
      <c r="AL13" s="406">
        <f>LB!AS466</f>
        <v>49687</v>
      </c>
      <c r="AM13" s="406">
        <f>LB!AT466</f>
        <v>-4284</v>
      </c>
      <c r="AN13" s="406">
        <f>LB!AU466</f>
        <v>108450</v>
      </c>
      <c r="AO13" s="406">
        <f>LB!AV466</f>
        <v>0</v>
      </c>
      <c r="AP13" s="406">
        <f>LB!AW466</f>
        <v>0</v>
      </c>
      <c r="AQ13" s="406">
        <f>LB!AX466</f>
        <v>108450</v>
      </c>
      <c r="AR13" s="406">
        <f>LB!AY466</f>
        <v>536596</v>
      </c>
      <c r="AS13" s="407">
        <f>LB!AZ466</f>
        <v>-0.14000000000000004</v>
      </c>
      <c r="AT13" s="407">
        <f>LB!BA466</f>
        <v>-2.1</v>
      </c>
      <c r="AU13" s="407">
        <f>LB!BB466</f>
        <v>-1.3199999999999998</v>
      </c>
      <c r="AV13" s="407">
        <f>LB!BC466</f>
        <v>0.35999999999999965</v>
      </c>
      <c r="AW13" s="407">
        <f>LB!BD466</f>
        <v>0.87999999999999923</v>
      </c>
      <c r="AX13" s="407">
        <f>LB!BE466</f>
        <v>0.98</v>
      </c>
      <c r="AY13" s="407">
        <f>LB!BF466</f>
        <v>0</v>
      </c>
      <c r="AZ13" s="407">
        <f>LB!BG466</f>
        <v>0</v>
      </c>
      <c r="BA13" s="407">
        <f>LB!BH466</f>
        <v>-0.25</v>
      </c>
      <c r="BB13" s="407">
        <f>LB!BI466</f>
        <v>-0.12000000000000026</v>
      </c>
      <c r="BC13" s="407">
        <f>LB!BJ466</f>
        <v>-1.4700000000000004</v>
      </c>
      <c r="BD13" s="494">
        <f>LB!BK466</f>
        <v>-1.5900000000000012</v>
      </c>
      <c r="BE13" s="530">
        <f>LB!BL466</f>
        <v>2001978168</v>
      </c>
      <c r="BF13" s="406">
        <f>LB!BM466</f>
        <v>1461353897</v>
      </c>
      <c r="BG13" s="406">
        <f>LB!BN466</f>
        <v>1249881011</v>
      </c>
      <c r="BH13" s="406">
        <f>LB!BO466</f>
        <v>211472886</v>
      </c>
      <c r="BI13" s="406">
        <f>LB!BP466</f>
        <v>7690410</v>
      </c>
      <c r="BJ13" s="406">
        <f>LB!BQ466</f>
        <v>4663566</v>
      </c>
      <c r="BK13" s="406">
        <f>LB!BR466</f>
        <v>3026844</v>
      </c>
      <c r="BL13" s="406">
        <f>LB!BS466</f>
        <v>496422071</v>
      </c>
      <c r="BM13" s="406">
        <f>LB!BT466</f>
        <v>14613548</v>
      </c>
      <c r="BN13" s="406">
        <f>LB!BU466</f>
        <v>21898242</v>
      </c>
      <c r="BO13" s="407">
        <f>LB!BV466</f>
        <v>2718.7253999999994</v>
      </c>
      <c r="BP13" s="407">
        <f>LB!BW466</f>
        <v>2065.6634000000004</v>
      </c>
      <c r="BQ13" s="421">
        <f>LB!BX466</f>
        <v>653.06200000000001</v>
      </c>
      <c r="BR13" s="405">
        <f>LB!BY466</f>
        <v>12690902</v>
      </c>
      <c r="BS13" s="406">
        <f>LB!BZ466</f>
        <v>8854800</v>
      </c>
      <c r="BT13" s="406">
        <f>LB!CA466</f>
        <v>564000</v>
      </c>
      <c r="BU13" s="406">
        <f>LB!CB466</f>
        <v>3183554</v>
      </c>
      <c r="BV13" s="406">
        <f>LB!CC466</f>
        <v>88548</v>
      </c>
      <c r="BW13" s="494">
        <f>LB!CD466</f>
        <v>15.7</v>
      </c>
      <c r="BX13" s="530">
        <f>LB!CE466</f>
        <v>56629434</v>
      </c>
      <c r="BY13" s="406">
        <f>LB!CF466</f>
        <v>38281936</v>
      </c>
      <c r="BZ13" s="406">
        <f>LB!CG466</f>
        <v>12939292</v>
      </c>
      <c r="CA13" s="406">
        <f>LB!CH466</f>
        <v>382823</v>
      </c>
      <c r="CB13" s="406">
        <f>LB!CI466</f>
        <v>5025383</v>
      </c>
      <c r="CC13" s="494">
        <f>LB!CJ466</f>
        <v>119.39839999999998</v>
      </c>
      <c r="CE13" s="15"/>
      <c r="CG13" s="8"/>
      <c r="CI13" s="15"/>
    </row>
    <row r="14" spans="1:87">
      <c r="A14" s="177" t="s">
        <v>247</v>
      </c>
      <c r="B14" s="419">
        <f>FR!I129</f>
        <v>361682378</v>
      </c>
      <c r="C14" s="414">
        <f>FR!J129</f>
        <v>263305296</v>
      </c>
      <c r="D14" s="414">
        <f>FR!K129</f>
        <v>222270566</v>
      </c>
      <c r="E14" s="414">
        <f>FR!L129</f>
        <v>41034730</v>
      </c>
      <c r="F14" s="414">
        <f>FR!M129</f>
        <v>2276718</v>
      </c>
      <c r="G14" s="414">
        <f>FR!N129</f>
        <v>1374510</v>
      </c>
      <c r="H14" s="414">
        <f>FR!O129</f>
        <v>902208</v>
      </c>
      <c r="I14" s="414">
        <f>FR!P129</f>
        <v>89704123</v>
      </c>
      <c r="J14" s="414">
        <f>FR!Q129</f>
        <v>2633057</v>
      </c>
      <c r="K14" s="414">
        <f>FR!R129</f>
        <v>3763184</v>
      </c>
      <c r="L14" s="415">
        <f>FR!S129</f>
        <v>510.25530000000009</v>
      </c>
      <c r="M14" s="415">
        <f>FR!T129</f>
        <v>382.67449999999997</v>
      </c>
      <c r="N14" s="509">
        <f>FR!U129</f>
        <v>127.5808</v>
      </c>
      <c r="O14" s="510">
        <f>FR!V129</f>
        <v>54599</v>
      </c>
      <c r="P14" s="414">
        <f>FR!W129</f>
        <v>-105525</v>
      </c>
      <c r="Q14" s="414">
        <f>FR!X129</f>
        <v>-369355</v>
      </c>
      <c r="R14" s="414">
        <f>FR!Y129</f>
        <v>0</v>
      </c>
      <c r="S14" s="414">
        <f>FR!Z129</f>
        <v>340058</v>
      </c>
      <c r="T14" s="414">
        <f>FR!AA129</f>
        <v>-308913</v>
      </c>
      <c r="U14" s="414">
        <f>FR!AB129</f>
        <v>0</v>
      </c>
      <c r="V14" s="414">
        <f>FR!AC129</f>
        <v>0</v>
      </c>
      <c r="W14" s="414">
        <f>FR!AD129</f>
        <v>0</v>
      </c>
      <c r="X14" s="414">
        <f>FR!AE129</f>
        <v>25302</v>
      </c>
      <c r="Y14" s="414">
        <f>FR!AF129</f>
        <v>-414438</v>
      </c>
      <c r="Z14" s="414">
        <f>FR!AG129</f>
        <v>-389136</v>
      </c>
      <c r="AA14" s="414">
        <f>FR!AH129</f>
        <v>130600</v>
      </c>
      <c r="AB14" s="414">
        <f>FR!AI129</f>
        <v>105525</v>
      </c>
      <c r="AC14" s="414">
        <f>FR!AJ129</f>
        <v>0</v>
      </c>
      <c r="AD14" s="414">
        <f>FR!AK129</f>
        <v>-107613</v>
      </c>
      <c r="AE14" s="414">
        <f>FR!AL129</f>
        <v>0</v>
      </c>
      <c r="AF14" s="414">
        <f>FR!AM129</f>
        <v>22987</v>
      </c>
      <c r="AG14" s="414">
        <f>FR!AN129</f>
        <v>105525</v>
      </c>
      <c r="AH14" s="414">
        <f>FR!AO129</f>
        <v>128512</v>
      </c>
      <c r="AI14" s="414">
        <f>FR!AP129</f>
        <v>48289</v>
      </c>
      <c r="AJ14" s="414">
        <f>FR!AQ129</f>
        <v>-308913</v>
      </c>
      <c r="AK14" s="414">
        <f>FR!AR129</f>
        <v>-260624</v>
      </c>
      <c r="AL14" s="414">
        <f>FR!AS129</f>
        <v>-51718</v>
      </c>
      <c r="AM14" s="414">
        <f>FR!AT129</f>
        <v>-3892</v>
      </c>
      <c r="AN14" s="414">
        <f>FR!AU129</f>
        <v>28000</v>
      </c>
      <c r="AO14" s="414">
        <f>FR!AV129</f>
        <v>0</v>
      </c>
      <c r="AP14" s="414">
        <f>FR!AW129</f>
        <v>0</v>
      </c>
      <c r="AQ14" s="414">
        <f>FR!AX129</f>
        <v>28000</v>
      </c>
      <c r="AR14" s="414">
        <f>FR!AY129</f>
        <v>-288234</v>
      </c>
      <c r="AS14" s="415">
        <f>FR!AZ129</f>
        <v>1.0000000000000002E-2</v>
      </c>
      <c r="AT14" s="415">
        <f>FR!BA129</f>
        <v>-0.14999999999999997</v>
      </c>
      <c r="AU14" s="415">
        <f>FR!BB129</f>
        <v>-0.88000000000000012</v>
      </c>
      <c r="AV14" s="415">
        <f>FR!BC129</f>
        <v>0.81</v>
      </c>
      <c r="AW14" s="415">
        <f>FR!BD129</f>
        <v>-0.90999999999999992</v>
      </c>
      <c r="AX14" s="415">
        <f>FR!BE129</f>
        <v>0</v>
      </c>
      <c r="AY14" s="415">
        <f>FR!BF129</f>
        <v>0</v>
      </c>
      <c r="AZ14" s="415">
        <f>FR!BG129</f>
        <v>0</v>
      </c>
      <c r="BA14" s="415">
        <f>FR!BH129</f>
        <v>0</v>
      </c>
      <c r="BB14" s="415">
        <f>FR!BI129</f>
        <v>-5.9999999999999942E-2</v>
      </c>
      <c r="BC14" s="415">
        <f>FR!BJ129</f>
        <v>-1.0599999999999998</v>
      </c>
      <c r="BD14" s="509">
        <f>FR!BK129</f>
        <v>-1.1199999999999999</v>
      </c>
      <c r="BE14" s="510">
        <f>FR!BL129</f>
        <v>361394144</v>
      </c>
      <c r="BF14" s="414">
        <f>FR!BM129</f>
        <v>262916160</v>
      </c>
      <c r="BG14" s="414">
        <f>FR!BN129</f>
        <v>222295868</v>
      </c>
      <c r="BH14" s="414">
        <f>FR!BO129</f>
        <v>40620292</v>
      </c>
      <c r="BI14" s="414">
        <f>FR!BP129</f>
        <v>2405230</v>
      </c>
      <c r="BJ14" s="414">
        <f>FR!BQ129</f>
        <v>1397497</v>
      </c>
      <c r="BK14" s="414">
        <f>FR!BR129</f>
        <v>1007733</v>
      </c>
      <c r="BL14" s="414">
        <f>FR!BS129</f>
        <v>89652405</v>
      </c>
      <c r="BM14" s="414">
        <f>FR!BT129</f>
        <v>2629165</v>
      </c>
      <c r="BN14" s="414">
        <f>FR!BU129</f>
        <v>3791184</v>
      </c>
      <c r="BO14" s="415">
        <f>FR!BV129</f>
        <v>509.13529999999997</v>
      </c>
      <c r="BP14" s="415">
        <f>FR!BW129</f>
        <v>382.61450000000002</v>
      </c>
      <c r="BQ14" s="422">
        <f>FR!BX129</f>
        <v>126.52079999999999</v>
      </c>
      <c r="BR14" s="419">
        <f>FR!BY129</f>
        <v>1900680</v>
      </c>
      <c r="BS14" s="414">
        <f>FR!BZ129</f>
        <v>1410000</v>
      </c>
      <c r="BT14" s="414">
        <f>FR!CA129</f>
        <v>0</v>
      </c>
      <c r="BU14" s="414">
        <f>FR!CB129</f>
        <v>476580</v>
      </c>
      <c r="BV14" s="414">
        <f>FR!CC129</f>
        <v>14100</v>
      </c>
      <c r="BW14" s="509">
        <f>FR!CD129</f>
        <v>2.5</v>
      </c>
      <c r="BX14" s="510">
        <f>FR!CE129</f>
        <v>10364783</v>
      </c>
      <c r="BY14" s="414">
        <f>FR!CF129</f>
        <v>7062142</v>
      </c>
      <c r="BZ14" s="414">
        <f>FR!CG129</f>
        <v>2387004</v>
      </c>
      <c r="CA14" s="414">
        <f>FR!CH129</f>
        <v>70621</v>
      </c>
      <c r="CB14" s="414">
        <f>FR!CI129</f>
        <v>845016</v>
      </c>
      <c r="CC14" s="509">
        <f>FR!CJ129</f>
        <v>22.116399999999999</v>
      </c>
      <c r="CE14" s="15"/>
      <c r="CG14" s="8"/>
      <c r="CI14" s="15"/>
    </row>
    <row r="15" spans="1:87" s="3" customFormat="1">
      <c r="A15" s="177" t="s">
        <v>248</v>
      </c>
      <c r="B15" s="419">
        <f>JN!I196</f>
        <v>717354361</v>
      </c>
      <c r="C15" s="414">
        <f>JN!J196</f>
        <v>524676920</v>
      </c>
      <c r="D15" s="414">
        <f>JN!K196</f>
        <v>438424470</v>
      </c>
      <c r="E15" s="414">
        <f>JN!L196</f>
        <v>86252450</v>
      </c>
      <c r="F15" s="414">
        <f>JN!M196</f>
        <v>1784244</v>
      </c>
      <c r="G15" s="414">
        <f>JN!N196</f>
        <v>1403944</v>
      </c>
      <c r="H15" s="414">
        <f>JN!O196</f>
        <v>380300</v>
      </c>
      <c r="I15" s="414">
        <f>JN!P196</f>
        <v>177826269</v>
      </c>
      <c r="J15" s="414">
        <f>JN!Q196</f>
        <v>5246769</v>
      </c>
      <c r="K15" s="414">
        <f>JN!R196</f>
        <v>7820159</v>
      </c>
      <c r="L15" s="415">
        <f>JN!S196</f>
        <v>992.93939999999998</v>
      </c>
      <c r="M15" s="415">
        <f>JN!T196</f>
        <v>727.60649999999998</v>
      </c>
      <c r="N15" s="509">
        <f>JN!U196</f>
        <v>265.3329</v>
      </c>
      <c r="O15" s="510">
        <f>JN!V196</f>
        <v>-15590</v>
      </c>
      <c r="P15" s="414">
        <f>JN!W196</f>
        <v>-145880</v>
      </c>
      <c r="Q15" s="414">
        <f>JN!X196</f>
        <v>637814</v>
      </c>
      <c r="R15" s="414">
        <f>JN!Y196</f>
        <v>307168</v>
      </c>
      <c r="S15" s="414">
        <f>JN!Z196</f>
        <v>1005388</v>
      </c>
      <c r="T15" s="414">
        <f>JN!AA196</f>
        <v>-227473</v>
      </c>
      <c r="U15" s="414">
        <f>JN!AB196</f>
        <v>0</v>
      </c>
      <c r="V15" s="414">
        <f>JN!AC196</f>
        <v>0</v>
      </c>
      <c r="W15" s="414">
        <f>JN!AD196</f>
        <v>0</v>
      </c>
      <c r="X15" s="414">
        <f>JN!AE196</f>
        <v>1934780</v>
      </c>
      <c r="Y15" s="414">
        <f>JN!AF196</f>
        <v>-373353</v>
      </c>
      <c r="Z15" s="414">
        <f>JN!AG196</f>
        <v>1561427</v>
      </c>
      <c r="AA15" s="414">
        <f>JN!AH196</f>
        <v>15590</v>
      </c>
      <c r="AB15" s="414">
        <f>JN!AI196</f>
        <v>112070</v>
      </c>
      <c r="AC15" s="414">
        <f>JN!AJ196</f>
        <v>0</v>
      </c>
      <c r="AD15" s="414">
        <f>JN!AK196</f>
        <v>-220730</v>
      </c>
      <c r="AE15" s="414">
        <f>JN!AL196</f>
        <v>33810</v>
      </c>
      <c r="AF15" s="414">
        <f>JN!AM196</f>
        <v>-205140</v>
      </c>
      <c r="AG15" s="414">
        <f>JN!AN196</f>
        <v>145880</v>
      </c>
      <c r="AH15" s="414">
        <f>JN!AO196</f>
        <v>-59260</v>
      </c>
      <c r="AI15" s="414">
        <f>JN!AP196</f>
        <v>1729640</v>
      </c>
      <c r="AJ15" s="414">
        <f>JN!AQ196</f>
        <v>-227473</v>
      </c>
      <c r="AK15" s="414">
        <f>JN!AR196</f>
        <v>1502167</v>
      </c>
      <c r="AL15" s="414">
        <f>JN!AS196</f>
        <v>570910</v>
      </c>
      <c r="AM15" s="414">
        <f>JN!AT196</f>
        <v>15620</v>
      </c>
      <c r="AN15" s="414">
        <f>JN!AU196</f>
        <v>6500</v>
      </c>
      <c r="AO15" s="414">
        <f>JN!AV196</f>
        <v>0</v>
      </c>
      <c r="AP15" s="414">
        <f>JN!AW196</f>
        <v>0</v>
      </c>
      <c r="AQ15" s="414">
        <f>JN!AX196</f>
        <v>6500</v>
      </c>
      <c r="AR15" s="414">
        <f>JN!AY196</f>
        <v>2095197</v>
      </c>
      <c r="AS15" s="415">
        <f>JN!AZ196</f>
        <v>-0.26999999999999996</v>
      </c>
      <c r="AT15" s="415">
        <f>JN!BA196</f>
        <v>-0.32</v>
      </c>
      <c r="AU15" s="415">
        <f>JN!BB196</f>
        <v>1.7000000000000002</v>
      </c>
      <c r="AV15" s="415">
        <f>JN!BC196</f>
        <v>2.1200000000000006</v>
      </c>
      <c r="AW15" s="415">
        <f>JN!BD196</f>
        <v>-0.55999999999999983</v>
      </c>
      <c r="AX15" s="415">
        <f>JN!BE196</f>
        <v>0.45000000000000007</v>
      </c>
      <c r="AY15" s="415">
        <f>JN!BF196</f>
        <v>0</v>
      </c>
      <c r="AZ15" s="415">
        <f>JN!BG196</f>
        <v>0</v>
      </c>
      <c r="BA15" s="415">
        <f>JN!BH196</f>
        <v>0</v>
      </c>
      <c r="BB15" s="415">
        <f>JN!BI196</f>
        <v>3.9999999999999996</v>
      </c>
      <c r="BC15" s="415">
        <f>JN!BJ196</f>
        <v>-0.88000000000000012</v>
      </c>
      <c r="BD15" s="509">
        <f>JN!BK196</f>
        <v>3.12</v>
      </c>
      <c r="BE15" s="510">
        <f>JN!BL196</f>
        <v>719449558</v>
      </c>
      <c r="BF15" s="414">
        <f>JN!BM196</f>
        <v>526238347</v>
      </c>
      <c r="BG15" s="414">
        <f>JN!BN196</f>
        <v>440359250</v>
      </c>
      <c r="BH15" s="414">
        <f>JN!BO196</f>
        <v>85879097</v>
      </c>
      <c r="BI15" s="414">
        <f>JN!BP196</f>
        <v>1724984</v>
      </c>
      <c r="BJ15" s="414">
        <f>JN!BQ196</f>
        <v>1198804</v>
      </c>
      <c r="BK15" s="414">
        <f>JN!BR196</f>
        <v>526180</v>
      </c>
      <c r="BL15" s="414">
        <f>JN!BS196</f>
        <v>178397179</v>
      </c>
      <c r="BM15" s="414">
        <f>JN!BT196</f>
        <v>5262389</v>
      </c>
      <c r="BN15" s="414">
        <f>JN!BU196</f>
        <v>7826659</v>
      </c>
      <c r="BO15" s="415">
        <f>JN!BV196</f>
        <v>996.05939999999987</v>
      </c>
      <c r="BP15" s="415">
        <f>JN!BW196</f>
        <v>731.6065000000001</v>
      </c>
      <c r="BQ15" s="422">
        <f>JN!BX196</f>
        <v>264.4529</v>
      </c>
      <c r="BR15" s="419">
        <f>JN!BY196</f>
        <v>3327292</v>
      </c>
      <c r="BS15" s="414">
        <f>JN!BZ196</f>
        <v>1974000</v>
      </c>
      <c r="BT15" s="414">
        <f>JN!CA196</f>
        <v>498012</v>
      </c>
      <c r="BU15" s="414">
        <f>JN!CB196</f>
        <v>835540</v>
      </c>
      <c r="BV15" s="414">
        <f>JN!CC196</f>
        <v>19740</v>
      </c>
      <c r="BW15" s="509">
        <f>JN!CD196</f>
        <v>3.5</v>
      </c>
      <c r="BX15" s="510">
        <f>JN!CE196</f>
        <v>21079153</v>
      </c>
      <c r="BY15" s="414">
        <f>JN!CF196</f>
        <v>14323493</v>
      </c>
      <c r="BZ15" s="414">
        <f>JN!CG196</f>
        <v>4841337</v>
      </c>
      <c r="CA15" s="414">
        <f>JN!CH196</f>
        <v>143237</v>
      </c>
      <c r="CB15" s="414">
        <f>JN!CI196</f>
        <v>1771086</v>
      </c>
      <c r="CC15" s="509">
        <f>JN!CJ196</f>
        <v>44.782299999999992</v>
      </c>
      <c r="CE15" s="15"/>
      <c r="CF15" s="15"/>
      <c r="CG15" s="8"/>
      <c r="CH15" s="15"/>
      <c r="CI15" s="15"/>
    </row>
    <row r="16" spans="1:87">
      <c r="A16" s="177" t="s">
        <v>249</v>
      </c>
      <c r="B16" s="419">
        <f>TA!I100</f>
        <v>287108082</v>
      </c>
      <c r="C16" s="414">
        <f>TA!J100</f>
        <v>209402969</v>
      </c>
      <c r="D16" s="414">
        <f>TA!K100</f>
        <v>179163149</v>
      </c>
      <c r="E16" s="414">
        <f>TA!L100</f>
        <v>30239820</v>
      </c>
      <c r="F16" s="414">
        <f>TA!M100</f>
        <v>1321905</v>
      </c>
      <c r="G16" s="414">
        <f>TA!N100</f>
        <v>760640</v>
      </c>
      <c r="H16" s="414">
        <f>TA!O100</f>
        <v>561265</v>
      </c>
      <c r="I16" s="414">
        <f>TA!P100</f>
        <v>71225006</v>
      </c>
      <c r="J16" s="414">
        <f>TA!Q100</f>
        <v>2094033</v>
      </c>
      <c r="K16" s="414">
        <f>TA!R100</f>
        <v>3064169</v>
      </c>
      <c r="L16" s="415">
        <f>TA!S100</f>
        <v>405.9507000000001</v>
      </c>
      <c r="M16" s="415">
        <f>TA!T100</f>
        <v>314.12440000000004</v>
      </c>
      <c r="N16" s="509">
        <f>TA!U100</f>
        <v>91.826299999999989</v>
      </c>
      <c r="O16" s="510">
        <f>TA!V100</f>
        <v>20600</v>
      </c>
      <c r="P16" s="414">
        <f>TA!W100</f>
        <v>-289015</v>
      </c>
      <c r="Q16" s="414">
        <f>TA!X100</f>
        <v>107623</v>
      </c>
      <c r="R16" s="414">
        <f>TA!Y100</f>
        <v>39720</v>
      </c>
      <c r="S16" s="414">
        <f>TA!Z100</f>
        <v>-235736</v>
      </c>
      <c r="T16" s="414">
        <f>TA!AA100</f>
        <v>-181343</v>
      </c>
      <c r="U16" s="414">
        <f>TA!AB100</f>
        <v>0</v>
      </c>
      <c r="V16" s="414">
        <f>TA!AC100</f>
        <v>0</v>
      </c>
      <c r="W16" s="414">
        <f>TA!AD100</f>
        <v>0</v>
      </c>
      <c r="X16" s="414">
        <f>TA!AE100</f>
        <v>-67793</v>
      </c>
      <c r="Y16" s="414">
        <f>TA!AF100</f>
        <v>-470358</v>
      </c>
      <c r="Z16" s="414">
        <f>TA!AG100</f>
        <v>-538151</v>
      </c>
      <c r="AA16" s="414">
        <f>TA!AH100</f>
        <v>-20600</v>
      </c>
      <c r="AB16" s="414">
        <f>TA!AI100</f>
        <v>289015</v>
      </c>
      <c r="AC16" s="414">
        <f>TA!AJ100</f>
        <v>0</v>
      </c>
      <c r="AD16" s="414">
        <f>TA!AK100</f>
        <v>0</v>
      </c>
      <c r="AE16" s="414">
        <f>TA!AL100</f>
        <v>0</v>
      </c>
      <c r="AF16" s="414">
        <f>TA!AM100</f>
        <v>-20600</v>
      </c>
      <c r="AG16" s="414">
        <f>TA!AN100</f>
        <v>289015</v>
      </c>
      <c r="AH16" s="414">
        <f>TA!AO100</f>
        <v>268415</v>
      </c>
      <c r="AI16" s="414">
        <f>TA!AP100</f>
        <v>-88393</v>
      </c>
      <c r="AJ16" s="414">
        <f>TA!AQ100</f>
        <v>-181343</v>
      </c>
      <c r="AK16" s="414">
        <f>TA!AR100</f>
        <v>-269736</v>
      </c>
      <c r="AL16" s="414">
        <f>TA!AS100</f>
        <v>-91170</v>
      </c>
      <c r="AM16" s="414">
        <f>TA!AT100</f>
        <v>-5382</v>
      </c>
      <c r="AN16" s="414">
        <f>TA!AU100</f>
        <v>6500</v>
      </c>
      <c r="AO16" s="414">
        <f>TA!AV100</f>
        <v>0</v>
      </c>
      <c r="AP16" s="414">
        <f>TA!AW100</f>
        <v>0</v>
      </c>
      <c r="AQ16" s="414">
        <f>TA!AX100</f>
        <v>6500</v>
      </c>
      <c r="AR16" s="414">
        <f>TA!AY100</f>
        <v>-359788</v>
      </c>
      <c r="AS16" s="415">
        <f>TA!AZ100</f>
        <v>-0.1</v>
      </c>
      <c r="AT16" s="415">
        <f>TA!BA100</f>
        <v>-0.39</v>
      </c>
      <c r="AU16" s="415">
        <f>TA!BB100</f>
        <v>0.3</v>
      </c>
      <c r="AV16" s="415">
        <f>TA!BC100</f>
        <v>-0.40999999999999992</v>
      </c>
      <c r="AW16" s="415">
        <f>TA!BD100</f>
        <v>-0.53</v>
      </c>
      <c r="AX16" s="415">
        <f>TA!BE100</f>
        <v>0.05</v>
      </c>
      <c r="AY16" s="415">
        <f>TA!BF100</f>
        <v>0</v>
      </c>
      <c r="AZ16" s="415">
        <f>TA!BG100</f>
        <v>0</v>
      </c>
      <c r="BA16" s="415">
        <f>TA!BH100</f>
        <v>0</v>
      </c>
      <c r="BB16" s="415">
        <f>TA!BI100</f>
        <v>-0.15999999999999992</v>
      </c>
      <c r="BC16" s="415">
        <f>TA!BJ100</f>
        <v>-0.92</v>
      </c>
      <c r="BD16" s="509">
        <f>TA!BK100</f>
        <v>-1.08</v>
      </c>
      <c r="BE16" s="510">
        <f>TA!BL100</f>
        <v>286748294</v>
      </c>
      <c r="BF16" s="414">
        <f>TA!BM100</f>
        <v>208864818</v>
      </c>
      <c r="BG16" s="414">
        <f>TA!BN100</f>
        <v>179095356</v>
      </c>
      <c r="BH16" s="414">
        <f>TA!BO100</f>
        <v>29769462</v>
      </c>
      <c r="BI16" s="414">
        <f>TA!BP100</f>
        <v>1590320</v>
      </c>
      <c r="BJ16" s="414">
        <f>TA!BQ100</f>
        <v>740040</v>
      </c>
      <c r="BK16" s="414">
        <f>TA!BR100</f>
        <v>850280</v>
      </c>
      <c r="BL16" s="414">
        <f>TA!BS100</f>
        <v>71133836</v>
      </c>
      <c r="BM16" s="414">
        <f>TA!BT100</f>
        <v>2088651</v>
      </c>
      <c r="BN16" s="414">
        <f>TA!BU100</f>
        <v>3070669</v>
      </c>
      <c r="BO16" s="415">
        <f>TA!BV100</f>
        <v>404.87069999999989</v>
      </c>
      <c r="BP16" s="415">
        <f>TA!BW100</f>
        <v>313.96440000000001</v>
      </c>
      <c r="BQ16" s="422">
        <f>TA!BX100</f>
        <v>90.906300000000002</v>
      </c>
      <c r="BR16" s="419">
        <f>TA!BY100</f>
        <v>1899552</v>
      </c>
      <c r="BS16" s="414">
        <f>TA!BZ100</f>
        <v>1297200</v>
      </c>
      <c r="BT16" s="414">
        <f>TA!CA100</f>
        <v>112800</v>
      </c>
      <c r="BU16" s="414">
        <f>TA!CB100</f>
        <v>476580</v>
      </c>
      <c r="BV16" s="414">
        <f>TA!CC100</f>
        <v>12972</v>
      </c>
      <c r="BW16" s="509">
        <f>TA!CD100</f>
        <v>2.2999999999999998</v>
      </c>
      <c r="BX16" s="510">
        <f>TA!CE100</f>
        <v>8558495</v>
      </c>
      <c r="BY16" s="414">
        <f>TA!CF100</f>
        <v>5828515</v>
      </c>
      <c r="BZ16" s="414">
        <f>TA!CG100</f>
        <v>1970037</v>
      </c>
      <c r="CA16" s="414">
        <f>TA!CH100</f>
        <v>58287</v>
      </c>
      <c r="CB16" s="414">
        <f>TA!CI100</f>
        <v>701656</v>
      </c>
      <c r="CC16" s="509">
        <f>TA!CJ100</f>
        <v>17.690100000000001</v>
      </c>
      <c r="CE16" s="15"/>
      <c r="CG16" s="8"/>
      <c r="CI16" s="15"/>
    </row>
    <row r="17" spans="1:87">
      <c r="A17" s="177" t="s">
        <v>250</v>
      </c>
      <c r="B17" s="419">
        <f>ŽB!I74</f>
        <v>163008023</v>
      </c>
      <c r="C17" s="414">
        <f>ŽB!J74</f>
        <v>118944131</v>
      </c>
      <c r="D17" s="414">
        <f>ŽB!K74</f>
        <v>99066423</v>
      </c>
      <c r="E17" s="414">
        <f>ŽB!L74</f>
        <v>19877708</v>
      </c>
      <c r="F17" s="414">
        <f>ŽB!M74</f>
        <v>714120</v>
      </c>
      <c r="G17" s="414">
        <f>ŽB!N74</f>
        <v>405520</v>
      </c>
      <c r="H17" s="414">
        <f>ŽB!O74</f>
        <v>308600</v>
      </c>
      <c r="I17" s="414">
        <f>ŽB!P74</f>
        <v>40444485</v>
      </c>
      <c r="J17" s="414">
        <f>ŽB!Q74</f>
        <v>1189446</v>
      </c>
      <c r="K17" s="414">
        <f>ŽB!R74</f>
        <v>1715841</v>
      </c>
      <c r="L17" s="415">
        <f>ŽB!S74</f>
        <v>223.2747</v>
      </c>
      <c r="M17" s="415">
        <f>ŽB!T74</f>
        <v>162.9898</v>
      </c>
      <c r="N17" s="509">
        <f>ŽB!U74</f>
        <v>60.284899999999993</v>
      </c>
      <c r="O17" s="510">
        <f>ŽB!V74</f>
        <v>-650</v>
      </c>
      <c r="P17" s="414">
        <f>ŽB!W74</f>
        <v>-369650</v>
      </c>
      <c r="Q17" s="414">
        <f>ŽB!X74</f>
        <v>180249</v>
      </c>
      <c r="R17" s="414">
        <f>ŽB!Y74</f>
        <v>0</v>
      </c>
      <c r="S17" s="414">
        <f>ŽB!Z74</f>
        <v>-75627</v>
      </c>
      <c r="T17" s="414">
        <f>ŽB!AA74</f>
        <v>-58958</v>
      </c>
      <c r="U17" s="414">
        <f>ŽB!AB74</f>
        <v>0</v>
      </c>
      <c r="V17" s="414">
        <f>ŽB!AC74</f>
        <v>0</v>
      </c>
      <c r="W17" s="414">
        <f>ŽB!AD74</f>
        <v>0</v>
      </c>
      <c r="X17" s="414">
        <f>ŽB!AE74</f>
        <v>103972</v>
      </c>
      <c r="Y17" s="414">
        <f>ŽB!AF74</f>
        <v>-412905</v>
      </c>
      <c r="Z17" s="414">
        <f>ŽB!AG74</f>
        <v>-308933</v>
      </c>
      <c r="AA17" s="414">
        <f>ŽB!AH74</f>
        <v>650</v>
      </c>
      <c r="AB17" s="414">
        <f>ŽB!AI74</f>
        <v>369650</v>
      </c>
      <c r="AC17" s="414">
        <f>ŽB!AJ74</f>
        <v>0</v>
      </c>
      <c r="AD17" s="414">
        <f>ŽB!AK74</f>
        <v>0</v>
      </c>
      <c r="AE17" s="414">
        <f>ŽB!AL74</f>
        <v>0</v>
      </c>
      <c r="AF17" s="414">
        <f>ŽB!AM74</f>
        <v>650</v>
      </c>
      <c r="AG17" s="414">
        <f>ŽB!AN74</f>
        <v>369650</v>
      </c>
      <c r="AH17" s="414">
        <f>ŽB!AO74</f>
        <v>370300</v>
      </c>
      <c r="AI17" s="414">
        <f>ŽB!AP74</f>
        <v>104622</v>
      </c>
      <c r="AJ17" s="414">
        <f>ŽB!AQ74</f>
        <v>-43255</v>
      </c>
      <c r="AK17" s="414">
        <f>ŽB!AR74</f>
        <v>61367</v>
      </c>
      <c r="AL17" s="414">
        <f>ŽB!AS74</f>
        <v>20743</v>
      </c>
      <c r="AM17" s="414">
        <f>ŽB!AT74</f>
        <v>-3090</v>
      </c>
      <c r="AN17" s="414">
        <f>ŽB!AU74</f>
        <v>0</v>
      </c>
      <c r="AO17" s="414">
        <f>ŽB!AV74</f>
        <v>0</v>
      </c>
      <c r="AP17" s="414">
        <f>ŽB!AW74</f>
        <v>0</v>
      </c>
      <c r="AQ17" s="414">
        <f>ŽB!AX74</f>
        <v>0</v>
      </c>
      <c r="AR17" s="414">
        <f>ŽB!AY74</f>
        <v>79020</v>
      </c>
      <c r="AS17" s="415">
        <f>ŽB!AZ74</f>
        <v>2.3E-2</v>
      </c>
      <c r="AT17" s="415">
        <f>ŽB!BA74</f>
        <v>-1.0499999999999998</v>
      </c>
      <c r="AU17" s="415">
        <f>ŽB!BB74</f>
        <v>0.5</v>
      </c>
      <c r="AV17" s="415">
        <f>ŽB!BC74</f>
        <v>-9.9999999999999978E-2</v>
      </c>
      <c r="AW17" s="415">
        <f>ŽB!BD74</f>
        <v>-0.16</v>
      </c>
      <c r="AX17" s="415">
        <f>ŽB!BE74</f>
        <v>0</v>
      </c>
      <c r="AY17" s="415">
        <f>ŽB!BF74</f>
        <v>0</v>
      </c>
      <c r="AZ17" s="415">
        <f>ŽB!BG74</f>
        <v>0</v>
      </c>
      <c r="BA17" s="415">
        <f>ŽB!BH74</f>
        <v>0</v>
      </c>
      <c r="BB17" s="415">
        <f>ŽB!BI74</f>
        <v>0.42300000000000004</v>
      </c>
      <c r="BC17" s="415">
        <f>ŽB!BJ74</f>
        <v>-1.21</v>
      </c>
      <c r="BD17" s="509">
        <f>ŽB!BK74</f>
        <v>-0.7869999999999997</v>
      </c>
      <c r="BE17" s="510">
        <f>ŽB!BL74</f>
        <v>163087043</v>
      </c>
      <c r="BF17" s="414">
        <f>ŽB!BM74</f>
        <v>118635198</v>
      </c>
      <c r="BG17" s="414">
        <f>ŽB!BN74</f>
        <v>99170395</v>
      </c>
      <c r="BH17" s="414">
        <f>ŽB!BO74</f>
        <v>19464803</v>
      </c>
      <c r="BI17" s="414">
        <f>ŽB!BP74</f>
        <v>1084420</v>
      </c>
      <c r="BJ17" s="414">
        <f>ŽB!BQ74</f>
        <v>406170</v>
      </c>
      <c r="BK17" s="414">
        <f>ŽB!BR74</f>
        <v>678250</v>
      </c>
      <c r="BL17" s="414">
        <f>ŽB!BS74</f>
        <v>40465228</v>
      </c>
      <c r="BM17" s="414">
        <f>ŽB!BT74</f>
        <v>1186356</v>
      </c>
      <c r="BN17" s="414">
        <f>ŽB!BU74</f>
        <v>1715841</v>
      </c>
      <c r="BO17" s="415">
        <f>ŽB!BV74</f>
        <v>222.48770000000005</v>
      </c>
      <c r="BP17" s="415">
        <f>ŽB!BW74</f>
        <v>163.4128</v>
      </c>
      <c r="BQ17" s="422">
        <f>ŽB!BX74</f>
        <v>59.0749</v>
      </c>
      <c r="BR17" s="419">
        <f>ŽB!BY74</f>
        <v>380136</v>
      </c>
      <c r="BS17" s="414">
        <f>ŽB!BZ74</f>
        <v>282000</v>
      </c>
      <c r="BT17" s="414">
        <f>ŽB!CA74</f>
        <v>0</v>
      </c>
      <c r="BU17" s="414">
        <f>ŽB!CB74</f>
        <v>95316</v>
      </c>
      <c r="BV17" s="414">
        <f>ŽB!CC74</f>
        <v>2820</v>
      </c>
      <c r="BW17" s="509">
        <f>ŽB!CD74</f>
        <v>0.5</v>
      </c>
      <c r="BX17" s="510">
        <f>ŽB!CE74</f>
        <v>4862427</v>
      </c>
      <c r="BY17" s="414">
        <f>ŽB!CF74</f>
        <v>3318478</v>
      </c>
      <c r="BZ17" s="414">
        <f>ŽB!CG74</f>
        <v>1121643</v>
      </c>
      <c r="CA17" s="414">
        <f>ŽB!CH74</f>
        <v>33187</v>
      </c>
      <c r="CB17" s="414">
        <f>ŽB!CI74</f>
        <v>389119</v>
      </c>
      <c r="CC17" s="509">
        <f>ŽB!CJ74</f>
        <v>10.0548</v>
      </c>
      <c r="CE17" s="15"/>
      <c r="CG17" s="8"/>
      <c r="CI17" s="15"/>
    </row>
    <row r="18" spans="1:87" s="3" customFormat="1">
      <c r="A18" s="177" t="s">
        <v>251</v>
      </c>
      <c r="B18" s="419">
        <f>ČL!I294</f>
        <v>1100001890</v>
      </c>
      <c r="C18" s="414">
        <f>ČL!J294</f>
        <v>803453211</v>
      </c>
      <c r="D18" s="414">
        <f>ČL!K294</f>
        <v>680860865</v>
      </c>
      <c r="E18" s="414">
        <f>ČL!L294</f>
        <v>122592346</v>
      </c>
      <c r="F18" s="414">
        <f>ČL!M294</f>
        <v>4079440</v>
      </c>
      <c r="G18" s="414">
        <f>ČL!N294</f>
        <v>2858740</v>
      </c>
      <c r="H18" s="414">
        <f>ČL!O294</f>
        <v>1220700</v>
      </c>
      <c r="I18" s="414">
        <f>ČL!P294</f>
        <v>272946034</v>
      </c>
      <c r="J18" s="414">
        <f>ČL!Q294</f>
        <v>8034533</v>
      </c>
      <c r="K18" s="414">
        <f>ČL!R294</f>
        <v>11488672</v>
      </c>
      <c r="L18" s="415">
        <f>ČL!S294</f>
        <v>1514.5049000000008</v>
      </c>
      <c r="M18" s="415">
        <f>ČL!T294</f>
        <v>1137.8429000000003</v>
      </c>
      <c r="N18" s="509">
        <f>ČL!U294</f>
        <v>376.66199999999998</v>
      </c>
      <c r="O18" s="510">
        <f>ČL!V294</f>
        <v>206807</v>
      </c>
      <c r="P18" s="414">
        <f>ČL!W294</f>
        <v>-664050</v>
      </c>
      <c r="Q18" s="414">
        <f>ČL!X294</f>
        <v>111976</v>
      </c>
      <c r="R18" s="414">
        <f>ČL!Y294</f>
        <v>544164</v>
      </c>
      <c r="S18" s="414">
        <f>ČL!Z294</f>
        <v>1806</v>
      </c>
      <c r="T18" s="414">
        <f>ČL!AA294</f>
        <v>-285439</v>
      </c>
      <c r="U18" s="414">
        <f>ČL!AB294</f>
        <v>0</v>
      </c>
      <c r="V18" s="414">
        <f>ČL!AC294</f>
        <v>0</v>
      </c>
      <c r="W18" s="414">
        <f>ČL!AD294</f>
        <v>0</v>
      </c>
      <c r="X18" s="414">
        <f>ČL!AE294</f>
        <v>864753</v>
      </c>
      <c r="Y18" s="414">
        <f>ČL!AF294</f>
        <v>-949489</v>
      </c>
      <c r="Z18" s="414">
        <f>ČL!AG294</f>
        <v>-84736</v>
      </c>
      <c r="AA18" s="414">
        <f>ČL!AH294</f>
        <v>-356220</v>
      </c>
      <c r="AB18" s="414">
        <f>ČL!AI294</f>
        <v>664050</v>
      </c>
      <c r="AC18" s="414">
        <f>ČL!AJ294</f>
        <v>0</v>
      </c>
      <c r="AD18" s="414">
        <f>ČL!AK294</f>
        <v>149413</v>
      </c>
      <c r="AE18" s="414">
        <f>ČL!AL294</f>
        <v>0</v>
      </c>
      <c r="AF18" s="414">
        <f>ČL!AM294</f>
        <v>-206807</v>
      </c>
      <c r="AG18" s="414">
        <f>ČL!AN294</f>
        <v>664050</v>
      </c>
      <c r="AH18" s="414">
        <f>ČL!AO294</f>
        <v>457243</v>
      </c>
      <c r="AI18" s="414">
        <f>ČL!AP294</f>
        <v>657946</v>
      </c>
      <c r="AJ18" s="414">
        <f>ČL!AQ294</f>
        <v>-285439</v>
      </c>
      <c r="AK18" s="414">
        <f>ČL!AR294</f>
        <v>372507</v>
      </c>
      <c r="AL18" s="414">
        <f>ČL!AS294</f>
        <v>75404</v>
      </c>
      <c r="AM18" s="414">
        <f>ČL!AT294</f>
        <v>-847</v>
      </c>
      <c r="AN18" s="414">
        <f>ČL!AU294</f>
        <v>79500</v>
      </c>
      <c r="AO18" s="414">
        <f>ČL!AV294</f>
        <v>0</v>
      </c>
      <c r="AP18" s="414">
        <f>ČL!AW294</f>
        <v>0</v>
      </c>
      <c r="AQ18" s="414">
        <f>ČL!AX294</f>
        <v>79500</v>
      </c>
      <c r="AR18" s="414">
        <f>ČL!AY294</f>
        <v>526564</v>
      </c>
      <c r="AS18" s="415">
        <f>ČL!AZ294</f>
        <v>0.33000000000000007</v>
      </c>
      <c r="AT18" s="415">
        <f>ČL!BA294</f>
        <v>-0.6100000000000001</v>
      </c>
      <c r="AU18" s="415">
        <f>ČL!BB294</f>
        <v>0.3500000000000002</v>
      </c>
      <c r="AV18" s="415">
        <f>ČL!BC294</f>
        <v>0.21000000000000016</v>
      </c>
      <c r="AW18" s="415">
        <f>ČL!BD294</f>
        <v>-0.85999999999999988</v>
      </c>
      <c r="AX18" s="415">
        <f>ČL!BE294</f>
        <v>0.78</v>
      </c>
      <c r="AY18" s="415">
        <f>ČL!BF294</f>
        <v>0</v>
      </c>
      <c r="AZ18" s="415">
        <f>ČL!BG294</f>
        <v>0</v>
      </c>
      <c r="BA18" s="415">
        <f>ČL!BH294</f>
        <v>0</v>
      </c>
      <c r="BB18" s="415">
        <f>ČL!BI294</f>
        <v>1.6699999999999997</v>
      </c>
      <c r="BC18" s="415">
        <f>ČL!BJ294</f>
        <v>-1.4700000000000006</v>
      </c>
      <c r="BD18" s="509">
        <f>ČL!BK294</f>
        <v>0.20000000000000018</v>
      </c>
      <c r="BE18" s="510">
        <f>ČL!BL294</f>
        <v>1100528454</v>
      </c>
      <c r="BF18" s="414">
        <f>ČL!BM294</f>
        <v>803368475</v>
      </c>
      <c r="BG18" s="414">
        <f>ČL!BN294</f>
        <v>681725618</v>
      </c>
      <c r="BH18" s="414">
        <f>ČL!BO294</f>
        <v>121642857</v>
      </c>
      <c r="BI18" s="414">
        <f>ČL!BP294</f>
        <v>4536683</v>
      </c>
      <c r="BJ18" s="414">
        <f>ČL!BQ294</f>
        <v>2651933</v>
      </c>
      <c r="BK18" s="414">
        <f>ČL!BR294</f>
        <v>1884750</v>
      </c>
      <c r="BL18" s="414">
        <f>ČL!BS294</f>
        <v>273021438</v>
      </c>
      <c r="BM18" s="414">
        <f>ČL!BT294</f>
        <v>8033686</v>
      </c>
      <c r="BN18" s="414">
        <f>ČL!BU294</f>
        <v>11568172</v>
      </c>
      <c r="BO18" s="415">
        <f>ČL!BV294</f>
        <v>1514.7049000000002</v>
      </c>
      <c r="BP18" s="415">
        <f>ČL!BW294</f>
        <v>1139.5129000000004</v>
      </c>
      <c r="BQ18" s="422">
        <f>ČL!BX294</f>
        <v>375.19199999999995</v>
      </c>
      <c r="BR18" s="419">
        <f>ČL!BY294</f>
        <v>2051606</v>
      </c>
      <c r="BS18" s="414">
        <f>ČL!BZ294</f>
        <v>1410000</v>
      </c>
      <c r="BT18" s="414">
        <f>ČL!CA294</f>
        <v>112800</v>
      </c>
      <c r="BU18" s="414">
        <f>ČL!CB294</f>
        <v>514706</v>
      </c>
      <c r="BV18" s="414">
        <f>ČL!CC294</f>
        <v>14100</v>
      </c>
      <c r="BW18" s="509">
        <f>ČL!CD294</f>
        <v>2.5</v>
      </c>
      <c r="BX18" s="510">
        <f>ČL!CE294</f>
        <v>31223124</v>
      </c>
      <c r="BY18" s="414">
        <f>ČL!CF294</f>
        <v>21204784</v>
      </c>
      <c r="BZ18" s="414">
        <f>ČL!CG294</f>
        <v>7167209</v>
      </c>
      <c r="CA18" s="414">
        <f>ČL!CH294</f>
        <v>212051</v>
      </c>
      <c r="CB18" s="414">
        <f>ČL!CI294</f>
        <v>2639080</v>
      </c>
      <c r="CC18" s="509">
        <f>ČL!CJ294</f>
        <v>66.017600000000002</v>
      </c>
      <c r="CE18" s="15"/>
      <c r="CF18" s="15"/>
      <c r="CG18" s="8"/>
      <c r="CH18" s="15"/>
      <c r="CI18" s="15"/>
    </row>
    <row r="19" spans="1:87">
      <c r="A19" s="177" t="s">
        <v>252</v>
      </c>
      <c r="B19" s="419">
        <f>NB!I124</f>
        <v>362711590</v>
      </c>
      <c r="C19" s="414">
        <f>NB!J124</f>
        <v>264824931</v>
      </c>
      <c r="D19" s="414">
        <f>NB!K124</f>
        <v>222400643</v>
      </c>
      <c r="E19" s="414">
        <f>NB!L124</f>
        <v>42424288</v>
      </c>
      <c r="F19" s="414">
        <f>NB!M124</f>
        <v>1427320</v>
      </c>
      <c r="G19" s="414">
        <f>NB!N124</f>
        <v>836040</v>
      </c>
      <c r="H19" s="414">
        <f>NB!O124</f>
        <v>591280</v>
      </c>
      <c r="I19" s="414">
        <f>NB!P124</f>
        <v>89993255</v>
      </c>
      <c r="J19" s="414">
        <f>NB!Q124</f>
        <v>2648255</v>
      </c>
      <c r="K19" s="414">
        <f>NB!R124</f>
        <v>3817829</v>
      </c>
      <c r="L19" s="415">
        <f>NB!S124</f>
        <v>502.30549999999999</v>
      </c>
      <c r="M19" s="415">
        <f>NB!T124</f>
        <v>371.7894</v>
      </c>
      <c r="N19" s="509">
        <f>NB!U124</f>
        <v>130.51609999999999</v>
      </c>
      <c r="O19" s="510">
        <f>NB!V124</f>
        <v>249482</v>
      </c>
      <c r="P19" s="414">
        <f>NB!W124</f>
        <v>-117362</v>
      </c>
      <c r="Q19" s="414">
        <f>NB!X124</f>
        <v>-380914</v>
      </c>
      <c r="R19" s="414">
        <f>NB!Y124</f>
        <v>0</v>
      </c>
      <c r="S19" s="414">
        <f>NB!Z124</f>
        <v>335526</v>
      </c>
      <c r="T19" s="414">
        <f>NB!AA124</f>
        <v>-140758</v>
      </c>
      <c r="U19" s="414">
        <f>NB!AB124</f>
        <v>0</v>
      </c>
      <c r="V19" s="414">
        <f>NB!AC124</f>
        <v>0</v>
      </c>
      <c r="W19" s="414">
        <f>NB!AD124</f>
        <v>0</v>
      </c>
      <c r="X19" s="414">
        <f>NB!AE124</f>
        <v>204094</v>
      </c>
      <c r="Y19" s="414">
        <f>NB!AF124</f>
        <v>-258120</v>
      </c>
      <c r="Z19" s="414">
        <f>NB!AG124</f>
        <v>-54026</v>
      </c>
      <c r="AA19" s="414">
        <f>NB!AH124</f>
        <v>-249482</v>
      </c>
      <c r="AB19" s="414">
        <f>NB!AI124</f>
        <v>117362</v>
      </c>
      <c r="AC19" s="414">
        <f>NB!AJ124</f>
        <v>0</v>
      </c>
      <c r="AD19" s="414">
        <f>NB!AK124</f>
        <v>113034</v>
      </c>
      <c r="AE19" s="414">
        <f>NB!AL124</f>
        <v>0</v>
      </c>
      <c r="AF19" s="414">
        <f>NB!AM124</f>
        <v>-136448</v>
      </c>
      <c r="AG19" s="414">
        <f>NB!AN124</f>
        <v>133282</v>
      </c>
      <c r="AH19" s="414">
        <f>NB!AO124</f>
        <v>-3166</v>
      </c>
      <c r="AI19" s="414">
        <f>NB!AP124</f>
        <v>67646</v>
      </c>
      <c r="AJ19" s="414">
        <f>NB!AQ124</f>
        <v>-124838</v>
      </c>
      <c r="AK19" s="414">
        <f>NB!AR124</f>
        <v>-57192</v>
      </c>
      <c r="AL19" s="414">
        <f>NB!AS124</f>
        <v>-62915</v>
      </c>
      <c r="AM19" s="414">
        <f>NB!AT124</f>
        <v>-540</v>
      </c>
      <c r="AN19" s="414">
        <f>NB!AU124</f>
        <v>12000</v>
      </c>
      <c r="AO19" s="414">
        <f>NB!AV124</f>
        <v>0</v>
      </c>
      <c r="AP19" s="414">
        <f>NB!AW124</f>
        <v>0</v>
      </c>
      <c r="AQ19" s="414">
        <f>NB!AX124</f>
        <v>12000</v>
      </c>
      <c r="AR19" s="414">
        <f>NB!AY124</f>
        <v>-108647</v>
      </c>
      <c r="AS19" s="415">
        <f>NB!AZ124</f>
        <v>-6.9999999999999979E-2</v>
      </c>
      <c r="AT19" s="415">
        <f>NB!BA124</f>
        <v>-0.25</v>
      </c>
      <c r="AU19" s="415">
        <f>NB!BB124</f>
        <v>-0.97999999999999987</v>
      </c>
      <c r="AV19" s="415">
        <f>NB!BC124</f>
        <v>0.64000000000000024</v>
      </c>
      <c r="AW19" s="415">
        <f>NB!BD124</f>
        <v>-0.42000000000000004</v>
      </c>
      <c r="AX19" s="415">
        <f>NB!BE124</f>
        <v>0</v>
      </c>
      <c r="AY19" s="415">
        <f>NB!BF124</f>
        <v>0</v>
      </c>
      <c r="AZ19" s="415">
        <f>NB!BG124</f>
        <v>0</v>
      </c>
      <c r="BA19" s="415">
        <f>NB!BH124</f>
        <v>0</v>
      </c>
      <c r="BB19" s="415">
        <f>NB!BI124</f>
        <v>-0.40999999999999992</v>
      </c>
      <c r="BC19" s="415">
        <f>NB!BJ124</f>
        <v>-0.66999999999999993</v>
      </c>
      <c r="BD19" s="509">
        <f>NB!BK124</f>
        <v>-1.0799999999999996</v>
      </c>
      <c r="BE19" s="510">
        <f>NB!BL124</f>
        <v>362602943</v>
      </c>
      <c r="BF19" s="414">
        <f>NB!BM124</f>
        <v>264770905</v>
      </c>
      <c r="BG19" s="414">
        <f>NB!BN124</f>
        <v>222604737</v>
      </c>
      <c r="BH19" s="414">
        <f>NB!BO124</f>
        <v>42166168</v>
      </c>
      <c r="BI19" s="414">
        <f>NB!BP124</f>
        <v>1424154</v>
      </c>
      <c r="BJ19" s="414">
        <f>NB!BQ124</f>
        <v>699592</v>
      </c>
      <c r="BK19" s="414">
        <f>NB!BR124</f>
        <v>724562</v>
      </c>
      <c r="BL19" s="414">
        <f>NB!BS124</f>
        <v>89930340</v>
      </c>
      <c r="BM19" s="414">
        <f>NB!BT124</f>
        <v>2647715</v>
      </c>
      <c r="BN19" s="414">
        <f>NB!BU124</f>
        <v>3829829</v>
      </c>
      <c r="BO19" s="415">
        <f>NB!BV124</f>
        <v>501.22549999999995</v>
      </c>
      <c r="BP19" s="415">
        <f>NB!BW124</f>
        <v>371.37940000000003</v>
      </c>
      <c r="BQ19" s="422">
        <f>NB!BX124</f>
        <v>129.84609999999998</v>
      </c>
      <c r="BR19" s="419">
        <f>NB!BY124</f>
        <v>456163</v>
      </c>
      <c r="BS19" s="414">
        <f>NB!BZ124</f>
        <v>338400</v>
      </c>
      <c r="BT19" s="414">
        <f>NB!CA124</f>
        <v>0</v>
      </c>
      <c r="BU19" s="414">
        <f>NB!CB124</f>
        <v>114379</v>
      </c>
      <c r="BV19" s="414">
        <f>NB!CC124</f>
        <v>3384</v>
      </c>
      <c r="BW19" s="509">
        <f>NB!CD124</f>
        <v>0.60000000000000009</v>
      </c>
      <c r="BX19" s="510">
        <f>NB!CE124</f>
        <v>10419125</v>
      </c>
      <c r="BY19" s="414">
        <f>NB!CF124</f>
        <v>7084424</v>
      </c>
      <c r="BZ19" s="414">
        <f>NB!CG124</f>
        <v>2394536</v>
      </c>
      <c r="CA19" s="414">
        <f>NB!CH124</f>
        <v>70846</v>
      </c>
      <c r="CB19" s="414">
        <f>NB!CI124</f>
        <v>869319</v>
      </c>
      <c r="CC19" s="509">
        <f>NB!CJ124</f>
        <v>21.948099999999993</v>
      </c>
      <c r="CE19" s="15"/>
      <c r="CG19" s="8"/>
      <c r="CI19" s="15"/>
    </row>
    <row r="20" spans="1:87">
      <c r="A20" s="177" t="s">
        <v>253</v>
      </c>
      <c r="B20" s="419">
        <f>SM!I166</f>
        <v>389686027</v>
      </c>
      <c r="C20" s="414">
        <f>SM!J166</f>
        <v>284003542</v>
      </c>
      <c r="D20" s="414">
        <f>SM!K166</f>
        <v>237385030</v>
      </c>
      <c r="E20" s="414">
        <f>SM!L166</f>
        <v>46618512</v>
      </c>
      <c r="F20" s="414">
        <f>SM!M166</f>
        <v>2340388</v>
      </c>
      <c r="G20" s="414">
        <f>SM!N166</f>
        <v>1876108</v>
      </c>
      <c r="H20" s="414">
        <f>SM!O166</f>
        <v>464280</v>
      </c>
      <c r="I20" s="414">
        <f>SM!P166</f>
        <v>96689663</v>
      </c>
      <c r="J20" s="414">
        <f>SM!Q166</f>
        <v>2840043</v>
      </c>
      <c r="K20" s="414">
        <f>SM!R166</f>
        <v>3812391</v>
      </c>
      <c r="L20" s="415">
        <f>SM!S166</f>
        <v>535.18000000000006</v>
      </c>
      <c r="M20" s="415">
        <f>SM!T166</f>
        <v>393.72929999999997</v>
      </c>
      <c r="N20" s="509">
        <f>SM!U166</f>
        <v>141.45070000000001</v>
      </c>
      <c r="O20" s="510">
        <f>SM!V166</f>
        <v>650700</v>
      </c>
      <c r="P20" s="414">
        <f>SM!W166</f>
        <v>-300700</v>
      </c>
      <c r="Q20" s="414">
        <f>SM!X166</f>
        <v>-158621</v>
      </c>
      <c r="R20" s="414">
        <f>SM!Y166</f>
        <v>8606</v>
      </c>
      <c r="S20" s="414">
        <f>SM!Z166</f>
        <v>460271</v>
      </c>
      <c r="T20" s="414">
        <f>SM!AA166</f>
        <v>-126390</v>
      </c>
      <c r="U20" s="414">
        <f>SM!AB166</f>
        <v>0</v>
      </c>
      <c r="V20" s="414">
        <f>SM!AC166</f>
        <v>-300000</v>
      </c>
      <c r="W20" s="414">
        <f>SM!AD166</f>
        <v>0</v>
      </c>
      <c r="X20" s="414">
        <f>SM!AE166</f>
        <v>660956</v>
      </c>
      <c r="Y20" s="414">
        <f>SM!AF166</f>
        <v>-427090</v>
      </c>
      <c r="Z20" s="414">
        <f>SM!AG166</f>
        <v>233866</v>
      </c>
      <c r="AA20" s="414">
        <f>SM!AH166</f>
        <v>-650700</v>
      </c>
      <c r="AB20" s="414">
        <f>SM!AI166</f>
        <v>300700</v>
      </c>
      <c r="AC20" s="414">
        <f>SM!AJ166</f>
        <v>0</v>
      </c>
      <c r="AD20" s="414">
        <f>SM!AK166</f>
        <v>-101733</v>
      </c>
      <c r="AE20" s="414">
        <f>SM!AL166</f>
        <v>0</v>
      </c>
      <c r="AF20" s="414">
        <f>SM!AM166</f>
        <v>-728433</v>
      </c>
      <c r="AG20" s="414">
        <f>SM!AN166</f>
        <v>290700</v>
      </c>
      <c r="AH20" s="414">
        <f>SM!AO166</f>
        <v>-437733</v>
      </c>
      <c r="AI20" s="414">
        <f>SM!AP166</f>
        <v>-67477</v>
      </c>
      <c r="AJ20" s="414">
        <f>SM!AQ166</f>
        <v>-136390</v>
      </c>
      <c r="AK20" s="414">
        <f>SM!AR166</f>
        <v>-203867</v>
      </c>
      <c r="AL20" s="414">
        <f>SM!AS166</f>
        <v>-39253</v>
      </c>
      <c r="AM20" s="414">
        <f>SM!AT166</f>
        <v>2336</v>
      </c>
      <c r="AN20" s="414">
        <f>SM!AU166</f>
        <v>5900</v>
      </c>
      <c r="AO20" s="414">
        <f>SM!AV166</f>
        <v>0</v>
      </c>
      <c r="AP20" s="414">
        <f>SM!AW166</f>
        <v>0</v>
      </c>
      <c r="AQ20" s="414">
        <f>SM!AX166</f>
        <v>5900</v>
      </c>
      <c r="AR20" s="414">
        <f>SM!AY166</f>
        <v>-234884</v>
      </c>
      <c r="AS20" s="415">
        <f>SM!AZ166</f>
        <v>-0.04</v>
      </c>
      <c r="AT20" s="415">
        <f>SM!BA166</f>
        <v>-0.2</v>
      </c>
      <c r="AU20" s="415">
        <f>SM!BB166</f>
        <v>-0.15999999999999998</v>
      </c>
      <c r="AV20" s="415">
        <f>SM!BC166</f>
        <v>0.8899999999999999</v>
      </c>
      <c r="AW20" s="415">
        <f>SM!BD166</f>
        <v>-0.39</v>
      </c>
      <c r="AX20" s="415">
        <f>SM!BE166</f>
        <v>0.01</v>
      </c>
      <c r="AY20" s="415">
        <f>SM!BF166</f>
        <v>0</v>
      </c>
      <c r="AZ20" s="415">
        <f>SM!BG166</f>
        <v>0</v>
      </c>
      <c r="BA20" s="415">
        <f>SM!BH166</f>
        <v>0</v>
      </c>
      <c r="BB20" s="415">
        <f>SM!BI166</f>
        <v>0.69999999999999973</v>
      </c>
      <c r="BC20" s="415">
        <f>SM!BJ166</f>
        <v>-0.59</v>
      </c>
      <c r="BD20" s="509">
        <f>SM!BK166</f>
        <v>0.10999999999999985</v>
      </c>
      <c r="BE20" s="510">
        <f>SM!BL166</f>
        <v>389451143</v>
      </c>
      <c r="BF20" s="414">
        <f>SM!BM166</f>
        <v>284237408</v>
      </c>
      <c r="BG20" s="414">
        <f>SM!BN166</f>
        <v>238045986</v>
      </c>
      <c r="BH20" s="414">
        <f>SM!BO166</f>
        <v>46191422</v>
      </c>
      <c r="BI20" s="414">
        <f>SM!BP166</f>
        <v>1902655</v>
      </c>
      <c r="BJ20" s="414">
        <f>SM!BQ166</f>
        <v>1147675</v>
      </c>
      <c r="BK20" s="414">
        <f>SM!BR166</f>
        <v>754980</v>
      </c>
      <c r="BL20" s="414">
        <f>SM!BS166</f>
        <v>96650410</v>
      </c>
      <c r="BM20" s="414">
        <f>SM!BT166</f>
        <v>2842379</v>
      </c>
      <c r="BN20" s="414">
        <f>SM!BU166</f>
        <v>3818291</v>
      </c>
      <c r="BO20" s="415">
        <f>SM!BV166</f>
        <v>535.29000000000008</v>
      </c>
      <c r="BP20" s="415">
        <f>SM!BW166</f>
        <v>394.4292999999999</v>
      </c>
      <c r="BQ20" s="422">
        <f>SM!BX166</f>
        <v>140.86070000000001</v>
      </c>
      <c r="BR20" s="419">
        <f>SM!BY166</f>
        <v>1974452</v>
      </c>
      <c r="BS20" s="414">
        <f>SM!BZ166</f>
        <v>1240800</v>
      </c>
      <c r="BT20" s="414">
        <f>SM!CA166</f>
        <v>225600</v>
      </c>
      <c r="BU20" s="414">
        <f>SM!CB166</f>
        <v>495644</v>
      </c>
      <c r="BV20" s="414">
        <f>SM!CC166</f>
        <v>12408</v>
      </c>
      <c r="BW20" s="509">
        <f>SM!CD166</f>
        <v>2.2000000000000002</v>
      </c>
      <c r="BX20" s="510">
        <f>SM!CE166</f>
        <v>11877431</v>
      </c>
      <c r="BY20" s="414">
        <f>SM!CF166</f>
        <v>8163186</v>
      </c>
      <c r="BZ20" s="414">
        <f>SM!CG166</f>
        <v>2759153</v>
      </c>
      <c r="CA20" s="414">
        <f>SM!CH166</f>
        <v>81634</v>
      </c>
      <c r="CB20" s="414">
        <f>SM!CI166</f>
        <v>873458</v>
      </c>
      <c r="CC20" s="509">
        <f>SM!CJ166</f>
        <v>24.647199999999998</v>
      </c>
      <c r="CE20" s="15"/>
      <c r="CG20" s="8"/>
      <c r="CI20" s="15"/>
    </row>
    <row r="21" spans="1:87" s="3" customFormat="1">
      <c r="A21" s="177" t="s">
        <v>254</v>
      </c>
      <c r="B21" s="419">
        <f>JI!I138</f>
        <v>314266403</v>
      </c>
      <c r="C21" s="414">
        <f>JI!J138</f>
        <v>229535233</v>
      </c>
      <c r="D21" s="414">
        <f>JI!K138</f>
        <v>192497290</v>
      </c>
      <c r="E21" s="414">
        <f>JI!L138</f>
        <v>37037943</v>
      </c>
      <c r="F21" s="414">
        <f>JI!M138</f>
        <v>1383629</v>
      </c>
      <c r="G21" s="414">
        <f>JI!N138</f>
        <v>954029</v>
      </c>
      <c r="H21" s="414">
        <f>JI!O138</f>
        <v>429600</v>
      </c>
      <c r="I21" s="414">
        <f>JI!P138</f>
        <v>77989505</v>
      </c>
      <c r="J21" s="414">
        <f>JI!Q138</f>
        <v>2295352</v>
      </c>
      <c r="K21" s="414">
        <f>JI!R138</f>
        <v>3062684</v>
      </c>
      <c r="L21" s="415">
        <f>JI!S138</f>
        <v>436.20259999999996</v>
      </c>
      <c r="M21" s="415">
        <f>JI!T138</f>
        <v>324.03229999999996</v>
      </c>
      <c r="N21" s="509">
        <f>JI!U138</f>
        <v>112.17029999999998</v>
      </c>
      <c r="O21" s="510">
        <f>JI!V138</f>
        <v>235110</v>
      </c>
      <c r="P21" s="414">
        <f>JI!W138</f>
        <v>-112840</v>
      </c>
      <c r="Q21" s="414">
        <f>JI!X138</f>
        <v>129074</v>
      </c>
      <c r="R21" s="414">
        <f>JI!Y138</f>
        <v>28466</v>
      </c>
      <c r="S21" s="414">
        <f>JI!Z138</f>
        <v>-159616</v>
      </c>
      <c r="T21" s="414">
        <f>JI!AA138</f>
        <v>-155920</v>
      </c>
      <c r="U21" s="414">
        <f>JI!AB138</f>
        <v>0</v>
      </c>
      <c r="V21" s="414">
        <f>JI!AC138</f>
        <v>0</v>
      </c>
      <c r="W21" s="414">
        <f>JI!AD138</f>
        <v>0</v>
      </c>
      <c r="X21" s="414">
        <f>JI!AE138</f>
        <v>233034</v>
      </c>
      <c r="Y21" s="414">
        <f>JI!AF138</f>
        <v>-268760</v>
      </c>
      <c r="Z21" s="414">
        <f>JI!AG138</f>
        <v>-35726</v>
      </c>
      <c r="AA21" s="414">
        <f>JI!AH138</f>
        <v>-235110</v>
      </c>
      <c r="AB21" s="414">
        <f>JI!AI138</f>
        <v>112840</v>
      </c>
      <c r="AC21" s="414">
        <f>JI!AJ138</f>
        <v>0</v>
      </c>
      <c r="AD21" s="414">
        <f>JI!AK138</f>
        <v>0</v>
      </c>
      <c r="AE21" s="414">
        <f>JI!AL138</f>
        <v>0</v>
      </c>
      <c r="AF21" s="414">
        <f>JI!AM138</f>
        <v>-235110</v>
      </c>
      <c r="AG21" s="414">
        <f>JI!AN138</f>
        <v>112840</v>
      </c>
      <c r="AH21" s="414">
        <f>JI!AO138</f>
        <v>-122270</v>
      </c>
      <c r="AI21" s="414">
        <f>JI!AP138</f>
        <v>-2076</v>
      </c>
      <c r="AJ21" s="414">
        <f>JI!AQ138</f>
        <v>-155920</v>
      </c>
      <c r="AK21" s="414">
        <f>JI!AR138</f>
        <v>-157996</v>
      </c>
      <c r="AL21" s="414">
        <f>JI!AS138</f>
        <v>-53403</v>
      </c>
      <c r="AM21" s="414">
        <f>JI!AT138</f>
        <v>-357</v>
      </c>
      <c r="AN21" s="414">
        <f>JI!AU138</f>
        <v>7150</v>
      </c>
      <c r="AO21" s="414">
        <f>JI!AV138</f>
        <v>0</v>
      </c>
      <c r="AP21" s="414">
        <f>JI!AW138</f>
        <v>0</v>
      </c>
      <c r="AQ21" s="414">
        <f>JI!AX138</f>
        <v>7150</v>
      </c>
      <c r="AR21" s="414">
        <f>JI!AY138</f>
        <v>-204606</v>
      </c>
      <c r="AS21" s="415">
        <f>JI!AZ138</f>
        <v>9.9999999999999811E-3</v>
      </c>
      <c r="AT21" s="415">
        <f>JI!BA138</f>
        <v>-0.23</v>
      </c>
      <c r="AU21" s="415">
        <f>JI!BB138</f>
        <v>0.21999999999999997</v>
      </c>
      <c r="AV21" s="415">
        <f>JI!BC138</f>
        <v>-0.32000000000000006</v>
      </c>
      <c r="AW21" s="415">
        <f>JI!BD138</f>
        <v>-0.45</v>
      </c>
      <c r="AX21" s="415">
        <f>JI!BE138</f>
        <v>0.04</v>
      </c>
      <c r="AY21" s="415">
        <f>JI!BF138</f>
        <v>0</v>
      </c>
      <c r="AZ21" s="415">
        <f>JI!BG138</f>
        <v>0</v>
      </c>
      <c r="BA21" s="415">
        <f>JI!BH138</f>
        <v>0</v>
      </c>
      <c r="BB21" s="415">
        <f>JI!BI138</f>
        <v>-4.9999999999999989E-2</v>
      </c>
      <c r="BC21" s="415">
        <f>JI!BJ138</f>
        <v>-0.67999999999999994</v>
      </c>
      <c r="BD21" s="509">
        <f>JI!BK138</f>
        <v>-0.73</v>
      </c>
      <c r="BE21" s="510">
        <f>JI!BL138</f>
        <v>314061797</v>
      </c>
      <c r="BF21" s="414">
        <f>JI!BM138</f>
        <v>229499507</v>
      </c>
      <c r="BG21" s="414">
        <f>JI!BN138</f>
        <v>192730324</v>
      </c>
      <c r="BH21" s="414">
        <f>JI!BO138</f>
        <v>36769183</v>
      </c>
      <c r="BI21" s="414">
        <f>JI!BP138</f>
        <v>1261359</v>
      </c>
      <c r="BJ21" s="414">
        <f>JI!BQ138</f>
        <v>718919</v>
      </c>
      <c r="BK21" s="414">
        <f>JI!BR138</f>
        <v>542440</v>
      </c>
      <c r="BL21" s="414">
        <f>JI!BS138</f>
        <v>77936102</v>
      </c>
      <c r="BM21" s="414">
        <f>JI!BT138</f>
        <v>2294995</v>
      </c>
      <c r="BN21" s="414">
        <f>JI!BU138</f>
        <v>3069834</v>
      </c>
      <c r="BO21" s="415">
        <f>JI!BV138</f>
        <v>435.47259999999994</v>
      </c>
      <c r="BP21" s="415">
        <f>JI!BW138</f>
        <v>323.98229999999995</v>
      </c>
      <c r="BQ21" s="422">
        <f>JI!BX138</f>
        <v>111.4903</v>
      </c>
      <c r="BR21" s="419">
        <f>JI!BY138</f>
        <v>1976708</v>
      </c>
      <c r="BS21" s="414">
        <f>JI!BZ138</f>
        <v>1466400</v>
      </c>
      <c r="BT21" s="414">
        <f>JI!CA138</f>
        <v>0</v>
      </c>
      <c r="BU21" s="414">
        <f>JI!CB138</f>
        <v>495644</v>
      </c>
      <c r="BV21" s="414">
        <f>JI!CC138</f>
        <v>14664</v>
      </c>
      <c r="BW21" s="509">
        <f>JI!CD138</f>
        <v>2.6</v>
      </c>
      <c r="BX21" s="510">
        <f>JI!CE138</f>
        <v>10265860</v>
      </c>
      <c r="BY21" s="414">
        <f>JI!CF138</f>
        <v>7097252</v>
      </c>
      <c r="BZ21" s="414">
        <f>JI!CG138</f>
        <v>2398869</v>
      </c>
      <c r="CA21" s="414">
        <f>JI!CH138</f>
        <v>70971</v>
      </c>
      <c r="CB21" s="414">
        <f>JI!CI138</f>
        <v>698768</v>
      </c>
      <c r="CC21" s="509">
        <f>JI!CJ138</f>
        <v>21.519399999999997</v>
      </c>
      <c r="CE21" s="15"/>
      <c r="CF21" s="15"/>
      <c r="CG21" s="8"/>
      <c r="CH21" s="15"/>
      <c r="CI21" s="15"/>
    </row>
    <row r="22" spans="1:87" ht="13.5" thickBot="1">
      <c r="A22" s="400" t="s">
        <v>255</v>
      </c>
      <c r="B22" s="862">
        <f>TU!I201</f>
        <v>513149447</v>
      </c>
      <c r="C22" s="1043">
        <f>TU!J201</f>
        <v>375338984</v>
      </c>
      <c r="D22" s="1043">
        <f>TU!K201</f>
        <v>312984392</v>
      </c>
      <c r="E22" s="1043">
        <f>TU!L201</f>
        <v>62354592</v>
      </c>
      <c r="F22" s="1043">
        <f>TU!M201</f>
        <v>1425180</v>
      </c>
      <c r="G22" s="1043">
        <f>TU!N201</f>
        <v>709660</v>
      </c>
      <c r="H22" s="1043">
        <f>TU!O201</f>
        <v>715520</v>
      </c>
      <c r="I22" s="1043">
        <f>TU!P201</f>
        <v>127346275</v>
      </c>
      <c r="J22" s="1043">
        <f>TU!Q201</f>
        <v>3753394</v>
      </c>
      <c r="K22" s="1043">
        <f>TU!R201</f>
        <v>5285614</v>
      </c>
      <c r="L22" s="1044">
        <f>TU!S201</f>
        <v>709.8737000000001</v>
      </c>
      <c r="M22" s="1044">
        <f>TU!T201</f>
        <v>517.66340000000002</v>
      </c>
      <c r="N22" s="1045">
        <f>TU!U201</f>
        <v>192.21030000000005</v>
      </c>
      <c r="O22" s="1047">
        <f>TU!V201</f>
        <v>-191824</v>
      </c>
      <c r="P22" s="1043">
        <f>TU!W201</f>
        <v>-27776</v>
      </c>
      <c r="Q22" s="1043">
        <f>TU!X201</f>
        <v>302844</v>
      </c>
      <c r="R22" s="1043">
        <f>TU!Y201</f>
        <v>82750</v>
      </c>
      <c r="S22" s="1043">
        <f>TU!Z201</f>
        <v>970415</v>
      </c>
      <c r="T22" s="1043">
        <f>TU!AA201</f>
        <v>-137142</v>
      </c>
      <c r="U22" s="1043">
        <f>TU!AB201</f>
        <v>0</v>
      </c>
      <c r="V22" s="1043">
        <f>TU!AC201</f>
        <v>0</v>
      </c>
      <c r="W22" s="1043">
        <f>TU!AD201</f>
        <v>0</v>
      </c>
      <c r="X22" s="1043">
        <f>TU!AE201</f>
        <v>1164185</v>
      </c>
      <c r="Y22" s="1043">
        <f>TU!AF201</f>
        <v>-164918</v>
      </c>
      <c r="Z22" s="1043">
        <f>TU!AG201</f>
        <v>999267</v>
      </c>
      <c r="AA22" s="1043">
        <f>TU!AH201</f>
        <v>191824</v>
      </c>
      <c r="AB22" s="1043">
        <f>TU!AI201</f>
        <v>27776</v>
      </c>
      <c r="AC22" s="1043">
        <f>TU!AJ201</f>
        <v>0</v>
      </c>
      <c r="AD22" s="1043">
        <f>TU!AK201</f>
        <v>66291</v>
      </c>
      <c r="AE22" s="1043">
        <f>TU!AL201</f>
        <v>0</v>
      </c>
      <c r="AF22" s="1043">
        <f>TU!AM201</f>
        <v>258115</v>
      </c>
      <c r="AG22" s="1043">
        <f>TU!AN201</f>
        <v>27776</v>
      </c>
      <c r="AH22" s="1043">
        <f>TU!AO201</f>
        <v>285891</v>
      </c>
      <c r="AI22" s="1043">
        <f>TU!AP201</f>
        <v>1422300</v>
      </c>
      <c r="AJ22" s="1043">
        <f>TU!AQ201</f>
        <v>-137142</v>
      </c>
      <c r="AK22" s="1043">
        <f>TU!AR201</f>
        <v>1285158</v>
      </c>
      <c r="AL22" s="1043">
        <f>TU!AS201</f>
        <v>411978</v>
      </c>
      <c r="AM22" s="1043">
        <f>TU!AT201</f>
        <v>9993</v>
      </c>
      <c r="AN22" s="1043">
        <f>TU!AU201</f>
        <v>3500</v>
      </c>
      <c r="AO22" s="1043">
        <f>TU!AV201</f>
        <v>0</v>
      </c>
      <c r="AP22" s="1043">
        <f>TU!AW201</f>
        <v>0</v>
      </c>
      <c r="AQ22" s="1043">
        <f>TU!AX201</f>
        <v>3500</v>
      </c>
      <c r="AR22" s="1043">
        <f>TU!AY201</f>
        <v>1710629</v>
      </c>
      <c r="AS22" s="1044">
        <f>TU!AZ201</f>
        <v>-0.55000000000000004</v>
      </c>
      <c r="AT22" s="1044">
        <f>TU!BA201</f>
        <v>-0.51</v>
      </c>
      <c r="AU22" s="1044">
        <f>TU!BB201</f>
        <v>0.84</v>
      </c>
      <c r="AV22" s="1044">
        <f>TU!BC201</f>
        <v>2.09</v>
      </c>
      <c r="AW22" s="1044">
        <f>TU!BD201</f>
        <v>-0.37999999999999995</v>
      </c>
      <c r="AX22" s="1044">
        <f>TU!BE201</f>
        <v>0.12</v>
      </c>
      <c r="AY22" s="1044">
        <f>TU!BF201</f>
        <v>0</v>
      </c>
      <c r="AZ22" s="1044">
        <f>TU!BG201</f>
        <v>0</v>
      </c>
      <c r="BA22" s="1044">
        <f>TU!BH201</f>
        <v>0</v>
      </c>
      <c r="BB22" s="1044">
        <f>TU!BI201</f>
        <v>2.5</v>
      </c>
      <c r="BC22" s="1044">
        <f>TU!BJ201</f>
        <v>-0.89</v>
      </c>
      <c r="BD22" s="1045">
        <f>TU!BK201</f>
        <v>1.6099999999999997</v>
      </c>
      <c r="BE22" s="1047">
        <f>TU!BL201</f>
        <v>514860076</v>
      </c>
      <c r="BF22" s="1043">
        <f>TU!BM201</f>
        <v>376338251</v>
      </c>
      <c r="BG22" s="1043">
        <f>TU!BN201</f>
        <v>314148577</v>
      </c>
      <c r="BH22" s="1043">
        <f>TU!BO201</f>
        <v>62189674</v>
      </c>
      <c r="BI22" s="1043">
        <f>TU!BP201</f>
        <v>1711071</v>
      </c>
      <c r="BJ22" s="1043">
        <f>TU!BQ201</f>
        <v>967775</v>
      </c>
      <c r="BK22" s="1043">
        <f>TU!BR201</f>
        <v>743296</v>
      </c>
      <c r="BL22" s="1043">
        <f>TU!BS201</f>
        <v>127758253</v>
      </c>
      <c r="BM22" s="1043">
        <f>TU!BT201</f>
        <v>3763387</v>
      </c>
      <c r="BN22" s="1043">
        <f>TU!BU201</f>
        <v>5289114</v>
      </c>
      <c r="BO22" s="1044">
        <f>TU!BV201</f>
        <v>711.4837</v>
      </c>
      <c r="BP22" s="1044">
        <f>TU!BW201</f>
        <v>520.16340000000002</v>
      </c>
      <c r="BQ22" s="1046">
        <f>TU!BX201</f>
        <v>191.3203</v>
      </c>
      <c r="BR22" s="862">
        <f>TU!BY201</f>
        <v>3193142</v>
      </c>
      <c r="BS22" s="1043">
        <f>TU!BZ201</f>
        <v>2368800</v>
      </c>
      <c r="BT22" s="1043">
        <f>TU!CA201</f>
        <v>0</v>
      </c>
      <c r="BU22" s="1043">
        <f>TU!CB201</f>
        <v>800654</v>
      </c>
      <c r="BV22" s="1043">
        <f>TU!CC201</f>
        <v>23688</v>
      </c>
      <c r="BW22" s="1045">
        <f>TU!CD201</f>
        <v>4.2</v>
      </c>
      <c r="BX22" s="1047">
        <f>TU!CE201</f>
        <v>15671734</v>
      </c>
      <c r="BY22" s="1043">
        <f>TU!CF201</f>
        <v>10727498</v>
      </c>
      <c r="BZ22" s="1043">
        <f>TU!CG201</f>
        <v>3625890</v>
      </c>
      <c r="CA22" s="1043">
        <f>TU!CH201</f>
        <v>107276</v>
      </c>
      <c r="CB22" s="1043">
        <f>TU!CI201</f>
        <v>1211070</v>
      </c>
      <c r="CC22" s="1045">
        <f>TU!CJ201</f>
        <v>33.192</v>
      </c>
      <c r="CE22" s="15"/>
      <c r="CG22" s="8"/>
      <c r="CI22" s="15"/>
    </row>
    <row r="23" spans="1:87" s="3" customFormat="1" ht="13.5" thickBot="1">
      <c r="A23" s="178" t="s">
        <v>256</v>
      </c>
      <c r="B23" s="863">
        <f>SUM(B13:B22)</f>
        <v>6210409773</v>
      </c>
      <c r="C23" s="864">
        <f t="shared" ref="C23:N23" si="0">SUM(C13:C22)</f>
        <v>4535267975</v>
      </c>
      <c r="D23" s="864">
        <f t="shared" si="0"/>
        <v>3834949201</v>
      </c>
      <c r="E23" s="864">
        <f t="shared" si="0"/>
        <v>700318774</v>
      </c>
      <c r="F23" s="864">
        <f t="shared" si="0"/>
        <v>23631750</v>
      </c>
      <c r="G23" s="864">
        <f t="shared" si="0"/>
        <v>15715237</v>
      </c>
      <c r="H23" s="864">
        <f t="shared" si="0"/>
        <v>7916513</v>
      </c>
      <c r="I23" s="864">
        <f t="shared" si="0"/>
        <v>1540536999</v>
      </c>
      <c r="J23" s="864">
        <f t="shared" si="0"/>
        <v>45352714</v>
      </c>
      <c r="K23" s="864">
        <f t="shared" si="0"/>
        <v>65620335</v>
      </c>
      <c r="L23" s="865">
        <f t="shared" si="0"/>
        <v>8550.8022000000019</v>
      </c>
      <c r="M23" s="865">
        <f t="shared" si="0"/>
        <v>6398.2358999999997</v>
      </c>
      <c r="N23" s="869">
        <f t="shared" si="0"/>
        <v>2152.5663000000004</v>
      </c>
      <c r="O23" s="1048">
        <f t="shared" ref="O23:BQ23" si="1">SUM(O13:O22)</f>
        <v>1127465</v>
      </c>
      <c r="P23" s="864">
        <f t="shared" si="1"/>
        <v>-2740112</v>
      </c>
      <c r="Q23" s="864">
        <f t="shared" si="1"/>
        <v>-79698</v>
      </c>
      <c r="R23" s="864">
        <f t="shared" si="1"/>
        <v>1692072</v>
      </c>
      <c r="S23" s="864">
        <f t="shared" si="1"/>
        <v>2668082</v>
      </c>
      <c r="T23" s="864">
        <f t="shared" si="1"/>
        <v>-1347119</v>
      </c>
      <c r="U23" s="864">
        <f t="shared" si="1"/>
        <v>0</v>
      </c>
      <c r="V23" s="864">
        <f t="shared" si="1"/>
        <v>-300000</v>
      </c>
      <c r="W23" s="864">
        <f t="shared" si="1"/>
        <v>-81402</v>
      </c>
      <c r="X23" s="864">
        <f t="shared" si="1"/>
        <v>5107921</v>
      </c>
      <c r="Y23" s="864">
        <f t="shared" si="1"/>
        <v>-4152930</v>
      </c>
      <c r="Z23" s="864">
        <f t="shared" si="1"/>
        <v>954991</v>
      </c>
      <c r="AA23" s="864">
        <f t="shared" si="1"/>
        <v>-1204907</v>
      </c>
      <c r="AB23" s="864">
        <f t="shared" si="1"/>
        <v>2706302</v>
      </c>
      <c r="AC23" s="864">
        <f t="shared" si="1"/>
        <v>0</v>
      </c>
      <c r="AD23" s="864">
        <f t="shared" si="1"/>
        <v>57641</v>
      </c>
      <c r="AE23" s="864">
        <f t="shared" si="1"/>
        <v>110580</v>
      </c>
      <c r="AF23" s="864">
        <f t="shared" si="1"/>
        <v>-1123266</v>
      </c>
      <c r="AG23" s="864">
        <f t="shared" si="1"/>
        <v>2822802</v>
      </c>
      <c r="AH23" s="864">
        <f t="shared" si="1"/>
        <v>1699536</v>
      </c>
      <c r="AI23" s="864">
        <f t="shared" si="1"/>
        <v>3984655</v>
      </c>
      <c r="AJ23" s="864">
        <f t="shared" si="1"/>
        <v>-1330128</v>
      </c>
      <c r="AK23" s="864">
        <f t="shared" si="1"/>
        <v>2654527</v>
      </c>
      <c r="AL23" s="864">
        <f t="shared" si="1"/>
        <v>830263</v>
      </c>
      <c r="AM23" s="864">
        <f t="shared" si="1"/>
        <v>9557</v>
      </c>
      <c r="AN23" s="864">
        <f t="shared" si="1"/>
        <v>257500</v>
      </c>
      <c r="AO23" s="864"/>
      <c r="AP23" s="864"/>
      <c r="AQ23" s="864">
        <f t="shared" si="1"/>
        <v>257500</v>
      </c>
      <c r="AR23" s="864">
        <f t="shared" si="1"/>
        <v>3751847</v>
      </c>
      <c r="AS23" s="865">
        <f t="shared" si="1"/>
        <v>-0.79699999999999993</v>
      </c>
      <c r="AT23" s="865">
        <f t="shared" si="1"/>
        <v>-5.8100000000000005</v>
      </c>
      <c r="AU23" s="865">
        <f>SUM(AU13:AU22)</f>
        <v>0.57000000000000028</v>
      </c>
      <c r="AV23" s="865">
        <f t="shared" si="1"/>
        <v>6.2899999999999991</v>
      </c>
      <c r="AW23" s="865">
        <f t="shared" si="1"/>
        <v>-3.7800000000000007</v>
      </c>
      <c r="AX23" s="865">
        <f t="shared" si="1"/>
        <v>2.4300000000000002</v>
      </c>
      <c r="AY23" s="865">
        <f t="shared" si="1"/>
        <v>0</v>
      </c>
      <c r="AZ23" s="865">
        <f t="shared" si="1"/>
        <v>0</v>
      </c>
      <c r="BA23" s="865">
        <f t="shared" si="1"/>
        <v>-0.25</v>
      </c>
      <c r="BB23" s="865">
        <f t="shared" si="1"/>
        <v>8.4929999999999986</v>
      </c>
      <c r="BC23" s="865">
        <f t="shared" si="1"/>
        <v>-9.8400000000000016</v>
      </c>
      <c r="BD23" s="869">
        <f t="shared" si="1"/>
        <v>-1.3470000000000002</v>
      </c>
      <c r="BE23" s="1048">
        <f t="shared" si="1"/>
        <v>6214161620</v>
      </c>
      <c r="BF23" s="864">
        <f t="shared" si="1"/>
        <v>4536222966</v>
      </c>
      <c r="BG23" s="864">
        <f t="shared" si="1"/>
        <v>3840057122</v>
      </c>
      <c r="BH23" s="864">
        <f t="shared" si="1"/>
        <v>696165844</v>
      </c>
      <c r="BI23" s="864">
        <f t="shared" si="1"/>
        <v>25331286</v>
      </c>
      <c r="BJ23" s="864">
        <f t="shared" si="1"/>
        <v>14591971</v>
      </c>
      <c r="BK23" s="864">
        <f t="shared" si="1"/>
        <v>10739315</v>
      </c>
      <c r="BL23" s="864">
        <f t="shared" si="1"/>
        <v>1541367262</v>
      </c>
      <c r="BM23" s="864">
        <f t="shared" si="1"/>
        <v>45362271</v>
      </c>
      <c r="BN23" s="864">
        <f t="shared" si="1"/>
        <v>65877835</v>
      </c>
      <c r="BO23" s="865">
        <f t="shared" si="1"/>
        <v>8549.4551999999985</v>
      </c>
      <c r="BP23" s="865">
        <f t="shared" si="1"/>
        <v>6406.728900000001</v>
      </c>
      <c r="BQ23" s="868">
        <f t="shared" si="1"/>
        <v>2142.7262999999998</v>
      </c>
      <c r="BR23" s="1053">
        <f t="shared" ref="BR23:BW23" si="2">SUM(BR13:BR22)</f>
        <v>29850633</v>
      </c>
      <c r="BS23" s="866">
        <f t="shared" si="2"/>
        <v>20642400</v>
      </c>
      <c r="BT23" s="866">
        <f t="shared" si="2"/>
        <v>1513212</v>
      </c>
      <c r="BU23" s="866">
        <f t="shared" si="2"/>
        <v>7488597</v>
      </c>
      <c r="BV23" s="866">
        <f t="shared" si="2"/>
        <v>206424</v>
      </c>
      <c r="BW23" s="1054">
        <f t="shared" si="2"/>
        <v>36.6</v>
      </c>
      <c r="BX23" s="1052">
        <f t="shared" ref="BX23:CC23" si="3">SUM(BX13:BX22)</f>
        <v>180951566</v>
      </c>
      <c r="BY23" s="944">
        <f t="shared" si="3"/>
        <v>123091708</v>
      </c>
      <c r="BZ23" s="944">
        <f t="shared" si="3"/>
        <v>41604970</v>
      </c>
      <c r="CA23" s="944">
        <f t="shared" si="3"/>
        <v>1230933</v>
      </c>
      <c r="CB23" s="944">
        <f t="shared" si="3"/>
        <v>15023955</v>
      </c>
      <c r="CC23" s="1067">
        <f t="shared" si="3"/>
        <v>381.36630000000002</v>
      </c>
      <c r="CE23" s="15"/>
      <c r="CF23" s="15"/>
      <c r="CG23" s="8"/>
      <c r="CH23" s="15"/>
      <c r="CI23" s="15"/>
    </row>
    <row r="24" spans="1:87">
      <c r="A24" s="20" t="s">
        <v>257</v>
      </c>
      <c r="B24" s="427">
        <f>C23+F23+I23+J23+K23</f>
        <v>6210409773</v>
      </c>
      <c r="C24" s="427">
        <f>SUM(D23:E23)</f>
        <v>4535267975</v>
      </c>
      <c r="D24" s="427"/>
      <c r="E24" s="427"/>
      <c r="F24" s="427">
        <f>SUM(G23:H23)</f>
        <v>23631750</v>
      </c>
      <c r="G24" s="427"/>
      <c r="H24" s="427"/>
      <c r="I24" s="427"/>
      <c r="J24" s="427"/>
      <c r="K24" s="427"/>
      <c r="L24" s="428">
        <f>SUM(M23:N23)</f>
        <v>8550.8022000000001</v>
      </c>
      <c r="M24" s="428"/>
      <c r="N24" s="428"/>
      <c r="O24" s="427">
        <f>AA23-185199</f>
        <v>-1390106</v>
      </c>
      <c r="P24" s="427">
        <f>AB23</f>
        <v>2706302</v>
      </c>
      <c r="Q24" s="428"/>
      <c r="R24" s="428"/>
      <c r="S24" s="428"/>
      <c r="T24" s="428"/>
      <c r="U24" s="428"/>
      <c r="V24" s="428"/>
      <c r="W24" s="428"/>
      <c r="X24" s="428"/>
      <c r="Y24" s="428"/>
      <c r="Z24" s="428"/>
      <c r="AA24" s="428"/>
      <c r="AB24" s="428"/>
      <c r="AC24" s="428"/>
      <c r="AD24" s="428"/>
      <c r="AE24" s="428"/>
      <c r="AF24" s="428"/>
      <c r="AG24" s="428"/>
      <c r="AH24" s="428"/>
      <c r="AI24" s="428"/>
      <c r="AJ24" s="428"/>
      <c r="AK24" s="428"/>
      <c r="AL24" s="428"/>
      <c r="AM24" s="428"/>
      <c r="AN24" s="428"/>
      <c r="AO24" s="428"/>
      <c r="AP24" s="428"/>
      <c r="AQ24" s="428"/>
      <c r="AR24" s="428"/>
      <c r="AS24" s="428"/>
      <c r="AT24" s="428"/>
      <c r="AU24" s="428"/>
      <c r="AV24" s="428"/>
      <c r="AW24" s="428"/>
      <c r="AX24" s="428"/>
      <c r="AY24" s="428"/>
      <c r="AZ24" s="432"/>
      <c r="BA24" s="432"/>
      <c r="BB24" s="507">
        <f>AS23+AU23+AV23+AX23+AZ23</f>
        <v>8.4930000000000003</v>
      </c>
      <c r="BC24" s="507">
        <f>AT23+AW23+AY23+BA23</f>
        <v>-9.8400000000000016</v>
      </c>
      <c r="BD24" s="507">
        <f>SUM(BB23:BC23)</f>
        <v>-1.3470000000000031</v>
      </c>
      <c r="BE24" s="427">
        <f>BF23+BI23+BL23+BM23+BN23</f>
        <v>6214161620</v>
      </c>
      <c r="BF24" s="427">
        <f>SUM(BG23:BH23)</f>
        <v>4536222966</v>
      </c>
      <c r="BG24" s="429">
        <f>D23+X23</f>
        <v>3840057122</v>
      </c>
      <c r="BH24" s="429">
        <f>E23+Y23</f>
        <v>696165844</v>
      </c>
      <c r="BI24" s="86">
        <f>SUM(BJ23:BK23)</f>
        <v>25331286</v>
      </c>
      <c r="BJ24" s="429">
        <f>G23+AF23</f>
        <v>14591971</v>
      </c>
      <c r="BK24" s="429">
        <f>H23+AG23</f>
        <v>10739315</v>
      </c>
      <c r="BL24" s="429">
        <f>I23+AL23</f>
        <v>1541367262</v>
      </c>
      <c r="BM24" s="429">
        <f>J23+AM23</f>
        <v>45362271</v>
      </c>
      <c r="BN24" s="429">
        <f>K23+AQ23</f>
        <v>65877835</v>
      </c>
      <c r="BO24" s="428">
        <f>SUM(BP23:BQ23)</f>
        <v>8549.4552000000003</v>
      </c>
      <c r="BP24" s="507">
        <f>M23+BB23</f>
        <v>6406.7289000000001</v>
      </c>
      <c r="BQ24" s="507">
        <f>N23+BC23</f>
        <v>2142.7263000000003</v>
      </c>
      <c r="BR24" s="235">
        <f>SUM(BS23:BV23)</f>
        <v>29850633</v>
      </c>
      <c r="BS24" s="8"/>
      <c r="BT24" s="8"/>
      <c r="BU24" s="8"/>
      <c r="BV24" s="8"/>
      <c r="BX24" s="235">
        <f>SUM(BY23:CB23)</f>
        <v>180951566</v>
      </c>
      <c r="BY24" s="235">
        <f>U23</f>
        <v>0</v>
      </c>
      <c r="CB24" s="235">
        <f>AP23</f>
        <v>0</v>
      </c>
      <c r="CC24" s="1068">
        <f>AY23</f>
        <v>0</v>
      </c>
    </row>
    <row r="25" spans="1:87" ht="13.5" thickBot="1">
      <c r="A25" s="20"/>
      <c r="B25" s="427">
        <f>C26+F26+I26+J26+K26</f>
        <v>6210409773</v>
      </c>
      <c r="C25" s="427">
        <f>SUM(D26:E26)</f>
        <v>4535267975</v>
      </c>
      <c r="D25" s="427"/>
      <c r="E25" s="427"/>
      <c r="F25" s="427">
        <f>SUM(G26:H26)</f>
        <v>23631750</v>
      </c>
      <c r="G25" s="427"/>
      <c r="H25" s="427"/>
      <c r="I25" s="427"/>
      <c r="J25" s="427"/>
      <c r="K25" s="427"/>
      <c r="L25" s="428">
        <f>SUM(M26:N26)</f>
        <v>8550.8022000000001</v>
      </c>
      <c r="M25" s="428"/>
      <c r="N25" s="428"/>
      <c r="O25" s="427">
        <f>AA26-185199</f>
        <v>-1390106</v>
      </c>
      <c r="P25" s="427">
        <f>AB26</f>
        <v>2706302</v>
      </c>
      <c r="Q25" s="428"/>
      <c r="R25" s="428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8"/>
      <c r="AI25" s="428"/>
      <c r="AJ25" s="428"/>
      <c r="AK25" s="428"/>
      <c r="AL25" s="428"/>
      <c r="AM25" s="428"/>
      <c r="AN25" s="428"/>
      <c r="AO25" s="428"/>
      <c r="AP25" s="428"/>
      <c r="AQ25" s="428"/>
      <c r="AR25" s="428"/>
      <c r="AS25" s="428"/>
      <c r="AT25" s="428"/>
      <c r="AU25" s="428"/>
      <c r="AV25" s="428"/>
      <c r="AW25" s="428"/>
      <c r="AX25" s="428"/>
      <c r="AY25" s="428"/>
      <c r="AZ25" s="432"/>
      <c r="BA25" s="432"/>
      <c r="BB25" s="507">
        <f>AS26+AU26+AV26+AX26+AZ26</f>
        <v>8.4930000000000021</v>
      </c>
      <c r="BC25" s="507">
        <f>AT26+AW26+AY26+BA26</f>
        <v>-9.84</v>
      </c>
      <c r="BD25" s="507">
        <f>SUM(BB26:BC26)</f>
        <v>-1.3469999999999995</v>
      </c>
      <c r="BE25" s="427">
        <f>BF26+BI26+BL26+BM26+BN26</f>
        <v>6214161620</v>
      </c>
      <c r="BF25" s="427">
        <f>SUM(BG26:BH26)</f>
        <v>4536222966</v>
      </c>
      <c r="BG25" s="53"/>
      <c r="BH25" s="53"/>
      <c r="BI25" s="86">
        <f>SUM(BJ26:BK26)</f>
        <v>25331286</v>
      </c>
      <c r="BJ25" s="53"/>
      <c r="BK25" s="53"/>
      <c r="BL25" s="53"/>
      <c r="BM25" s="53"/>
      <c r="BN25" s="53"/>
      <c r="BO25" s="428">
        <f>SUM(BP26:BQ26)</f>
        <v>8549.4551999999985</v>
      </c>
      <c r="BP25" s="87"/>
      <c r="BQ25" s="87"/>
      <c r="BR25" s="235">
        <f>SUM(BS26:BV26)</f>
        <v>29850633</v>
      </c>
      <c r="BS25" s="8"/>
      <c r="BT25" s="8"/>
      <c r="BU25" s="8"/>
      <c r="BV25" s="8"/>
      <c r="BX25" s="235">
        <f>SUM(BY26:CB26)</f>
        <v>180951566</v>
      </c>
    </row>
    <row r="26" spans="1:87" ht="13.5" thickBot="1">
      <c r="A26" s="22" t="s">
        <v>0</v>
      </c>
      <c r="B26" s="749">
        <f>SUM(B27:B36)</f>
        <v>6210409773</v>
      </c>
      <c r="C26" s="750">
        <f t="shared" ref="C26:N26" si="4">SUM(C27:C36)</f>
        <v>4535267975</v>
      </c>
      <c r="D26" s="750">
        <f t="shared" si="4"/>
        <v>3834949201</v>
      </c>
      <c r="E26" s="750">
        <f t="shared" si="4"/>
        <v>700318774</v>
      </c>
      <c r="F26" s="750">
        <f t="shared" si="4"/>
        <v>23631750</v>
      </c>
      <c r="G26" s="750">
        <f t="shared" si="4"/>
        <v>15715237</v>
      </c>
      <c r="H26" s="750">
        <f t="shared" si="4"/>
        <v>7916513</v>
      </c>
      <c r="I26" s="750">
        <f t="shared" si="4"/>
        <v>1540536999</v>
      </c>
      <c r="J26" s="750">
        <f t="shared" si="4"/>
        <v>45352714</v>
      </c>
      <c r="K26" s="750">
        <f t="shared" si="4"/>
        <v>65620335</v>
      </c>
      <c r="L26" s="751">
        <f t="shared" si="4"/>
        <v>8550.8021999999983</v>
      </c>
      <c r="M26" s="751">
        <f t="shared" si="4"/>
        <v>6398.2359000000006</v>
      </c>
      <c r="N26" s="755">
        <f t="shared" si="4"/>
        <v>2152.5663</v>
      </c>
      <c r="O26" s="749">
        <f t="shared" ref="O26:BQ26" si="5">SUM(O27:O36)</f>
        <v>1127465</v>
      </c>
      <c r="P26" s="750">
        <f t="shared" si="5"/>
        <v>-2740112</v>
      </c>
      <c r="Q26" s="750">
        <f t="shared" si="5"/>
        <v>-79698</v>
      </c>
      <c r="R26" s="750">
        <f t="shared" si="5"/>
        <v>1692072</v>
      </c>
      <c r="S26" s="750">
        <f t="shared" si="5"/>
        <v>2668082</v>
      </c>
      <c r="T26" s="750">
        <f t="shared" si="5"/>
        <v>-1347119</v>
      </c>
      <c r="U26" s="750">
        <f t="shared" si="5"/>
        <v>0</v>
      </c>
      <c r="V26" s="750">
        <f t="shared" si="5"/>
        <v>-300000</v>
      </c>
      <c r="W26" s="750">
        <f t="shared" si="5"/>
        <v>-81402</v>
      </c>
      <c r="X26" s="750">
        <f t="shared" si="5"/>
        <v>5107921</v>
      </c>
      <c r="Y26" s="750">
        <f t="shared" si="5"/>
        <v>-4152930</v>
      </c>
      <c r="Z26" s="750">
        <f t="shared" si="5"/>
        <v>954991</v>
      </c>
      <c r="AA26" s="750">
        <f t="shared" si="5"/>
        <v>-1204907</v>
      </c>
      <c r="AB26" s="750">
        <f t="shared" si="5"/>
        <v>2706302</v>
      </c>
      <c r="AC26" s="750">
        <f t="shared" si="5"/>
        <v>0</v>
      </c>
      <c r="AD26" s="750">
        <f t="shared" si="5"/>
        <v>57641</v>
      </c>
      <c r="AE26" s="750">
        <f t="shared" si="5"/>
        <v>110580</v>
      </c>
      <c r="AF26" s="750">
        <f t="shared" si="5"/>
        <v>-1123266</v>
      </c>
      <c r="AG26" s="750">
        <f t="shared" si="5"/>
        <v>2822802</v>
      </c>
      <c r="AH26" s="750">
        <f t="shared" si="5"/>
        <v>1699536</v>
      </c>
      <c r="AI26" s="750">
        <f t="shared" si="5"/>
        <v>3984655</v>
      </c>
      <c r="AJ26" s="750">
        <f t="shared" si="5"/>
        <v>-1330128</v>
      </c>
      <c r="AK26" s="750">
        <f t="shared" si="5"/>
        <v>2654527</v>
      </c>
      <c r="AL26" s="750">
        <f t="shared" si="5"/>
        <v>830263</v>
      </c>
      <c r="AM26" s="750">
        <f t="shared" si="5"/>
        <v>9557</v>
      </c>
      <c r="AN26" s="750">
        <f t="shared" si="5"/>
        <v>257500</v>
      </c>
      <c r="AO26" s="750"/>
      <c r="AP26" s="750"/>
      <c r="AQ26" s="750">
        <f t="shared" si="5"/>
        <v>257500</v>
      </c>
      <c r="AR26" s="750">
        <f t="shared" si="5"/>
        <v>3751847</v>
      </c>
      <c r="AS26" s="751">
        <f t="shared" si="5"/>
        <v>-0.79700000000000004</v>
      </c>
      <c r="AT26" s="751">
        <f t="shared" si="5"/>
        <v>-5.81</v>
      </c>
      <c r="AU26" s="751">
        <f t="shared" si="5"/>
        <v>0.57000000000000051</v>
      </c>
      <c r="AV26" s="751">
        <f t="shared" si="5"/>
        <v>6.2900000000000009</v>
      </c>
      <c r="AW26" s="751">
        <f t="shared" si="5"/>
        <v>-3.7800000000000002</v>
      </c>
      <c r="AX26" s="751">
        <f t="shared" si="5"/>
        <v>2.4300000000000002</v>
      </c>
      <c r="AY26" s="751">
        <f t="shared" si="5"/>
        <v>0</v>
      </c>
      <c r="AZ26" s="751">
        <f t="shared" si="5"/>
        <v>0</v>
      </c>
      <c r="BA26" s="751">
        <f t="shared" si="5"/>
        <v>-0.25</v>
      </c>
      <c r="BB26" s="751">
        <f t="shared" si="5"/>
        <v>8.4930000000000003</v>
      </c>
      <c r="BC26" s="751">
        <f t="shared" si="5"/>
        <v>-9.84</v>
      </c>
      <c r="BD26" s="779">
        <f t="shared" si="5"/>
        <v>-1.3469999999999984</v>
      </c>
      <c r="BE26" s="1049">
        <f t="shared" si="5"/>
        <v>6214161620</v>
      </c>
      <c r="BF26" s="750">
        <f t="shared" si="5"/>
        <v>4536222966</v>
      </c>
      <c r="BG26" s="750">
        <f t="shared" si="5"/>
        <v>3840057122</v>
      </c>
      <c r="BH26" s="750">
        <f t="shared" si="5"/>
        <v>696165844</v>
      </c>
      <c r="BI26" s="750">
        <f t="shared" si="5"/>
        <v>25331286</v>
      </c>
      <c r="BJ26" s="750">
        <f t="shared" si="5"/>
        <v>14591971</v>
      </c>
      <c r="BK26" s="750">
        <f t="shared" si="5"/>
        <v>10739315</v>
      </c>
      <c r="BL26" s="750">
        <f t="shared" si="5"/>
        <v>1541367262</v>
      </c>
      <c r="BM26" s="750">
        <f t="shared" si="5"/>
        <v>45362271</v>
      </c>
      <c r="BN26" s="750">
        <f t="shared" si="5"/>
        <v>65877835</v>
      </c>
      <c r="BO26" s="751">
        <f t="shared" si="5"/>
        <v>8549.4552000000003</v>
      </c>
      <c r="BP26" s="751">
        <f t="shared" si="5"/>
        <v>6406.7288999999992</v>
      </c>
      <c r="BQ26" s="755">
        <f t="shared" si="5"/>
        <v>2142.7262999999998</v>
      </c>
      <c r="BR26" s="1056">
        <f t="shared" ref="BR26:BW26" si="6">SUM(BR27:BR36)</f>
        <v>29850633</v>
      </c>
      <c r="BS26" s="867">
        <f t="shared" si="6"/>
        <v>20642400</v>
      </c>
      <c r="BT26" s="867">
        <f t="shared" si="6"/>
        <v>1513212</v>
      </c>
      <c r="BU26" s="867">
        <f t="shared" si="6"/>
        <v>7488597</v>
      </c>
      <c r="BV26" s="867">
        <f t="shared" si="6"/>
        <v>206424</v>
      </c>
      <c r="BW26" s="1057">
        <f t="shared" si="6"/>
        <v>36.6</v>
      </c>
      <c r="BX26" s="1055">
        <f t="shared" ref="BX26:CC26" si="7">SUM(BX27:BX36)</f>
        <v>180951566</v>
      </c>
      <c r="BY26" s="946">
        <f t="shared" si="7"/>
        <v>123091708</v>
      </c>
      <c r="BZ26" s="946">
        <f t="shared" si="7"/>
        <v>41604970</v>
      </c>
      <c r="CA26" s="946">
        <f t="shared" si="7"/>
        <v>1230933</v>
      </c>
      <c r="CB26" s="946">
        <f t="shared" si="7"/>
        <v>15023955</v>
      </c>
      <c r="CC26" s="1069">
        <f t="shared" si="7"/>
        <v>381.36629999999997</v>
      </c>
    </row>
    <row r="27" spans="1:87">
      <c r="A27" s="1">
        <v>3111</v>
      </c>
      <c r="B27" s="663">
        <f>LB!I470+FR!I133+JN!I200+TA!I104+ŽB!I78+ČL!I298+NB!I128+SM!I170+JI!I142+TU!I205</f>
        <v>1317109205</v>
      </c>
      <c r="C27" s="664">
        <f>LB!J470+FR!J133+JN!J200+TA!J104+ŽB!J78+ČL!J298+NB!J128+SM!J170+JI!J142+TU!J205</f>
        <v>968747487</v>
      </c>
      <c r="D27" s="664">
        <f>LB!K470+FR!K133+JN!K200+TA!K104+ŽB!K78+ČL!K298+NB!K128+SM!K170+JI!K142+TU!K205</f>
        <v>866516742</v>
      </c>
      <c r="E27" s="664">
        <f>LB!L470+FR!L133+JN!L200+TA!L104+ŽB!L78+ČL!L298+NB!L128+SM!L170+JI!L142+TU!L205</f>
        <v>102230745</v>
      </c>
      <c r="F27" s="664">
        <f>LB!M470+FR!M133+JN!M200+TA!M104+ŽB!M78+ČL!M298+NB!M128+SM!M170+JI!M142+TU!M205</f>
        <v>3916465</v>
      </c>
      <c r="G27" s="664">
        <f>LB!N470+FR!N133+JN!N200+TA!N104+ŽB!N78+ČL!N298+NB!N128+SM!N170+JI!N142+TU!N205</f>
        <v>2253640</v>
      </c>
      <c r="H27" s="664">
        <f>LB!O470+FR!O133+JN!O200+TA!O104+ŽB!O78+ČL!O298+NB!O128+SM!O170+JI!O142+TU!O205</f>
        <v>1662825</v>
      </c>
      <c r="I27" s="664">
        <f>LB!P470+FR!P133+JN!P200+TA!P104+ŽB!P78+ČL!P298+NB!P128+SM!P170+JI!P142+TU!P205</f>
        <v>328563981</v>
      </c>
      <c r="J27" s="664">
        <f>LB!Q470+FR!Q133+JN!Q200+TA!Q104+ŽB!Q78+ČL!Q298+NB!Q128+SM!Q170+JI!Q142+TU!Q205</f>
        <v>9687488</v>
      </c>
      <c r="K27" s="664">
        <f>LB!R470+FR!R133+JN!R200+TA!R104+ŽB!R78+ČL!R298+NB!R128+SM!R170+JI!R142+TU!R205</f>
        <v>6193784</v>
      </c>
      <c r="L27" s="665">
        <f>LB!S470+FR!S133+JN!S200+TA!S104+ŽB!S78+ČL!S298+NB!S128+SM!S170+JI!S142+TU!S205</f>
        <v>1928.6525000000001</v>
      </c>
      <c r="M27" s="665">
        <f>LB!T470+FR!T133+JN!T200+TA!T104+ŽB!T78+ČL!T298+NB!T128+SM!T170+JI!T142+TU!T205</f>
        <v>1566.8868000000002</v>
      </c>
      <c r="N27" s="780">
        <f>LB!U470+FR!U133+JN!U200+TA!U104+ŽB!U78+ČL!U298+NB!U128+SM!U170+JI!U142+TU!U205</f>
        <v>361.76569999999992</v>
      </c>
      <c r="O27" s="663">
        <f>LB!V470+FR!V133+JN!V200+TA!V104+ŽB!V78+ČL!V298+NB!V128+SM!V170+JI!V142+TU!V205</f>
        <v>-146007</v>
      </c>
      <c r="P27" s="664">
        <f>LB!W470+FR!W133+JN!W200+TA!W104+ŽB!W78+ČL!W298+NB!W128+SM!W170+JI!W142+TU!W205</f>
        <v>-635702</v>
      </c>
      <c r="Q27" s="664">
        <f>LB!X470+FR!X133+JN!X200+TA!X104+ŽB!X78+ČL!X298+NB!X128+SM!X170+JI!X142+TU!X205</f>
        <v>170654</v>
      </c>
      <c r="R27" s="664">
        <f>LB!Y470+FR!Y133+JN!Y200+TA!Y104+ŽB!Y78+ČL!Y298+NB!Y128+SM!Y170+JI!Y142+TU!Y205</f>
        <v>0</v>
      </c>
      <c r="S27" s="664">
        <f>LB!Z470+FR!Z133+JN!Z200+TA!Z104+ŽB!Z78+ČL!Z298+NB!Z128+SM!Z170+JI!Z142+TU!Z205</f>
        <v>366454</v>
      </c>
      <c r="T27" s="664">
        <f>LB!AA470+FR!AA133+JN!AA200+TA!AA104+ŽB!AA78+ČL!AA298+NB!AA128+SM!AA170+JI!AA142+TU!AA205</f>
        <v>0</v>
      </c>
      <c r="U27" s="664">
        <f>LB!AB470+FR!AB133+JN!AB200+TA!AB104+ŽB!AB78+ČL!AB298+NB!AB128+SM!AB170+JI!AB142+TU!AB205</f>
        <v>0</v>
      </c>
      <c r="V27" s="664">
        <f>LB!AC470+FR!AC133+JN!AC200+TA!AC104+ŽB!AC78+ČL!AC298+NB!AC128+SM!AC170+JI!AC142+TU!AC205</f>
        <v>0</v>
      </c>
      <c r="W27" s="664">
        <f>LB!AD470+FR!AD133+JN!AD200+TA!AD104+ŽB!AD78+ČL!AD298+NB!AD128+SM!AD170+JI!AD142+TU!AD205</f>
        <v>0</v>
      </c>
      <c r="X27" s="664">
        <f>LB!AE470+FR!AE133+JN!AE200+TA!AE104+ŽB!AE78+ČL!AE298+NB!AE128+SM!AE170+JI!AE142+TU!AE205</f>
        <v>391101</v>
      </c>
      <c r="Y27" s="664">
        <f>LB!AF470+FR!AF133+JN!AF200+TA!AF104+ŽB!AF78+ČL!AF298+NB!AF128+SM!AF170+JI!AF142+TU!AF205</f>
        <v>-635702</v>
      </c>
      <c r="Z27" s="664">
        <f>LB!AG470+FR!AG133+JN!AG200+TA!AG104+ŽB!AG78+ČL!AG298+NB!AG128+SM!AG170+JI!AG142+TU!AG205</f>
        <v>-244601</v>
      </c>
      <c r="AA27" s="664">
        <f>LB!AH470+FR!AH133+JN!AH200+TA!AH104+ŽB!AH78+ČL!AH298+NB!AH128+SM!AH170+JI!AH142+TU!AH205</f>
        <v>32779</v>
      </c>
      <c r="AB27" s="664">
        <f>LB!AI470+FR!AI133+JN!AI200+TA!AI104+ŽB!AI78+ČL!AI298+NB!AI128+SM!AI170+JI!AI142+TU!AI205</f>
        <v>601892</v>
      </c>
      <c r="AC27" s="664">
        <f>LB!AJ470+FR!AJ133+JN!AJ200+TA!AJ104+ŽB!AJ78+ČL!AJ298+NB!AJ128+SM!AJ170+JI!AJ142+TU!AJ205</f>
        <v>0</v>
      </c>
      <c r="AD27" s="664">
        <f>LB!AK470+FR!AK133+JN!AK200+TA!AK104+ŽB!AK78+ČL!AK298+NB!AK128+SM!AK170+JI!AK142+TU!AK205</f>
        <v>-36237</v>
      </c>
      <c r="AE27" s="664">
        <f>LB!AL470+FR!AL133+JN!AL200+TA!AL104+ŽB!AL78+ČL!AL298+NB!AL128+SM!AL170+JI!AL142+TU!AL205</f>
        <v>33810</v>
      </c>
      <c r="AF27" s="664">
        <f>LB!AM470+FR!AM133+JN!AM200+TA!AM104+ŽB!AM78+ČL!AM298+NB!AM128+SM!AM170+JI!AM142+TU!AM205</f>
        <v>-3458</v>
      </c>
      <c r="AG27" s="664">
        <f>LB!AN470+FR!AN133+JN!AN200+TA!AN104+ŽB!AN78+ČL!AN298+NB!AN128+SM!AN170+JI!AN142+TU!AN205</f>
        <v>635702</v>
      </c>
      <c r="AH27" s="664">
        <f>LB!AO470+FR!AO133+JN!AO200+TA!AO104+ŽB!AO78+ČL!AO298+NB!AO128+SM!AO170+JI!AO142+TU!AO205</f>
        <v>632244</v>
      </c>
      <c r="AI27" s="664">
        <f>LB!AP470+FR!AP133+JN!AP200+TA!AP104+ŽB!AP78+ČL!AP298+NB!AP128+SM!AP170+JI!AP142+TU!AP205</f>
        <v>387643</v>
      </c>
      <c r="AJ27" s="664">
        <f>LB!AQ470+FR!AQ133+JN!AQ200+TA!AQ104+ŽB!AQ78+ČL!AQ298+NB!AQ128+SM!AQ170+JI!AQ142+TU!AQ205</f>
        <v>0</v>
      </c>
      <c r="AK27" s="664">
        <f>LB!AR470+FR!AR133+JN!AR200+TA!AR104+ŽB!AR78+ČL!AR298+NB!AR128+SM!AR170+JI!AR142+TU!AR205</f>
        <v>387643</v>
      </c>
      <c r="AL27" s="664">
        <f>LB!AS470+FR!AS133+JN!AS200+TA!AS104+ŽB!AS78+ČL!AS298+NB!AS128+SM!AS170+JI!AS142+TU!AS205</f>
        <v>131842</v>
      </c>
      <c r="AM27" s="664">
        <f>LB!AT470+FR!AT133+JN!AT200+TA!AT104+ŽB!AT78+ČL!AT298+NB!AT128+SM!AT170+JI!AT142+TU!AT205</f>
        <v>-2442</v>
      </c>
      <c r="AN27" s="664">
        <f>LB!AU470+FR!AU133+JN!AU200+TA!AU104+ŽB!AU78+ČL!AU298+NB!AU128+SM!AU170+JI!AU142+TU!AU205</f>
        <v>21500</v>
      </c>
      <c r="AO27" s="664">
        <f>LB!AV470+FR!AV133+JN!AV200+TA!AV104+ŽB!AV78+ČL!AV298+NB!AV128+SM!AV170+JI!AV142+TU!AV205</f>
        <v>0</v>
      </c>
      <c r="AP27" s="664">
        <f>LB!AW470+FR!AW133+JN!AW200+TA!AW104+ŽB!AW78+ČL!AW298+NB!AW128+SM!AW170+JI!AW142+TU!AW205</f>
        <v>0</v>
      </c>
      <c r="AQ27" s="664">
        <f>LB!AX470+FR!AX133+JN!AX200+TA!AX104+ŽB!AX78+ČL!AX298+NB!AX128+SM!AX170+JI!AX142+TU!AX205</f>
        <v>21500</v>
      </c>
      <c r="AR27" s="664">
        <f>LB!AY470+FR!AY133+JN!AY200+TA!AY104+ŽB!AY78+ČL!AY298+NB!AY128+SM!AY170+JI!AY142+TU!AY205</f>
        <v>538543</v>
      </c>
      <c r="AS27" s="665">
        <f>LB!AZ470+FR!AZ133+JN!AZ200+TA!AZ104+ŽB!AZ78+ČL!AZ298+NB!AZ128+SM!AZ170+JI!AZ142+TU!AZ205</f>
        <v>5.2999999999999992E-2</v>
      </c>
      <c r="AT27" s="665">
        <f>LB!BA470+FR!BA133+JN!BA200+TA!BA104+ŽB!BA78+ČL!BA298+NB!BA128+SM!BA170+JI!BA142+TU!BA205</f>
        <v>-1.29</v>
      </c>
      <c r="AU27" s="665">
        <f>LB!BB470+FR!BB133+JN!BB200+TA!BB104+ŽB!BB78+ČL!BB298+NB!BB128+SM!BB170+JI!BB142+TU!BB205</f>
        <v>0.41000000000000003</v>
      </c>
      <c r="AV27" s="665">
        <f>LB!BC470+FR!BC133+JN!BC200+TA!BC104+ŽB!BC78+ČL!BC298+NB!BC128+SM!BC170+JI!BC142+TU!BC205</f>
        <v>0.85000000000000009</v>
      </c>
      <c r="AW27" s="665">
        <f>LB!BD470+FR!BD133+JN!BD200+TA!BD104+ŽB!BD78+ČL!BD298+NB!BD128+SM!BD170+JI!BD142+TU!BD205</f>
        <v>0</v>
      </c>
      <c r="AX27" s="665">
        <f>LB!BE470+FR!BE133+JN!BE200+TA!BE104+ŽB!BE78+ČL!BE298+NB!BE128+SM!BE170+JI!BE142+TU!BE205</f>
        <v>0</v>
      </c>
      <c r="AY27" s="665">
        <f>LB!BF470+FR!BF133+JN!BF200+TA!BF104+ŽB!BF78+ČL!BF298+NB!BF128+SM!BF170+JI!BF142+TU!BF205</f>
        <v>0</v>
      </c>
      <c r="AZ27" s="665">
        <f>LB!BG470+FR!BG133+JN!BG200+TA!BG104+ŽB!BG78+ČL!BG298+NB!BG128+SM!BG170+JI!BG142+TU!BG205</f>
        <v>0</v>
      </c>
      <c r="BA27" s="665">
        <f>LB!BH470+FR!BH133+JN!BH200+TA!BH104+ŽB!BH78+ČL!BH298+NB!BH128+SM!BH170+JI!BH142+TU!BH205</f>
        <v>0</v>
      </c>
      <c r="BB27" s="665">
        <f>LB!BI470+FR!BI133+JN!BI200+TA!BI104+ŽB!BI78+ČL!BI298+NB!BI128+SM!BI170+JI!BI142+TU!BI205</f>
        <v>1.3129999999999999</v>
      </c>
      <c r="BC27" s="665">
        <f>LB!BJ470+FR!BJ133+JN!BJ200+TA!BJ104+ŽB!BJ78+ČL!BJ298+NB!BJ128+SM!BJ170+JI!BJ142+TU!BJ205</f>
        <v>-1.29</v>
      </c>
      <c r="BD27" s="666">
        <f>LB!BK470+FR!BK133+JN!BK200+TA!BK104+ŽB!BK78+ČL!BK298+NB!BK128+SM!BK170+JI!BK142+TU!BK205</f>
        <v>2.2999999999999993E-2</v>
      </c>
      <c r="BE27" s="778">
        <f>LB!BL470+FR!BL133+JN!BL200+TA!BL104+ŽB!BL78+ČL!BL298+NB!BL128+SM!BL170+JI!BL142+TU!BL205</f>
        <v>1317647748</v>
      </c>
      <c r="BF27" s="664">
        <f>LB!BM470+FR!BM133+JN!BM200+TA!BM104+ŽB!BM78+ČL!BM298+NB!BM128+SM!BM170+JI!BM142+TU!BM205</f>
        <v>968502886</v>
      </c>
      <c r="BG27" s="664">
        <f>LB!BN470+FR!BN133+JN!BN200+TA!BN104+ŽB!BN78+ČL!BN298+NB!BN128+SM!BN170+JI!BN142+TU!BN205</f>
        <v>866907843</v>
      </c>
      <c r="BH27" s="664">
        <f>LB!BO470+FR!BO133+JN!BO200+TA!BO104+ŽB!BO78+ČL!BO298+NB!BO128+SM!BO170+JI!BO142+TU!BO205</f>
        <v>101595043</v>
      </c>
      <c r="BI27" s="664">
        <f>LB!BP470+FR!BP133+JN!BP200+TA!BP104+ŽB!BP78+ČL!BP298+NB!BP128+SM!BP170+JI!BP142+TU!BP205</f>
        <v>4548709</v>
      </c>
      <c r="BJ27" s="664">
        <f>LB!BQ470+FR!BQ133+JN!BQ200+TA!BQ104+ŽB!BQ78+ČL!BQ298+NB!BQ128+SM!BQ170+JI!BQ142+TU!BQ205</f>
        <v>2250182</v>
      </c>
      <c r="BK27" s="664">
        <f>LB!BR470+FR!BR133+JN!BR200+TA!BR104+ŽB!BR78+ČL!BR298+NB!BR128+SM!BR170+JI!BR142+TU!BR205</f>
        <v>2298527</v>
      </c>
      <c r="BL27" s="664">
        <f>LB!BS470+FR!BS133+JN!BS200+TA!BS104+ŽB!BS78+ČL!BS298+NB!BS128+SM!BS170+JI!BS142+TU!BS205</f>
        <v>328695823</v>
      </c>
      <c r="BM27" s="664">
        <f>LB!BT470+FR!BT133+JN!BT200+TA!BT104+ŽB!BT78+ČL!BT298+NB!BT128+SM!BT170+JI!BT142+TU!BT205</f>
        <v>9685046</v>
      </c>
      <c r="BN27" s="664">
        <f>LB!BU470+FR!BU133+JN!BU200+TA!BU104+ŽB!BU78+ČL!BU298+NB!BU128+SM!BU170+JI!BU142+TU!BU205</f>
        <v>6215284</v>
      </c>
      <c r="BO27" s="665">
        <f>LB!BV470+FR!BV133+JN!BV200+TA!BV104+ŽB!BV78+ČL!BV298+NB!BV128+SM!BV170+JI!BV142+TU!BV205</f>
        <v>1928.6755000000003</v>
      </c>
      <c r="BP27" s="665">
        <f>LB!BW470+FR!BW133+JN!BW200+TA!BW104+ŽB!BW78+ČL!BW298+NB!BW128+SM!BW170+JI!BW142+TU!BW205</f>
        <v>1568.1997999999999</v>
      </c>
      <c r="BQ27" s="780">
        <f>LB!BX470+FR!BX133+JN!BX200+TA!BX104+ŽB!BX78+ČL!BX298+NB!BX128+SM!BX170+JI!BX142+TU!BX205</f>
        <v>360.47569999999996</v>
      </c>
      <c r="BR27" s="663">
        <f>LB!BY470+FR!BY133+JN!BY200+TA!BY104+ŽB!BY78+ČL!BY298+NB!BY128+SM!BY170+JI!BY142+TU!BY205</f>
        <v>0</v>
      </c>
      <c r="BS27" s="664">
        <f>LB!BZ470+FR!BZ133+JN!BZ200+TA!BZ104+ŽB!BZ78+ČL!BZ298+NB!BZ128+SM!BZ170+JI!BZ142+TU!BZ205</f>
        <v>0</v>
      </c>
      <c r="BT27" s="664">
        <f>LB!CA470+FR!CA133+JN!CA200+TA!CA104+ŽB!CA78+ČL!CA298+NB!CA128+SM!CA170+JI!CA142+TU!CA205</f>
        <v>0</v>
      </c>
      <c r="BU27" s="664">
        <f>LB!CB470+FR!CB133+JN!CB200+TA!CB104+ŽB!CB78+ČL!CB298+NB!CB128+SM!CB170+JI!CB142+TU!CB205</f>
        <v>0</v>
      </c>
      <c r="BV27" s="664">
        <f>LB!CC470+FR!CC133+JN!CC200+TA!CC104+ŽB!CC78+ČL!CC298+NB!CC128+SM!CC170+JI!CC142+TU!CC205</f>
        <v>0</v>
      </c>
      <c r="BW27" s="666">
        <f>LB!CD470+FR!CD133+JN!CD200+TA!CD104+ŽB!CD78+ČL!CD298+NB!CD128+SM!CD170+JI!CD142+TU!CD205</f>
        <v>0</v>
      </c>
      <c r="BX27" s="778">
        <f>LB!CE470+FR!CE133+JN!CE200+TA!CE104+ŽB!CE78+ČL!CE298+NB!CE128+SM!CE170+JI!CE142+TU!CE205</f>
        <v>47117122</v>
      </c>
      <c r="BY27" s="664">
        <f>LB!CF470+FR!CF133+JN!CF200+TA!CF104+ŽB!CF78+ČL!CF298+NB!CF128+SM!CF170+JI!CF142+TU!CF205</f>
        <v>33452203</v>
      </c>
      <c r="BZ27" s="664">
        <f>LB!CG470+FR!CG133+JN!CG200+TA!CG104+ŽB!CG78+ČL!CG298+NB!CG128+SM!CG170+JI!CG142+TU!CG205</f>
        <v>11306810</v>
      </c>
      <c r="CA27" s="664">
        <f>LB!CH470+FR!CH133+JN!CH200+TA!CH104+ŽB!CH78+ČL!CH298+NB!CH128+SM!CH170+JI!CH142+TU!CH205</f>
        <v>334530</v>
      </c>
      <c r="CB27" s="664">
        <f>LB!CI470+FR!CI133+JN!CI200+TA!CI104+ŽB!CI78+ČL!CI298+NB!CI128+SM!CI170+JI!CI142+TU!CI205</f>
        <v>2023579</v>
      </c>
      <c r="CC27" s="666">
        <f>LB!CJ470+FR!CJ133+JN!CJ200+TA!CJ104+ŽB!CJ78+ČL!CJ298+NB!CJ128+SM!CJ170+JI!CJ142+TU!CJ205</f>
        <v>117.88200000000001</v>
      </c>
    </row>
    <row r="28" spans="1:87">
      <c r="A28" s="2">
        <v>3113</v>
      </c>
      <c r="B28" s="167">
        <f>LB!I471+FR!I134+JN!I201+TA!I105+ŽB!I79+ČL!I299+NB!I129+SM!I171+JI!I143+TU!I206</f>
        <v>3217391947</v>
      </c>
      <c r="C28" s="16">
        <f>LB!J471+FR!J134+JN!J201+TA!J105+ŽB!J79+ČL!J299+NB!J129+SM!J171+JI!J143+TU!J206</f>
        <v>2339235908</v>
      </c>
      <c r="D28" s="16">
        <f>LB!K471+FR!K134+JN!K201+TA!K105+ŽB!K79+ČL!K299+NB!K129+SM!K171+JI!K143+TU!K206</f>
        <v>2124017646</v>
      </c>
      <c r="E28" s="16">
        <f>LB!L471+FR!L134+JN!L201+TA!L105+ŽB!L79+ČL!L299+NB!L129+SM!L171+JI!L143+TU!L206</f>
        <v>215218262</v>
      </c>
      <c r="F28" s="16">
        <f>LB!M471+FR!M134+JN!M201+TA!M105+ŽB!M79+ČL!M299+NB!M129+SM!M171+JI!M143+TU!M206</f>
        <v>10855517</v>
      </c>
      <c r="G28" s="16">
        <f>LB!N471+FR!N134+JN!N201+TA!N105+ŽB!N79+ČL!N299+NB!N129+SM!N171+JI!N143+TU!N206</f>
        <v>8238137</v>
      </c>
      <c r="H28" s="16">
        <f>LB!O471+FR!O134+JN!O201+TA!O105+ŽB!O79+ČL!O299+NB!O129+SM!O171+JI!O143+TU!O206</f>
        <v>2617380</v>
      </c>
      <c r="I28" s="16">
        <f>LB!P471+FR!P134+JN!P201+TA!P105+ŽB!P79+ČL!P299+NB!P129+SM!P171+JI!P143+TU!P206</f>
        <v>794216776</v>
      </c>
      <c r="J28" s="16">
        <f>LB!Q471+FR!Q134+JN!Q201+TA!Q105+ŽB!Q79+ČL!Q299+NB!Q129+SM!Q171+JI!Q143+TU!Q206</f>
        <v>23392373</v>
      </c>
      <c r="K28" s="16">
        <f>LB!R471+FR!R134+JN!R201+TA!R105+ŽB!R79+ČL!R299+NB!R129+SM!R171+JI!R143+TU!R206</f>
        <v>49691373</v>
      </c>
      <c r="L28" s="13">
        <f>LB!S471+FR!S134+JN!S201+TA!S105+ŽB!S79+ČL!S299+NB!S129+SM!S171+JI!S143+TU!S206</f>
        <v>3992.0252999999993</v>
      </c>
      <c r="M28" s="13">
        <f>LB!T471+FR!T134+JN!T201+TA!T105+ŽB!T79+ČL!T299+NB!T129+SM!T171+JI!T143+TU!T206</f>
        <v>3349.0615000000003</v>
      </c>
      <c r="N28" s="169">
        <f>LB!U471+FR!U134+JN!U201+TA!U105+ŽB!U79+ČL!U299+NB!U129+SM!U171+JI!U143+TU!U206</f>
        <v>642.96379999999999</v>
      </c>
      <c r="O28" s="167">
        <f>LB!V471+FR!V134+JN!V201+TA!V105+ŽB!V79+ČL!V299+NB!V129+SM!V171+JI!V143+TU!V206</f>
        <v>1377114</v>
      </c>
      <c r="P28" s="16">
        <f>LB!W471+FR!W134+JN!W201+TA!W105+ŽB!W79+ČL!W299+NB!W129+SM!W171+JI!W143+TU!W206</f>
        <v>-1558502</v>
      </c>
      <c r="Q28" s="16">
        <f>LB!X471+FR!X134+JN!X201+TA!X105+ŽB!X79+ČL!X299+NB!X129+SM!X171+JI!X143+TU!X206</f>
        <v>51504</v>
      </c>
      <c r="R28" s="16">
        <f>LB!Y471+FR!Y134+JN!Y201+TA!Y105+ŽB!Y79+ČL!Y299+NB!Y129+SM!Y171+JI!Y143+TU!Y206</f>
        <v>1692072</v>
      </c>
      <c r="S28" s="16">
        <f>LB!Z471+FR!Z134+JN!Z201+TA!Z105+ŽB!Z79+ČL!Z299+NB!Z129+SM!Z171+JI!Z143+TU!Z206</f>
        <v>-602399</v>
      </c>
      <c r="T28" s="16">
        <f>LB!AA471+FR!AA134+JN!AA201+TA!AA105+ŽB!AA79+ČL!AA299+NB!AA129+SM!AA171+JI!AA143+TU!AA206</f>
        <v>0</v>
      </c>
      <c r="U28" s="16">
        <f>LB!AB471+FR!AB134+JN!AB201+TA!AB105+ŽB!AB79+ČL!AB299+NB!AB129+SM!AB171+JI!AB143+TU!AB206</f>
        <v>0</v>
      </c>
      <c r="V28" s="16">
        <f>LB!AC471+FR!AC134+JN!AC201+TA!AC105+ŽB!AC79+ČL!AC299+NB!AC129+SM!AC171+JI!AC143+TU!AC206</f>
        <v>0</v>
      </c>
      <c r="W28" s="16">
        <f>LB!AD471+FR!AD134+JN!AD201+TA!AD105+ŽB!AD79+ČL!AD299+NB!AD129+SM!AD171+JI!AD143+TU!AD206</f>
        <v>0</v>
      </c>
      <c r="X28" s="16">
        <f>LB!AE471+FR!AE134+JN!AE201+TA!AE105+ŽB!AE79+ČL!AE299+NB!AE129+SM!AE171+JI!AE143+TU!AE206</f>
        <v>2518291</v>
      </c>
      <c r="Y28" s="16">
        <f>LB!AF471+FR!AF134+JN!AF201+TA!AF105+ŽB!AF79+ČL!AF299+NB!AF129+SM!AF171+JI!AF143+TU!AF206</f>
        <v>-1558502</v>
      </c>
      <c r="Z28" s="16">
        <f>LB!AG471+FR!AG134+JN!AG201+TA!AG105+ŽB!AG79+ČL!AG299+NB!AG129+SM!AG171+JI!AG143+TU!AG206</f>
        <v>959789</v>
      </c>
      <c r="AA28" s="16">
        <f>LB!AH471+FR!AH134+JN!AH201+TA!AH105+ŽB!AH79+ČL!AH299+NB!AH129+SM!AH171+JI!AH143+TU!AH206</f>
        <v>-1191915</v>
      </c>
      <c r="AB28" s="16">
        <f>LB!AI471+FR!AI134+JN!AI201+TA!AI105+ŽB!AI79+ČL!AI299+NB!AI129+SM!AI171+JI!AI143+TU!AI206</f>
        <v>1558502</v>
      </c>
      <c r="AC28" s="16">
        <f>LB!AJ471+FR!AJ134+JN!AJ201+TA!AJ105+ŽB!AJ79+ČL!AJ299+NB!AJ129+SM!AJ171+JI!AJ143+TU!AJ206</f>
        <v>0</v>
      </c>
      <c r="AD28" s="16">
        <f>LB!AK471+FR!AK134+JN!AK201+TA!AK105+ŽB!AK79+ČL!AK299+NB!AK129+SM!AK171+JI!AK143+TU!AK206</f>
        <v>-147042</v>
      </c>
      <c r="AE28" s="16">
        <f>LB!AL471+FR!AL134+JN!AL201+TA!AL105+ŽB!AL79+ČL!AL299+NB!AL129+SM!AL171+JI!AL143+TU!AL206</f>
        <v>18270</v>
      </c>
      <c r="AF28" s="16">
        <f>LB!AM471+FR!AM134+JN!AM201+TA!AM105+ŽB!AM79+ČL!AM299+NB!AM129+SM!AM171+JI!AM143+TU!AM206</f>
        <v>-1338957</v>
      </c>
      <c r="AG28" s="16">
        <f>LB!AN471+FR!AN134+JN!AN201+TA!AN105+ŽB!AN79+ČL!AN299+NB!AN129+SM!AN171+JI!AN143+TU!AN206</f>
        <v>1592692</v>
      </c>
      <c r="AH28" s="16">
        <f>LB!AO471+FR!AO134+JN!AO201+TA!AO105+ŽB!AO79+ČL!AO299+NB!AO129+SM!AO171+JI!AO143+TU!AO206</f>
        <v>253735</v>
      </c>
      <c r="AI28" s="16">
        <f>LB!AP471+FR!AP134+JN!AP201+TA!AP105+ŽB!AP79+ČL!AP299+NB!AP129+SM!AP171+JI!AP143+TU!AP206</f>
        <v>1179334</v>
      </c>
      <c r="AJ28" s="16">
        <f>LB!AQ471+FR!AQ134+JN!AQ201+TA!AQ105+ŽB!AQ79+ČL!AQ299+NB!AQ129+SM!AQ171+JI!AQ143+TU!AQ206</f>
        <v>34190</v>
      </c>
      <c r="AK28" s="16">
        <f>LB!AR471+FR!AR134+JN!AR201+TA!AR105+ŽB!AR79+ČL!AR299+NB!AR129+SM!AR171+JI!AR143+TU!AR206</f>
        <v>1213524</v>
      </c>
      <c r="AL28" s="16">
        <f>LB!AS471+FR!AS134+JN!AS201+TA!AS105+ŽB!AS79+ČL!AS299+NB!AS129+SM!AS171+JI!AS143+TU!AS206</f>
        <v>448317</v>
      </c>
      <c r="AM28" s="16">
        <f>LB!AT471+FR!AT134+JN!AT201+TA!AT105+ŽB!AT79+ČL!AT299+NB!AT129+SM!AT171+JI!AT143+TU!AT206</f>
        <v>9604</v>
      </c>
      <c r="AN28" s="16">
        <f>LB!AU471+FR!AU134+JN!AU201+TA!AU105+ŽB!AU79+ČL!AU299+NB!AU129+SM!AU171+JI!AU143+TU!AU206</f>
        <v>203000</v>
      </c>
      <c r="AO28" s="16">
        <f>LB!AV471+FR!AV134+JN!AV201+TA!AV105+ŽB!AV79+ČL!AV299+NB!AV129+SM!AV171+JI!AV143+TU!AV206</f>
        <v>0</v>
      </c>
      <c r="AP28" s="16">
        <f>LB!AW471+FR!AW134+JN!AW201+TA!AW105+ŽB!AW79+ČL!AW299+NB!AW129+SM!AW171+JI!AW143+TU!AW206</f>
        <v>0</v>
      </c>
      <c r="AQ28" s="16">
        <f>LB!AX471+FR!AX134+JN!AX201+TA!AX105+ŽB!AX79+ČL!AX299+NB!AX129+SM!AX171+JI!AX143+TU!AX206</f>
        <v>203000</v>
      </c>
      <c r="AR28" s="16">
        <f>LB!AY471+FR!AY134+JN!AY201+TA!AY105+ŽB!AY79+ČL!AY299+NB!AY129+SM!AY171+JI!AY143+TU!AY206</f>
        <v>1874445</v>
      </c>
      <c r="AS28" s="13">
        <f>LB!AZ471+FR!AZ134+JN!AZ201+TA!AZ105+ŽB!AZ79+ČL!AZ299+NB!AZ129+SM!AZ171+JI!AZ143+TU!AZ206</f>
        <v>-0.52</v>
      </c>
      <c r="AT28" s="13">
        <f>LB!BA471+FR!BA134+JN!BA201+TA!BA105+ŽB!BA79+ČL!BA299+NB!BA129+SM!BA171+JI!BA143+TU!BA206</f>
        <v>-3.3</v>
      </c>
      <c r="AU28" s="13">
        <f>LB!BB471+FR!BB134+JN!BB201+TA!BB105+ŽB!BB79+ČL!BB299+NB!BB129+SM!BB171+JI!BB143+TU!BB206</f>
        <v>0.78000000000000025</v>
      </c>
      <c r="AV28" s="13">
        <f>LB!BC471+FR!BC134+JN!BC201+TA!BC105+ŽB!BC79+ČL!BC299+NB!BC129+SM!BC171+JI!BC143+TU!BC206</f>
        <v>-1</v>
      </c>
      <c r="AW28" s="13">
        <f>LB!BD471+FR!BD134+JN!BD201+TA!BD105+ŽB!BD79+ČL!BD299+NB!BD129+SM!BD171+JI!BD143+TU!BD206</f>
        <v>0</v>
      </c>
      <c r="AX28" s="13">
        <f>LB!BE471+FR!BE134+JN!BE201+TA!BE105+ŽB!BE79+ČL!BE299+NB!BE129+SM!BE171+JI!BE143+TU!BE206</f>
        <v>2.4300000000000002</v>
      </c>
      <c r="AY28" s="13">
        <f>LB!BF471+FR!BF134+JN!BF201+TA!BF105+ŽB!BF79+ČL!BF299+NB!BF129+SM!BF171+JI!BF143+TU!BF206</f>
        <v>0</v>
      </c>
      <c r="AZ28" s="13">
        <f>LB!BG471+FR!BG134+JN!BG201+TA!BG105+ŽB!BG79+ČL!BG299+NB!BG129+SM!BG171+JI!BG143+TU!BG206</f>
        <v>0</v>
      </c>
      <c r="BA28" s="13">
        <f>LB!BH471+FR!BH134+JN!BH201+TA!BH105+ŽB!BH79+ČL!BH299+NB!BH129+SM!BH171+JI!BH143+TU!BH206</f>
        <v>0</v>
      </c>
      <c r="BB28" s="13">
        <f>LB!BI471+FR!BI134+JN!BI201+TA!BI105+ŽB!BI79+ČL!BI299+NB!BI129+SM!BI171+JI!BI143+TU!BI206</f>
        <v>1.6900000000000019</v>
      </c>
      <c r="BC28" s="13">
        <f>LB!BJ471+FR!BJ134+JN!BJ201+TA!BJ105+ŽB!BJ79+ČL!BJ299+NB!BJ129+SM!BJ171+JI!BJ143+TU!BJ206</f>
        <v>-3.3</v>
      </c>
      <c r="BD28" s="17">
        <f>LB!BK471+FR!BK134+JN!BK201+TA!BK105+ŽB!BK79+ČL!BK299+NB!BK129+SM!BK171+JI!BK143+TU!BK206</f>
        <v>-1.6099999999999985</v>
      </c>
      <c r="BE28" s="168">
        <f>LB!BL471+FR!BL134+JN!BL201+TA!BL105+ŽB!BL79+ČL!BL299+NB!BL129+SM!BL171+JI!BL143+TU!BL206</f>
        <v>3219266392</v>
      </c>
      <c r="BF28" s="16">
        <f>LB!BM471+FR!BM134+JN!BM201+TA!BM105+ŽB!BM79+ČL!BM299+NB!BM129+SM!BM171+JI!BM143+TU!BM206</f>
        <v>2340195697</v>
      </c>
      <c r="BG28" s="16">
        <f>LB!BN471+FR!BN134+JN!BN201+TA!BN105+ŽB!BN79+ČL!BN299+NB!BN129+SM!BN171+JI!BN143+TU!BN206</f>
        <v>2126535937</v>
      </c>
      <c r="BH28" s="16">
        <f>LB!BO471+FR!BO134+JN!BO201+TA!BO105+ŽB!BO79+ČL!BO299+NB!BO129+SM!BO171+JI!BO143+TU!BO206</f>
        <v>213659760</v>
      </c>
      <c r="BI28" s="16">
        <f>LB!BP471+FR!BP134+JN!BP201+TA!BP105+ŽB!BP79+ČL!BP299+NB!BP129+SM!BP171+JI!BP143+TU!BP206</f>
        <v>11109252</v>
      </c>
      <c r="BJ28" s="16">
        <f>LB!BQ471+FR!BQ134+JN!BQ201+TA!BQ105+ŽB!BQ79+ČL!BQ299+NB!BQ129+SM!BQ171+JI!BQ143+TU!BQ206</f>
        <v>6899180</v>
      </c>
      <c r="BK28" s="16">
        <f>LB!BR471+FR!BR134+JN!BR201+TA!BR105+ŽB!BR79+ČL!BR299+NB!BR129+SM!BR171+JI!BR143+TU!BR206</f>
        <v>4210072</v>
      </c>
      <c r="BL28" s="16">
        <f>LB!BS471+FR!BS134+JN!BS201+TA!BS105+ŽB!BS79+ČL!BS299+NB!BS129+SM!BS171+JI!BS143+TU!BS206</f>
        <v>794665093</v>
      </c>
      <c r="BM28" s="16">
        <f>LB!BT471+FR!BT134+JN!BT201+TA!BT105+ŽB!BT79+ČL!BT299+NB!BT129+SM!BT171+JI!BT143+TU!BT206</f>
        <v>23401977</v>
      </c>
      <c r="BN28" s="16">
        <f>LB!BU471+FR!BU134+JN!BU201+TA!BU105+ŽB!BU79+ČL!BU299+NB!BU129+SM!BU171+JI!BU143+TU!BU206</f>
        <v>49894373</v>
      </c>
      <c r="BO28" s="13">
        <f>LB!BV471+FR!BV134+JN!BV201+TA!BV105+ŽB!BV79+ČL!BV299+NB!BV129+SM!BV171+JI!BV143+TU!BV206</f>
        <v>3990.4153000000001</v>
      </c>
      <c r="BP28" s="13">
        <f>LB!BW471+FR!BW134+JN!BW201+TA!BW105+ŽB!BW79+ČL!BW299+NB!BW129+SM!BW171+JI!BW143+TU!BW206</f>
        <v>3350.7514999999994</v>
      </c>
      <c r="BQ28" s="169">
        <f>LB!BX471+FR!BX134+JN!BX201+TA!BX105+ŽB!BX79+ČL!BX299+NB!BX129+SM!BX171+JI!BX143+TU!BX206</f>
        <v>639.66380000000004</v>
      </c>
      <c r="BR28" s="167">
        <f>LB!BY471+FR!BY134+JN!BY201+TA!BY105+ŽB!BY79+ČL!BY299+NB!BY129+SM!BY171+JI!BY143+TU!BY206</f>
        <v>28939437</v>
      </c>
      <c r="BS28" s="16">
        <f>LB!BZ471+FR!BZ134+JN!BZ201+TA!BZ105+ŽB!BZ79+ČL!BZ299+NB!BZ129+SM!BZ171+JI!BZ143+TU!BZ206</f>
        <v>20078400</v>
      </c>
      <c r="BT28" s="16">
        <f>LB!CA471+FR!CA134+JN!CA201+TA!CA105+ŽB!CA79+ČL!CA299+NB!CA129+SM!CA171+JI!CA143+TU!CA206</f>
        <v>1400412</v>
      </c>
      <c r="BU28" s="16">
        <f>LB!CB471+FR!CB134+JN!CB201+TA!CB105+ŽB!CB79+ČL!CB299+NB!CB129+SM!CB171+JI!CB143+TU!CB206</f>
        <v>7259841</v>
      </c>
      <c r="BV28" s="16">
        <f>LB!CC471+FR!CC134+JN!CC201+TA!CC105+ŽB!CC79+ČL!CC299+NB!CC129+SM!CC171+JI!CC143+TU!CC206</f>
        <v>200784</v>
      </c>
      <c r="BW28" s="17">
        <f>LB!CD471+FR!CD134+JN!CD201+TA!CD105+ŽB!CD79+ČL!CD299+NB!CD129+SM!CD171+JI!CD143+TU!CD206</f>
        <v>35.6</v>
      </c>
      <c r="BX28" s="168">
        <f>LB!CE471+FR!CE134+JN!CE201+TA!CE105+ŽB!CE79+ČL!CE299+NB!CE129+SM!CE171+JI!CE143+TU!CE206</f>
        <v>105812698</v>
      </c>
      <c r="BY28" s="16">
        <f>LB!CF471+FR!CF134+JN!CF201+TA!CF105+ŽB!CF79+ČL!CF299+NB!CF129+SM!CF171+JI!CF143+TU!CF206</f>
        <v>69900086</v>
      </c>
      <c r="BZ28" s="16">
        <f>LB!CG471+FR!CG134+JN!CG201+TA!CG105+ŽB!CG79+ČL!CG299+NB!CG129+SM!CG171+JI!CG143+TU!CG206</f>
        <v>23626228</v>
      </c>
      <c r="CA28" s="16">
        <f>LB!CH471+FR!CH134+JN!CH201+TA!CH105+ŽB!CH79+ČL!CH299+NB!CH129+SM!CH171+JI!CH143+TU!CH206</f>
        <v>699008</v>
      </c>
      <c r="CB28" s="16">
        <f>LB!CI471+FR!CI134+JN!CI201+TA!CI105+ŽB!CI79+ČL!CI299+NB!CI129+SM!CI171+JI!CI143+TU!CI206</f>
        <v>11587376</v>
      </c>
      <c r="CC28" s="17">
        <f>LB!CJ471+FR!CJ134+JN!CJ201+TA!CJ105+ŽB!CJ79+ČL!CJ299+NB!CJ129+SM!CJ171+JI!CJ143+TU!CJ206</f>
        <v>208.31110000000001</v>
      </c>
    </row>
    <row r="29" spans="1:87">
      <c r="A29" s="2">
        <v>3114</v>
      </c>
      <c r="B29" s="167">
        <f>LB!I472+FR!I135+JN!I202+TA!I106+ŽB!I80+ČL!I300+NB!I130+SM!I172+JI!I144+TU!I207</f>
        <v>193386261</v>
      </c>
      <c r="C29" s="16">
        <f>LB!J472+FR!J135+JN!J202+TA!J106+ŽB!J80+ČL!J300+NB!J130+SM!J172+JI!J144+TU!J207</f>
        <v>141717909</v>
      </c>
      <c r="D29" s="16">
        <f>LB!K472+FR!K135+JN!K202+TA!K106+ŽB!K80+ČL!K300+NB!K130+SM!K172+JI!K144+TU!K207</f>
        <v>128628986</v>
      </c>
      <c r="E29" s="16">
        <f>LB!L472+FR!L135+JN!L202+TA!L106+ŽB!L80+ČL!L300+NB!L130+SM!L172+JI!L144+TU!L207</f>
        <v>13088923</v>
      </c>
      <c r="F29" s="16">
        <f>LB!M472+FR!M135+JN!M202+TA!M106+ŽB!M80+ČL!M300+NB!M130+SM!M172+JI!M144+TU!M207</f>
        <v>679128</v>
      </c>
      <c r="G29" s="16">
        <f>LB!N472+FR!N135+JN!N202+TA!N106+ŽB!N80+ČL!N300+NB!N130+SM!N172+JI!N144+TU!N207</f>
        <v>285920</v>
      </c>
      <c r="H29" s="16">
        <f>LB!O472+FR!O135+JN!O202+TA!O106+ŽB!O80+ČL!O300+NB!O130+SM!O172+JI!O144+TU!O207</f>
        <v>393208</v>
      </c>
      <c r="I29" s="16">
        <f>LB!P472+FR!P135+JN!P202+TA!P106+ŽB!P80+ČL!P300+NB!P130+SM!P172+JI!P144+TU!P207</f>
        <v>48130196</v>
      </c>
      <c r="J29" s="16">
        <f>LB!Q472+FR!Q135+JN!Q202+TA!Q106+ŽB!Q80+ČL!Q300+NB!Q130+SM!Q172+JI!Q144+TU!Q207</f>
        <v>1417178</v>
      </c>
      <c r="K29" s="16">
        <f>LB!R472+FR!R135+JN!R202+TA!R106+ŽB!R80+ČL!R300+NB!R130+SM!R172+JI!R144+TU!R207</f>
        <v>1441850</v>
      </c>
      <c r="L29" s="13">
        <f>LB!S472+FR!S135+JN!S202+TA!S106+ŽB!S80+ČL!S300+NB!S130+SM!S172+JI!S144+TU!S207</f>
        <v>246.43639999999999</v>
      </c>
      <c r="M29" s="13">
        <f>LB!T472+FR!T135+JN!T202+TA!T106+ŽB!T80+ČL!T300+NB!T130+SM!T172+JI!T144+TU!T207</f>
        <v>207.84639999999999</v>
      </c>
      <c r="N29" s="169">
        <f>LB!U472+FR!U135+JN!U202+TA!U106+ŽB!U80+ČL!U300+NB!U130+SM!U172+JI!U144+TU!U207</f>
        <v>38.590000000000003</v>
      </c>
      <c r="O29" s="167">
        <f>LB!V472+FR!V135+JN!V202+TA!V106+ŽB!V80+ČL!V300+NB!V130+SM!V172+JI!V144+TU!V207</f>
        <v>114980</v>
      </c>
      <c r="P29" s="16">
        <f>LB!W472+FR!W135+JN!W202+TA!W106+ŽB!W80+ČL!W300+NB!W130+SM!W172+JI!W144+TU!W207</f>
        <v>-290525</v>
      </c>
      <c r="Q29" s="16">
        <f>LB!X472+FR!X135+JN!X202+TA!X106+ŽB!X80+ČL!X300+NB!X130+SM!X172+JI!X144+TU!X207</f>
        <v>-77251</v>
      </c>
      <c r="R29" s="16">
        <f>LB!Y472+FR!Y135+JN!Y202+TA!Y106+ŽB!Y80+ČL!Y300+NB!Y130+SM!Y172+JI!Y144+TU!Y207</f>
        <v>0</v>
      </c>
      <c r="S29" s="16">
        <f>LB!Z472+FR!Z135+JN!Z202+TA!Z106+ŽB!Z80+ČL!Z300+NB!Z130+SM!Z172+JI!Z144+TU!Z207</f>
        <v>398658</v>
      </c>
      <c r="T29" s="16">
        <f>LB!AA472+FR!AA135+JN!AA202+TA!AA106+ŽB!AA80+ČL!AA300+NB!AA130+SM!AA172+JI!AA144+TU!AA207</f>
        <v>0</v>
      </c>
      <c r="U29" s="16">
        <f>LB!AB472+FR!AB135+JN!AB202+TA!AB106+ŽB!AB80+ČL!AB300+NB!AB130+SM!AB172+JI!AB144+TU!AB207</f>
        <v>0</v>
      </c>
      <c r="V29" s="16">
        <f>LB!AC472+FR!AC135+JN!AC202+TA!AC106+ŽB!AC80+ČL!AC300+NB!AC130+SM!AC172+JI!AC144+TU!AC207</f>
        <v>0</v>
      </c>
      <c r="W29" s="16">
        <f>LB!AD472+FR!AD135+JN!AD202+TA!AD106+ŽB!AD80+ČL!AD300+NB!AD130+SM!AD172+JI!AD144+TU!AD207</f>
        <v>0</v>
      </c>
      <c r="X29" s="16">
        <f>LB!AE472+FR!AE135+JN!AE202+TA!AE106+ŽB!AE80+ČL!AE300+NB!AE130+SM!AE172+JI!AE144+TU!AE207</f>
        <v>436387</v>
      </c>
      <c r="Y29" s="16">
        <f>LB!AF472+FR!AF135+JN!AF202+TA!AF106+ŽB!AF80+ČL!AF300+NB!AF130+SM!AF172+JI!AF144+TU!AF207</f>
        <v>-290525</v>
      </c>
      <c r="Z29" s="16">
        <f>LB!AG472+FR!AG135+JN!AG202+TA!AG106+ŽB!AG80+ČL!AG300+NB!AG130+SM!AG172+JI!AG144+TU!AG207</f>
        <v>145862</v>
      </c>
      <c r="AA29" s="16">
        <f>LB!AH472+FR!AH135+JN!AH202+TA!AH106+ŽB!AH80+ČL!AH300+NB!AH130+SM!AH172+JI!AH144+TU!AH207</f>
        <v>-114980</v>
      </c>
      <c r="AB29" s="16">
        <f>LB!AI472+FR!AI135+JN!AI202+TA!AI106+ŽB!AI80+ČL!AI300+NB!AI130+SM!AI172+JI!AI144+TU!AI207</f>
        <v>290525</v>
      </c>
      <c r="AC29" s="16">
        <f>LB!AJ472+FR!AJ135+JN!AJ202+TA!AJ106+ŽB!AJ80+ČL!AJ300+NB!AJ130+SM!AJ172+JI!AJ144+TU!AJ207</f>
        <v>0</v>
      </c>
      <c r="AD29" s="16">
        <f>LB!AK472+FR!AK135+JN!AK202+TA!AK106+ŽB!AK80+ČL!AK300+NB!AK130+SM!AK172+JI!AK144+TU!AK207</f>
        <v>0</v>
      </c>
      <c r="AE29" s="16">
        <f>LB!AL472+FR!AL135+JN!AL202+TA!AL106+ŽB!AL80+ČL!AL300+NB!AL130+SM!AL172+JI!AL144+TU!AL207</f>
        <v>0</v>
      </c>
      <c r="AF29" s="16">
        <f>LB!AM472+FR!AM135+JN!AM202+TA!AM106+ŽB!AM80+ČL!AM300+NB!AM130+SM!AM172+JI!AM144+TU!AM207</f>
        <v>-114980</v>
      </c>
      <c r="AG29" s="16">
        <f>LB!AN472+FR!AN135+JN!AN202+TA!AN106+ŽB!AN80+ČL!AN300+NB!AN130+SM!AN172+JI!AN144+TU!AN207</f>
        <v>290525</v>
      </c>
      <c r="AH29" s="16">
        <f>LB!AO472+FR!AO135+JN!AO202+TA!AO106+ŽB!AO80+ČL!AO300+NB!AO130+SM!AO172+JI!AO144+TU!AO207</f>
        <v>175545</v>
      </c>
      <c r="AI29" s="16">
        <f>LB!AP472+FR!AP135+JN!AP202+TA!AP106+ŽB!AP80+ČL!AP300+NB!AP130+SM!AP172+JI!AP144+TU!AP207</f>
        <v>321407</v>
      </c>
      <c r="AJ29" s="16">
        <f>LB!AQ472+FR!AQ135+JN!AQ202+TA!AQ106+ŽB!AQ80+ČL!AQ300+NB!AQ130+SM!AQ172+JI!AQ144+TU!AQ207</f>
        <v>0</v>
      </c>
      <c r="AK29" s="16">
        <f>LB!AR472+FR!AR135+JN!AR202+TA!AR106+ŽB!AR80+ČL!AR300+NB!AR130+SM!AR172+JI!AR144+TU!AR207</f>
        <v>321407</v>
      </c>
      <c r="AL29" s="16">
        <f>LB!AS472+FR!AS135+JN!AS202+TA!AS106+ŽB!AS80+ČL!AS300+NB!AS130+SM!AS172+JI!AS144+TU!AS207</f>
        <v>108637</v>
      </c>
      <c r="AM29" s="16">
        <f>LB!AT472+FR!AT135+JN!AT202+TA!AT106+ŽB!AT80+ČL!AT300+NB!AT130+SM!AT172+JI!AT144+TU!AT207</f>
        <v>1457</v>
      </c>
      <c r="AN29" s="16">
        <f>LB!AU472+FR!AU135+JN!AU202+TA!AU106+ŽB!AU80+ČL!AU300+NB!AU130+SM!AU172+JI!AU144+TU!AU207</f>
        <v>9500</v>
      </c>
      <c r="AO29" s="16">
        <f>LB!AV472+FR!AV135+JN!AV202+TA!AV106+ŽB!AV80+ČL!AV300+NB!AV130+SM!AV172+JI!AV144+TU!AV207</f>
        <v>0</v>
      </c>
      <c r="AP29" s="16">
        <f>LB!AW472+FR!AW135+JN!AW202+TA!AW106+ŽB!AW80+ČL!AW300+NB!AW130+SM!AW172+JI!AW144+TU!AW207</f>
        <v>0</v>
      </c>
      <c r="AQ29" s="16">
        <f>LB!AX472+FR!AX135+JN!AX202+TA!AX106+ŽB!AX80+ČL!AX300+NB!AX130+SM!AX172+JI!AX144+TU!AX207</f>
        <v>9500</v>
      </c>
      <c r="AR29" s="16">
        <f>LB!AY472+FR!AY135+JN!AY202+TA!AY106+ŽB!AY80+ČL!AY300+NB!AY130+SM!AY172+JI!AY144+TU!AY207</f>
        <v>441001</v>
      </c>
      <c r="AS29" s="13">
        <f>LB!AZ472+FR!AZ135+JN!AZ202+TA!AZ106+ŽB!AZ80+ČL!AZ300+NB!AZ130+SM!AZ172+JI!AZ144+TU!AZ207</f>
        <v>-0.01</v>
      </c>
      <c r="AT29" s="13">
        <f>LB!BA472+FR!BA135+JN!BA202+TA!BA106+ŽB!BA80+ČL!BA300+NB!BA130+SM!BA172+JI!BA144+TU!BA207</f>
        <v>-0.60000000000000009</v>
      </c>
      <c r="AU29" s="13">
        <f>LB!BB472+FR!BB135+JN!BB202+TA!BB106+ŽB!BB80+ČL!BB300+NB!BB130+SM!BB172+JI!BB144+TU!BB207</f>
        <v>-0.2</v>
      </c>
      <c r="AV29" s="13">
        <f>LB!BC472+FR!BC135+JN!BC202+TA!BC106+ŽB!BC80+ČL!BC300+NB!BC130+SM!BC172+JI!BC144+TU!BC207</f>
        <v>0.80999999999999994</v>
      </c>
      <c r="AW29" s="13">
        <f>LB!BD472+FR!BD135+JN!BD202+TA!BD106+ŽB!BD80+ČL!BD300+NB!BD130+SM!BD172+JI!BD144+TU!BD207</f>
        <v>0</v>
      </c>
      <c r="AX29" s="13">
        <f>LB!BE472+FR!BE135+JN!BE202+TA!BE106+ŽB!BE80+ČL!BE300+NB!BE130+SM!BE172+JI!BE144+TU!BE207</f>
        <v>0</v>
      </c>
      <c r="AY29" s="13">
        <f>LB!BF472+FR!BF135+JN!BF202+TA!BF106+ŽB!BF80+ČL!BF300+NB!BF130+SM!BF172+JI!BF144+TU!BF207</f>
        <v>0</v>
      </c>
      <c r="AZ29" s="13">
        <f>LB!BG472+FR!BG135+JN!BG202+TA!BG106+ŽB!BG80+ČL!BG300+NB!BG130+SM!BG172+JI!BG144+TU!BG207</f>
        <v>0</v>
      </c>
      <c r="BA29" s="13">
        <f>LB!BH472+FR!BH135+JN!BH202+TA!BH106+ŽB!BH80+ČL!BH300+NB!BH130+SM!BH172+JI!BH144+TU!BH207</f>
        <v>0</v>
      </c>
      <c r="BB29" s="13">
        <f>LB!BI472+FR!BI135+JN!BI202+TA!BI106+ŽB!BI80+ČL!BI300+NB!BI130+SM!BI172+JI!BI144+TU!BI207</f>
        <v>0.6</v>
      </c>
      <c r="BC29" s="13">
        <f>LB!BJ472+FR!BJ135+JN!BJ202+TA!BJ106+ŽB!BJ80+ČL!BJ300+NB!BJ130+SM!BJ172+JI!BJ144+TU!BJ207</f>
        <v>-0.60000000000000009</v>
      </c>
      <c r="BD29" s="17">
        <f>LB!BK472+FR!BK135+JN!BK202+TA!BK106+ŽB!BK80+ČL!BK300+NB!BK130+SM!BK172+JI!BK144+TU!BK207</f>
        <v>0</v>
      </c>
      <c r="BE29" s="168">
        <f>LB!BL472+FR!BL135+JN!BL202+TA!BL106+ŽB!BL80+ČL!BL300+NB!BL130+SM!BL172+JI!BL144+TU!BL207</f>
        <v>193827262</v>
      </c>
      <c r="BF29" s="16">
        <f>LB!BM472+FR!BM135+JN!BM202+TA!BM106+ŽB!BM80+ČL!BM300+NB!BM130+SM!BM172+JI!BM144+TU!BM207</f>
        <v>141863771</v>
      </c>
      <c r="BG29" s="16">
        <f>LB!BN472+FR!BN135+JN!BN202+TA!BN106+ŽB!BN80+ČL!BN300+NB!BN130+SM!BN172+JI!BN144+TU!BN207</f>
        <v>129065373</v>
      </c>
      <c r="BH29" s="16">
        <f>LB!BO472+FR!BO135+JN!BO202+TA!BO106+ŽB!BO80+ČL!BO300+NB!BO130+SM!BO172+JI!BO144+TU!BO207</f>
        <v>12798398</v>
      </c>
      <c r="BI29" s="16">
        <f>LB!BP472+FR!BP135+JN!BP202+TA!BP106+ŽB!BP80+ČL!BP300+NB!BP130+SM!BP172+JI!BP144+TU!BP207</f>
        <v>854673</v>
      </c>
      <c r="BJ29" s="16">
        <f>LB!BQ472+FR!BQ135+JN!BQ202+TA!BQ106+ŽB!BQ80+ČL!BQ300+NB!BQ130+SM!BQ172+JI!BQ144+TU!BQ207</f>
        <v>170940</v>
      </c>
      <c r="BK29" s="16">
        <f>LB!BR472+FR!BR135+JN!BR202+TA!BR106+ŽB!BR80+ČL!BR300+NB!BR130+SM!BR172+JI!BR144+TU!BR207</f>
        <v>683733</v>
      </c>
      <c r="BL29" s="16">
        <f>LB!BS472+FR!BS135+JN!BS202+TA!BS106+ŽB!BS80+ČL!BS300+NB!BS130+SM!BS172+JI!BS144+TU!BS207</f>
        <v>48238833</v>
      </c>
      <c r="BM29" s="16">
        <f>LB!BT472+FR!BT135+JN!BT202+TA!BT106+ŽB!BT80+ČL!BT300+NB!BT130+SM!BT172+JI!BT144+TU!BT207</f>
        <v>1418635</v>
      </c>
      <c r="BN29" s="16">
        <f>LB!BU472+FR!BU135+JN!BU202+TA!BU106+ŽB!BU80+ČL!BU300+NB!BU130+SM!BU172+JI!BU144+TU!BU207</f>
        <v>1451350</v>
      </c>
      <c r="BO29" s="13">
        <f>LB!BV472+FR!BV135+JN!BV202+TA!BV106+ŽB!BV80+ČL!BV300+NB!BV130+SM!BV172+JI!BV144+TU!BV207</f>
        <v>246.43639999999999</v>
      </c>
      <c r="BP29" s="13">
        <f>LB!BW472+FR!BW135+JN!BW202+TA!BW106+ŽB!BW80+ČL!BW300+NB!BW130+SM!BW172+JI!BW144+TU!BW207</f>
        <v>208.44639999999998</v>
      </c>
      <c r="BQ29" s="169">
        <f>LB!BX472+FR!BX135+JN!BX202+TA!BX106+ŽB!BX80+ČL!BX300+NB!BX130+SM!BX172+JI!BX144+TU!BX207</f>
        <v>37.989999999999995</v>
      </c>
      <c r="BR29" s="167">
        <f>LB!BY472+FR!BY135+JN!BY202+TA!BY106+ŽB!BY80+ČL!BY300+NB!BY130+SM!BY172+JI!BY144+TU!BY207</f>
        <v>0</v>
      </c>
      <c r="BS29" s="16">
        <f>LB!BZ472+FR!BZ135+JN!BZ202+TA!BZ106+ŽB!BZ80+ČL!BZ300+NB!BZ130+SM!BZ172+JI!BZ144+TU!BZ207</f>
        <v>0</v>
      </c>
      <c r="BT29" s="16">
        <f>LB!CA472+FR!CA135+JN!CA202+TA!CA106+ŽB!CA80+ČL!CA300+NB!CA130+SM!CA172+JI!CA144+TU!CA207</f>
        <v>0</v>
      </c>
      <c r="BU29" s="16">
        <f>LB!CB472+FR!CB135+JN!CB202+TA!CB106+ŽB!CB80+ČL!CB300+NB!CB130+SM!CB172+JI!CB144+TU!CB207</f>
        <v>0</v>
      </c>
      <c r="BV29" s="16">
        <f>LB!CC472+FR!CC135+JN!CC202+TA!CC106+ŽB!CC80+ČL!CC300+NB!CC130+SM!CC172+JI!CC144+TU!CC207</f>
        <v>0</v>
      </c>
      <c r="BW29" s="17">
        <f>LB!CD472+FR!CD135+JN!CD202+TA!CD106+ŽB!CD80+ČL!CD300+NB!CD130+SM!CD172+JI!CD144+TU!CD207</f>
        <v>0</v>
      </c>
      <c r="BX29" s="168">
        <f>LB!CE472+FR!CE135+JN!CE202+TA!CE106+ŽB!CE80+ČL!CE300+NB!CE130+SM!CE172+JI!CE144+TU!CE207</f>
        <v>6225217</v>
      </c>
      <c r="BY29" s="16">
        <f>LB!CF472+FR!CF135+JN!CF202+TA!CF106+ŽB!CF80+ČL!CF300+NB!CF130+SM!CF172+JI!CF144+TU!CF207</f>
        <v>4326232</v>
      </c>
      <c r="BZ29" s="16">
        <f>LB!CG472+FR!CG135+JN!CG202+TA!CG106+ŽB!CG80+ČL!CG300+NB!CG130+SM!CG172+JI!CG144+TU!CG207</f>
        <v>1462265</v>
      </c>
      <c r="CA29" s="16">
        <f>LB!CH472+FR!CH135+JN!CH202+TA!CH106+ŽB!CH80+ČL!CH300+NB!CH130+SM!CH172+JI!CH144+TU!CH207</f>
        <v>43263</v>
      </c>
      <c r="CB29" s="16">
        <f>LB!CI472+FR!CI135+JN!CI202+TA!CI106+ŽB!CI80+ČL!CI300+NB!CI130+SM!CI172+JI!CI144+TU!CI207</f>
        <v>393457</v>
      </c>
      <c r="CC29" s="17">
        <f>LB!CJ472+FR!CJ135+JN!CJ202+TA!CJ106+ŽB!CJ80+ČL!CJ300+NB!CJ130+SM!CJ172+JI!CJ144+TU!CJ207</f>
        <v>12.684600000000001</v>
      </c>
    </row>
    <row r="30" spans="1:87">
      <c r="A30" s="2">
        <v>3117</v>
      </c>
      <c r="B30" s="167">
        <f>LB!I473+FR!I136+JN!I203+TA!I107+ŽB!I81+ČL!I301+NB!I131+SM!I173+JI!I145+TU!I208</f>
        <v>326972105</v>
      </c>
      <c r="C30" s="16">
        <f>LB!J473+FR!J136+JN!J203+TA!J107+ŽB!J81+ČL!J301+NB!J131+SM!J173+JI!J145+TU!J208</f>
        <v>237155456</v>
      </c>
      <c r="D30" s="16">
        <f>LB!K473+FR!K136+JN!K203+TA!K107+ŽB!K81+ČL!K301+NB!K131+SM!K173+JI!K145+TU!K208</f>
        <v>203622801</v>
      </c>
      <c r="E30" s="16">
        <f>LB!L473+FR!L136+JN!L203+TA!L107+ŽB!L81+ČL!L301+NB!L131+SM!L173+JI!L145+TU!L208</f>
        <v>33532655</v>
      </c>
      <c r="F30" s="16">
        <f>LB!M473+FR!M136+JN!M203+TA!M107+ŽB!M81+ČL!M301+NB!M131+SM!M173+JI!M145+TU!M208</f>
        <v>1974151</v>
      </c>
      <c r="G30" s="16">
        <f>LB!N473+FR!N136+JN!N203+TA!N107+ŽB!N81+ČL!N301+NB!N131+SM!N173+JI!N145+TU!N208</f>
        <v>1224951</v>
      </c>
      <c r="H30" s="16">
        <f>LB!O473+FR!O136+JN!O203+TA!O107+ŽB!O81+ČL!O301+NB!O131+SM!O173+JI!O145+TU!O208</f>
        <v>749200</v>
      </c>
      <c r="I30" s="16">
        <f>LB!P473+FR!P136+JN!P203+TA!P107+ŽB!P81+ČL!P301+NB!P131+SM!P173+JI!P145+TU!P208</f>
        <v>80825811</v>
      </c>
      <c r="J30" s="16">
        <f>LB!Q473+FR!Q136+JN!Q203+TA!Q107+ŽB!Q81+ČL!Q301+NB!Q131+SM!Q173+JI!Q145+TU!Q208</f>
        <v>2371566</v>
      </c>
      <c r="K30" s="16">
        <f>LB!R473+FR!R136+JN!R203+TA!R107+ŽB!R81+ČL!R301+NB!R131+SM!R173+JI!R145+TU!R208</f>
        <v>4645121</v>
      </c>
      <c r="L30" s="13">
        <f>LB!S473+FR!S136+JN!S203+TA!S107+ŽB!S81+ČL!S301+NB!S131+SM!S173+JI!S145+TU!S208</f>
        <v>452.41240000000005</v>
      </c>
      <c r="M30" s="13">
        <f>LB!T473+FR!T136+JN!T203+TA!T107+ŽB!T81+ČL!T301+NB!T131+SM!T173+JI!T145+TU!T208</f>
        <v>360.26200000000006</v>
      </c>
      <c r="N30" s="169">
        <f>LB!U473+FR!U136+JN!U203+TA!U107+ŽB!U81+ČL!U301+NB!U131+SM!U173+JI!U145+TU!U208</f>
        <v>92.150399999999991</v>
      </c>
      <c r="O30" s="167">
        <f>LB!V473+FR!V136+JN!V203+TA!V107+ŽB!V81+ČL!V301+NB!V131+SM!V173+JI!V145+TU!V208</f>
        <v>53091</v>
      </c>
      <c r="P30" s="16">
        <f>LB!W473+FR!W136+JN!W203+TA!W107+ŽB!W81+ČL!W301+NB!W131+SM!W173+JI!W145+TU!W208</f>
        <v>-50046</v>
      </c>
      <c r="Q30" s="16">
        <f>LB!X473+FR!X136+JN!X203+TA!X107+ŽB!X81+ČL!X301+NB!X131+SM!X173+JI!X145+TU!X208</f>
        <v>-201430</v>
      </c>
      <c r="R30" s="16">
        <f>LB!Y473+FR!Y136+JN!Y203+TA!Y107+ŽB!Y81+ČL!Y301+NB!Y131+SM!Y173+JI!Y145+TU!Y208</f>
        <v>0</v>
      </c>
      <c r="S30" s="16">
        <f>LB!Z473+FR!Z136+JN!Z203+TA!Z107+ŽB!Z81+ČL!Z301+NB!Z131+SM!Z173+JI!Z145+TU!Z208</f>
        <v>704426</v>
      </c>
      <c r="T30" s="16">
        <f>LB!AA473+FR!AA136+JN!AA203+TA!AA107+ŽB!AA81+ČL!AA301+NB!AA131+SM!AA173+JI!AA145+TU!AA208</f>
        <v>0</v>
      </c>
      <c r="U30" s="16">
        <f>LB!AB473+FR!AB136+JN!AB203+TA!AB107+ŽB!AB81+ČL!AB301+NB!AB131+SM!AB173+JI!AB145+TU!AB208</f>
        <v>0</v>
      </c>
      <c r="V30" s="16">
        <f>LB!AC473+FR!AC136+JN!AC203+TA!AC107+ŽB!AC81+ČL!AC301+NB!AC131+SM!AC173+JI!AC145+TU!AC208</f>
        <v>0</v>
      </c>
      <c r="W30" s="16">
        <f>LB!AD473+FR!AD136+JN!AD203+TA!AD107+ŽB!AD81+ČL!AD301+NB!AD131+SM!AD173+JI!AD145+TU!AD208</f>
        <v>0</v>
      </c>
      <c r="X30" s="16">
        <f>LB!AE473+FR!AE136+JN!AE203+TA!AE107+ŽB!AE81+ČL!AE301+NB!AE131+SM!AE173+JI!AE145+TU!AE208</f>
        <v>556087</v>
      </c>
      <c r="Y30" s="16">
        <f>LB!AF473+FR!AF136+JN!AF203+TA!AF107+ŽB!AF81+ČL!AF301+NB!AF131+SM!AF173+JI!AF145+TU!AF208</f>
        <v>-50046</v>
      </c>
      <c r="Z30" s="16">
        <f>LB!AG473+FR!AG136+JN!AG203+TA!AG107+ŽB!AG81+ČL!AG301+NB!AG131+SM!AG173+JI!AG145+TU!AG208</f>
        <v>506041</v>
      </c>
      <c r="AA30" s="16">
        <f>LB!AH473+FR!AH136+JN!AH203+TA!AH107+ŽB!AH81+ČL!AH301+NB!AH131+SM!AH173+JI!AH145+TU!AH208</f>
        <v>-53091</v>
      </c>
      <c r="AB30" s="16">
        <f>LB!AI473+FR!AI136+JN!AI203+TA!AI107+ŽB!AI81+ČL!AI301+NB!AI131+SM!AI173+JI!AI145+TU!AI208</f>
        <v>50046</v>
      </c>
      <c r="AC30" s="16">
        <f>LB!AJ473+FR!AJ136+JN!AJ203+TA!AJ107+ŽB!AJ81+ČL!AJ301+NB!AJ131+SM!AJ173+JI!AJ145+TU!AJ208</f>
        <v>0</v>
      </c>
      <c r="AD30" s="16">
        <f>LB!AK473+FR!AK136+JN!AK203+TA!AK107+ŽB!AK81+ČL!AK301+NB!AK131+SM!AK173+JI!AK145+TU!AK208</f>
        <v>45756</v>
      </c>
      <c r="AE30" s="16">
        <f>LB!AL473+FR!AL136+JN!AL203+TA!AL107+ŽB!AL81+ČL!AL301+NB!AL131+SM!AL173+JI!AL145+TU!AL208</f>
        <v>0</v>
      </c>
      <c r="AF30" s="16">
        <f>LB!AM473+FR!AM136+JN!AM203+TA!AM107+ŽB!AM81+ČL!AM301+NB!AM131+SM!AM173+JI!AM145+TU!AM208</f>
        <v>16665</v>
      </c>
      <c r="AG30" s="16">
        <f>LB!AN473+FR!AN136+JN!AN203+TA!AN107+ŽB!AN81+ČL!AN301+NB!AN131+SM!AN173+JI!AN145+TU!AN208</f>
        <v>50046</v>
      </c>
      <c r="AH30" s="16">
        <f>LB!AO473+FR!AO136+JN!AO203+TA!AO107+ŽB!AO81+ČL!AO301+NB!AO131+SM!AO173+JI!AO145+TU!AO208</f>
        <v>66711</v>
      </c>
      <c r="AI30" s="16">
        <f>LB!AP473+FR!AP136+JN!AP203+TA!AP107+ŽB!AP81+ČL!AP301+NB!AP131+SM!AP173+JI!AP145+TU!AP208</f>
        <v>572752</v>
      </c>
      <c r="AJ30" s="16">
        <f>LB!AQ473+FR!AQ136+JN!AQ203+TA!AQ107+ŽB!AQ81+ČL!AQ301+NB!AQ131+SM!AQ173+JI!AQ145+TU!AQ208</f>
        <v>0</v>
      </c>
      <c r="AK30" s="16">
        <f>LB!AR473+FR!AR136+JN!AR203+TA!AR107+ŽB!AR81+ČL!AR301+NB!AR131+SM!AR173+JI!AR145+TU!AR208</f>
        <v>572752</v>
      </c>
      <c r="AL30" s="16">
        <f>LB!AS473+FR!AS136+JN!AS203+TA!AS107+ŽB!AS81+ČL!AS301+NB!AS131+SM!AS173+JI!AS145+TU!AS208</f>
        <v>170013</v>
      </c>
      <c r="AM30" s="16">
        <f>LB!AT473+FR!AT136+JN!AT203+TA!AT107+ŽB!AT81+ČL!AT301+NB!AT131+SM!AT173+JI!AT145+TU!AT208</f>
        <v>5060</v>
      </c>
      <c r="AN30" s="16">
        <f>LB!AU473+FR!AU136+JN!AU203+TA!AU107+ŽB!AU81+ČL!AU301+NB!AU131+SM!AU173+JI!AU145+TU!AU208</f>
        <v>23500</v>
      </c>
      <c r="AO30" s="16">
        <f>LB!AV473+FR!AV136+JN!AV203+TA!AV107+ŽB!AV81+ČL!AV301+NB!AV131+SM!AV173+JI!AV145+TU!AV208</f>
        <v>0</v>
      </c>
      <c r="AP30" s="16">
        <f>LB!AW473+FR!AW136+JN!AW203+TA!AW107+ŽB!AW81+ČL!AW301+NB!AW131+SM!AW173+JI!AW145+TU!AW208</f>
        <v>0</v>
      </c>
      <c r="AQ30" s="16">
        <f>LB!AX473+FR!AX136+JN!AX203+TA!AX107+ŽB!AX81+ČL!AX301+NB!AX131+SM!AX173+JI!AX145+TU!AX208</f>
        <v>23500</v>
      </c>
      <c r="AR30" s="16">
        <f>LB!AY473+FR!AY136+JN!AY203+TA!AY107+ŽB!AY81+ČL!AY301+NB!AY131+SM!AY173+JI!AY145+TU!AY208</f>
        <v>771325</v>
      </c>
      <c r="AS30" s="13">
        <f>LB!AZ473+FR!AZ136+JN!AZ203+TA!AZ107+ŽB!AZ81+ČL!AZ301+NB!AZ131+SM!AZ173+JI!AZ145+TU!AZ208</f>
        <v>-0.22</v>
      </c>
      <c r="AT30" s="13">
        <f>LB!BA473+FR!BA136+JN!BA203+TA!BA107+ŽB!BA81+ČL!BA301+NB!BA131+SM!BA173+JI!BA145+TU!BA208</f>
        <v>-0.59000000000000008</v>
      </c>
      <c r="AU30" s="13">
        <f>LB!BB473+FR!BB136+JN!BB203+TA!BB107+ŽB!BB81+ČL!BB301+NB!BB131+SM!BB173+JI!BB145+TU!BB208</f>
        <v>-0.35999999999999988</v>
      </c>
      <c r="AV30" s="13">
        <f>LB!BC473+FR!BC136+JN!BC203+TA!BC107+ŽB!BC81+ČL!BC301+NB!BC131+SM!BC173+JI!BC145+TU!BC208</f>
        <v>1.4300000000000002</v>
      </c>
      <c r="AW30" s="13">
        <f>LB!BD473+FR!BD136+JN!BD203+TA!BD107+ŽB!BD81+ČL!BD301+NB!BD131+SM!BD173+JI!BD145+TU!BD208</f>
        <v>0</v>
      </c>
      <c r="AX30" s="13">
        <f>LB!BE473+FR!BE136+JN!BE203+TA!BE107+ŽB!BE81+ČL!BE301+NB!BE131+SM!BE173+JI!BE145+TU!BE208</f>
        <v>0</v>
      </c>
      <c r="AY30" s="13">
        <f>LB!BF473+FR!BF136+JN!BF203+TA!BF107+ŽB!BF81+ČL!BF301+NB!BF131+SM!BF173+JI!BF145+TU!BF208</f>
        <v>0</v>
      </c>
      <c r="AZ30" s="13">
        <f>LB!BG473+FR!BG136+JN!BG203+TA!BG107+ŽB!BG81+ČL!BG301+NB!BG131+SM!BG173+JI!BG145+TU!BG208</f>
        <v>0</v>
      </c>
      <c r="BA30" s="13">
        <f>LB!BH473+FR!BH136+JN!BH203+TA!BH107+ŽB!BH81+ČL!BH301+NB!BH131+SM!BH173+JI!BH145+TU!BH208</f>
        <v>0</v>
      </c>
      <c r="BB30" s="13">
        <f>LB!BI473+FR!BI136+JN!BI203+TA!BI107+ŽB!BI81+ČL!BI301+NB!BI131+SM!BI173+JI!BI145+TU!BI208</f>
        <v>0.85000000000000031</v>
      </c>
      <c r="BC30" s="13">
        <f>LB!BJ473+FR!BJ136+JN!BJ203+TA!BJ107+ŽB!BJ81+ČL!BJ301+NB!BJ131+SM!BJ173+JI!BJ145+TU!BJ208</f>
        <v>-0.59000000000000008</v>
      </c>
      <c r="BD30" s="17">
        <f>LB!BK473+FR!BK136+JN!BK203+TA!BK107+ŽB!BK81+ČL!BK301+NB!BK131+SM!BK173+JI!BK145+TU!BK208</f>
        <v>0.26000000000000012</v>
      </c>
      <c r="BE30" s="168">
        <f>LB!BL473+FR!BL136+JN!BL203+TA!BL107+ŽB!BL81+ČL!BL301+NB!BL131+SM!BL173+JI!BL145+TU!BL208</f>
        <v>327743430</v>
      </c>
      <c r="BF30" s="16">
        <f>LB!BM473+FR!BM136+JN!BM203+TA!BM107+ŽB!BM81+ČL!BM301+NB!BM131+SM!BM173+JI!BM145+TU!BM208</f>
        <v>237661497</v>
      </c>
      <c r="BG30" s="16">
        <f>LB!BN473+FR!BN136+JN!BN203+TA!BN107+ŽB!BN81+ČL!BN301+NB!BN131+SM!BN173+JI!BN145+TU!BN208</f>
        <v>204178888</v>
      </c>
      <c r="BH30" s="16">
        <f>LB!BO473+FR!BO136+JN!BO203+TA!BO107+ŽB!BO81+ČL!BO301+NB!BO131+SM!BO173+JI!BO145+TU!BO208</f>
        <v>33482609</v>
      </c>
      <c r="BI30" s="16">
        <f>LB!BP473+FR!BP136+JN!BP203+TA!BP107+ŽB!BP81+ČL!BP301+NB!BP131+SM!BP173+JI!BP145+TU!BP208</f>
        <v>2040862</v>
      </c>
      <c r="BJ30" s="16">
        <f>LB!BQ473+FR!BQ136+JN!BQ203+TA!BQ107+ŽB!BQ81+ČL!BQ301+NB!BQ131+SM!BQ173+JI!BQ145+TU!BQ208</f>
        <v>1241616</v>
      </c>
      <c r="BK30" s="16">
        <f>LB!BR473+FR!BR136+JN!BR203+TA!BR107+ŽB!BR81+ČL!BR301+NB!BR131+SM!BR173+JI!BR145+TU!BR208</f>
        <v>799246</v>
      </c>
      <c r="BL30" s="16">
        <f>LB!BS473+FR!BS136+JN!BS203+TA!BS107+ŽB!BS81+ČL!BS301+NB!BS131+SM!BS173+JI!BS145+TU!BS208</f>
        <v>80995824</v>
      </c>
      <c r="BM30" s="16">
        <f>LB!BT473+FR!BT136+JN!BT203+TA!BT107+ŽB!BT81+ČL!BT301+NB!BT131+SM!BT173+JI!BT145+TU!BT208</f>
        <v>2376626</v>
      </c>
      <c r="BN30" s="16">
        <f>LB!BU473+FR!BU136+JN!BU203+TA!BU107+ŽB!BU81+ČL!BU301+NB!BU131+SM!BU173+JI!BU145+TU!BU208</f>
        <v>4668621</v>
      </c>
      <c r="BO30" s="13">
        <f>LB!BV473+FR!BV136+JN!BV203+TA!BV107+ŽB!BV81+ČL!BV301+NB!BV131+SM!BV173+JI!BV145+TU!BV208</f>
        <v>452.67239999999998</v>
      </c>
      <c r="BP30" s="13">
        <f>LB!BW473+FR!BW136+JN!BW203+TA!BW107+ŽB!BW81+ČL!BW301+NB!BW131+SM!BW173+JI!BW145+TU!BW208</f>
        <v>361.11200000000002</v>
      </c>
      <c r="BQ30" s="169">
        <f>LB!BX473+FR!BX136+JN!BX203+TA!BX107+ŽB!BX81+ČL!BX301+NB!BX131+SM!BX173+JI!BX145+TU!BX208</f>
        <v>91.560400000000016</v>
      </c>
      <c r="BR30" s="167">
        <f>LB!BY473+FR!BY136+JN!BY203+TA!BY107+ŽB!BY81+ČL!BY301+NB!BY131+SM!BY173+JI!BY145+TU!BY208</f>
        <v>911196</v>
      </c>
      <c r="BS30" s="16">
        <f>LB!BZ473+FR!BZ136+JN!BZ203+TA!BZ107+ŽB!BZ81+ČL!BZ301+NB!BZ131+SM!BZ173+JI!BZ145+TU!BZ208</f>
        <v>564000</v>
      </c>
      <c r="BT30" s="16">
        <f>LB!CA473+FR!CA136+JN!CA203+TA!CA107+ŽB!CA81+ČL!CA301+NB!CA131+SM!CA173+JI!CA145+TU!CA208</f>
        <v>112800</v>
      </c>
      <c r="BU30" s="16">
        <f>LB!CB473+FR!CB136+JN!CB203+TA!CB107+ŽB!CB81+ČL!CB301+NB!CB131+SM!CB173+JI!CB145+TU!CB208</f>
        <v>228756</v>
      </c>
      <c r="BV30" s="16">
        <f>LB!CC473+FR!CC136+JN!CC203+TA!CC107+ŽB!CC81+ČL!CC301+NB!CC131+SM!CC173+JI!CC145+TU!CC208</f>
        <v>5640</v>
      </c>
      <c r="BW30" s="17">
        <f>LB!CD473+FR!CD136+JN!CD203+TA!CD107+ŽB!CD81+ČL!CD301+NB!CD131+SM!CD173+JI!CD145+TU!CD208</f>
        <v>1</v>
      </c>
      <c r="BX30" s="168">
        <f>LB!CE473+FR!CE136+JN!CE203+TA!CE107+ŽB!CE81+ČL!CE301+NB!CE131+SM!CE173+JI!CE145+TU!CE208</f>
        <v>15446182</v>
      </c>
      <c r="BY30" s="16">
        <f>LB!CF473+FR!CF136+JN!CF203+TA!CF107+ŽB!CF81+ČL!CF301+NB!CF131+SM!CF173+JI!CF145+TU!CF208</f>
        <v>10877916</v>
      </c>
      <c r="BZ30" s="16">
        <f>LB!CG473+FR!CG136+JN!CG203+TA!CG107+ŽB!CG81+ČL!CG301+NB!CG131+SM!CG173+JI!CG145+TU!CG208</f>
        <v>3676745</v>
      </c>
      <c r="CA30" s="16">
        <f>LB!CH473+FR!CH136+JN!CH203+TA!CH107+ŽB!CH81+ČL!CH301+NB!CH131+SM!CH173+JI!CH145+TU!CH208</f>
        <v>108779</v>
      </c>
      <c r="CB30" s="16">
        <f>LB!CI473+FR!CI136+JN!CI203+TA!CI107+ŽB!CI81+ČL!CI301+NB!CI131+SM!CI173+JI!CI145+TU!CI208</f>
        <v>782742</v>
      </c>
      <c r="CC30" s="17">
        <f>LB!CJ473+FR!CJ136+JN!CJ203+TA!CJ107+ŽB!CJ81+ČL!CJ301+NB!CJ131+SM!CJ173+JI!CJ145+TU!CJ208</f>
        <v>29.738099999999996</v>
      </c>
    </row>
    <row r="31" spans="1:87">
      <c r="A31" s="2">
        <v>3122</v>
      </c>
      <c r="B31" s="167">
        <f>LB!I474+FR!I137+JN!I204+TA!I108+ŽB!I82+ČL!I302+NB!I132+SM!I174+JI!I146+TU!I209</f>
        <v>10574387</v>
      </c>
      <c r="C31" s="16">
        <f>LB!J474+FR!J137+JN!J204+TA!J108+ŽB!J82+ČL!J302+NB!J132+SM!J174+JI!J146+TU!J209</f>
        <v>7656692</v>
      </c>
      <c r="D31" s="16">
        <f>LB!K474+FR!K137+JN!K204+TA!K108+ŽB!K82+ČL!K302+NB!K132+SM!K174+JI!K146+TU!K209</f>
        <v>7314644</v>
      </c>
      <c r="E31" s="16">
        <f>LB!L474+FR!L137+JN!L204+TA!L108+ŽB!L82+ČL!L302+NB!L132+SM!L174+JI!L146+TU!L209</f>
        <v>342048</v>
      </c>
      <c r="F31" s="16">
        <f>LB!M474+FR!M137+JN!M204+TA!M108+ŽB!M82+ČL!M302+NB!M132+SM!M174+JI!M146+TU!M209</f>
        <v>128360</v>
      </c>
      <c r="G31" s="16">
        <f>LB!N474+FR!N137+JN!N204+TA!N108+ŽB!N82+ČL!N302+NB!N132+SM!N174+JI!N146+TU!N209</f>
        <v>128360</v>
      </c>
      <c r="H31" s="16">
        <f>LB!O474+FR!O137+JN!O204+TA!O108+ŽB!O82+ČL!O302+NB!O132+SM!O174+JI!O146+TU!O209</f>
        <v>0</v>
      </c>
      <c r="I31" s="16">
        <f>LB!P474+FR!P137+JN!P204+TA!P108+ŽB!P82+ČL!P302+NB!P132+SM!P174+JI!P146+TU!P209</f>
        <v>2631348</v>
      </c>
      <c r="J31" s="16">
        <f>LB!Q474+FR!Q137+JN!Q204+TA!Q108+ŽB!Q82+ČL!Q302+NB!Q132+SM!Q174+JI!Q146+TU!Q209</f>
        <v>76567</v>
      </c>
      <c r="K31" s="16">
        <f>LB!R474+FR!R137+JN!R204+TA!R108+ŽB!R82+ČL!R302+NB!R132+SM!R174+JI!R146+TU!R209</f>
        <v>81420</v>
      </c>
      <c r="L31" s="13">
        <f>LB!S474+FR!S137+JN!S204+TA!S108+ŽB!S82+ČL!S302+NB!S132+SM!S174+JI!S146+TU!S209</f>
        <v>11.046200000000001</v>
      </c>
      <c r="M31" s="13">
        <f>LB!T474+FR!T137+JN!T204+TA!T108+ŽB!T82+ČL!T302+NB!T132+SM!T174+JI!T146+TU!T209</f>
        <v>10.025400000000001</v>
      </c>
      <c r="N31" s="169">
        <f>LB!U474+FR!U137+JN!U204+TA!U108+ŽB!U82+ČL!U302+NB!U132+SM!U174+JI!U146+TU!U209</f>
        <v>1.0207999999999999</v>
      </c>
      <c r="O31" s="167">
        <f>LB!V474+FR!V137+JN!V204+TA!V108+ŽB!V82+ČL!V302+NB!V132+SM!V174+JI!V146+TU!V209</f>
        <v>50000</v>
      </c>
      <c r="P31" s="16">
        <f>LB!W474+FR!W137+JN!W204+TA!W108+ŽB!W82+ČL!W302+NB!W132+SM!W174+JI!W146+TU!W209</f>
        <v>-15000</v>
      </c>
      <c r="Q31" s="16">
        <f>LB!X474+FR!X137+JN!X204+TA!X108+ŽB!X82+ČL!X302+NB!X132+SM!X174+JI!X146+TU!X209</f>
        <v>0</v>
      </c>
      <c r="R31" s="16">
        <f>LB!Y474+FR!Y137+JN!Y204+TA!Y108+ŽB!Y82+ČL!Y302+NB!Y132+SM!Y174+JI!Y146+TU!Y209</f>
        <v>0</v>
      </c>
      <c r="S31" s="16">
        <f>LB!Z474+FR!Z137+JN!Z204+TA!Z108+ŽB!Z82+ČL!Z302+NB!Z132+SM!Z174+JI!Z146+TU!Z209</f>
        <v>0</v>
      </c>
      <c r="T31" s="16">
        <f>LB!AA474+FR!AA137+JN!AA204+TA!AA108+ŽB!AA82+ČL!AA302+NB!AA132+SM!AA174+JI!AA146+TU!AA209</f>
        <v>0</v>
      </c>
      <c r="U31" s="16">
        <f>LB!AB474+FR!AB137+JN!AB204+TA!AB108+ŽB!AB82+ČL!AB302+NB!AB132+SM!AB174+JI!AB146+TU!AB209</f>
        <v>0</v>
      </c>
      <c r="V31" s="16">
        <f>LB!AC474+FR!AC137+JN!AC204+TA!AC108+ŽB!AC82+ČL!AC302+NB!AC132+SM!AC174+JI!AC146+TU!AC209</f>
        <v>0</v>
      </c>
      <c r="W31" s="16">
        <f>LB!AD474+FR!AD137+JN!AD204+TA!AD108+ŽB!AD82+ČL!AD302+NB!AD132+SM!AD174+JI!AD146+TU!AD209</f>
        <v>0</v>
      </c>
      <c r="X31" s="16">
        <f>LB!AE474+FR!AE137+JN!AE204+TA!AE108+ŽB!AE82+ČL!AE302+NB!AE132+SM!AE174+JI!AE146+TU!AE209</f>
        <v>50000</v>
      </c>
      <c r="Y31" s="16">
        <f>LB!AF474+FR!AF137+JN!AF204+TA!AF108+ŽB!AF82+ČL!AF302+NB!AF132+SM!AF174+JI!AF146+TU!AF209</f>
        <v>-15000</v>
      </c>
      <c r="Z31" s="16">
        <f>LB!AG474+FR!AG137+JN!AG204+TA!AG108+ŽB!AG82+ČL!AG302+NB!AG132+SM!AG174+JI!AG146+TU!AG209</f>
        <v>35000</v>
      </c>
      <c r="AA31" s="16">
        <f>LB!AH474+FR!AH137+JN!AH204+TA!AH108+ŽB!AH82+ČL!AH302+NB!AH132+SM!AH174+JI!AH146+TU!AH209</f>
        <v>-50000</v>
      </c>
      <c r="AB31" s="16">
        <f>LB!AI474+FR!AI137+JN!AI204+TA!AI108+ŽB!AI82+ČL!AI302+NB!AI132+SM!AI174+JI!AI146+TU!AI209</f>
        <v>15000</v>
      </c>
      <c r="AC31" s="16">
        <f>LB!AJ474+FR!AJ137+JN!AJ204+TA!AJ108+ŽB!AJ82+ČL!AJ302+NB!AJ132+SM!AJ174+JI!AJ146+TU!AJ209</f>
        <v>0</v>
      </c>
      <c r="AD31" s="16">
        <f>LB!AK474+FR!AK137+JN!AK204+TA!AK108+ŽB!AK82+ČL!AK302+NB!AK132+SM!AK174+JI!AK146+TU!AK209</f>
        <v>0</v>
      </c>
      <c r="AE31" s="16">
        <f>LB!AL474+FR!AL137+JN!AL204+TA!AL108+ŽB!AL82+ČL!AL302+NB!AL132+SM!AL174+JI!AL146+TU!AL209</f>
        <v>0</v>
      </c>
      <c r="AF31" s="16">
        <f>LB!AM474+FR!AM137+JN!AM204+TA!AM108+ŽB!AM82+ČL!AM302+NB!AM132+SM!AM174+JI!AM146+TU!AM209</f>
        <v>-50000</v>
      </c>
      <c r="AG31" s="16">
        <f>LB!AN474+FR!AN137+JN!AN204+TA!AN108+ŽB!AN82+ČL!AN302+NB!AN132+SM!AN174+JI!AN146+TU!AN209</f>
        <v>15000</v>
      </c>
      <c r="AH31" s="16">
        <f>LB!AO474+FR!AO137+JN!AO204+TA!AO108+ŽB!AO82+ČL!AO302+NB!AO132+SM!AO174+JI!AO146+TU!AO209</f>
        <v>-35000</v>
      </c>
      <c r="AI31" s="16">
        <f>LB!AP474+FR!AP137+JN!AP204+TA!AP108+ŽB!AP82+ČL!AP302+NB!AP132+SM!AP174+JI!AP146+TU!AP209</f>
        <v>0</v>
      </c>
      <c r="AJ31" s="16">
        <f>LB!AQ474+FR!AQ137+JN!AQ204+TA!AQ108+ŽB!AQ82+ČL!AQ302+NB!AQ132+SM!AQ174+JI!AQ146+TU!AQ209</f>
        <v>0</v>
      </c>
      <c r="AK31" s="16">
        <f>LB!AR474+FR!AR137+JN!AR204+TA!AR108+ŽB!AR82+ČL!AR302+NB!AR132+SM!AR174+JI!AR146+TU!AR209</f>
        <v>0</v>
      </c>
      <c r="AL31" s="16">
        <f>LB!AS474+FR!AS137+JN!AS204+TA!AS108+ŽB!AS82+ČL!AS302+NB!AS132+SM!AS174+JI!AS146+TU!AS209</f>
        <v>0</v>
      </c>
      <c r="AM31" s="16">
        <f>LB!AT474+FR!AT137+JN!AT204+TA!AT108+ŽB!AT82+ČL!AT302+NB!AT132+SM!AT174+JI!AT146+TU!AT209</f>
        <v>350</v>
      </c>
      <c r="AN31" s="16">
        <f>LB!AU474+FR!AU137+JN!AU204+TA!AU108+ŽB!AU82+ČL!AU302+NB!AU132+SM!AU174+JI!AU146+TU!AU209</f>
        <v>0</v>
      </c>
      <c r="AO31" s="16">
        <f>LB!AV474+FR!AV137+JN!AV204+TA!AV108+ŽB!AV82+ČL!AV302+NB!AV132+SM!AV174+JI!AV146+TU!AV209</f>
        <v>0</v>
      </c>
      <c r="AP31" s="16">
        <f>LB!AW474+FR!AW137+JN!AW204+TA!AW108+ŽB!AW82+ČL!AW302+NB!AW132+SM!AW174+JI!AW146+TU!AW209</f>
        <v>0</v>
      </c>
      <c r="AQ31" s="16">
        <f>LB!AX474+FR!AX137+JN!AX204+TA!AX108+ŽB!AX82+ČL!AX302+NB!AX132+SM!AX174+JI!AX146+TU!AX209</f>
        <v>0</v>
      </c>
      <c r="AR31" s="16">
        <f>LB!AY474+FR!AY137+JN!AY204+TA!AY108+ŽB!AY82+ČL!AY302+NB!AY132+SM!AY174+JI!AY146+TU!AY209</f>
        <v>350</v>
      </c>
      <c r="AS31" s="13">
        <f>LB!AZ474+FR!AZ137+JN!AZ204+TA!AZ108+ŽB!AZ82+ČL!AZ302+NB!AZ132+SM!AZ174+JI!AZ146+TU!AZ209</f>
        <v>0</v>
      </c>
      <c r="AT31" s="13">
        <f>LB!BA474+FR!BA137+JN!BA204+TA!BA108+ŽB!BA82+ČL!BA302+NB!BA132+SM!BA174+JI!BA146+TU!BA209</f>
        <v>0</v>
      </c>
      <c r="AU31" s="13">
        <f>LB!BB474+FR!BB137+JN!BB204+TA!BB108+ŽB!BB82+ČL!BB302+NB!BB132+SM!BB174+JI!BB146+TU!BB209</f>
        <v>0</v>
      </c>
      <c r="AV31" s="13">
        <f>LB!BC474+FR!BC137+JN!BC204+TA!BC108+ŽB!BC82+ČL!BC302+NB!BC132+SM!BC174+JI!BC146+TU!BC209</f>
        <v>0</v>
      </c>
      <c r="AW31" s="13">
        <f>LB!BD474+FR!BD137+JN!BD204+TA!BD108+ŽB!BD82+ČL!BD302+NB!BD132+SM!BD174+JI!BD146+TU!BD209</f>
        <v>0</v>
      </c>
      <c r="AX31" s="13">
        <f>LB!BE474+FR!BE137+JN!BE204+TA!BE108+ŽB!BE82+ČL!BE302+NB!BE132+SM!BE174+JI!BE146+TU!BE209</f>
        <v>0</v>
      </c>
      <c r="AY31" s="13">
        <f>LB!BF474+FR!BF137+JN!BF204+TA!BF108+ŽB!BF82+ČL!BF302+NB!BF132+SM!BF174+JI!BF146+TU!BF209</f>
        <v>0</v>
      </c>
      <c r="AZ31" s="13">
        <f>LB!BG474+FR!BG137+JN!BG204+TA!BG108+ŽB!BG82+ČL!BG302+NB!BG132+SM!BG174+JI!BG146+TU!BG209</f>
        <v>0</v>
      </c>
      <c r="BA31" s="13">
        <f>LB!BH474+FR!BH137+JN!BH204+TA!BH108+ŽB!BH82+ČL!BH302+NB!BH132+SM!BH174+JI!BH146+TU!BH209</f>
        <v>0</v>
      </c>
      <c r="BB31" s="13">
        <f>LB!BI474+FR!BI137+JN!BI204+TA!BI108+ŽB!BI82+ČL!BI302+NB!BI132+SM!BI174+JI!BI146+TU!BI209</f>
        <v>0</v>
      </c>
      <c r="BC31" s="13">
        <f>LB!BJ474+FR!BJ137+JN!BJ204+TA!BJ108+ŽB!BJ82+ČL!BJ302+NB!BJ132+SM!BJ174+JI!BJ146+TU!BJ209</f>
        <v>0</v>
      </c>
      <c r="BD31" s="17">
        <f>LB!BK474+FR!BK137+JN!BK204+TA!BK108+ŽB!BK82+ČL!BK302+NB!BK132+SM!BK174+JI!BK146+TU!BK209</f>
        <v>0</v>
      </c>
      <c r="BE31" s="168">
        <f>LB!BL474+FR!BL137+JN!BL204+TA!BL108+ŽB!BL82+ČL!BL302+NB!BL132+SM!BL174+JI!BL146+TU!BL209</f>
        <v>10574737</v>
      </c>
      <c r="BF31" s="16">
        <f>LB!BM474+FR!BM137+JN!BM204+TA!BM108+ŽB!BM82+ČL!BM302+NB!BM132+SM!BM174+JI!BM146+TU!BM209</f>
        <v>7691692</v>
      </c>
      <c r="BG31" s="16">
        <f>LB!BN474+FR!BN137+JN!BN204+TA!BN108+ŽB!BN82+ČL!BN302+NB!BN132+SM!BN174+JI!BN146+TU!BN209</f>
        <v>7364644</v>
      </c>
      <c r="BH31" s="16">
        <f>LB!BO474+FR!BO137+JN!BO204+TA!BO108+ŽB!BO82+ČL!BO302+NB!BO132+SM!BO174+JI!BO146+TU!BO209</f>
        <v>327048</v>
      </c>
      <c r="BI31" s="16">
        <f>LB!BP474+FR!BP137+JN!BP204+TA!BP108+ŽB!BP82+ČL!BP302+NB!BP132+SM!BP174+JI!BP146+TU!BP209</f>
        <v>93360</v>
      </c>
      <c r="BJ31" s="16">
        <f>LB!BQ474+FR!BQ137+JN!BQ204+TA!BQ108+ŽB!BQ82+ČL!BQ302+NB!BQ132+SM!BQ174+JI!BQ146+TU!BQ209</f>
        <v>78360</v>
      </c>
      <c r="BK31" s="16">
        <f>LB!BR474+FR!BR137+JN!BR204+TA!BR108+ŽB!BR82+ČL!BR302+NB!BR132+SM!BR174+JI!BR146+TU!BR209</f>
        <v>15000</v>
      </c>
      <c r="BL31" s="16">
        <f>LB!BS474+FR!BS137+JN!BS204+TA!BS108+ŽB!BS82+ČL!BS302+NB!BS132+SM!BS174+JI!BS146+TU!BS209</f>
        <v>2631348</v>
      </c>
      <c r="BM31" s="16">
        <f>LB!BT474+FR!BT137+JN!BT204+TA!BT108+ŽB!BT82+ČL!BT302+NB!BT132+SM!BT174+JI!BT146+TU!BT209</f>
        <v>76917</v>
      </c>
      <c r="BN31" s="16">
        <f>LB!BU474+FR!BU137+JN!BU204+TA!BU108+ŽB!BU82+ČL!BU302+NB!BU132+SM!BU174+JI!BU146+TU!BU209</f>
        <v>81420</v>
      </c>
      <c r="BO31" s="13">
        <f>LB!BV474+FR!BV137+JN!BV204+TA!BV108+ŽB!BV82+ČL!BV302+NB!BV132+SM!BV174+JI!BV146+TU!BV209</f>
        <v>11.046200000000001</v>
      </c>
      <c r="BP31" s="13">
        <f>LB!BW474+FR!BW137+JN!BW204+TA!BW108+ŽB!BW82+ČL!BW302+NB!BW132+SM!BW174+JI!BW146+TU!BW209</f>
        <v>10.025400000000001</v>
      </c>
      <c r="BQ31" s="169">
        <f>LB!BX474+FR!BX137+JN!BX204+TA!BX108+ŽB!BX82+ČL!BX302+NB!BX132+SM!BX174+JI!BX146+TU!BX209</f>
        <v>1.0207999999999999</v>
      </c>
      <c r="BR31" s="167">
        <f>LB!BY474+FR!BY137+JN!BY204+TA!BY108+ŽB!BY82+ČL!BY302+NB!BY132+SM!BY174+JI!BY146+TU!BY209</f>
        <v>0</v>
      </c>
      <c r="BS31" s="16">
        <f>LB!BZ474+FR!BZ137+JN!BZ204+TA!BZ108+ŽB!BZ82+ČL!BZ302+NB!BZ132+SM!BZ174+JI!BZ146+TU!BZ209</f>
        <v>0</v>
      </c>
      <c r="BT31" s="16">
        <f>LB!CA474+FR!CA137+JN!CA204+TA!CA108+ŽB!CA82+ČL!CA302+NB!CA132+SM!CA174+JI!CA146+TU!CA209</f>
        <v>0</v>
      </c>
      <c r="BU31" s="16">
        <f>LB!CB474+FR!CB137+JN!CB204+TA!CB108+ŽB!CB82+ČL!CB302+NB!CB132+SM!CB174+JI!CB146+TU!CB209</f>
        <v>0</v>
      </c>
      <c r="BV31" s="16">
        <f>LB!CC474+FR!CC137+JN!CC204+TA!CC108+ŽB!CC82+ČL!CC302+NB!CC132+SM!CC174+JI!CC146+TU!CC209</f>
        <v>0</v>
      </c>
      <c r="BW31" s="17">
        <f>LB!CD474+FR!CD137+JN!CD204+TA!CD108+ŽB!CD82+ČL!CD302+NB!CD132+SM!CD174+JI!CD146+TU!CD209</f>
        <v>0</v>
      </c>
      <c r="BX31" s="168">
        <f>LB!CE474+FR!CE137+JN!CE204+TA!CE108+ŽB!CE82+ČL!CE302+NB!CE132+SM!CE174+JI!CE146+TU!CE209</f>
        <v>175113</v>
      </c>
      <c r="BY31" s="16">
        <f>LB!CF474+FR!CF137+JN!CF204+TA!CF108+ŽB!CF82+ČL!CF302+NB!CF132+SM!CF174+JI!CF146+TU!CF209</f>
        <v>109772</v>
      </c>
      <c r="BZ31" s="16">
        <f>LB!CG474+FR!CG137+JN!CG204+TA!CG108+ŽB!CG82+ČL!CG302+NB!CG132+SM!CG174+JI!CG146+TU!CG209</f>
        <v>37103</v>
      </c>
      <c r="CA31" s="16">
        <f>LB!CH474+FR!CH137+JN!CH204+TA!CH108+ŽB!CH82+ČL!CH302+NB!CH132+SM!CH174+JI!CH146+TU!CH209</f>
        <v>1098</v>
      </c>
      <c r="CB31" s="16">
        <f>LB!CI474+FR!CI137+JN!CI204+TA!CI108+ŽB!CI82+ČL!CI302+NB!CI132+SM!CI174+JI!CI146+TU!CI209</f>
        <v>27140</v>
      </c>
      <c r="CC31" s="17">
        <f>LB!CJ474+FR!CJ137+JN!CJ204+TA!CJ108+ŽB!CJ82+ČL!CJ302+NB!CJ132+SM!CJ174+JI!CJ146+TU!CJ209</f>
        <v>0.3276</v>
      </c>
    </row>
    <row r="32" spans="1:87">
      <c r="A32" s="2">
        <v>3124</v>
      </c>
      <c r="B32" s="167">
        <f>LB!I475+FR!I138+JN!I205+TA!I109+ŽB!I83+ČL!I303+NB!I133+SM!I175+JI!I147+TU!I210</f>
        <v>4181589</v>
      </c>
      <c r="C32" s="16">
        <f>LB!J475+FR!J138+JN!J205+TA!J109+ŽB!J83+ČL!J303+NB!J133+SM!J175+JI!J147+TU!J210</f>
        <v>3088264</v>
      </c>
      <c r="D32" s="16">
        <f>LB!K475+FR!K138+JN!K205+TA!K109+ŽB!K83+ČL!K303+NB!K133+SM!K175+JI!K147+TU!K210</f>
        <v>2937341</v>
      </c>
      <c r="E32" s="16">
        <f>LB!L475+FR!L138+JN!L205+TA!L109+ŽB!L83+ČL!L303+NB!L133+SM!L175+JI!L147+TU!L210</f>
        <v>150923</v>
      </c>
      <c r="F32" s="16">
        <f>LB!M475+FR!M138+JN!M205+TA!M109+ŽB!M83+ČL!M303+NB!M133+SM!M175+JI!M147+TU!M210</f>
        <v>0</v>
      </c>
      <c r="G32" s="16">
        <f>LB!N475+FR!N138+JN!N205+TA!N109+ŽB!N83+ČL!N303+NB!N133+SM!N175+JI!N147+TU!N210</f>
        <v>0</v>
      </c>
      <c r="H32" s="16">
        <f>LB!O475+FR!O138+JN!O205+TA!O109+ŽB!O83+ČL!O303+NB!O133+SM!O175+JI!O147+TU!O210</f>
        <v>0</v>
      </c>
      <c r="I32" s="16">
        <f>LB!P475+FR!P138+JN!P205+TA!P109+ŽB!P83+ČL!P303+NB!P133+SM!P175+JI!P147+TU!P210</f>
        <v>1043833</v>
      </c>
      <c r="J32" s="16">
        <f>LB!Q475+FR!Q138+JN!Q205+TA!Q109+ŽB!Q83+ČL!Q303+NB!Q133+SM!Q175+JI!Q147+TU!Q210</f>
        <v>30882</v>
      </c>
      <c r="K32" s="16">
        <f>LB!R475+FR!R138+JN!R205+TA!R109+ŽB!R83+ČL!R303+NB!R133+SM!R175+JI!R147+TU!R210</f>
        <v>18610</v>
      </c>
      <c r="L32" s="13">
        <f>LB!S475+FR!S138+JN!S205+TA!S109+ŽB!S83+ČL!S303+NB!S133+SM!S175+JI!S147+TU!S210</f>
        <v>4.7678999999999991</v>
      </c>
      <c r="M32" s="13">
        <f>LB!T475+FR!T138+JN!T205+TA!T109+ŽB!T83+ČL!T303+NB!T133+SM!T175+JI!T147+TU!T210</f>
        <v>4.3174999999999999</v>
      </c>
      <c r="N32" s="169">
        <f>LB!U475+FR!U138+JN!U205+TA!U109+ŽB!U83+ČL!U303+NB!U133+SM!U175+JI!U147+TU!U210</f>
        <v>0.45040000000000002</v>
      </c>
      <c r="O32" s="167">
        <f>LB!V475+FR!V138+JN!V205+TA!V109+ŽB!V83+ČL!V303+NB!V133+SM!V175+JI!V147+TU!V210</f>
        <v>0</v>
      </c>
      <c r="P32" s="16">
        <f>LB!W475+FR!W138+JN!W205+TA!W109+ŽB!W83+ČL!W303+NB!W133+SM!W175+JI!W147+TU!W210</f>
        <v>0</v>
      </c>
      <c r="Q32" s="16">
        <f>LB!X475+FR!X138+JN!X205+TA!X109+ŽB!X83+ČL!X303+NB!X133+SM!X175+JI!X147+TU!X210</f>
        <v>0</v>
      </c>
      <c r="R32" s="16">
        <f>LB!Y475+FR!Y138+JN!Y205+TA!Y109+ŽB!Y83+ČL!Y303+NB!Y133+SM!Y175+JI!Y147+TU!Y210</f>
        <v>0</v>
      </c>
      <c r="S32" s="16">
        <f>LB!Z475+FR!Z138+JN!Z205+TA!Z109+ŽB!Z83+ČL!Z303+NB!Z133+SM!Z175+JI!Z147+TU!Z210</f>
        <v>0</v>
      </c>
      <c r="T32" s="16">
        <f>LB!AA475+FR!AA138+JN!AA205+TA!AA109+ŽB!AA83+ČL!AA303+NB!AA133+SM!AA175+JI!AA147+TU!AA210</f>
        <v>0</v>
      </c>
      <c r="U32" s="16">
        <f>LB!AB475+FR!AB138+JN!AB205+TA!AB109+ŽB!AB83+ČL!AB303+NB!AB133+SM!AB175+JI!AB147+TU!AB210</f>
        <v>0</v>
      </c>
      <c r="V32" s="16">
        <f>LB!AC475+FR!AC138+JN!AC205+TA!AC109+ŽB!AC83+ČL!AC303+NB!AC133+SM!AC175+JI!AC147+TU!AC210</f>
        <v>0</v>
      </c>
      <c r="W32" s="16">
        <f>LB!AD475+FR!AD138+JN!AD205+TA!AD109+ŽB!AD83+ČL!AD303+NB!AD133+SM!AD175+JI!AD147+TU!AD210</f>
        <v>0</v>
      </c>
      <c r="X32" s="16">
        <f>LB!AE475+FR!AE138+JN!AE205+TA!AE109+ŽB!AE83+ČL!AE303+NB!AE133+SM!AE175+JI!AE147+TU!AE210</f>
        <v>0</v>
      </c>
      <c r="Y32" s="16">
        <f>LB!AF475+FR!AF138+JN!AF205+TA!AF109+ŽB!AF83+ČL!AF303+NB!AF133+SM!AF175+JI!AF147+TU!AF210</f>
        <v>0</v>
      </c>
      <c r="Z32" s="16">
        <f>LB!AG475+FR!AG138+JN!AG205+TA!AG109+ŽB!AG83+ČL!AG303+NB!AG133+SM!AG175+JI!AG147+TU!AG210</f>
        <v>0</v>
      </c>
      <c r="AA32" s="16">
        <f>LB!AH475+FR!AH138+JN!AH205+TA!AH109+ŽB!AH83+ČL!AH303+NB!AH133+SM!AH175+JI!AH147+TU!AH210</f>
        <v>0</v>
      </c>
      <c r="AB32" s="16">
        <f>LB!AI475+FR!AI138+JN!AI205+TA!AI109+ŽB!AI83+ČL!AI303+NB!AI133+SM!AI175+JI!AI147+TU!AI210</f>
        <v>0</v>
      </c>
      <c r="AC32" s="16">
        <f>LB!AJ475+FR!AJ138+JN!AJ205+TA!AJ109+ŽB!AJ83+ČL!AJ303+NB!AJ133+SM!AJ175+JI!AJ147+TU!AJ210</f>
        <v>0</v>
      </c>
      <c r="AD32" s="16">
        <f>LB!AK475+FR!AK138+JN!AK205+TA!AK109+ŽB!AK83+ČL!AK303+NB!AK133+SM!AK175+JI!AK147+TU!AK210</f>
        <v>0</v>
      </c>
      <c r="AE32" s="16">
        <f>LB!AL475+FR!AL138+JN!AL205+TA!AL109+ŽB!AL83+ČL!AL303+NB!AL133+SM!AL175+JI!AL147+TU!AL210</f>
        <v>0</v>
      </c>
      <c r="AF32" s="16">
        <f>LB!AM475+FR!AM138+JN!AM205+TA!AM109+ŽB!AM83+ČL!AM303+NB!AM133+SM!AM175+JI!AM147+TU!AM210</f>
        <v>0</v>
      </c>
      <c r="AG32" s="16">
        <f>LB!AN475+FR!AN138+JN!AN205+TA!AN109+ŽB!AN83+ČL!AN303+NB!AN133+SM!AN175+JI!AN147+TU!AN210</f>
        <v>0</v>
      </c>
      <c r="AH32" s="16">
        <f>LB!AO475+FR!AO138+JN!AO205+TA!AO109+ŽB!AO83+ČL!AO303+NB!AO133+SM!AO175+JI!AO147+TU!AO210</f>
        <v>0</v>
      </c>
      <c r="AI32" s="16">
        <f>LB!AP475+FR!AP138+JN!AP205+TA!AP109+ŽB!AP83+ČL!AP303+NB!AP133+SM!AP175+JI!AP147+TU!AP210</f>
        <v>0</v>
      </c>
      <c r="AJ32" s="16">
        <f>LB!AQ475+FR!AQ138+JN!AQ205+TA!AQ109+ŽB!AQ83+ČL!AQ303+NB!AQ133+SM!AQ175+JI!AQ147+TU!AQ210</f>
        <v>0</v>
      </c>
      <c r="AK32" s="16">
        <f>LB!AR475+FR!AR138+JN!AR205+TA!AR109+ŽB!AR83+ČL!AR303+NB!AR133+SM!AR175+JI!AR147+TU!AR210</f>
        <v>0</v>
      </c>
      <c r="AL32" s="16">
        <f>LB!AS475+FR!AS138+JN!AS205+TA!AS109+ŽB!AS83+ČL!AS303+NB!AS133+SM!AS175+JI!AS147+TU!AS210</f>
        <v>0</v>
      </c>
      <c r="AM32" s="16">
        <f>LB!AT475+FR!AT138+JN!AT205+TA!AT109+ŽB!AT83+ČL!AT303+NB!AT133+SM!AT175+JI!AT147+TU!AT210</f>
        <v>0</v>
      </c>
      <c r="AN32" s="16">
        <f>LB!AU475+FR!AU138+JN!AU205+TA!AU109+ŽB!AU83+ČL!AU303+NB!AU133+SM!AU175+JI!AU147+TU!AU210</f>
        <v>0</v>
      </c>
      <c r="AO32" s="16">
        <f>LB!AV475+FR!AV138+JN!AV205+TA!AV109+ŽB!AV83+ČL!AV303+NB!AV133+SM!AV175+JI!AV147+TU!AV210</f>
        <v>0</v>
      </c>
      <c r="AP32" s="16">
        <f>LB!AW475+FR!AW138+JN!AW205+TA!AW109+ŽB!AW83+ČL!AW303+NB!AW133+SM!AW175+JI!AW147+TU!AW210</f>
        <v>0</v>
      </c>
      <c r="AQ32" s="16">
        <f>LB!AX475+FR!AX138+JN!AX205+TA!AX109+ŽB!AX83+ČL!AX303+NB!AX133+SM!AX175+JI!AX147+TU!AX210</f>
        <v>0</v>
      </c>
      <c r="AR32" s="16">
        <f>LB!AY475+FR!AY138+JN!AY205+TA!AY109+ŽB!AY83+ČL!AY303+NB!AY133+SM!AY175+JI!AY147+TU!AY210</f>
        <v>0</v>
      </c>
      <c r="AS32" s="13">
        <f>LB!AZ475+FR!AZ138+JN!AZ205+TA!AZ109+ŽB!AZ83+ČL!AZ303+NB!AZ133+SM!AZ175+JI!AZ147+TU!AZ210</f>
        <v>0</v>
      </c>
      <c r="AT32" s="13">
        <f>LB!BA475+FR!BA138+JN!BA205+TA!BA109+ŽB!BA83+ČL!BA303+NB!BA133+SM!BA175+JI!BA147+TU!BA210</f>
        <v>0</v>
      </c>
      <c r="AU32" s="13">
        <f>LB!BB475+FR!BB138+JN!BB205+TA!BB109+ŽB!BB83+ČL!BB303+NB!BB133+SM!BB175+JI!BB147+TU!BB210</f>
        <v>0</v>
      </c>
      <c r="AV32" s="13">
        <f>LB!BC475+FR!BC138+JN!BC205+TA!BC109+ŽB!BC83+ČL!BC303+NB!BC133+SM!BC175+JI!BC147+TU!BC210</f>
        <v>0</v>
      </c>
      <c r="AW32" s="13">
        <f>LB!BD475+FR!BD138+JN!BD205+TA!BD109+ŽB!BD83+ČL!BD303+NB!BD133+SM!BD175+JI!BD147+TU!BD210</f>
        <v>0</v>
      </c>
      <c r="AX32" s="13">
        <f>LB!BE475+FR!BE138+JN!BE205+TA!BE109+ŽB!BE83+ČL!BE303+NB!BE133+SM!BE175+JI!BE147+TU!BE210</f>
        <v>0</v>
      </c>
      <c r="AY32" s="13">
        <f>LB!BF475+FR!BF138+JN!BF205+TA!BF109+ŽB!BF83+ČL!BF303+NB!BF133+SM!BF175+JI!BF147+TU!BF210</f>
        <v>0</v>
      </c>
      <c r="AZ32" s="13">
        <f>LB!BG475+FR!BG138+JN!BG205+TA!BG109+ŽB!BG83+ČL!BG303+NB!BG133+SM!BG175+JI!BG147+TU!BG210</f>
        <v>0</v>
      </c>
      <c r="BA32" s="13">
        <f>LB!BH475+FR!BH138+JN!BH205+TA!BH109+ŽB!BH83+ČL!BH303+NB!BH133+SM!BH175+JI!BH147+TU!BH210</f>
        <v>0</v>
      </c>
      <c r="BB32" s="13">
        <f>LB!BI475+FR!BI138+JN!BI205+TA!BI109+ŽB!BI83+ČL!BI303+NB!BI133+SM!BI175+JI!BI147+TU!BI210</f>
        <v>0</v>
      </c>
      <c r="BC32" s="13">
        <f>LB!BJ475+FR!BJ138+JN!BJ205+TA!BJ109+ŽB!BJ83+ČL!BJ303+NB!BJ133+SM!BJ175+JI!BJ147+TU!BJ210</f>
        <v>0</v>
      </c>
      <c r="BD32" s="17">
        <f>LB!BK475+FR!BK138+JN!BK205+TA!BK109+ŽB!BK83+ČL!BK303+NB!BK133+SM!BK175+JI!BK147+TU!BK210</f>
        <v>0</v>
      </c>
      <c r="BE32" s="168">
        <f>LB!BL475+FR!BL138+JN!BL205+TA!BL109+ŽB!BL83+ČL!BL303+NB!BL133+SM!BL175+JI!BL147+TU!BL210</f>
        <v>4181589</v>
      </c>
      <c r="BF32" s="16">
        <f>LB!BM475+FR!BM138+JN!BM205+TA!BM109+ŽB!BM83+ČL!BM303+NB!BM133+SM!BM175+JI!BM147+TU!BM210</f>
        <v>3088264</v>
      </c>
      <c r="BG32" s="16">
        <f>LB!BN475+FR!BN138+JN!BN205+TA!BN109+ŽB!BN83+ČL!BN303+NB!BN133+SM!BN175+JI!BN147+TU!BN210</f>
        <v>2937341</v>
      </c>
      <c r="BH32" s="16">
        <f>LB!BO475+FR!BO138+JN!BO205+TA!BO109+ŽB!BO83+ČL!BO303+NB!BO133+SM!BO175+JI!BO147+TU!BO210</f>
        <v>150923</v>
      </c>
      <c r="BI32" s="16">
        <f>LB!BP475+FR!BP138+JN!BP205+TA!BP109+ŽB!BP83+ČL!BP303+NB!BP133+SM!BP175+JI!BP147+TU!BP210</f>
        <v>0</v>
      </c>
      <c r="BJ32" s="16">
        <f>LB!BQ475+FR!BQ138+JN!BQ205+TA!BQ109+ŽB!BQ83+ČL!BQ303+NB!BQ133+SM!BQ175+JI!BQ147+TU!BQ210</f>
        <v>0</v>
      </c>
      <c r="BK32" s="16">
        <f>LB!BR475+FR!BR138+JN!BR205+TA!BR109+ŽB!BR83+ČL!BR303+NB!BR133+SM!BR175+JI!BR147+TU!BR210</f>
        <v>0</v>
      </c>
      <c r="BL32" s="16">
        <f>LB!BS475+FR!BS138+JN!BS205+TA!BS109+ŽB!BS83+ČL!BS303+NB!BS133+SM!BS175+JI!BS147+TU!BS210</f>
        <v>1043833</v>
      </c>
      <c r="BM32" s="16">
        <f>LB!BT475+FR!BT138+JN!BT205+TA!BT109+ŽB!BT83+ČL!BT303+NB!BT133+SM!BT175+JI!BT147+TU!BT210</f>
        <v>30882</v>
      </c>
      <c r="BN32" s="16">
        <f>LB!BU475+FR!BU138+JN!BU205+TA!BU109+ŽB!BU83+ČL!BU303+NB!BU133+SM!BU175+JI!BU147+TU!BU210</f>
        <v>18610</v>
      </c>
      <c r="BO32" s="13">
        <f>LB!BV475+FR!BV138+JN!BV205+TA!BV109+ŽB!BV83+ČL!BV303+NB!BV133+SM!BV175+JI!BV147+TU!BV210</f>
        <v>4.7678999999999991</v>
      </c>
      <c r="BP32" s="13">
        <f>LB!BW475+FR!BW138+JN!BW205+TA!BW109+ŽB!BW83+ČL!BW303+NB!BW133+SM!BW175+JI!BW147+TU!BW210</f>
        <v>4.3174999999999999</v>
      </c>
      <c r="BQ32" s="169">
        <f>LB!BX475+FR!BX138+JN!BX205+TA!BX109+ŽB!BX83+ČL!BX303+NB!BX133+SM!BX175+JI!BX147+TU!BX210</f>
        <v>0.45040000000000002</v>
      </c>
      <c r="BR32" s="167">
        <f>LB!BY475+FR!BY138+JN!BY205+TA!BY109+ŽB!BY83+ČL!BY303+NB!BY133+SM!BY175+JI!BY147+TU!BY210</f>
        <v>0</v>
      </c>
      <c r="BS32" s="16">
        <f>LB!BZ475+FR!BZ138+JN!BZ205+TA!BZ109+ŽB!BZ83+ČL!BZ303+NB!BZ133+SM!BZ175+JI!BZ147+TU!BZ210</f>
        <v>0</v>
      </c>
      <c r="BT32" s="16">
        <f>LB!CA475+FR!CA138+JN!CA205+TA!CA109+ŽB!CA83+ČL!CA303+NB!CA133+SM!CA175+JI!CA147+TU!CA210</f>
        <v>0</v>
      </c>
      <c r="BU32" s="16">
        <f>LB!CB475+FR!CB138+JN!CB205+TA!CB109+ŽB!CB83+ČL!CB303+NB!CB133+SM!CB175+JI!CB147+TU!CB210</f>
        <v>0</v>
      </c>
      <c r="BV32" s="16">
        <f>LB!CC475+FR!CC138+JN!CC205+TA!CC109+ŽB!CC83+ČL!CC303+NB!CC133+SM!CC175+JI!CC147+TU!CC210</f>
        <v>0</v>
      </c>
      <c r="BW32" s="17">
        <f>LB!CD475+FR!CD138+JN!CD205+TA!CD109+ŽB!CD83+ČL!CD303+NB!CD133+SM!CD175+JI!CD147+TU!CD210</f>
        <v>0</v>
      </c>
      <c r="BX32" s="168">
        <f>LB!CE475+FR!CE138+JN!CE205+TA!CE109+ŽB!CE83+ČL!CE303+NB!CE133+SM!CE175+JI!CE147+TU!CE210</f>
        <v>71482</v>
      </c>
      <c r="BY32" s="16">
        <f>LB!CF475+FR!CF138+JN!CF205+TA!CF109+ŽB!CF83+ČL!CF303+NB!CF133+SM!CF175+JI!CF147+TU!CF210</f>
        <v>48429</v>
      </c>
      <c r="BZ32" s="16">
        <f>LB!CG475+FR!CG138+JN!CG205+TA!CG109+ŽB!CG83+ČL!CG303+NB!CG133+SM!CG175+JI!CG147+TU!CG210</f>
        <v>16369</v>
      </c>
      <c r="CA32" s="16">
        <f>LB!CH475+FR!CH138+JN!CH205+TA!CH109+ŽB!CH83+ČL!CH303+NB!CH133+SM!CH175+JI!CH147+TU!CH210</f>
        <v>484</v>
      </c>
      <c r="CB32" s="16">
        <f>LB!CI475+FR!CI138+JN!CI205+TA!CI109+ŽB!CI83+ČL!CI303+NB!CI133+SM!CI175+JI!CI147+TU!CI210</f>
        <v>6200</v>
      </c>
      <c r="CC32" s="17">
        <f>LB!CJ475+FR!CJ138+JN!CJ205+TA!CJ109+ŽB!CJ83+ČL!CJ303+NB!CJ133+SM!CJ175+JI!CJ147+TU!CJ210</f>
        <v>0.14449999999999999</v>
      </c>
    </row>
    <row r="33" spans="1:81">
      <c r="A33" s="2">
        <v>3141</v>
      </c>
      <c r="B33" s="167">
        <f>LB!I476+FR!I139+JN!I206+TA!I110+ŽB!I84+ČL!I304+NB!I134+SM!I176+JI!I148+TU!I211</f>
        <v>414131111</v>
      </c>
      <c r="C33" s="16">
        <f>LB!J476+FR!J139+JN!J206+TA!J110+ŽB!J84+ČL!J304+NB!J134+SM!J176+JI!J148+TU!J211</f>
        <v>303729206</v>
      </c>
      <c r="D33" s="16">
        <f>LB!K476+FR!K139+JN!K206+TA!K110+ŽB!K84+ČL!K304+NB!K134+SM!K176+JI!K148+TU!K211</f>
        <v>2584</v>
      </c>
      <c r="E33" s="16">
        <f>LB!L476+FR!L139+JN!L206+TA!L110+ŽB!L84+ČL!L304+NB!L134+SM!L176+JI!L148+TU!L211</f>
        <v>303726622</v>
      </c>
      <c r="F33" s="16">
        <f>LB!M476+FR!M139+JN!M206+TA!M110+ŽB!M84+ČL!M304+NB!M134+SM!M176+JI!M148+TU!M211</f>
        <v>1700880</v>
      </c>
      <c r="G33" s="16">
        <f>LB!N476+FR!N139+JN!N206+TA!N110+ŽB!N84+ČL!N304+NB!N134+SM!N176+JI!N148+TU!N211</f>
        <v>0</v>
      </c>
      <c r="H33" s="16">
        <f>LB!O476+FR!O139+JN!O206+TA!O110+ŽB!O84+ČL!O304+NB!O134+SM!O176+JI!O148+TU!O211</f>
        <v>1700880</v>
      </c>
      <c r="I33" s="16">
        <f>LB!P476+FR!P139+JN!P206+TA!P110+ŽB!P84+ČL!P304+NB!P134+SM!P176+JI!P148+TU!P211</f>
        <v>103199238</v>
      </c>
      <c r="J33" s="16">
        <f>LB!Q476+FR!Q139+JN!Q206+TA!Q110+ŽB!Q84+ČL!Q304+NB!Q134+SM!Q176+JI!Q148+TU!Q211</f>
        <v>3037285</v>
      </c>
      <c r="K33" s="16">
        <f>LB!R476+FR!R139+JN!R206+TA!R110+ŽB!R84+ČL!R304+NB!R134+SM!R176+JI!R148+TU!R211</f>
        <v>2464502</v>
      </c>
      <c r="L33" s="13">
        <f>LB!S476+FR!S139+JN!S206+TA!S110+ŽB!S84+ČL!S304+NB!S134+SM!S176+JI!S148+TU!S211</f>
        <v>913.3306</v>
      </c>
      <c r="M33" s="13">
        <f>LB!T476+FR!T139+JN!T206+TA!T110+ŽB!T84+ČL!T304+NB!T134+SM!T176+JI!T148+TU!T211</f>
        <v>0</v>
      </c>
      <c r="N33" s="169">
        <f>LB!U476+FR!U139+JN!U206+TA!U110+ŽB!U84+ČL!U304+NB!U134+SM!U176+JI!U148+TU!U211</f>
        <v>913.3306</v>
      </c>
      <c r="O33" s="167">
        <f>LB!V476+FR!V139+JN!V206+TA!V110+ŽB!V84+ČL!V304+NB!V134+SM!V176+JI!V148+TU!V211</f>
        <v>-4000</v>
      </c>
      <c r="P33" s="16">
        <f>LB!W476+FR!W139+JN!W206+TA!W110+ŽB!W84+ČL!W304+NB!W134+SM!W176+JI!W148+TU!W211</f>
        <v>-201387</v>
      </c>
      <c r="Q33" s="16">
        <f>LB!X476+FR!X139+JN!X206+TA!X110+ŽB!X84+ČL!X304+NB!X134+SM!X176+JI!X148+TU!X211</f>
        <v>0</v>
      </c>
      <c r="R33" s="16">
        <f>LB!Y476+FR!Y139+JN!Y206+TA!Y110+ŽB!Y84+ČL!Y304+NB!Y134+SM!Y176+JI!Y148+TU!Y211</f>
        <v>0</v>
      </c>
      <c r="S33" s="16">
        <f>LB!Z476+FR!Z139+JN!Z206+TA!Z110+ŽB!Z84+ČL!Z304+NB!Z134+SM!Z176+JI!Z148+TU!Z211</f>
        <v>0</v>
      </c>
      <c r="T33" s="16">
        <f>LB!AA476+FR!AA139+JN!AA206+TA!AA110+ŽB!AA84+ČL!AA304+NB!AA134+SM!AA176+JI!AA148+TU!AA211</f>
        <v>-1347119</v>
      </c>
      <c r="U33" s="16">
        <f>LB!AB476+FR!AB139+JN!AB206+TA!AB110+ŽB!AB84+ČL!AB304+NB!AB134+SM!AB176+JI!AB148+TU!AB211</f>
        <v>0</v>
      </c>
      <c r="V33" s="16">
        <f>LB!AC476+FR!AC139+JN!AC206+TA!AC110+ŽB!AC84+ČL!AC304+NB!AC134+SM!AC176+JI!AC148+TU!AC211</f>
        <v>0</v>
      </c>
      <c r="W33" s="16">
        <f>LB!AD476+FR!AD139+JN!AD206+TA!AD110+ŽB!AD84+ČL!AD304+NB!AD134+SM!AD176+JI!AD148+TU!AD211</f>
        <v>-81402</v>
      </c>
      <c r="X33" s="16">
        <f>LB!AE476+FR!AE139+JN!AE206+TA!AE110+ŽB!AE84+ČL!AE304+NB!AE134+SM!AE176+JI!AE148+TU!AE211</f>
        <v>-4000</v>
      </c>
      <c r="Y33" s="16">
        <f>LB!AF476+FR!AF139+JN!AF206+TA!AF110+ŽB!AF84+ČL!AF304+NB!AF134+SM!AF176+JI!AF148+TU!AF211</f>
        <v>-1614205</v>
      </c>
      <c r="Z33" s="16">
        <f>LB!AG476+FR!AG139+JN!AG206+TA!AG110+ŽB!AG84+ČL!AG304+NB!AG134+SM!AG176+JI!AG148+TU!AG211</f>
        <v>-1618205</v>
      </c>
      <c r="AA33" s="16">
        <f>LB!AH476+FR!AH139+JN!AH206+TA!AH110+ŽB!AH84+ČL!AH304+NB!AH134+SM!AH176+JI!AH148+TU!AH211</f>
        <v>4000</v>
      </c>
      <c r="AB33" s="16">
        <f>LB!AI476+FR!AI139+JN!AI206+TA!AI110+ŽB!AI84+ČL!AI304+NB!AI134+SM!AI176+JI!AI148+TU!AI211</f>
        <v>201387</v>
      </c>
      <c r="AC33" s="16">
        <f>LB!AJ476+FR!AJ139+JN!AJ206+TA!AJ110+ŽB!AJ84+ČL!AJ304+NB!AJ134+SM!AJ176+JI!AJ148+TU!AJ211</f>
        <v>0</v>
      </c>
      <c r="AD33" s="16">
        <f>LB!AK476+FR!AK139+JN!AK206+TA!AK110+ŽB!AK84+ČL!AK304+NB!AK134+SM!AK176+JI!AK148+TU!AK211</f>
        <v>0</v>
      </c>
      <c r="AE33" s="16">
        <f>LB!AL476+FR!AL139+JN!AL206+TA!AL110+ŽB!AL84+ČL!AL304+NB!AL134+SM!AL176+JI!AL148+TU!AL211</f>
        <v>58500</v>
      </c>
      <c r="AF33" s="16">
        <f>LB!AM476+FR!AM139+JN!AM206+TA!AM110+ŽB!AM84+ČL!AM304+NB!AM134+SM!AM176+JI!AM148+TU!AM211</f>
        <v>4000</v>
      </c>
      <c r="AG33" s="16">
        <f>LB!AN476+FR!AN139+JN!AN206+TA!AN110+ŽB!AN84+ČL!AN304+NB!AN134+SM!AN176+JI!AN148+TU!AN211</f>
        <v>249887</v>
      </c>
      <c r="AH33" s="16">
        <f>LB!AO476+FR!AO139+JN!AO206+TA!AO110+ŽB!AO84+ČL!AO304+NB!AO134+SM!AO176+JI!AO148+TU!AO211</f>
        <v>253887</v>
      </c>
      <c r="AI33" s="16">
        <f>LB!AP476+FR!AP139+JN!AP206+TA!AP110+ŽB!AP84+ČL!AP304+NB!AP134+SM!AP176+JI!AP148+TU!AP211</f>
        <v>0</v>
      </c>
      <c r="AJ33" s="16">
        <f>LB!AQ476+FR!AQ139+JN!AQ206+TA!AQ110+ŽB!AQ84+ČL!AQ304+NB!AQ134+SM!AQ176+JI!AQ148+TU!AQ211</f>
        <v>-1364318</v>
      </c>
      <c r="AK33" s="16">
        <f>LB!AR476+FR!AR139+JN!AR206+TA!AR110+ŽB!AR84+ČL!AR304+NB!AR134+SM!AR176+JI!AR148+TU!AR211</f>
        <v>-1364318</v>
      </c>
      <c r="AL33" s="16">
        <f>LB!AS476+FR!AS139+JN!AS206+TA!AS110+ŽB!AS84+ČL!AS304+NB!AS134+SM!AS176+JI!AS148+TU!AS211</f>
        <v>-477530</v>
      </c>
      <c r="AM33" s="16">
        <f>LB!AT476+FR!AT139+JN!AT206+TA!AT110+ŽB!AT84+ČL!AT304+NB!AT134+SM!AT176+JI!AT148+TU!AT211</f>
        <v>-16185</v>
      </c>
      <c r="AN33" s="16">
        <f>LB!AU476+FR!AU139+JN!AU206+TA!AU110+ŽB!AU84+ČL!AU304+NB!AU134+SM!AU176+JI!AU148+TU!AU211</f>
        <v>0</v>
      </c>
      <c r="AO33" s="16">
        <f>LB!AV476+FR!AV139+JN!AV206+TA!AV110+ŽB!AV84+ČL!AV304+NB!AV134+SM!AV176+JI!AV148+TU!AV211</f>
        <v>0</v>
      </c>
      <c r="AP33" s="16">
        <f>LB!AW476+FR!AW139+JN!AW206+TA!AW110+ŽB!AW84+ČL!AW304+NB!AW134+SM!AW176+JI!AW148+TU!AW211</f>
        <v>0</v>
      </c>
      <c r="AQ33" s="16">
        <f>LB!AX476+FR!AX139+JN!AX206+TA!AX110+ŽB!AX84+ČL!AX304+NB!AX134+SM!AX176+JI!AX148+TU!AX211</f>
        <v>0</v>
      </c>
      <c r="AR33" s="16">
        <f>LB!AY476+FR!AY139+JN!AY206+TA!AY110+ŽB!AY84+ČL!AY304+NB!AY134+SM!AY176+JI!AY148+TU!AY211</f>
        <v>-1858033</v>
      </c>
      <c r="AS33" s="13">
        <f>LB!AZ476+FR!AZ139+JN!AZ206+TA!AZ110+ŽB!AZ84+ČL!AZ304+NB!AZ134+SM!AZ176+JI!AZ148+TU!AZ211</f>
        <v>0</v>
      </c>
      <c r="AT33" s="13">
        <f>LB!BA476+FR!BA139+JN!BA206+TA!BA110+ŽB!BA84+ČL!BA304+NB!BA134+SM!BA176+JI!BA148+TU!BA211</f>
        <v>3.9999999999999952E-2</v>
      </c>
      <c r="AU33" s="13">
        <f>LB!BB476+FR!BB139+JN!BB206+TA!BB110+ŽB!BB84+ČL!BB304+NB!BB134+SM!BB176+JI!BB148+TU!BB211</f>
        <v>0</v>
      </c>
      <c r="AV33" s="13">
        <f>LB!BC476+FR!BC139+JN!BC206+TA!BC110+ŽB!BC84+ČL!BC304+NB!BC134+SM!BC176+JI!BC148+TU!BC211</f>
        <v>0.01</v>
      </c>
      <c r="AW33" s="13">
        <f>LB!BD476+FR!BD139+JN!BD206+TA!BD110+ŽB!BD84+ČL!BD304+NB!BD134+SM!BD176+JI!BD148+TU!BD211</f>
        <v>-3.7800000000000002</v>
      </c>
      <c r="AX33" s="13">
        <f>LB!BE476+FR!BE139+JN!BE206+TA!BE110+ŽB!BE84+ČL!BE304+NB!BE134+SM!BE176+JI!BE148+TU!BE211</f>
        <v>0</v>
      </c>
      <c r="AY33" s="13">
        <f>LB!BF476+FR!BF139+JN!BF206+TA!BF110+ŽB!BF84+ČL!BF304+NB!BF134+SM!BF176+JI!BF148+TU!BF211</f>
        <v>0</v>
      </c>
      <c r="AZ33" s="13">
        <f>LB!BG476+FR!BG139+JN!BG206+TA!BG110+ŽB!BG84+ČL!BG304+NB!BG134+SM!BG176+JI!BG148+TU!BG211</f>
        <v>0</v>
      </c>
      <c r="BA33" s="13">
        <f>LB!BH476+FR!BH139+JN!BH206+TA!BH110+ŽB!BH84+ČL!BH304+NB!BH134+SM!BH176+JI!BH148+TU!BH211</f>
        <v>-0.25</v>
      </c>
      <c r="BB33" s="13">
        <f>LB!BI476+FR!BI139+JN!BI206+TA!BI110+ŽB!BI84+ČL!BI304+NB!BI134+SM!BI176+JI!BI148+TU!BI211</f>
        <v>0.01</v>
      </c>
      <c r="BC33" s="13">
        <f>LB!BJ476+FR!BJ139+JN!BJ206+TA!BJ110+ŽB!BJ84+ČL!BJ304+NB!BJ134+SM!BJ176+JI!BJ148+TU!BJ211</f>
        <v>-3.99</v>
      </c>
      <c r="BD33" s="17">
        <f>LB!BK476+FR!BK139+JN!BK206+TA!BK110+ŽB!BK84+ČL!BK304+NB!BK134+SM!BK176+JI!BK148+TU!BK211</f>
        <v>-3.9800000000000004</v>
      </c>
      <c r="BE33" s="168">
        <f>LB!BL476+FR!BL139+JN!BL206+TA!BL110+ŽB!BL84+ČL!BL304+NB!BL134+SM!BL176+JI!BL148+TU!BL211</f>
        <v>412273078</v>
      </c>
      <c r="BF33" s="16">
        <f>LB!BM476+FR!BM139+JN!BM206+TA!BM110+ŽB!BM84+ČL!BM304+NB!BM134+SM!BM176+JI!BM148+TU!BM211</f>
        <v>302111001</v>
      </c>
      <c r="BG33" s="16">
        <f>LB!BN476+FR!BN139+JN!BN206+TA!BN110+ŽB!BN84+ČL!BN304+NB!BN134+SM!BN176+JI!BN148+TU!BN211</f>
        <v>-1416</v>
      </c>
      <c r="BH33" s="16">
        <f>LB!BO476+FR!BO139+JN!BO206+TA!BO110+ŽB!BO84+ČL!BO304+NB!BO134+SM!BO176+JI!BO148+TU!BO211</f>
        <v>302112417</v>
      </c>
      <c r="BI33" s="16">
        <f>LB!BP476+FR!BP139+JN!BP206+TA!BP110+ŽB!BP84+ČL!BP304+NB!BP134+SM!BP176+JI!BP148+TU!BP211</f>
        <v>1954767</v>
      </c>
      <c r="BJ33" s="16">
        <f>LB!BQ476+FR!BQ139+JN!BQ206+TA!BQ110+ŽB!BQ84+ČL!BQ304+NB!BQ134+SM!BQ176+JI!BQ148+TU!BQ211</f>
        <v>4000</v>
      </c>
      <c r="BK33" s="16">
        <f>LB!BR476+FR!BR139+JN!BR206+TA!BR110+ŽB!BR84+ČL!BR304+NB!BR134+SM!BR176+JI!BR148+TU!BR211</f>
        <v>1950767</v>
      </c>
      <c r="BL33" s="16">
        <f>LB!BS476+FR!BS139+JN!BS206+TA!BS110+ŽB!BS84+ČL!BS304+NB!BS134+SM!BS176+JI!BS148+TU!BS211</f>
        <v>102721708</v>
      </c>
      <c r="BM33" s="16">
        <f>LB!BT476+FR!BT139+JN!BT206+TA!BT110+ŽB!BT84+ČL!BT304+NB!BT134+SM!BT176+JI!BT148+TU!BT211</f>
        <v>3021100</v>
      </c>
      <c r="BN33" s="16">
        <f>LB!BU476+FR!BU139+JN!BU206+TA!BU110+ŽB!BU84+ČL!BU304+NB!BU134+SM!BU176+JI!BU148+TU!BU211</f>
        <v>2464502</v>
      </c>
      <c r="BO33" s="13">
        <f>LB!BV476+FR!BV139+JN!BV206+TA!BV110+ŽB!BV84+ČL!BV304+NB!BV134+SM!BV176+JI!BV148+TU!BV211</f>
        <v>909.35059999999999</v>
      </c>
      <c r="BP33" s="13">
        <f>LB!BW476+FR!BW139+JN!BW206+TA!BW110+ŽB!BW84+ČL!BW304+NB!BW134+SM!BW176+JI!BW148+TU!BW211</f>
        <v>0.01</v>
      </c>
      <c r="BQ33" s="169">
        <f>LB!BX476+FR!BX139+JN!BX206+TA!BX110+ŽB!BX84+ČL!BX304+NB!BX134+SM!BX176+JI!BX148+TU!BX211</f>
        <v>909.34059999999999</v>
      </c>
      <c r="BR33" s="167">
        <f>LB!BY476+FR!BY139+JN!BY206+TA!BY110+ŽB!BY84+ČL!BY304+NB!BY134+SM!BY176+JI!BY148+TU!BY211</f>
        <v>0</v>
      </c>
      <c r="BS33" s="16">
        <f>LB!BZ476+FR!BZ139+JN!BZ206+TA!BZ110+ŽB!BZ84+ČL!BZ304+NB!BZ134+SM!BZ176+JI!BZ148+TU!BZ211</f>
        <v>0</v>
      </c>
      <c r="BT33" s="16">
        <f>LB!CA476+FR!CA139+JN!CA206+TA!CA110+ŽB!CA84+ČL!CA304+NB!CA134+SM!CA176+JI!CA148+TU!CA211</f>
        <v>0</v>
      </c>
      <c r="BU33" s="16">
        <f>LB!CB476+FR!CB139+JN!CB206+TA!CB110+ŽB!CB84+ČL!CB304+NB!CB134+SM!CB176+JI!CB148+TU!CB211</f>
        <v>0</v>
      </c>
      <c r="BV33" s="16">
        <f>LB!CC476+FR!CC139+JN!CC206+TA!CC110+ŽB!CC84+ČL!CC304+NB!CC134+SM!CC176+JI!CC148+TU!CC211</f>
        <v>0</v>
      </c>
      <c r="BW33" s="17">
        <f>LB!CD476+FR!CD139+JN!CD206+TA!CD110+ŽB!CD84+ČL!CD304+NB!CD134+SM!CD176+JI!CD148+TU!CD211</f>
        <v>0</v>
      </c>
      <c r="BX33" s="168">
        <f>LB!CE476+FR!CE139+JN!CE206+TA!CE110+ŽB!CE84+ČL!CE304+NB!CE134+SM!CE176+JI!CE148+TU!CE211</f>
        <v>0</v>
      </c>
      <c r="BY33" s="16">
        <f>LB!CF476+FR!CF139+JN!CF206+TA!CF110+ŽB!CF84+ČL!CF304+NB!CF134+SM!CF176+JI!CF148+TU!CF211</f>
        <v>0</v>
      </c>
      <c r="BZ33" s="16">
        <f>LB!CG476+FR!CG139+JN!CG206+TA!CG110+ŽB!CG84+ČL!CG304+NB!CG134+SM!CG176+JI!CG148+TU!CG211</f>
        <v>0</v>
      </c>
      <c r="CA33" s="16">
        <f>LB!CH476+FR!CH139+JN!CH206+TA!CH110+ŽB!CH84+ČL!CH304+NB!CH134+SM!CH176+JI!CH148+TU!CH211</f>
        <v>0</v>
      </c>
      <c r="CB33" s="16">
        <f>LB!CI476+FR!CI139+JN!CI206+TA!CI110+ŽB!CI84+ČL!CI304+NB!CI134+SM!CI176+JI!CI148+TU!CI211</f>
        <v>0</v>
      </c>
      <c r="CC33" s="17">
        <f>LB!CJ476+FR!CJ139+JN!CJ206+TA!CJ110+ŽB!CJ84+ČL!CJ304+NB!CJ134+SM!CJ176+JI!CJ148+TU!CJ211</f>
        <v>0</v>
      </c>
    </row>
    <row r="34" spans="1:81">
      <c r="A34" s="2">
        <v>3143</v>
      </c>
      <c r="B34" s="167">
        <f>LB!I477+FR!I140+JN!I207+TA!I111+ŽB!I85+ČL!I305+NB!I135+SM!I177+JI!I149+TU!I212</f>
        <v>330888626</v>
      </c>
      <c r="C34" s="16">
        <f>LB!J477+FR!J140+JN!J207+TA!J111+ŽB!J85+ČL!J305+NB!J135+SM!J177+JI!J149+TU!J212</f>
        <v>244026547</v>
      </c>
      <c r="D34" s="16">
        <f>LB!K477+FR!K140+JN!K207+TA!K111+ŽB!K85+ČL!K305+NB!K135+SM!K177+JI!K149+TU!K212</f>
        <v>236167867</v>
      </c>
      <c r="E34" s="16">
        <f>LB!L477+FR!L140+JN!L207+TA!L111+ŽB!L85+ČL!L305+NB!L135+SM!L177+JI!L149+TU!L212</f>
        <v>7858680</v>
      </c>
      <c r="F34" s="16">
        <f>LB!M477+FR!M140+JN!M207+TA!M111+ŽB!M85+ČL!M305+NB!M135+SM!M177+JI!M149+TU!M212</f>
        <v>1185249</v>
      </c>
      <c r="G34" s="16">
        <f>LB!N477+FR!N140+JN!N207+TA!N111+ŽB!N85+ČL!N305+NB!N135+SM!N177+JI!N149+TU!N212</f>
        <v>1130329</v>
      </c>
      <c r="H34" s="16">
        <f>LB!O477+FR!O140+JN!O207+TA!O111+ŽB!O85+ČL!O305+NB!O135+SM!O177+JI!O149+TU!O212</f>
        <v>54920</v>
      </c>
      <c r="I34" s="16">
        <f>LB!P477+FR!P140+JN!P207+TA!P111+ŽB!P85+ČL!P305+NB!P135+SM!P177+JI!P149+TU!P212</f>
        <v>82857169</v>
      </c>
      <c r="J34" s="16">
        <f>LB!Q477+FR!Q140+JN!Q207+TA!Q111+ŽB!Q85+ČL!Q305+NB!Q135+SM!Q177+JI!Q149+TU!Q212</f>
        <v>2440266</v>
      </c>
      <c r="K34" s="16">
        <f>LB!R477+FR!R140+JN!R207+TA!R111+ŽB!R85+ČL!R305+NB!R135+SM!R177+JI!R149+TU!R212</f>
        <v>379395</v>
      </c>
      <c r="L34" s="13">
        <f>LB!S477+FR!S140+JN!S207+TA!S111+ŽB!S85+ČL!S305+NB!S135+SM!S177+JI!S149+TU!S212</f>
        <v>501.67720000000008</v>
      </c>
      <c r="M34" s="13">
        <f>LB!T477+FR!T140+JN!T207+TA!T111+ŽB!T85+ČL!T305+NB!T135+SM!T177+JI!T149+TU!T212</f>
        <v>471.7856000000001</v>
      </c>
      <c r="N34" s="169">
        <f>LB!U477+FR!U140+JN!U207+TA!U111+ŽB!U85+ČL!U305+NB!U135+SM!U177+JI!U149+TU!U212</f>
        <v>29.8916</v>
      </c>
      <c r="O34" s="167">
        <f>LB!V477+FR!V140+JN!V207+TA!V111+ŽB!V85+ČL!V305+NB!V135+SM!V177+JI!V149+TU!V212</f>
        <v>74700</v>
      </c>
      <c r="P34" s="16">
        <f>LB!W477+FR!W140+JN!W207+TA!W111+ŽB!W85+ČL!W305+NB!W135+SM!W177+JI!W149+TU!W212</f>
        <v>3400</v>
      </c>
      <c r="Q34" s="16">
        <f>LB!X477+FR!X140+JN!X207+TA!X111+ŽB!X85+ČL!X305+NB!X135+SM!X177+JI!X149+TU!X212</f>
        <v>0</v>
      </c>
      <c r="R34" s="16">
        <f>LB!Y477+FR!Y140+JN!Y207+TA!Y111+ŽB!Y85+ČL!Y305+NB!Y135+SM!Y177+JI!Y149+TU!Y212</f>
        <v>0</v>
      </c>
      <c r="S34" s="16">
        <f>LB!Z477+FR!Z140+JN!Z207+TA!Z111+ŽB!Z85+ČL!Z305+NB!Z135+SM!Z177+JI!Z149+TU!Z212</f>
        <v>1654184</v>
      </c>
      <c r="T34" s="16">
        <f>LB!AA477+FR!AA140+JN!AA207+TA!AA111+ŽB!AA85+ČL!AA305+NB!AA135+SM!AA177+JI!AA149+TU!AA212</f>
        <v>0</v>
      </c>
      <c r="U34" s="16">
        <f>LB!AB477+FR!AB140+JN!AB207+TA!AB111+ŽB!AB85+ČL!AB305+NB!AB135+SM!AB177+JI!AB149+TU!AB212</f>
        <v>0</v>
      </c>
      <c r="V34" s="16">
        <f>LB!AC477+FR!AC140+JN!AC207+TA!AC111+ŽB!AC85+ČL!AC305+NB!AC135+SM!AC177+JI!AC149+TU!AC212</f>
        <v>0</v>
      </c>
      <c r="W34" s="16">
        <f>LB!AD477+FR!AD140+JN!AD207+TA!AD111+ŽB!AD85+ČL!AD305+NB!AD135+SM!AD177+JI!AD149+TU!AD212</f>
        <v>0</v>
      </c>
      <c r="X34" s="16">
        <f>LB!AE477+FR!AE140+JN!AE207+TA!AE111+ŽB!AE85+ČL!AE305+NB!AE135+SM!AE177+JI!AE149+TU!AE212</f>
        <v>1728884</v>
      </c>
      <c r="Y34" s="16">
        <f>LB!AF477+FR!AF140+JN!AF207+TA!AF111+ŽB!AF85+ČL!AF305+NB!AF135+SM!AF177+JI!AF149+TU!AF212</f>
        <v>3400</v>
      </c>
      <c r="Z34" s="16">
        <f>LB!AG477+FR!AG140+JN!AG207+TA!AG111+ŽB!AG85+ČL!AG305+NB!AG135+SM!AG177+JI!AG149+TU!AG212</f>
        <v>1732284</v>
      </c>
      <c r="AA34" s="16">
        <f>LB!AH477+FR!AH140+JN!AH207+TA!AH111+ŽB!AH85+ČL!AH305+NB!AH135+SM!AH177+JI!AH149+TU!AH212</f>
        <v>-74700</v>
      </c>
      <c r="AB34" s="16">
        <f>LB!AI477+FR!AI140+JN!AI207+TA!AI111+ŽB!AI85+ČL!AI305+NB!AI135+SM!AI177+JI!AI149+TU!AI212</f>
        <v>-3400</v>
      </c>
      <c r="AC34" s="16">
        <f>LB!AJ477+FR!AJ140+JN!AJ207+TA!AJ111+ŽB!AJ85+ČL!AJ305+NB!AJ135+SM!AJ177+JI!AJ149+TU!AJ212</f>
        <v>0</v>
      </c>
      <c r="AD34" s="16">
        <f>LB!AK477+FR!AK140+JN!AK207+TA!AK111+ŽB!AK85+ČL!AK305+NB!AK135+SM!AK177+JI!AK149+TU!AK212</f>
        <v>45751</v>
      </c>
      <c r="AE34" s="16">
        <f>LB!AL477+FR!AL140+JN!AL207+TA!AL111+ŽB!AL85+ČL!AL305+NB!AL135+SM!AL177+JI!AL149+TU!AL212</f>
        <v>0</v>
      </c>
      <c r="AF34" s="16">
        <f>LB!AM477+FR!AM140+JN!AM207+TA!AM111+ŽB!AM85+ČL!AM305+NB!AM135+SM!AM177+JI!AM149+TU!AM212</f>
        <v>-28949</v>
      </c>
      <c r="AG34" s="16">
        <f>LB!AN477+FR!AN140+JN!AN207+TA!AN111+ŽB!AN85+ČL!AN305+NB!AN135+SM!AN177+JI!AN149+TU!AN212</f>
        <v>-3400</v>
      </c>
      <c r="AH34" s="16">
        <f>LB!AO477+FR!AO140+JN!AO207+TA!AO111+ŽB!AO85+ČL!AO305+NB!AO135+SM!AO177+JI!AO149+TU!AO212</f>
        <v>-32349</v>
      </c>
      <c r="AI34" s="16">
        <f>LB!AP477+FR!AP140+JN!AP207+TA!AP111+ŽB!AP85+ČL!AP305+NB!AP135+SM!AP177+JI!AP149+TU!AP212</f>
        <v>1699935</v>
      </c>
      <c r="AJ34" s="16">
        <f>LB!AQ477+FR!AQ140+JN!AQ207+TA!AQ111+ŽB!AQ85+ČL!AQ305+NB!AQ135+SM!AQ177+JI!AQ149+TU!AQ212</f>
        <v>0</v>
      </c>
      <c r="AK34" s="16">
        <f>LB!AR477+FR!AR140+JN!AR207+TA!AR111+ŽB!AR85+ČL!AR305+NB!AR135+SM!AR177+JI!AR149+TU!AR212</f>
        <v>1699935</v>
      </c>
      <c r="AL34" s="16">
        <f>LB!AS477+FR!AS140+JN!AS207+TA!AS111+ŽB!AS85+ČL!AS305+NB!AS135+SM!AS177+JI!AS149+TU!AS212</f>
        <v>559114</v>
      </c>
      <c r="AM34" s="16">
        <f>LB!AT477+FR!AT140+JN!AT207+TA!AT111+ŽB!AT85+ČL!AT305+NB!AT135+SM!AT177+JI!AT149+TU!AT212</f>
        <v>17325</v>
      </c>
      <c r="AN34" s="16">
        <f>LB!AU477+FR!AU140+JN!AU207+TA!AU111+ŽB!AU85+ČL!AU305+NB!AU135+SM!AU177+JI!AU149+TU!AU212</f>
        <v>0</v>
      </c>
      <c r="AO34" s="16">
        <f>LB!AV477+FR!AV140+JN!AV207+TA!AV111+ŽB!AV85+ČL!AV305+NB!AV135+SM!AV177+JI!AV149+TU!AV212</f>
        <v>0</v>
      </c>
      <c r="AP34" s="16">
        <f>LB!AW477+FR!AW140+JN!AW207+TA!AW111+ŽB!AW85+ČL!AW305+NB!AW135+SM!AW177+JI!AW149+TU!AW212</f>
        <v>0</v>
      </c>
      <c r="AQ34" s="16">
        <f>LB!AX477+FR!AX140+JN!AX207+TA!AX111+ŽB!AX85+ČL!AX305+NB!AX135+SM!AX177+JI!AX149+TU!AX212</f>
        <v>0</v>
      </c>
      <c r="AR34" s="16">
        <f>LB!AY477+FR!AY140+JN!AY207+TA!AY111+ŽB!AY85+ČL!AY305+NB!AY135+SM!AY177+JI!AY149+TU!AY212</f>
        <v>2276374</v>
      </c>
      <c r="AS34" s="13">
        <f>LB!AZ477+FR!AZ140+JN!AZ207+TA!AZ111+ŽB!AZ85+ČL!AZ305+NB!AZ135+SM!AZ177+JI!AZ149+TU!AZ212</f>
        <v>2.0000000000000011E-2</v>
      </c>
      <c r="AT34" s="13">
        <f>LB!BA477+FR!BA140+JN!BA207+TA!BA111+ŽB!BA85+ČL!BA305+NB!BA135+SM!BA177+JI!BA149+TU!BA212</f>
        <v>-0.01</v>
      </c>
      <c r="AU34" s="13">
        <f>LB!BB477+FR!BB140+JN!BB207+TA!BB111+ŽB!BB85+ČL!BB305+NB!BB135+SM!BB177+JI!BB149+TU!BB212</f>
        <v>0</v>
      </c>
      <c r="AV34" s="13">
        <f>LB!BC477+FR!BC140+JN!BC207+TA!BC111+ŽB!BC85+ČL!BC305+NB!BC135+SM!BC177+JI!BC149+TU!BC212</f>
        <v>3.96</v>
      </c>
      <c r="AW34" s="13">
        <f>LB!BD477+FR!BD140+JN!BD207+TA!BD111+ŽB!BD85+ČL!BD305+NB!BD135+SM!BD177+JI!BD149+TU!BD212</f>
        <v>0</v>
      </c>
      <c r="AX34" s="13">
        <f>LB!BE477+FR!BE140+JN!BE207+TA!BE111+ŽB!BE85+ČL!BE305+NB!BE135+SM!BE177+JI!BE149+TU!BE212</f>
        <v>0</v>
      </c>
      <c r="AY34" s="13">
        <f>LB!BF477+FR!BF140+JN!BF207+TA!BF111+ŽB!BF85+ČL!BF305+NB!BF135+SM!BF177+JI!BF149+TU!BF212</f>
        <v>0</v>
      </c>
      <c r="AZ34" s="13">
        <f>LB!BG477+FR!BG140+JN!BG207+TA!BG111+ŽB!BG85+ČL!BG305+NB!BG135+SM!BG177+JI!BG149+TU!BG212</f>
        <v>0</v>
      </c>
      <c r="BA34" s="13">
        <f>LB!BH477+FR!BH140+JN!BH207+TA!BH111+ŽB!BH85+ČL!BH305+NB!BH135+SM!BH177+JI!BH149+TU!BH212</f>
        <v>0</v>
      </c>
      <c r="BB34" s="13">
        <f>LB!BI477+FR!BI140+JN!BI207+TA!BI111+ŽB!BI85+ČL!BI305+NB!BI135+SM!BI177+JI!BI149+TU!BI212</f>
        <v>3.98</v>
      </c>
      <c r="BC34" s="13">
        <f>LB!BJ477+FR!BJ140+JN!BJ207+TA!BJ111+ŽB!BJ85+ČL!BJ305+NB!BJ135+SM!BJ177+JI!BJ149+TU!BJ212</f>
        <v>-0.01</v>
      </c>
      <c r="BD34" s="17">
        <f>LB!BK477+FR!BK140+JN!BK207+TA!BK111+ŽB!BK85+ČL!BK305+NB!BK135+SM!BK177+JI!BK149+TU!BK212</f>
        <v>3.97</v>
      </c>
      <c r="BE34" s="168">
        <f>LB!BL477+FR!BL140+JN!BL207+TA!BL111+ŽB!BL85+ČL!BL305+NB!BL135+SM!BL177+JI!BL149+TU!BL212</f>
        <v>333165000</v>
      </c>
      <c r="BF34" s="16">
        <f>LB!BM477+FR!BM140+JN!BM207+TA!BM111+ŽB!BM85+ČL!BM305+NB!BM135+SM!BM177+JI!BM149+TU!BM212</f>
        <v>245758831</v>
      </c>
      <c r="BG34" s="16">
        <f>LB!BN477+FR!BN140+JN!BN207+TA!BN111+ŽB!BN85+ČL!BN305+NB!BN135+SM!BN177+JI!BN149+TU!BN212</f>
        <v>237896751</v>
      </c>
      <c r="BH34" s="16">
        <f>LB!BO477+FR!BO140+JN!BO207+TA!BO111+ŽB!BO85+ČL!BO305+NB!BO135+SM!BO177+JI!BO149+TU!BO212</f>
        <v>7862080</v>
      </c>
      <c r="BI34" s="16">
        <f>LB!BP477+FR!BP140+JN!BP207+TA!BP111+ŽB!BP85+ČL!BP305+NB!BP135+SM!BP177+JI!BP149+TU!BP212</f>
        <v>1152900</v>
      </c>
      <c r="BJ34" s="16">
        <f>LB!BQ477+FR!BQ140+JN!BQ207+TA!BQ111+ŽB!BQ85+ČL!BQ305+NB!BQ135+SM!BQ177+JI!BQ149+TU!BQ212</f>
        <v>1101380</v>
      </c>
      <c r="BK34" s="16">
        <f>LB!BR477+FR!BR140+JN!BR207+TA!BR111+ŽB!BR85+ČL!BR305+NB!BR135+SM!BR177+JI!BR149+TU!BR212</f>
        <v>51520</v>
      </c>
      <c r="BL34" s="16">
        <f>LB!BS477+FR!BS140+JN!BS207+TA!BS111+ŽB!BS85+ČL!BS305+NB!BS135+SM!BS177+JI!BS149+TU!BS212</f>
        <v>83416283</v>
      </c>
      <c r="BM34" s="16">
        <f>LB!BT477+FR!BT140+JN!BT207+TA!BT111+ŽB!BT85+ČL!BT305+NB!BT135+SM!BT177+JI!BT149+TU!BT212</f>
        <v>2457591</v>
      </c>
      <c r="BN34" s="16">
        <f>LB!BU477+FR!BU140+JN!BU207+TA!BU111+ŽB!BU85+ČL!BU305+NB!BU135+SM!BU177+JI!BU149+TU!BU212</f>
        <v>379395</v>
      </c>
      <c r="BO34" s="13">
        <f>LB!BV477+FR!BV140+JN!BV207+TA!BV111+ŽB!BV85+ČL!BV305+NB!BV135+SM!BV177+JI!BV149+TU!BV212</f>
        <v>505.64720000000017</v>
      </c>
      <c r="BP34" s="13">
        <f>LB!BW477+FR!BW140+JN!BW207+TA!BW111+ŽB!BW85+ČL!BW305+NB!BW135+SM!BW177+JI!BW149+TU!BW212</f>
        <v>475.76560000000018</v>
      </c>
      <c r="BQ34" s="169">
        <f>LB!BX477+FR!BX140+JN!BX207+TA!BX111+ŽB!BX85+ČL!BX305+NB!BX135+SM!BX177+JI!BX149+TU!BX212</f>
        <v>29.881600000000002</v>
      </c>
      <c r="BR34" s="167">
        <f>LB!BY477+FR!BY140+JN!BY207+TA!BY111+ŽB!BY85+ČL!BY305+NB!BY135+SM!BY177+JI!BY149+TU!BY212</f>
        <v>0</v>
      </c>
      <c r="BS34" s="16">
        <f>LB!BZ477+FR!BZ140+JN!BZ207+TA!BZ111+ŽB!BZ85+ČL!BZ305+NB!BZ135+SM!BZ177+JI!BZ149+TU!BZ212</f>
        <v>0</v>
      </c>
      <c r="BT34" s="16">
        <f>LB!CA477+FR!CA140+JN!CA207+TA!CA111+ŽB!CA85+ČL!CA305+NB!CA135+SM!CA177+JI!CA149+TU!CA212</f>
        <v>0</v>
      </c>
      <c r="BU34" s="16">
        <f>LB!CB477+FR!CB140+JN!CB207+TA!CB111+ŽB!CB85+ČL!CB305+NB!CB135+SM!CB177+JI!CB149+TU!CB212</f>
        <v>0</v>
      </c>
      <c r="BV34" s="16">
        <f>LB!CC477+FR!CC140+JN!CC207+TA!CC111+ŽB!CC85+ČL!CC305+NB!CC135+SM!CC177+JI!CC149+TU!CC212</f>
        <v>0</v>
      </c>
      <c r="BW34" s="17">
        <f>LB!CD477+FR!CD140+JN!CD207+TA!CD111+ŽB!CD85+ČL!CD305+NB!CD135+SM!CD177+JI!CD149+TU!CD212</f>
        <v>0</v>
      </c>
      <c r="BX34" s="168">
        <f>LB!CE477+FR!CE140+JN!CE207+TA!CE111+ŽB!CE85+ČL!CE305+NB!CE135+SM!CE177+JI!CE149+TU!CE212</f>
        <v>0</v>
      </c>
      <c r="BY34" s="16">
        <f>LB!CF477+FR!CF140+JN!CF207+TA!CF111+ŽB!CF85+ČL!CF305+NB!CF135+SM!CF177+JI!CF149+TU!CF212</f>
        <v>0</v>
      </c>
      <c r="BZ34" s="16">
        <f>LB!CG477+FR!CG140+JN!CG207+TA!CG111+ŽB!CG85+ČL!CG305+NB!CG135+SM!CG177+JI!CG149+TU!CG212</f>
        <v>0</v>
      </c>
      <c r="CA34" s="16">
        <f>LB!CH477+FR!CH140+JN!CH207+TA!CH111+ŽB!CH85+ČL!CH305+NB!CH135+SM!CH177+JI!CH149+TU!CH212</f>
        <v>0</v>
      </c>
      <c r="CB34" s="16">
        <f>LB!CI477+FR!CI140+JN!CI207+TA!CI111+ŽB!CI85+ČL!CI305+NB!CI135+SM!CI177+JI!CI149+TU!CI212</f>
        <v>0</v>
      </c>
      <c r="CC34" s="17">
        <f>LB!CJ477+FR!CJ140+JN!CJ207+TA!CJ111+ŽB!CJ85+ČL!CJ305+NB!CJ135+SM!CJ177+JI!CJ149+TU!CJ212</f>
        <v>0</v>
      </c>
    </row>
    <row r="35" spans="1:81">
      <c r="A35" s="2">
        <v>3231</v>
      </c>
      <c r="B35" s="167">
        <f>LB!I478+FR!I141+JN!I208+TA!I112+ŽB!I86+ČL!I306+NB!I136+SM!I178+JI!I150+TU!I213</f>
        <v>332740932</v>
      </c>
      <c r="C35" s="16">
        <f>LB!J478+FR!J141+JN!J208+TA!J112+ŽB!J86+ČL!J306+NB!J136+SM!J178+JI!J150+TU!J213</f>
        <v>245742787</v>
      </c>
      <c r="D35" s="16">
        <f>LB!K478+FR!K141+JN!K208+TA!K112+ŽB!K86+ČL!K306+NB!K136+SM!K178+JI!K150+TU!K213</f>
        <v>232611865</v>
      </c>
      <c r="E35" s="16">
        <f>LB!L478+FR!L141+JN!L208+TA!L112+ŽB!L86+ČL!L306+NB!L136+SM!L178+JI!L150+TU!L213</f>
        <v>13130922</v>
      </c>
      <c r="F35" s="16">
        <f>LB!M478+FR!M141+JN!M208+TA!M112+ŽB!M86+ČL!M306+NB!M136+SM!M178+JI!M150+TU!M213</f>
        <v>642000</v>
      </c>
      <c r="G35" s="16">
        <f>LB!N478+FR!N141+JN!N208+TA!N112+ŽB!N86+ČL!N306+NB!N136+SM!N178+JI!N150+TU!N213</f>
        <v>442900</v>
      </c>
      <c r="H35" s="16">
        <f>LB!O478+FR!O141+JN!O208+TA!O112+ŽB!O86+ČL!O306+NB!O136+SM!O178+JI!O150+TU!O213</f>
        <v>199100</v>
      </c>
      <c r="I35" s="16">
        <f>LB!P478+FR!P141+JN!P208+TA!P112+ŽB!P86+ČL!P306+NB!P136+SM!P178+JI!P150+TU!P213</f>
        <v>83278057</v>
      </c>
      <c r="J35" s="16">
        <f>LB!Q478+FR!Q141+JN!Q208+TA!Q112+ŽB!Q86+ČL!Q306+NB!Q136+SM!Q178+JI!Q150+TU!Q213</f>
        <v>2457430</v>
      </c>
      <c r="K35" s="16">
        <f>LB!R478+FR!R141+JN!R208+TA!R112+ŽB!R86+ČL!R306+NB!R136+SM!R178+JI!R150+TU!R213</f>
        <v>620658</v>
      </c>
      <c r="L35" s="13">
        <f>LB!S478+FR!S141+JN!S208+TA!S112+ŽB!S86+ČL!S306+NB!S136+SM!S178+JI!S150+TU!S213</f>
        <v>405.05369999999999</v>
      </c>
      <c r="M35" s="13">
        <f>LB!T478+FR!T141+JN!T208+TA!T112+ŽB!T86+ČL!T306+NB!T136+SM!T178+JI!T150+TU!T213</f>
        <v>368.1807</v>
      </c>
      <c r="N35" s="169">
        <f>LB!U478+FR!U141+JN!U208+TA!U112+ŽB!U86+ČL!U306+NB!U136+SM!U178+JI!U150+TU!U213</f>
        <v>36.873000000000005</v>
      </c>
      <c r="O35" s="167">
        <f>LB!V478+FR!V141+JN!V208+TA!V112+ŽB!V86+ČL!V306+NB!V136+SM!V178+JI!V150+TU!V213</f>
        <v>-222413</v>
      </c>
      <c r="P35" s="16">
        <f>LB!W478+FR!W141+JN!W208+TA!W112+ŽB!W86+ČL!W306+NB!W136+SM!W178+JI!W150+TU!W213</f>
        <v>32650</v>
      </c>
      <c r="Q35" s="16">
        <f>LB!X478+FR!X141+JN!X208+TA!X112+ŽB!X86+ČL!X306+NB!X136+SM!X178+JI!X150+TU!X213</f>
        <v>-23175</v>
      </c>
      <c r="R35" s="16">
        <f>LB!Y478+FR!Y141+JN!Y208+TA!Y112+ŽB!Y86+ČL!Y306+NB!Y136+SM!Y178+JI!Y150+TU!Y213</f>
        <v>0</v>
      </c>
      <c r="S35" s="16">
        <f>LB!Z478+FR!Z141+JN!Z208+TA!Z112+ŽB!Z86+ČL!Z306+NB!Z136+SM!Z178+JI!Z150+TU!Z213</f>
        <v>146759</v>
      </c>
      <c r="T35" s="16">
        <f>LB!AA478+FR!AA141+JN!AA208+TA!AA112+ŽB!AA86+ČL!AA306+NB!AA136+SM!AA178+JI!AA150+TU!AA213</f>
        <v>0</v>
      </c>
      <c r="U35" s="16">
        <f>LB!AB478+FR!AB141+JN!AB208+TA!AB112+ŽB!AB86+ČL!AB306+NB!AB136+SM!AB178+JI!AB150+TU!AB213</f>
        <v>0</v>
      </c>
      <c r="V35" s="16">
        <f>LB!AC478+FR!AC141+JN!AC208+TA!AC112+ŽB!AC86+ČL!AC306+NB!AC136+SM!AC178+JI!AC150+TU!AC213</f>
        <v>0</v>
      </c>
      <c r="W35" s="16">
        <f>LB!AD478+FR!AD141+JN!AD208+TA!AD112+ŽB!AD86+ČL!AD306+NB!AD136+SM!AD178+JI!AD150+TU!AD213</f>
        <v>0</v>
      </c>
      <c r="X35" s="16">
        <f>LB!AE478+FR!AE141+JN!AE208+TA!AE112+ŽB!AE86+ČL!AE306+NB!AE136+SM!AE178+JI!AE150+TU!AE213</f>
        <v>-98829</v>
      </c>
      <c r="Y35" s="16">
        <f>LB!AF478+FR!AF141+JN!AF208+TA!AF112+ŽB!AF86+ČL!AF306+NB!AF136+SM!AF178+JI!AF150+TU!AF213</f>
        <v>32650</v>
      </c>
      <c r="Z35" s="16">
        <f>LB!AG478+FR!AG141+JN!AG208+TA!AG112+ŽB!AG86+ČL!AG306+NB!AG136+SM!AG178+JI!AG150+TU!AG213</f>
        <v>-66179</v>
      </c>
      <c r="AA35" s="16">
        <f>LB!AH478+FR!AH141+JN!AH208+TA!AH112+ŽB!AH86+ČL!AH306+NB!AH136+SM!AH178+JI!AH150+TU!AH213</f>
        <v>73000</v>
      </c>
      <c r="AB35" s="16">
        <f>LB!AI478+FR!AI141+JN!AI208+TA!AI112+ŽB!AI86+ČL!AI306+NB!AI136+SM!AI178+JI!AI150+TU!AI213</f>
        <v>-32650</v>
      </c>
      <c r="AC35" s="16">
        <f>LB!AJ478+FR!AJ141+JN!AJ208+TA!AJ112+ŽB!AJ86+ČL!AJ306+NB!AJ136+SM!AJ178+JI!AJ150+TU!AJ213</f>
        <v>0</v>
      </c>
      <c r="AD35" s="16">
        <f>LB!AK478+FR!AK141+JN!AK208+TA!AK112+ŽB!AK86+ČL!AK306+NB!AK136+SM!AK178+JI!AK150+TU!AK213</f>
        <v>149413</v>
      </c>
      <c r="AE35" s="16">
        <f>LB!AL478+FR!AL141+JN!AL208+TA!AL112+ŽB!AL86+ČL!AL306+NB!AL136+SM!AL178+JI!AL150+TU!AL213</f>
        <v>0</v>
      </c>
      <c r="AF35" s="16">
        <f>LB!AM478+FR!AM141+JN!AM208+TA!AM112+ŽB!AM86+ČL!AM306+NB!AM136+SM!AM178+JI!AM150+TU!AM213</f>
        <v>222413</v>
      </c>
      <c r="AG35" s="16">
        <f>LB!AN478+FR!AN141+JN!AN208+TA!AN112+ŽB!AN86+ČL!AN306+NB!AN136+SM!AN178+JI!AN150+TU!AN213</f>
        <v>-32650</v>
      </c>
      <c r="AH35" s="16">
        <f>LB!AO478+FR!AO141+JN!AO208+TA!AO112+ŽB!AO86+ČL!AO306+NB!AO136+SM!AO178+JI!AO150+TU!AO213</f>
        <v>189763</v>
      </c>
      <c r="AI35" s="16">
        <f>LB!AP478+FR!AP141+JN!AP208+TA!AP112+ŽB!AP86+ČL!AP306+NB!AP136+SM!AP178+JI!AP150+TU!AP213</f>
        <v>123584</v>
      </c>
      <c r="AJ35" s="16">
        <f>LB!AQ478+FR!AQ141+JN!AQ208+TA!AQ112+ŽB!AQ86+ČL!AQ306+NB!AQ136+SM!AQ178+JI!AQ150+TU!AQ213</f>
        <v>0</v>
      </c>
      <c r="AK35" s="16">
        <f>LB!AR478+FR!AR141+JN!AR208+TA!AR112+ŽB!AR86+ČL!AR306+NB!AR136+SM!AR178+JI!AR150+TU!AR213</f>
        <v>123584</v>
      </c>
      <c r="AL35" s="16">
        <f>LB!AS478+FR!AS141+JN!AS208+TA!AS112+ŽB!AS86+ČL!AS306+NB!AS136+SM!AS178+JI!AS150+TU!AS213</f>
        <v>-8730</v>
      </c>
      <c r="AM35" s="16">
        <f>LB!AT478+FR!AT141+JN!AT208+TA!AT112+ŽB!AT86+ČL!AT306+NB!AT136+SM!AT178+JI!AT150+TU!AT213</f>
        <v>-662</v>
      </c>
      <c r="AN35" s="16">
        <f>LB!AU478+FR!AU141+JN!AU208+TA!AU112+ŽB!AU86+ČL!AU306+NB!AU136+SM!AU178+JI!AU150+TU!AU213</f>
        <v>0</v>
      </c>
      <c r="AO35" s="16">
        <f>LB!AV478+FR!AV141+JN!AV208+TA!AV112+ŽB!AV86+ČL!AV306+NB!AV136+SM!AV178+JI!AV150+TU!AV213</f>
        <v>0</v>
      </c>
      <c r="AP35" s="16">
        <f>LB!AW478+FR!AW141+JN!AW208+TA!AW112+ŽB!AW86+ČL!AW306+NB!AW136+SM!AW178+JI!AW150+TU!AW213</f>
        <v>0</v>
      </c>
      <c r="AQ35" s="16">
        <f>LB!AX478+FR!AX141+JN!AX208+TA!AX112+ŽB!AX86+ČL!AX306+NB!AX136+SM!AX178+JI!AX150+TU!AX213</f>
        <v>0</v>
      </c>
      <c r="AR35" s="16">
        <f>LB!AY478+FR!AY141+JN!AY208+TA!AY112+ŽB!AY86+ČL!AY306+NB!AY136+SM!AY178+JI!AY150+TU!AY213</f>
        <v>114192</v>
      </c>
      <c r="AS35" s="13">
        <f>LB!AZ478+FR!AZ141+JN!AZ208+TA!AZ112+ŽB!AZ86+ČL!AZ306+NB!AZ136+SM!AZ178+JI!AZ150+TU!AZ213</f>
        <v>-0.13</v>
      </c>
      <c r="AT35" s="13">
        <f>LB!BA478+FR!BA141+JN!BA208+TA!BA112+ŽB!BA86+ČL!BA306+NB!BA136+SM!BA178+JI!BA150+TU!BA213</f>
        <v>2.0000000000000004E-2</v>
      </c>
      <c r="AU35" s="13">
        <f>LB!BB478+FR!BB141+JN!BB208+TA!BB112+ŽB!BB86+ČL!BB306+NB!BB136+SM!BB178+JI!BB150+TU!BB213</f>
        <v>-0.06</v>
      </c>
      <c r="AV35" s="13">
        <f>LB!BC478+FR!BC141+JN!BC208+TA!BC112+ŽB!BC86+ČL!BC306+NB!BC136+SM!BC178+JI!BC150+TU!BC213</f>
        <v>0.23</v>
      </c>
      <c r="AW35" s="13">
        <f>LB!BD478+FR!BD141+JN!BD208+TA!BD112+ŽB!BD86+ČL!BD306+NB!BD136+SM!BD178+JI!BD150+TU!BD213</f>
        <v>0</v>
      </c>
      <c r="AX35" s="13">
        <f>LB!BE478+FR!BE141+JN!BE208+TA!BE112+ŽB!BE86+ČL!BE306+NB!BE136+SM!BE178+JI!BE150+TU!BE213</f>
        <v>0</v>
      </c>
      <c r="AY35" s="13">
        <f>LB!BF478+FR!BF141+JN!BF208+TA!BF112+ŽB!BF86+ČL!BF306+NB!BF136+SM!BF178+JI!BF150+TU!BF213</f>
        <v>0</v>
      </c>
      <c r="AZ35" s="13">
        <f>LB!BG478+FR!BG141+JN!BG208+TA!BG112+ŽB!BG86+ČL!BG306+NB!BG136+SM!BG178+JI!BG150+TU!BG213</f>
        <v>0</v>
      </c>
      <c r="BA35" s="13">
        <f>LB!BH478+FR!BH141+JN!BH208+TA!BH112+ŽB!BH86+ČL!BH306+NB!BH136+SM!BH178+JI!BH150+TU!BH213</f>
        <v>0</v>
      </c>
      <c r="BB35" s="13">
        <f>LB!BI478+FR!BI141+JN!BI208+TA!BI112+ŽB!BI86+ČL!BI306+NB!BI136+SM!BI178+JI!BI150+TU!BI213</f>
        <v>4.0000000000000008E-2</v>
      </c>
      <c r="BC35" s="13">
        <f>LB!BJ478+FR!BJ141+JN!BJ208+TA!BJ112+ŽB!BJ86+ČL!BJ306+NB!BJ136+SM!BJ178+JI!BJ150+TU!BJ213</f>
        <v>2.0000000000000004E-2</v>
      </c>
      <c r="BD35" s="17">
        <f>LB!BK478+FR!BK141+JN!BK208+TA!BK112+ŽB!BK86+ČL!BK306+NB!BK136+SM!BK178+JI!BK150+TU!BK213</f>
        <v>0.06</v>
      </c>
      <c r="BE35" s="168">
        <f>LB!BL478+FR!BL141+JN!BL208+TA!BL112+ŽB!BL86+ČL!BL306+NB!BL136+SM!BL178+JI!BL150+TU!BL213</f>
        <v>332855124</v>
      </c>
      <c r="BF35" s="16">
        <f>LB!BM478+FR!BM141+JN!BM208+TA!BM112+ŽB!BM86+ČL!BM306+NB!BM136+SM!BM178+JI!BM150+TU!BM213</f>
        <v>245676608</v>
      </c>
      <c r="BG35" s="16">
        <f>LB!BN478+FR!BN141+JN!BN208+TA!BN112+ŽB!BN86+ČL!BN306+NB!BN136+SM!BN178+JI!BN150+TU!BN213</f>
        <v>232513036</v>
      </c>
      <c r="BH35" s="16">
        <f>LB!BO478+FR!BO141+JN!BO208+TA!BO112+ŽB!BO86+ČL!BO306+NB!BO136+SM!BO178+JI!BO150+TU!BO213</f>
        <v>13163572</v>
      </c>
      <c r="BI35" s="16">
        <f>LB!BP478+FR!BP141+JN!BP208+TA!BP112+ŽB!BP86+ČL!BP306+NB!BP136+SM!BP178+JI!BP150+TU!BP213</f>
        <v>831763</v>
      </c>
      <c r="BJ35" s="16">
        <f>LB!BQ478+FR!BQ141+JN!BQ208+TA!BQ112+ŽB!BQ86+ČL!BQ306+NB!BQ136+SM!BQ178+JI!BQ150+TU!BQ213</f>
        <v>665313</v>
      </c>
      <c r="BK35" s="16">
        <f>LB!BR478+FR!BR141+JN!BR208+TA!BR112+ŽB!BR86+ČL!BR306+NB!BR136+SM!BR178+JI!BR150+TU!BR213</f>
        <v>166450</v>
      </c>
      <c r="BL35" s="16">
        <f>LB!BS478+FR!BS141+JN!BS208+TA!BS112+ŽB!BS86+ČL!BS306+NB!BS136+SM!BS178+JI!BS150+TU!BS213</f>
        <v>83269327</v>
      </c>
      <c r="BM35" s="16">
        <f>LB!BT478+FR!BT141+JN!BT208+TA!BT112+ŽB!BT86+ČL!BT306+NB!BT136+SM!BT178+JI!BT150+TU!BT213</f>
        <v>2456768</v>
      </c>
      <c r="BN35" s="16">
        <f>LB!BU478+FR!BU141+JN!BU208+TA!BU112+ŽB!BU86+ČL!BU306+NB!BU136+SM!BU178+JI!BU150+TU!BU213</f>
        <v>620658</v>
      </c>
      <c r="BO35" s="13">
        <f>LB!BV478+FR!BV141+JN!BV208+TA!BV112+ŽB!BV86+ČL!BV306+NB!BV136+SM!BV178+JI!BV150+TU!BV213</f>
        <v>405.11369999999999</v>
      </c>
      <c r="BP35" s="13">
        <f>LB!BW478+FR!BW141+JN!BW208+TA!BW112+ŽB!BW86+ČL!BW306+NB!BW136+SM!BW178+JI!BW150+TU!BW213</f>
        <v>368.22069999999997</v>
      </c>
      <c r="BQ35" s="169">
        <f>LB!BX478+FR!BX141+JN!BX208+TA!BX112+ŽB!BX86+ČL!BX306+NB!BX136+SM!BX178+JI!BX150+TU!BX213</f>
        <v>36.893000000000001</v>
      </c>
      <c r="BR35" s="167">
        <f>LB!BY478+FR!BY141+JN!BY208+TA!BY112+ŽB!BY86+ČL!BY306+NB!BY136+SM!BY178+JI!BY150+TU!BY213</f>
        <v>0</v>
      </c>
      <c r="BS35" s="16">
        <f>LB!BZ478+FR!BZ141+JN!BZ208+TA!BZ112+ŽB!BZ86+ČL!BZ306+NB!BZ136+SM!BZ178+JI!BZ150+TU!BZ213</f>
        <v>0</v>
      </c>
      <c r="BT35" s="16">
        <f>LB!CA478+FR!CA141+JN!CA208+TA!CA112+ŽB!CA86+ČL!CA306+NB!CA136+SM!CA178+JI!CA150+TU!CA213</f>
        <v>0</v>
      </c>
      <c r="BU35" s="16">
        <f>LB!CB478+FR!CB141+JN!CB208+TA!CB112+ŽB!CB86+ČL!CB306+NB!CB136+SM!CB178+JI!CB150+TU!CB213</f>
        <v>0</v>
      </c>
      <c r="BV35" s="16">
        <f>LB!CC478+FR!CC141+JN!CC208+TA!CC112+ŽB!CC86+ČL!CC306+NB!CC136+SM!CC178+JI!CC150+TU!CC213</f>
        <v>0</v>
      </c>
      <c r="BW35" s="17">
        <f>LB!CD478+FR!CD141+JN!CD208+TA!CD112+ŽB!CD86+ČL!CD306+NB!CD136+SM!CD178+JI!CD150+TU!CD213</f>
        <v>0</v>
      </c>
      <c r="BX35" s="168">
        <f>LB!CE478+FR!CE141+JN!CE208+TA!CE112+ŽB!CE86+ČL!CE306+NB!CE136+SM!CE178+JI!CE150+TU!CE213</f>
        <v>6103752</v>
      </c>
      <c r="BY35" s="16">
        <f>LB!CF478+FR!CF141+JN!CF208+TA!CF112+ŽB!CF86+ČL!CF306+NB!CF136+SM!CF178+JI!CF150+TU!CF213</f>
        <v>4377070</v>
      </c>
      <c r="BZ35" s="16">
        <f>LB!CG478+FR!CG141+JN!CG208+TA!CG112+ŽB!CG86+ČL!CG306+NB!CG136+SM!CG178+JI!CG150+TU!CG213</f>
        <v>1479450</v>
      </c>
      <c r="CA35" s="16">
        <f>LB!CH478+FR!CH141+JN!CH208+TA!CH112+ŽB!CH86+ČL!CH306+NB!CH136+SM!CH178+JI!CH150+TU!CH213</f>
        <v>43771</v>
      </c>
      <c r="CB35" s="16">
        <f>LB!CI478+FR!CI141+JN!CI208+TA!CI112+ŽB!CI86+ČL!CI306+NB!CI136+SM!CI178+JI!CI150+TU!CI213</f>
        <v>203461</v>
      </c>
      <c r="CC35" s="17">
        <f>LB!CJ478+FR!CJ141+JN!CJ208+TA!CJ112+ŽB!CJ86+ČL!CJ306+NB!CJ136+SM!CJ178+JI!CJ150+TU!CJ213</f>
        <v>12.278400000000001</v>
      </c>
    </row>
    <row r="36" spans="1:81" ht="13.5" thickBot="1">
      <c r="A36" s="151">
        <v>3233</v>
      </c>
      <c r="B36" s="170">
        <f>LB!I479+FR!I142+JN!I209+TA!I113+ŽB!I87+ČL!I307+NB!I137+SM!I179+JI!I151+TU!I214</f>
        <v>63033610</v>
      </c>
      <c r="C36" s="171">
        <f>LB!J479+FR!J142+JN!J209+TA!J113+ŽB!J87+ČL!J307+NB!J137+SM!J179+JI!J151+TU!J214</f>
        <v>44167719</v>
      </c>
      <c r="D36" s="171">
        <f>LB!K479+FR!K142+JN!K209+TA!K113+ŽB!K87+ČL!K307+NB!K137+SM!K179+JI!K151+TU!K214</f>
        <v>33128725</v>
      </c>
      <c r="E36" s="171">
        <f>LB!L479+FR!L142+JN!L209+TA!L113+ŽB!L87+ČL!L307+NB!L137+SM!L179+JI!L151+TU!L214</f>
        <v>11038994</v>
      </c>
      <c r="F36" s="171">
        <f>LB!M479+FR!M142+JN!M209+TA!M113+ŽB!M87+ČL!M307+NB!M137+SM!M179+JI!M151+TU!M214</f>
        <v>2550000</v>
      </c>
      <c r="G36" s="171">
        <f>LB!N479+FR!N142+JN!N209+TA!N113+ŽB!N87+ČL!N307+NB!N137+SM!N179+JI!N151+TU!N214</f>
        <v>2011000</v>
      </c>
      <c r="H36" s="171">
        <f>LB!O479+FR!O142+JN!O209+TA!O113+ŽB!O87+ČL!O307+NB!O137+SM!O179+JI!O151+TU!O214</f>
        <v>539000</v>
      </c>
      <c r="I36" s="171">
        <f>LB!P479+FR!P142+JN!P209+TA!P113+ŽB!P87+ČL!P307+NB!P137+SM!P179+JI!P151+TU!P214</f>
        <v>15790590</v>
      </c>
      <c r="J36" s="171">
        <f>LB!Q479+FR!Q142+JN!Q209+TA!Q113+ŽB!Q87+ČL!Q307+NB!Q137+SM!Q179+JI!Q151+TU!Q214</f>
        <v>441679</v>
      </c>
      <c r="K36" s="171">
        <f>LB!R479+FR!R142+JN!R209+TA!R113+ŽB!R87+ČL!R307+NB!R137+SM!R179+JI!R151+TU!R214</f>
        <v>83622</v>
      </c>
      <c r="L36" s="172">
        <f>LB!S479+FR!S142+JN!S209+TA!S113+ŽB!S87+ČL!S307+NB!S137+SM!S179+JI!S151+TU!S214</f>
        <v>95.4</v>
      </c>
      <c r="M36" s="172">
        <f>LB!T479+FR!T142+JN!T209+TA!T113+ŽB!T87+ČL!T307+NB!T137+SM!T179+JI!T151+TU!T214</f>
        <v>59.87</v>
      </c>
      <c r="N36" s="175">
        <f>LB!U479+FR!U142+JN!U209+TA!U113+ŽB!U87+ČL!U307+NB!U137+SM!U179+JI!U151+TU!U214</f>
        <v>35.530000000000008</v>
      </c>
      <c r="O36" s="170">
        <f>LB!V479+FR!V142+JN!V209+TA!V113+ŽB!V87+ČL!V307+NB!V137+SM!V179+JI!V151+TU!V214</f>
        <v>-170000</v>
      </c>
      <c r="P36" s="171">
        <f>LB!W479+FR!W142+JN!W209+TA!W113+ŽB!W87+ČL!W307+NB!W137+SM!W179+JI!W151+TU!W214</f>
        <v>-25000</v>
      </c>
      <c r="Q36" s="171">
        <f>LB!X479+FR!X142+JN!X209+TA!X113+ŽB!X87+ČL!X307+NB!X137+SM!X179+JI!X151+TU!X214</f>
        <v>0</v>
      </c>
      <c r="R36" s="171">
        <f>LB!Y479+FR!Y142+JN!Y209+TA!Y113+ŽB!Y87+ČL!Y307+NB!Y137+SM!Y179+JI!Y151+TU!Y214</f>
        <v>0</v>
      </c>
      <c r="S36" s="171">
        <f>LB!Z479+FR!Z142+JN!Z209+TA!Z113+ŽB!Z87+ČL!Z307+NB!Z137+SM!Z179+JI!Z151+TU!Z214</f>
        <v>0</v>
      </c>
      <c r="T36" s="171">
        <f>LB!AA479+FR!AA142+JN!AA209+TA!AA113+ŽB!AA87+ČL!AA307+NB!AA137+SM!AA179+JI!AA151+TU!AA214</f>
        <v>0</v>
      </c>
      <c r="U36" s="171">
        <f>LB!AB479+FR!AB142+JN!AB209+TA!AB113+ŽB!AB87+ČL!AB307+NB!AB137+SM!AB179+JI!AB151+TU!AB214</f>
        <v>0</v>
      </c>
      <c r="V36" s="171">
        <f>LB!AC479+FR!AC142+JN!AC209+TA!AC113+ŽB!AC87+ČL!AC307+NB!AC137+SM!AC179+JI!AC151+TU!AC214</f>
        <v>-300000</v>
      </c>
      <c r="W36" s="171">
        <f>LB!AD479+FR!AD142+JN!AD209+TA!AD113+ŽB!AD87+ČL!AD307+NB!AD137+SM!AD179+JI!AD151+TU!AD214</f>
        <v>0</v>
      </c>
      <c r="X36" s="171">
        <f>LB!AE479+FR!AE142+JN!AE209+TA!AE113+ŽB!AE87+ČL!AE307+NB!AE137+SM!AE179+JI!AE151+TU!AE214</f>
        <v>-470000</v>
      </c>
      <c r="Y36" s="171">
        <f>LB!AF479+FR!AF142+JN!AF209+TA!AF113+ŽB!AF87+ČL!AF307+NB!AF137+SM!AF179+JI!AF151+TU!AF214</f>
        <v>-25000</v>
      </c>
      <c r="Z36" s="171">
        <f>LB!AG479+FR!AG142+JN!AG209+TA!AG113+ŽB!AG87+ČL!AG307+NB!AG137+SM!AG179+JI!AG151+TU!AG214</f>
        <v>-495000</v>
      </c>
      <c r="AA36" s="171">
        <f>LB!AH479+FR!AH142+JN!AH209+TA!AH113+ŽB!AH87+ČL!AH307+NB!AH137+SM!AH179+JI!AH151+TU!AH214</f>
        <v>170000</v>
      </c>
      <c r="AB36" s="171">
        <f>LB!AI479+FR!AI142+JN!AI209+TA!AI113+ŽB!AI87+ČL!AI307+NB!AI137+SM!AI179+JI!AI151+TU!AI214</f>
        <v>25000</v>
      </c>
      <c r="AC36" s="171">
        <f>LB!AJ479+FR!AJ142+JN!AJ209+TA!AJ113+ŽB!AJ87+ČL!AJ307+NB!AJ137+SM!AJ179+JI!AJ151+TU!AJ214</f>
        <v>0</v>
      </c>
      <c r="AD36" s="171">
        <f>LB!AK479+FR!AK142+JN!AK209+TA!AK113+ŽB!AK87+ČL!AK307+NB!AK137+SM!AK179+JI!AK151+TU!AK214</f>
        <v>0</v>
      </c>
      <c r="AE36" s="171">
        <f>LB!AL479+FR!AL142+JN!AL209+TA!AL113+ŽB!AL87+ČL!AL307+NB!AL137+SM!AL179+JI!AL151+TU!AL214</f>
        <v>0</v>
      </c>
      <c r="AF36" s="171">
        <f>LB!AM479+FR!AM142+JN!AM209+TA!AM113+ŽB!AM87+ČL!AM307+NB!AM137+SM!AM179+JI!AM151+TU!AM214</f>
        <v>170000</v>
      </c>
      <c r="AG36" s="171">
        <f>LB!AN479+FR!AN142+JN!AN209+TA!AN113+ŽB!AN87+ČL!AN307+NB!AN137+SM!AN179+JI!AN151+TU!AN214</f>
        <v>25000</v>
      </c>
      <c r="AH36" s="171">
        <f>LB!AO479+FR!AO142+JN!AO209+TA!AO113+ŽB!AO87+ČL!AO307+NB!AO137+SM!AO179+JI!AO151+TU!AO214</f>
        <v>195000</v>
      </c>
      <c r="AI36" s="171">
        <f>LB!AP479+FR!AP142+JN!AP209+TA!AP113+ŽB!AP87+ČL!AP307+NB!AP137+SM!AP179+JI!AP151+TU!AP214</f>
        <v>-300000</v>
      </c>
      <c r="AJ36" s="171">
        <f>LB!AQ479+FR!AQ142+JN!AQ209+TA!AQ113+ŽB!AQ87+ČL!AQ307+NB!AQ137+SM!AQ179+JI!AQ151+TU!AQ214</f>
        <v>0</v>
      </c>
      <c r="AK36" s="171">
        <f>LB!AR479+FR!AR142+JN!AR209+TA!AR113+ŽB!AR87+ČL!AR307+NB!AR137+SM!AR179+JI!AR151+TU!AR214</f>
        <v>-300000</v>
      </c>
      <c r="AL36" s="171">
        <f>LB!AS479+FR!AS142+JN!AS209+TA!AS113+ŽB!AS87+ČL!AS307+NB!AS137+SM!AS179+JI!AS151+TU!AS214</f>
        <v>-101400</v>
      </c>
      <c r="AM36" s="171">
        <f>LB!AT479+FR!AT142+JN!AT209+TA!AT113+ŽB!AT87+ČL!AT307+NB!AT137+SM!AT179+JI!AT151+TU!AT214</f>
        <v>-4950</v>
      </c>
      <c r="AN36" s="171">
        <f>LB!AU479+FR!AU142+JN!AU209+TA!AU113+ŽB!AU87+ČL!AU307+NB!AU137+SM!AU179+JI!AU151+TU!AU214</f>
        <v>0</v>
      </c>
      <c r="AO36" s="171">
        <f>LB!AV479+FR!AV142+JN!AV209+TA!AV113+ŽB!AV87+ČL!AV307+NB!AV137+SM!AV179+JI!AV151+TU!AV214</f>
        <v>0</v>
      </c>
      <c r="AP36" s="171">
        <f>LB!AW479+FR!AW142+JN!AW209+TA!AW113+ŽB!AW87+ČL!AW307+NB!AW137+SM!AW179+JI!AW151+TU!AW214</f>
        <v>0</v>
      </c>
      <c r="AQ36" s="171">
        <f>LB!AX479+FR!AX142+JN!AX209+TA!AX113+ŽB!AX87+ČL!AX307+NB!AX137+SM!AX179+JI!AX151+TU!AX214</f>
        <v>0</v>
      </c>
      <c r="AR36" s="171">
        <f>LB!AY479+FR!AY142+JN!AY209+TA!AY113+ŽB!AY87+ČL!AY307+NB!AY137+SM!AY179+JI!AY151+TU!AY214</f>
        <v>-406350</v>
      </c>
      <c r="AS36" s="172">
        <f>LB!AZ479+FR!AZ142+JN!AZ209+TA!AZ113+ŽB!AZ87+ČL!AZ307+NB!AZ137+SM!AZ179+JI!AZ151+TU!AZ214</f>
        <v>1.0000000000000023E-2</v>
      </c>
      <c r="AT36" s="172">
        <f>LB!BA479+FR!BA142+JN!BA209+TA!BA113+ŽB!BA87+ČL!BA307+NB!BA137+SM!BA179+JI!BA151+TU!BA214</f>
        <v>-0.08</v>
      </c>
      <c r="AU36" s="172">
        <f>LB!BB479+FR!BB142+JN!BB209+TA!BB113+ŽB!BB87+ČL!BB307+NB!BB137+SM!BB179+JI!BB151+TU!BB214</f>
        <v>0</v>
      </c>
      <c r="AV36" s="172">
        <f>LB!BC479+FR!BC142+JN!BC209+TA!BC113+ŽB!BC87+ČL!BC307+NB!BC137+SM!BC179+JI!BC151+TU!BC214</f>
        <v>0</v>
      </c>
      <c r="AW36" s="172">
        <f>LB!BD479+FR!BD142+JN!BD209+TA!BD113+ŽB!BD87+ČL!BD307+NB!BD137+SM!BD179+JI!BD151+TU!BD214</f>
        <v>0</v>
      </c>
      <c r="AX36" s="172">
        <f>LB!BE479+FR!BE142+JN!BE209+TA!BE113+ŽB!BE87+ČL!BE307+NB!BE137+SM!BE179+JI!BE151+TU!BE214</f>
        <v>0</v>
      </c>
      <c r="AY36" s="172">
        <f>LB!BF479+FR!BF142+JN!BF209+TA!BF113+ŽB!BF87+ČL!BF307+NB!BF137+SM!BF179+JI!BF151+TU!BF214</f>
        <v>0</v>
      </c>
      <c r="AZ36" s="172">
        <f>LB!BG479+FR!BG142+JN!BG209+TA!BG113+ŽB!BG87+ČL!BG307+NB!BG137+SM!BG179+JI!BG151+TU!BG214</f>
        <v>0</v>
      </c>
      <c r="BA36" s="172">
        <f>LB!BH479+FR!BH142+JN!BH209+TA!BH113+ŽB!BH87+ČL!BH307+NB!BH137+SM!BH179+JI!BH151+TU!BH214</f>
        <v>0</v>
      </c>
      <c r="BB36" s="172">
        <f>LB!BI479+FR!BI142+JN!BI209+TA!BI113+ŽB!BI87+ČL!BI307+NB!BI137+SM!BI179+JI!BI151+TU!BI214</f>
        <v>1.0000000000000023E-2</v>
      </c>
      <c r="BC36" s="172">
        <f>LB!BJ479+FR!BJ142+JN!BJ209+TA!BJ113+ŽB!BJ87+ČL!BJ307+NB!BJ137+SM!BJ179+JI!BJ151+TU!BJ214</f>
        <v>-0.08</v>
      </c>
      <c r="BD36" s="173">
        <f>LB!BK479+FR!BK142+JN!BK209+TA!BK113+ŽB!BK87+ČL!BK307+NB!BK137+SM!BK179+JI!BK151+TU!BK214</f>
        <v>-6.9999999999999965E-2</v>
      </c>
      <c r="BE36" s="174">
        <f>LB!BL479+FR!BL142+JN!BL209+TA!BL113+ŽB!BL87+ČL!BL307+NB!BL137+SM!BL179+JI!BL151+TU!BL214</f>
        <v>62627260</v>
      </c>
      <c r="BF36" s="171">
        <f>LB!BM479+FR!BM142+JN!BM209+TA!BM113+ŽB!BM87+ČL!BM307+NB!BM137+SM!BM179+JI!BM151+TU!BM214</f>
        <v>43672719</v>
      </c>
      <c r="BG36" s="171">
        <f>LB!BN479+FR!BN142+JN!BN209+TA!BN113+ŽB!BN87+ČL!BN307+NB!BN137+SM!BN179+JI!BN151+TU!BN214</f>
        <v>32658725</v>
      </c>
      <c r="BH36" s="171">
        <f>LB!BO479+FR!BO142+JN!BO209+TA!BO113+ŽB!BO87+ČL!BO307+NB!BO137+SM!BO179+JI!BO151+TU!BO214</f>
        <v>11013994</v>
      </c>
      <c r="BI36" s="171">
        <f>LB!BP479+FR!BP142+JN!BP209+TA!BP113+ŽB!BP87+ČL!BP307+NB!BP137+SM!BP179+JI!BP151+TU!BP214</f>
        <v>2745000</v>
      </c>
      <c r="BJ36" s="171">
        <f>LB!BQ479+FR!BQ142+JN!BQ209+TA!BQ113+ŽB!BQ87+ČL!BQ307+NB!BQ137+SM!BQ179+JI!BQ151+TU!BQ214</f>
        <v>2181000</v>
      </c>
      <c r="BK36" s="171">
        <f>LB!BR479+FR!BR142+JN!BR209+TA!BR113+ŽB!BR87+ČL!BR307+NB!BR137+SM!BR179+JI!BR151+TU!BR214</f>
        <v>564000</v>
      </c>
      <c r="BL36" s="171">
        <f>LB!BS479+FR!BS142+JN!BS209+TA!BS113+ŽB!BS87+ČL!BS307+NB!BS137+SM!BS179+JI!BS151+TU!BS214</f>
        <v>15689190</v>
      </c>
      <c r="BM36" s="171">
        <f>LB!BT479+FR!BT142+JN!BT209+TA!BT113+ŽB!BT87+ČL!BT307+NB!BT137+SM!BT179+JI!BT151+TU!BT214</f>
        <v>436729</v>
      </c>
      <c r="BN36" s="171">
        <f>LB!BU479+FR!BU142+JN!BU209+TA!BU113+ŽB!BU87+ČL!BU307+NB!BU137+SM!BU179+JI!BU151+TU!BU214</f>
        <v>83622</v>
      </c>
      <c r="BO36" s="172">
        <f>LB!BV479+FR!BV142+JN!BV209+TA!BV113+ŽB!BV87+ČL!BV307+NB!BV137+SM!BV179+JI!BV151+TU!BV214</f>
        <v>95.33</v>
      </c>
      <c r="BP36" s="172">
        <f>LB!BW479+FR!BW142+JN!BW209+TA!BW113+ŽB!BW87+ČL!BW307+NB!BW137+SM!BW179+JI!BW151+TU!BW214</f>
        <v>59.88000000000001</v>
      </c>
      <c r="BQ36" s="175">
        <f>LB!BX479+FR!BX142+JN!BX209+TA!BX113+ŽB!BX87+ČL!BX307+NB!BX137+SM!BX179+JI!BX151+TU!BX214</f>
        <v>35.450000000000003</v>
      </c>
      <c r="BR36" s="170">
        <f>LB!BY479+FR!BY142+JN!BY209+TA!BY113+ŽB!BY87+ČL!BY307+NB!BY137+SM!BY179+JI!BY151+TU!BY214</f>
        <v>0</v>
      </c>
      <c r="BS36" s="171">
        <f>LB!BZ479+FR!BZ142+JN!BZ209+TA!BZ113+ŽB!BZ87+ČL!BZ307+NB!BZ137+SM!BZ179+JI!BZ151+TU!BZ214</f>
        <v>0</v>
      </c>
      <c r="BT36" s="171">
        <f>LB!CA479+FR!CA142+JN!CA209+TA!CA113+ŽB!CA87+ČL!CA307+NB!CA137+SM!CA179+JI!CA151+TU!CA214</f>
        <v>0</v>
      </c>
      <c r="BU36" s="171">
        <f>LB!CB479+FR!CB142+JN!CB209+TA!CB113+ŽB!CB87+ČL!CB307+NB!CB137+SM!CB179+JI!CB151+TU!CB214</f>
        <v>0</v>
      </c>
      <c r="BV36" s="171">
        <f>LB!CC479+FR!CC142+JN!CC209+TA!CC113+ŽB!CC87+ČL!CC307+NB!CC137+SM!CC179+JI!CC151+TU!CC214</f>
        <v>0</v>
      </c>
      <c r="BW36" s="173">
        <f>LB!CD479+FR!CD142+JN!CD209+TA!CD113+ŽB!CD87+ČL!CD307+NB!CD137+SM!CD179+JI!CD151+TU!CD214</f>
        <v>0</v>
      </c>
      <c r="BX36" s="174">
        <f>LB!CE479+FR!CE142+JN!CE209+TA!CE113+ŽB!CE87+ČL!CE307+NB!CE137+SM!CE179+JI!CE151+TU!CE214</f>
        <v>0</v>
      </c>
      <c r="BY36" s="171">
        <f>LB!CF479+FR!CF142+JN!CF209+TA!CF113+ŽB!CF87+ČL!CF307+NB!CF137+SM!CF179+JI!CF151+TU!CF214</f>
        <v>0</v>
      </c>
      <c r="BZ36" s="171">
        <f>LB!CG479+FR!CG142+JN!CG209+TA!CG113+ŽB!CG87+ČL!CG307+NB!CG137+SM!CG179+JI!CG151+TU!CG214</f>
        <v>0</v>
      </c>
      <c r="CA36" s="171">
        <f>LB!CH479+FR!CH142+JN!CH209+TA!CH113+ŽB!CH87+ČL!CH307+NB!CH137+SM!CH179+JI!CH151+TU!CH214</f>
        <v>0</v>
      </c>
      <c r="CB36" s="171">
        <f>LB!CI479+FR!CI142+JN!CI209+TA!CI113+ŽB!CI87+ČL!CI307+NB!CI137+SM!CI179+JI!CI151+TU!CI214</f>
        <v>0</v>
      </c>
      <c r="CC36" s="173">
        <f>LB!CJ479+FR!CJ142+JN!CJ209+TA!CJ113+ŽB!CJ87+ČL!CJ307+NB!CJ137+SM!CJ179+JI!CJ151+TU!CJ214</f>
        <v>0</v>
      </c>
    </row>
    <row r="37" spans="1:81">
      <c r="A37" s="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4"/>
      <c r="M37" s="4"/>
      <c r="N37" s="4"/>
    </row>
  </sheetData>
  <mergeCells count="58">
    <mergeCell ref="BX7:CC8"/>
    <mergeCell ref="BX9:CC10"/>
    <mergeCell ref="U10:U11"/>
    <mergeCell ref="AY9:AY10"/>
    <mergeCell ref="AV9:AW10"/>
    <mergeCell ref="BR7:BW8"/>
    <mergeCell ref="BR9:BW10"/>
    <mergeCell ref="BO9:BO11"/>
    <mergeCell ref="BP9:BQ10"/>
    <mergeCell ref="BF10:BF11"/>
    <mergeCell ref="BG10:BH10"/>
    <mergeCell ref="BI10:BI11"/>
    <mergeCell ref="BJ10:BK10"/>
    <mergeCell ref="BM10:BM11"/>
    <mergeCell ref="BN10:BN11"/>
    <mergeCell ref="BL10:BL11"/>
    <mergeCell ref="BF9:BN9"/>
    <mergeCell ref="O7:BD7"/>
    <mergeCell ref="BE7:BQ8"/>
    <mergeCell ref="O8:Z9"/>
    <mergeCell ref="AA8:AH9"/>
    <mergeCell ref="AI8:AK10"/>
    <mergeCell ref="AL8:AL11"/>
    <mergeCell ref="AM8:AM11"/>
    <mergeCell ref="AN8:AQ10"/>
    <mergeCell ref="AR8:AR11"/>
    <mergeCell ref="AS8:BD8"/>
    <mergeCell ref="AS9:AT10"/>
    <mergeCell ref="AU9:AU10"/>
    <mergeCell ref="AX9:AX10"/>
    <mergeCell ref="BE9:BE11"/>
    <mergeCell ref="AZ9:BA10"/>
    <mergeCell ref="O10:P10"/>
    <mergeCell ref="Q10:Q11"/>
    <mergeCell ref="R10:R11"/>
    <mergeCell ref="S10:T10"/>
    <mergeCell ref="BB9:BD10"/>
    <mergeCell ref="V10:W10"/>
    <mergeCell ref="X10:Y10"/>
    <mergeCell ref="AH10:AH11"/>
    <mergeCell ref="Z10:Z11"/>
    <mergeCell ref="AA10:AB10"/>
    <mergeCell ref="AC10:AC11"/>
    <mergeCell ref="AD10:AE10"/>
    <mergeCell ref="AF10:AG10"/>
    <mergeCell ref="J10:J11"/>
    <mergeCell ref="K10:K11"/>
    <mergeCell ref="A3:N3"/>
    <mergeCell ref="B9:B11"/>
    <mergeCell ref="B7:N8"/>
    <mergeCell ref="C9:K9"/>
    <mergeCell ref="C10:C11"/>
    <mergeCell ref="D10:E10"/>
    <mergeCell ref="F10:F11"/>
    <mergeCell ref="G10:H10"/>
    <mergeCell ref="I10:I11"/>
    <mergeCell ref="L9:L11"/>
    <mergeCell ref="M9:N10"/>
  </mergeCells>
  <pageMargins left="0.7" right="0.7" top="0.78740157499999996" bottom="0.78740157499999996" header="0.3" footer="0.3"/>
  <pageSetup paperSize="9" scale="27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CL483"/>
  <sheetViews>
    <sheetView zoomScaleNormal="100" workbookViewId="0">
      <pane xSplit="8" ySplit="11" topLeftCell="BK12" activePane="bottomRight" state="frozen"/>
      <selection pane="topRight" activeCell="I1" sqref="I1"/>
      <selection pane="bottomLeft" activeCell="A12" sqref="A12"/>
      <selection pane="bottomRight" activeCell="BL6" sqref="BL6:BX7"/>
    </sheetView>
  </sheetViews>
  <sheetFormatPr defaultColWidth="9.140625" defaultRowHeight="11.25"/>
  <cols>
    <col min="1" max="1" width="5" style="52" customWidth="1"/>
    <col min="2" max="2" width="4.7109375" style="51" customWidth="1"/>
    <col min="3" max="3" width="8.7109375" style="51" customWidth="1"/>
    <col min="4" max="4" width="7.85546875" style="51" customWidth="1"/>
    <col min="5" max="5" width="31.28515625" style="52" customWidth="1"/>
    <col min="6" max="6" width="4.42578125" style="52" customWidth="1"/>
    <col min="7" max="7" width="10" style="52" customWidth="1"/>
    <col min="8" max="8" width="9.42578125" style="52" customWidth="1"/>
    <col min="9" max="15" width="10.85546875" style="53" customWidth="1"/>
    <col min="16" max="16" width="12.42578125" style="53" customWidth="1"/>
    <col min="17" max="17" width="10" style="53" customWidth="1"/>
    <col min="18" max="18" width="10.85546875" style="53" customWidth="1"/>
    <col min="19" max="21" width="9.28515625" style="87" customWidth="1"/>
    <col min="22" max="25" width="10.85546875" style="53" customWidth="1"/>
    <col min="26" max="26" width="10.5703125" style="53" customWidth="1"/>
    <col min="27" max="27" width="10.85546875" style="53" customWidth="1"/>
    <col min="28" max="28" width="12.140625" style="53" customWidth="1"/>
    <col min="29" max="48" width="10.85546875" style="53" customWidth="1"/>
    <col min="49" max="49" width="11.85546875" style="53" customWidth="1"/>
    <col min="50" max="51" width="10.85546875" style="53" customWidth="1"/>
    <col min="52" max="57" width="9.28515625" style="87" customWidth="1"/>
    <col min="58" max="58" width="10.5703125" style="87" customWidth="1"/>
    <col min="59" max="63" width="9.28515625" style="87" customWidth="1"/>
    <col min="64" max="73" width="10.85546875" style="53" customWidth="1"/>
    <col min="74" max="76" width="9.28515625" style="87" customWidth="1"/>
    <col min="77" max="81" width="9.7109375" style="53" customWidth="1"/>
    <col min="82" max="82" width="9.7109375" style="87" customWidth="1"/>
    <col min="83" max="87" width="9.140625" style="53" customWidth="1"/>
    <col min="88" max="88" width="8.85546875" style="87" customWidth="1"/>
    <col min="89" max="90" width="9.140625" style="56" customWidth="1"/>
    <col min="91" max="16384" width="9.140625" style="56"/>
  </cols>
  <sheetData>
    <row r="1" spans="1:88" ht="12.75">
      <c r="A1" s="50" t="s">
        <v>2</v>
      </c>
      <c r="B1" s="50"/>
      <c r="C1" s="42"/>
      <c r="D1" s="50"/>
      <c r="E1" s="50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87"/>
      <c r="BO1" s="87"/>
      <c r="BP1" s="87"/>
      <c r="BQ1" s="87"/>
      <c r="BR1" s="87"/>
      <c r="BS1" s="87"/>
      <c r="BT1" s="87"/>
      <c r="BU1" s="87"/>
    </row>
    <row r="2" spans="1:88" ht="12.75">
      <c r="A2" s="50" t="s">
        <v>3</v>
      </c>
      <c r="B2" s="50"/>
      <c r="C2" s="42"/>
      <c r="D2" s="50"/>
      <c r="E2" s="50"/>
    </row>
    <row r="3" spans="1:88" ht="12">
      <c r="A3" s="44" t="s">
        <v>4</v>
      </c>
      <c r="B3" s="44"/>
      <c r="C3" s="44"/>
      <c r="D3" s="44"/>
      <c r="E3" s="44"/>
      <c r="Y3" s="506"/>
      <c r="Z3" s="506"/>
      <c r="AA3" s="506"/>
      <c r="AB3" s="506"/>
    </row>
    <row r="4" spans="1:88" ht="12">
      <c r="A4" s="50"/>
      <c r="B4" s="50"/>
      <c r="C4" s="50"/>
      <c r="D4" s="50"/>
      <c r="E4" s="50"/>
      <c r="I4" s="52"/>
      <c r="J4" s="52"/>
      <c r="K4" s="52"/>
      <c r="L4" s="52"/>
      <c r="M4" s="52"/>
      <c r="N4" s="52"/>
      <c r="O4" s="52"/>
      <c r="P4" s="52"/>
      <c r="Q4" s="52"/>
      <c r="R4" s="52"/>
      <c r="S4" s="180"/>
      <c r="Y4" s="505"/>
      <c r="Z4" s="505"/>
      <c r="AA4" s="505"/>
      <c r="AB4" s="505"/>
    </row>
    <row r="5" spans="1:88" ht="16.5" thickBot="1">
      <c r="A5" s="181" t="s">
        <v>890</v>
      </c>
      <c r="F5" s="252"/>
      <c r="G5" s="252"/>
      <c r="I5" s="52"/>
      <c r="J5" s="52"/>
      <c r="K5" s="52"/>
      <c r="L5" s="52"/>
      <c r="M5" s="52"/>
      <c r="N5" s="52"/>
      <c r="O5" s="52"/>
      <c r="P5" s="52"/>
      <c r="Q5" s="52"/>
      <c r="R5" s="52"/>
      <c r="S5" s="180"/>
      <c r="Z5" s="505"/>
      <c r="AA5" s="505"/>
      <c r="AB5" s="505"/>
    </row>
    <row r="6" spans="1:88" ht="12.75" customHeight="1">
      <c r="A6" s="527" t="s">
        <v>800</v>
      </c>
      <c r="B6" s="528"/>
      <c r="C6" s="529"/>
      <c r="D6" s="529"/>
      <c r="E6" s="528"/>
      <c r="F6" s="528"/>
      <c r="I6" s="1116" t="s">
        <v>877</v>
      </c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8"/>
      <c r="V6" s="1122" t="s">
        <v>888</v>
      </c>
      <c r="W6" s="1122"/>
      <c r="X6" s="1122"/>
      <c r="Y6" s="1122"/>
      <c r="Z6" s="1122"/>
      <c r="AA6" s="1122"/>
      <c r="AB6" s="1122"/>
      <c r="AC6" s="1122"/>
      <c r="AD6" s="1122"/>
      <c r="AE6" s="1122"/>
      <c r="AF6" s="1122"/>
      <c r="AG6" s="1122"/>
      <c r="AH6" s="1122"/>
      <c r="AI6" s="1122"/>
      <c r="AJ6" s="1122"/>
      <c r="AK6" s="1122"/>
      <c r="AL6" s="1122"/>
      <c r="AM6" s="1122"/>
      <c r="AN6" s="1122"/>
      <c r="AO6" s="1122"/>
      <c r="AP6" s="1122"/>
      <c r="AQ6" s="1122"/>
      <c r="AR6" s="1122"/>
      <c r="AS6" s="1122"/>
      <c r="AT6" s="1122"/>
      <c r="AU6" s="1122"/>
      <c r="AV6" s="1122"/>
      <c r="AW6" s="1122"/>
      <c r="AX6" s="1122"/>
      <c r="AY6" s="1122"/>
      <c r="AZ6" s="1122"/>
      <c r="BA6" s="1122"/>
      <c r="BB6" s="1122"/>
      <c r="BC6" s="1122"/>
      <c r="BD6" s="1122"/>
      <c r="BE6" s="1122"/>
      <c r="BF6" s="1122"/>
      <c r="BG6" s="1122"/>
      <c r="BH6" s="1122"/>
      <c r="BI6" s="1122"/>
      <c r="BJ6" s="1122"/>
      <c r="BK6" s="1123"/>
      <c r="BL6" s="1116" t="s">
        <v>889</v>
      </c>
      <c r="BM6" s="1117"/>
      <c r="BN6" s="1117"/>
      <c r="BO6" s="1117"/>
      <c r="BP6" s="1117"/>
      <c r="BQ6" s="1117"/>
      <c r="BR6" s="1117"/>
      <c r="BS6" s="1117"/>
      <c r="BT6" s="1117"/>
      <c r="BU6" s="1117"/>
      <c r="BV6" s="1117"/>
      <c r="BW6" s="1117"/>
      <c r="BX6" s="1118"/>
      <c r="BY6" s="1209" t="s">
        <v>847</v>
      </c>
      <c r="BZ6" s="1210"/>
      <c r="CA6" s="1210"/>
      <c r="CB6" s="1210"/>
      <c r="CC6" s="1210"/>
      <c r="CD6" s="1211"/>
      <c r="CE6" s="1168" t="s">
        <v>847</v>
      </c>
      <c r="CF6" s="1169"/>
      <c r="CG6" s="1169"/>
      <c r="CH6" s="1169"/>
      <c r="CI6" s="1170"/>
      <c r="CJ6" s="1171"/>
    </row>
    <row r="7" spans="1:88" ht="16.5" thickBot="1">
      <c r="B7" s="6"/>
      <c r="C7"/>
      <c r="D7" s="10"/>
      <c r="E7" s="6"/>
      <c r="I7" s="1119"/>
      <c r="J7" s="1120"/>
      <c r="K7" s="1120"/>
      <c r="L7" s="1120"/>
      <c r="M7" s="1120"/>
      <c r="N7" s="1120"/>
      <c r="O7" s="1120"/>
      <c r="P7" s="1120"/>
      <c r="Q7" s="1120"/>
      <c r="R7" s="1120"/>
      <c r="S7" s="1120"/>
      <c r="T7" s="1120"/>
      <c r="U7" s="1121"/>
      <c r="V7" s="1140" t="s">
        <v>807</v>
      </c>
      <c r="W7" s="1140"/>
      <c r="X7" s="1140"/>
      <c r="Y7" s="1140"/>
      <c r="Z7" s="1140"/>
      <c r="AA7" s="1140"/>
      <c r="AB7" s="1140"/>
      <c r="AC7" s="1140"/>
      <c r="AD7" s="1140"/>
      <c r="AE7" s="1140"/>
      <c r="AF7" s="1140"/>
      <c r="AG7" s="1141"/>
      <c r="AH7" s="1139" t="s">
        <v>808</v>
      </c>
      <c r="AI7" s="1140"/>
      <c r="AJ7" s="1140"/>
      <c r="AK7" s="1140"/>
      <c r="AL7" s="1140"/>
      <c r="AM7" s="1140"/>
      <c r="AN7" s="1140"/>
      <c r="AO7" s="1141"/>
      <c r="AP7" s="1190" t="s">
        <v>822</v>
      </c>
      <c r="AQ7" s="1190"/>
      <c r="AR7" s="1190"/>
      <c r="AS7" s="1113" t="s">
        <v>5</v>
      </c>
      <c r="AT7" s="1113" t="s">
        <v>275</v>
      </c>
      <c r="AU7" s="1197" t="s">
        <v>796</v>
      </c>
      <c r="AV7" s="1197"/>
      <c r="AW7" s="1197"/>
      <c r="AX7" s="1198"/>
      <c r="AY7" s="1203" t="s">
        <v>288</v>
      </c>
      <c r="AZ7" s="1206" t="s">
        <v>809</v>
      </c>
      <c r="BA7" s="1207"/>
      <c r="BB7" s="1207"/>
      <c r="BC7" s="1207"/>
      <c r="BD7" s="1207"/>
      <c r="BE7" s="1207"/>
      <c r="BF7" s="1207"/>
      <c r="BG7" s="1207"/>
      <c r="BH7" s="1207"/>
      <c r="BI7" s="1207"/>
      <c r="BJ7" s="1207"/>
      <c r="BK7" s="1208"/>
      <c r="BL7" s="1119"/>
      <c r="BM7" s="1120"/>
      <c r="BN7" s="1120"/>
      <c r="BO7" s="1120"/>
      <c r="BP7" s="1120"/>
      <c r="BQ7" s="1120"/>
      <c r="BR7" s="1120"/>
      <c r="BS7" s="1120"/>
      <c r="BT7" s="1120"/>
      <c r="BU7" s="1120"/>
      <c r="BV7" s="1120"/>
      <c r="BW7" s="1120"/>
      <c r="BX7" s="1121"/>
      <c r="BY7" s="1212"/>
      <c r="BZ7" s="1213"/>
      <c r="CA7" s="1213"/>
      <c r="CB7" s="1213"/>
      <c r="CC7" s="1213"/>
      <c r="CD7" s="1214"/>
      <c r="CE7" s="1172"/>
      <c r="CF7" s="1173"/>
      <c r="CG7" s="1173"/>
      <c r="CH7" s="1173"/>
      <c r="CI7" s="1174"/>
      <c r="CJ7" s="1175"/>
    </row>
    <row r="8" spans="1:88" ht="11.25" customHeight="1">
      <c r="A8" s="115"/>
      <c r="B8" s="57"/>
      <c r="C8" s="57"/>
      <c r="D8" s="57"/>
      <c r="E8" s="58"/>
      <c r="F8" s="59"/>
      <c r="G8" s="60"/>
      <c r="H8" s="60"/>
      <c r="I8" s="1127" t="s">
        <v>6</v>
      </c>
      <c r="J8" s="1124" t="s">
        <v>777</v>
      </c>
      <c r="K8" s="1125"/>
      <c r="L8" s="1125"/>
      <c r="M8" s="1125"/>
      <c r="N8" s="1125"/>
      <c r="O8" s="1125"/>
      <c r="P8" s="1125"/>
      <c r="Q8" s="1125"/>
      <c r="R8" s="1126"/>
      <c r="S8" s="1130" t="s">
        <v>813</v>
      </c>
      <c r="T8" s="1133" t="s">
        <v>814</v>
      </c>
      <c r="U8" s="1134"/>
      <c r="V8" s="1143"/>
      <c r="W8" s="1143"/>
      <c r="X8" s="1143"/>
      <c r="Y8" s="1143"/>
      <c r="Z8" s="1143"/>
      <c r="AA8" s="1143"/>
      <c r="AB8" s="1143"/>
      <c r="AC8" s="1143"/>
      <c r="AD8" s="1143"/>
      <c r="AE8" s="1143"/>
      <c r="AF8" s="1143"/>
      <c r="AG8" s="1144"/>
      <c r="AH8" s="1142"/>
      <c r="AI8" s="1143"/>
      <c r="AJ8" s="1143"/>
      <c r="AK8" s="1143"/>
      <c r="AL8" s="1143"/>
      <c r="AM8" s="1143"/>
      <c r="AN8" s="1143"/>
      <c r="AO8" s="1144"/>
      <c r="AP8" s="1190"/>
      <c r="AQ8" s="1190"/>
      <c r="AR8" s="1190"/>
      <c r="AS8" s="1114"/>
      <c r="AT8" s="1114"/>
      <c r="AU8" s="1199"/>
      <c r="AV8" s="1199"/>
      <c r="AW8" s="1199"/>
      <c r="AX8" s="1200"/>
      <c r="AY8" s="1204"/>
      <c r="AZ8" s="1145" t="s">
        <v>276</v>
      </c>
      <c r="BA8" s="1195"/>
      <c r="BB8" s="1184" t="s">
        <v>277</v>
      </c>
      <c r="BC8" s="1186" t="s">
        <v>860</v>
      </c>
      <c r="BD8" s="1187"/>
      <c r="BE8" s="1184" t="s">
        <v>787</v>
      </c>
      <c r="BF8" s="1184"/>
      <c r="BG8" s="1145" t="s">
        <v>278</v>
      </c>
      <c r="BH8" s="1195"/>
      <c r="BI8" s="1145" t="s">
        <v>823</v>
      </c>
      <c r="BJ8" s="1146"/>
      <c r="BK8" s="1147"/>
      <c r="BL8" s="1165" t="s">
        <v>6</v>
      </c>
      <c r="BM8" s="1161" t="s">
        <v>777</v>
      </c>
      <c r="BN8" s="1161"/>
      <c r="BO8" s="1161"/>
      <c r="BP8" s="1161"/>
      <c r="BQ8" s="1161"/>
      <c r="BR8" s="1161"/>
      <c r="BS8" s="1161"/>
      <c r="BT8" s="1161"/>
      <c r="BU8" s="1161"/>
      <c r="BV8" s="1130" t="s">
        <v>813</v>
      </c>
      <c r="BW8" s="1191" t="s">
        <v>778</v>
      </c>
      <c r="BX8" s="1192"/>
      <c r="BY8" s="1151" t="s">
        <v>846</v>
      </c>
      <c r="BZ8" s="1152"/>
      <c r="CA8" s="1152"/>
      <c r="CB8" s="1152"/>
      <c r="CC8" s="1152"/>
      <c r="CD8" s="1153"/>
      <c r="CE8" s="1176" t="s">
        <v>861</v>
      </c>
      <c r="CF8" s="1177"/>
      <c r="CG8" s="1177"/>
      <c r="CH8" s="1177"/>
      <c r="CI8" s="1177"/>
      <c r="CJ8" s="1178"/>
    </row>
    <row r="9" spans="1:88" ht="22.5" customHeight="1" thickBot="1">
      <c r="A9" s="116" t="s">
        <v>747</v>
      </c>
      <c r="B9"/>
      <c r="C9"/>
      <c r="D9" s="12"/>
      <c r="E9"/>
      <c r="F9" s="59"/>
      <c r="G9" s="60"/>
      <c r="H9" s="60"/>
      <c r="I9" s="1128"/>
      <c r="J9" s="1137" t="s">
        <v>268</v>
      </c>
      <c r="K9" s="1108" t="s">
        <v>827</v>
      </c>
      <c r="L9" s="1109"/>
      <c r="M9" s="1111" t="s">
        <v>274</v>
      </c>
      <c r="N9" s="1108" t="s">
        <v>834</v>
      </c>
      <c r="O9" s="1109"/>
      <c r="P9" s="1111" t="s">
        <v>5</v>
      </c>
      <c r="Q9" s="1111" t="s">
        <v>1</v>
      </c>
      <c r="R9" s="1111" t="s">
        <v>7</v>
      </c>
      <c r="S9" s="1131"/>
      <c r="T9" s="1135"/>
      <c r="U9" s="1136"/>
      <c r="V9" s="1110" t="s">
        <v>279</v>
      </c>
      <c r="W9" s="1104"/>
      <c r="X9" s="1100" t="s">
        <v>812</v>
      </c>
      <c r="Y9" s="1100" t="s">
        <v>811</v>
      </c>
      <c r="Z9" s="1105" t="s">
        <v>860</v>
      </c>
      <c r="AA9" s="1105"/>
      <c r="AB9" s="1182"/>
      <c r="AC9" s="1105" t="s">
        <v>278</v>
      </c>
      <c r="AD9" s="1105"/>
      <c r="AE9" s="1103" t="s">
        <v>788</v>
      </c>
      <c r="AF9" s="1104"/>
      <c r="AG9" s="1106" t="s">
        <v>788</v>
      </c>
      <c r="AH9" s="1103" t="s">
        <v>280</v>
      </c>
      <c r="AI9" s="1104"/>
      <c r="AJ9" s="1101" t="s">
        <v>810</v>
      </c>
      <c r="AK9" s="1103" t="s">
        <v>281</v>
      </c>
      <c r="AL9" s="1104"/>
      <c r="AM9" s="1103" t="s">
        <v>745</v>
      </c>
      <c r="AN9" s="1104"/>
      <c r="AO9" s="1106" t="s">
        <v>745</v>
      </c>
      <c r="AP9" s="1190"/>
      <c r="AQ9" s="1190"/>
      <c r="AR9" s="1190"/>
      <c r="AS9" s="1114"/>
      <c r="AT9" s="1114"/>
      <c r="AU9" s="1201"/>
      <c r="AV9" s="1201"/>
      <c r="AW9" s="1201"/>
      <c r="AX9" s="1202"/>
      <c r="AY9" s="1204"/>
      <c r="AZ9" s="1148"/>
      <c r="BA9" s="1196"/>
      <c r="BB9" s="1185"/>
      <c r="BC9" s="1188"/>
      <c r="BD9" s="1189"/>
      <c r="BE9" s="1185"/>
      <c r="BF9" s="1185"/>
      <c r="BG9" s="1148"/>
      <c r="BH9" s="1196"/>
      <c r="BI9" s="1148"/>
      <c r="BJ9" s="1149"/>
      <c r="BK9" s="1150"/>
      <c r="BL9" s="1166"/>
      <c r="BM9" s="1157" t="s">
        <v>268</v>
      </c>
      <c r="BN9" s="1108" t="s">
        <v>827</v>
      </c>
      <c r="BO9" s="1109"/>
      <c r="BP9" s="1159" t="s">
        <v>274</v>
      </c>
      <c r="BQ9" s="1162" t="s">
        <v>834</v>
      </c>
      <c r="BR9" s="1162"/>
      <c r="BS9" s="1163" t="s">
        <v>5</v>
      </c>
      <c r="BT9" s="1163" t="s">
        <v>1</v>
      </c>
      <c r="BU9" s="1163" t="s">
        <v>7</v>
      </c>
      <c r="BV9" s="1131"/>
      <c r="BW9" s="1193"/>
      <c r="BX9" s="1194"/>
      <c r="BY9" s="1154"/>
      <c r="BZ9" s="1155"/>
      <c r="CA9" s="1155"/>
      <c r="CB9" s="1155"/>
      <c r="CC9" s="1155"/>
      <c r="CD9" s="1156"/>
      <c r="CE9" s="1179"/>
      <c r="CF9" s="1180"/>
      <c r="CG9" s="1180"/>
      <c r="CH9" s="1180"/>
      <c r="CI9" s="1180"/>
      <c r="CJ9" s="1181"/>
    </row>
    <row r="10" spans="1:88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129"/>
      <c r="J10" s="1138"/>
      <c r="K10" s="587" t="s">
        <v>805</v>
      </c>
      <c r="L10" s="587" t="s">
        <v>806</v>
      </c>
      <c r="M10" s="1112"/>
      <c r="N10" s="587" t="s">
        <v>805</v>
      </c>
      <c r="O10" s="587" t="s">
        <v>806</v>
      </c>
      <c r="P10" s="1112"/>
      <c r="Q10" s="1112"/>
      <c r="R10" s="1112"/>
      <c r="S10" s="1132"/>
      <c r="T10" s="588" t="s">
        <v>805</v>
      </c>
      <c r="U10" s="604" t="s">
        <v>806</v>
      </c>
      <c r="V10" s="562" t="s">
        <v>805</v>
      </c>
      <c r="W10" s="556" t="s">
        <v>806</v>
      </c>
      <c r="X10" s="1100"/>
      <c r="Y10" s="1100"/>
      <c r="Z10" s="556" t="s">
        <v>805</v>
      </c>
      <c r="AA10" s="561" t="s">
        <v>806</v>
      </c>
      <c r="AB10" s="1183"/>
      <c r="AC10" s="556" t="s">
        <v>805</v>
      </c>
      <c r="AD10" s="561" t="s">
        <v>806</v>
      </c>
      <c r="AE10" s="556" t="s">
        <v>805</v>
      </c>
      <c r="AF10" s="561" t="s">
        <v>806</v>
      </c>
      <c r="AG10" s="1107"/>
      <c r="AH10" s="557" t="s">
        <v>805</v>
      </c>
      <c r="AI10" s="557" t="s">
        <v>806</v>
      </c>
      <c r="AJ10" s="1102"/>
      <c r="AK10" s="556" t="s">
        <v>805</v>
      </c>
      <c r="AL10" s="556" t="s">
        <v>806</v>
      </c>
      <c r="AM10" s="556" t="s">
        <v>805</v>
      </c>
      <c r="AN10" s="556" t="s">
        <v>806</v>
      </c>
      <c r="AO10" s="1107"/>
      <c r="AP10" s="556" t="s">
        <v>805</v>
      </c>
      <c r="AQ10" s="556" t="s">
        <v>806</v>
      </c>
      <c r="AR10" s="556" t="s">
        <v>256</v>
      </c>
      <c r="AS10" s="1115"/>
      <c r="AT10" s="1115"/>
      <c r="AU10" s="403" t="s">
        <v>277</v>
      </c>
      <c r="AV10" s="403" t="s">
        <v>278</v>
      </c>
      <c r="AW10" s="403"/>
      <c r="AX10" s="403" t="s">
        <v>746</v>
      </c>
      <c r="AY10" s="1205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67"/>
      <c r="BM10" s="1158"/>
      <c r="BN10" s="557" t="s">
        <v>805</v>
      </c>
      <c r="BO10" s="557" t="s">
        <v>806</v>
      </c>
      <c r="BP10" s="1160"/>
      <c r="BQ10" s="557" t="s">
        <v>805</v>
      </c>
      <c r="BR10" s="557" t="s">
        <v>806</v>
      </c>
      <c r="BS10" s="1164"/>
      <c r="BT10" s="1164"/>
      <c r="BU10" s="1164"/>
      <c r="BV10" s="1132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0" t="s">
        <v>841</v>
      </c>
      <c r="CF10" s="871" t="s">
        <v>268</v>
      </c>
      <c r="CG10" s="871" t="s">
        <v>840</v>
      </c>
      <c r="CH10" s="871" t="s">
        <v>1</v>
      </c>
      <c r="CI10" s="876" t="s">
        <v>796</v>
      </c>
      <c r="CJ10" s="872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79" t="s">
        <v>287</v>
      </c>
      <c r="BL11" s="600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73" t="s">
        <v>857</v>
      </c>
      <c r="CF11" s="874" t="s">
        <v>802</v>
      </c>
      <c r="CG11" s="874" t="s">
        <v>858</v>
      </c>
      <c r="CH11" s="874" t="s">
        <v>859</v>
      </c>
      <c r="CI11" s="874" t="s">
        <v>796</v>
      </c>
      <c r="CJ11" s="875" t="s">
        <v>533</v>
      </c>
    </row>
    <row r="12" spans="1:88" ht="14.1" customHeight="1">
      <c r="A12" s="123">
        <v>1</v>
      </c>
      <c r="B12" s="124">
        <v>2330</v>
      </c>
      <c r="C12" s="125">
        <v>691009571</v>
      </c>
      <c r="D12" s="124">
        <v>71294511</v>
      </c>
      <c r="E12" s="126" t="s">
        <v>534</v>
      </c>
      <c r="F12" s="123">
        <v>3233</v>
      </c>
      <c r="G12" s="126" t="s">
        <v>297</v>
      </c>
      <c r="H12" s="127" t="s">
        <v>272</v>
      </c>
      <c r="I12" s="405">
        <v>11820187</v>
      </c>
      <c r="J12" s="406">
        <v>7989758</v>
      </c>
      <c r="K12" s="406">
        <v>5625099</v>
      </c>
      <c r="L12" s="406">
        <v>2364659</v>
      </c>
      <c r="M12" s="406">
        <v>770000</v>
      </c>
      <c r="N12" s="406">
        <v>600000</v>
      </c>
      <c r="O12" s="406">
        <v>170000</v>
      </c>
      <c r="P12" s="590">
        <v>2960798</v>
      </c>
      <c r="Q12" s="590">
        <v>79898</v>
      </c>
      <c r="R12" s="406">
        <v>19733</v>
      </c>
      <c r="S12" s="407">
        <v>17.79</v>
      </c>
      <c r="T12" s="408">
        <v>10.18</v>
      </c>
      <c r="U12" s="421">
        <v>7.6100000000000012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>I12+AY12</f>
        <v>11820187</v>
      </c>
      <c r="BM12" s="409">
        <f>J12+AG12</f>
        <v>7989758</v>
      </c>
      <c r="BN12" s="409">
        <f>K12+AE12</f>
        <v>5625099</v>
      </c>
      <c r="BO12" s="409">
        <f>L12+AF12</f>
        <v>2364659</v>
      </c>
      <c r="BP12" s="409">
        <f>M12+AO12</f>
        <v>770000</v>
      </c>
      <c r="BQ12" s="409">
        <f>N12+AM12</f>
        <v>600000</v>
      </c>
      <c r="BR12" s="409">
        <f>O12+AN12</f>
        <v>170000</v>
      </c>
      <c r="BS12" s="409">
        <f>P12+AS12</f>
        <v>2960798</v>
      </c>
      <c r="BT12" s="409">
        <f>Q12+AT12</f>
        <v>79898</v>
      </c>
      <c r="BU12" s="409">
        <f>R12+AX12</f>
        <v>19733</v>
      </c>
      <c r="BV12" s="410">
        <f>S12+BK12</f>
        <v>17.79</v>
      </c>
      <c r="BW12" s="410">
        <f>T12+BI12</f>
        <v>10.18</v>
      </c>
      <c r="BX12" s="412">
        <f>U12+BJ12</f>
        <v>7.6100000000000012</v>
      </c>
      <c r="BY12" s="405"/>
      <c r="BZ12" s="406"/>
      <c r="CA12" s="406"/>
      <c r="CB12" s="406"/>
      <c r="CC12" s="406"/>
      <c r="CD12" s="421"/>
      <c r="CE12" s="405">
        <f>SUM(CF12:CI12)</f>
        <v>0</v>
      </c>
      <c r="CF12" s="406">
        <v>0</v>
      </c>
      <c r="CG12" s="406">
        <v>0</v>
      </c>
      <c r="CH12" s="406">
        <v>0</v>
      </c>
      <c r="CI12" s="406">
        <v>0</v>
      </c>
      <c r="CJ12" s="494">
        <v>0</v>
      </c>
    </row>
    <row r="13" spans="1:88" ht="14.1" customHeight="1">
      <c r="A13" s="72">
        <v>1</v>
      </c>
      <c r="B13" s="69">
        <v>2330</v>
      </c>
      <c r="C13" s="70">
        <v>691009571</v>
      </c>
      <c r="D13" s="69">
        <v>71294511</v>
      </c>
      <c r="E13" s="71" t="s">
        <v>535</v>
      </c>
      <c r="F13" s="72"/>
      <c r="G13" s="71"/>
      <c r="H13" s="73"/>
      <c r="I13" s="516">
        <v>11820187</v>
      </c>
      <c r="J13" s="74">
        <v>7989758</v>
      </c>
      <c r="K13" s="74">
        <v>5625099</v>
      </c>
      <c r="L13" s="74">
        <v>2364659</v>
      </c>
      <c r="M13" s="74">
        <v>770000</v>
      </c>
      <c r="N13" s="74">
        <v>600000</v>
      </c>
      <c r="O13" s="74">
        <v>170000</v>
      </c>
      <c r="P13" s="74">
        <v>2960798</v>
      </c>
      <c r="Q13" s="74">
        <v>79898</v>
      </c>
      <c r="R13" s="74">
        <v>19733</v>
      </c>
      <c r="S13" s="75">
        <v>17.79</v>
      </c>
      <c r="T13" s="75">
        <v>10.18</v>
      </c>
      <c r="U13" s="653">
        <v>7.6100000000000012</v>
      </c>
      <c r="V13" s="516">
        <f t="shared" ref="V13:BX13" si="0">SUM(V12)</f>
        <v>0</v>
      </c>
      <c r="W13" s="74">
        <f t="shared" si="0"/>
        <v>0</v>
      </c>
      <c r="X13" s="74">
        <f t="shared" si="0"/>
        <v>0</v>
      </c>
      <c r="Y13" s="74">
        <f t="shared" si="0"/>
        <v>0</v>
      </c>
      <c r="Z13" s="74">
        <f t="shared" si="0"/>
        <v>0</v>
      </c>
      <c r="AA13" s="74">
        <f t="shared" si="0"/>
        <v>0</v>
      </c>
      <c r="AB13" s="74">
        <f t="shared" si="0"/>
        <v>0</v>
      </c>
      <c r="AC13" s="74">
        <f t="shared" si="0"/>
        <v>0</v>
      </c>
      <c r="AD13" s="74">
        <f t="shared" si="0"/>
        <v>0</v>
      </c>
      <c r="AE13" s="74">
        <f t="shared" si="0"/>
        <v>0</v>
      </c>
      <c r="AF13" s="74">
        <f t="shared" si="0"/>
        <v>0</v>
      </c>
      <c r="AG13" s="74">
        <f t="shared" si="0"/>
        <v>0</v>
      </c>
      <c r="AH13" s="74">
        <f t="shared" si="0"/>
        <v>0</v>
      </c>
      <c r="AI13" s="74">
        <f t="shared" si="0"/>
        <v>0</v>
      </c>
      <c r="AJ13" s="74">
        <f t="shared" si="0"/>
        <v>0</v>
      </c>
      <c r="AK13" s="74">
        <f t="shared" si="0"/>
        <v>0</v>
      </c>
      <c r="AL13" s="74">
        <f t="shared" si="0"/>
        <v>0</v>
      </c>
      <c r="AM13" s="74">
        <f t="shared" si="0"/>
        <v>0</v>
      </c>
      <c r="AN13" s="74">
        <f t="shared" si="0"/>
        <v>0</v>
      </c>
      <c r="AO13" s="74">
        <f t="shared" si="0"/>
        <v>0</v>
      </c>
      <c r="AP13" s="74">
        <f t="shared" si="0"/>
        <v>0</v>
      </c>
      <c r="AQ13" s="74">
        <f t="shared" si="0"/>
        <v>0</v>
      </c>
      <c r="AR13" s="74">
        <f t="shared" si="0"/>
        <v>0</v>
      </c>
      <c r="AS13" s="74">
        <f t="shared" si="0"/>
        <v>0</v>
      </c>
      <c r="AT13" s="74">
        <f t="shared" si="0"/>
        <v>0</v>
      </c>
      <c r="AU13" s="74">
        <f t="shared" si="0"/>
        <v>0</v>
      </c>
      <c r="AV13" s="74">
        <f t="shared" si="0"/>
        <v>0</v>
      </c>
      <c r="AW13" s="74">
        <f t="shared" si="0"/>
        <v>0</v>
      </c>
      <c r="AX13" s="74">
        <f t="shared" si="0"/>
        <v>0</v>
      </c>
      <c r="AY13" s="74">
        <f t="shared" si="0"/>
        <v>0</v>
      </c>
      <c r="AZ13" s="75">
        <f t="shared" si="0"/>
        <v>0</v>
      </c>
      <c r="BA13" s="75">
        <f t="shared" si="0"/>
        <v>0</v>
      </c>
      <c r="BB13" s="75">
        <f t="shared" si="0"/>
        <v>0</v>
      </c>
      <c r="BC13" s="75">
        <f t="shared" si="0"/>
        <v>0</v>
      </c>
      <c r="BD13" s="75">
        <f t="shared" si="0"/>
        <v>0</v>
      </c>
      <c r="BE13" s="75">
        <f t="shared" si="0"/>
        <v>0</v>
      </c>
      <c r="BF13" s="75">
        <f t="shared" si="0"/>
        <v>0</v>
      </c>
      <c r="BG13" s="75">
        <f t="shared" si="0"/>
        <v>0</v>
      </c>
      <c r="BH13" s="75">
        <f t="shared" si="0"/>
        <v>0</v>
      </c>
      <c r="BI13" s="75">
        <f t="shared" si="0"/>
        <v>0</v>
      </c>
      <c r="BJ13" s="75">
        <f t="shared" si="0"/>
        <v>0</v>
      </c>
      <c r="BK13" s="76">
        <f t="shared" si="0"/>
        <v>0</v>
      </c>
      <c r="BL13" s="781">
        <f t="shared" si="0"/>
        <v>11820187</v>
      </c>
      <c r="BM13" s="74">
        <f t="shared" si="0"/>
        <v>7989758</v>
      </c>
      <c r="BN13" s="74">
        <f t="shared" si="0"/>
        <v>5625099</v>
      </c>
      <c r="BO13" s="74">
        <f t="shared" si="0"/>
        <v>2364659</v>
      </c>
      <c r="BP13" s="74">
        <f t="shared" si="0"/>
        <v>770000</v>
      </c>
      <c r="BQ13" s="74">
        <f t="shared" si="0"/>
        <v>600000</v>
      </c>
      <c r="BR13" s="74">
        <f t="shared" si="0"/>
        <v>170000</v>
      </c>
      <c r="BS13" s="74">
        <f t="shared" si="0"/>
        <v>2960798</v>
      </c>
      <c r="BT13" s="74">
        <f t="shared" si="0"/>
        <v>79898</v>
      </c>
      <c r="BU13" s="74">
        <f t="shared" si="0"/>
        <v>19733</v>
      </c>
      <c r="BV13" s="75">
        <f t="shared" si="0"/>
        <v>17.79</v>
      </c>
      <c r="BW13" s="75">
        <f t="shared" si="0"/>
        <v>10.18</v>
      </c>
      <c r="BX13" s="76">
        <f t="shared" si="0"/>
        <v>7.6100000000000012</v>
      </c>
      <c r="BY13" s="791">
        <f t="shared" ref="BY13:CJ13" si="1">SUM(BY12)</f>
        <v>0</v>
      </c>
      <c r="BZ13" s="679">
        <f t="shared" si="1"/>
        <v>0</v>
      </c>
      <c r="CA13" s="679">
        <f t="shared" si="1"/>
        <v>0</v>
      </c>
      <c r="CB13" s="679">
        <f t="shared" si="1"/>
        <v>0</v>
      </c>
      <c r="CC13" s="679">
        <f t="shared" si="1"/>
        <v>0</v>
      </c>
      <c r="CD13" s="947">
        <f t="shared" si="1"/>
        <v>0</v>
      </c>
      <c r="CE13" s="956">
        <f t="shared" si="1"/>
        <v>0</v>
      </c>
      <c r="CF13" s="953">
        <f t="shared" si="1"/>
        <v>0</v>
      </c>
      <c r="CG13" s="953">
        <f t="shared" si="1"/>
        <v>0</v>
      </c>
      <c r="CH13" s="953">
        <f t="shared" si="1"/>
        <v>0</v>
      </c>
      <c r="CI13" s="953">
        <f t="shared" si="1"/>
        <v>0</v>
      </c>
      <c r="CJ13" s="877">
        <f t="shared" si="1"/>
        <v>0</v>
      </c>
    </row>
    <row r="14" spans="1:88" ht="14.1" customHeight="1">
      <c r="A14" s="66">
        <v>2</v>
      </c>
      <c r="B14" s="63">
        <v>2415</v>
      </c>
      <c r="C14" s="64">
        <v>600079465</v>
      </c>
      <c r="D14" s="63">
        <v>72742186</v>
      </c>
      <c r="E14" s="65" t="s">
        <v>536</v>
      </c>
      <c r="F14" s="66">
        <v>3111</v>
      </c>
      <c r="G14" s="65" t="s">
        <v>290</v>
      </c>
      <c r="H14" s="67" t="s">
        <v>271</v>
      </c>
      <c r="I14" s="419">
        <v>8361538</v>
      </c>
      <c r="J14" s="414">
        <v>6111630</v>
      </c>
      <c r="K14" s="414">
        <v>5409671</v>
      </c>
      <c r="L14" s="414">
        <v>701959</v>
      </c>
      <c r="M14" s="414">
        <v>60000</v>
      </c>
      <c r="N14" s="414">
        <v>60000</v>
      </c>
      <c r="O14" s="414">
        <v>0</v>
      </c>
      <c r="P14" s="595">
        <v>2086011</v>
      </c>
      <c r="Q14" s="595">
        <v>61117</v>
      </c>
      <c r="R14" s="414">
        <v>42780</v>
      </c>
      <c r="S14" s="415">
        <v>11.687899999999999</v>
      </c>
      <c r="T14" s="415">
        <v>9.2532999999999994</v>
      </c>
      <c r="U14" s="422">
        <v>2.4346000000000001</v>
      </c>
      <c r="V14" s="423">
        <f t="shared" ref="V14:V77" si="2">AH14*-1</f>
        <v>0</v>
      </c>
      <c r="W14" s="417">
        <f t="shared" ref="W14:W77" si="3">AI14*-1</f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ref="AE14:AE77" si="4">V14+X14+Y14+Z14+AC14</f>
        <v>0</v>
      </c>
      <c r="AF14" s="417">
        <f t="shared" ref="AF14:AF77" si="5">W14+AA14+AD14+AB14</f>
        <v>0</v>
      </c>
      <c r="AG14" s="417">
        <f t="shared" ref="AG14:AG77" si="6">SUM(AE14:AF14)</f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7" si="7">AH14+AJ14+AK14</f>
        <v>0</v>
      </c>
      <c r="AN14" s="417">
        <f t="shared" ref="AN14:AN77" si="8">AI14+AL14</f>
        <v>0</v>
      </c>
      <c r="AO14" s="417">
        <f t="shared" ref="AO14:AO77" si="9">SUM(AM14:AN14)</f>
        <v>0</v>
      </c>
      <c r="AP14" s="417">
        <f t="shared" ref="AP14:AP77" si="10">AE14+AM14</f>
        <v>0</v>
      </c>
      <c r="AQ14" s="417">
        <f t="shared" ref="AQ14:AQ77" si="11">AF14+AN14</f>
        <v>0</v>
      </c>
      <c r="AR14" s="417">
        <f t="shared" ref="AR14:AR77" si="12">SUM(AP14:AQ14)</f>
        <v>0</v>
      </c>
      <c r="AS14" s="68">
        <f t="shared" ref="AS14:AS77" si="13">ROUND((AG14+AH14+AI14+AJ14)*33.8%,0)</f>
        <v>0</v>
      </c>
      <c r="AT14" s="68">
        <f t="shared" ref="AT14:AT77" si="14">ROUND(AG14*1%,0)</f>
        <v>0</v>
      </c>
      <c r="AU14" s="417">
        <v>0</v>
      </c>
      <c r="AV14" s="417">
        <v>0</v>
      </c>
      <c r="AW14" s="417">
        <v>0</v>
      </c>
      <c r="AX14" s="417">
        <f t="shared" ref="AX14:AX77" si="15">SUM(AU14:AW14)</f>
        <v>0</v>
      </c>
      <c r="AY14" s="417">
        <f t="shared" ref="AY14:AY77" si="16">AR14+AS14+AT14+AX14</f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ref="BI14:BI77" si="17">AZ14+BB14+BC14+BE14+BG14</f>
        <v>0</v>
      </c>
      <c r="BJ14" s="418">
        <f t="shared" ref="BJ14:BJ77" si="18">BA14+BD14+BH14+BF14</f>
        <v>0</v>
      </c>
      <c r="BK14" s="420">
        <f t="shared" ref="BK14:BK77" si="19">SUM(BI14:BJ14)</f>
        <v>0</v>
      </c>
      <c r="BL14" s="772">
        <f>I14+AY14</f>
        <v>8361538</v>
      </c>
      <c r="BM14" s="417">
        <f>J14+AG14</f>
        <v>6111630</v>
      </c>
      <c r="BN14" s="417">
        <f t="shared" ref="BN14:BO17" si="20">K14+AE14</f>
        <v>5409671</v>
      </c>
      <c r="BO14" s="417">
        <f t="shared" si="20"/>
        <v>701959</v>
      </c>
      <c r="BP14" s="417">
        <f>M14+AO14</f>
        <v>60000</v>
      </c>
      <c r="BQ14" s="417">
        <f t="shared" ref="BQ14:BR17" si="21">N14+AM14</f>
        <v>60000</v>
      </c>
      <c r="BR14" s="417">
        <f t="shared" si="21"/>
        <v>0</v>
      </c>
      <c r="BS14" s="417">
        <f t="shared" ref="BS14:BT17" si="22">P14+AS14</f>
        <v>2086011</v>
      </c>
      <c r="BT14" s="417">
        <f t="shared" si="22"/>
        <v>61117</v>
      </c>
      <c r="BU14" s="417">
        <f>R14+AX14</f>
        <v>42780</v>
      </c>
      <c r="BV14" s="418">
        <f>S14+BK14</f>
        <v>11.687899999999999</v>
      </c>
      <c r="BW14" s="418">
        <f t="shared" ref="BW14:BX17" si="23">T14+BI14</f>
        <v>9.2532999999999994</v>
      </c>
      <c r="BX14" s="420">
        <f t="shared" si="23"/>
        <v>2.4346000000000001</v>
      </c>
      <c r="BY14" s="419"/>
      <c r="BZ14" s="414"/>
      <c r="CA14" s="414"/>
      <c r="CB14" s="414"/>
      <c r="CC14" s="414"/>
      <c r="CD14" s="422"/>
      <c r="CE14" s="419">
        <f t="shared" ref="CE14:CE77" si="24">SUM(CF14:CI14)</f>
        <v>322193</v>
      </c>
      <c r="CF14" s="414">
        <v>228453</v>
      </c>
      <c r="CG14" s="414">
        <v>77217</v>
      </c>
      <c r="CH14" s="414">
        <v>2285</v>
      </c>
      <c r="CI14" s="414">
        <v>14238</v>
      </c>
      <c r="CJ14" s="509">
        <v>0.78120000000000001</v>
      </c>
    </row>
    <row r="15" spans="1:88" ht="14.1" customHeight="1">
      <c r="A15" s="66">
        <v>2</v>
      </c>
      <c r="B15" s="63">
        <v>2415</v>
      </c>
      <c r="C15" s="64">
        <v>600079465</v>
      </c>
      <c r="D15" s="63">
        <v>72742186</v>
      </c>
      <c r="E15" s="65" t="s">
        <v>536</v>
      </c>
      <c r="F15" s="66">
        <v>3111</v>
      </c>
      <c r="G15" s="43" t="s">
        <v>292</v>
      </c>
      <c r="H15" s="67" t="s">
        <v>271</v>
      </c>
      <c r="I15" s="419">
        <v>484125</v>
      </c>
      <c r="J15" s="414">
        <v>319440</v>
      </c>
      <c r="K15" s="414">
        <v>319440</v>
      </c>
      <c r="L15" s="414">
        <v>0</v>
      </c>
      <c r="M15" s="414">
        <v>40000</v>
      </c>
      <c r="N15" s="414">
        <v>30000</v>
      </c>
      <c r="O15" s="414">
        <v>10000</v>
      </c>
      <c r="P15" s="595">
        <v>121491</v>
      </c>
      <c r="Q15" s="595">
        <v>3194</v>
      </c>
      <c r="R15" s="414">
        <v>0</v>
      </c>
      <c r="S15" s="415">
        <v>0.97</v>
      </c>
      <c r="T15" s="415">
        <v>0.97</v>
      </c>
      <c r="U15" s="422">
        <v>0</v>
      </c>
      <c r="V15" s="423">
        <f t="shared" si="2"/>
        <v>0</v>
      </c>
      <c r="W15" s="417">
        <f t="shared" si="3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4"/>
        <v>0</v>
      </c>
      <c r="AF15" s="417">
        <f t="shared" si="5"/>
        <v>0</v>
      </c>
      <c r="AG15" s="417">
        <f t="shared" si="6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7"/>
        <v>0</v>
      </c>
      <c r="AN15" s="417">
        <f t="shared" si="8"/>
        <v>0</v>
      </c>
      <c r="AO15" s="417">
        <f t="shared" si="9"/>
        <v>0</v>
      </c>
      <c r="AP15" s="417">
        <f t="shared" si="10"/>
        <v>0</v>
      </c>
      <c r="AQ15" s="417">
        <f t="shared" si="11"/>
        <v>0</v>
      </c>
      <c r="AR15" s="417">
        <f t="shared" si="12"/>
        <v>0</v>
      </c>
      <c r="AS15" s="68">
        <f t="shared" si="13"/>
        <v>0</v>
      </c>
      <c r="AT15" s="68">
        <f t="shared" si="14"/>
        <v>0</v>
      </c>
      <c r="AU15" s="417">
        <v>0</v>
      </c>
      <c r="AV15" s="417">
        <v>0</v>
      </c>
      <c r="AW15" s="417">
        <v>0</v>
      </c>
      <c r="AX15" s="417">
        <f t="shared" si="15"/>
        <v>0</v>
      </c>
      <c r="AY15" s="417">
        <f t="shared" si="16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7"/>
        <v>0</v>
      </c>
      <c r="BJ15" s="418">
        <f t="shared" si="18"/>
        <v>0</v>
      </c>
      <c r="BK15" s="420">
        <f t="shared" si="19"/>
        <v>0</v>
      </c>
      <c r="BL15" s="772">
        <f>I15+AY15</f>
        <v>484125</v>
      </c>
      <c r="BM15" s="417">
        <f>J15+AG15</f>
        <v>319440</v>
      </c>
      <c r="BN15" s="417">
        <f t="shared" si="20"/>
        <v>319440</v>
      </c>
      <c r="BO15" s="417">
        <f t="shared" si="20"/>
        <v>0</v>
      </c>
      <c r="BP15" s="417">
        <f>M15+AO15</f>
        <v>40000</v>
      </c>
      <c r="BQ15" s="417">
        <f t="shared" si="21"/>
        <v>30000</v>
      </c>
      <c r="BR15" s="417">
        <f t="shared" si="21"/>
        <v>10000</v>
      </c>
      <c r="BS15" s="417">
        <f t="shared" si="22"/>
        <v>121491</v>
      </c>
      <c r="BT15" s="417">
        <f t="shared" si="22"/>
        <v>3194</v>
      </c>
      <c r="BU15" s="417">
        <f>R15+AX15</f>
        <v>0</v>
      </c>
      <c r="BV15" s="418">
        <f>S15+BK15</f>
        <v>0.97</v>
      </c>
      <c r="BW15" s="418">
        <f t="shared" si="23"/>
        <v>0.97</v>
      </c>
      <c r="BX15" s="420">
        <f t="shared" si="23"/>
        <v>0</v>
      </c>
      <c r="BY15" s="419"/>
      <c r="BZ15" s="414"/>
      <c r="CA15" s="414"/>
      <c r="CB15" s="414"/>
      <c r="CC15" s="414"/>
      <c r="CD15" s="422"/>
      <c r="CE15" s="419">
        <f t="shared" si="24"/>
        <v>0</v>
      </c>
      <c r="CF15" s="414">
        <v>0</v>
      </c>
      <c r="CG15" s="414">
        <v>0</v>
      </c>
      <c r="CH15" s="414">
        <v>0</v>
      </c>
      <c r="CI15" s="414">
        <v>0</v>
      </c>
      <c r="CJ15" s="509">
        <v>0</v>
      </c>
    </row>
    <row r="16" spans="1:88" ht="14.1" customHeight="1">
      <c r="A16" s="66">
        <v>2</v>
      </c>
      <c r="B16" s="63">
        <v>2415</v>
      </c>
      <c r="C16" s="64">
        <v>600079465</v>
      </c>
      <c r="D16" s="63">
        <v>72742186</v>
      </c>
      <c r="E16" s="65" t="s">
        <v>536</v>
      </c>
      <c r="F16" s="66">
        <v>3111</v>
      </c>
      <c r="G16" s="65" t="s">
        <v>291</v>
      </c>
      <c r="H16" s="67" t="s">
        <v>272</v>
      </c>
      <c r="I16" s="419">
        <v>1275276</v>
      </c>
      <c r="J16" s="414">
        <v>943454</v>
      </c>
      <c r="K16" s="414">
        <v>943454</v>
      </c>
      <c r="L16" s="414">
        <v>0</v>
      </c>
      <c r="M16" s="414">
        <v>0</v>
      </c>
      <c r="N16" s="414">
        <v>0</v>
      </c>
      <c r="O16" s="414">
        <v>0</v>
      </c>
      <c r="P16" s="595">
        <v>318887</v>
      </c>
      <c r="Q16" s="595">
        <v>9435</v>
      </c>
      <c r="R16" s="414">
        <v>3500</v>
      </c>
      <c r="S16" s="415">
        <v>2.57</v>
      </c>
      <c r="T16" s="416">
        <v>2.57</v>
      </c>
      <c r="U16" s="422">
        <v>0</v>
      </c>
      <c r="V16" s="423">
        <f t="shared" si="2"/>
        <v>0</v>
      </c>
      <c r="W16" s="417">
        <f t="shared" si="3"/>
        <v>0</v>
      </c>
      <c r="X16" s="417">
        <v>2060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4"/>
        <v>2060</v>
      </c>
      <c r="AF16" s="417">
        <f t="shared" si="5"/>
        <v>0</v>
      </c>
      <c r="AG16" s="417">
        <f t="shared" si="6"/>
        <v>2060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7"/>
        <v>0</v>
      </c>
      <c r="AN16" s="417">
        <f t="shared" si="8"/>
        <v>0</v>
      </c>
      <c r="AO16" s="417">
        <f t="shared" si="9"/>
        <v>0</v>
      </c>
      <c r="AP16" s="417">
        <f t="shared" si="10"/>
        <v>2060</v>
      </c>
      <c r="AQ16" s="417">
        <f t="shared" si="11"/>
        <v>0</v>
      </c>
      <c r="AR16" s="417">
        <f t="shared" si="12"/>
        <v>2060</v>
      </c>
      <c r="AS16" s="68">
        <f t="shared" si="13"/>
        <v>696</v>
      </c>
      <c r="AT16" s="68">
        <f t="shared" si="14"/>
        <v>21</v>
      </c>
      <c r="AU16" s="417">
        <v>0</v>
      </c>
      <c r="AV16" s="417">
        <v>0</v>
      </c>
      <c r="AW16" s="417">
        <v>0</v>
      </c>
      <c r="AX16" s="417">
        <f t="shared" si="15"/>
        <v>0</v>
      </c>
      <c r="AY16" s="417">
        <f t="shared" si="16"/>
        <v>2777</v>
      </c>
      <c r="AZ16" s="418">
        <v>0</v>
      </c>
      <c r="BA16" s="418">
        <v>0</v>
      </c>
      <c r="BB16" s="418">
        <v>-0.08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-0.08</v>
      </c>
      <c r="BJ16" s="418">
        <f t="shared" si="18"/>
        <v>0</v>
      </c>
      <c r="BK16" s="420">
        <f t="shared" si="19"/>
        <v>-0.08</v>
      </c>
      <c r="BL16" s="772">
        <f>I16+AY16</f>
        <v>1278053</v>
      </c>
      <c r="BM16" s="417">
        <f>J16+AG16</f>
        <v>945514</v>
      </c>
      <c r="BN16" s="417">
        <f t="shared" si="20"/>
        <v>945514</v>
      </c>
      <c r="BO16" s="417">
        <f t="shared" si="20"/>
        <v>0</v>
      </c>
      <c r="BP16" s="417">
        <f>M16+AO16</f>
        <v>0</v>
      </c>
      <c r="BQ16" s="417">
        <f t="shared" si="21"/>
        <v>0</v>
      </c>
      <c r="BR16" s="417">
        <f t="shared" si="21"/>
        <v>0</v>
      </c>
      <c r="BS16" s="417">
        <f t="shared" si="22"/>
        <v>319583</v>
      </c>
      <c r="BT16" s="417">
        <f t="shared" si="22"/>
        <v>9456</v>
      </c>
      <c r="BU16" s="417">
        <f>R16+AX16</f>
        <v>3500</v>
      </c>
      <c r="BV16" s="418">
        <f>S16+BK16</f>
        <v>2.4899999999999998</v>
      </c>
      <c r="BW16" s="418">
        <f t="shared" si="23"/>
        <v>2.4899999999999998</v>
      </c>
      <c r="BX16" s="420">
        <f t="shared" si="23"/>
        <v>0</v>
      </c>
      <c r="BY16" s="419"/>
      <c r="BZ16" s="414"/>
      <c r="CA16" s="414"/>
      <c r="CB16" s="414"/>
      <c r="CC16" s="414"/>
      <c r="CD16" s="422"/>
      <c r="CE16" s="419">
        <f t="shared" si="24"/>
        <v>0</v>
      </c>
      <c r="CF16" s="414">
        <v>0</v>
      </c>
      <c r="CG16" s="414">
        <v>0</v>
      </c>
      <c r="CH16" s="414">
        <v>0</v>
      </c>
      <c r="CI16" s="414">
        <v>0</v>
      </c>
      <c r="CJ16" s="509">
        <v>0</v>
      </c>
    </row>
    <row r="17" spans="1:88" ht="14.1" customHeight="1">
      <c r="A17" s="66">
        <v>2</v>
      </c>
      <c r="B17" s="63">
        <v>2415</v>
      </c>
      <c r="C17" s="64">
        <v>600079465</v>
      </c>
      <c r="D17" s="63">
        <v>72742186</v>
      </c>
      <c r="E17" s="65" t="s">
        <v>536</v>
      </c>
      <c r="F17" s="66">
        <v>3141</v>
      </c>
      <c r="G17" s="65" t="s">
        <v>294</v>
      </c>
      <c r="H17" s="67" t="s">
        <v>272</v>
      </c>
      <c r="I17" s="419">
        <v>939878</v>
      </c>
      <c r="J17" s="414">
        <v>674379</v>
      </c>
      <c r="K17" s="414">
        <v>0</v>
      </c>
      <c r="L17" s="744">
        <v>674379</v>
      </c>
      <c r="M17" s="414">
        <v>20000</v>
      </c>
      <c r="N17" s="204">
        <v>0</v>
      </c>
      <c r="O17" s="204">
        <v>20000</v>
      </c>
      <c r="P17" s="595">
        <v>234700</v>
      </c>
      <c r="Q17" s="595">
        <v>6743</v>
      </c>
      <c r="R17" s="601">
        <v>4056</v>
      </c>
      <c r="S17" s="415">
        <v>2.0467</v>
      </c>
      <c r="T17" s="603">
        <v>0</v>
      </c>
      <c r="U17" s="731">
        <v>2.0467</v>
      </c>
      <c r="V17" s="423">
        <f t="shared" si="2"/>
        <v>0</v>
      </c>
      <c r="W17" s="417">
        <f t="shared" si="3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4"/>
        <v>0</v>
      </c>
      <c r="AF17" s="417">
        <f t="shared" si="5"/>
        <v>0</v>
      </c>
      <c r="AG17" s="417">
        <f t="shared" si="6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7"/>
        <v>0</v>
      </c>
      <c r="AN17" s="417">
        <f t="shared" si="8"/>
        <v>0</v>
      </c>
      <c r="AO17" s="417">
        <f t="shared" si="9"/>
        <v>0</v>
      </c>
      <c r="AP17" s="417">
        <f t="shared" si="10"/>
        <v>0</v>
      </c>
      <c r="AQ17" s="417">
        <f t="shared" si="11"/>
        <v>0</v>
      </c>
      <c r="AR17" s="417">
        <f t="shared" si="12"/>
        <v>0</v>
      </c>
      <c r="AS17" s="68">
        <f t="shared" si="13"/>
        <v>0</v>
      </c>
      <c r="AT17" s="68">
        <f t="shared" si="14"/>
        <v>0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0</v>
      </c>
      <c r="BJ17" s="418">
        <f t="shared" si="18"/>
        <v>0</v>
      </c>
      <c r="BK17" s="420">
        <f t="shared" si="19"/>
        <v>0</v>
      </c>
      <c r="BL17" s="772">
        <f>I17+AY17</f>
        <v>939878</v>
      </c>
      <c r="BM17" s="417">
        <f>J17+AG17</f>
        <v>674379</v>
      </c>
      <c r="BN17" s="417">
        <f t="shared" si="20"/>
        <v>0</v>
      </c>
      <c r="BO17" s="417">
        <f t="shared" si="20"/>
        <v>674379</v>
      </c>
      <c r="BP17" s="417">
        <f>M17+AO17</f>
        <v>20000</v>
      </c>
      <c r="BQ17" s="417">
        <f t="shared" si="21"/>
        <v>0</v>
      </c>
      <c r="BR17" s="417">
        <f t="shared" si="21"/>
        <v>20000</v>
      </c>
      <c r="BS17" s="417">
        <f t="shared" si="22"/>
        <v>234700</v>
      </c>
      <c r="BT17" s="417">
        <f t="shared" si="22"/>
        <v>6743</v>
      </c>
      <c r="BU17" s="417">
        <f>R17+AX17</f>
        <v>4056</v>
      </c>
      <c r="BV17" s="418">
        <f>S17+BK17</f>
        <v>2.0467</v>
      </c>
      <c r="BW17" s="418">
        <f t="shared" si="23"/>
        <v>0</v>
      </c>
      <c r="BX17" s="420">
        <f t="shared" si="23"/>
        <v>2.0467</v>
      </c>
      <c r="BY17" s="419"/>
      <c r="BZ17" s="414"/>
      <c r="CA17" s="414"/>
      <c r="CB17" s="414"/>
      <c r="CC17" s="414"/>
      <c r="CD17" s="422"/>
      <c r="CE17" s="419">
        <f t="shared" si="24"/>
        <v>0</v>
      </c>
      <c r="CF17" s="414">
        <v>0</v>
      </c>
      <c r="CG17" s="414">
        <v>0</v>
      </c>
      <c r="CH17" s="414">
        <v>0</v>
      </c>
      <c r="CI17" s="414">
        <v>0</v>
      </c>
      <c r="CJ17" s="509">
        <v>0</v>
      </c>
    </row>
    <row r="18" spans="1:88" ht="14.1" customHeight="1">
      <c r="A18" s="72">
        <v>2</v>
      </c>
      <c r="B18" s="69">
        <v>2415</v>
      </c>
      <c r="C18" s="70">
        <v>600079465</v>
      </c>
      <c r="D18" s="69">
        <v>72742186</v>
      </c>
      <c r="E18" s="71" t="s">
        <v>537</v>
      </c>
      <c r="F18" s="72"/>
      <c r="G18" s="71"/>
      <c r="H18" s="73"/>
      <c r="I18" s="516">
        <v>11060817</v>
      </c>
      <c r="J18" s="74">
        <v>8048903</v>
      </c>
      <c r="K18" s="74">
        <v>6672565</v>
      </c>
      <c r="L18" s="74">
        <v>1376338</v>
      </c>
      <c r="M18" s="74">
        <v>120000</v>
      </c>
      <c r="N18" s="74">
        <v>90000</v>
      </c>
      <c r="O18" s="74">
        <v>30000</v>
      </c>
      <c r="P18" s="74">
        <v>2761089</v>
      </c>
      <c r="Q18" s="74">
        <v>80489</v>
      </c>
      <c r="R18" s="74">
        <v>50336</v>
      </c>
      <c r="S18" s="75">
        <v>17.2746</v>
      </c>
      <c r="T18" s="75">
        <v>12.7933</v>
      </c>
      <c r="U18" s="653">
        <v>4.4813000000000001</v>
      </c>
      <c r="V18" s="516">
        <f t="shared" ref="V18:BX18" si="25">SUM(V14:V17)</f>
        <v>0</v>
      </c>
      <c r="W18" s="74">
        <f t="shared" si="25"/>
        <v>0</v>
      </c>
      <c r="X18" s="74">
        <f t="shared" si="25"/>
        <v>2060</v>
      </c>
      <c r="Y18" s="74">
        <f t="shared" si="25"/>
        <v>0</v>
      </c>
      <c r="Z18" s="74">
        <f t="shared" si="25"/>
        <v>0</v>
      </c>
      <c r="AA18" s="74">
        <f t="shared" si="25"/>
        <v>0</v>
      </c>
      <c r="AB18" s="74">
        <f t="shared" si="25"/>
        <v>0</v>
      </c>
      <c r="AC18" s="74">
        <f t="shared" si="25"/>
        <v>0</v>
      </c>
      <c r="AD18" s="74">
        <f t="shared" si="25"/>
        <v>0</v>
      </c>
      <c r="AE18" s="74">
        <f t="shared" si="25"/>
        <v>2060</v>
      </c>
      <c r="AF18" s="74">
        <f t="shared" si="25"/>
        <v>0</v>
      </c>
      <c r="AG18" s="74">
        <f t="shared" si="25"/>
        <v>2060</v>
      </c>
      <c r="AH18" s="74">
        <f t="shared" si="25"/>
        <v>0</v>
      </c>
      <c r="AI18" s="74">
        <f t="shared" si="25"/>
        <v>0</v>
      </c>
      <c r="AJ18" s="74">
        <f t="shared" si="25"/>
        <v>0</v>
      </c>
      <c r="AK18" s="74">
        <f t="shared" si="25"/>
        <v>0</v>
      </c>
      <c r="AL18" s="74">
        <f t="shared" si="25"/>
        <v>0</v>
      </c>
      <c r="AM18" s="74">
        <f t="shared" si="25"/>
        <v>0</v>
      </c>
      <c r="AN18" s="74">
        <f t="shared" si="25"/>
        <v>0</v>
      </c>
      <c r="AO18" s="74">
        <f t="shared" si="25"/>
        <v>0</v>
      </c>
      <c r="AP18" s="74">
        <f t="shared" si="25"/>
        <v>2060</v>
      </c>
      <c r="AQ18" s="74">
        <f t="shared" si="25"/>
        <v>0</v>
      </c>
      <c r="AR18" s="74">
        <f t="shared" si="25"/>
        <v>2060</v>
      </c>
      <c r="AS18" s="74">
        <f t="shared" si="25"/>
        <v>696</v>
      </c>
      <c r="AT18" s="74">
        <f t="shared" si="25"/>
        <v>21</v>
      </c>
      <c r="AU18" s="74">
        <f t="shared" si="25"/>
        <v>0</v>
      </c>
      <c r="AV18" s="74">
        <f t="shared" si="25"/>
        <v>0</v>
      </c>
      <c r="AW18" s="74">
        <f t="shared" si="25"/>
        <v>0</v>
      </c>
      <c r="AX18" s="74">
        <f t="shared" si="25"/>
        <v>0</v>
      </c>
      <c r="AY18" s="74">
        <f t="shared" si="25"/>
        <v>2777</v>
      </c>
      <c r="AZ18" s="75">
        <f t="shared" si="25"/>
        <v>0</v>
      </c>
      <c r="BA18" s="75">
        <f t="shared" si="25"/>
        <v>0</v>
      </c>
      <c r="BB18" s="75">
        <f t="shared" si="25"/>
        <v>-0.08</v>
      </c>
      <c r="BC18" s="75">
        <f t="shared" si="25"/>
        <v>0</v>
      </c>
      <c r="BD18" s="75">
        <f t="shared" si="25"/>
        <v>0</v>
      </c>
      <c r="BE18" s="75">
        <f t="shared" si="25"/>
        <v>0</v>
      </c>
      <c r="BF18" s="75">
        <f t="shared" si="25"/>
        <v>0</v>
      </c>
      <c r="BG18" s="75">
        <f t="shared" si="25"/>
        <v>0</v>
      </c>
      <c r="BH18" s="75">
        <f t="shared" si="25"/>
        <v>0</v>
      </c>
      <c r="BI18" s="75">
        <f t="shared" si="25"/>
        <v>-0.08</v>
      </c>
      <c r="BJ18" s="75">
        <f t="shared" si="25"/>
        <v>0</v>
      </c>
      <c r="BK18" s="76">
        <f t="shared" si="25"/>
        <v>-0.08</v>
      </c>
      <c r="BL18" s="781">
        <f t="shared" si="25"/>
        <v>11063594</v>
      </c>
      <c r="BM18" s="74">
        <f t="shared" si="25"/>
        <v>8050963</v>
      </c>
      <c r="BN18" s="74">
        <f t="shared" si="25"/>
        <v>6674625</v>
      </c>
      <c r="BO18" s="74">
        <f t="shared" si="25"/>
        <v>1376338</v>
      </c>
      <c r="BP18" s="74">
        <f t="shared" si="25"/>
        <v>120000</v>
      </c>
      <c r="BQ18" s="74">
        <f t="shared" si="25"/>
        <v>90000</v>
      </c>
      <c r="BR18" s="74">
        <f t="shared" si="25"/>
        <v>30000</v>
      </c>
      <c r="BS18" s="74">
        <f t="shared" si="25"/>
        <v>2761785</v>
      </c>
      <c r="BT18" s="74">
        <f t="shared" si="25"/>
        <v>80510</v>
      </c>
      <c r="BU18" s="74">
        <f t="shared" si="25"/>
        <v>50336</v>
      </c>
      <c r="BV18" s="75">
        <f t="shared" si="25"/>
        <v>17.194600000000001</v>
      </c>
      <c r="BW18" s="75">
        <f t="shared" si="25"/>
        <v>12.7133</v>
      </c>
      <c r="BX18" s="76">
        <f t="shared" si="25"/>
        <v>4.4813000000000001</v>
      </c>
      <c r="BY18" s="791">
        <f t="shared" ref="BY18:CJ18" si="26">SUM(BY14:BY17)</f>
        <v>0</v>
      </c>
      <c r="BZ18" s="679">
        <f t="shared" si="26"/>
        <v>0</v>
      </c>
      <c r="CA18" s="679">
        <f t="shared" si="26"/>
        <v>0</v>
      </c>
      <c r="CB18" s="679">
        <f t="shared" si="26"/>
        <v>0</v>
      </c>
      <c r="CC18" s="679">
        <f t="shared" si="26"/>
        <v>0</v>
      </c>
      <c r="CD18" s="947">
        <f t="shared" si="26"/>
        <v>0</v>
      </c>
      <c r="CE18" s="956">
        <f t="shared" si="26"/>
        <v>322193</v>
      </c>
      <c r="CF18" s="953">
        <f t="shared" si="26"/>
        <v>228453</v>
      </c>
      <c r="CG18" s="953">
        <f t="shared" si="26"/>
        <v>77217</v>
      </c>
      <c r="CH18" s="953">
        <f t="shared" si="26"/>
        <v>2285</v>
      </c>
      <c r="CI18" s="953">
        <f t="shared" si="26"/>
        <v>14238</v>
      </c>
      <c r="CJ18" s="877">
        <f t="shared" si="26"/>
        <v>0.78120000000000001</v>
      </c>
    </row>
    <row r="19" spans="1:88" ht="14.1" customHeight="1">
      <c r="A19" s="66">
        <v>3</v>
      </c>
      <c r="B19" s="63">
        <v>2442</v>
      </c>
      <c r="C19" s="64">
        <v>600079066</v>
      </c>
      <c r="D19" s="63">
        <v>72742101</v>
      </c>
      <c r="E19" s="65" t="s">
        <v>538</v>
      </c>
      <c r="F19" s="66">
        <v>3111</v>
      </c>
      <c r="G19" s="65" t="s">
        <v>290</v>
      </c>
      <c r="H19" s="67" t="s">
        <v>271</v>
      </c>
      <c r="I19" s="419">
        <v>9116583</v>
      </c>
      <c r="J19" s="414">
        <v>6728021</v>
      </c>
      <c r="K19" s="414">
        <v>5868684</v>
      </c>
      <c r="L19" s="414">
        <v>859337</v>
      </c>
      <c r="M19" s="414">
        <v>2400</v>
      </c>
      <c r="N19" s="414">
        <v>0</v>
      </c>
      <c r="O19" s="414">
        <v>2400</v>
      </c>
      <c r="P19" s="595">
        <v>2274882</v>
      </c>
      <c r="Q19" s="595">
        <v>67280</v>
      </c>
      <c r="R19" s="414">
        <v>44000</v>
      </c>
      <c r="S19" s="415">
        <v>12.925400000000002</v>
      </c>
      <c r="T19" s="415">
        <v>10</v>
      </c>
      <c r="U19" s="422">
        <v>2.9253999999999998</v>
      </c>
      <c r="V19" s="423">
        <f t="shared" si="2"/>
        <v>0</v>
      </c>
      <c r="W19" s="417">
        <f t="shared" si="3"/>
        <v>-2400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4"/>
        <v>0</v>
      </c>
      <c r="AF19" s="417">
        <f t="shared" si="5"/>
        <v>-2400</v>
      </c>
      <c r="AG19" s="417">
        <f t="shared" si="6"/>
        <v>-2400</v>
      </c>
      <c r="AH19" s="417">
        <v>0</v>
      </c>
      <c r="AI19" s="417">
        <v>2400</v>
      </c>
      <c r="AJ19" s="417">
        <v>0</v>
      </c>
      <c r="AK19" s="417">
        <v>0</v>
      </c>
      <c r="AL19" s="417">
        <v>0</v>
      </c>
      <c r="AM19" s="417">
        <f t="shared" si="7"/>
        <v>0</v>
      </c>
      <c r="AN19" s="417">
        <f t="shared" si="8"/>
        <v>2400</v>
      </c>
      <c r="AO19" s="417">
        <f t="shared" si="9"/>
        <v>2400</v>
      </c>
      <c r="AP19" s="417">
        <f t="shared" si="10"/>
        <v>0</v>
      </c>
      <c r="AQ19" s="417">
        <f t="shared" si="11"/>
        <v>0</v>
      </c>
      <c r="AR19" s="417">
        <f t="shared" si="12"/>
        <v>0</v>
      </c>
      <c r="AS19" s="68">
        <f t="shared" si="13"/>
        <v>0</v>
      </c>
      <c r="AT19" s="68">
        <f t="shared" si="14"/>
        <v>-24</v>
      </c>
      <c r="AU19" s="417">
        <v>0</v>
      </c>
      <c r="AV19" s="417">
        <v>0</v>
      </c>
      <c r="AW19" s="417">
        <v>0</v>
      </c>
      <c r="AX19" s="417">
        <f t="shared" si="15"/>
        <v>0</v>
      </c>
      <c r="AY19" s="417">
        <f t="shared" si="16"/>
        <v>-24</v>
      </c>
      <c r="AZ19" s="418">
        <v>0</v>
      </c>
      <c r="BA19" s="418">
        <v>-0.01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7"/>
        <v>0</v>
      </c>
      <c r="BJ19" s="418">
        <f t="shared" si="18"/>
        <v>-0.01</v>
      </c>
      <c r="BK19" s="420">
        <f t="shared" si="19"/>
        <v>-0.01</v>
      </c>
      <c r="BL19" s="772">
        <f>I19+AY19</f>
        <v>9116559</v>
      </c>
      <c r="BM19" s="417">
        <f>J19+AG19</f>
        <v>6725621</v>
      </c>
      <c r="BN19" s="417">
        <f t="shared" ref="BN19:BO21" si="27">K19+AE19</f>
        <v>5868684</v>
      </c>
      <c r="BO19" s="417">
        <f t="shared" si="27"/>
        <v>856937</v>
      </c>
      <c r="BP19" s="417">
        <f>M19+AO19</f>
        <v>4800</v>
      </c>
      <c r="BQ19" s="417">
        <f t="shared" ref="BQ19:BR21" si="28">N19+AM19</f>
        <v>0</v>
      </c>
      <c r="BR19" s="417">
        <f t="shared" si="28"/>
        <v>4800</v>
      </c>
      <c r="BS19" s="417">
        <f t="shared" ref="BS19:BT21" si="29">P19+AS19</f>
        <v>2274882</v>
      </c>
      <c r="BT19" s="417">
        <f t="shared" si="29"/>
        <v>67256</v>
      </c>
      <c r="BU19" s="417">
        <f>R19+AX19</f>
        <v>44000</v>
      </c>
      <c r="BV19" s="418">
        <f>S19+BK19</f>
        <v>12.915400000000002</v>
      </c>
      <c r="BW19" s="418">
        <f t="shared" ref="BW19:BX21" si="30">T19+BI19</f>
        <v>10</v>
      </c>
      <c r="BX19" s="420">
        <f t="shared" si="30"/>
        <v>2.9154</v>
      </c>
      <c r="BY19" s="419"/>
      <c r="BZ19" s="414"/>
      <c r="CA19" s="414"/>
      <c r="CB19" s="414"/>
      <c r="CC19" s="414"/>
      <c r="CD19" s="422"/>
      <c r="CE19" s="419">
        <f t="shared" si="24"/>
        <v>387376</v>
      </c>
      <c r="CF19" s="414">
        <v>276518</v>
      </c>
      <c r="CG19" s="414">
        <v>93463</v>
      </c>
      <c r="CH19" s="414">
        <v>2765</v>
      </c>
      <c r="CI19" s="414">
        <v>14630</v>
      </c>
      <c r="CJ19" s="509">
        <v>0.94189999999999996</v>
      </c>
    </row>
    <row r="20" spans="1:88" ht="14.1" customHeight="1">
      <c r="A20" s="66">
        <v>3</v>
      </c>
      <c r="B20" s="63">
        <v>2442</v>
      </c>
      <c r="C20" s="64">
        <v>600079066</v>
      </c>
      <c r="D20" s="63">
        <v>72742101</v>
      </c>
      <c r="E20" s="65" t="s">
        <v>538</v>
      </c>
      <c r="F20" s="66">
        <v>3111</v>
      </c>
      <c r="G20" s="77" t="s">
        <v>291</v>
      </c>
      <c r="H20" s="67" t="s">
        <v>272</v>
      </c>
      <c r="I20" s="419">
        <v>666452</v>
      </c>
      <c r="J20" s="414">
        <v>494401</v>
      </c>
      <c r="K20" s="414">
        <v>494401</v>
      </c>
      <c r="L20" s="414">
        <v>0</v>
      </c>
      <c r="M20" s="414">
        <v>0</v>
      </c>
      <c r="N20" s="414">
        <v>0</v>
      </c>
      <c r="O20" s="414">
        <v>0</v>
      </c>
      <c r="P20" s="595">
        <v>167107</v>
      </c>
      <c r="Q20" s="595">
        <v>4944</v>
      </c>
      <c r="R20" s="414">
        <v>0</v>
      </c>
      <c r="S20" s="415">
        <v>1.33</v>
      </c>
      <c r="T20" s="416">
        <v>1.33</v>
      </c>
      <c r="U20" s="422">
        <v>0</v>
      </c>
      <c r="V20" s="423">
        <f t="shared" si="2"/>
        <v>0</v>
      </c>
      <c r="W20" s="417">
        <f t="shared" si="3"/>
        <v>0</v>
      </c>
      <c r="X20" s="417">
        <v>92700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4"/>
        <v>92700</v>
      </c>
      <c r="AF20" s="417">
        <f t="shared" si="5"/>
        <v>0</v>
      </c>
      <c r="AG20" s="417">
        <f t="shared" si="6"/>
        <v>92700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7"/>
        <v>0</v>
      </c>
      <c r="AN20" s="417">
        <f t="shared" si="8"/>
        <v>0</v>
      </c>
      <c r="AO20" s="417">
        <f t="shared" si="9"/>
        <v>0</v>
      </c>
      <c r="AP20" s="417">
        <f t="shared" si="10"/>
        <v>92700</v>
      </c>
      <c r="AQ20" s="417">
        <f t="shared" si="11"/>
        <v>0</v>
      </c>
      <c r="AR20" s="417">
        <f t="shared" si="12"/>
        <v>92700</v>
      </c>
      <c r="AS20" s="68">
        <f t="shared" si="13"/>
        <v>31333</v>
      </c>
      <c r="AT20" s="68">
        <f t="shared" si="14"/>
        <v>927</v>
      </c>
      <c r="AU20" s="417">
        <v>6500</v>
      </c>
      <c r="AV20" s="417">
        <v>0</v>
      </c>
      <c r="AW20" s="417">
        <v>0</v>
      </c>
      <c r="AX20" s="417">
        <f t="shared" si="15"/>
        <v>6500</v>
      </c>
      <c r="AY20" s="417">
        <f t="shared" si="16"/>
        <v>131460</v>
      </c>
      <c r="AZ20" s="418">
        <v>0</v>
      </c>
      <c r="BA20" s="418">
        <v>0</v>
      </c>
      <c r="BB20" s="418">
        <v>0.25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0.25</v>
      </c>
      <c r="BJ20" s="418">
        <f t="shared" si="18"/>
        <v>0</v>
      </c>
      <c r="BK20" s="420">
        <f t="shared" si="19"/>
        <v>0.25</v>
      </c>
      <c r="BL20" s="772">
        <f>I20+AY20</f>
        <v>797912</v>
      </c>
      <c r="BM20" s="417">
        <f>J20+AG20</f>
        <v>587101</v>
      </c>
      <c r="BN20" s="417">
        <f t="shared" si="27"/>
        <v>587101</v>
      </c>
      <c r="BO20" s="417">
        <f t="shared" si="27"/>
        <v>0</v>
      </c>
      <c r="BP20" s="417">
        <f>M20+AO20</f>
        <v>0</v>
      </c>
      <c r="BQ20" s="417">
        <f t="shared" si="28"/>
        <v>0</v>
      </c>
      <c r="BR20" s="417">
        <f t="shared" si="28"/>
        <v>0</v>
      </c>
      <c r="BS20" s="417">
        <f t="shared" si="29"/>
        <v>198440</v>
      </c>
      <c r="BT20" s="417">
        <f t="shared" si="29"/>
        <v>5871</v>
      </c>
      <c r="BU20" s="417">
        <f>R20+AX20</f>
        <v>6500</v>
      </c>
      <c r="BV20" s="418">
        <f>S20+BK20</f>
        <v>1.58</v>
      </c>
      <c r="BW20" s="418">
        <f t="shared" si="30"/>
        <v>1.58</v>
      </c>
      <c r="BX20" s="420">
        <f t="shared" si="30"/>
        <v>0</v>
      </c>
      <c r="BY20" s="419"/>
      <c r="BZ20" s="414"/>
      <c r="CA20" s="414"/>
      <c r="CB20" s="414"/>
      <c r="CC20" s="414"/>
      <c r="CD20" s="422"/>
      <c r="CE20" s="419">
        <f t="shared" si="24"/>
        <v>0</v>
      </c>
      <c r="CF20" s="414">
        <v>0</v>
      </c>
      <c r="CG20" s="414">
        <v>0</v>
      </c>
      <c r="CH20" s="414">
        <v>0</v>
      </c>
      <c r="CI20" s="414">
        <v>0</v>
      </c>
      <c r="CJ20" s="509">
        <v>0</v>
      </c>
    </row>
    <row r="21" spans="1:88" ht="14.1" customHeight="1">
      <c r="A21" s="66">
        <v>3</v>
      </c>
      <c r="B21" s="63">
        <v>2442</v>
      </c>
      <c r="C21" s="64">
        <v>600079066</v>
      </c>
      <c r="D21" s="63">
        <v>72742101</v>
      </c>
      <c r="E21" s="65" t="s">
        <v>538</v>
      </c>
      <c r="F21" s="66">
        <v>3141</v>
      </c>
      <c r="G21" s="65" t="s">
        <v>294</v>
      </c>
      <c r="H21" s="67" t="s">
        <v>272</v>
      </c>
      <c r="I21" s="419">
        <v>1191993</v>
      </c>
      <c r="J21" s="414">
        <v>880063</v>
      </c>
      <c r="K21" s="414">
        <v>0</v>
      </c>
      <c r="L21" s="744">
        <v>880063</v>
      </c>
      <c r="M21" s="414">
        <v>0</v>
      </c>
      <c r="N21" s="204">
        <v>0</v>
      </c>
      <c r="O21" s="204">
        <v>0</v>
      </c>
      <c r="P21" s="595">
        <v>297462</v>
      </c>
      <c r="Q21" s="595">
        <v>8800</v>
      </c>
      <c r="R21" s="601">
        <v>5668</v>
      </c>
      <c r="S21" s="415">
        <v>2.64</v>
      </c>
      <c r="T21" s="603">
        <v>0</v>
      </c>
      <c r="U21" s="731">
        <v>2.64</v>
      </c>
      <c r="V21" s="423">
        <f t="shared" si="2"/>
        <v>0</v>
      </c>
      <c r="W21" s="417">
        <f t="shared" si="3"/>
        <v>0</v>
      </c>
      <c r="X21" s="417">
        <v>0</v>
      </c>
      <c r="Y21" s="417">
        <v>0</v>
      </c>
      <c r="Z21" s="417">
        <v>0</v>
      </c>
      <c r="AA21" s="417">
        <v>-14045</v>
      </c>
      <c r="AB21" s="417">
        <v>0</v>
      </c>
      <c r="AC21" s="417">
        <v>0</v>
      </c>
      <c r="AD21" s="417">
        <v>0</v>
      </c>
      <c r="AE21" s="417">
        <f t="shared" si="4"/>
        <v>0</v>
      </c>
      <c r="AF21" s="417">
        <f t="shared" si="5"/>
        <v>-14045</v>
      </c>
      <c r="AG21" s="417">
        <f t="shared" si="6"/>
        <v>-14045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7"/>
        <v>0</v>
      </c>
      <c r="AN21" s="417">
        <f t="shared" si="8"/>
        <v>0</v>
      </c>
      <c r="AO21" s="417">
        <f t="shared" si="9"/>
        <v>0</v>
      </c>
      <c r="AP21" s="417">
        <f t="shared" si="10"/>
        <v>0</v>
      </c>
      <c r="AQ21" s="417">
        <f t="shared" si="11"/>
        <v>-14045</v>
      </c>
      <c r="AR21" s="417">
        <f t="shared" si="12"/>
        <v>-14045</v>
      </c>
      <c r="AS21" s="68">
        <f t="shared" si="13"/>
        <v>-4747</v>
      </c>
      <c r="AT21" s="68">
        <f t="shared" si="14"/>
        <v>-140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-18932</v>
      </c>
      <c r="AZ21" s="418">
        <v>0</v>
      </c>
      <c r="BA21" s="418">
        <v>0</v>
      </c>
      <c r="BB21" s="418">
        <v>0</v>
      </c>
      <c r="BC21" s="418">
        <v>0</v>
      </c>
      <c r="BD21" s="418">
        <v>-0.04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0</v>
      </c>
      <c r="BJ21" s="418">
        <f t="shared" si="18"/>
        <v>-0.04</v>
      </c>
      <c r="BK21" s="420">
        <f t="shared" si="19"/>
        <v>-0.04</v>
      </c>
      <c r="BL21" s="772">
        <f>I21+AY21</f>
        <v>1173061</v>
      </c>
      <c r="BM21" s="417">
        <f>J21+AG21</f>
        <v>866018</v>
      </c>
      <c r="BN21" s="417">
        <f t="shared" si="27"/>
        <v>0</v>
      </c>
      <c r="BO21" s="417">
        <f t="shared" si="27"/>
        <v>866018</v>
      </c>
      <c r="BP21" s="417">
        <f>M21+AO21</f>
        <v>0</v>
      </c>
      <c r="BQ21" s="417">
        <f t="shared" si="28"/>
        <v>0</v>
      </c>
      <c r="BR21" s="417">
        <f t="shared" si="28"/>
        <v>0</v>
      </c>
      <c r="BS21" s="417">
        <f t="shared" si="29"/>
        <v>292715</v>
      </c>
      <c r="BT21" s="417">
        <f t="shared" si="29"/>
        <v>8660</v>
      </c>
      <c r="BU21" s="417">
        <f>R21+AX21</f>
        <v>5668</v>
      </c>
      <c r="BV21" s="418">
        <f>S21+BK21</f>
        <v>2.6</v>
      </c>
      <c r="BW21" s="418">
        <f t="shared" si="30"/>
        <v>0</v>
      </c>
      <c r="BX21" s="420">
        <f t="shared" si="30"/>
        <v>2.6</v>
      </c>
      <c r="BY21" s="419"/>
      <c r="BZ21" s="414"/>
      <c r="CA21" s="414"/>
      <c r="CB21" s="414"/>
      <c r="CC21" s="414"/>
      <c r="CD21" s="422"/>
      <c r="CE21" s="419">
        <f t="shared" si="24"/>
        <v>0</v>
      </c>
      <c r="CF21" s="414">
        <v>0</v>
      </c>
      <c r="CG21" s="414">
        <v>0</v>
      </c>
      <c r="CH21" s="414">
        <v>0</v>
      </c>
      <c r="CI21" s="414">
        <v>0</v>
      </c>
      <c r="CJ21" s="509">
        <v>0</v>
      </c>
    </row>
    <row r="22" spans="1:88" ht="14.1" customHeight="1">
      <c r="A22" s="72">
        <v>3</v>
      </c>
      <c r="B22" s="69">
        <v>2442</v>
      </c>
      <c r="C22" s="70">
        <v>600079066</v>
      </c>
      <c r="D22" s="69">
        <v>72742101</v>
      </c>
      <c r="E22" s="71" t="s">
        <v>539</v>
      </c>
      <c r="F22" s="72"/>
      <c r="G22" s="71"/>
      <c r="H22" s="73"/>
      <c r="I22" s="516">
        <v>10975028</v>
      </c>
      <c r="J22" s="74">
        <v>8102485</v>
      </c>
      <c r="K22" s="74">
        <v>6363085</v>
      </c>
      <c r="L22" s="74">
        <v>1739400</v>
      </c>
      <c r="M22" s="74">
        <v>2400</v>
      </c>
      <c r="N22" s="74">
        <v>0</v>
      </c>
      <c r="O22" s="74">
        <v>2400</v>
      </c>
      <c r="P22" s="74">
        <v>2739451</v>
      </c>
      <c r="Q22" s="74">
        <v>81024</v>
      </c>
      <c r="R22" s="74">
        <v>49668</v>
      </c>
      <c r="S22" s="75">
        <v>16.895400000000002</v>
      </c>
      <c r="T22" s="75">
        <v>11.33</v>
      </c>
      <c r="U22" s="653">
        <v>5.5654000000000003</v>
      </c>
      <c r="V22" s="516">
        <f t="shared" ref="V22:BX22" si="31">SUM(V19:V21)</f>
        <v>0</v>
      </c>
      <c r="W22" s="74">
        <f t="shared" si="31"/>
        <v>-2400</v>
      </c>
      <c r="X22" s="74">
        <f t="shared" si="31"/>
        <v>92700</v>
      </c>
      <c r="Y22" s="74">
        <f t="shared" si="31"/>
        <v>0</v>
      </c>
      <c r="Z22" s="74">
        <f t="shared" si="31"/>
        <v>0</v>
      </c>
      <c r="AA22" s="74">
        <f t="shared" si="31"/>
        <v>-14045</v>
      </c>
      <c r="AB22" s="74">
        <f t="shared" si="31"/>
        <v>0</v>
      </c>
      <c r="AC22" s="74">
        <f t="shared" si="31"/>
        <v>0</v>
      </c>
      <c r="AD22" s="74">
        <f t="shared" si="31"/>
        <v>0</v>
      </c>
      <c r="AE22" s="74">
        <f t="shared" si="31"/>
        <v>92700</v>
      </c>
      <c r="AF22" s="74">
        <f t="shared" si="31"/>
        <v>-16445</v>
      </c>
      <c r="AG22" s="74">
        <f t="shared" si="31"/>
        <v>76255</v>
      </c>
      <c r="AH22" s="74">
        <f t="shared" si="31"/>
        <v>0</v>
      </c>
      <c r="AI22" s="74">
        <f t="shared" si="31"/>
        <v>2400</v>
      </c>
      <c r="AJ22" s="74">
        <f t="shared" si="31"/>
        <v>0</v>
      </c>
      <c r="AK22" s="74">
        <f t="shared" si="31"/>
        <v>0</v>
      </c>
      <c r="AL22" s="74">
        <f t="shared" si="31"/>
        <v>0</v>
      </c>
      <c r="AM22" s="74">
        <f t="shared" si="31"/>
        <v>0</v>
      </c>
      <c r="AN22" s="74">
        <f t="shared" si="31"/>
        <v>2400</v>
      </c>
      <c r="AO22" s="74">
        <f t="shared" si="31"/>
        <v>2400</v>
      </c>
      <c r="AP22" s="74">
        <f t="shared" si="31"/>
        <v>92700</v>
      </c>
      <c r="AQ22" s="74">
        <f t="shared" si="31"/>
        <v>-14045</v>
      </c>
      <c r="AR22" s="74">
        <f t="shared" si="31"/>
        <v>78655</v>
      </c>
      <c r="AS22" s="74">
        <f t="shared" si="31"/>
        <v>26586</v>
      </c>
      <c r="AT22" s="74">
        <f t="shared" si="31"/>
        <v>763</v>
      </c>
      <c r="AU22" s="74">
        <f t="shared" si="31"/>
        <v>6500</v>
      </c>
      <c r="AV22" s="74">
        <f t="shared" si="31"/>
        <v>0</v>
      </c>
      <c r="AW22" s="74">
        <f t="shared" si="31"/>
        <v>0</v>
      </c>
      <c r="AX22" s="74">
        <f t="shared" si="31"/>
        <v>6500</v>
      </c>
      <c r="AY22" s="74">
        <f t="shared" si="31"/>
        <v>112504</v>
      </c>
      <c r="AZ22" s="75">
        <f t="shared" si="31"/>
        <v>0</v>
      </c>
      <c r="BA22" s="75">
        <f t="shared" si="31"/>
        <v>-0.01</v>
      </c>
      <c r="BB22" s="75">
        <f t="shared" si="31"/>
        <v>0.25</v>
      </c>
      <c r="BC22" s="75">
        <f t="shared" si="31"/>
        <v>0</v>
      </c>
      <c r="BD22" s="75">
        <f t="shared" si="31"/>
        <v>-0.04</v>
      </c>
      <c r="BE22" s="75">
        <f t="shared" si="31"/>
        <v>0</v>
      </c>
      <c r="BF22" s="75">
        <f t="shared" si="31"/>
        <v>0</v>
      </c>
      <c r="BG22" s="75">
        <f t="shared" si="31"/>
        <v>0</v>
      </c>
      <c r="BH22" s="75">
        <f t="shared" si="31"/>
        <v>0</v>
      </c>
      <c r="BI22" s="75">
        <f t="shared" si="31"/>
        <v>0.25</v>
      </c>
      <c r="BJ22" s="75">
        <f t="shared" si="31"/>
        <v>-0.05</v>
      </c>
      <c r="BK22" s="76">
        <f t="shared" si="31"/>
        <v>0.19999999999999998</v>
      </c>
      <c r="BL22" s="781">
        <f t="shared" si="31"/>
        <v>11087532</v>
      </c>
      <c r="BM22" s="74">
        <f t="shared" si="31"/>
        <v>8178740</v>
      </c>
      <c r="BN22" s="74">
        <f t="shared" si="31"/>
        <v>6455785</v>
      </c>
      <c r="BO22" s="74">
        <f t="shared" si="31"/>
        <v>1722955</v>
      </c>
      <c r="BP22" s="74">
        <f t="shared" si="31"/>
        <v>4800</v>
      </c>
      <c r="BQ22" s="74">
        <f t="shared" si="31"/>
        <v>0</v>
      </c>
      <c r="BR22" s="74">
        <f t="shared" si="31"/>
        <v>4800</v>
      </c>
      <c r="BS22" s="74">
        <f t="shared" si="31"/>
        <v>2766037</v>
      </c>
      <c r="BT22" s="74">
        <f t="shared" si="31"/>
        <v>81787</v>
      </c>
      <c r="BU22" s="74">
        <f t="shared" si="31"/>
        <v>56168</v>
      </c>
      <c r="BV22" s="75">
        <f t="shared" si="31"/>
        <v>17.095400000000001</v>
      </c>
      <c r="BW22" s="75">
        <f t="shared" si="31"/>
        <v>11.58</v>
      </c>
      <c r="BX22" s="76">
        <f t="shared" si="31"/>
        <v>5.5153999999999996</v>
      </c>
      <c r="BY22" s="791">
        <f t="shared" ref="BY22:CJ22" si="32">SUM(BY19:BY21)</f>
        <v>0</v>
      </c>
      <c r="BZ22" s="679">
        <f t="shared" si="32"/>
        <v>0</v>
      </c>
      <c r="CA22" s="679">
        <f t="shared" si="32"/>
        <v>0</v>
      </c>
      <c r="CB22" s="679">
        <f t="shared" si="32"/>
        <v>0</v>
      </c>
      <c r="CC22" s="679">
        <f t="shared" si="32"/>
        <v>0</v>
      </c>
      <c r="CD22" s="947">
        <f t="shared" si="32"/>
        <v>0</v>
      </c>
      <c r="CE22" s="956">
        <f t="shared" si="32"/>
        <v>387376</v>
      </c>
      <c r="CF22" s="953">
        <f t="shared" si="32"/>
        <v>276518</v>
      </c>
      <c r="CG22" s="953">
        <f t="shared" si="32"/>
        <v>93463</v>
      </c>
      <c r="CH22" s="953">
        <f t="shared" si="32"/>
        <v>2765</v>
      </c>
      <c r="CI22" s="953">
        <f t="shared" si="32"/>
        <v>14630</v>
      </c>
      <c r="CJ22" s="877">
        <f t="shared" si="32"/>
        <v>0.94189999999999996</v>
      </c>
    </row>
    <row r="23" spans="1:88" ht="14.1" customHeight="1">
      <c r="A23" s="66">
        <v>4</v>
      </c>
      <c r="B23" s="63">
        <v>2437</v>
      </c>
      <c r="C23" s="64">
        <v>600079074</v>
      </c>
      <c r="D23" s="63">
        <v>72743221</v>
      </c>
      <c r="E23" s="65" t="s">
        <v>540</v>
      </c>
      <c r="F23" s="66">
        <v>3111</v>
      </c>
      <c r="G23" s="65" t="s">
        <v>290</v>
      </c>
      <c r="H23" s="67" t="s">
        <v>271</v>
      </c>
      <c r="I23" s="419">
        <v>15036158</v>
      </c>
      <c r="J23" s="414">
        <v>11096876</v>
      </c>
      <c r="K23" s="414">
        <v>9763012</v>
      </c>
      <c r="L23" s="414">
        <v>1333864</v>
      </c>
      <c r="M23" s="414">
        <v>0</v>
      </c>
      <c r="N23" s="414">
        <v>0</v>
      </c>
      <c r="O23" s="414">
        <v>0</v>
      </c>
      <c r="P23" s="595">
        <v>3750744</v>
      </c>
      <c r="Q23" s="595">
        <v>110968</v>
      </c>
      <c r="R23" s="414">
        <v>77570</v>
      </c>
      <c r="S23" s="415">
        <v>21.082099999999997</v>
      </c>
      <c r="T23" s="415">
        <v>16.448399999999999</v>
      </c>
      <c r="U23" s="422">
        <v>4.6337000000000002</v>
      </c>
      <c r="V23" s="423">
        <f t="shared" si="2"/>
        <v>0</v>
      </c>
      <c r="W23" s="417">
        <f t="shared" si="3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4"/>
        <v>0</v>
      </c>
      <c r="AF23" s="417">
        <f t="shared" si="5"/>
        <v>0</v>
      </c>
      <c r="AG23" s="417">
        <f t="shared" si="6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7"/>
        <v>0</v>
      </c>
      <c r="AN23" s="417">
        <f t="shared" si="8"/>
        <v>0</v>
      </c>
      <c r="AO23" s="417">
        <f t="shared" si="9"/>
        <v>0</v>
      </c>
      <c r="AP23" s="417">
        <f t="shared" si="10"/>
        <v>0</v>
      </c>
      <c r="AQ23" s="417">
        <f t="shared" si="11"/>
        <v>0</v>
      </c>
      <c r="AR23" s="417">
        <f t="shared" si="12"/>
        <v>0</v>
      </c>
      <c r="AS23" s="68">
        <f t="shared" si="13"/>
        <v>0</v>
      </c>
      <c r="AT23" s="68">
        <f t="shared" si="14"/>
        <v>0</v>
      </c>
      <c r="AU23" s="417">
        <v>0</v>
      </c>
      <c r="AV23" s="417">
        <v>0</v>
      </c>
      <c r="AW23" s="417">
        <v>0</v>
      </c>
      <c r="AX23" s="417">
        <f t="shared" si="15"/>
        <v>0</v>
      </c>
      <c r="AY23" s="417">
        <f t="shared" si="16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7"/>
        <v>0</v>
      </c>
      <c r="BJ23" s="418">
        <f t="shared" si="18"/>
        <v>0</v>
      </c>
      <c r="BK23" s="420">
        <f t="shared" si="19"/>
        <v>0</v>
      </c>
      <c r="BL23" s="772">
        <f>I23+AY23</f>
        <v>15036158</v>
      </c>
      <c r="BM23" s="417">
        <f>J23+AG23</f>
        <v>11096876</v>
      </c>
      <c r="BN23" s="417">
        <f t="shared" ref="BN23:BO26" si="33">K23+AE23</f>
        <v>9763012</v>
      </c>
      <c r="BO23" s="417">
        <f t="shared" si="33"/>
        <v>1333864</v>
      </c>
      <c r="BP23" s="417">
        <f>M23+AO23</f>
        <v>0</v>
      </c>
      <c r="BQ23" s="417">
        <f t="shared" ref="BQ23:BR26" si="34">N23+AM23</f>
        <v>0</v>
      </c>
      <c r="BR23" s="417">
        <f t="shared" si="34"/>
        <v>0</v>
      </c>
      <c r="BS23" s="417">
        <f t="shared" ref="BS23:BT26" si="35">P23+AS23</f>
        <v>3750744</v>
      </c>
      <c r="BT23" s="417">
        <f t="shared" si="35"/>
        <v>110968</v>
      </c>
      <c r="BU23" s="417">
        <f>R23+AX23</f>
        <v>77570</v>
      </c>
      <c r="BV23" s="418">
        <f>S23+BK23</f>
        <v>21.082099999999997</v>
      </c>
      <c r="BW23" s="418">
        <f t="shared" ref="BW23:BX26" si="36">T23+BI23</f>
        <v>16.448399999999999</v>
      </c>
      <c r="BX23" s="420">
        <f t="shared" si="36"/>
        <v>4.6337000000000002</v>
      </c>
      <c r="BY23" s="419"/>
      <c r="BZ23" s="414"/>
      <c r="CA23" s="414"/>
      <c r="CB23" s="414"/>
      <c r="CC23" s="414"/>
      <c r="CD23" s="422"/>
      <c r="CE23" s="419">
        <f t="shared" si="24"/>
        <v>602751</v>
      </c>
      <c r="CF23" s="414">
        <v>427997</v>
      </c>
      <c r="CG23" s="414">
        <v>144663</v>
      </c>
      <c r="CH23" s="414">
        <v>4280</v>
      </c>
      <c r="CI23" s="414">
        <v>25811</v>
      </c>
      <c r="CJ23" s="509">
        <v>1.4868000000000001</v>
      </c>
    </row>
    <row r="24" spans="1:88" ht="14.1" customHeight="1">
      <c r="A24" s="66">
        <v>4</v>
      </c>
      <c r="B24" s="63">
        <v>2437</v>
      </c>
      <c r="C24" s="64">
        <v>600079074</v>
      </c>
      <c r="D24" s="63">
        <v>72743221</v>
      </c>
      <c r="E24" s="65" t="s">
        <v>540</v>
      </c>
      <c r="F24" s="66">
        <v>3111</v>
      </c>
      <c r="G24" s="43" t="s">
        <v>292</v>
      </c>
      <c r="H24" s="67" t="s">
        <v>271</v>
      </c>
      <c r="I24" s="419">
        <v>1047882</v>
      </c>
      <c r="J24" s="414">
        <v>777360</v>
      </c>
      <c r="K24" s="414">
        <v>777360</v>
      </c>
      <c r="L24" s="414">
        <v>0</v>
      </c>
      <c r="M24" s="414">
        <v>0</v>
      </c>
      <c r="N24" s="414">
        <v>0</v>
      </c>
      <c r="O24" s="414">
        <v>0</v>
      </c>
      <c r="P24" s="595">
        <v>262748</v>
      </c>
      <c r="Q24" s="595">
        <v>7774</v>
      </c>
      <c r="R24" s="414">
        <v>0</v>
      </c>
      <c r="S24" s="415">
        <v>2</v>
      </c>
      <c r="T24" s="415">
        <v>2</v>
      </c>
      <c r="U24" s="422">
        <v>0</v>
      </c>
      <c r="V24" s="423">
        <f t="shared" si="2"/>
        <v>0</v>
      </c>
      <c r="W24" s="417">
        <f t="shared" si="3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4"/>
        <v>0</v>
      </c>
      <c r="AF24" s="417">
        <f t="shared" si="5"/>
        <v>0</v>
      </c>
      <c r="AG24" s="417">
        <f t="shared" si="6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7"/>
        <v>0</v>
      </c>
      <c r="AN24" s="417">
        <f t="shared" si="8"/>
        <v>0</v>
      </c>
      <c r="AO24" s="417">
        <f t="shared" si="9"/>
        <v>0</v>
      </c>
      <c r="AP24" s="417">
        <f t="shared" si="10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>I24+AY24</f>
        <v>1047882</v>
      </c>
      <c r="BM24" s="417">
        <f>J24+AG24</f>
        <v>777360</v>
      </c>
      <c r="BN24" s="417">
        <f t="shared" si="33"/>
        <v>777360</v>
      </c>
      <c r="BO24" s="417">
        <f t="shared" si="33"/>
        <v>0</v>
      </c>
      <c r="BP24" s="417">
        <f>M24+AO24</f>
        <v>0</v>
      </c>
      <c r="BQ24" s="417">
        <f t="shared" si="34"/>
        <v>0</v>
      </c>
      <c r="BR24" s="417">
        <f t="shared" si="34"/>
        <v>0</v>
      </c>
      <c r="BS24" s="417">
        <f t="shared" si="35"/>
        <v>262748</v>
      </c>
      <c r="BT24" s="417">
        <f t="shared" si="35"/>
        <v>7774</v>
      </c>
      <c r="BU24" s="417">
        <f>R24+AX24</f>
        <v>0</v>
      </c>
      <c r="BV24" s="418">
        <f>S24+BK24</f>
        <v>2</v>
      </c>
      <c r="BW24" s="418">
        <f t="shared" si="36"/>
        <v>2</v>
      </c>
      <c r="BX24" s="420">
        <f t="shared" si="36"/>
        <v>0</v>
      </c>
      <c r="BY24" s="419"/>
      <c r="BZ24" s="414"/>
      <c r="CA24" s="414"/>
      <c r="CB24" s="414"/>
      <c r="CC24" s="414"/>
      <c r="CD24" s="422"/>
      <c r="CE24" s="419">
        <f t="shared" si="24"/>
        <v>0</v>
      </c>
      <c r="CF24" s="414">
        <v>0</v>
      </c>
      <c r="CG24" s="414">
        <v>0</v>
      </c>
      <c r="CH24" s="414">
        <v>0</v>
      </c>
      <c r="CI24" s="414">
        <v>0</v>
      </c>
      <c r="CJ24" s="509">
        <v>0</v>
      </c>
    </row>
    <row r="25" spans="1:88" ht="14.1" customHeight="1">
      <c r="A25" s="66">
        <v>4</v>
      </c>
      <c r="B25" s="63">
        <v>2437</v>
      </c>
      <c r="C25" s="64">
        <v>600079074</v>
      </c>
      <c r="D25" s="63">
        <v>72743221</v>
      </c>
      <c r="E25" s="65" t="s">
        <v>540</v>
      </c>
      <c r="F25" s="66">
        <v>3111</v>
      </c>
      <c r="G25" s="77" t="s">
        <v>291</v>
      </c>
      <c r="H25" s="67" t="s">
        <v>272</v>
      </c>
      <c r="I25" s="419">
        <v>499840</v>
      </c>
      <c r="J25" s="414">
        <v>370801</v>
      </c>
      <c r="K25" s="414">
        <v>370801</v>
      </c>
      <c r="L25" s="414">
        <v>0</v>
      </c>
      <c r="M25" s="414">
        <v>0</v>
      </c>
      <c r="N25" s="414">
        <v>0</v>
      </c>
      <c r="O25" s="414">
        <v>0</v>
      </c>
      <c r="P25" s="595">
        <v>125331</v>
      </c>
      <c r="Q25" s="595">
        <v>3708</v>
      </c>
      <c r="R25" s="414">
        <v>0</v>
      </c>
      <c r="S25" s="415">
        <v>0.99999999999999989</v>
      </c>
      <c r="T25" s="416">
        <v>0.99999999999999989</v>
      </c>
      <c r="U25" s="422">
        <v>0</v>
      </c>
      <c r="V25" s="423">
        <f t="shared" si="2"/>
        <v>0</v>
      </c>
      <c r="W25" s="417">
        <f t="shared" si="3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4"/>
        <v>0</v>
      </c>
      <c r="AF25" s="417">
        <f t="shared" si="5"/>
        <v>0</v>
      </c>
      <c r="AG25" s="417">
        <f t="shared" si="6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7"/>
        <v>0</v>
      </c>
      <c r="AN25" s="417">
        <f t="shared" si="8"/>
        <v>0</v>
      </c>
      <c r="AO25" s="417">
        <f t="shared" si="9"/>
        <v>0</v>
      </c>
      <c r="AP25" s="417">
        <f t="shared" si="10"/>
        <v>0</v>
      </c>
      <c r="AQ25" s="417">
        <f t="shared" si="11"/>
        <v>0</v>
      </c>
      <c r="AR25" s="417">
        <f t="shared" si="12"/>
        <v>0</v>
      </c>
      <c r="AS25" s="68">
        <f t="shared" si="13"/>
        <v>0</v>
      </c>
      <c r="AT25" s="68">
        <f t="shared" si="14"/>
        <v>0</v>
      </c>
      <c r="AU25" s="417">
        <v>0</v>
      </c>
      <c r="AV25" s="417">
        <v>0</v>
      </c>
      <c r="AW25" s="417">
        <v>0</v>
      </c>
      <c r="AX25" s="417">
        <f t="shared" si="15"/>
        <v>0</v>
      </c>
      <c r="AY25" s="417">
        <f t="shared" si="16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7"/>
        <v>0</v>
      </c>
      <c r="BJ25" s="418">
        <f t="shared" si="18"/>
        <v>0</v>
      </c>
      <c r="BK25" s="420">
        <f t="shared" si="19"/>
        <v>0</v>
      </c>
      <c r="BL25" s="772">
        <f>I25+AY25</f>
        <v>499840</v>
      </c>
      <c r="BM25" s="417">
        <f>J25+AG25</f>
        <v>370801</v>
      </c>
      <c r="BN25" s="417">
        <f t="shared" si="33"/>
        <v>370801</v>
      </c>
      <c r="BO25" s="417">
        <f t="shared" si="33"/>
        <v>0</v>
      </c>
      <c r="BP25" s="417">
        <f>M25+AO25</f>
        <v>0</v>
      </c>
      <c r="BQ25" s="417">
        <f t="shared" si="34"/>
        <v>0</v>
      </c>
      <c r="BR25" s="417">
        <f t="shared" si="34"/>
        <v>0</v>
      </c>
      <c r="BS25" s="417">
        <f t="shared" si="35"/>
        <v>125331</v>
      </c>
      <c r="BT25" s="417">
        <f t="shared" si="35"/>
        <v>3708</v>
      </c>
      <c r="BU25" s="417">
        <f>R25+AX25</f>
        <v>0</v>
      </c>
      <c r="BV25" s="418">
        <f>S25+BK25</f>
        <v>0.99999999999999989</v>
      </c>
      <c r="BW25" s="418">
        <f t="shared" si="36"/>
        <v>0.99999999999999989</v>
      </c>
      <c r="BX25" s="420">
        <f t="shared" si="36"/>
        <v>0</v>
      </c>
      <c r="BY25" s="419"/>
      <c r="BZ25" s="414"/>
      <c r="CA25" s="414"/>
      <c r="CB25" s="414"/>
      <c r="CC25" s="414"/>
      <c r="CD25" s="422"/>
      <c r="CE25" s="419">
        <f t="shared" si="24"/>
        <v>0</v>
      </c>
      <c r="CF25" s="414">
        <v>0</v>
      </c>
      <c r="CG25" s="414">
        <v>0</v>
      </c>
      <c r="CH25" s="414">
        <v>0</v>
      </c>
      <c r="CI25" s="414">
        <v>0</v>
      </c>
      <c r="CJ25" s="509">
        <v>0</v>
      </c>
    </row>
    <row r="26" spans="1:88" ht="14.1" customHeight="1">
      <c r="A26" s="66">
        <v>4</v>
      </c>
      <c r="B26" s="63">
        <v>2437</v>
      </c>
      <c r="C26" s="64">
        <v>600079074</v>
      </c>
      <c r="D26" s="63">
        <v>72743221</v>
      </c>
      <c r="E26" s="65" t="s">
        <v>540</v>
      </c>
      <c r="F26" s="66">
        <v>3141</v>
      </c>
      <c r="G26" s="65" t="s">
        <v>294</v>
      </c>
      <c r="H26" s="67" t="s">
        <v>272</v>
      </c>
      <c r="I26" s="419">
        <v>1663954</v>
      </c>
      <c r="J26" s="414">
        <v>1228176</v>
      </c>
      <c r="K26" s="414">
        <v>0</v>
      </c>
      <c r="L26" s="744">
        <v>1228176</v>
      </c>
      <c r="M26" s="414">
        <v>0</v>
      </c>
      <c r="N26" s="204">
        <v>0</v>
      </c>
      <c r="O26" s="204">
        <v>0</v>
      </c>
      <c r="P26" s="595">
        <v>415124</v>
      </c>
      <c r="Q26" s="595">
        <v>12282</v>
      </c>
      <c r="R26" s="601">
        <v>8372</v>
      </c>
      <c r="S26" s="415">
        <v>3.6833</v>
      </c>
      <c r="T26" s="603">
        <v>0</v>
      </c>
      <c r="U26" s="731">
        <v>3.6833</v>
      </c>
      <c r="V26" s="423">
        <f t="shared" si="2"/>
        <v>0</v>
      </c>
      <c r="W26" s="417">
        <f t="shared" si="3"/>
        <v>0</v>
      </c>
      <c r="X26" s="417">
        <v>0</v>
      </c>
      <c r="Y26" s="417">
        <v>0</v>
      </c>
      <c r="Z26" s="417">
        <v>0</v>
      </c>
      <c r="AA26" s="417">
        <v>-9739</v>
      </c>
      <c r="AB26" s="417">
        <v>0</v>
      </c>
      <c r="AC26" s="417">
        <v>0</v>
      </c>
      <c r="AD26" s="417">
        <v>0</v>
      </c>
      <c r="AE26" s="417">
        <f t="shared" si="4"/>
        <v>0</v>
      </c>
      <c r="AF26" s="417">
        <f t="shared" si="5"/>
        <v>-9739</v>
      </c>
      <c r="AG26" s="417">
        <f t="shared" si="6"/>
        <v>-9739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7"/>
        <v>0</v>
      </c>
      <c r="AN26" s="417">
        <f t="shared" si="8"/>
        <v>0</v>
      </c>
      <c r="AO26" s="417">
        <f t="shared" si="9"/>
        <v>0</v>
      </c>
      <c r="AP26" s="417">
        <f t="shared" si="10"/>
        <v>0</v>
      </c>
      <c r="AQ26" s="417">
        <f t="shared" si="11"/>
        <v>-9739</v>
      </c>
      <c r="AR26" s="417">
        <f t="shared" si="12"/>
        <v>-9739</v>
      </c>
      <c r="AS26" s="68">
        <f t="shared" si="13"/>
        <v>-3292</v>
      </c>
      <c r="AT26" s="68">
        <f t="shared" si="14"/>
        <v>-97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-13128</v>
      </c>
      <c r="AZ26" s="418">
        <v>0</v>
      </c>
      <c r="BA26" s="418">
        <v>0</v>
      </c>
      <c r="BB26" s="418">
        <v>0</v>
      </c>
      <c r="BC26" s="418">
        <v>0</v>
      </c>
      <c r="BD26" s="418">
        <v>-0.03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-0.03</v>
      </c>
      <c r="BK26" s="420">
        <f t="shared" si="19"/>
        <v>-0.03</v>
      </c>
      <c r="BL26" s="772">
        <f>I26+AY26</f>
        <v>1650826</v>
      </c>
      <c r="BM26" s="417">
        <f>J26+AG26</f>
        <v>1218437</v>
      </c>
      <c r="BN26" s="417">
        <f t="shared" si="33"/>
        <v>0</v>
      </c>
      <c r="BO26" s="417">
        <f t="shared" si="33"/>
        <v>1218437</v>
      </c>
      <c r="BP26" s="417">
        <f>M26+AO26</f>
        <v>0</v>
      </c>
      <c r="BQ26" s="417">
        <f t="shared" si="34"/>
        <v>0</v>
      </c>
      <c r="BR26" s="417">
        <f t="shared" si="34"/>
        <v>0</v>
      </c>
      <c r="BS26" s="417">
        <f t="shared" si="35"/>
        <v>411832</v>
      </c>
      <c r="BT26" s="417">
        <f t="shared" si="35"/>
        <v>12185</v>
      </c>
      <c r="BU26" s="417">
        <f>R26+AX26</f>
        <v>8372</v>
      </c>
      <c r="BV26" s="418">
        <f>S26+BK26</f>
        <v>3.6533000000000002</v>
      </c>
      <c r="BW26" s="418">
        <f t="shared" si="36"/>
        <v>0</v>
      </c>
      <c r="BX26" s="420">
        <f t="shared" si="36"/>
        <v>3.6533000000000002</v>
      </c>
      <c r="BY26" s="419"/>
      <c r="BZ26" s="414"/>
      <c r="CA26" s="414"/>
      <c r="CB26" s="414"/>
      <c r="CC26" s="414"/>
      <c r="CD26" s="422"/>
      <c r="CE26" s="419">
        <f t="shared" si="24"/>
        <v>0</v>
      </c>
      <c r="CF26" s="414">
        <v>0</v>
      </c>
      <c r="CG26" s="414">
        <v>0</v>
      </c>
      <c r="CH26" s="414">
        <v>0</v>
      </c>
      <c r="CI26" s="414">
        <v>0</v>
      </c>
      <c r="CJ26" s="509">
        <v>0</v>
      </c>
    </row>
    <row r="27" spans="1:88" ht="14.1" customHeight="1">
      <c r="A27" s="72">
        <v>4</v>
      </c>
      <c r="B27" s="69">
        <v>2437</v>
      </c>
      <c r="C27" s="70">
        <v>600079074</v>
      </c>
      <c r="D27" s="69">
        <v>72743221</v>
      </c>
      <c r="E27" s="71" t="s">
        <v>541</v>
      </c>
      <c r="F27" s="72"/>
      <c r="G27" s="71"/>
      <c r="H27" s="73"/>
      <c r="I27" s="516">
        <v>18247834</v>
      </c>
      <c r="J27" s="74">
        <v>13473213</v>
      </c>
      <c r="K27" s="74">
        <v>10911173</v>
      </c>
      <c r="L27" s="74">
        <v>2562040</v>
      </c>
      <c r="M27" s="74">
        <v>0</v>
      </c>
      <c r="N27" s="74">
        <v>0</v>
      </c>
      <c r="O27" s="74">
        <v>0</v>
      </c>
      <c r="P27" s="74">
        <v>4553947</v>
      </c>
      <c r="Q27" s="74">
        <v>134732</v>
      </c>
      <c r="R27" s="74">
        <v>85942</v>
      </c>
      <c r="S27" s="75">
        <v>27.765399999999996</v>
      </c>
      <c r="T27" s="75">
        <v>19.448399999999999</v>
      </c>
      <c r="U27" s="653">
        <v>8.3170000000000002</v>
      </c>
      <c r="V27" s="516">
        <f t="shared" ref="V27:BX27" si="37">SUM(V23:V26)</f>
        <v>0</v>
      </c>
      <c r="W27" s="74">
        <f t="shared" si="37"/>
        <v>0</v>
      </c>
      <c r="X27" s="74">
        <f t="shared" si="37"/>
        <v>0</v>
      </c>
      <c r="Y27" s="74">
        <f t="shared" si="37"/>
        <v>0</v>
      </c>
      <c r="Z27" s="74">
        <f t="shared" si="37"/>
        <v>0</v>
      </c>
      <c r="AA27" s="74">
        <f t="shared" si="37"/>
        <v>-9739</v>
      </c>
      <c r="AB27" s="74">
        <f t="shared" si="37"/>
        <v>0</v>
      </c>
      <c r="AC27" s="74">
        <f t="shared" si="37"/>
        <v>0</v>
      </c>
      <c r="AD27" s="74">
        <f t="shared" si="37"/>
        <v>0</v>
      </c>
      <c r="AE27" s="74">
        <f t="shared" si="37"/>
        <v>0</v>
      </c>
      <c r="AF27" s="74">
        <f t="shared" si="37"/>
        <v>-9739</v>
      </c>
      <c r="AG27" s="74">
        <f t="shared" si="37"/>
        <v>-9739</v>
      </c>
      <c r="AH27" s="74">
        <f t="shared" si="37"/>
        <v>0</v>
      </c>
      <c r="AI27" s="74">
        <f t="shared" si="37"/>
        <v>0</v>
      </c>
      <c r="AJ27" s="74">
        <f t="shared" si="37"/>
        <v>0</v>
      </c>
      <c r="AK27" s="74">
        <f t="shared" si="37"/>
        <v>0</v>
      </c>
      <c r="AL27" s="74">
        <f t="shared" si="37"/>
        <v>0</v>
      </c>
      <c r="AM27" s="74">
        <f t="shared" si="37"/>
        <v>0</v>
      </c>
      <c r="AN27" s="74">
        <f t="shared" si="37"/>
        <v>0</v>
      </c>
      <c r="AO27" s="74">
        <f t="shared" si="37"/>
        <v>0</v>
      </c>
      <c r="AP27" s="74">
        <f t="shared" si="37"/>
        <v>0</v>
      </c>
      <c r="AQ27" s="74">
        <f t="shared" si="37"/>
        <v>-9739</v>
      </c>
      <c r="AR27" s="74">
        <f t="shared" si="37"/>
        <v>-9739</v>
      </c>
      <c r="AS27" s="74">
        <f t="shared" si="37"/>
        <v>-3292</v>
      </c>
      <c r="AT27" s="74">
        <f t="shared" si="37"/>
        <v>-97</v>
      </c>
      <c r="AU27" s="74">
        <f t="shared" si="37"/>
        <v>0</v>
      </c>
      <c r="AV27" s="74">
        <f t="shared" si="37"/>
        <v>0</v>
      </c>
      <c r="AW27" s="74">
        <f t="shared" si="37"/>
        <v>0</v>
      </c>
      <c r="AX27" s="74">
        <f t="shared" si="37"/>
        <v>0</v>
      </c>
      <c r="AY27" s="74">
        <f t="shared" si="37"/>
        <v>-13128</v>
      </c>
      <c r="AZ27" s="75">
        <f t="shared" si="37"/>
        <v>0</v>
      </c>
      <c r="BA27" s="75">
        <f t="shared" si="37"/>
        <v>0</v>
      </c>
      <c r="BB27" s="75">
        <f t="shared" si="37"/>
        <v>0</v>
      </c>
      <c r="BC27" s="75">
        <f t="shared" si="37"/>
        <v>0</v>
      </c>
      <c r="BD27" s="75">
        <f t="shared" si="37"/>
        <v>-0.03</v>
      </c>
      <c r="BE27" s="75">
        <f t="shared" si="37"/>
        <v>0</v>
      </c>
      <c r="BF27" s="75">
        <f t="shared" si="37"/>
        <v>0</v>
      </c>
      <c r="BG27" s="75">
        <f t="shared" si="37"/>
        <v>0</v>
      </c>
      <c r="BH27" s="75">
        <f t="shared" si="37"/>
        <v>0</v>
      </c>
      <c r="BI27" s="75">
        <f t="shared" si="37"/>
        <v>0</v>
      </c>
      <c r="BJ27" s="75">
        <f t="shared" si="37"/>
        <v>-0.03</v>
      </c>
      <c r="BK27" s="76">
        <f t="shared" si="37"/>
        <v>-0.03</v>
      </c>
      <c r="BL27" s="781">
        <f t="shared" si="37"/>
        <v>18234706</v>
      </c>
      <c r="BM27" s="74">
        <f t="shared" si="37"/>
        <v>13463474</v>
      </c>
      <c r="BN27" s="74">
        <f t="shared" si="37"/>
        <v>10911173</v>
      </c>
      <c r="BO27" s="74">
        <f t="shared" si="37"/>
        <v>2552301</v>
      </c>
      <c r="BP27" s="74">
        <f t="shared" si="37"/>
        <v>0</v>
      </c>
      <c r="BQ27" s="74">
        <f t="shared" si="37"/>
        <v>0</v>
      </c>
      <c r="BR27" s="74">
        <f t="shared" si="37"/>
        <v>0</v>
      </c>
      <c r="BS27" s="74">
        <f t="shared" si="37"/>
        <v>4550655</v>
      </c>
      <c r="BT27" s="74">
        <f t="shared" si="37"/>
        <v>134635</v>
      </c>
      <c r="BU27" s="74">
        <f t="shared" si="37"/>
        <v>85942</v>
      </c>
      <c r="BV27" s="75">
        <f t="shared" si="37"/>
        <v>27.735399999999998</v>
      </c>
      <c r="BW27" s="75">
        <f t="shared" si="37"/>
        <v>19.448399999999999</v>
      </c>
      <c r="BX27" s="76">
        <f t="shared" si="37"/>
        <v>8.2870000000000008</v>
      </c>
      <c r="BY27" s="791">
        <f t="shared" ref="BY27:CJ27" si="38">SUM(BY23:BY26)</f>
        <v>0</v>
      </c>
      <c r="BZ27" s="679">
        <f t="shared" si="38"/>
        <v>0</v>
      </c>
      <c r="CA27" s="679">
        <f t="shared" si="38"/>
        <v>0</v>
      </c>
      <c r="CB27" s="679">
        <f t="shared" si="38"/>
        <v>0</v>
      </c>
      <c r="CC27" s="679">
        <f t="shared" si="38"/>
        <v>0</v>
      </c>
      <c r="CD27" s="947">
        <f t="shared" si="38"/>
        <v>0</v>
      </c>
      <c r="CE27" s="956">
        <f t="shared" si="38"/>
        <v>602751</v>
      </c>
      <c r="CF27" s="953">
        <f t="shared" si="38"/>
        <v>427997</v>
      </c>
      <c r="CG27" s="953">
        <f t="shared" si="38"/>
        <v>144663</v>
      </c>
      <c r="CH27" s="953">
        <f t="shared" si="38"/>
        <v>4280</v>
      </c>
      <c r="CI27" s="953">
        <f t="shared" si="38"/>
        <v>25811</v>
      </c>
      <c r="CJ27" s="877">
        <f t="shared" si="38"/>
        <v>1.4868000000000001</v>
      </c>
    </row>
    <row r="28" spans="1:88" ht="14.1" customHeight="1">
      <c r="A28" s="66">
        <v>5</v>
      </c>
      <c r="B28" s="63">
        <v>2411</v>
      </c>
      <c r="C28" s="64">
        <v>600079554</v>
      </c>
      <c r="D28" s="63">
        <v>72742666</v>
      </c>
      <c r="E28" s="65" t="s">
        <v>542</v>
      </c>
      <c r="F28" s="66">
        <v>3111</v>
      </c>
      <c r="G28" s="65" t="s">
        <v>290</v>
      </c>
      <c r="H28" s="67" t="s">
        <v>271</v>
      </c>
      <c r="I28" s="419">
        <v>7773926</v>
      </c>
      <c r="J28" s="414">
        <v>5740301</v>
      </c>
      <c r="K28" s="414">
        <v>5047936</v>
      </c>
      <c r="L28" s="414">
        <v>692365</v>
      </c>
      <c r="M28" s="414">
        <v>0</v>
      </c>
      <c r="N28" s="414">
        <v>0</v>
      </c>
      <c r="O28" s="414">
        <v>0</v>
      </c>
      <c r="P28" s="595">
        <v>1940222</v>
      </c>
      <c r="Q28" s="595">
        <v>57403</v>
      </c>
      <c r="R28" s="414">
        <v>36000</v>
      </c>
      <c r="S28" s="415">
        <v>10.775399999999999</v>
      </c>
      <c r="T28" s="415">
        <v>8.4192999999999998</v>
      </c>
      <c r="U28" s="422">
        <v>2.3560999999999996</v>
      </c>
      <c r="V28" s="423">
        <f t="shared" si="2"/>
        <v>-30000</v>
      </c>
      <c r="W28" s="417">
        <f t="shared" si="3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4"/>
        <v>-30000</v>
      </c>
      <c r="AF28" s="417">
        <f t="shared" si="5"/>
        <v>0</v>
      </c>
      <c r="AG28" s="417">
        <f t="shared" si="6"/>
        <v>-30000</v>
      </c>
      <c r="AH28" s="417">
        <v>30000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7"/>
        <v>30000</v>
      </c>
      <c r="AN28" s="417">
        <f t="shared" si="8"/>
        <v>0</v>
      </c>
      <c r="AO28" s="417">
        <f t="shared" si="9"/>
        <v>30000</v>
      </c>
      <c r="AP28" s="417">
        <f t="shared" si="10"/>
        <v>0</v>
      </c>
      <c r="AQ28" s="417">
        <f t="shared" si="11"/>
        <v>0</v>
      </c>
      <c r="AR28" s="417">
        <f t="shared" si="12"/>
        <v>0</v>
      </c>
      <c r="AS28" s="68">
        <f t="shared" si="13"/>
        <v>0</v>
      </c>
      <c r="AT28" s="68">
        <f t="shared" si="14"/>
        <v>-300</v>
      </c>
      <c r="AU28" s="417">
        <v>0</v>
      </c>
      <c r="AV28" s="417">
        <v>0</v>
      </c>
      <c r="AW28" s="417">
        <v>0</v>
      </c>
      <c r="AX28" s="417">
        <f t="shared" si="15"/>
        <v>0</v>
      </c>
      <c r="AY28" s="417">
        <f t="shared" si="16"/>
        <v>-300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7"/>
        <v>0</v>
      </c>
      <c r="BJ28" s="418">
        <f t="shared" si="18"/>
        <v>0</v>
      </c>
      <c r="BK28" s="420">
        <f t="shared" si="19"/>
        <v>0</v>
      </c>
      <c r="BL28" s="772">
        <f>I28+AY28</f>
        <v>7773626</v>
      </c>
      <c r="BM28" s="417">
        <f>J28+AG28</f>
        <v>5710301</v>
      </c>
      <c r="BN28" s="417">
        <f t="shared" ref="BN28:BO30" si="39">K28+AE28</f>
        <v>5017936</v>
      </c>
      <c r="BO28" s="417">
        <f t="shared" si="39"/>
        <v>692365</v>
      </c>
      <c r="BP28" s="417">
        <f>M28+AO28</f>
        <v>30000</v>
      </c>
      <c r="BQ28" s="417">
        <f t="shared" ref="BQ28:BR30" si="40">N28+AM28</f>
        <v>30000</v>
      </c>
      <c r="BR28" s="417">
        <f t="shared" si="40"/>
        <v>0</v>
      </c>
      <c r="BS28" s="417">
        <f t="shared" ref="BS28:BT30" si="41">P28+AS28</f>
        <v>1940222</v>
      </c>
      <c r="BT28" s="417">
        <f t="shared" si="41"/>
        <v>57103</v>
      </c>
      <c r="BU28" s="417">
        <f>R28+AX28</f>
        <v>36000</v>
      </c>
      <c r="BV28" s="418">
        <f>S28+BK28</f>
        <v>10.775399999999999</v>
      </c>
      <c r="BW28" s="418">
        <f t="shared" ref="BW28:BX30" si="42">T28+BI28</f>
        <v>8.4192999999999998</v>
      </c>
      <c r="BX28" s="420">
        <f t="shared" si="42"/>
        <v>2.3560999999999996</v>
      </c>
      <c r="BY28" s="419"/>
      <c r="BZ28" s="414"/>
      <c r="CA28" s="414"/>
      <c r="CB28" s="414"/>
      <c r="CC28" s="414"/>
      <c r="CD28" s="422"/>
      <c r="CE28" s="419">
        <f t="shared" si="24"/>
        <v>311446</v>
      </c>
      <c r="CF28" s="414">
        <v>222163</v>
      </c>
      <c r="CG28" s="414">
        <v>75091</v>
      </c>
      <c r="CH28" s="414">
        <v>2222</v>
      </c>
      <c r="CI28" s="414">
        <v>11970</v>
      </c>
      <c r="CJ28" s="509">
        <v>0.75600000000000001</v>
      </c>
    </row>
    <row r="29" spans="1:88" ht="14.1" customHeight="1">
      <c r="A29" s="66">
        <v>5</v>
      </c>
      <c r="B29" s="63">
        <v>2411</v>
      </c>
      <c r="C29" s="64">
        <v>600079554</v>
      </c>
      <c r="D29" s="63">
        <v>72742666</v>
      </c>
      <c r="E29" s="65" t="s">
        <v>542</v>
      </c>
      <c r="F29" s="66">
        <v>3111</v>
      </c>
      <c r="G29" s="65" t="s">
        <v>291</v>
      </c>
      <c r="H29" s="67" t="s">
        <v>272</v>
      </c>
      <c r="I29" s="419">
        <v>169615</v>
      </c>
      <c r="J29" s="414">
        <v>123601</v>
      </c>
      <c r="K29" s="414">
        <v>123601</v>
      </c>
      <c r="L29" s="414">
        <v>0</v>
      </c>
      <c r="M29" s="414">
        <v>0</v>
      </c>
      <c r="N29" s="414">
        <v>0</v>
      </c>
      <c r="O29" s="414">
        <v>0</v>
      </c>
      <c r="P29" s="595">
        <v>41778</v>
      </c>
      <c r="Q29" s="595">
        <v>1236</v>
      </c>
      <c r="R29" s="414">
        <v>3000</v>
      </c>
      <c r="S29" s="415">
        <v>0.32999999999999996</v>
      </c>
      <c r="T29" s="416">
        <v>0.32999999999999996</v>
      </c>
      <c r="U29" s="422">
        <v>0</v>
      </c>
      <c r="V29" s="423">
        <f t="shared" si="2"/>
        <v>0</v>
      </c>
      <c r="W29" s="417">
        <f t="shared" si="3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4"/>
        <v>0</v>
      </c>
      <c r="AF29" s="417">
        <f t="shared" si="5"/>
        <v>0</v>
      </c>
      <c r="AG29" s="417">
        <f t="shared" si="6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7"/>
        <v>0</v>
      </c>
      <c r="AN29" s="417">
        <f t="shared" si="8"/>
        <v>0</v>
      </c>
      <c r="AO29" s="417">
        <f t="shared" si="9"/>
        <v>0</v>
      </c>
      <c r="AP29" s="417">
        <f t="shared" si="10"/>
        <v>0</v>
      </c>
      <c r="AQ29" s="417">
        <f t="shared" si="11"/>
        <v>0</v>
      </c>
      <c r="AR29" s="417">
        <f t="shared" si="12"/>
        <v>0</v>
      </c>
      <c r="AS29" s="68">
        <f t="shared" si="13"/>
        <v>0</v>
      </c>
      <c r="AT29" s="68">
        <f t="shared" si="14"/>
        <v>0</v>
      </c>
      <c r="AU29" s="417">
        <v>0</v>
      </c>
      <c r="AV29" s="417">
        <v>0</v>
      </c>
      <c r="AW29" s="417">
        <v>0</v>
      </c>
      <c r="AX29" s="417">
        <f t="shared" si="15"/>
        <v>0</v>
      </c>
      <c r="AY29" s="417">
        <f t="shared" si="16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0</v>
      </c>
      <c r="BK29" s="420">
        <f t="shared" si="19"/>
        <v>0</v>
      </c>
      <c r="BL29" s="772">
        <f>I29+AY29</f>
        <v>169615</v>
      </c>
      <c r="BM29" s="417">
        <f>J29+AG29</f>
        <v>123601</v>
      </c>
      <c r="BN29" s="417">
        <f t="shared" si="39"/>
        <v>123601</v>
      </c>
      <c r="BO29" s="417">
        <f t="shared" si="39"/>
        <v>0</v>
      </c>
      <c r="BP29" s="417">
        <f>M29+AO29</f>
        <v>0</v>
      </c>
      <c r="BQ29" s="417">
        <f t="shared" si="40"/>
        <v>0</v>
      </c>
      <c r="BR29" s="417">
        <f t="shared" si="40"/>
        <v>0</v>
      </c>
      <c r="BS29" s="417">
        <f t="shared" si="41"/>
        <v>41778</v>
      </c>
      <c r="BT29" s="417">
        <f t="shared" si="41"/>
        <v>1236</v>
      </c>
      <c r="BU29" s="417">
        <f>R29+AX29</f>
        <v>3000</v>
      </c>
      <c r="BV29" s="418">
        <f>S29+BK29</f>
        <v>0.32999999999999996</v>
      </c>
      <c r="BW29" s="418">
        <f t="shared" si="42"/>
        <v>0.32999999999999996</v>
      </c>
      <c r="BX29" s="420">
        <f t="shared" si="42"/>
        <v>0</v>
      </c>
      <c r="BY29" s="419"/>
      <c r="BZ29" s="414"/>
      <c r="CA29" s="414"/>
      <c r="CB29" s="414"/>
      <c r="CC29" s="414"/>
      <c r="CD29" s="422"/>
      <c r="CE29" s="419">
        <f t="shared" si="24"/>
        <v>0</v>
      </c>
      <c r="CF29" s="414">
        <v>0</v>
      </c>
      <c r="CG29" s="414">
        <v>0</v>
      </c>
      <c r="CH29" s="414">
        <v>0</v>
      </c>
      <c r="CI29" s="414">
        <v>0</v>
      </c>
      <c r="CJ29" s="509">
        <v>0</v>
      </c>
    </row>
    <row r="30" spans="1:88" ht="14.1" customHeight="1">
      <c r="A30" s="66">
        <v>5</v>
      </c>
      <c r="B30" s="63">
        <v>2411</v>
      </c>
      <c r="C30" s="64">
        <v>600079554</v>
      </c>
      <c r="D30" s="63">
        <v>72742666</v>
      </c>
      <c r="E30" s="65" t="s">
        <v>542</v>
      </c>
      <c r="F30" s="66">
        <v>3141</v>
      </c>
      <c r="G30" s="65" t="s">
        <v>294</v>
      </c>
      <c r="H30" s="67" t="s">
        <v>272</v>
      </c>
      <c r="I30" s="419">
        <v>1045819</v>
      </c>
      <c r="J30" s="414">
        <v>772320</v>
      </c>
      <c r="K30" s="414">
        <v>0</v>
      </c>
      <c r="L30" s="744">
        <v>772320</v>
      </c>
      <c r="M30" s="414">
        <v>0</v>
      </c>
      <c r="N30" s="204">
        <v>0</v>
      </c>
      <c r="O30" s="204">
        <v>0</v>
      </c>
      <c r="P30" s="595">
        <v>261044</v>
      </c>
      <c r="Q30" s="595">
        <v>7723</v>
      </c>
      <c r="R30" s="601">
        <v>4732</v>
      </c>
      <c r="S30" s="415">
        <v>2.3167</v>
      </c>
      <c r="T30" s="603">
        <v>0</v>
      </c>
      <c r="U30" s="731">
        <v>2.3167</v>
      </c>
      <c r="V30" s="423">
        <f t="shared" si="2"/>
        <v>0</v>
      </c>
      <c r="W30" s="417">
        <f t="shared" si="3"/>
        <v>0</v>
      </c>
      <c r="X30" s="417">
        <v>0</v>
      </c>
      <c r="Y30" s="417">
        <v>0</v>
      </c>
      <c r="Z30" s="417">
        <v>0</v>
      </c>
      <c r="AA30" s="417">
        <v>-11937</v>
      </c>
      <c r="AB30" s="417">
        <v>0</v>
      </c>
      <c r="AC30" s="417">
        <v>0</v>
      </c>
      <c r="AD30" s="417">
        <v>0</v>
      </c>
      <c r="AE30" s="417">
        <f t="shared" si="4"/>
        <v>0</v>
      </c>
      <c r="AF30" s="417">
        <f t="shared" si="5"/>
        <v>-11937</v>
      </c>
      <c r="AG30" s="417">
        <f t="shared" si="6"/>
        <v>-11937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7"/>
        <v>0</v>
      </c>
      <c r="AN30" s="417">
        <f t="shared" si="8"/>
        <v>0</v>
      </c>
      <c r="AO30" s="417">
        <f t="shared" si="9"/>
        <v>0</v>
      </c>
      <c r="AP30" s="417">
        <f t="shared" si="10"/>
        <v>0</v>
      </c>
      <c r="AQ30" s="417">
        <f t="shared" si="11"/>
        <v>-11937</v>
      </c>
      <c r="AR30" s="417">
        <f t="shared" si="12"/>
        <v>-11937</v>
      </c>
      <c r="AS30" s="68">
        <f t="shared" si="13"/>
        <v>-4035</v>
      </c>
      <c r="AT30" s="68">
        <f t="shared" si="14"/>
        <v>-119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-16091</v>
      </c>
      <c r="AZ30" s="418">
        <v>0</v>
      </c>
      <c r="BA30" s="418">
        <v>0</v>
      </c>
      <c r="BB30" s="418">
        <v>0</v>
      </c>
      <c r="BC30" s="418">
        <v>0</v>
      </c>
      <c r="BD30" s="418">
        <v>-0.03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-0.03</v>
      </c>
      <c r="BK30" s="420">
        <f t="shared" si="19"/>
        <v>-0.03</v>
      </c>
      <c r="BL30" s="772">
        <f>I30+AY30</f>
        <v>1029728</v>
      </c>
      <c r="BM30" s="417">
        <f>J30+AG30</f>
        <v>760383</v>
      </c>
      <c r="BN30" s="417">
        <f t="shared" si="39"/>
        <v>0</v>
      </c>
      <c r="BO30" s="417">
        <f t="shared" si="39"/>
        <v>760383</v>
      </c>
      <c r="BP30" s="417">
        <f>M30+AO30</f>
        <v>0</v>
      </c>
      <c r="BQ30" s="417">
        <f t="shared" si="40"/>
        <v>0</v>
      </c>
      <c r="BR30" s="417">
        <f t="shared" si="40"/>
        <v>0</v>
      </c>
      <c r="BS30" s="417">
        <f t="shared" si="41"/>
        <v>257009</v>
      </c>
      <c r="BT30" s="417">
        <f t="shared" si="41"/>
        <v>7604</v>
      </c>
      <c r="BU30" s="417">
        <f>R30+AX30</f>
        <v>4732</v>
      </c>
      <c r="BV30" s="418">
        <f>S30+BK30</f>
        <v>2.2867000000000002</v>
      </c>
      <c r="BW30" s="418">
        <f t="shared" si="42"/>
        <v>0</v>
      </c>
      <c r="BX30" s="420">
        <f t="shared" si="42"/>
        <v>2.2867000000000002</v>
      </c>
      <c r="BY30" s="419"/>
      <c r="BZ30" s="414"/>
      <c r="CA30" s="414"/>
      <c r="CB30" s="414"/>
      <c r="CC30" s="414"/>
      <c r="CD30" s="422"/>
      <c r="CE30" s="419">
        <f t="shared" si="24"/>
        <v>0</v>
      </c>
      <c r="CF30" s="414">
        <v>0</v>
      </c>
      <c r="CG30" s="414">
        <v>0</v>
      </c>
      <c r="CH30" s="414">
        <v>0</v>
      </c>
      <c r="CI30" s="414">
        <v>0</v>
      </c>
      <c r="CJ30" s="509">
        <v>0</v>
      </c>
    </row>
    <row r="31" spans="1:88" ht="14.1" customHeight="1">
      <c r="A31" s="72">
        <v>5</v>
      </c>
      <c r="B31" s="69">
        <v>2411</v>
      </c>
      <c r="C31" s="70">
        <v>600079554</v>
      </c>
      <c r="D31" s="69">
        <v>72742666</v>
      </c>
      <c r="E31" s="71" t="s">
        <v>543</v>
      </c>
      <c r="F31" s="72"/>
      <c r="G31" s="71"/>
      <c r="H31" s="73"/>
      <c r="I31" s="516">
        <v>8989360</v>
      </c>
      <c r="J31" s="74">
        <v>6636222</v>
      </c>
      <c r="K31" s="74">
        <v>5171537</v>
      </c>
      <c r="L31" s="74">
        <v>1464685</v>
      </c>
      <c r="M31" s="74">
        <v>0</v>
      </c>
      <c r="N31" s="74">
        <v>0</v>
      </c>
      <c r="O31" s="74">
        <v>0</v>
      </c>
      <c r="P31" s="74">
        <v>2243044</v>
      </c>
      <c r="Q31" s="74">
        <v>66362</v>
      </c>
      <c r="R31" s="74">
        <v>43732</v>
      </c>
      <c r="S31" s="75">
        <v>13.4221</v>
      </c>
      <c r="T31" s="75">
        <v>8.7492999999999999</v>
      </c>
      <c r="U31" s="653">
        <v>4.6727999999999996</v>
      </c>
      <c r="V31" s="516">
        <f t="shared" ref="V31:BX31" si="43">SUM(V28:V30)</f>
        <v>-30000</v>
      </c>
      <c r="W31" s="74">
        <f t="shared" si="43"/>
        <v>0</v>
      </c>
      <c r="X31" s="74">
        <f t="shared" si="43"/>
        <v>0</v>
      </c>
      <c r="Y31" s="74">
        <f t="shared" si="43"/>
        <v>0</v>
      </c>
      <c r="Z31" s="74">
        <f t="shared" si="43"/>
        <v>0</v>
      </c>
      <c r="AA31" s="74">
        <f t="shared" si="43"/>
        <v>-11937</v>
      </c>
      <c r="AB31" s="74">
        <f t="shared" si="43"/>
        <v>0</v>
      </c>
      <c r="AC31" s="74">
        <f t="shared" si="43"/>
        <v>0</v>
      </c>
      <c r="AD31" s="74">
        <f t="shared" si="43"/>
        <v>0</v>
      </c>
      <c r="AE31" s="74">
        <f t="shared" si="43"/>
        <v>-30000</v>
      </c>
      <c r="AF31" s="74">
        <f t="shared" si="43"/>
        <v>-11937</v>
      </c>
      <c r="AG31" s="74">
        <f t="shared" si="43"/>
        <v>-41937</v>
      </c>
      <c r="AH31" s="74">
        <f t="shared" si="43"/>
        <v>30000</v>
      </c>
      <c r="AI31" s="74">
        <f t="shared" si="43"/>
        <v>0</v>
      </c>
      <c r="AJ31" s="74">
        <f t="shared" si="43"/>
        <v>0</v>
      </c>
      <c r="AK31" s="74">
        <f t="shared" si="43"/>
        <v>0</v>
      </c>
      <c r="AL31" s="74">
        <f t="shared" si="43"/>
        <v>0</v>
      </c>
      <c r="AM31" s="74">
        <f t="shared" si="43"/>
        <v>30000</v>
      </c>
      <c r="AN31" s="74">
        <f t="shared" si="43"/>
        <v>0</v>
      </c>
      <c r="AO31" s="74">
        <f t="shared" si="43"/>
        <v>30000</v>
      </c>
      <c r="AP31" s="74">
        <f t="shared" si="43"/>
        <v>0</v>
      </c>
      <c r="AQ31" s="74">
        <f t="shared" si="43"/>
        <v>-11937</v>
      </c>
      <c r="AR31" s="74">
        <f t="shared" si="43"/>
        <v>-11937</v>
      </c>
      <c r="AS31" s="74">
        <f t="shared" si="43"/>
        <v>-4035</v>
      </c>
      <c r="AT31" s="74">
        <f t="shared" si="43"/>
        <v>-419</v>
      </c>
      <c r="AU31" s="74">
        <f t="shared" si="43"/>
        <v>0</v>
      </c>
      <c r="AV31" s="74">
        <f t="shared" si="43"/>
        <v>0</v>
      </c>
      <c r="AW31" s="74">
        <f t="shared" si="43"/>
        <v>0</v>
      </c>
      <c r="AX31" s="74">
        <f t="shared" si="43"/>
        <v>0</v>
      </c>
      <c r="AY31" s="74">
        <f t="shared" si="43"/>
        <v>-16391</v>
      </c>
      <c r="AZ31" s="75">
        <f t="shared" si="43"/>
        <v>0</v>
      </c>
      <c r="BA31" s="75">
        <f t="shared" si="43"/>
        <v>0</v>
      </c>
      <c r="BB31" s="75">
        <f t="shared" si="43"/>
        <v>0</v>
      </c>
      <c r="BC31" s="75">
        <f t="shared" si="43"/>
        <v>0</v>
      </c>
      <c r="BD31" s="75">
        <f t="shared" si="43"/>
        <v>-0.03</v>
      </c>
      <c r="BE31" s="75">
        <f t="shared" si="43"/>
        <v>0</v>
      </c>
      <c r="BF31" s="75">
        <f t="shared" si="43"/>
        <v>0</v>
      </c>
      <c r="BG31" s="75">
        <f t="shared" si="43"/>
        <v>0</v>
      </c>
      <c r="BH31" s="75">
        <f t="shared" si="43"/>
        <v>0</v>
      </c>
      <c r="BI31" s="75">
        <f t="shared" si="43"/>
        <v>0</v>
      </c>
      <c r="BJ31" s="75">
        <f t="shared" si="43"/>
        <v>-0.03</v>
      </c>
      <c r="BK31" s="76">
        <f t="shared" si="43"/>
        <v>-0.03</v>
      </c>
      <c r="BL31" s="781">
        <f t="shared" si="43"/>
        <v>8972969</v>
      </c>
      <c r="BM31" s="74">
        <f t="shared" si="43"/>
        <v>6594285</v>
      </c>
      <c r="BN31" s="74">
        <f t="shared" si="43"/>
        <v>5141537</v>
      </c>
      <c r="BO31" s="74">
        <f t="shared" si="43"/>
        <v>1452748</v>
      </c>
      <c r="BP31" s="74">
        <f t="shared" si="43"/>
        <v>30000</v>
      </c>
      <c r="BQ31" s="74">
        <f t="shared" si="43"/>
        <v>30000</v>
      </c>
      <c r="BR31" s="74">
        <f t="shared" si="43"/>
        <v>0</v>
      </c>
      <c r="BS31" s="74">
        <f t="shared" si="43"/>
        <v>2239009</v>
      </c>
      <c r="BT31" s="74">
        <f t="shared" si="43"/>
        <v>65943</v>
      </c>
      <c r="BU31" s="74">
        <f t="shared" si="43"/>
        <v>43732</v>
      </c>
      <c r="BV31" s="75">
        <f t="shared" si="43"/>
        <v>13.392099999999999</v>
      </c>
      <c r="BW31" s="75">
        <f t="shared" si="43"/>
        <v>8.7492999999999999</v>
      </c>
      <c r="BX31" s="76">
        <f t="shared" si="43"/>
        <v>4.6427999999999994</v>
      </c>
      <c r="BY31" s="791">
        <f t="shared" ref="BY31:CJ31" si="44">SUM(BY28:BY30)</f>
        <v>0</v>
      </c>
      <c r="BZ31" s="679">
        <f t="shared" si="44"/>
        <v>0</v>
      </c>
      <c r="CA31" s="679">
        <f t="shared" si="44"/>
        <v>0</v>
      </c>
      <c r="CB31" s="679">
        <f t="shared" si="44"/>
        <v>0</v>
      </c>
      <c r="CC31" s="679">
        <f t="shared" si="44"/>
        <v>0</v>
      </c>
      <c r="CD31" s="947">
        <f t="shared" si="44"/>
        <v>0</v>
      </c>
      <c r="CE31" s="956">
        <f t="shared" si="44"/>
        <v>311446</v>
      </c>
      <c r="CF31" s="953">
        <f t="shared" si="44"/>
        <v>222163</v>
      </c>
      <c r="CG31" s="953">
        <f t="shared" si="44"/>
        <v>75091</v>
      </c>
      <c r="CH31" s="953">
        <f t="shared" si="44"/>
        <v>2222</v>
      </c>
      <c r="CI31" s="953">
        <f t="shared" si="44"/>
        <v>11970</v>
      </c>
      <c r="CJ31" s="877">
        <f t="shared" si="44"/>
        <v>0.75600000000000001</v>
      </c>
    </row>
    <row r="32" spans="1:88" ht="14.1" customHeight="1">
      <c r="A32" s="66">
        <v>6</v>
      </c>
      <c r="B32" s="63">
        <v>2407</v>
      </c>
      <c r="C32" s="64">
        <v>600079520</v>
      </c>
      <c r="D32" s="63">
        <v>72741465</v>
      </c>
      <c r="E32" s="65" t="s">
        <v>544</v>
      </c>
      <c r="F32" s="66">
        <v>3111</v>
      </c>
      <c r="G32" s="65" t="s">
        <v>290</v>
      </c>
      <c r="H32" s="67" t="s">
        <v>271</v>
      </c>
      <c r="I32" s="419">
        <v>15331400</v>
      </c>
      <c r="J32" s="414">
        <v>11318175</v>
      </c>
      <c r="K32" s="414">
        <v>10023499</v>
      </c>
      <c r="L32" s="414">
        <v>1294676</v>
      </c>
      <c r="M32" s="414">
        <v>0</v>
      </c>
      <c r="N32" s="414">
        <v>0</v>
      </c>
      <c r="O32" s="414">
        <v>0</v>
      </c>
      <c r="P32" s="595">
        <v>3825543</v>
      </c>
      <c r="Q32" s="595">
        <v>113182</v>
      </c>
      <c r="R32" s="414">
        <v>74500</v>
      </c>
      <c r="S32" s="415">
        <v>21.928299999999997</v>
      </c>
      <c r="T32" s="415">
        <v>17.451599999999999</v>
      </c>
      <c r="U32" s="422">
        <v>4.4766999999999992</v>
      </c>
      <c r="V32" s="423">
        <f t="shared" si="2"/>
        <v>0</v>
      </c>
      <c r="W32" s="417">
        <f t="shared" si="3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4"/>
        <v>0</v>
      </c>
      <c r="AF32" s="417">
        <f t="shared" si="5"/>
        <v>0</v>
      </c>
      <c r="AG32" s="417">
        <f t="shared" si="6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7"/>
        <v>0</v>
      </c>
      <c r="AN32" s="417">
        <f t="shared" si="8"/>
        <v>0</v>
      </c>
      <c r="AO32" s="417">
        <f t="shared" si="9"/>
        <v>0</v>
      </c>
      <c r="AP32" s="417">
        <f t="shared" si="10"/>
        <v>0</v>
      </c>
      <c r="AQ32" s="417">
        <f t="shared" si="11"/>
        <v>0</v>
      </c>
      <c r="AR32" s="417">
        <f t="shared" si="12"/>
        <v>0</v>
      </c>
      <c r="AS32" s="68">
        <f t="shared" si="13"/>
        <v>0</v>
      </c>
      <c r="AT32" s="68">
        <f t="shared" si="14"/>
        <v>0</v>
      </c>
      <c r="AU32" s="417">
        <v>0</v>
      </c>
      <c r="AV32" s="417">
        <v>0</v>
      </c>
      <c r="AW32" s="417">
        <v>0</v>
      </c>
      <c r="AX32" s="417">
        <f t="shared" si="15"/>
        <v>0</v>
      </c>
      <c r="AY32" s="417">
        <f t="shared" si="16"/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7"/>
        <v>0</v>
      </c>
      <c r="BJ32" s="418">
        <f t="shared" si="18"/>
        <v>0</v>
      </c>
      <c r="BK32" s="420">
        <f t="shared" si="19"/>
        <v>0</v>
      </c>
      <c r="BL32" s="772">
        <f>I32+AY32</f>
        <v>15331400</v>
      </c>
      <c r="BM32" s="417">
        <f>J32+AG32</f>
        <v>11318175</v>
      </c>
      <c r="BN32" s="417">
        <f t="shared" ref="BN32:BO34" si="45">K32+AE32</f>
        <v>10023499</v>
      </c>
      <c r="BO32" s="417">
        <f t="shared" si="45"/>
        <v>1294676</v>
      </c>
      <c r="BP32" s="417">
        <f>M32+AO32</f>
        <v>0</v>
      </c>
      <c r="BQ32" s="417">
        <f t="shared" ref="BQ32:BR34" si="46">N32+AM32</f>
        <v>0</v>
      </c>
      <c r="BR32" s="417">
        <f t="shared" si="46"/>
        <v>0</v>
      </c>
      <c r="BS32" s="417">
        <f t="shared" ref="BS32:BT34" si="47">P32+AS32</f>
        <v>3825543</v>
      </c>
      <c r="BT32" s="417">
        <f t="shared" si="47"/>
        <v>113182</v>
      </c>
      <c r="BU32" s="417">
        <f>R32+AX32</f>
        <v>74500</v>
      </c>
      <c r="BV32" s="418">
        <f>S32+BK32</f>
        <v>21.928299999999997</v>
      </c>
      <c r="BW32" s="418">
        <f t="shared" ref="BW32:BX34" si="48">T32+BI32</f>
        <v>17.451599999999999</v>
      </c>
      <c r="BX32" s="420">
        <f t="shared" si="48"/>
        <v>4.4766999999999992</v>
      </c>
      <c r="BY32" s="419"/>
      <c r="BZ32" s="414"/>
      <c r="CA32" s="414"/>
      <c r="CB32" s="414"/>
      <c r="CC32" s="414"/>
      <c r="CD32" s="422"/>
      <c r="CE32" s="419">
        <f t="shared" si="24"/>
        <v>584757</v>
      </c>
      <c r="CF32" s="414">
        <v>415417</v>
      </c>
      <c r="CG32" s="414">
        <v>140411</v>
      </c>
      <c r="CH32" s="414">
        <v>4154</v>
      </c>
      <c r="CI32" s="414">
        <v>24775</v>
      </c>
      <c r="CJ32" s="509">
        <v>1.4363999999999999</v>
      </c>
    </row>
    <row r="33" spans="1:88" ht="14.1" customHeight="1">
      <c r="A33" s="66">
        <v>6</v>
      </c>
      <c r="B33" s="63">
        <v>2407</v>
      </c>
      <c r="C33" s="64">
        <v>600079520</v>
      </c>
      <c r="D33" s="63">
        <v>72741465</v>
      </c>
      <c r="E33" s="65" t="s">
        <v>544</v>
      </c>
      <c r="F33" s="66">
        <v>3111</v>
      </c>
      <c r="G33" s="77" t="s">
        <v>291</v>
      </c>
      <c r="H33" s="67" t="s">
        <v>272</v>
      </c>
      <c r="I33" s="419">
        <v>1389839</v>
      </c>
      <c r="J33" s="414">
        <v>1025882</v>
      </c>
      <c r="K33" s="414">
        <v>1025882</v>
      </c>
      <c r="L33" s="414">
        <v>0</v>
      </c>
      <c r="M33" s="414">
        <v>0</v>
      </c>
      <c r="N33" s="414">
        <v>0</v>
      </c>
      <c r="O33" s="414">
        <v>0</v>
      </c>
      <c r="P33" s="595">
        <v>346749</v>
      </c>
      <c r="Q33" s="595">
        <v>10258</v>
      </c>
      <c r="R33" s="414">
        <v>6950</v>
      </c>
      <c r="S33" s="415">
        <v>2.83</v>
      </c>
      <c r="T33" s="416">
        <v>2.83</v>
      </c>
      <c r="U33" s="422">
        <v>0</v>
      </c>
      <c r="V33" s="423">
        <f t="shared" si="2"/>
        <v>0</v>
      </c>
      <c r="W33" s="417">
        <f t="shared" si="3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4"/>
        <v>0</v>
      </c>
      <c r="AF33" s="417">
        <f t="shared" si="5"/>
        <v>0</v>
      </c>
      <c r="AG33" s="417">
        <f t="shared" si="6"/>
        <v>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7"/>
        <v>0</v>
      </c>
      <c r="AN33" s="417">
        <f t="shared" si="8"/>
        <v>0</v>
      </c>
      <c r="AO33" s="417">
        <f t="shared" si="9"/>
        <v>0</v>
      </c>
      <c r="AP33" s="417">
        <f t="shared" si="10"/>
        <v>0</v>
      </c>
      <c r="AQ33" s="417">
        <f t="shared" si="11"/>
        <v>0</v>
      </c>
      <c r="AR33" s="417">
        <f t="shared" si="12"/>
        <v>0</v>
      </c>
      <c r="AS33" s="68">
        <f t="shared" si="13"/>
        <v>0</v>
      </c>
      <c r="AT33" s="68">
        <f t="shared" si="14"/>
        <v>0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</v>
      </c>
      <c r="BJ33" s="418">
        <f t="shared" si="18"/>
        <v>0</v>
      </c>
      <c r="BK33" s="420">
        <f t="shared" si="19"/>
        <v>0</v>
      </c>
      <c r="BL33" s="772">
        <f>I33+AY33</f>
        <v>1389839</v>
      </c>
      <c r="BM33" s="417">
        <f>J33+AG33</f>
        <v>1025882</v>
      </c>
      <c r="BN33" s="417">
        <f t="shared" si="45"/>
        <v>1025882</v>
      </c>
      <c r="BO33" s="417">
        <f t="shared" si="45"/>
        <v>0</v>
      </c>
      <c r="BP33" s="417">
        <f>M33+AO33</f>
        <v>0</v>
      </c>
      <c r="BQ33" s="417">
        <f t="shared" si="46"/>
        <v>0</v>
      </c>
      <c r="BR33" s="417">
        <f t="shared" si="46"/>
        <v>0</v>
      </c>
      <c r="BS33" s="417">
        <f t="shared" si="47"/>
        <v>346749</v>
      </c>
      <c r="BT33" s="417">
        <f t="shared" si="47"/>
        <v>10258</v>
      </c>
      <c r="BU33" s="417">
        <f>R33+AX33</f>
        <v>6950</v>
      </c>
      <c r="BV33" s="418">
        <f>S33+BK33</f>
        <v>2.83</v>
      </c>
      <c r="BW33" s="418">
        <f t="shared" si="48"/>
        <v>2.83</v>
      </c>
      <c r="BX33" s="420">
        <f t="shared" si="48"/>
        <v>0</v>
      </c>
      <c r="BY33" s="419"/>
      <c r="BZ33" s="414"/>
      <c r="CA33" s="414"/>
      <c r="CB33" s="414"/>
      <c r="CC33" s="414"/>
      <c r="CD33" s="422"/>
      <c r="CE33" s="419">
        <f t="shared" si="24"/>
        <v>0</v>
      </c>
      <c r="CF33" s="414">
        <v>0</v>
      </c>
      <c r="CG33" s="414">
        <v>0</v>
      </c>
      <c r="CH33" s="414">
        <v>0</v>
      </c>
      <c r="CI33" s="414">
        <v>0</v>
      </c>
      <c r="CJ33" s="509">
        <v>0</v>
      </c>
    </row>
    <row r="34" spans="1:88" ht="14.1" customHeight="1">
      <c r="A34" s="66">
        <v>6</v>
      </c>
      <c r="B34" s="63">
        <v>2407</v>
      </c>
      <c r="C34" s="64">
        <v>600079520</v>
      </c>
      <c r="D34" s="63">
        <v>72741465</v>
      </c>
      <c r="E34" s="65" t="s">
        <v>544</v>
      </c>
      <c r="F34" s="66">
        <v>3141</v>
      </c>
      <c r="G34" s="65" t="s">
        <v>294</v>
      </c>
      <c r="H34" s="67" t="s">
        <v>272</v>
      </c>
      <c r="I34" s="419">
        <v>1804083</v>
      </c>
      <c r="J34" s="414">
        <v>1331590</v>
      </c>
      <c r="K34" s="414">
        <v>0</v>
      </c>
      <c r="L34" s="744">
        <v>1331590</v>
      </c>
      <c r="M34" s="414">
        <v>0</v>
      </c>
      <c r="N34" s="204">
        <v>0</v>
      </c>
      <c r="O34" s="204">
        <v>0</v>
      </c>
      <c r="P34" s="595">
        <v>450077</v>
      </c>
      <c r="Q34" s="595">
        <v>13316</v>
      </c>
      <c r="R34" s="601">
        <v>9100</v>
      </c>
      <c r="S34" s="415">
        <v>3.99</v>
      </c>
      <c r="T34" s="603">
        <v>0</v>
      </c>
      <c r="U34" s="731">
        <v>3.99</v>
      </c>
      <c r="V34" s="423">
        <f t="shared" si="2"/>
        <v>0</v>
      </c>
      <c r="W34" s="417">
        <f t="shared" si="3"/>
        <v>0</v>
      </c>
      <c r="X34" s="417">
        <v>0</v>
      </c>
      <c r="Y34" s="417">
        <v>0</v>
      </c>
      <c r="Z34" s="417">
        <v>0</v>
      </c>
      <c r="AA34" s="417">
        <v>-22264</v>
      </c>
      <c r="AB34" s="417">
        <v>0</v>
      </c>
      <c r="AC34" s="417">
        <v>0</v>
      </c>
      <c r="AD34" s="417">
        <v>0</v>
      </c>
      <c r="AE34" s="417">
        <f t="shared" si="4"/>
        <v>0</v>
      </c>
      <c r="AF34" s="417">
        <f t="shared" si="5"/>
        <v>-22264</v>
      </c>
      <c r="AG34" s="417">
        <f t="shared" si="6"/>
        <v>-22264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7"/>
        <v>0</v>
      </c>
      <c r="AN34" s="417">
        <f t="shared" si="8"/>
        <v>0</v>
      </c>
      <c r="AO34" s="417">
        <f t="shared" si="9"/>
        <v>0</v>
      </c>
      <c r="AP34" s="417">
        <f t="shared" si="10"/>
        <v>0</v>
      </c>
      <c r="AQ34" s="417">
        <f t="shared" si="11"/>
        <v>-22264</v>
      </c>
      <c r="AR34" s="417">
        <f t="shared" si="12"/>
        <v>-22264</v>
      </c>
      <c r="AS34" s="68">
        <f t="shared" si="13"/>
        <v>-7525</v>
      </c>
      <c r="AT34" s="68">
        <f t="shared" si="14"/>
        <v>-223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-30012</v>
      </c>
      <c r="AZ34" s="418">
        <v>0</v>
      </c>
      <c r="BA34" s="418">
        <v>0</v>
      </c>
      <c r="BB34" s="418">
        <v>0</v>
      </c>
      <c r="BC34" s="418">
        <v>0</v>
      </c>
      <c r="BD34" s="418">
        <v>-7.0000000000000007E-2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-7.0000000000000007E-2</v>
      </c>
      <c r="BK34" s="420">
        <f t="shared" si="19"/>
        <v>-7.0000000000000007E-2</v>
      </c>
      <c r="BL34" s="772">
        <f>I34+AY34</f>
        <v>1774071</v>
      </c>
      <c r="BM34" s="417">
        <f>J34+AG34</f>
        <v>1309326</v>
      </c>
      <c r="BN34" s="417">
        <f t="shared" si="45"/>
        <v>0</v>
      </c>
      <c r="BO34" s="417">
        <f t="shared" si="45"/>
        <v>1309326</v>
      </c>
      <c r="BP34" s="417">
        <f>M34+AO34</f>
        <v>0</v>
      </c>
      <c r="BQ34" s="417">
        <f t="shared" si="46"/>
        <v>0</v>
      </c>
      <c r="BR34" s="417">
        <f t="shared" si="46"/>
        <v>0</v>
      </c>
      <c r="BS34" s="417">
        <f t="shared" si="47"/>
        <v>442552</v>
      </c>
      <c r="BT34" s="417">
        <f t="shared" si="47"/>
        <v>13093</v>
      </c>
      <c r="BU34" s="417">
        <f>R34+AX34</f>
        <v>9100</v>
      </c>
      <c r="BV34" s="418">
        <f>S34+BK34</f>
        <v>3.9200000000000004</v>
      </c>
      <c r="BW34" s="418">
        <f t="shared" si="48"/>
        <v>0</v>
      </c>
      <c r="BX34" s="420">
        <f t="shared" si="48"/>
        <v>3.9200000000000004</v>
      </c>
      <c r="BY34" s="419"/>
      <c r="BZ34" s="414"/>
      <c r="CA34" s="414"/>
      <c r="CB34" s="414"/>
      <c r="CC34" s="414"/>
      <c r="CD34" s="422"/>
      <c r="CE34" s="419">
        <f t="shared" si="24"/>
        <v>0</v>
      </c>
      <c r="CF34" s="414">
        <v>0</v>
      </c>
      <c r="CG34" s="414">
        <v>0</v>
      </c>
      <c r="CH34" s="414">
        <v>0</v>
      </c>
      <c r="CI34" s="414">
        <v>0</v>
      </c>
      <c r="CJ34" s="509">
        <v>0</v>
      </c>
    </row>
    <row r="35" spans="1:88" ht="14.1" customHeight="1">
      <c r="A35" s="72">
        <v>6</v>
      </c>
      <c r="B35" s="69">
        <v>2407</v>
      </c>
      <c r="C35" s="70">
        <v>600079520</v>
      </c>
      <c r="D35" s="69">
        <v>72741465</v>
      </c>
      <c r="E35" s="71" t="s">
        <v>545</v>
      </c>
      <c r="F35" s="72"/>
      <c r="G35" s="71"/>
      <c r="H35" s="73"/>
      <c r="I35" s="516">
        <v>18525322</v>
      </c>
      <c r="J35" s="74">
        <v>13675647</v>
      </c>
      <c r="K35" s="74">
        <v>11049381</v>
      </c>
      <c r="L35" s="74">
        <v>2626266</v>
      </c>
      <c r="M35" s="74">
        <v>0</v>
      </c>
      <c r="N35" s="74">
        <v>0</v>
      </c>
      <c r="O35" s="74">
        <v>0</v>
      </c>
      <c r="P35" s="74">
        <v>4622369</v>
      </c>
      <c r="Q35" s="74">
        <v>136756</v>
      </c>
      <c r="R35" s="74">
        <v>90550</v>
      </c>
      <c r="S35" s="75">
        <v>28.7483</v>
      </c>
      <c r="T35" s="75">
        <v>20.281599999999997</v>
      </c>
      <c r="U35" s="653">
        <v>8.4666999999999994</v>
      </c>
      <c r="V35" s="516">
        <f t="shared" ref="V35:BX35" si="49">SUM(V32:V34)</f>
        <v>0</v>
      </c>
      <c r="W35" s="74">
        <f t="shared" si="49"/>
        <v>0</v>
      </c>
      <c r="X35" s="74">
        <f t="shared" si="49"/>
        <v>0</v>
      </c>
      <c r="Y35" s="74">
        <f t="shared" si="49"/>
        <v>0</v>
      </c>
      <c r="Z35" s="74">
        <f t="shared" si="49"/>
        <v>0</v>
      </c>
      <c r="AA35" s="74">
        <f t="shared" si="49"/>
        <v>-22264</v>
      </c>
      <c r="AB35" s="74">
        <f t="shared" si="49"/>
        <v>0</v>
      </c>
      <c r="AC35" s="74">
        <f t="shared" si="49"/>
        <v>0</v>
      </c>
      <c r="AD35" s="74">
        <f t="shared" si="49"/>
        <v>0</v>
      </c>
      <c r="AE35" s="74">
        <f t="shared" si="49"/>
        <v>0</v>
      </c>
      <c r="AF35" s="74">
        <f t="shared" si="49"/>
        <v>-22264</v>
      </c>
      <c r="AG35" s="74">
        <f t="shared" si="49"/>
        <v>-22264</v>
      </c>
      <c r="AH35" s="74">
        <f t="shared" si="49"/>
        <v>0</v>
      </c>
      <c r="AI35" s="74">
        <f t="shared" si="49"/>
        <v>0</v>
      </c>
      <c r="AJ35" s="74">
        <f t="shared" si="49"/>
        <v>0</v>
      </c>
      <c r="AK35" s="74">
        <f t="shared" si="49"/>
        <v>0</v>
      </c>
      <c r="AL35" s="74">
        <f t="shared" si="49"/>
        <v>0</v>
      </c>
      <c r="AM35" s="74">
        <f t="shared" si="49"/>
        <v>0</v>
      </c>
      <c r="AN35" s="74">
        <f t="shared" si="49"/>
        <v>0</v>
      </c>
      <c r="AO35" s="74">
        <f t="shared" si="49"/>
        <v>0</v>
      </c>
      <c r="AP35" s="74">
        <f t="shared" si="49"/>
        <v>0</v>
      </c>
      <c r="AQ35" s="74">
        <f t="shared" si="49"/>
        <v>-22264</v>
      </c>
      <c r="AR35" s="74">
        <f t="shared" si="49"/>
        <v>-22264</v>
      </c>
      <c r="AS35" s="74">
        <f t="shared" si="49"/>
        <v>-7525</v>
      </c>
      <c r="AT35" s="74">
        <f t="shared" si="49"/>
        <v>-223</v>
      </c>
      <c r="AU35" s="74">
        <f t="shared" si="49"/>
        <v>0</v>
      </c>
      <c r="AV35" s="74">
        <f t="shared" si="49"/>
        <v>0</v>
      </c>
      <c r="AW35" s="74">
        <f t="shared" si="49"/>
        <v>0</v>
      </c>
      <c r="AX35" s="74">
        <f t="shared" si="49"/>
        <v>0</v>
      </c>
      <c r="AY35" s="74">
        <f t="shared" si="49"/>
        <v>-30012</v>
      </c>
      <c r="AZ35" s="75">
        <f t="shared" si="49"/>
        <v>0</v>
      </c>
      <c r="BA35" s="75">
        <f t="shared" si="49"/>
        <v>0</v>
      </c>
      <c r="BB35" s="75">
        <f t="shared" si="49"/>
        <v>0</v>
      </c>
      <c r="BC35" s="75">
        <f t="shared" si="49"/>
        <v>0</v>
      </c>
      <c r="BD35" s="75">
        <f t="shared" si="49"/>
        <v>-7.0000000000000007E-2</v>
      </c>
      <c r="BE35" s="75">
        <f t="shared" si="49"/>
        <v>0</v>
      </c>
      <c r="BF35" s="75">
        <f t="shared" si="49"/>
        <v>0</v>
      </c>
      <c r="BG35" s="75">
        <f t="shared" si="49"/>
        <v>0</v>
      </c>
      <c r="BH35" s="75">
        <f t="shared" si="49"/>
        <v>0</v>
      </c>
      <c r="BI35" s="75">
        <f t="shared" si="49"/>
        <v>0</v>
      </c>
      <c r="BJ35" s="75">
        <f t="shared" si="49"/>
        <v>-7.0000000000000007E-2</v>
      </c>
      <c r="BK35" s="76">
        <f t="shared" si="49"/>
        <v>-7.0000000000000007E-2</v>
      </c>
      <c r="BL35" s="781">
        <f t="shared" si="49"/>
        <v>18495310</v>
      </c>
      <c r="BM35" s="74">
        <f t="shared" si="49"/>
        <v>13653383</v>
      </c>
      <c r="BN35" s="74">
        <f t="shared" si="49"/>
        <v>11049381</v>
      </c>
      <c r="BO35" s="74">
        <f t="shared" si="49"/>
        <v>2604002</v>
      </c>
      <c r="BP35" s="74">
        <f t="shared" si="49"/>
        <v>0</v>
      </c>
      <c r="BQ35" s="74">
        <f t="shared" si="49"/>
        <v>0</v>
      </c>
      <c r="BR35" s="74">
        <f t="shared" si="49"/>
        <v>0</v>
      </c>
      <c r="BS35" s="74">
        <f t="shared" si="49"/>
        <v>4614844</v>
      </c>
      <c r="BT35" s="74">
        <f t="shared" si="49"/>
        <v>136533</v>
      </c>
      <c r="BU35" s="74">
        <f t="shared" si="49"/>
        <v>90550</v>
      </c>
      <c r="BV35" s="75">
        <f t="shared" si="49"/>
        <v>28.6783</v>
      </c>
      <c r="BW35" s="75">
        <f t="shared" si="49"/>
        <v>20.281599999999997</v>
      </c>
      <c r="BX35" s="76">
        <f t="shared" si="49"/>
        <v>8.3966999999999992</v>
      </c>
      <c r="BY35" s="791">
        <f t="shared" ref="BY35:CJ35" si="50">SUM(BY32:BY34)</f>
        <v>0</v>
      </c>
      <c r="BZ35" s="679">
        <f t="shared" si="50"/>
        <v>0</v>
      </c>
      <c r="CA35" s="679">
        <f t="shared" si="50"/>
        <v>0</v>
      </c>
      <c r="CB35" s="679">
        <f t="shared" si="50"/>
        <v>0</v>
      </c>
      <c r="CC35" s="679">
        <f t="shared" si="50"/>
        <v>0</v>
      </c>
      <c r="CD35" s="947">
        <f t="shared" si="50"/>
        <v>0</v>
      </c>
      <c r="CE35" s="956">
        <f t="shared" si="50"/>
        <v>584757</v>
      </c>
      <c r="CF35" s="953">
        <f t="shared" si="50"/>
        <v>415417</v>
      </c>
      <c r="CG35" s="953">
        <f t="shared" si="50"/>
        <v>140411</v>
      </c>
      <c r="CH35" s="953">
        <f t="shared" si="50"/>
        <v>4154</v>
      </c>
      <c r="CI35" s="953">
        <f t="shared" si="50"/>
        <v>24775</v>
      </c>
      <c r="CJ35" s="877">
        <f t="shared" si="50"/>
        <v>1.4363999999999999</v>
      </c>
    </row>
    <row r="36" spans="1:88" ht="14.1" customHeight="1">
      <c r="A36" s="66">
        <v>7</v>
      </c>
      <c r="B36" s="63">
        <v>2422</v>
      </c>
      <c r="C36" s="64">
        <v>600079082</v>
      </c>
      <c r="D36" s="63">
        <v>72742585</v>
      </c>
      <c r="E36" s="65" t="s">
        <v>546</v>
      </c>
      <c r="F36" s="66">
        <v>3111</v>
      </c>
      <c r="G36" s="65" t="s">
        <v>290</v>
      </c>
      <c r="H36" s="67" t="s">
        <v>271</v>
      </c>
      <c r="I36" s="419">
        <v>9747859</v>
      </c>
      <c r="J36" s="414">
        <v>7139192</v>
      </c>
      <c r="K36" s="414">
        <v>6293455</v>
      </c>
      <c r="L36" s="414">
        <v>845737</v>
      </c>
      <c r="M36" s="414">
        <v>56000</v>
      </c>
      <c r="N36" s="414">
        <v>40000</v>
      </c>
      <c r="O36" s="414">
        <v>16000</v>
      </c>
      <c r="P36" s="595">
        <v>2431975</v>
      </c>
      <c r="Q36" s="595">
        <v>71392</v>
      </c>
      <c r="R36" s="414">
        <v>49300</v>
      </c>
      <c r="S36" s="415">
        <v>13.721900000000002</v>
      </c>
      <c r="T36" s="415">
        <v>10.8065</v>
      </c>
      <c r="U36" s="422">
        <v>2.9154</v>
      </c>
      <c r="V36" s="423">
        <f t="shared" si="2"/>
        <v>1000</v>
      </c>
      <c r="W36" s="417">
        <f t="shared" si="3"/>
        <v>10000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4"/>
        <v>1000</v>
      </c>
      <c r="AF36" s="417">
        <f t="shared" si="5"/>
        <v>10000</v>
      </c>
      <c r="AG36" s="417">
        <f t="shared" si="6"/>
        <v>11000</v>
      </c>
      <c r="AH36" s="417">
        <v>-1000</v>
      </c>
      <c r="AI36" s="417">
        <v>-10000</v>
      </c>
      <c r="AJ36" s="417">
        <v>0</v>
      </c>
      <c r="AK36" s="417">
        <v>0</v>
      </c>
      <c r="AL36" s="417">
        <v>0</v>
      </c>
      <c r="AM36" s="417">
        <f t="shared" si="7"/>
        <v>-1000</v>
      </c>
      <c r="AN36" s="417">
        <f t="shared" si="8"/>
        <v>-10000</v>
      </c>
      <c r="AO36" s="417">
        <f t="shared" si="9"/>
        <v>-11000</v>
      </c>
      <c r="AP36" s="417">
        <f t="shared" si="10"/>
        <v>0</v>
      </c>
      <c r="AQ36" s="417">
        <f t="shared" si="11"/>
        <v>0</v>
      </c>
      <c r="AR36" s="417">
        <f t="shared" si="12"/>
        <v>0</v>
      </c>
      <c r="AS36" s="68">
        <f t="shared" si="13"/>
        <v>0</v>
      </c>
      <c r="AT36" s="68">
        <f t="shared" si="14"/>
        <v>110</v>
      </c>
      <c r="AU36" s="417">
        <v>0</v>
      </c>
      <c r="AV36" s="417">
        <v>0</v>
      </c>
      <c r="AW36" s="417">
        <v>0</v>
      </c>
      <c r="AX36" s="417">
        <f t="shared" si="15"/>
        <v>0</v>
      </c>
      <c r="AY36" s="417">
        <f t="shared" si="16"/>
        <v>110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</v>
      </c>
      <c r="BK36" s="420">
        <f t="shared" si="19"/>
        <v>0</v>
      </c>
      <c r="BL36" s="772">
        <f>I36+AY36</f>
        <v>9747969</v>
      </c>
      <c r="BM36" s="417">
        <f>J36+AG36</f>
        <v>7150192</v>
      </c>
      <c r="BN36" s="417">
        <f t="shared" ref="BN36:BO38" si="51">K36+AE36</f>
        <v>6294455</v>
      </c>
      <c r="BO36" s="417">
        <f t="shared" si="51"/>
        <v>855737</v>
      </c>
      <c r="BP36" s="417">
        <f>M36+AO36</f>
        <v>45000</v>
      </c>
      <c r="BQ36" s="417">
        <f t="shared" ref="BQ36:BR38" si="52">N36+AM36</f>
        <v>39000</v>
      </c>
      <c r="BR36" s="417">
        <f t="shared" si="52"/>
        <v>6000</v>
      </c>
      <c r="BS36" s="417">
        <f t="shared" ref="BS36:BT38" si="53">P36+AS36</f>
        <v>2431975</v>
      </c>
      <c r="BT36" s="417">
        <f t="shared" si="53"/>
        <v>71502</v>
      </c>
      <c r="BU36" s="417">
        <f>R36+AX36</f>
        <v>49300</v>
      </c>
      <c r="BV36" s="418">
        <f>S36+BK36</f>
        <v>13.721900000000002</v>
      </c>
      <c r="BW36" s="418">
        <f t="shared" ref="BW36:BX38" si="54">T36+BI36</f>
        <v>10.8065</v>
      </c>
      <c r="BX36" s="420">
        <f t="shared" si="54"/>
        <v>2.9154</v>
      </c>
      <c r="BY36" s="419"/>
      <c r="BZ36" s="414"/>
      <c r="CA36" s="414"/>
      <c r="CB36" s="414"/>
      <c r="CC36" s="414"/>
      <c r="CD36" s="422"/>
      <c r="CE36" s="419">
        <f t="shared" si="24"/>
        <v>389142</v>
      </c>
      <c r="CF36" s="414">
        <v>276518</v>
      </c>
      <c r="CG36" s="414">
        <v>93463</v>
      </c>
      <c r="CH36" s="414">
        <v>2765</v>
      </c>
      <c r="CI36" s="414">
        <v>16396</v>
      </c>
      <c r="CJ36" s="509">
        <v>0.94189999999999996</v>
      </c>
    </row>
    <row r="37" spans="1:88" ht="14.1" customHeight="1">
      <c r="A37" s="66">
        <v>7</v>
      </c>
      <c r="B37" s="63">
        <v>2422</v>
      </c>
      <c r="C37" s="64">
        <v>600079082</v>
      </c>
      <c r="D37" s="63">
        <v>72742585</v>
      </c>
      <c r="E37" s="65" t="s">
        <v>546</v>
      </c>
      <c r="F37" s="66">
        <v>3111</v>
      </c>
      <c r="G37" s="77" t="s">
        <v>291</v>
      </c>
      <c r="H37" s="67" t="s">
        <v>272</v>
      </c>
      <c r="I37" s="419">
        <v>374880</v>
      </c>
      <c r="J37" s="414">
        <v>278101</v>
      </c>
      <c r="K37" s="414">
        <v>278101</v>
      </c>
      <c r="L37" s="414">
        <v>0</v>
      </c>
      <c r="M37" s="414">
        <v>0</v>
      </c>
      <c r="N37" s="414">
        <v>0</v>
      </c>
      <c r="O37" s="414">
        <v>0</v>
      </c>
      <c r="P37" s="595">
        <v>93998</v>
      </c>
      <c r="Q37" s="595">
        <v>2781</v>
      </c>
      <c r="R37" s="414">
        <v>0</v>
      </c>
      <c r="S37" s="415">
        <v>0.75</v>
      </c>
      <c r="T37" s="416">
        <v>0.75</v>
      </c>
      <c r="U37" s="422">
        <v>0</v>
      </c>
      <c r="V37" s="423">
        <f t="shared" si="2"/>
        <v>0</v>
      </c>
      <c r="W37" s="417">
        <f t="shared" si="3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4"/>
        <v>0</v>
      </c>
      <c r="AF37" s="417">
        <f t="shared" si="5"/>
        <v>0</v>
      </c>
      <c r="AG37" s="417">
        <f t="shared" si="6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7"/>
        <v>0</v>
      </c>
      <c r="AN37" s="417">
        <f t="shared" si="8"/>
        <v>0</v>
      </c>
      <c r="AO37" s="417">
        <f t="shared" si="9"/>
        <v>0</v>
      </c>
      <c r="AP37" s="417">
        <f t="shared" si="10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>I37+AY37</f>
        <v>374880</v>
      </c>
      <c r="BM37" s="417">
        <f>J37+AG37</f>
        <v>278101</v>
      </c>
      <c r="BN37" s="417">
        <f t="shared" si="51"/>
        <v>278101</v>
      </c>
      <c r="BO37" s="417">
        <f t="shared" si="51"/>
        <v>0</v>
      </c>
      <c r="BP37" s="417">
        <f>M37+AO37</f>
        <v>0</v>
      </c>
      <c r="BQ37" s="417">
        <f t="shared" si="52"/>
        <v>0</v>
      </c>
      <c r="BR37" s="417">
        <f t="shared" si="52"/>
        <v>0</v>
      </c>
      <c r="BS37" s="417">
        <f t="shared" si="53"/>
        <v>93998</v>
      </c>
      <c r="BT37" s="417">
        <f t="shared" si="53"/>
        <v>2781</v>
      </c>
      <c r="BU37" s="417">
        <f>R37+AX37</f>
        <v>0</v>
      </c>
      <c r="BV37" s="418">
        <f>S37+BK37</f>
        <v>0.75</v>
      </c>
      <c r="BW37" s="418">
        <f t="shared" si="54"/>
        <v>0.75</v>
      </c>
      <c r="BX37" s="420">
        <f t="shared" si="54"/>
        <v>0</v>
      </c>
      <c r="BY37" s="419"/>
      <c r="BZ37" s="414"/>
      <c r="CA37" s="414"/>
      <c r="CB37" s="414"/>
      <c r="CC37" s="414"/>
      <c r="CD37" s="422"/>
      <c r="CE37" s="419">
        <f t="shared" si="24"/>
        <v>0</v>
      </c>
      <c r="CF37" s="414">
        <v>0</v>
      </c>
      <c r="CG37" s="414">
        <v>0</v>
      </c>
      <c r="CH37" s="414">
        <v>0</v>
      </c>
      <c r="CI37" s="414">
        <v>0</v>
      </c>
      <c r="CJ37" s="509">
        <v>0</v>
      </c>
    </row>
    <row r="38" spans="1:88" ht="14.1" customHeight="1">
      <c r="A38" s="66">
        <v>7</v>
      </c>
      <c r="B38" s="63">
        <v>2422</v>
      </c>
      <c r="C38" s="64">
        <v>600079082</v>
      </c>
      <c r="D38" s="63">
        <v>72742585</v>
      </c>
      <c r="E38" s="65" t="s">
        <v>546</v>
      </c>
      <c r="F38" s="66">
        <v>3141</v>
      </c>
      <c r="G38" s="65" t="s">
        <v>294</v>
      </c>
      <c r="H38" s="67" t="s">
        <v>272</v>
      </c>
      <c r="I38" s="419">
        <v>1216724</v>
      </c>
      <c r="J38" s="414">
        <v>898294</v>
      </c>
      <c r="K38" s="414">
        <v>0</v>
      </c>
      <c r="L38" s="744">
        <v>898294</v>
      </c>
      <c r="M38" s="414">
        <v>0</v>
      </c>
      <c r="N38" s="204">
        <v>0</v>
      </c>
      <c r="O38" s="204">
        <v>0</v>
      </c>
      <c r="P38" s="595">
        <v>303623</v>
      </c>
      <c r="Q38" s="595">
        <v>8983</v>
      </c>
      <c r="R38" s="601">
        <v>5824</v>
      </c>
      <c r="S38" s="415">
        <v>2.6932999999999998</v>
      </c>
      <c r="T38" s="603">
        <v>0</v>
      </c>
      <c r="U38" s="731">
        <v>2.6932999999999998</v>
      </c>
      <c r="V38" s="423">
        <f t="shared" si="2"/>
        <v>0</v>
      </c>
      <c r="W38" s="417">
        <f t="shared" si="3"/>
        <v>0</v>
      </c>
      <c r="X38" s="417">
        <v>0</v>
      </c>
      <c r="Y38" s="417">
        <v>0</v>
      </c>
      <c r="Z38" s="417">
        <v>0</v>
      </c>
      <c r="AA38" s="417">
        <v>-10107</v>
      </c>
      <c r="AB38" s="417">
        <v>0</v>
      </c>
      <c r="AC38" s="417">
        <v>0</v>
      </c>
      <c r="AD38" s="417">
        <v>0</v>
      </c>
      <c r="AE38" s="417">
        <f t="shared" si="4"/>
        <v>0</v>
      </c>
      <c r="AF38" s="417">
        <f t="shared" si="5"/>
        <v>-10107</v>
      </c>
      <c r="AG38" s="417">
        <f t="shared" si="6"/>
        <v>-10107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7"/>
        <v>0</v>
      </c>
      <c r="AN38" s="417">
        <f t="shared" si="8"/>
        <v>0</v>
      </c>
      <c r="AO38" s="417">
        <f t="shared" si="9"/>
        <v>0</v>
      </c>
      <c r="AP38" s="417">
        <f t="shared" si="10"/>
        <v>0</v>
      </c>
      <c r="AQ38" s="417">
        <f t="shared" si="11"/>
        <v>-10107</v>
      </c>
      <c r="AR38" s="417">
        <f t="shared" si="12"/>
        <v>-10107</v>
      </c>
      <c r="AS38" s="68">
        <f t="shared" si="13"/>
        <v>-3416</v>
      </c>
      <c r="AT38" s="68">
        <f t="shared" si="14"/>
        <v>-101</v>
      </c>
      <c r="AU38" s="417">
        <v>0</v>
      </c>
      <c r="AV38" s="417">
        <v>0</v>
      </c>
      <c r="AW38" s="417">
        <v>0</v>
      </c>
      <c r="AX38" s="417">
        <f t="shared" si="15"/>
        <v>0</v>
      </c>
      <c r="AY38" s="417">
        <f t="shared" si="16"/>
        <v>-13624</v>
      </c>
      <c r="AZ38" s="418">
        <v>0</v>
      </c>
      <c r="BA38" s="418">
        <v>0</v>
      </c>
      <c r="BB38" s="418">
        <v>0</v>
      </c>
      <c r="BC38" s="418">
        <v>0</v>
      </c>
      <c r="BD38" s="418">
        <v>-0.03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7"/>
        <v>0</v>
      </c>
      <c r="BJ38" s="418">
        <f t="shared" si="18"/>
        <v>-0.03</v>
      </c>
      <c r="BK38" s="420">
        <f t="shared" si="19"/>
        <v>-0.03</v>
      </c>
      <c r="BL38" s="772">
        <f>I38+AY38</f>
        <v>1203100</v>
      </c>
      <c r="BM38" s="417">
        <f>J38+AG38</f>
        <v>888187</v>
      </c>
      <c r="BN38" s="417">
        <f t="shared" si="51"/>
        <v>0</v>
      </c>
      <c r="BO38" s="417">
        <f t="shared" si="51"/>
        <v>888187</v>
      </c>
      <c r="BP38" s="417">
        <f>M38+AO38</f>
        <v>0</v>
      </c>
      <c r="BQ38" s="417">
        <f t="shared" si="52"/>
        <v>0</v>
      </c>
      <c r="BR38" s="417">
        <f t="shared" si="52"/>
        <v>0</v>
      </c>
      <c r="BS38" s="417">
        <f t="shared" si="53"/>
        <v>300207</v>
      </c>
      <c r="BT38" s="417">
        <f t="shared" si="53"/>
        <v>8882</v>
      </c>
      <c r="BU38" s="417">
        <f>R38+AX38</f>
        <v>5824</v>
      </c>
      <c r="BV38" s="418">
        <f>S38+BK38</f>
        <v>2.6633</v>
      </c>
      <c r="BW38" s="418">
        <f t="shared" si="54"/>
        <v>0</v>
      </c>
      <c r="BX38" s="420">
        <f t="shared" si="54"/>
        <v>2.6633</v>
      </c>
      <c r="BY38" s="419"/>
      <c r="BZ38" s="414"/>
      <c r="CA38" s="414"/>
      <c r="CB38" s="414"/>
      <c r="CC38" s="414"/>
      <c r="CD38" s="422"/>
      <c r="CE38" s="419">
        <f t="shared" si="24"/>
        <v>0</v>
      </c>
      <c r="CF38" s="414">
        <v>0</v>
      </c>
      <c r="CG38" s="414">
        <v>0</v>
      </c>
      <c r="CH38" s="414">
        <v>0</v>
      </c>
      <c r="CI38" s="414">
        <v>0</v>
      </c>
      <c r="CJ38" s="509">
        <v>0</v>
      </c>
    </row>
    <row r="39" spans="1:88" ht="14.1" customHeight="1">
      <c r="A39" s="72">
        <v>7</v>
      </c>
      <c r="B39" s="69">
        <v>2422</v>
      </c>
      <c r="C39" s="70">
        <v>600079082</v>
      </c>
      <c r="D39" s="69">
        <v>72742585</v>
      </c>
      <c r="E39" s="71" t="s">
        <v>547</v>
      </c>
      <c r="F39" s="72"/>
      <c r="G39" s="71"/>
      <c r="H39" s="73"/>
      <c r="I39" s="516">
        <v>11339463</v>
      </c>
      <c r="J39" s="74">
        <v>8315587</v>
      </c>
      <c r="K39" s="74">
        <v>6571556</v>
      </c>
      <c r="L39" s="74">
        <v>1744031</v>
      </c>
      <c r="M39" s="74">
        <v>56000</v>
      </c>
      <c r="N39" s="74">
        <v>40000</v>
      </c>
      <c r="O39" s="74">
        <v>16000</v>
      </c>
      <c r="P39" s="74">
        <v>2829596</v>
      </c>
      <c r="Q39" s="74">
        <v>83156</v>
      </c>
      <c r="R39" s="74">
        <v>55124</v>
      </c>
      <c r="S39" s="75">
        <v>17.165200000000002</v>
      </c>
      <c r="T39" s="75">
        <v>11.5565</v>
      </c>
      <c r="U39" s="653">
        <v>5.6086999999999998</v>
      </c>
      <c r="V39" s="516">
        <f t="shared" ref="V39:BX39" si="55">SUM(V36:V38)</f>
        <v>1000</v>
      </c>
      <c r="W39" s="74">
        <f t="shared" si="55"/>
        <v>10000</v>
      </c>
      <c r="X39" s="74">
        <f t="shared" si="55"/>
        <v>0</v>
      </c>
      <c r="Y39" s="74">
        <f t="shared" si="55"/>
        <v>0</v>
      </c>
      <c r="Z39" s="74">
        <f t="shared" si="55"/>
        <v>0</v>
      </c>
      <c r="AA39" s="74">
        <f t="shared" si="55"/>
        <v>-10107</v>
      </c>
      <c r="AB39" s="74">
        <f t="shared" si="55"/>
        <v>0</v>
      </c>
      <c r="AC39" s="74">
        <f t="shared" si="55"/>
        <v>0</v>
      </c>
      <c r="AD39" s="74">
        <f t="shared" si="55"/>
        <v>0</v>
      </c>
      <c r="AE39" s="74">
        <f t="shared" si="55"/>
        <v>1000</v>
      </c>
      <c r="AF39" s="74">
        <f t="shared" si="55"/>
        <v>-107</v>
      </c>
      <c r="AG39" s="74">
        <f t="shared" si="55"/>
        <v>893</v>
      </c>
      <c r="AH39" s="74">
        <f t="shared" si="55"/>
        <v>-1000</v>
      </c>
      <c r="AI39" s="74">
        <f t="shared" si="55"/>
        <v>-10000</v>
      </c>
      <c r="AJ39" s="74">
        <f t="shared" si="55"/>
        <v>0</v>
      </c>
      <c r="AK39" s="74">
        <f t="shared" si="55"/>
        <v>0</v>
      </c>
      <c r="AL39" s="74">
        <f t="shared" si="55"/>
        <v>0</v>
      </c>
      <c r="AM39" s="74">
        <f t="shared" si="55"/>
        <v>-1000</v>
      </c>
      <c r="AN39" s="74">
        <f t="shared" si="55"/>
        <v>-10000</v>
      </c>
      <c r="AO39" s="74">
        <f t="shared" si="55"/>
        <v>-11000</v>
      </c>
      <c r="AP39" s="74">
        <f t="shared" si="55"/>
        <v>0</v>
      </c>
      <c r="AQ39" s="74">
        <f t="shared" si="55"/>
        <v>-10107</v>
      </c>
      <c r="AR39" s="74">
        <f t="shared" si="55"/>
        <v>-10107</v>
      </c>
      <c r="AS39" s="74">
        <f t="shared" si="55"/>
        <v>-3416</v>
      </c>
      <c r="AT39" s="74">
        <f t="shared" si="55"/>
        <v>9</v>
      </c>
      <c r="AU39" s="74">
        <f t="shared" si="55"/>
        <v>0</v>
      </c>
      <c r="AV39" s="74">
        <f t="shared" si="55"/>
        <v>0</v>
      </c>
      <c r="AW39" s="74">
        <f t="shared" si="55"/>
        <v>0</v>
      </c>
      <c r="AX39" s="74">
        <f t="shared" si="55"/>
        <v>0</v>
      </c>
      <c r="AY39" s="74">
        <f t="shared" si="55"/>
        <v>-13514</v>
      </c>
      <c r="AZ39" s="75">
        <f t="shared" si="55"/>
        <v>0</v>
      </c>
      <c r="BA39" s="75">
        <f t="shared" si="55"/>
        <v>0</v>
      </c>
      <c r="BB39" s="75">
        <f t="shared" si="55"/>
        <v>0</v>
      </c>
      <c r="BC39" s="75">
        <f t="shared" si="55"/>
        <v>0</v>
      </c>
      <c r="BD39" s="75">
        <f t="shared" si="55"/>
        <v>-0.03</v>
      </c>
      <c r="BE39" s="75">
        <f t="shared" si="55"/>
        <v>0</v>
      </c>
      <c r="BF39" s="75">
        <f t="shared" si="55"/>
        <v>0</v>
      </c>
      <c r="BG39" s="75">
        <f t="shared" si="55"/>
        <v>0</v>
      </c>
      <c r="BH39" s="75">
        <f t="shared" si="55"/>
        <v>0</v>
      </c>
      <c r="BI39" s="75">
        <f t="shared" si="55"/>
        <v>0</v>
      </c>
      <c r="BJ39" s="75">
        <f t="shared" si="55"/>
        <v>-0.03</v>
      </c>
      <c r="BK39" s="76">
        <f t="shared" si="55"/>
        <v>-0.03</v>
      </c>
      <c r="BL39" s="781">
        <f t="shared" si="55"/>
        <v>11325949</v>
      </c>
      <c r="BM39" s="74">
        <f t="shared" si="55"/>
        <v>8316480</v>
      </c>
      <c r="BN39" s="74">
        <f t="shared" si="55"/>
        <v>6572556</v>
      </c>
      <c r="BO39" s="74">
        <f t="shared" si="55"/>
        <v>1743924</v>
      </c>
      <c r="BP39" s="74">
        <f t="shared" si="55"/>
        <v>45000</v>
      </c>
      <c r="BQ39" s="74">
        <f t="shared" si="55"/>
        <v>39000</v>
      </c>
      <c r="BR39" s="74">
        <f t="shared" si="55"/>
        <v>6000</v>
      </c>
      <c r="BS39" s="74">
        <f t="shared" si="55"/>
        <v>2826180</v>
      </c>
      <c r="BT39" s="74">
        <f t="shared" si="55"/>
        <v>83165</v>
      </c>
      <c r="BU39" s="74">
        <f t="shared" si="55"/>
        <v>55124</v>
      </c>
      <c r="BV39" s="75">
        <f t="shared" si="55"/>
        <v>17.135200000000001</v>
      </c>
      <c r="BW39" s="75">
        <f t="shared" si="55"/>
        <v>11.5565</v>
      </c>
      <c r="BX39" s="76">
        <f t="shared" si="55"/>
        <v>5.5786999999999995</v>
      </c>
      <c r="BY39" s="791">
        <f t="shared" ref="BY39:CJ39" si="56">SUM(BY36:BY38)</f>
        <v>0</v>
      </c>
      <c r="BZ39" s="679">
        <f t="shared" si="56"/>
        <v>0</v>
      </c>
      <c r="CA39" s="679">
        <f t="shared" si="56"/>
        <v>0</v>
      </c>
      <c r="CB39" s="679">
        <f t="shared" si="56"/>
        <v>0</v>
      </c>
      <c r="CC39" s="679">
        <f t="shared" si="56"/>
        <v>0</v>
      </c>
      <c r="CD39" s="947">
        <f t="shared" si="56"/>
        <v>0</v>
      </c>
      <c r="CE39" s="956">
        <f t="shared" si="56"/>
        <v>389142</v>
      </c>
      <c r="CF39" s="953">
        <f t="shared" si="56"/>
        <v>276518</v>
      </c>
      <c r="CG39" s="953">
        <f t="shared" si="56"/>
        <v>93463</v>
      </c>
      <c r="CH39" s="953">
        <f t="shared" si="56"/>
        <v>2765</v>
      </c>
      <c r="CI39" s="953">
        <f t="shared" si="56"/>
        <v>16396</v>
      </c>
      <c r="CJ39" s="877">
        <f t="shared" si="56"/>
        <v>0.94189999999999996</v>
      </c>
    </row>
    <row r="40" spans="1:88" ht="14.1" customHeight="1">
      <c r="A40" s="66">
        <v>8</v>
      </c>
      <c r="B40" s="63">
        <v>2427</v>
      </c>
      <c r="C40" s="64">
        <v>600079091</v>
      </c>
      <c r="D40" s="63">
        <v>72741627</v>
      </c>
      <c r="E40" s="65" t="s">
        <v>548</v>
      </c>
      <c r="F40" s="66">
        <v>3111</v>
      </c>
      <c r="G40" s="65" t="s">
        <v>290</v>
      </c>
      <c r="H40" s="67" t="s">
        <v>271</v>
      </c>
      <c r="I40" s="419">
        <v>5511856</v>
      </c>
      <c r="J40" s="414">
        <v>4072890</v>
      </c>
      <c r="K40" s="414">
        <v>3583034</v>
      </c>
      <c r="L40" s="414">
        <v>489856</v>
      </c>
      <c r="M40" s="414">
        <v>0</v>
      </c>
      <c r="N40" s="414">
        <v>0</v>
      </c>
      <c r="O40" s="414">
        <v>0</v>
      </c>
      <c r="P40" s="595">
        <v>1376637</v>
      </c>
      <c r="Q40" s="595">
        <v>40729</v>
      </c>
      <c r="R40" s="414">
        <v>21600</v>
      </c>
      <c r="S40" s="415">
        <v>7.891</v>
      </c>
      <c r="T40" s="415">
        <v>6.2417999999999996</v>
      </c>
      <c r="U40" s="422">
        <v>1.6492</v>
      </c>
      <c r="V40" s="423">
        <f t="shared" si="2"/>
        <v>0</v>
      </c>
      <c r="W40" s="417">
        <f t="shared" si="3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4"/>
        <v>0</v>
      </c>
      <c r="AF40" s="417">
        <f t="shared" si="5"/>
        <v>0</v>
      </c>
      <c r="AG40" s="417">
        <f t="shared" si="6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7"/>
        <v>0</v>
      </c>
      <c r="AN40" s="417">
        <f t="shared" si="8"/>
        <v>0</v>
      </c>
      <c r="AO40" s="417">
        <f t="shared" si="9"/>
        <v>0</v>
      </c>
      <c r="AP40" s="417">
        <f t="shared" si="10"/>
        <v>0</v>
      </c>
      <c r="AQ40" s="417">
        <f t="shared" si="11"/>
        <v>0</v>
      </c>
      <c r="AR40" s="417">
        <f t="shared" si="12"/>
        <v>0</v>
      </c>
      <c r="AS40" s="68">
        <f t="shared" si="13"/>
        <v>0</v>
      </c>
      <c r="AT40" s="68">
        <f t="shared" si="14"/>
        <v>0</v>
      </c>
      <c r="AU40" s="417">
        <v>0</v>
      </c>
      <c r="AV40" s="417">
        <v>0</v>
      </c>
      <c r="AW40" s="417">
        <v>0</v>
      </c>
      <c r="AX40" s="417">
        <f t="shared" si="15"/>
        <v>0</v>
      </c>
      <c r="AY40" s="417">
        <f t="shared" si="16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</v>
      </c>
      <c r="BJ40" s="418">
        <f t="shared" si="18"/>
        <v>0</v>
      </c>
      <c r="BK40" s="420">
        <f t="shared" si="19"/>
        <v>0</v>
      </c>
      <c r="BL40" s="772">
        <f>I40+AY40</f>
        <v>5511856</v>
      </c>
      <c r="BM40" s="417">
        <f>J40+AG40</f>
        <v>4072890</v>
      </c>
      <c r="BN40" s="417">
        <f t="shared" ref="BN40:BO42" si="57">K40+AE40</f>
        <v>3583034</v>
      </c>
      <c r="BO40" s="417">
        <f t="shared" si="57"/>
        <v>489856</v>
      </c>
      <c r="BP40" s="417">
        <f>M40+AO40</f>
        <v>0</v>
      </c>
      <c r="BQ40" s="417">
        <f t="shared" ref="BQ40:BR42" si="58">N40+AM40</f>
        <v>0</v>
      </c>
      <c r="BR40" s="417">
        <f t="shared" si="58"/>
        <v>0</v>
      </c>
      <c r="BS40" s="417">
        <f t="shared" ref="BS40:BT42" si="59">P40+AS40</f>
        <v>1376637</v>
      </c>
      <c r="BT40" s="417">
        <f t="shared" si="59"/>
        <v>40729</v>
      </c>
      <c r="BU40" s="417">
        <f>R40+AX40</f>
        <v>21600</v>
      </c>
      <c r="BV40" s="418">
        <f>S40+BK40</f>
        <v>7.891</v>
      </c>
      <c r="BW40" s="418">
        <f t="shared" ref="BW40:BX42" si="60">T40+BI40</f>
        <v>6.2417999999999996</v>
      </c>
      <c r="BX40" s="420">
        <f t="shared" si="60"/>
        <v>1.6492</v>
      </c>
      <c r="BY40" s="419"/>
      <c r="BZ40" s="414"/>
      <c r="CA40" s="414"/>
      <c r="CB40" s="414"/>
      <c r="CC40" s="414"/>
      <c r="CD40" s="422"/>
      <c r="CE40" s="419">
        <f t="shared" si="24"/>
        <v>219070</v>
      </c>
      <c r="CF40" s="414">
        <v>157187</v>
      </c>
      <c r="CG40" s="414">
        <v>53129</v>
      </c>
      <c r="CH40" s="414">
        <v>1572</v>
      </c>
      <c r="CI40" s="414">
        <v>7182</v>
      </c>
      <c r="CJ40" s="509">
        <v>0.5292</v>
      </c>
    </row>
    <row r="41" spans="1:88" ht="14.1" customHeight="1">
      <c r="A41" s="66">
        <v>8</v>
      </c>
      <c r="B41" s="63">
        <v>2427</v>
      </c>
      <c r="C41" s="64">
        <v>600079091</v>
      </c>
      <c r="D41" s="63">
        <v>72741627</v>
      </c>
      <c r="E41" s="65" t="s">
        <v>548</v>
      </c>
      <c r="F41" s="66">
        <v>3111</v>
      </c>
      <c r="G41" s="77" t="s">
        <v>291</v>
      </c>
      <c r="H41" s="67" t="s">
        <v>272</v>
      </c>
      <c r="I41" s="419">
        <v>0</v>
      </c>
      <c r="J41" s="414"/>
      <c r="K41" s="414">
        <v>0</v>
      </c>
      <c r="L41" s="414">
        <v>0</v>
      </c>
      <c r="M41" s="414">
        <v>0</v>
      </c>
      <c r="N41" s="414">
        <v>0</v>
      </c>
      <c r="O41" s="414">
        <v>0</v>
      </c>
      <c r="P41" s="595">
        <v>0</v>
      </c>
      <c r="Q41" s="595">
        <v>0</v>
      </c>
      <c r="R41" s="414">
        <v>0</v>
      </c>
      <c r="S41" s="415">
        <v>0</v>
      </c>
      <c r="T41" s="415">
        <v>0</v>
      </c>
      <c r="U41" s="422">
        <v>0</v>
      </c>
      <c r="V41" s="423">
        <f t="shared" ref="V41" si="61">AH41*-1</f>
        <v>0</v>
      </c>
      <c r="W41" s="417">
        <f t="shared" ref="W41" si="62">AI41*-1</f>
        <v>0</v>
      </c>
      <c r="X41" s="417">
        <v>69525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ref="AE41" si="63">V41+X41+Y41+Z41+AC41</f>
        <v>69525</v>
      </c>
      <c r="AF41" s="417">
        <f t="shared" ref="AF41" si="64">W41+AA41+AD41+AB41</f>
        <v>0</v>
      </c>
      <c r="AG41" s="417">
        <f t="shared" ref="AG41" si="65">SUM(AE41:AF41)</f>
        <v>69525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ref="AM41" si="66">AH41+AJ41+AK41</f>
        <v>0</v>
      </c>
      <c r="AN41" s="417">
        <f t="shared" ref="AN41" si="67">AI41+AL41</f>
        <v>0</v>
      </c>
      <c r="AO41" s="417">
        <f t="shared" ref="AO41" si="68">SUM(AM41:AN41)</f>
        <v>0</v>
      </c>
      <c r="AP41" s="417">
        <f t="shared" ref="AP41" si="69">AE41+AM41</f>
        <v>69525</v>
      </c>
      <c r="AQ41" s="417">
        <f t="shared" ref="AQ41" si="70">AF41+AN41</f>
        <v>0</v>
      </c>
      <c r="AR41" s="417">
        <f t="shared" ref="AR41" si="71">SUM(AP41:AQ41)</f>
        <v>69525</v>
      </c>
      <c r="AS41" s="68">
        <f t="shared" ref="AS41" si="72">ROUND((AG41+AH41+AI41+AJ41)*33.8%,0)</f>
        <v>23499</v>
      </c>
      <c r="AT41" s="68">
        <f t="shared" ref="AT41" si="73">ROUND(AG41*1%,0)</f>
        <v>695</v>
      </c>
      <c r="AU41" s="417">
        <v>0</v>
      </c>
      <c r="AV41" s="417">
        <v>0</v>
      </c>
      <c r="AW41" s="417">
        <v>0</v>
      </c>
      <c r="AX41" s="417">
        <f t="shared" ref="AX41" si="74">SUM(AU41:AW41)</f>
        <v>0</v>
      </c>
      <c r="AY41" s="417">
        <f t="shared" ref="AY41" si="75">AR41+AS41+AT41+AX41</f>
        <v>93719</v>
      </c>
      <c r="AZ41" s="418">
        <v>0</v>
      </c>
      <c r="BA41" s="418">
        <v>0</v>
      </c>
      <c r="BB41" s="418">
        <v>0.19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ref="BI41" si="76">AZ41+BB41+BC41+BE41+BG41</f>
        <v>0.19</v>
      </c>
      <c r="BJ41" s="418">
        <f t="shared" ref="BJ41" si="77">BA41+BD41+BH41+BF41</f>
        <v>0</v>
      </c>
      <c r="BK41" s="420">
        <f t="shared" ref="BK41" si="78">SUM(BI41:BJ41)</f>
        <v>0.19</v>
      </c>
      <c r="BL41" s="772">
        <f>I41+AY41</f>
        <v>93719</v>
      </c>
      <c r="BM41" s="417">
        <f>J41+AG41</f>
        <v>69525</v>
      </c>
      <c r="BN41" s="417">
        <f t="shared" si="57"/>
        <v>69525</v>
      </c>
      <c r="BO41" s="417">
        <f t="shared" si="57"/>
        <v>0</v>
      </c>
      <c r="BP41" s="417">
        <f>M41+AO41</f>
        <v>0</v>
      </c>
      <c r="BQ41" s="417">
        <f t="shared" si="58"/>
        <v>0</v>
      </c>
      <c r="BR41" s="417">
        <f t="shared" si="58"/>
        <v>0</v>
      </c>
      <c r="BS41" s="417">
        <f t="shared" si="59"/>
        <v>23499</v>
      </c>
      <c r="BT41" s="417">
        <f t="shared" si="59"/>
        <v>695</v>
      </c>
      <c r="BU41" s="417">
        <f>R41+AX41</f>
        <v>0</v>
      </c>
      <c r="BV41" s="418">
        <f>S41+BK41</f>
        <v>0.19</v>
      </c>
      <c r="BW41" s="418">
        <f t="shared" si="60"/>
        <v>0.19</v>
      </c>
      <c r="BX41" s="420">
        <f t="shared" si="60"/>
        <v>0</v>
      </c>
      <c r="BY41" s="419"/>
      <c r="BZ41" s="414"/>
      <c r="CA41" s="414"/>
      <c r="CB41" s="414"/>
      <c r="CC41" s="414"/>
      <c r="CD41" s="422"/>
      <c r="CE41" s="419">
        <f t="shared" ref="CE41" si="79">SUM(CF41:CI41)</f>
        <v>0</v>
      </c>
      <c r="CF41" s="414">
        <v>0</v>
      </c>
      <c r="CG41" s="414">
        <v>0</v>
      </c>
      <c r="CH41" s="414">
        <v>0</v>
      </c>
      <c r="CI41" s="414">
        <v>0</v>
      </c>
      <c r="CJ41" s="509">
        <v>0</v>
      </c>
    </row>
    <row r="42" spans="1:88" ht="14.1" customHeight="1">
      <c r="A42" s="66">
        <v>8</v>
      </c>
      <c r="B42" s="63">
        <v>2427</v>
      </c>
      <c r="C42" s="64">
        <v>600079091</v>
      </c>
      <c r="D42" s="63">
        <v>72741627</v>
      </c>
      <c r="E42" s="65" t="s">
        <v>548</v>
      </c>
      <c r="F42" s="66">
        <v>3141</v>
      </c>
      <c r="G42" s="65" t="s">
        <v>294</v>
      </c>
      <c r="H42" s="67" t="s">
        <v>272</v>
      </c>
      <c r="I42" s="419">
        <v>297664</v>
      </c>
      <c r="J42" s="414">
        <v>219432</v>
      </c>
      <c r="K42" s="414">
        <v>0</v>
      </c>
      <c r="L42" s="744">
        <v>219432</v>
      </c>
      <c r="M42" s="414">
        <v>0</v>
      </c>
      <c r="N42" s="204">
        <v>0</v>
      </c>
      <c r="O42" s="204">
        <v>0</v>
      </c>
      <c r="P42" s="595">
        <v>74168</v>
      </c>
      <c r="Q42" s="595">
        <v>2194</v>
      </c>
      <c r="R42" s="601">
        <v>1870</v>
      </c>
      <c r="S42" s="415">
        <v>0.66</v>
      </c>
      <c r="T42" s="603">
        <v>0</v>
      </c>
      <c r="U42" s="731">
        <v>0.66</v>
      </c>
      <c r="V42" s="423">
        <f t="shared" si="2"/>
        <v>0</v>
      </c>
      <c r="W42" s="417">
        <f t="shared" si="3"/>
        <v>0</v>
      </c>
      <c r="X42" s="417">
        <v>0</v>
      </c>
      <c r="Y42" s="417">
        <v>0</v>
      </c>
      <c r="Z42" s="417">
        <v>0</v>
      </c>
      <c r="AA42" s="417">
        <v>-3652</v>
      </c>
      <c r="AB42" s="417">
        <v>0</v>
      </c>
      <c r="AC42" s="417">
        <v>0</v>
      </c>
      <c r="AD42" s="417">
        <v>0</v>
      </c>
      <c r="AE42" s="417">
        <f t="shared" si="4"/>
        <v>0</v>
      </c>
      <c r="AF42" s="417">
        <f t="shared" si="5"/>
        <v>-3652</v>
      </c>
      <c r="AG42" s="417">
        <f t="shared" si="6"/>
        <v>-3652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7"/>
        <v>0</v>
      </c>
      <c r="AN42" s="417">
        <f t="shared" si="8"/>
        <v>0</v>
      </c>
      <c r="AO42" s="417">
        <f t="shared" si="9"/>
        <v>0</v>
      </c>
      <c r="AP42" s="417">
        <f t="shared" si="10"/>
        <v>0</v>
      </c>
      <c r="AQ42" s="417">
        <f t="shared" si="11"/>
        <v>-3652</v>
      </c>
      <c r="AR42" s="417">
        <f t="shared" si="12"/>
        <v>-3652</v>
      </c>
      <c r="AS42" s="68">
        <f t="shared" si="13"/>
        <v>-1234</v>
      </c>
      <c r="AT42" s="68">
        <f t="shared" si="14"/>
        <v>-37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-4923</v>
      </c>
      <c r="AZ42" s="418">
        <v>0</v>
      </c>
      <c r="BA42" s="418">
        <v>0</v>
      </c>
      <c r="BB42" s="418">
        <v>0</v>
      </c>
      <c r="BC42" s="418">
        <v>0</v>
      </c>
      <c r="BD42" s="418">
        <v>-0.01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-0.01</v>
      </c>
      <c r="BK42" s="420">
        <f t="shared" si="19"/>
        <v>-0.01</v>
      </c>
      <c r="BL42" s="772">
        <f>I42+AY42</f>
        <v>292741</v>
      </c>
      <c r="BM42" s="417">
        <f>J42+AG42</f>
        <v>215780</v>
      </c>
      <c r="BN42" s="417">
        <f t="shared" si="57"/>
        <v>0</v>
      </c>
      <c r="BO42" s="417">
        <f t="shared" si="57"/>
        <v>215780</v>
      </c>
      <c r="BP42" s="417">
        <f>M42+AO42</f>
        <v>0</v>
      </c>
      <c r="BQ42" s="417">
        <f t="shared" si="58"/>
        <v>0</v>
      </c>
      <c r="BR42" s="417">
        <f t="shared" si="58"/>
        <v>0</v>
      </c>
      <c r="BS42" s="417">
        <f t="shared" si="59"/>
        <v>72934</v>
      </c>
      <c r="BT42" s="417">
        <f t="shared" si="59"/>
        <v>2157</v>
      </c>
      <c r="BU42" s="417">
        <f>R42+AX42</f>
        <v>1870</v>
      </c>
      <c r="BV42" s="418">
        <f>S42+BK42</f>
        <v>0.65</v>
      </c>
      <c r="BW42" s="418">
        <f t="shared" si="60"/>
        <v>0</v>
      </c>
      <c r="BX42" s="420">
        <f t="shared" si="60"/>
        <v>0.65</v>
      </c>
      <c r="BY42" s="419"/>
      <c r="BZ42" s="414"/>
      <c r="CA42" s="414"/>
      <c r="CB42" s="414"/>
      <c r="CC42" s="414"/>
      <c r="CD42" s="422"/>
      <c r="CE42" s="419">
        <f t="shared" si="24"/>
        <v>0</v>
      </c>
      <c r="CF42" s="414">
        <v>0</v>
      </c>
      <c r="CG42" s="414">
        <v>0</v>
      </c>
      <c r="CH42" s="414">
        <v>0</v>
      </c>
      <c r="CI42" s="414">
        <v>0</v>
      </c>
      <c r="CJ42" s="509">
        <v>0</v>
      </c>
    </row>
    <row r="43" spans="1:88" ht="14.1" customHeight="1">
      <c r="A43" s="72">
        <v>8</v>
      </c>
      <c r="B43" s="69">
        <v>2427</v>
      </c>
      <c r="C43" s="70">
        <v>600079091</v>
      </c>
      <c r="D43" s="69">
        <v>72741627</v>
      </c>
      <c r="E43" s="71" t="s">
        <v>549</v>
      </c>
      <c r="F43" s="72"/>
      <c r="G43" s="71"/>
      <c r="H43" s="73"/>
      <c r="I43" s="516">
        <v>5809520</v>
      </c>
      <c r="J43" s="74">
        <v>4292322</v>
      </c>
      <c r="K43" s="74">
        <v>3583034</v>
      </c>
      <c r="L43" s="74">
        <v>709288</v>
      </c>
      <c r="M43" s="74">
        <v>0</v>
      </c>
      <c r="N43" s="74">
        <v>0</v>
      </c>
      <c r="O43" s="74">
        <v>0</v>
      </c>
      <c r="P43" s="74">
        <v>1450805</v>
      </c>
      <c r="Q43" s="74">
        <v>42923</v>
      </c>
      <c r="R43" s="74">
        <v>23470</v>
      </c>
      <c r="S43" s="75">
        <v>8.5510000000000002</v>
      </c>
      <c r="T43" s="75">
        <v>6.2417999999999996</v>
      </c>
      <c r="U43" s="653">
        <v>2.3092000000000001</v>
      </c>
      <c r="V43" s="516">
        <f t="shared" ref="V43:BX43" si="80">SUM(V40:V42)</f>
        <v>0</v>
      </c>
      <c r="W43" s="74">
        <f t="shared" si="80"/>
        <v>0</v>
      </c>
      <c r="X43" s="74">
        <f t="shared" si="80"/>
        <v>69525</v>
      </c>
      <c r="Y43" s="74">
        <f t="shared" si="80"/>
        <v>0</v>
      </c>
      <c r="Z43" s="74">
        <f t="shared" si="80"/>
        <v>0</v>
      </c>
      <c r="AA43" s="74">
        <f t="shared" si="80"/>
        <v>-3652</v>
      </c>
      <c r="AB43" s="74">
        <f t="shared" si="80"/>
        <v>0</v>
      </c>
      <c r="AC43" s="74">
        <f t="shared" si="80"/>
        <v>0</v>
      </c>
      <c r="AD43" s="74">
        <f t="shared" si="80"/>
        <v>0</v>
      </c>
      <c r="AE43" s="74">
        <f t="shared" si="80"/>
        <v>69525</v>
      </c>
      <c r="AF43" s="74">
        <f t="shared" si="80"/>
        <v>-3652</v>
      </c>
      <c r="AG43" s="74">
        <f t="shared" si="80"/>
        <v>65873</v>
      </c>
      <c r="AH43" s="74">
        <f t="shared" si="80"/>
        <v>0</v>
      </c>
      <c r="AI43" s="74">
        <f t="shared" si="80"/>
        <v>0</v>
      </c>
      <c r="AJ43" s="74">
        <f t="shared" si="80"/>
        <v>0</v>
      </c>
      <c r="AK43" s="74">
        <f t="shared" si="80"/>
        <v>0</v>
      </c>
      <c r="AL43" s="74">
        <f t="shared" si="80"/>
        <v>0</v>
      </c>
      <c r="AM43" s="74">
        <f t="shared" si="80"/>
        <v>0</v>
      </c>
      <c r="AN43" s="74">
        <f t="shared" si="80"/>
        <v>0</v>
      </c>
      <c r="AO43" s="74">
        <f t="shared" si="80"/>
        <v>0</v>
      </c>
      <c r="AP43" s="74">
        <f t="shared" si="80"/>
        <v>69525</v>
      </c>
      <c r="AQ43" s="74">
        <f t="shared" si="80"/>
        <v>-3652</v>
      </c>
      <c r="AR43" s="74">
        <f t="shared" si="80"/>
        <v>65873</v>
      </c>
      <c r="AS43" s="74">
        <f t="shared" si="80"/>
        <v>22265</v>
      </c>
      <c r="AT43" s="74">
        <f t="shared" si="80"/>
        <v>658</v>
      </c>
      <c r="AU43" s="74">
        <f t="shared" si="80"/>
        <v>0</v>
      </c>
      <c r="AV43" s="74">
        <f t="shared" si="80"/>
        <v>0</v>
      </c>
      <c r="AW43" s="74">
        <f t="shared" si="80"/>
        <v>0</v>
      </c>
      <c r="AX43" s="74">
        <f t="shared" si="80"/>
        <v>0</v>
      </c>
      <c r="AY43" s="74">
        <f t="shared" si="80"/>
        <v>88796</v>
      </c>
      <c r="AZ43" s="75">
        <f t="shared" si="80"/>
        <v>0</v>
      </c>
      <c r="BA43" s="75">
        <f t="shared" si="80"/>
        <v>0</v>
      </c>
      <c r="BB43" s="75">
        <f t="shared" si="80"/>
        <v>0.19</v>
      </c>
      <c r="BC43" s="75">
        <f t="shared" si="80"/>
        <v>0</v>
      </c>
      <c r="BD43" s="75">
        <f t="shared" si="80"/>
        <v>-0.01</v>
      </c>
      <c r="BE43" s="75">
        <f t="shared" si="80"/>
        <v>0</v>
      </c>
      <c r="BF43" s="75">
        <f t="shared" si="80"/>
        <v>0</v>
      </c>
      <c r="BG43" s="75">
        <f t="shared" si="80"/>
        <v>0</v>
      </c>
      <c r="BH43" s="75">
        <f t="shared" si="80"/>
        <v>0</v>
      </c>
      <c r="BI43" s="75">
        <f t="shared" si="80"/>
        <v>0.19</v>
      </c>
      <c r="BJ43" s="75">
        <f t="shared" si="80"/>
        <v>-0.01</v>
      </c>
      <c r="BK43" s="76">
        <f t="shared" si="80"/>
        <v>0.18</v>
      </c>
      <c r="BL43" s="781">
        <f t="shared" si="80"/>
        <v>5898316</v>
      </c>
      <c r="BM43" s="74">
        <f t="shared" si="80"/>
        <v>4358195</v>
      </c>
      <c r="BN43" s="74">
        <f t="shared" si="80"/>
        <v>3652559</v>
      </c>
      <c r="BO43" s="74">
        <f t="shared" si="80"/>
        <v>705636</v>
      </c>
      <c r="BP43" s="74">
        <f t="shared" si="80"/>
        <v>0</v>
      </c>
      <c r="BQ43" s="74">
        <f t="shared" si="80"/>
        <v>0</v>
      </c>
      <c r="BR43" s="74">
        <f t="shared" si="80"/>
        <v>0</v>
      </c>
      <c r="BS43" s="74">
        <f t="shared" si="80"/>
        <v>1473070</v>
      </c>
      <c r="BT43" s="74">
        <f t="shared" si="80"/>
        <v>43581</v>
      </c>
      <c r="BU43" s="74">
        <f t="shared" si="80"/>
        <v>23470</v>
      </c>
      <c r="BV43" s="75">
        <f t="shared" si="80"/>
        <v>8.7309999999999999</v>
      </c>
      <c r="BW43" s="75">
        <f t="shared" si="80"/>
        <v>6.4318</v>
      </c>
      <c r="BX43" s="76">
        <f t="shared" si="80"/>
        <v>2.2991999999999999</v>
      </c>
      <c r="BY43" s="791">
        <f t="shared" ref="BY43:CJ43" si="81">SUM(BY40:BY42)</f>
        <v>0</v>
      </c>
      <c r="BZ43" s="679">
        <f t="shared" si="81"/>
        <v>0</v>
      </c>
      <c r="CA43" s="679">
        <f t="shared" si="81"/>
        <v>0</v>
      </c>
      <c r="CB43" s="679">
        <f t="shared" si="81"/>
        <v>0</v>
      </c>
      <c r="CC43" s="679">
        <f t="shared" si="81"/>
        <v>0</v>
      </c>
      <c r="CD43" s="947">
        <f t="shared" si="81"/>
        <v>0</v>
      </c>
      <c r="CE43" s="956">
        <f t="shared" si="81"/>
        <v>219070</v>
      </c>
      <c r="CF43" s="953">
        <f t="shared" si="81"/>
        <v>157187</v>
      </c>
      <c r="CG43" s="953">
        <f t="shared" si="81"/>
        <v>53129</v>
      </c>
      <c r="CH43" s="953">
        <f t="shared" si="81"/>
        <v>1572</v>
      </c>
      <c r="CI43" s="953">
        <f t="shared" si="81"/>
        <v>7182</v>
      </c>
      <c r="CJ43" s="877">
        <f t="shared" si="81"/>
        <v>0.5292</v>
      </c>
    </row>
    <row r="44" spans="1:88" ht="14.1" customHeight="1">
      <c r="A44" s="66">
        <v>9</v>
      </c>
      <c r="B44" s="63">
        <v>2327</v>
      </c>
      <c r="C44" s="64">
        <v>691002606</v>
      </c>
      <c r="D44" s="63">
        <v>72076950</v>
      </c>
      <c r="E44" s="65" t="s">
        <v>550</v>
      </c>
      <c r="F44" s="66">
        <v>3111</v>
      </c>
      <c r="G44" s="65" t="s">
        <v>290</v>
      </c>
      <c r="H44" s="67" t="s">
        <v>271</v>
      </c>
      <c r="I44" s="419">
        <v>10002679</v>
      </c>
      <c r="J44" s="414">
        <v>7388041</v>
      </c>
      <c r="K44" s="414">
        <v>6526304</v>
      </c>
      <c r="L44" s="414">
        <v>861737</v>
      </c>
      <c r="M44" s="414">
        <v>0</v>
      </c>
      <c r="N44" s="414">
        <v>0</v>
      </c>
      <c r="O44" s="414">
        <v>0</v>
      </c>
      <c r="P44" s="595">
        <v>2497158</v>
      </c>
      <c r="Q44" s="595">
        <v>73880</v>
      </c>
      <c r="R44" s="414">
        <v>43600</v>
      </c>
      <c r="S44" s="415">
        <v>14.145</v>
      </c>
      <c r="T44" s="415">
        <v>11.2096</v>
      </c>
      <c r="U44" s="422">
        <v>2.9354</v>
      </c>
      <c r="V44" s="423">
        <f t="shared" si="2"/>
        <v>0</v>
      </c>
      <c r="W44" s="417">
        <f t="shared" si="3"/>
        <v>0</v>
      </c>
      <c r="X44" s="417">
        <v>0</v>
      </c>
      <c r="Y44" s="417">
        <v>0</v>
      </c>
      <c r="Z44" s="417">
        <v>0</v>
      </c>
      <c r="AA44" s="417">
        <v>0</v>
      </c>
      <c r="AB44" s="417">
        <v>0</v>
      </c>
      <c r="AC44" s="417">
        <v>0</v>
      </c>
      <c r="AD44" s="417">
        <v>0</v>
      </c>
      <c r="AE44" s="417">
        <f t="shared" si="4"/>
        <v>0</v>
      </c>
      <c r="AF44" s="417">
        <f t="shared" si="5"/>
        <v>0</v>
      </c>
      <c r="AG44" s="417">
        <f t="shared" si="6"/>
        <v>0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7"/>
        <v>0</v>
      </c>
      <c r="AN44" s="417">
        <f t="shared" si="8"/>
        <v>0</v>
      </c>
      <c r="AO44" s="417">
        <f t="shared" si="9"/>
        <v>0</v>
      </c>
      <c r="AP44" s="417">
        <f t="shared" si="10"/>
        <v>0</v>
      </c>
      <c r="AQ44" s="417">
        <f t="shared" si="11"/>
        <v>0</v>
      </c>
      <c r="AR44" s="417">
        <f t="shared" si="12"/>
        <v>0</v>
      </c>
      <c r="AS44" s="68">
        <f t="shared" si="13"/>
        <v>0</v>
      </c>
      <c r="AT44" s="68">
        <f t="shared" si="14"/>
        <v>0</v>
      </c>
      <c r="AU44" s="417">
        <v>0</v>
      </c>
      <c r="AV44" s="417">
        <v>0</v>
      </c>
      <c r="AW44" s="417">
        <v>0</v>
      </c>
      <c r="AX44" s="417">
        <f t="shared" si="15"/>
        <v>0</v>
      </c>
      <c r="AY44" s="417">
        <f t="shared" si="16"/>
        <v>0</v>
      </c>
      <c r="AZ44" s="418">
        <v>0</v>
      </c>
      <c r="BA44" s="418">
        <v>0</v>
      </c>
      <c r="BB44" s="418">
        <v>0</v>
      </c>
      <c r="BC44" s="418">
        <v>0</v>
      </c>
      <c r="BD44" s="418">
        <v>0</v>
      </c>
      <c r="BE44" s="418">
        <v>0</v>
      </c>
      <c r="BF44" s="418">
        <v>0</v>
      </c>
      <c r="BG44" s="418">
        <v>0</v>
      </c>
      <c r="BH44" s="418">
        <v>0</v>
      </c>
      <c r="BI44" s="418">
        <f t="shared" si="17"/>
        <v>0</v>
      </c>
      <c r="BJ44" s="418">
        <f t="shared" si="18"/>
        <v>0</v>
      </c>
      <c r="BK44" s="420">
        <f t="shared" si="19"/>
        <v>0</v>
      </c>
      <c r="BL44" s="772">
        <f>I44+AY44</f>
        <v>10002679</v>
      </c>
      <c r="BM44" s="417">
        <f>J44+AG44</f>
        <v>7388041</v>
      </c>
      <c r="BN44" s="417">
        <f t="shared" ref="BN44:BO46" si="82">K44+AE44</f>
        <v>6526304</v>
      </c>
      <c r="BO44" s="417">
        <f t="shared" si="82"/>
        <v>861737</v>
      </c>
      <c r="BP44" s="417">
        <f>M44+AO44</f>
        <v>0</v>
      </c>
      <c r="BQ44" s="417">
        <f t="shared" ref="BQ44:BR46" si="83">N44+AM44</f>
        <v>0</v>
      </c>
      <c r="BR44" s="417">
        <f t="shared" si="83"/>
        <v>0</v>
      </c>
      <c r="BS44" s="417">
        <f t="shared" ref="BS44:BT46" si="84">P44+AS44</f>
        <v>2497158</v>
      </c>
      <c r="BT44" s="417">
        <f t="shared" si="84"/>
        <v>73880</v>
      </c>
      <c r="BU44" s="417">
        <f>R44+AX44</f>
        <v>43600</v>
      </c>
      <c r="BV44" s="418">
        <f>S44+BK44</f>
        <v>14.145</v>
      </c>
      <c r="BW44" s="418">
        <f t="shared" ref="BW44:BX46" si="85">T44+BI44</f>
        <v>11.2096</v>
      </c>
      <c r="BX44" s="420">
        <f t="shared" si="85"/>
        <v>2.9354</v>
      </c>
      <c r="BY44" s="419"/>
      <c r="BZ44" s="414"/>
      <c r="CA44" s="414"/>
      <c r="CB44" s="414"/>
      <c r="CC44" s="414"/>
      <c r="CD44" s="422"/>
      <c r="CE44" s="419">
        <f t="shared" si="24"/>
        <v>387243</v>
      </c>
      <c r="CF44" s="414">
        <v>276518</v>
      </c>
      <c r="CG44" s="414">
        <v>93463</v>
      </c>
      <c r="CH44" s="414">
        <v>2765</v>
      </c>
      <c r="CI44" s="414">
        <v>14497</v>
      </c>
      <c r="CJ44" s="509">
        <v>0.94189999999999996</v>
      </c>
    </row>
    <row r="45" spans="1:88" ht="14.1" customHeight="1">
      <c r="A45" s="66">
        <v>9</v>
      </c>
      <c r="B45" s="63">
        <v>2327</v>
      </c>
      <c r="C45" s="64">
        <v>691002606</v>
      </c>
      <c r="D45" s="63">
        <v>72076950</v>
      </c>
      <c r="E45" s="65" t="s">
        <v>550</v>
      </c>
      <c r="F45" s="66">
        <v>3111</v>
      </c>
      <c r="G45" s="77" t="s">
        <v>291</v>
      </c>
      <c r="H45" s="67" t="s">
        <v>272</v>
      </c>
      <c r="I45" s="419">
        <v>494288</v>
      </c>
      <c r="J45" s="414">
        <v>366682</v>
      </c>
      <c r="K45" s="414">
        <v>366682</v>
      </c>
      <c r="L45" s="414">
        <v>0</v>
      </c>
      <c r="M45" s="414">
        <v>0</v>
      </c>
      <c r="N45" s="414">
        <v>0</v>
      </c>
      <c r="O45" s="414">
        <v>0</v>
      </c>
      <c r="P45" s="595">
        <v>123939</v>
      </c>
      <c r="Q45" s="595">
        <v>3667</v>
      </c>
      <c r="R45" s="414">
        <v>0</v>
      </c>
      <c r="S45" s="415">
        <v>1.17</v>
      </c>
      <c r="T45" s="416">
        <v>1.17</v>
      </c>
      <c r="U45" s="422">
        <v>0</v>
      </c>
      <c r="V45" s="423">
        <f t="shared" si="2"/>
        <v>0</v>
      </c>
      <c r="W45" s="417">
        <f t="shared" si="3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4"/>
        <v>0</v>
      </c>
      <c r="AF45" s="417">
        <f t="shared" si="5"/>
        <v>0</v>
      </c>
      <c r="AG45" s="417">
        <f t="shared" si="6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7"/>
        <v>0</v>
      </c>
      <c r="AN45" s="417">
        <f t="shared" si="8"/>
        <v>0</v>
      </c>
      <c r="AO45" s="417">
        <f t="shared" si="9"/>
        <v>0</v>
      </c>
      <c r="AP45" s="417">
        <f t="shared" si="10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>I45+AY45</f>
        <v>494288</v>
      </c>
      <c r="BM45" s="417">
        <f>J45+AG45</f>
        <v>366682</v>
      </c>
      <c r="BN45" s="417">
        <f t="shared" si="82"/>
        <v>366682</v>
      </c>
      <c r="BO45" s="417">
        <f t="shared" si="82"/>
        <v>0</v>
      </c>
      <c r="BP45" s="417">
        <f>M45+AO45</f>
        <v>0</v>
      </c>
      <c r="BQ45" s="417">
        <f t="shared" si="83"/>
        <v>0</v>
      </c>
      <c r="BR45" s="417">
        <f t="shared" si="83"/>
        <v>0</v>
      </c>
      <c r="BS45" s="417">
        <f t="shared" si="84"/>
        <v>123939</v>
      </c>
      <c r="BT45" s="417">
        <f t="shared" si="84"/>
        <v>3667</v>
      </c>
      <c r="BU45" s="417">
        <f>R45+AX45</f>
        <v>0</v>
      </c>
      <c r="BV45" s="418">
        <f>S45+BK45</f>
        <v>1.17</v>
      </c>
      <c r="BW45" s="418">
        <f t="shared" si="85"/>
        <v>1.17</v>
      </c>
      <c r="BX45" s="420">
        <f t="shared" si="85"/>
        <v>0</v>
      </c>
      <c r="BY45" s="419"/>
      <c r="BZ45" s="414"/>
      <c r="CA45" s="414"/>
      <c r="CB45" s="414"/>
      <c r="CC45" s="414"/>
      <c r="CD45" s="422"/>
      <c r="CE45" s="419">
        <f t="shared" si="24"/>
        <v>0</v>
      </c>
      <c r="CF45" s="414">
        <v>0</v>
      </c>
      <c r="CG45" s="414">
        <v>0</v>
      </c>
      <c r="CH45" s="414">
        <v>0</v>
      </c>
      <c r="CI45" s="414">
        <v>0</v>
      </c>
      <c r="CJ45" s="509">
        <v>0</v>
      </c>
    </row>
    <row r="46" spans="1:88" ht="14.1" customHeight="1">
      <c r="A46" s="66">
        <v>9</v>
      </c>
      <c r="B46" s="63">
        <v>2327</v>
      </c>
      <c r="C46" s="64">
        <v>691002606</v>
      </c>
      <c r="D46" s="63">
        <v>72076950</v>
      </c>
      <c r="E46" s="65" t="s">
        <v>550</v>
      </c>
      <c r="F46" s="66">
        <v>3141</v>
      </c>
      <c r="G46" s="65" t="s">
        <v>294</v>
      </c>
      <c r="H46" s="67" t="s">
        <v>272</v>
      </c>
      <c r="I46" s="419">
        <v>1183786</v>
      </c>
      <c r="J46" s="414">
        <v>874013</v>
      </c>
      <c r="K46" s="414">
        <v>0</v>
      </c>
      <c r="L46" s="744">
        <v>874013</v>
      </c>
      <c r="M46" s="414">
        <v>0</v>
      </c>
      <c r="N46" s="204">
        <v>0</v>
      </c>
      <c r="O46" s="204">
        <v>0</v>
      </c>
      <c r="P46" s="595">
        <v>295417</v>
      </c>
      <c r="Q46" s="595">
        <v>8740</v>
      </c>
      <c r="R46" s="601">
        <v>5616</v>
      </c>
      <c r="S46" s="415">
        <v>2.6166999999999998</v>
      </c>
      <c r="T46" s="603">
        <v>0</v>
      </c>
      <c r="U46" s="731">
        <v>2.6166999999999998</v>
      </c>
      <c r="V46" s="423">
        <f t="shared" si="2"/>
        <v>0</v>
      </c>
      <c r="W46" s="417">
        <f t="shared" si="3"/>
        <v>0</v>
      </c>
      <c r="X46" s="417">
        <v>0</v>
      </c>
      <c r="Y46" s="417">
        <v>0</v>
      </c>
      <c r="Z46" s="417">
        <v>0</v>
      </c>
      <c r="AA46" s="417">
        <v>-16016</v>
      </c>
      <c r="AB46" s="417">
        <v>0</v>
      </c>
      <c r="AC46" s="417">
        <v>0</v>
      </c>
      <c r="AD46" s="417">
        <v>0</v>
      </c>
      <c r="AE46" s="417">
        <f t="shared" si="4"/>
        <v>0</v>
      </c>
      <c r="AF46" s="417">
        <f t="shared" si="5"/>
        <v>-16016</v>
      </c>
      <c r="AG46" s="417">
        <f t="shared" si="6"/>
        <v>-16016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7"/>
        <v>0</v>
      </c>
      <c r="AN46" s="417">
        <f t="shared" si="8"/>
        <v>0</v>
      </c>
      <c r="AO46" s="417">
        <f t="shared" si="9"/>
        <v>0</v>
      </c>
      <c r="AP46" s="417">
        <f t="shared" si="10"/>
        <v>0</v>
      </c>
      <c r="AQ46" s="417">
        <f t="shared" si="11"/>
        <v>-16016</v>
      </c>
      <c r="AR46" s="417">
        <f t="shared" si="12"/>
        <v>-16016</v>
      </c>
      <c r="AS46" s="68">
        <f t="shared" si="13"/>
        <v>-5413</v>
      </c>
      <c r="AT46" s="68">
        <f t="shared" si="14"/>
        <v>-160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-21589</v>
      </c>
      <c r="AZ46" s="418">
        <v>0</v>
      </c>
      <c r="BA46" s="418">
        <v>0</v>
      </c>
      <c r="BB46" s="418">
        <v>0</v>
      </c>
      <c r="BC46" s="418">
        <v>0</v>
      </c>
      <c r="BD46" s="418">
        <v>-0.04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-0.04</v>
      </c>
      <c r="BK46" s="420">
        <f t="shared" si="19"/>
        <v>-0.04</v>
      </c>
      <c r="BL46" s="772">
        <f>I46+AY46</f>
        <v>1162197</v>
      </c>
      <c r="BM46" s="417">
        <f>J46+AG46</f>
        <v>857997</v>
      </c>
      <c r="BN46" s="417">
        <f t="shared" si="82"/>
        <v>0</v>
      </c>
      <c r="BO46" s="417">
        <f t="shared" si="82"/>
        <v>857997</v>
      </c>
      <c r="BP46" s="417">
        <f>M46+AO46</f>
        <v>0</v>
      </c>
      <c r="BQ46" s="417">
        <f t="shared" si="83"/>
        <v>0</v>
      </c>
      <c r="BR46" s="417">
        <f t="shared" si="83"/>
        <v>0</v>
      </c>
      <c r="BS46" s="417">
        <f t="shared" si="84"/>
        <v>290004</v>
      </c>
      <c r="BT46" s="417">
        <f t="shared" si="84"/>
        <v>8580</v>
      </c>
      <c r="BU46" s="417">
        <f>R46+AX46</f>
        <v>5616</v>
      </c>
      <c r="BV46" s="418">
        <f>S46+BK46</f>
        <v>2.5766999999999998</v>
      </c>
      <c r="BW46" s="418">
        <f t="shared" si="85"/>
        <v>0</v>
      </c>
      <c r="BX46" s="420">
        <f t="shared" si="85"/>
        <v>2.5766999999999998</v>
      </c>
      <c r="BY46" s="419"/>
      <c r="BZ46" s="414"/>
      <c r="CA46" s="414"/>
      <c r="CB46" s="414"/>
      <c r="CC46" s="414"/>
      <c r="CD46" s="422"/>
      <c r="CE46" s="419">
        <f t="shared" si="24"/>
        <v>0</v>
      </c>
      <c r="CF46" s="414">
        <v>0</v>
      </c>
      <c r="CG46" s="414">
        <v>0</v>
      </c>
      <c r="CH46" s="414">
        <v>0</v>
      </c>
      <c r="CI46" s="414">
        <v>0</v>
      </c>
      <c r="CJ46" s="509">
        <v>0</v>
      </c>
    </row>
    <row r="47" spans="1:88" ht="14.1" customHeight="1">
      <c r="A47" s="72">
        <v>9</v>
      </c>
      <c r="B47" s="69">
        <v>2327</v>
      </c>
      <c r="C47" s="70">
        <v>691002606</v>
      </c>
      <c r="D47" s="69">
        <v>72076950</v>
      </c>
      <c r="E47" s="71" t="s">
        <v>551</v>
      </c>
      <c r="F47" s="72"/>
      <c r="G47" s="71"/>
      <c r="H47" s="73"/>
      <c r="I47" s="516">
        <v>11680753</v>
      </c>
      <c r="J47" s="74">
        <v>8628736</v>
      </c>
      <c r="K47" s="74">
        <v>6892986</v>
      </c>
      <c r="L47" s="74">
        <v>1735750</v>
      </c>
      <c r="M47" s="74">
        <v>0</v>
      </c>
      <c r="N47" s="74">
        <v>0</v>
      </c>
      <c r="O47" s="74">
        <v>0</v>
      </c>
      <c r="P47" s="74">
        <v>2916514</v>
      </c>
      <c r="Q47" s="74">
        <v>86287</v>
      </c>
      <c r="R47" s="74">
        <v>49216</v>
      </c>
      <c r="S47" s="75">
        <v>17.931699999999999</v>
      </c>
      <c r="T47" s="75">
        <v>12.3796</v>
      </c>
      <c r="U47" s="653">
        <v>5.5520999999999994</v>
      </c>
      <c r="V47" s="516">
        <f t="shared" ref="V47:BX47" si="86">SUM(V44:V46)</f>
        <v>0</v>
      </c>
      <c r="W47" s="74">
        <f t="shared" si="86"/>
        <v>0</v>
      </c>
      <c r="X47" s="74">
        <f t="shared" si="86"/>
        <v>0</v>
      </c>
      <c r="Y47" s="74">
        <f t="shared" si="86"/>
        <v>0</v>
      </c>
      <c r="Z47" s="74">
        <f t="shared" si="86"/>
        <v>0</v>
      </c>
      <c r="AA47" s="74">
        <f t="shared" si="86"/>
        <v>-16016</v>
      </c>
      <c r="AB47" s="74">
        <f t="shared" si="86"/>
        <v>0</v>
      </c>
      <c r="AC47" s="74">
        <f t="shared" si="86"/>
        <v>0</v>
      </c>
      <c r="AD47" s="74">
        <f t="shared" si="86"/>
        <v>0</v>
      </c>
      <c r="AE47" s="74">
        <f t="shared" si="86"/>
        <v>0</v>
      </c>
      <c r="AF47" s="74">
        <f t="shared" si="86"/>
        <v>-16016</v>
      </c>
      <c r="AG47" s="74">
        <f t="shared" si="86"/>
        <v>-16016</v>
      </c>
      <c r="AH47" s="74">
        <f t="shared" si="86"/>
        <v>0</v>
      </c>
      <c r="AI47" s="74">
        <f t="shared" si="86"/>
        <v>0</v>
      </c>
      <c r="AJ47" s="74">
        <f t="shared" si="86"/>
        <v>0</v>
      </c>
      <c r="AK47" s="74">
        <f t="shared" si="86"/>
        <v>0</v>
      </c>
      <c r="AL47" s="74">
        <f t="shared" si="86"/>
        <v>0</v>
      </c>
      <c r="AM47" s="74">
        <f t="shared" si="86"/>
        <v>0</v>
      </c>
      <c r="AN47" s="74">
        <f t="shared" si="86"/>
        <v>0</v>
      </c>
      <c r="AO47" s="74">
        <f t="shared" si="86"/>
        <v>0</v>
      </c>
      <c r="AP47" s="74">
        <f t="shared" si="86"/>
        <v>0</v>
      </c>
      <c r="AQ47" s="74">
        <f t="shared" si="86"/>
        <v>-16016</v>
      </c>
      <c r="AR47" s="74">
        <f t="shared" si="86"/>
        <v>-16016</v>
      </c>
      <c r="AS47" s="74">
        <f t="shared" si="86"/>
        <v>-5413</v>
      </c>
      <c r="AT47" s="74">
        <f t="shared" si="86"/>
        <v>-160</v>
      </c>
      <c r="AU47" s="74">
        <f t="shared" si="86"/>
        <v>0</v>
      </c>
      <c r="AV47" s="74">
        <f t="shared" si="86"/>
        <v>0</v>
      </c>
      <c r="AW47" s="74">
        <f t="shared" si="86"/>
        <v>0</v>
      </c>
      <c r="AX47" s="74">
        <f t="shared" si="86"/>
        <v>0</v>
      </c>
      <c r="AY47" s="74">
        <f t="shared" si="86"/>
        <v>-21589</v>
      </c>
      <c r="AZ47" s="75">
        <f t="shared" si="86"/>
        <v>0</v>
      </c>
      <c r="BA47" s="75">
        <f t="shared" si="86"/>
        <v>0</v>
      </c>
      <c r="BB47" s="75">
        <f t="shared" si="86"/>
        <v>0</v>
      </c>
      <c r="BC47" s="75">
        <f t="shared" si="86"/>
        <v>0</v>
      </c>
      <c r="BD47" s="75">
        <f t="shared" si="86"/>
        <v>-0.04</v>
      </c>
      <c r="BE47" s="75">
        <f t="shared" si="86"/>
        <v>0</v>
      </c>
      <c r="BF47" s="75">
        <f t="shared" si="86"/>
        <v>0</v>
      </c>
      <c r="BG47" s="75">
        <f t="shared" si="86"/>
        <v>0</v>
      </c>
      <c r="BH47" s="75">
        <f t="shared" si="86"/>
        <v>0</v>
      </c>
      <c r="BI47" s="75">
        <f t="shared" si="86"/>
        <v>0</v>
      </c>
      <c r="BJ47" s="75">
        <f t="shared" si="86"/>
        <v>-0.04</v>
      </c>
      <c r="BK47" s="76">
        <f t="shared" si="86"/>
        <v>-0.04</v>
      </c>
      <c r="BL47" s="781">
        <f t="shared" si="86"/>
        <v>11659164</v>
      </c>
      <c r="BM47" s="74">
        <f t="shared" si="86"/>
        <v>8612720</v>
      </c>
      <c r="BN47" s="74">
        <f t="shared" si="86"/>
        <v>6892986</v>
      </c>
      <c r="BO47" s="74">
        <f t="shared" si="86"/>
        <v>1719734</v>
      </c>
      <c r="BP47" s="74">
        <f t="shared" si="86"/>
        <v>0</v>
      </c>
      <c r="BQ47" s="74">
        <f t="shared" si="86"/>
        <v>0</v>
      </c>
      <c r="BR47" s="74">
        <f t="shared" si="86"/>
        <v>0</v>
      </c>
      <c r="BS47" s="74">
        <f t="shared" si="86"/>
        <v>2911101</v>
      </c>
      <c r="BT47" s="74">
        <f t="shared" si="86"/>
        <v>86127</v>
      </c>
      <c r="BU47" s="74">
        <f t="shared" si="86"/>
        <v>49216</v>
      </c>
      <c r="BV47" s="75">
        <f t="shared" si="86"/>
        <v>17.8917</v>
      </c>
      <c r="BW47" s="75">
        <f t="shared" si="86"/>
        <v>12.3796</v>
      </c>
      <c r="BX47" s="76">
        <f t="shared" si="86"/>
        <v>5.5121000000000002</v>
      </c>
      <c r="BY47" s="791">
        <f t="shared" ref="BY47:CJ47" si="87">SUM(BY44:BY46)</f>
        <v>0</v>
      </c>
      <c r="BZ47" s="679">
        <f t="shared" si="87"/>
        <v>0</v>
      </c>
      <c r="CA47" s="679">
        <f t="shared" si="87"/>
        <v>0</v>
      </c>
      <c r="CB47" s="679">
        <f t="shared" si="87"/>
        <v>0</v>
      </c>
      <c r="CC47" s="679">
        <f t="shared" si="87"/>
        <v>0</v>
      </c>
      <c r="CD47" s="947">
        <f t="shared" si="87"/>
        <v>0</v>
      </c>
      <c r="CE47" s="956">
        <f t="shared" si="87"/>
        <v>387243</v>
      </c>
      <c r="CF47" s="953">
        <f t="shared" si="87"/>
        <v>276518</v>
      </c>
      <c r="CG47" s="953">
        <f t="shared" si="87"/>
        <v>93463</v>
      </c>
      <c r="CH47" s="953">
        <f t="shared" si="87"/>
        <v>2765</v>
      </c>
      <c r="CI47" s="953">
        <f t="shared" si="87"/>
        <v>14497</v>
      </c>
      <c r="CJ47" s="877">
        <f t="shared" si="87"/>
        <v>0.94189999999999996</v>
      </c>
    </row>
    <row r="48" spans="1:88" ht="14.1" customHeight="1">
      <c r="A48" s="66">
        <v>10</v>
      </c>
      <c r="B48" s="63">
        <v>2321</v>
      </c>
      <c r="C48" s="64">
        <v>600079287</v>
      </c>
      <c r="D48" s="63">
        <v>72742976</v>
      </c>
      <c r="E48" s="65" t="s">
        <v>552</v>
      </c>
      <c r="F48" s="66">
        <v>3111</v>
      </c>
      <c r="G48" s="65" t="s">
        <v>290</v>
      </c>
      <c r="H48" s="67" t="s">
        <v>271</v>
      </c>
      <c r="I48" s="419">
        <v>9551930</v>
      </c>
      <c r="J48" s="414">
        <v>7052471</v>
      </c>
      <c r="K48" s="414">
        <v>6081585</v>
      </c>
      <c r="L48" s="414">
        <v>970886</v>
      </c>
      <c r="M48" s="414">
        <v>0</v>
      </c>
      <c r="N48" s="414">
        <v>0</v>
      </c>
      <c r="O48" s="414">
        <v>0</v>
      </c>
      <c r="P48" s="595">
        <v>2383735</v>
      </c>
      <c r="Q48" s="595">
        <v>70524</v>
      </c>
      <c r="R48" s="414">
        <v>45200</v>
      </c>
      <c r="S48" s="415">
        <v>13.7797</v>
      </c>
      <c r="T48" s="415">
        <v>10.451599999999999</v>
      </c>
      <c r="U48" s="422">
        <v>3.3281000000000001</v>
      </c>
      <c r="V48" s="423">
        <f t="shared" si="2"/>
        <v>0</v>
      </c>
      <c r="W48" s="417">
        <f t="shared" si="3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4"/>
        <v>0</v>
      </c>
      <c r="AF48" s="417">
        <f t="shared" si="5"/>
        <v>0</v>
      </c>
      <c r="AG48" s="417">
        <f t="shared" si="6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7"/>
        <v>0</v>
      </c>
      <c r="AN48" s="417">
        <f t="shared" si="8"/>
        <v>0</v>
      </c>
      <c r="AO48" s="417">
        <f t="shared" si="9"/>
        <v>0</v>
      </c>
      <c r="AP48" s="417">
        <f t="shared" si="10"/>
        <v>0</v>
      </c>
      <c r="AQ48" s="417">
        <f t="shared" si="11"/>
        <v>0</v>
      </c>
      <c r="AR48" s="417">
        <f t="shared" si="12"/>
        <v>0</v>
      </c>
      <c r="AS48" s="68">
        <f t="shared" si="13"/>
        <v>0</v>
      </c>
      <c r="AT48" s="68">
        <f t="shared" si="14"/>
        <v>0</v>
      </c>
      <c r="AU48" s="417">
        <v>0</v>
      </c>
      <c r="AV48" s="417">
        <v>0</v>
      </c>
      <c r="AW48" s="417">
        <v>0</v>
      </c>
      <c r="AX48" s="417">
        <f t="shared" si="15"/>
        <v>0</v>
      </c>
      <c r="AY48" s="417">
        <f t="shared" si="16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7"/>
        <v>0</v>
      </c>
      <c r="BJ48" s="418">
        <f t="shared" si="18"/>
        <v>0</v>
      </c>
      <c r="BK48" s="420">
        <f t="shared" si="19"/>
        <v>0</v>
      </c>
      <c r="BL48" s="772">
        <f>I48+AY48</f>
        <v>9551930</v>
      </c>
      <c r="BM48" s="417">
        <f>J48+AG48</f>
        <v>7052471</v>
      </c>
      <c r="BN48" s="417">
        <f>K48+AE48</f>
        <v>6081585</v>
      </c>
      <c r="BO48" s="417">
        <f>L48+AF48</f>
        <v>970886</v>
      </c>
      <c r="BP48" s="417">
        <f>M48+AO48</f>
        <v>0</v>
      </c>
      <c r="BQ48" s="417">
        <f>N48+AM48</f>
        <v>0</v>
      </c>
      <c r="BR48" s="417">
        <f>O48+AN48</f>
        <v>0</v>
      </c>
      <c r="BS48" s="417">
        <f>P48+AS48</f>
        <v>2383735</v>
      </c>
      <c r="BT48" s="417">
        <f>Q48+AT48</f>
        <v>70524</v>
      </c>
      <c r="BU48" s="417">
        <f>R48+AX48</f>
        <v>45200</v>
      </c>
      <c r="BV48" s="418">
        <f>S48+BK48</f>
        <v>13.7797</v>
      </c>
      <c r="BW48" s="418">
        <f>T48+BI48</f>
        <v>10.451599999999999</v>
      </c>
      <c r="BX48" s="420">
        <f>U48+BJ48</f>
        <v>3.3281000000000001</v>
      </c>
      <c r="BY48" s="419"/>
      <c r="BZ48" s="414"/>
      <c r="CA48" s="414"/>
      <c r="CB48" s="414"/>
      <c r="CC48" s="414"/>
      <c r="CD48" s="422"/>
      <c r="CE48" s="419">
        <f t="shared" si="24"/>
        <v>434983</v>
      </c>
      <c r="CF48" s="414">
        <v>311539</v>
      </c>
      <c r="CG48" s="414">
        <v>105300</v>
      </c>
      <c r="CH48" s="414">
        <v>3115</v>
      </c>
      <c r="CI48" s="414">
        <v>15029</v>
      </c>
      <c r="CJ48" s="509">
        <v>1.0679000000000001</v>
      </c>
    </row>
    <row r="49" spans="1:88" ht="14.1" customHeight="1">
      <c r="A49" s="66">
        <v>10</v>
      </c>
      <c r="B49" s="63">
        <v>2321</v>
      </c>
      <c r="C49" s="64">
        <v>600079287</v>
      </c>
      <c r="D49" s="63">
        <v>72742976</v>
      </c>
      <c r="E49" s="65" t="s">
        <v>552</v>
      </c>
      <c r="F49" s="66">
        <v>3141</v>
      </c>
      <c r="G49" s="65" t="s">
        <v>294</v>
      </c>
      <c r="H49" s="67" t="s">
        <v>272</v>
      </c>
      <c r="I49" s="419">
        <v>1505149</v>
      </c>
      <c r="J49" s="414">
        <v>1112220</v>
      </c>
      <c r="K49" s="414">
        <v>0</v>
      </c>
      <c r="L49" s="744">
        <v>1112220</v>
      </c>
      <c r="M49" s="414">
        <v>0</v>
      </c>
      <c r="N49" s="414">
        <v>0</v>
      </c>
      <c r="O49" s="414">
        <v>0</v>
      </c>
      <c r="P49" s="595">
        <v>375931</v>
      </c>
      <c r="Q49" s="595">
        <v>11122</v>
      </c>
      <c r="R49" s="414">
        <v>5876</v>
      </c>
      <c r="S49" s="415">
        <v>3.3366000000000007</v>
      </c>
      <c r="T49" s="416">
        <v>0</v>
      </c>
      <c r="U49" s="422">
        <v>3.3366000000000007</v>
      </c>
      <c r="V49" s="423">
        <f t="shared" si="2"/>
        <v>0</v>
      </c>
      <c r="W49" s="417">
        <f t="shared" si="3"/>
        <v>0</v>
      </c>
      <c r="X49" s="417">
        <v>0</v>
      </c>
      <c r="Y49" s="417">
        <v>0</v>
      </c>
      <c r="Z49" s="417">
        <v>0</v>
      </c>
      <c r="AA49" s="417">
        <v>15182</v>
      </c>
      <c r="AB49" s="417">
        <v>0</v>
      </c>
      <c r="AC49" s="417">
        <v>0</v>
      </c>
      <c r="AD49" s="417">
        <v>0</v>
      </c>
      <c r="AE49" s="417">
        <f t="shared" si="4"/>
        <v>0</v>
      </c>
      <c r="AF49" s="417">
        <f t="shared" si="5"/>
        <v>15182</v>
      </c>
      <c r="AG49" s="417">
        <f t="shared" si="6"/>
        <v>15182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7"/>
        <v>0</v>
      </c>
      <c r="AN49" s="417">
        <f t="shared" si="8"/>
        <v>0</v>
      </c>
      <c r="AO49" s="417">
        <f t="shared" si="9"/>
        <v>0</v>
      </c>
      <c r="AP49" s="417">
        <f t="shared" si="10"/>
        <v>0</v>
      </c>
      <c r="AQ49" s="417">
        <f t="shared" si="11"/>
        <v>15182</v>
      </c>
      <c r="AR49" s="417">
        <f t="shared" si="12"/>
        <v>15182</v>
      </c>
      <c r="AS49" s="68">
        <f t="shared" si="13"/>
        <v>5132</v>
      </c>
      <c r="AT49" s="68">
        <f t="shared" si="14"/>
        <v>152</v>
      </c>
      <c r="AU49" s="417">
        <v>0</v>
      </c>
      <c r="AV49" s="417">
        <v>0</v>
      </c>
      <c r="AW49" s="417">
        <v>0</v>
      </c>
      <c r="AX49" s="417">
        <f t="shared" si="15"/>
        <v>0</v>
      </c>
      <c r="AY49" s="417">
        <f t="shared" si="16"/>
        <v>20466</v>
      </c>
      <c r="AZ49" s="418">
        <v>0</v>
      </c>
      <c r="BA49" s="418">
        <v>0</v>
      </c>
      <c r="BB49" s="418">
        <v>0</v>
      </c>
      <c r="BC49" s="418">
        <v>0</v>
      </c>
      <c r="BD49" s="418">
        <v>0.04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0.04</v>
      </c>
      <c r="BK49" s="420">
        <f t="shared" si="19"/>
        <v>0.04</v>
      </c>
      <c r="BL49" s="772">
        <f>I49+AY49</f>
        <v>1525615</v>
      </c>
      <c r="BM49" s="417">
        <f>J49+AG49</f>
        <v>1127402</v>
      </c>
      <c r="BN49" s="417">
        <f>K49+AE49</f>
        <v>0</v>
      </c>
      <c r="BO49" s="417">
        <f>L49+AF49</f>
        <v>1127402</v>
      </c>
      <c r="BP49" s="417">
        <f>M49+AO49</f>
        <v>0</v>
      </c>
      <c r="BQ49" s="417">
        <f>N49+AM49</f>
        <v>0</v>
      </c>
      <c r="BR49" s="417">
        <f>O49+AN49</f>
        <v>0</v>
      </c>
      <c r="BS49" s="417">
        <f>P49+AS49</f>
        <v>381063</v>
      </c>
      <c r="BT49" s="417">
        <f>Q49+AT49</f>
        <v>11274</v>
      </c>
      <c r="BU49" s="417">
        <f>R49+AX49</f>
        <v>5876</v>
      </c>
      <c r="BV49" s="418">
        <f>S49+BK49</f>
        <v>3.3766000000000007</v>
      </c>
      <c r="BW49" s="418">
        <f>T49+BI49</f>
        <v>0</v>
      </c>
      <c r="BX49" s="420">
        <f>U49+BJ49</f>
        <v>3.3766000000000007</v>
      </c>
      <c r="BY49" s="419"/>
      <c r="BZ49" s="414"/>
      <c r="CA49" s="414"/>
      <c r="CB49" s="414"/>
      <c r="CC49" s="414"/>
      <c r="CD49" s="422"/>
      <c r="CE49" s="419">
        <f t="shared" si="24"/>
        <v>0</v>
      </c>
      <c r="CF49" s="414">
        <v>0</v>
      </c>
      <c r="CG49" s="414">
        <v>0</v>
      </c>
      <c r="CH49" s="414">
        <v>0</v>
      </c>
      <c r="CI49" s="414">
        <v>0</v>
      </c>
      <c r="CJ49" s="509">
        <v>0</v>
      </c>
    </row>
    <row r="50" spans="1:88" ht="14.1" customHeight="1">
      <c r="A50" s="72">
        <v>10</v>
      </c>
      <c r="B50" s="69">
        <v>2321</v>
      </c>
      <c r="C50" s="70">
        <v>600079287</v>
      </c>
      <c r="D50" s="69">
        <v>72742976</v>
      </c>
      <c r="E50" s="71" t="s">
        <v>553</v>
      </c>
      <c r="F50" s="72"/>
      <c r="G50" s="71"/>
      <c r="H50" s="73"/>
      <c r="I50" s="516">
        <v>11057079</v>
      </c>
      <c r="J50" s="74">
        <v>8164691</v>
      </c>
      <c r="K50" s="74">
        <v>6081585</v>
      </c>
      <c r="L50" s="74">
        <v>2083106</v>
      </c>
      <c r="M50" s="74">
        <v>0</v>
      </c>
      <c r="N50" s="74">
        <v>0</v>
      </c>
      <c r="O50" s="74">
        <v>0</v>
      </c>
      <c r="P50" s="74">
        <v>2759666</v>
      </c>
      <c r="Q50" s="74">
        <v>81646</v>
      </c>
      <c r="R50" s="74">
        <v>51076</v>
      </c>
      <c r="S50" s="75">
        <v>17.116300000000003</v>
      </c>
      <c r="T50" s="75">
        <v>10.451599999999999</v>
      </c>
      <c r="U50" s="653">
        <v>6.6647000000000007</v>
      </c>
      <c r="V50" s="516">
        <f t="shared" ref="V50:BX50" si="88">SUM(V48:V49)</f>
        <v>0</v>
      </c>
      <c r="W50" s="74">
        <f t="shared" si="88"/>
        <v>0</v>
      </c>
      <c r="X50" s="74">
        <f t="shared" si="88"/>
        <v>0</v>
      </c>
      <c r="Y50" s="74">
        <f t="shared" si="88"/>
        <v>0</v>
      </c>
      <c r="Z50" s="74">
        <f t="shared" si="88"/>
        <v>0</v>
      </c>
      <c r="AA50" s="74">
        <f t="shared" si="88"/>
        <v>15182</v>
      </c>
      <c r="AB50" s="74">
        <f t="shared" si="88"/>
        <v>0</v>
      </c>
      <c r="AC50" s="74">
        <f t="shared" si="88"/>
        <v>0</v>
      </c>
      <c r="AD50" s="74">
        <f t="shared" si="88"/>
        <v>0</v>
      </c>
      <c r="AE50" s="74">
        <f t="shared" si="88"/>
        <v>0</v>
      </c>
      <c r="AF50" s="74">
        <f t="shared" si="88"/>
        <v>15182</v>
      </c>
      <c r="AG50" s="74">
        <f t="shared" si="88"/>
        <v>15182</v>
      </c>
      <c r="AH50" s="74">
        <f t="shared" si="88"/>
        <v>0</v>
      </c>
      <c r="AI50" s="74">
        <f t="shared" si="88"/>
        <v>0</v>
      </c>
      <c r="AJ50" s="74">
        <f t="shared" si="88"/>
        <v>0</v>
      </c>
      <c r="AK50" s="74">
        <f t="shared" si="88"/>
        <v>0</v>
      </c>
      <c r="AL50" s="74">
        <f t="shared" si="88"/>
        <v>0</v>
      </c>
      <c r="AM50" s="74">
        <f t="shared" si="88"/>
        <v>0</v>
      </c>
      <c r="AN50" s="74">
        <f t="shared" si="88"/>
        <v>0</v>
      </c>
      <c r="AO50" s="74">
        <f t="shared" si="88"/>
        <v>0</v>
      </c>
      <c r="AP50" s="74">
        <f t="shared" si="88"/>
        <v>0</v>
      </c>
      <c r="AQ50" s="74">
        <f t="shared" si="88"/>
        <v>15182</v>
      </c>
      <c r="AR50" s="74">
        <f t="shared" si="88"/>
        <v>15182</v>
      </c>
      <c r="AS50" s="74">
        <f t="shared" si="88"/>
        <v>5132</v>
      </c>
      <c r="AT50" s="74">
        <f t="shared" si="88"/>
        <v>152</v>
      </c>
      <c r="AU50" s="74">
        <f t="shared" si="88"/>
        <v>0</v>
      </c>
      <c r="AV50" s="74">
        <f t="shared" si="88"/>
        <v>0</v>
      </c>
      <c r="AW50" s="74">
        <f t="shared" si="88"/>
        <v>0</v>
      </c>
      <c r="AX50" s="74">
        <f t="shared" si="88"/>
        <v>0</v>
      </c>
      <c r="AY50" s="74">
        <f t="shared" si="88"/>
        <v>20466</v>
      </c>
      <c r="AZ50" s="75">
        <f t="shared" si="88"/>
        <v>0</v>
      </c>
      <c r="BA50" s="75">
        <f t="shared" si="88"/>
        <v>0</v>
      </c>
      <c r="BB50" s="75">
        <f t="shared" si="88"/>
        <v>0</v>
      </c>
      <c r="BC50" s="75">
        <f t="shared" si="88"/>
        <v>0</v>
      </c>
      <c r="BD50" s="75">
        <f t="shared" si="88"/>
        <v>0.04</v>
      </c>
      <c r="BE50" s="75">
        <f t="shared" si="88"/>
        <v>0</v>
      </c>
      <c r="BF50" s="75">
        <f t="shared" si="88"/>
        <v>0</v>
      </c>
      <c r="BG50" s="75">
        <f t="shared" si="88"/>
        <v>0</v>
      </c>
      <c r="BH50" s="75">
        <f t="shared" si="88"/>
        <v>0</v>
      </c>
      <c r="BI50" s="75">
        <f t="shared" si="88"/>
        <v>0</v>
      </c>
      <c r="BJ50" s="75">
        <f t="shared" si="88"/>
        <v>0.04</v>
      </c>
      <c r="BK50" s="76">
        <f t="shared" si="88"/>
        <v>0.04</v>
      </c>
      <c r="BL50" s="781">
        <f t="shared" si="88"/>
        <v>11077545</v>
      </c>
      <c r="BM50" s="74">
        <f t="shared" si="88"/>
        <v>8179873</v>
      </c>
      <c r="BN50" s="74">
        <f t="shared" si="88"/>
        <v>6081585</v>
      </c>
      <c r="BO50" s="74">
        <f t="shared" si="88"/>
        <v>2098288</v>
      </c>
      <c r="BP50" s="74">
        <f t="shared" si="88"/>
        <v>0</v>
      </c>
      <c r="BQ50" s="74">
        <f t="shared" si="88"/>
        <v>0</v>
      </c>
      <c r="BR50" s="74">
        <f t="shared" si="88"/>
        <v>0</v>
      </c>
      <c r="BS50" s="74">
        <f t="shared" si="88"/>
        <v>2764798</v>
      </c>
      <c r="BT50" s="74">
        <f t="shared" si="88"/>
        <v>81798</v>
      </c>
      <c r="BU50" s="74">
        <f t="shared" si="88"/>
        <v>51076</v>
      </c>
      <c r="BV50" s="75">
        <f t="shared" si="88"/>
        <v>17.156300000000002</v>
      </c>
      <c r="BW50" s="75">
        <f t="shared" si="88"/>
        <v>10.451599999999999</v>
      </c>
      <c r="BX50" s="76">
        <f t="shared" si="88"/>
        <v>6.7047000000000008</v>
      </c>
      <c r="BY50" s="791">
        <f t="shared" ref="BY50:CJ50" si="89">SUM(BY48:BY49)</f>
        <v>0</v>
      </c>
      <c r="BZ50" s="679">
        <f t="shared" si="89"/>
        <v>0</v>
      </c>
      <c r="CA50" s="679">
        <f t="shared" si="89"/>
        <v>0</v>
      </c>
      <c r="CB50" s="679">
        <f t="shared" si="89"/>
        <v>0</v>
      </c>
      <c r="CC50" s="679">
        <f t="shared" si="89"/>
        <v>0</v>
      </c>
      <c r="CD50" s="947">
        <f t="shared" si="89"/>
        <v>0</v>
      </c>
      <c r="CE50" s="956">
        <f t="shared" si="89"/>
        <v>434983</v>
      </c>
      <c r="CF50" s="953">
        <f t="shared" si="89"/>
        <v>311539</v>
      </c>
      <c r="CG50" s="953">
        <f t="shared" si="89"/>
        <v>105300</v>
      </c>
      <c r="CH50" s="953">
        <f t="shared" si="89"/>
        <v>3115</v>
      </c>
      <c r="CI50" s="953">
        <f t="shared" si="89"/>
        <v>15029</v>
      </c>
      <c r="CJ50" s="877">
        <f t="shared" si="89"/>
        <v>1.0679000000000001</v>
      </c>
    </row>
    <row r="51" spans="1:88" ht="14.1" customHeight="1">
      <c r="A51" s="66">
        <v>11</v>
      </c>
      <c r="B51" s="63">
        <v>2423</v>
      </c>
      <c r="C51" s="64">
        <v>600079368</v>
      </c>
      <c r="D51" s="63">
        <v>72742828</v>
      </c>
      <c r="E51" s="65" t="s">
        <v>554</v>
      </c>
      <c r="F51" s="66">
        <v>3111</v>
      </c>
      <c r="G51" s="65" t="s">
        <v>290</v>
      </c>
      <c r="H51" s="67" t="s">
        <v>271</v>
      </c>
      <c r="I51" s="419">
        <v>3928532</v>
      </c>
      <c r="J51" s="414">
        <v>2860395</v>
      </c>
      <c r="K51" s="414">
        <v>2554194</v>
      </c>
      <c r="L51" s="414">
        <v>306201</v>
      </c>
      <c r="M51" s="414">
        <v>40000</v>
      </c>
      <c r="N51" s="414">
        <v>0</v>
      </c>
      <c r="O51" s="414">
        <v>40000</v>
      </c>
      <c r="P51" s="595">
        <v>980333</v>
      </c>
      <c r="Q51" s="595">
        <v>28604</v>
      </c>
      <c r="R51" s="414">
        <v>19200</v>
      </c>
      <c r="S51" s="415">
        <v>5.3338999999999999</v>
      </c>
      <c r="T51" s="415">
        <v>4.2257999999999996</v>
      </c>
      <c r="U51" s="422">
        <v>1.1080999999999999</v>
      </c>
      <c r="V51" s="423">
        <f t="shared" si="2"/>
        <v>0</v>
      </c>
      <c r="W51" s="417">
        <f t="shared" si="3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4"/>
        <v>0</v>
      </c>
      <c r="AF51" s="417">
        <f t="shared" si="5"/>
        <v>0</v>
      </c>
      <c r="AG51" s="417">
        <f t="shared" si="6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7"/>
        <v>0</v>
      </c>
      <c r="AN51" s="417">
        <f t="shared" si="8"/>
        <v>0</v>
      </c>
      <c r="AO51" s="417">
        <f t="shared" si="9"/>
        <v>0</v>
      </c>
      <c r="AP51" s="417">
        <f t="shared" si="10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</v>
      </c>
      <c r="BK51" s="420">
        <f t="shared" si="19"/>
        <v>0</v>
      </c>
      <c r="BL51" s="772">
        <f>I51+AY51</f>
        <v>3928532</v>
      </c>
      <c r="BM51" s="417">
        <f>J51+AG51</f>
        <v>2860395</v>
      </c>
      <c r="BN51" s="417">
        <f>K51+AE51</f>
        <v>2554194</v>
      </c>
      <c r="BO51" s="417">
        <f>L51+AF51</f>
        <v>306201</v>
      </c>
      <c r="BP51" s="417">
        <f>M51+AO51</f>
        <v>40000</v>
      </c>
      <c r="BQ51" s="417">
        <f>N51+AM51</f>
        <v>0</v>
      </c>
      <c r="BR51" s="417">
        <f>O51+AN51</f>
        <v>40000</v>
      </c>
      <c r="BS51" s="417">
        <f>P51+AS51</f>
        <v>980333</v>
      </c>
      <c r="BT51" s="417">
        <f>Q51+AT51</f>
        <v>28604</v>
      </c>
      <c r="BU51" s="417">
        <f>R51+AX51</f>
        <v>19200</v>
      </c>
      <c r="BV51" s="418">
        <f>S51+BK51</f>
        <v>5.3338999999999999</v>
      </c>
      <c r="BW51" s="418">
        <f>T51+BI51</f>
        <v>4.2257999999999996</v>
      </c>
      <c r="BX51" s="420">
        <f>U51+BJ51</f>
        <v>1.1080999999999999</v>
      </c>
      <c r="BY51" s="419"/>
      <c r="BZ51" s="414"/>
      <c r="CA51" s="414"/>
      <c r="CB51" s="414"/>
      <c r="CC51" s="414"/>
      <c r="CD51" s="422"/>
      <c r="CE51" s="419">
        <f t="shared" si="24"/>
        <v>156121</v>
      </c>
      <c r="CF51" s="414">
        <v>111081</v>
      </c>
      <c r="CG51" s="414">
        <v>37545</v>
      </c>
      <c r="CH51" s="414">
        <v>1111</v>
      </c>
      <c r="CI51" s="414">
        <v>6384</v>
      </c>
      <c r="CJ51" s="509">
        <v>0.378</v>
      </c>
    </row>
    <row r="52" spans="1:88" ht="14.1" customHeight="1">
      <c r="A52" s="66">
        <v>11</v>
      </c>
      <c r="B52" s="63">
        <v>2423</v>
      </c>
      <c r="C52" s="64">
        <v>600079368</v>
      </c>
      <c r="D52" s="63">
        <v>72742828</v>
      </c>
      <c r="E52" s="65" t="s">
        <v>554</v>
      </c>
      <c r="F52" s="66">
        <v>3141</v>
      </c>
      <c r="G52" s="65" t="s">
        <v>294</v>
      </c>
      <c r="H52" s="67" t="s">
        <v>272</v>
      </c>
      <c r="I52" s="419">
        <v>676572</v>
      </c>
      <c r="J52" s="414">
        <v>500056</v>
      </c>
      <c r="K52" s="414">
        <v>0</v>
      </c>
      <c r="L52" s="744">
        <v>500056</v>
      </c>
      <c r="M52" s="414">
        <v>0</v>
      </c>
      <c r="N52" s="204">
        <v>0</v>
      </c>
      <c r="O52" s="204">
        <v>0</v>
      </c>
      <c r="P52" s="595">
        <v>169019</v>
      </c>
      <c r="Q52" s="595">
        <v>5001</v>
      </c>
      <c r="R52" s="601">
        <v>2496</v>
      </c>
      <c r="S52" s="415">
        <v>1.5</v>
      </c>
      <c r="T52" s="603">
        <v>0</v>
      </c>
      <c r="U52" s="731">
        <v>1.5</v>
      </c>
      <c r="V52" s="423">
        <f t="shared" si="2"/>
        <v>0</v>
      </c>
      <c r="W52" s="417">
        <f t="shared" si="3"/>
        <v>0</v>
      </c>
      <c r="X52" s="417">
        <v>0</v>
      </c>
      <c r="Y52" s="417">
        <v>0</v>
      </c>
      <c r="Z52" s="417">
        <v>0</v>
      </c>
      <c r="AA52" s="417">
        <v>-2390</v>
      </c>
      <c r="AB52" s="417">
        <v>0</v>
      </c>
      <c r="AC52" s="417">
        <v>0</v>
      </c>
      <c r="AD52" s="417">
        <v>0</v>
      </c>
      <c r="AE52" s="417">
        <f t="shared" si="4"/>
        <v>0</v>
      </c>
      <c r="AF52" s="417">
        <f t="shared" si="5"/>
        <v>-2390</v>
      </c>
      <c r="AG52" s="417">
        <f t="shared" si="6"/>
        <v>-2390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7"/>
        <v>0</v>
      </c>
      <c r="AN52" s="417">
        <f t="shared" si="8"/>
        <v>0</v>
      </c>
      <c r="AO52" s="417">
        <f t="shared" si="9"/>
        <v>0</v>
      </c>
      <c r="AP52" s="417">
        <f t="shared" si="10"/>
        <v>0</v>
      </c>
      <c r="AQ52" s="417">
        <f t="shared" si="11"/>
        <v>-2390</v>
      </c>
      <c r="AR52" s="417">
        <f t="shared" si="12"/>
        <v>-2390</v>
      </c>
      <c r="AS52" s="68">
        <f t="shared" si="13"/>
        <v>-808</v>
      </c>
      <c r="AT52" s="68">
        <f t="shared" si="14"/>
        <v>-24</v>
      </c>
      <c r="AU52" s="417">
        <v>0</v>
      </c>
      <c r="AV52" s="417">
        <v>0</v>
      </c>
      <c r="AW52" s="417">
        <v>0</v>
      </c>
      <c r="AX52" s="417">
        <f t="shared" si="15"/>
        <v>0</v>
      </c>
      <c r="AY52" s="417">
        <f t="shared" si="16"/>
        <v>-3222</v>
      </c>
      <c r="AZ52" s="418">
        <v>0</v>
      </c>
      <c r="BA52" s="418">
        <v>0</v>
      </c>
      <c r="BB52" s="418">
        <v>0</v>
      </c>
      <c r="BC52" s="418">
        <v>0</v>
      </c>
      <c r="BD52" s="418">
        <v>-0.01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7"/>
        <v>0</v>
      </c>
      <c r="BJ52" s="418">
        <f t="shared" si="18"/>
        <v>-0.01</v>
      </c>
      <c r="BK52" s="420">
        <f t="shared" si="19"/>
        <v>-0.01</v>
      </c>
      <c r="BL52" s="772">
        <f>I52+AY52</f>
        <v>673350</v>
      </c>
      <c r="BM52" s="417">
        <f>J52+AG52</f>
        <v>497666</v>
      </c>
      <c r="BN52" s="417">
        <f>K52+AE52</f>
        <v>0</v>
      </c>
      <c r="BO52" s="417">
        <f>L52+AF52</f>
        <v>497666</v>
      </c>
      <c r="BP52" s="417">
        <f>M52+AO52</f>
        <v>0</v>
      </c>
      <c r="BQ52" s="417">
        <f>N52+AM52</f>
        <v>0</v>
      </c>
      <c r="BR52" s="417">
        <f>O52+AN52</f>
        <v>0</v>
      </c>
      <c r="BS52" s="417">
        <f>P52+AS52</f>
        <v>168211</v>
      </c>
      <c r="BT52" s="417">
        <f>Q52+AT52</f>
        <v>4977</v>
      </c>
      <c r="BU52" s="417">
        <f>R52+AX52</f>
        <v>2496</v>
      </c>
      <c r="BV52" s="418">
        <f>S52+BK52</f>
        <v>1.49</v>
      </c>
      <c r="BW52" s="418">
        <f>T52+BI52</f>
        <v>0</v>
      </c>
      <c r="BX52" s="420">
        <f>U52+BJ52</f>
        <v>1.49</v>
      </c>
      <c r="BY52" s="419"/>
      <c r="BZ52" s="414"/>
      <c r="CA52" s="414"/>
      <c r="CB52" s="414"/>
      <c r="CC52" s="414"/>
      <c r="CD52" s="422"/>
      <c r="CE52" s="419">
        <f t="shared" si="24"/>
        <v>0</v>
      </c>
      <c r="CF52" s="414">
        <v>0</v>
      </c>
      <c r="CG52" s="414">
        <v>0</v>
      </c>
      <c r="CH52" s="414">
        <v>0</v>
      </c>
      <c r="CI52" s="414">
        <v>0</v>
      </c>
      <c r="CJ52" s="509">
        <v>0</v>
      </c>
    </row>
    <row r="53" spans="1:88" ht="14.1" customHeight="1">
      <c r="A53" s="72">
        <v>11</v>
      </c>
      <c r="B53" s="69">
        <v>2423</v>
      </c>
      <c r="C53" s="70">
        <v>600079368</v>
      </c>
      <c r="D53" s="69">
        <v>72742828</v>
      </c>
      <c r="E53" s="71" t="s">
        <v>555</v>
      </c>
      <c r="F53" s="72"/>
      <c r="G53" s="71"/>
      <c r="H53" s="73"/>
      <c r="I53" s="516">
        <v>4605104</v>
      </c>
      <c r="J53" s="74">
        <v>3360451</v>
      </c>
      <c r="K53" s="74">
        <v>2554194</v>
      </c>
      <c r="L53" s="74">
        <v>806257</v>
      </c>
      <c r="M53" s="74">
        <v>40000</v>
      </c>
      <c r="N53" s="74">
        <v>0</v>
      </c>
      <c r="O53" s="74">
        <v>40000</v>
      </c>
      <c r="P53" s="74">
        <v>1149352</v>
      </c>
      <c r="Q53" s="74">
        <v>33605</v>
      </c>
      <c r="R53" s="74">
        <v>21696</v>
      </c>
      <c r="S53" s="75">
        <v>6.8338999999999999</v>
      </c>
      <c r="T53" s="75">
        <v>4.2257999999999996</v>
      </c>
      <c r="U53" s="653">
        <v>2.6080999999999999</v>
      </c>
      <c r="V53" s="516">
        <f t="shared" ref="V53:BX53" si="90">SUM(V51:V52)</f>
        <v>0</v>
      </c>
      <c r="W53" s="74">
        <f t="shared" si="90"/>
        <v>0</v>
      </c>
      <c r="X53" s="74">
        <f t="shared" si="90"/>
        <v>0</v>
      </c>
      <c r="Y53" s="74">
        <f t="shared" si="90"/>
        <v>0</v>
      </c>
      <c r="Z53" s="74">
        <f t="shared" si="90"/>
        <v>0</v>
      </c>
      <c r="AA53" s="74">
        <f t="shared" si="90"/>
        <v>-2390</v>
      </c>
      <c r="AB53" s="74">
        <f t="shared" si="90"/>
        <v>0</v>
      </c>
      <c r="AC53" s="74">
        <f t="shared" si="90"/>
        <v>0</v>
      </c>
      <c r="AD53" s="74">
        <f t="shared" si="90"/>
        <v>0</v>
      </c>
      <c r="AE53" s="74">
        <f t="shared" si="90"/>
        <v>0</v>
      </c>
      <c r="AF53" s="74">
        <f t="shared" si="90"/>
        <v>-2390</v>
      </c>
      <c r="AG53" s="74">
        <f t="shared" si="90"/>
        <v>-2390</v>
      </c>
      <c r="AH53" s="74">
        <f t="shared" si="90"/>
        <v>0</v>
      </c>
      <c r="AI53" s="74">
        <f t="shared" si="90"/>
        <v>0</v>
      </c>
      <c r="AJ53" s="74">
        <f t="shared" si="90"/>
        <v>0</v>
      </c>
      <c r="AK53" s="74">
        <f t="shared" si="90"/>
        <v>0</v>
      </c>
      <c r="AL53" s="74">
        <f t="shared" si="90"/>
        <v>0</v>
      </c>
      <c r="AM53" s="74">
        <f t="shared" si="90"/>
        <v>0</v>
      </c>
      <c r="AN53" s="74">
        <f t="shared" si="90"/>
        <v>0</v>
      </c>
      <c r="AO53" s="74">
        <f t="shared" si="90"/>
        <v>0</v>
      </c>
      <c r="AP53" s="74">
        <f t="shared" si="90"/>
        <v>0</v>
      </c>
      <c r="AQ53" s="74">
        <f t="shared" si="90"/>
        <v>-2390</v>
      </c>
      <c r="AR53" s="74">
        <f t="shared" si="90"/>
        <v>-2390</v>
      </c>
      <c r="AS53" s="74">
        <f t="shared" si="90"/>
        <v>-808</v>
      </c>
      <c r="AT53" s="74">
        <f t="shared" si="90"/>
        <v>-24</v>
      </c>
      <c r="AU53" s="74">
        <f t="shared" si="90"/>
        <v>0</v>
      </c>
      <c r="AV53" s="74">
        <f t="shared" si="90"/>
        <v>0</v>
      </c>
      <c r="AW53" s="74">
        <f t="shared" si="90"/>
        <v>0</v>
      </c>
      <c r="AX53" s="74">
        <f t="shared" si="90"/>
        <v>0</v>
      </c>
      <c r="AY53" s="74">
        <f t="shared" si="90"/>
        <v>-3222</v>
      </c>
      <c r="AZ53" s="75">
        <f t="shared" si="90"/>
        <v>0</v>
      </c>
      <c r="BA53" s="75">
        <f t="shared" si="90"/>
        <v>0</v>
      </c>
      <c r="BB53" s="75">
        <f t="shared" si="90"/>
        <v>0</v>
      </c>
      <c r="BC53" s="75">
        <f t="shared" si="90"/>
        <v>0</v>
      </c>
      <c r="BD53" s="75">
        <f t="shared" si="90"/>
        <v>-0.01</v>
      </c>
      <c r="BE53" s="75">
        <f t="shared" si="90"/>
        <v>0</v>
      </c>
      <c r="BF53" s="75">
        <f t="shared" si="90"/>
        <v>0</v>
      </c>
      <c r="BG53" s="75">
        <f t="shared" si="90"/>
        <v>0</v>
      </c>
      <c r="BH53" s="75">
        <f t="shared" si="90"/>
        <v>0</v>
      </c>
      <c r="BI53" s="75">
        <f t="shared" si="90"/>
        <v>0</v>
      </c>
      <c r="BJ53" s="75">
        <f t="shared" si="90"/>
        <v>-0.01</v>
      </c>
      <c r="BK53" s="76">
        <f t="shared" si="90"/>
        <v>-0.01</v>
      </c>
      <c r="BL53" s="781">
        <f t="shared" si="90"/>
        <v>4601882</v>
      </c>
      <c r="BM53" s="74">
        <f t="shared" si="90"/>
        <v>3358061</v>
      </c>
      <c r="BN53" s="74">
        <f t="shared" si="90"/>
        <v>2554194</v>
      </c>
      <c r="BO53" s="74">
        <f t="shared" si="90"/>
        <v>803867</v>
      </c>
      <c r="BP53" s="74">
        <f t="shared" si="90"/>
        <v>40000</v>
      </c>
      <c r="BQ53" s="74">
        <f t="shared" si="90"/>
        <v>0</v>
      </c>
      <c r="BR53" s="74">
        <f t="shared" si="90"/>
        <v>40000</v>
      </c>
      <c r="BS53" s="74">
        <f t="shared" si="90"/>
        <v>1148544</v>
      </c>
      <c r="BT53" s="74">
        <f t="shared" si="90"/>
        <v>33581</v>
      </c>
      <c r="BU53" s="74">
        <f t="shared" si="90"/>
        <v>21696</v>
      </c>
      <c r="BV53" s="75">
        <f t="shared" si="90"/>
        <v>6.8239000000000001</v>
      </c>
      <c r="BW53" s="75">
        <f t="shared" si="90"/>
        <v>4.2257999999999996</v>
      </c>
      <c r="BX53" s="76">
        <f t="shared" si="90"/>
        <v>2.5980999999999996</v>
      </c>
      <c r="BY53" s="791">
        <f t="shared" ref="BY53:CJ53" si="91">SUM(BY51:BY52)</f>
        <v>0</v>
      </c>
      <c r="BZ53" s="679">
        <f t="shared" si="91"/>
        <v>0</v>
      </c>
      <c r="CA53" s="679">
        <f t="shared" si="91"/>
        <v>0</v>
      </c>
      <c r="CB53" s="679">
        <f t="shared" si="91"/>
        <v>0</v>
      </c>
      <c r="CC53" s="679">
        <f t="shared" si="91"/>
        <v>0</v>
      </c>
      <c r="CD53" s="947">
        <f t="shared" si="91"/>
        <v>0</v>
      </c>
      <c r="CE53" s="956">
        <f t="shared" si="91"/>
        <v>156121</v>
      </c>
      <c r="CF53" s="953">
        <f t="shared" si="91"/>
        <v>111081</v>
      </c>
      <c r="CG53" s="953">
        <f t="shared" si="91"/>
        <v>37545</v>
      </c>
      <c r="CH53" s="953">
        <f t="shared" si="91"/>
        <v>1111</v>
      </c>
      <c r="CI53" s="953">
        <f t="shared" si="91"/>
        <v>6384</v>
      </c>
      <c r="CJ53" s="877">
        <f t="shared" si="91"/>
        <v>0.378</v>
      </c>
    </row>
    <row r="54" spans="1:88" ht="14.1" customHeight="1">
      <c r="A54" s="66">
        <v>12</v>
      </c>
      <c r="B54" s="63">
        <v>2428</v>
      </c>
      <c r="C54" s="64">
        <v>600079112</v>
      </c>
      <c r="D54" s="63">
        <v>72743140</v>
      </c>
      <c r="E54" s="65" t="s">
        <v>556</v>
      </c>
      <c r="F54" s="66">
        <v>3111</v>
      </c>
      <c r="G54" s="65" t="s">
        <v>290</v>
      </c>
      <c r="H54" s="67" t="s">
        <v>271</v>
      </c>
      <c r="I54" s="419">
        <v>7912854</v>
      </c>
      <c r="J54" s="414">
        <v>5842770</v>
      </c>
      <c r="K54" s="414">
        <v>5150405</v>
      </c>
      <c r="L54" s="414">
        <v>692365</v>
      </c>
      <c r="M54" s="414">
        <v>0</v>
      </c>
      <c r="N54" s="414">
        <v>0</v>
      </c>
      <c r="O54" s="414">
        <v>0</v>
      </c>
      <c r="P54" s="595">
        <v>1974856</v>
      </c>
      <c r="Q54" s="595">
        <v>58428</v>
      </c>
      <c r="R54" s="414">
        <v>36800</v>
      </c>
      <c r="S54" s="415">
        <v>11.1303</v>
      </c>
      <c r="T54" s="415">
        <v>8.7742000000000004</v>
      </c>
      <c r="U54" s="422">
        <v>2.3560999999999996</v>
      </c>
      <c r="V54" s="423">
        <f t="shared" si="2"/>
        <v>0</v>
      </c>
      <c r="W54" s="417">
        <f t="shared" si="3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4"/>
        <v>0</v>
      </c>
      <c r="AF54" s="417">
        <f t="shared" si="5"/>
        <v>0</v>
      </c>
      <c r="AG54" s="417">
        <f t="shared" si="6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7"/>
        <v>0</v>
      </c>
      <c r="AN54" s="417">
        <f t="shared" si="8"/>
        <v>0</v>
      </c>
      <c r="AO54" s="417">
        <f t="shared" si="9"/>
        <v>0</v>
      </c>
      <c r="AP54" s="417">
        <f t="shared" si="10"/>
        <v>0</v>
      </c>
      <c r="AQ54" s="417">
        <f t="shared" si="11"/>
        <v>0</v>
      </c>
      <c r="AR54" s="417">
        <f t="shared" si="12"/>
        <v>0</v>
      </c>
      <c r="AS54" s="68">
        <f t="shared" si="13"/>
        <v>0</v>
      </c>
      <c r="AT54" s="68">
        <f t="shared" si="14"/>
        <v>0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0</v>
      </c>
      <c r="BK54" s="420">
        <f t="shared" si="19"/>
        <v>0</v>
      </c>
      <c r="BL54" s="772">
        <f>I54+AY54</f>
        <v>7912854</v>
      </c>
      <c r="BM54" s="417">
        <f>J54+AG54</f>
        <v>5842770</v>
      </c>
      <c r="BN54" s="417">
        <f>K54+AE54</f>
        <v>5150405</v>
      </c>
      <c r="BO54" s="417">
        <f>L54+AF54</f>
        <v>692365</v>
      </c>
      <c r="BP54" s="417">
        <f>M54+AO54</f>
        <v>0</v>
      </c>
      <c r="BQ54" s="417">
        <f>N54+AM54</f>
        <v>0</v>
      </c>
      <c r="BR54" s="417">
        <f>O54+AN54</f>
        <v>0</v>
      </c>
      <c r="BS54" s="417">
        <f>P54+AS54</f>
        <v>1974856</v>
      </c>
      <c r="BT54" s="417">
        <f>Q54+AT54</f>
        <v>58428</v>
      </c>
      <c r="BU54" s="417">
        <f>R54+AX54</f>
        <v>36800</v>
      </c>
      <c r="BV54" s="418">
        <f>S54+BK54</f>
        <v>11.1303</v>
      </c>
      <c r="BW54" s="418">
        <f>T54+BI54</f>
        <v>8.7742000000000004</v>
      </c>
      <c r="BX54" s="420">
        <f>U54+BJ54</f>
        <v>2.3560999999999996</v>
      </c>
      <c r="BY54" s="419"/>
      <c r="BZ54" s="414"/>
      <c r="CA54" s="414"/>
      <c r="CB54" s="414"/>
      <c r="CC54" s="414"/>
      <c r="CD54" s="422"/>
      <c r="CE54" s="419">
        <f t="shared" si="24"/>
        <v>311712</v>
      </c>
      <c r="CF54" s="414">
        <v>222163</v>
      </c>
      <c r="CG54" s="414">
        <v>75091</v>
      </c>
      <c r="CH54" s="414">
        <v>2222</v>
      </c>
      <c r="CI54" s="414">
        <v>12236</v>
      </c>
      <c r="CJ54" s="509">
        <v>0.75600000000000001</v>
      </c>
    </row>
    <row r="55" spans="1:88" ht="14.1" customHeight="1">
      <c r="A55" s="66">
        <v>12</v>
      </c>
      <c r="B55" s="63">
        <v>2428</v>
      </c>
      <c r="C55" s="64">
        <v>600079112</v>
      </c>
      <c r="D55" s="63">
        <v>72743140</v>
      </c>
      <c r="E55" s="65" t="s">
        <v>556</v>
      </c>
      <c r="F55" s="66">
        <v>3141</v>
      </c>
      <c r="G55" s="65" t="s">
        <v>294</v>
      </c>
      <c r="H55" s="67" t="s">
        <v>272</v>
      </c>
      <c r="I55" s="419">
        <v>1061982</v>
      </c>
      <c r="J55" s="414">
        <v>784233</v>
      </c>
      <c r="K55" s="414">
        <v>0</v>
      </c>
      <c r="L55" s="744">
        <v>784233</v>
      </c>
      <c r="M55" s="414">
        <v>0</v>
      </c>
      <c r="N55" s="204">
        <v>0</v>
      </c>
      <c r="O55" s="204">
        <v>0</v>
      </c>
      <c r="P55" s="595">
        <v>265070</v>
      </c>
      <c r="Q55" s="595">
        <v>7843</v>
      </c>
      <c r="R55" s="601">
        <v>4836</v>
      </c>
      <c r="S55" s="415">
        <v>2.3467000000000002</v>
      </c>
      <c r="T55" s="603">
        <v>0</v>
      </c>
      <c r="U55" s="731">
        <v>2.3467000000000002</v>
      </c>
      <c r="V55" s="423">
        <f t="shared" si="2"/>
        <v>0</v>
      </c>
      <c r="W55" s="417">
        <f t="shared" si="3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4"/>
        <v>0</v>
      </c>
      <c r="AF55" s="417">
        <f t="shared" si="5"/>
        <v>0</v>
      </c>
      <c r="AG55" s="417">
        <f t="shared" si="6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7"/>
        <v>0</v>
      </c>
      <c r="AN55" s="417">
        <f t="shared" si="8"/>
        <v>0</v>
      </c>
      <c r="AO55" s="417">
        <f t="shared" si="9"/>
        <v>0</v>
      </c>
      <c r="AP55" s="417">
        <f t="shared" si="10"/>
        <v>0</v>
      </c>
      <c r="AQ55" s="417">
        <f t="shared" si="11"/>
        <v>0</v>
      </c>
      <c r="AR55" s="417">
        <f t="shared" si="12"/>
        <v>0</v>
      </c>
      <c r="AS55" s="68">
        <f t="shared" si="13"/>
        <v>0</v>
      </c>
      <c r="AT55" s="68">
        <f t="shared" si="14"/>
        <v>0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0</v>
      </c>
      <c r="BK55" s="420">
        <f t="shared" si="19"/>
        <v>0</v>
      </c>
      <c r="BL55" s="772">
        <f>I55+AY55</f>
        <v>1061982</v>
      </c>
      <c r="BM55" s="417">
        <f>J55+AG55</f>
        <v>784233</v>
      </c>
      <c r="BN55" s="417">
        <f>K55+AE55</f>
        <v>0</v>
      </c>
      <c r="BO55" s="417">
        <f>L55+AF55</f>
        <v>784233</v>
      </c>
      <c r="BP55" s="417">
        <f>M55+AO55</f>
        <v>0</v>
      </c>
      <c r="BQ55" s="417">
        <f>N55+AM55</f>
        <v>0</v>
      </c>
      <c r="BR55" s="417">
        <f>O55+AN55</f>
        <v>0</v>
      </c>
      <c r="BS55" s="417">
        <f>P55+AS55</f>
        <v>265070</v>
      </c>
      <c r="BT55" s="417">
        <f>Q55+AT55</f>
        <v>7843</v>
      </c>
      <c r="BU55" s="417">
        <f>R55+AX55</f>
        <v>4836</v>
      </c>
      <c r="BV55" s="418">
        <f>S55+BK55</f>
        <v>2.3467000000000002</v>
      </c>
      <c r="BW55" s="418">
        <f>T55+BI55</f>
        <v>0</v>
      </c>
      <c r="BX55" s="420">
        <f>U55+BJ55</f>
        <v>2.3467000000000002</v>
      </c>
      <c r="BY55" s="419"/>
      <c r="BZ55" s="414"/>
      <c r="CA55" s="414"/>
      <c r="CB55" s="414"/>
      <c r="CC55" s="414"/>
      <c r="CD55" s="422"/>
      <c r="CE55" s="419">
        <f t="shared" si="24"/>
        <v>0</v>
      </c>
      <c r="CF55" s="414">
        <v>0</v>
      </c>
      <c r="CG55" s="414">
        <v>0</v>
      </c>
      <c r="CH55" s="414">
        <v>0</v>
      </c>
      <c r="CI55" s="414">
        <v>0</v>
      </c>
      <c r="CJ55" s="509">
        <v>0</v>
      </c>
    </row>
    <row r="56" spans="1:88" ht="14.1" customHeight="1">
      <c r="A56" s="72">
        <v>12</v>
      </c>
      <c r="B56" s="69">
        <v>2428</v>
      </c>
      <c r="C56" s="70">
        <v>600079112</v>
      </c>
      <c r="D56" s="69">
        <v>72743140</v>
      </c>
      <c r="E56" s="71" t="s">
        <v>557</v>
      </c>
      <c r="F56" s="72"/>
      <c r="G56" s="71"/>
      <c r="H56" s="73"/>
      <c r="I56" s="516">
        <v>8974836</v>
      </c>
      <c r="J56" s="74">
        <v>6627003</v>
      </c>
      <c r="K56" s="74">
        <v>5150405</v>
      </c>
      <c r="L56" s="74">
        <v>1476598</v>
      </c>
      <c r="M56" s="74">
        <v>0</v>
      </c>
      <c r="N56" s="74">
        <v>0</v>
      </c>
      <c r="O56" s="74">
        <v>0</v>
      </c>
      <c r="P56" s="74">
        <v>2239926</v>
      </c>
      <c r="Q56" s="74">
        <v>66271</v>
      </c>
      <c r="R56" s="74">
        <v>41636</v>
      </c>
      <c r="S56" s="75">
        <v>13.477</v>
      </c>
      <c r="T56" s="75">
        <v>8.7742000000000004</v>
      </c>
      <c r="U56" s="653">
        <v>4.7027999999999999</v>
      </c>
      <c r="V56" s="516">
        <f t="shared" ref="V56:BX56" si="92">SUM(V54:V55)</f>
        <v>0</v>
      </c>
      <c r="W56" s="74">
        <f t="shared" si="92"/>
        <v>0</v>
      </c>
      <c r="X56" s="74">
        <f t="shared" si="92"/>
        <v>0</v>
      </c>
      <c r="Y56" s="74">
        <f t="shared" si="92"/>
        <v>0</v>
      </c>
      <c r="Z56" s="74">
        <f t="shared" si="92"/>
        <v>0</v>
      </c>
      <c r="AA56" s="74">
        <f t="shared" si="92"/>
        <v>0</v>
      </c>
      <c r="AB56" s="74">
        <f t="shared" si="92"/>
        <v>0</v>
      </c>
      <c r="AC56" s="74">
        <f t="shared" si="92"/>
        <v>0</v>
      </c>
      <c r="AD56" s="74">
        <f t="shared" si="92"/>
        <v>0</v>
      </c>
      <c r="AE56" s="74">
        <f t="shared" si="92"/>
        <v>0</v>
      </c>
      <c r="AF56" s="74">
        <f t="shared" si="92"/>
        <v>0</v>
      </c>
      <c r="AG56" s="74">
        <f t="shared" si="92"/>
        <v>0</v>
      </c>
      <c r="AH56" s="74">
        <f t="shared" si="92"/>
        <v>0</v>
      </c>
      <c r="AI56" s="74">
        <f t="shared" si="92"/>
        <v>0</v>
      </c>
      <c r="AJ56" s="74">
        <f t="shared" si="92"/>
        <v>0</v>
      </c>
      <c r="AK56" s="74">
        <f t="shared" si="92"/>
        <v>0</v>
      </c>
      <c r="AL56" s="74">
        <f t="shared" si="92"/>
        <v>0</v>
      </c>
      <c r="AM56" s="74">
        <f t="shared" si="92"/>
        <v>0</v>
      </c>
      <c r="AN56" s="74">
        <f t="shared" si="92"/>
        <v>0</v>
      </c>
      <c r="AO56" s="74">
        <f t="shared" si="92"/>
        <v>0</v>
      </c>
      <c r="AP56" s="74">
        <f t="shared" si="92"/>
        <v>0</v>
      </c>
      <c r="AQ56" s="74">
        <f t="shared" si="92"/>
        <v>0</v>
      </c>
      <c r="AR56" s="74">
        <f t="shared" si="92"/>
        <v>0</v>
      </c>
      <c r="AS56" s="74">
        <f t="shared" si="92"/>
        <v>0</v>
      </c>
      <c r="AT56" s="74">
        <f t="shared" si="92"/>
        <v>0</v>
      </c>
      <c r="AU56" s="74">
        <f t="shared" si="92"/>
        <v>0</v>
      </c>
      <c r="AV56" s="74">
        <f t="shared" si="92"/>
        <v>0</v>
      </c>
      <c r="AW56" s="74">
        <f t="shared" si="92"/>
        <v>0</v>
      </c>
      <c r="AX56" s="74">
        <f t="shared" si="92"/>
        <v>0</v>
      </c>
      <c r="AY56" s="74">
        <f t="shared" si="92"/>
        <v>0</v>
      </c>
      <c r="AZ56" s="75">
        <f t="shared" si="92"/>
        <v>0</v>
      </c>
      <c r="BA56" s="75">
        <f t="shared" si="92"/>
        <v>0</v>
      </c>
      <c r="BB56" s="75">
        <f t="shared" si="92"/>
        <v>0</v>
      </c>
      <c r="BC56" s="75">
        <f t="shared" si="92"/>
        <v>0</v>
      </c>
      <c r="BD56" s="75">
        <f t="shared" si="92"/>
        <v>0</v>
      </c>
      <c r="BE56" s="75">
        <f t="shared" si="92"/>
        <v>0</v>
      </c>
      <c r="BF56" s="75">
        <f t="shared" si="92"/>
        <v>0</v>
      </c>
      <c r="BG56" s="75">
        <f t="shared" si="92"/>
        <v>0</v>
      </c>
      <c r="BH56" s="75">
        <f t="shared" si="92"/>
        <v>0</v>
      </c>
      <c r="BI56" s="75">
        <f t="shared" si="92"/>
        <v>0</v>
      </c>
      <c r="BJ56" s="75">
        <f t="shared" si="92"/>
        <v>0</v>
      </c>
      <c r="BK56" s="76">
        <f t="shared" si="92"/>
        <v>0</v>
      </c>
      <c r="BL56" s="781">
        <f t="shared" si="92"/>
        <v>8974836</v>
      </c>
      <c r="BM56" s="74">
        <f t="shared" si="92"/>
        <v>6627003</v>
      </c>
      <c r="BN56" s="74">
        <f t="shared" si="92"/>
        <v>5150405</v>
      </c>
      <c r="BO56" s="74">
        <f t="shared" si="92"/>
        <v>1476598</v>
      </c>
      <c r="BP56" s="74">
        <f t="shared" si="92"/>
        <v>0</v>
      </c>
      <c r="BQ56" s="74">
        <f t="shared" si="92"/>
        <v>0</v>
      </c>
      <c r="BR56" s="74">
        <f t="shared" si="92"/>
        <v>0</v>
      </c>
      <c r="BS56" s="74">
        <f t="shared" si="92"/>
        <v>2239926</v>
      </c>
      <c r="BT56" s="74">
        <f t="shared" si="92"/>
        <v>66271</v>
      </c>
      <c r="BU56" s="74">
        <f t="shared" si="92"/>
        <v>41636</v>
      </c>
      <c r="BV56" s="75">
        <f t="shared" si="92"/>
        <v>13.477</v>
      </c>
      <c r="BW56" s="75">
        <f t="shared" si="92"/>
        <v>8.7742000000000004</v>
      </c>
      <c r="BX56" s="76">
        <f t="shared" si="92"/>
        <v>4.7027999999999999</v>
      </c>
      <c r="BY56" s="791">
        <f t="shared" ref="BY56:CJ56" si="93">SUM(BY54:BY55)</f>
        <v>0</v>
      </c>
      <c r="BZ56" s="679">
        <f t="shared" si="93"/>
        <v>0</v>
      </c>
      <c r="CA56" s="679">
        <f t="shared" si="93"/>
        <v>0</v>
      </c>
      <c r="CB56" s="679">
        <f t="shared" si="93"/>
        <v>0</v>
      </c>
      <c r="CC56" s="679">
        <f t="shared" si="93"/>
        <v>0</v>
      </c>
      <c r="CD56" s="947">
        <f t="shared" si="93"/>
        <v>0</v>
      </c>
      <c r="CE56" s="956">
        <f t="shared" si="93"/>
        <v>311712</v>
      </c>
      <c r="CF56" s="953">
        <f t="shared" si="93"/>
        <v>222163</v>
      </c>
      <c r="CG56" s="953">
        <f t="shared" si="93"/>
        <v>75091</v>
      </c>
      <c r="CH56" s="953">
        <f t="shared" si="93"/>
        <v>2222</v>
      </c>
      <c r="CI56" s="953">
        <f t="shared" si="93"/>
        <v>12236</v>
      </c>
      <c r="CJ56" s="877">
        <f t="shared" si="93"/>
        <v>0.75600000000000001</v>
      </c>
    </row>
    <row r="57" spans="1:88" ht="14.1" customHeight="1">
      <c r="A57" s="66">
        <v>13</v>
      </c>
      <c r="B57" s="63">
        <v>2413</v>
      </c>
      <c r="C57" s="64">
        <v>600079601</v>
      </c>
      <c r="D57" s="63">
        <v>72742909</v>
      </c>
      <c r="E57" s="65" t="s">
        <v>558</v>
      </c>
      <c r="F57" s="66">
        <v>3111</v>
      </c>
      <c r="G57" s="65" t="s">
        <v>290</v>
      </c>
      <c r="H57" s="67" t="s">
        <v>271</v>
      </c>
      <c r="I57" s="419">
        <v>5568200</v>
      </c>
      <c r="J57" s="414">
        <v>4112018</v>
      </c>
      <c r="K57" s="414">
        <v>3592735</v>
      </c>
      <c r="L57" s="414">
        <v>519283</v>
      </c>
      <c r="M57" s="414">
        <v>0</v>
      </c>
      <c r="N57" s="414">
        <v>0</v>
      </c>
      <c r="O57" s="414">
        <v>0</v>
      </c>
      <c r="P57" s="595">
        <v>1389862</v>
      </c>
      <c r="Q57" s="595">
        <v>41120</v>
      </c>
      <c r="R57" s="414">
        <v>25200</v>
      </c>
      <c r="S57" s="415">
        <v>8.0088999999999988</v>
      </c>
      <c r="T57" s="415">
        <v>6.2417999999999996</v>
      </c>
      <c r="U57" s="422">
        <v>1.7670999999999999</v>
      </c>
      <c r="V57" s="423">
        <f t="shared" si="2"/>
        <v>0</v>
      </c>
      <c r="W57" s="417">
        <f t="shared" si="3"/>
        <v>-12400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4"/>
        <v>0</v>
      </c>
      <c r="AF57" s="417">
        <f t="shared" si="5"/>
        <v>-12400</v>
      </c>
      <c r="AG57" s="417">
        <f t="shared" si="6"/>
        <v>-12400</v>
      </c>
      <c r="AH57" s="417">
        <v>0</v>
      </c>
      <c r="AI57" s="417">
        <v>12400</v>
      </c>
      <c r="AJ57" s="417">
        <v>0</v>
      </c>
      <c r="AK57" s="417">
        <v>0</v>
      </c>
      <c r="AL57" s="417">
        <v>0</v>
      </c>
      <c r="AM57" s="417">
        <f t="shared" si="7"/>
        <v>0</v>
      </c>
      <c r="AN57" s="417">
        <f t="shared" si="8"/>
        <v>12400</v>
      </c>
      <c r="AO57" s="417">
        <f t="shared" si="9"/>
        <v>12400</v>
      </c>
      <c r="AP57" s="417">
        <f t="shared" si="10"/>
        <v>0</v>
      </c>
      <c r="AQ57" s="417">
        <f t="shared" si="11"/>
        <v>0</v>
      </c>
      <c r="AR57" s="417">
        <f t="shared" si="12"/>
        <v>0</v>
      </c>
      <c r="AS57" s="68">
        <f t="shared" si="13"/>
        <v>0</v>
      </c>
      <c r="AT57" s="68">
        <f t="shared" si="14"/>
        <v>-124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-124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</v>
      </c>
      <c r="BK57" s="420">
        <f t="shared" si="19"/>
        <v>0</v>
      </c>
      <c r="BL57" s="772">
        <f>I57+AY57</f>
        <v>5568076</v>
      </c>
      <c r="BM57" s="417">
        <f>J57+AG57</f>
        <v>4099618</v>
      </c>
      <c r="BN57" s="417">
        <f t="shared" ref="BN57:BO59" si="94">K57+AE57</f>
        <v>3592735</v>
      </c>
      <c r="BO57" s="417">
        <f t="shared" si="94"/>
        <v>506883</v>
      </c>
      <c r="BP57" s="417">
        <f>M57+AO57</f>
        <v>12400</v>
      </c>
      <c r="BQ57" s="417">
        <f t="shared" ref="BQ57:BR59" si="95">N57+AM57</f>
        <v>0</v>
      </c>
      <c r="BR57" s="417">
        <f t="shared" si="95"/>
        <v>12400</v>
      </c>
      <c r="BS57" s="417">
        <f t="shared" ref="BS57:BT59" si="96">P57+AS57</f>
        <v>1389862</v>
      </c>
      <c r="BT57" s="417">
        <f t="shared" si="96"/>
        <v>40996</v>
      </c>
      <c r="BU57" s="417">
        <f>R57+AX57</f>
        <v>25200</v>
      </c>
      <c r="BV57" s="418">
        <f>S57+BK57</f>
        <v>8.0088999999999988</v>
      </c>
      <c r="BW57" s="418">
        <f t="shared" ref="BW57:BX59" si="97">T57+BI57</f>
        <v>6.2417999999999996</v>
      </c>
      <c r="BX57" s="420">
        <f t="shared" si="97"/>
        <v>1.7670999999999999</v>
      </c>
      <c r="BY57" s="419"/>
      <c r="BZ57" s="414"/>
      <c r="CA57" s="414"/>
      <c r="CB57" s="414"/>
      <c r="CC57" s="414"/>
      <c r="CD57" s="422"/>
      <c r="CE57" s="419">
        <f t="shared" si="24"/>
        <v>232985</v>
      </c>
      <c r="CF57" s="414">
        <v>166622</v>
      </c>
      <c r="CG57" s="414">
        <v>56318</v>
      </c>
      <c r="CH57" s="414">
        <v>1666</v>
      </c>
      <c r="CI57" s="414">
        <v>8379</v>
      </c>
      <c r="CJ57" s="509">
        <v>0.56699999999999995</v>
      </c>
    </row>
    <row r="58" spans="1:88" ht="14.1" customHeight="1">
      <c r="A58" s="66">
        <v>13</v>
      </c>
      <c r="B58" s="63">
        <v>2413</v>
      </c>
      <c r="C58" s="64">
        <v>600079601</v>
      </c>
      <c r="D58" s="63">
        <v>72742909</v>
      </c>
      <c r="E58" s="65" t="s">
        <v>558</v>
      </c>
      <c r="F58" s="66">
        <v>3111</v>
      </c>
      <c r="G58" s="77" t="s">
        <v>291</v>
      </c>
      <c r="H58" s="67" t="s">
        <v>272</v>
      </c>
      <c r="I58" s="419">
        <v>145788</v>
      </c>
      <c r="J58" s="414">
        <v>108151</v>
      </c>
      <c r="K58" s="414">
        <v>108151</v>
      </c>
      <c r="L58" s="414">
        <v>0</v>
      </c>
      <c r="M58" s="414">
        <v>0</v>
      </c>
      <c r="N58" s="414">
        <v>0</v>
      </c>
      <c r="O58" s="414">
        <v>0</v>
      </c>
      <c r="P58" s="595">
        <v>36555</v>
      </c>
      <c r="Q58" s="595">
        <v>1082</v>
      </c>
      <c r="R58" s="414">
        <v>0</v>
      </c>
      <c r="S58" s="415">
        <v>0.29000000000000004</v>
      </c>
      <c r="T58" s="416">
        <v>0.29000000000000004</v>
      </c>
      <c r="U58" s="422">
        <v>0</v>
      </c>
      <c r="V58" s="423">
        <f t="shared" si="2"/>
        <v>0</v>
      </c>
      <c r="W58" s="417">
        <f t="shared" si="3"/>
        <v>0</v>
      </c>
      <c r="X58" s="417">
        <v>30900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4"/>
        <v>30900</v>
      </c>
      <c r="AF58" s="417">
        <f t="shared" si="5"/>
        <v>0</v>
      </c>
      <c r="AG58" s="417">
        <f t="shared" si="6"/>
        <v>30900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7"/>
        <v>0</v>
      </c>
      <c r="AN58" s="417">
        <f t="shared" si="8"/>
        <v>0</v>
      </c>
      <c r="AO58" s="417">
        <f t="shared" si="9"/>
        <v>0</v>
      </c>
      <c r="AP58" s="417">
        <f t="shared" si="10"/>
        <v>30900</v>
      </c>
      <c r="AQ58" s="417">
        <f t="shared" si="11"/>
        <v>0</v>
      </c>
      <c r="AR58" s="417">
        <f t="shared" si="12"/>
        <v>30900</v>
      </c>
      <c r="AS58" s="68">
        <f t="shared" si="13"/>
        <v>10444</v>
      </c>
      <c r="AT58" s="68">
        <f t="shared" si="14"/>
        <v>309</v>
      </c>
      <c r="AU58" s="417">
        <v>0</v>
      </c>
      <c r="AV58" s="417">
        <v>0</v>
      </c>
      <c r="AW58" s="417">
        <v>0</v>
      </c>
      <c r="AX58" s="417">
        <f t="shared" si="15"/>
        <v>0</v>
      </c>
      <c r="AY58" s="417">
        <f t="shared" si="16"/>
        <v>41653</v>
      </c>
      <c r="AZ58" s="418">
        <v>0</v>
      </c>
      <c r="BA58" s="418">
        <v>0</v>
      </c>
      <c r="BB58" s="418">
        <v>0.08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7"/>
        <v>0.08</v>
      </c>
      <c r="BJ58" s="418">
        <f t="shared" si="18"/>
        <v>0</v>
      </c>
      <c r="BK58" s="420">
        <f t="shared" si="19"/>
        <v>0.08</v>
      </c>
      <c r="BL58" s="772">
        <f>I58+AY58</f>
        <v>187441</v>
      </c>
      <c r="BM58" s="417">
        <f>J58+AG58</f>
        <v>139051</v>
      </c>
      <c r="BN58" s="417">
        <f t="shared" si="94"/>
        <v>139051</v>
      </c>
      <c r="BO58" s="417">
        <f t="shared" si="94"/>
        <v>0</v>
      </c>
      <c r="BP58" s="417">
        <f>M58+AO58</f>
        <v>0</v>
      </c>
      <c r="BQ58" s="417">
        <f t="shared" si="95"/>
        <v>0</v>
      </c>
      <c r="BR58" s="417">
        <f t="shared" si="95"/>
        <v>0</v>
      </c>
      <c r="BS58" s="417">
        <f t="shared" si="96"/>
        <v>46999</v>
      </c>
      <c r="BT58" s="417">
        <f t="shared" si="96"/>
        <v>1391</v>
      </c>
      <c r="BU58" s="417">
        <f>R58+AX58</f>
        <v>0</v>
      </c>
      <c r="BV58" s="418">
        <f>S58+BK58</f>
        <v>0.37000000000000005</v>
      </c>
      <c r="BW58" s="418">
        <f t="shared" si="97"/>
        <v>0.37000000000000005</v>
      </c>
      <c r="BX58" s="420">
        <f t="shared" si="97"/>
        <v>0</v>
      </c>
      <c r="BY58" s="419"/>
      <c r="BZ58" s="414"/>
      <c r="CA58" s="414"/>
      <c r="CB58" s="414"/>
      <c r="CC58" s="414"/>
      <c r="CD58" s="422"/>
      <c r="CE58" s="419">
        <f t="shared" si="24"/>
        <v>0</v>
      </c>
      <c r="CF58" s="414">
        <v>0</v>
      </c>
      <c r="CG58" s="414">
        <v>0</v>
      </c>
      <c r="CH58" s="414">
        <v>0</v>
      </c>
      <c r="CI58" s="414">
        <v>0</v>
      </c>
      <c r="CJ58" s="509">
        <v>0</v>
      </c>
    </row>
    <row r="59" spans="1:88" ht="14.1" customHeight="1">
      <c r="A59" s="66">
        <v>13</v>
      </c>
      <c r="B59" s="63">
        <v>2413</v>
      </c>
      <c r="C59" s="64">
        <v>600079601</v>
      </c>
      <c r="D59" s="63">
        <v>72742909</v>
      </c>
      <c r="E59" s="65" t="s">
        <v>558</v>
      </c>
      <c r="F59" s="66">
        <v>3141</v>
      </c>
      <c r="G59" s="65" t="s">
        <v>294</v>
      </c>
      <c r="H59" s="67" t="s">
        <v>272</v>
      </c>
      <c r="I59" s="419">
        <v>822316</v>
      </c>
      <c r="J59" s="414">
        <v>607558</v>
      </c>
      <c r="K59" s="414">
        <v>0</v>
      </c>
      <c r="L59" s="744">
        <v>607558</v>
      </c>
      <c r="M59" s="414">
        <v>0</v>
      </c>
      <c r="N59" s="204">
        <v>0</v>
      </c>
      <c r="O59" s="204">
        <v>0</v>
      </c>
      <c r="P59" s="595">
        <v>205355</v>
      </c>
      <c r="Q59" s="595">
        <v>6075</v>
      </c>
      <c r="R59" s="601">
        <v>3328</v>
      </c>
      <c r="S59" s="415">
        <v>1.8233000000000001</v>
      </c>
      <c r="T59" s="603">
        <v>0</v>
      </c>
      <c r="U59" s="731">
        <v>1.8233000000000001</v>
      </c>
      <c r="V59" s="423">
        <f t="shared" si="2"/>
        <v>0</v>
      </c>
      <c r="W59" s="417">
        <f t="shared" si="3"/>
        <v>0</v>
      </c>
      <c r="X59" s="417">
        <v>0</v>
      </c>
      <c r="Y59" s="417">
        <v>0</v>
      </c>
      <c r="Z59" s="417">
        <v>0</v>
      </c>
      <c r="AA59" s="417">
        <v>-10787</v>
      </c>
      <c r="AB59" s="417">
        <v>0</v>
      </c>
      <c r="AC59" s="417">
        <v>0</v>
      </c>
      <c r="AD59" s="417">
        <v>0</v>
      </c>
      <c r="AE59" s="417">
        <f t="shared" si="4"/>
        <v>0</v>
      </c>
      <c r="AF59" s="417">
        <f t="shared" si="5"/>
        <v>-10787</v>
      </c>
      <c r="AG59" s="417">
        <f t="shared" si="6"/>
        <v>-10787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7"/>
        <v>0</v>
      </c>
      <c r="AN59" s="417">
        <f t="shared" si="8"/>
        <v>0</v>
      </c>
      <c r="AO59" s="417">
        <f t="shared" si="9"/>
        <v>0</v>
      </c>
      <c r="AP59" s="417">
        <f t="shared" si="10"/>
        <v>0</v>
      </c>
      <c r="AQ59" s="417">
        <f t="shared" si="11"/>
        <v>-10787</v>
      </c>
      <c r="AR59" s="417">
        <f t="shared" si="12"/>
        <v>-10787</v>
      </c>
      <c r="AS59" s="68">
        <f t="shared" si="13"/>
        <v>-3646</v>
      </c>
      <c r="AT59" s="68">
        <f t="shared" si="14"/>
        <v>-108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-14541</v>
      </c>
      <c r="AZ59" s="418">
        <v>0</v>
      </c>
      <c r="BA59" s="418">
        <v>0</v>
      </c>
      <c r="BB59" s="418">
        <v>0</v>
      </c>
      <c r="BC59" s="418">
        <v>0</v>
      </c>
      <c r="BD59" s="418">
        <v>-0.04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0</v>
      </c>
      <c r="BJ59" s="418">
        <f t="shared" si="18"/>
        <v>-0.04</v>
      </c>
      <c r="BK59" s="420">
        <f t="shared" si="19"/>
        <v>-0.04</v>
      </c>
      <c r="BL59" s="772">
        <f>I59+AY59</f>
        <v>807775</v>
      </c>
      <c r="BM59" s="417">
        <f>J59+AG59</f>
        <v>596771</v>
      </c>
      <c r="BN59" s="417">
        <f t="shared" si="94"/>
        <v>0</v>
      </c>
      <c r="BO59" s="417">
        <f t="shared" si="94"/>
        <v>596771</v>
      </c>
      <c r="BP59" s="417">
        <f>M59+AO59</f>
        <v>0</v>
      </c>
      <c r="BQ59" s="417">
        <f t="shared" si="95"/>
        <v>0</v>
      </c>
      <c r="BR59" s="417">
        <f t="shared" si="95"/>
        <v>0</v>
      </c>
      <c r="BS59" s="417">
        <f t="shared" si="96"/>
        <v>201709</v>
      </c>
      <c r="BT59" s="417">
        <f t="shared" si="96"/>
        <v>5967</v>
      </c>
      <c r="BU59" s="417">
        <f>R59+AX59</f>
        <v>3328</v>
      </c>
      <c r="BV59" s="418">
        <f>S59+BK59</f>
        <v>1.7833000000000001</v>
      </c>
      <c r="BW59" s="418">
        <f t="shared" si="97"/>
        <v>0</v>
      </c>
      <c r="BX59" s="420">
        <f t="shared" si="97"/>
        <v>1.7833000000000001</v>
      </c>
      <c r="BY59" s="419"/>
      <c r="BZ59" s="414"/>
      <c r="CA59" s="414"/>
      <c r="CB59" s="414"/>
      <c r="CC59" s="414"/>
      <c r="CD59" s="422"/>
      <c r="CE59" s="419">
        <f t="shared" si="24"/>
        <v>0</v>
      </c>
      <c r="CF59" s="414">
        <v>0</v>
      </c>
      <c r="CG59" s="414">
        <v>0</v>
      </c>
      <c r="CH59" s="414">
        <v>0</v>
      </c>
      <c r="CI59" s="414">
        <v>0</v>
      </c>
      <c r="CJ59" s="509">
        <v>0</v>
      </c>
    </row>
    <row r="60" spans="1:88" ht="14.1" customHeight="1">
      <c r="A60" s="72">
        <v>13</v>
      </c>
      <c r="B60" s="69">
        <v>2413</v>
      </c>
      <c r="C60" s="70">
        <v>600079601</v>
      </c>
      <c r="D60" s="69">
        <v>72742909</v>
      </c>
      <c r="E60" s="71" t="s">
        <v>559</v>
      </c>
      <c r="F60" s="72"/>
      <c r="G60" s="71"/>
      <c r="H60" s="73"/>
      <c r="I60" s="516">
        <v>6536304</v>
      </c>
      <c r="J60" s="74">
        <v>4827727</v>
      </c>
      <c r="K60" s="74">
        <v>3700886</v>
      </c>
      <c r="L60" s="74">
        <v>1126841</v>
      </c>
      <c r="M60" s="74">
        <v>0</v>
      </c>
      <c r="N60" s="74">
        <v>0</v>
      </c>
      <c r="O60" s="74">
        <v>0</v>
      </c>
      <c r="P60" s="74">
        <v>1631772</v>
      </c>
      <c r="Q60" s="74">
        <v>48277</v>
      </c>
      <c r="R60" s="74">
        <v>28528</v>
      </c>
      <c r="S60" s="75">
        <v>10.122199999999999</v>
      </c>
      <c r="T60" s="75">
        <v>6.5317999999999996</v>
      </c>
      <c r="U60" s="653">
        <v>3.5903999999999998</v>
      </c>
      <c r="V60" s="516">
        <f t="shared" ref="V60:BX60" si="98">SUM(V57:V59)</f>
        <v>0</v>
      </c>
      <c r="W60" s="74">
        <f t="shared" si="98"/>
        <v>-12400</v>
      </c>
      <c r="X60" s="74">
        <f t="shared" si="98"/>
        <v>30900</v>
      </c>
      <c r="Y60" s="74">
        <f t="shared" si="98"/>
        <v>0</v>
      </c>
      <c r="Z60" s="74">
        <f t="shared" si="98"/>
        <v>0</v>
      </c>
      <c r="AA60" s="74">
        <f t="shared" si="98"/>
        <v>-10787</v>
      </c>
      <c r="AB60" s="74">
        <f t="shared" si="98"/>
        <v>0</v>
      </c>
      <c r="AC60" s="74">
        <f t="shared" si="98"/>
        <v>0</v>
      </c>
      <c r="AD60" s="74">
        <f t="shared" si="98"/>
        <v>0</v>
      </c>
      <c r="AE60" s="74">
        <f t="shared" si="98"/>
        <v>30900</v>
      </c>
      <c r="AF60" s="74">
        <f t="shared" si="98"/>
        <v>-23187</v>
      </c>
      <c r="AG60" s="74">
        <f t="shared" si="98"/>
        <v>7713</v>
      </c>
      <c r="AH60" s="74">
        <f t="shared" si="98"/>
        <v>0</v>
      </c>
      <c r="AI60" s="74">
        <f t="shared" si="98"/>
        <v>12400</v>
      </c>
      <c r="AJ60" s="74">
        <f t="shared" si="98"/>
        <v>0</v>
      </c>
      <c r="AK60" s="74">
        <f t="shared" si="98"/>
        <v>0</v>
      </c>
      <c r="AL60" s="74">
        <f t="shared" si="98"/>
        <v>0</v>
      </c>
      <c r="AM60" s="74">
        <f t="shared" si="98"/>
        <v>0</v>
      </c>
      <c r="AN60" s="74">
        <f t="shared" si="98"/>
        <v>12400</v>
      </c>
      <c r="AO60" s="74">
        <f t="shared" si="98"/>
        <v>12400</v>
      </c>
      <c r="AP60" s="74">
        <f t="shared" si="98"/>
        <v>30900</v>
      </c>
      <c r="AQ60" s="74">
        <f t="shared" si="98"/>
        <v>-10787</v>
      </c>
      <c r="AR60" s="74">
        <f t="shared" si="98"/>
        <v>20113</v>
      </c>
      <c r="AS60" s="74">
        <f t="shared" si="98"/>
        <v>6798</v>
      </c>
      <c r="AT60" s="74">
        <f t="shared" si="98"/>
        <v>77</v>
      </c>
      <c r="AU60" s="74">
        <f t="shared" si="98"/>
        <v>0</v>
      </c>
      <c r="AV60" s="74">
        <f t="shared" si="98"/>
        <v>0</v>
      </c>
      <c r="AW60" s="74">
        <f t="shared" si="98"/>
        <v>0</v>
      </c>
      <c r="AX60" s="74">
        <f t="shared" si="98"/>
        <v>0</v>
      </c>
      <c r="AY60" s="74">
        <f t="shared" si="98"/>
        <v>26988</v>
      </c>
      <c r="AZ60" s="75">
        <f t="shared" si="98"/>
        <v>0</v>
      </c>
      <c r="BA60" s="75">
        <f t="shared" si="98"/>
        <v>0</v>
      </c>
      <c r="BB60" s="75">
        <f t="shared" si="98"/>
        <v>0.08</v>
      </c>
      <c r="BC60" s="75">
        <f t="shared" si="98"/>
        <v>0</v>
      </c>
      <c r="BD60" s="75">
        <f t="shared" si="98"/>
        <v>-0.04</v>
      </c>
      <c r="BE60" s="75">
        <f t="shared" si="98"/>
        <v>0</v>
      </c>
      <c r="BF60" s="75">
        <f t="shared" si="98"/>
        <v>0</v>
      </c>
      <c r="BG60" s="75">
        <f t="shared" si="98"/>
        <v>0</v>
      </c>
      <c r="BH60" s="75">
        <f t="shared" si="98"/>
        <v>0</v>
      </c>
      <c r="BI60" s="75">
        <f t="shared" si="98"/>
        <v>0.08</v>
      </c>
      <c r="BJ60" s="75">
        <f t="shared" si="98"/>
        <v>-0.04</v>
      </c>
      <c r="BK60" s="76">
        <f t="shared" si="98"/>
        <v>0.04</v>
      </c>
      <c r="BL60" s="781">
        <f t="shared" si="98"/>
        <v>6563292</v>
      </c>
      <c r="BM60" s="74">
        <f t="shared" si="98"/>
        <v>4835440</v>
      </c>
      <c r="BN60" s="74">
        <f t="shared" si="98"/>
        <v>3731786</v>
      </c>
      <c r="BO60" s="74">
        <f t="shared" si="98"/>
        <v>1103654</v>
      </c>
      <c r="BP60" s="74">
        <f t="shared" si="98"/>
        <v>12400</v>
      </c>
      <c r="BQ60" s="74">
        <f t="shared" si="98"/>
        <v>0</v>
      </c>
      <c r="BR60" s="74">
        <f t="shared" si="98"/>
        <v>12400</v>
      </c>
      <c r="BS60" s="74">
        <f t="shared" si="98"/>
        <v>1638570</v>
      </c>
      <c r="BT60" s="74">
        <f t="shared" si="98"/>
        <v>48354</v>
      </c>
      <c r="BU60" s="74">
        <f t="shared" si="98"/>
        <v>28528</v>
      </c>
      <c r="BV60" s="75">
        <f t="shared" si="98"/>
        <v>10.162199999999999</v>
      </c>
      <c r="BW60" s="75">
        <f t="shared" si="98"/>
        <v>6.6117999999999997</v>
      </c>
      <c r="BX60" s="76">
        <f t="shared" si="98"/>
        <v>3.5503999999999998</v>
      </c>
      <c r="BY60" s="791">
        <f t="shared" ref="BY60:CJ60" si="99">SUM(BY57:BY59)</f>
        <v>0</v>
      </c>
      <c r="BZ60" s="679">
        <f t="shared" si="99"/>
        <v>0</v>
      </c>
      <c r="CA60" s="679">
        <f t="shared" si="99"/>
        <v>0</v>
      </c>
      <c r="CB60" s="679">
        <f t="shared" si="99"/>
        <v>0</v>
      </c>
      <c r="CC60" s="679">
        <f t="shared" si="99"/>
        <v>0</v>
      </c>
      <c r="CD60" s="947">
        <f t="shared" si="99"/>
        <v>0</v>
      </c>
      <c r="CE60" s="956">
        <f t="shared" si="99"/>
        <v>232985</v>
      </c>
      <c r="CF60" s="953">
        <f t="shared" si="99"/>
        <v>166622</v>
      </c>
      <c r="CG60" s="953">
        <f t="shared" si="99"/>
        <v>56318</v>
      </c>
      <c r="CH60" s="953">
        <f t="shared" si="99"/>
        <v>1666</v>
      </c>
      <c r="CI60" s="953">
        <f t="shared" si="99"/>
        <v>8379</v>
      </c>
      <c r="CJ60" s="877">
        <f t="shared" si="99"/>
        <v>0.56699999999999995</v>
      </c>
    </row>
    <row r="61" spans="1:88" ht="14.1" customHeight="1">
      <c r="A61" s="66">
        <v>14</v>
      </c>
      <c r="B61" s="63">
        <v>2410</v>
      </c>
      <c r="C61" s="64">
        <v>600079121</v>
      </c>
      <c r="D61" s="63">
        <v>72742348</v>
      </c>
      <c r="E61" s="65" t="s">
        <v>560</v>
      </c>
      <c r="F61" s="66">
        <v>3111</v>
      </c>
      <c r="G61" s="65" t="s">
        <v>290</v>
      </c>
      <c r="H61" s="67" t="s">
        <v>271</v>
      </c>
      <c r="I61" s="419">
        <v>7671709</v>
      </c>
      <c r="J61" s="414">
        <v>5626307</v>
      </c>
      <c r="K61" s="414">
        <v>4914348</v>
      </c>
      <c r="L61" s="414">
        <v>711959</v>
      </c>
      <c r="M61" s="414">
        <v>32800</v>
      </c>
      <c r="N61" s="414">
        <v>32800</v>
      </c>
      <c r="O61" s="414">
        <v>0</v>
      </c>
      <c r="P61" s="595">
        <v>1912778</v>
      </c>
      <c r="Q61" s="595">
        <v>56264</v>
      </c>
      <c r="R61" s="414">
        <v>43560</v>
      </c>
      <c r="S61" s="415">
        <v>10.955200000000001</v>
      </c>
      <c r="T61" s="415">
        <v>8.5206000000000017</v>
      </c>
      <c r="U61" s="422">
        <v>2.4346000000000001</v>
      </c>
      <c r="V61" s="423">
        <f t="shared" si="2"/>
        <v>-3300</v>
      </c>
      <c r="W61" s="417">
        <f t="shared" si="3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4"/>
        <v>-3300</v>
      </c>
      <c r="AF61" s="417">
        <f t="shared" si="5"/>
        <v>0</v>
      </c>
      <c r="AG61" s="417">
        <f t="shared" si="6"/>
        <v>-3300</v>
      </c>
      <c r="AH61" s="417">
        <v>3300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7"/>
        <v>3300</v>
      </c>
      <c r="AN61" s="417">
        <f t="shared" si="8"/>
        <v>0</v>
      </c>
      <c r="AO61" s="417">
        <f t="shared" si="9"/>
        <v>3300</v>
      </c>
      <c r="AP61" s="417">
        <f t="shared" si="10"/>
        <v>0</v>
      </c>
      <c r="AQ61" s="417">
        <f t="shared" si="11"/>
        <v>0</v>
      </c>
      <c r="AR61" s="417">
        <f t="shared" si="12"/>
        <v>0</v>
      </c>
      <c r="AS61" s="68">
        <f t="shared" si="13"/>
        <v>0</v>
      </c>
      <c r="AT61" s="68">
        <f t="shared" si="14"/>
        <v>-33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-33</v>
      </c>
      <c r="AZ61" s="418">
        <v>-0.01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-0.01</v>
      </c>
      <c r="BJ61" s="418">
        <f t="shared" si="18"/>
        <v>0</v>
      </c>
      <c r="BK61" s="420">
        <f t="shared" si="19"/>
        <v>-0.01</v>
      </c>
      <c r="BL61" s="772">
        <f>I61+AY61</f>
        <v>7671676</v>
      </c>
      <c r="BM61" s="417">
        <f>J61+AG61</f>
        <v>5623007</v>
      </c>
      <c r="BN61" s="417">
        <f t="shared" ref="BN61:BO63" si="100">K61+AE61</f>
        <v>4911048</v>
      </c>
      <c r="BO61" s="417">
        <f t="shared" si="100"/>
        <v>711959</v>
      </c>
      <c r="BP61" s="417">
        <f>M61+AO61</f>
        <v>36100</v>
      </c>
      <c r="BQ61" s="417">
        <f t="shared" ref="BQ61:BR63" si="101">N61+AM61</f>
        <v>36100</v>
      </c>
      <c r="BR61" s="417">
        <f t="shared" si="101"/>
        <v>0</v>
      </c>
      <c r="BS61" s="417">
        <f t="shared" ref="BS61:BT63" si="102">P61+AS61</f>
        <v>1912778</v>
      </c>
      <c r="BT61" s="417">
        <f t="shared" si="102"/>
        <v>56231</v>
      </c>
      <c r="BU61" s="417">
        <f>R61+AX61</f>
        <v>43560</v>
      </c>
      <c r="BV61" s="418">
        <f>S61+BK61</f>
        <v>10.945200000000002</v>
      </c>
      <c r="BW61" s="418">
        <f t="shared" ref="BW61:BX63" si="103">T61+BI61</f>
        <v>8.5106000000000019</v>
      </c>
      <c r="BX61" s="420">
        <f t="shared" si="103"/>
        <v>2.4346000000000001</v>
      </c>
      <c r="BY61" s="419"/>
      <c r="BZ61" s="414"/>
      <c r="CA61" s="414"/>
      <c r="CB61" s="414"/>
      <c r="CC61" s="414"/>
      <c r="CD61" s="422"/>
      <c r="CE61" s="419">
        <f t="shared" si="24"/>
        <v>322454</v>
      </c>
      <c r="CF61" s="414">
        <v>228453</v>
      </c>
      <c r="CG61" s="414">
        <v>77217</v>
      </c>
      <c r="CH61" s="414">
        <v>2285</v>
      </c>
      <c r="CI61" s="414">
        <v>14499</v>
      </c>
      <c r="CJ61" s="509">
        <v>0.78120000000000001</v>
      </c>
    </row>
    <row r="62" spans="1:88" ht="14.1" customHeight="1">
      <c r="A62" s="66">
        <v>14</v>
      </c>
      <c r="B62" s="63">
        <v>2410</v>
      </c>
      <c r="C62" s="64">
        <v>600079121</v>
      </c>
      <c r="D62" s="63">
        <v>72742348</v>
      </c>
      <c r="E62" s="65" t="s">
        <v>560</v>
      </c>
      <c r="F62" s="66">
        <v>3111</v>
      </c>
      <c r="G62" s="43" t="s">
        <v>292</v>
      </c>
      <c r="H62" s="67" t="s">
        <v>271</v>
      </c>
      <c r="I62" s="419">
        <v>432870</v>
      </c>
      <c r="J62" s="414">
        <v>321120</v>
      </c>
      <c r="K62" s="414">
        <v>321120</v>
      </c>
      <c r="L62" s="414">
        <v>0</v>
      </c>
      <c r="M62" s="414">
        <v>0</v>
      </c>
      <c r="N62" s="414">
        <v>0</v>
      </c>
      <c r="O62" s="414">
        <v>0</v>
      </c>
      <c r="P62" s="595">
        <v>108539</v>
      </c>
      <c r="Q62" s="595">
        <v>3211</v>
      </c>
      <c r="R62" s="414">
        <v>0</v>
      </c>
      <c r="S62" s="415">
        <v>1</v>
      </c>
      <c r="T62" s="415">
        <v>1</v>
      </c>
      <c r="U62" s="422">
        <v>0</v>
      </c>
      <c r="V62" s="423">
        <f t="shared" si="2"/>
        <v>0</v>
      </c>
      <c r="W62" s="417">
        <f t="shared" si="3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4"/>
        <v>0</v>
      </c>
      <c r="AF62" s="417">
        <f t="shared" si="5"/>
        <v>0</v>
      </c>
      <c r="AG62" s="417">
        <f t="shared" si="6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7"/>
        <v>0</v>
      </c>
      <c r="AN62" s="417">
        <f t="shared" si="8"/>
        <v>0</v>
      </c>
      <c r="AO62" s="417">
        <f t="shared" si="9"/>
        <v>0</v>
      </c>
      <c r="AP62" s="417">
        <f t="shared" si="10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>I62+AY62</f>
        <v>432870</v>
      </c>
      <c r="BM62" s="417">
        <f>J62+AG62</f>
        <v>321120</v>
      </c>
      <c r="BN62" s="417">
        <f t="shared" si="100"/>
        <v>321120</v>
      </c>
      <c r="BO62" s="417">
        <f t="shared" si="100"/>
        <v>0</v>
      </c>
      <c r="BP62" s="417">
        <f>M62+AO62</f>
        <v>0</v>
      </c>
      <c r="BQ62" s="417">
        <f t="shared" si="101"/>
        <v>0</v>
      </c>
      <c r="BR62" s="417">
        <f t="shared" si="101"/>
        <v>0</v>
      </c>
      <c r="BS62" s="417">
        <f t="shared" si="102"/>
        <v>108539</v>
      </c>
      <c r="BT62" s="417">
        <f t="shared" si="102"/>
        <v>3211</v>
      </c>
      <c r="BU62" s="417">
        <f>R62+AX62</f>
        <v>0</v>
      </c>
      <c r="BV62" s="418">
        <f>S62+BK62</f>
        <v>1</v>
      </c>
      <c r="BW62" s="418">
        <f t="shared" si="103"/>
        <v>1</v>
      </c>
      <c r="BX62" s="420">
        <f t="shared" si="103"/>
        <v>0</v>
      </c>
      <c r="BY62" s="419"/>
      <c r="BZ62" s="414"/>
      <c r="CA62" s="414"/>
      <c r="CB62" s="414"/>
      <c r="CC62" s="414"/>
      <c r="CD62" s="422"/>
      <c r="CE62" s="419">
        <f t="shared" si="24"/>
        <v>0</v>
      </c>
      <c r="CF62" s="414">
        <v>0</v>
      </c>
      <c r="CG62" s="414">
        <v>0</v>
      </c>
      <c r="CH62" s="414">
        <v>0</v>
      </c>
      <c r="CI62" s="414">
        <v>0</v>
      </c>
      <c r="CJ62" s="509">
        <v>0</v>
      </c>
    </row>
    <row r="63" spans="1:88" ht="14.1" customHeight="1">
      <c r="A63" s="66">
        <v>14</v>
      </c>
      <c r="B63" s="63">
        <v>2410</v>
      </c>
      <c r="C63" s="64">
        <v>600079121</v>
      </c>
      <c r="D63" s="63">
        <v>72742348</v>
      </c>
      <c r="E63" s="65" t="s">
        <v>560</v>
      </c>
      <c r="F63" s="66">
        <v>3141</v>
      </c>
      <c r="G63" s="65" t="s">
        <v>294</v>
      </c>
      <c r="H63" s="67" t="s">
        <v>272</v>
      </c>
      <c r="I63" s="419">
        <v>940078</v>
      </c>
      <c r="J63" s="414">
        <v>694379</v>
      </c>
      <c r="K63" s="414">
        <v>0</v>
      </c>
      <c r="L63" s="744">
        <v>694379</v>
      </c>
      <c r="M63" s="414">
        <v>0</v>
      </c>
      <c r="N63" s="204">
        <v>0</v>
      </c>
      <c r="O63" s="204">
        <v>0</v>
      </c>
      <c r="P63" s="595">
        <v>234700</v>
      </c>
      <c r="Q63" s="595">
        <v>6943</v>
      </c>
      <c r="R63" s="601">
        <v>4056</v>
      </c>
      <c r="S63" s="415">
        <v>2.0766999999999998</v>
      </c>
      <c r="T63" s="603">
        <v>0</v>
      </c>
      <c r="U63" s="731">
        <v>2.0766999999999998</v>
      </c>
      <c r="V63" s="423">
        <f t="shared" si="2"/>
        <v>0</v>
      </c>
      <c r="W63" s="417">
        <f t="shared" si="3"/>
        <v>0</v>
      </c>
      <c r="X63" s="417">
        <v>0</v>
      </c>
      <c r="Y63" s="417">
        <v>0</v>
      </c>
      <c r="Z63" s="417">
        <v>0</v>
      </c>
      <c r="AA63" s="417">
        <v>4031</v>
      </c>
      <c r="AB63" s="417">
        <v>0</v>
      </c>
      <c r="AC63" s="417">
        <v>0</v>
      </c>
      <c r="AD63" s="417">
        <v>0</v>
      </c>
      <c r="AE63" s="417">
        <f t="shared" si="4"/>
        <v>0</v>
      </c>
      <c r="AF63" s="417">
        <f t="shared" si="5"/>
        <v>4031</v>
      </c>
      <c r="AG63" s="417">
        <f t="shared" si="6"/>
        <v>4031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7"/>
        <v>0</v>
      </c>
      <c r="AN63" s="417">
        <f t="shared" si="8"/>
        <v>0</v>
      </c>
      <c r="AO63" s="417">
        <f t="shared" si="9"/>
        <v>0</v>
      </c>
      <c r="AP63" s="417">
        <f t="shared" si="10"/>
        <v>0</v>
      </c>
      <c r="AQ63" s="417">
        <f t="shared" si="11"/>
        <v>4031</v>
      </c>
      <c r="AR63" s="417">
        <f t="shared" si="12"/>
        <v>4031</v>
      </c>
      <c r="AS63" s="68">
        <f t="shared" si="13"/>
        <v>1362</v>
      </c>
      <c r="AT63" s="68">
        <f t="shared" si="14"/>
        <v>40</v>
      </c>
      <c r="AU63" s="417">
        <v>0</v>
      </c>
      <c r="AV63" s="417">
        <v>0</v>
      </c>
      <c r="AW63" s="417">
        <v>0</v>
      </c>
      <c r="AX63" s="417">
        <f t="shared" si="15"/>
        <v>0</v>
      </c>
      <c r="AY63" s="417">
        <f t="shared" si="16"/>
        <v>5433</v>
      </c>
      <c r="AZ63" s="418">
        <v>0</v>
      </c>
      <c r="BA63" s="418">
        <v>0</v>
      </c>
      <c r="BB63" s="418">
        <v>0</v>
      </c>
      <c r="BC63" s="418">
        <v>0</v>
      </c>
      <c r="BD63" s="418">
        <v>0.02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7"/>
        <v>0</v>
      </c>
      <c r="BJ63" s="418">
        <f t="shared" si="18"/>
        <v>0.02</v>
      </c>
      <c r="BK63" s="420">
        <f t="shared" si="19"/>
        <v>0.02</v>
      </c>
      <c r="BL63" s="772">
        <f>I63+AY63</f>
        <v>945511</v>
      </c>
      <c r="BM63" s="417">
        <f>J63+AG63</f>
        <v>698410</v>
      </c>
      <c r="BN63" s="417">
        <f t="shared" si="100"/>
        <v>0</v>
      </c>
      <c r="BO63" s="417">
        <f t="shared" si="100"/>
        <v>698410</v>
      </c>
      <c r="BP63" s="417">
        <f>M63+AO63</f>
        <v>0</v>
      </c>
      <c r="BQ63" s="417">
        <f t="shared" si="101"/>
        <v>0</v>
      </c>
      <c r="BR63" s="417">
        <f t="shared" si="101"/>
        <v>0</v>
      </c>
      <c r="BS63" s="417">
        <f t="shared" si="102"/>
        <v>236062</v>
      </c>
      <c r="BT63" s="417">
        <f t="shared" si="102"/>
        <v>6983</v>
      </c>
      <c r="BU63" s="417">
        <f>R63+AX63</f>
        <v>4056</v>
      </c>
      <c r="BV63" s="418">
        <f>S63+BK63</f>
        <v>2.0966999999999998</v>
      </c>
      <c r="BW63" s="418">
        <f t="shared" si="103"/>
        <v>0</v>
      </c>
      <c r="BX63" s="420">
        <f t="shared" si="103"/>
        <v>2.0966999999999998</v>
      </c>
      <c r="BY63" s="419"/>
      <c r="BZ63" s="414"/>
      <c r="CA63" s="414"/>
      <c r="CB63" s="414"/>
      <c r="CC63" s="414"/>
      <c r="CD63" s="422"/>
      <c r="CE63" s="419">
        <f t="shared" si="24"/>
        <v>0</v>
      </c>
      <c r="CF63" s="414">
        <v>0</v>
      </c>
      <c r="CG63" s="414">
        <v>0</v>
      </c>
      <c r="CH63" s="414">
        <v>0</v>
      </c>
      <c r="CI63" s="414">
        <v>0</v>
      </c>
      <c r="CJ63" s="509">
        <v>0</v>
      </c>
    </row>
    <row r="64" spans="1:88" ht="14.1" customHeight="1">
      <c r="A64" s="72">
        <v>14</v>
      </c>
      <c r="B64" s="69">
        <v>2410</v>
      </c>
      <c r="C64" s="70">
        <v>600079121</v>
      </c>
      <c r="D64" s="69">
        <v>72742348</v>
      </c>
      <c r="E64" s="71" t="s">
        <v>561</v>
      </c>
      <c r="F64" s="72"/>
      <c r="G64" s="71"/>
      <c r="H64" s="73"/>
      <c r="I64" s="516">
        <v>9044657</v>
      </c>
      <c r="J64" s="74">
        <v>6641806</v>
      </c>
      <c r="K64" s="74">
        <v>5235468</v>
      </c>
      <c r="L64" s="74">
        <v>1406338</v>
      </c>
      <c r="M64" s="74">
        <v>32800</v>
      </c>
      <c r="N64" s="74">
        <v>32800</v>
      </c>
      <c r="O64" s="74">
        <v>0</v>
      </c>
      <c r="P64" s="74">
        <v>2256017</v>
      </c>
      <c r="Q64" s="74">
        <v>66418</v>
      </c>
      <c r="R64" s="74">
        <v>47616</v>
      </c>
      <c r="S64" s="75">
        <v>14.0319</v>
      </c>
      <c r="T64" s="75">
        <v>9.5206000000000017</v>
      </c>
      <c r="U64" s="653">
        <v>4.5113000000000003</v>
      </c>
      <c r="V64" s="516">
        <f t="shared" ref="V64:BX64" si="104">SUM(V61:V63)</f>
        <v>-3300</v>
      </c>
      <c r="W64" s="74">
        <f t="shared" si="104"/>
        <v>0</v>
      </c>
      <c r="X64" s="74">
        <f t="shared" si="104"/>
        <v>0</v>
      </c>
      <c r="Y64" s="74">
        <f t="shared" si="104"/>
        <v>0</v>
      </c>
      <c r="Z64" s="74">
        <f t="shared" si="104"/>
        <v>0</v>
      </c>
      <c r="AA64" s="74">
        <f t="shared" si="104"/>
        <v>4031</v>
      </c>
      <c r="AB64" s="74">
        <f t="shared" si="104"/>
        <v>0</v>
      </c>
      <c r="AC64" s="74">
        <f t="shared" si="104"/>
        <v>0</v>
      </c>
      <c r="AD64" s="74">
        <f t="shared" si="104"/>
        <v>0</v>
      </c>
      <c r="AE64" s="74">
        <f t="shared" si="104"/>
        <v>-3300</v>
      </c>
      <c r="AF64" s="74">
        <f t="shared" si="104"/>
        <v>4031</v>
      </c>
      <c r="AG64" s="74">
        <f t="shared" si="104"/>
        <v>731</v>
      </c>
      <c r="AH64" s="74">
        <f t="shared" si="104"/>
        <v>3300</v>
      </c>
      <c r="AI64" s="74">
        <f t="shared" si="104"/>
        <v>0</v>
      </c>
      <c r="AJ64" s="74">
        <f t="shared" si="104"/>
        <v>0</v>
      </c>
      <c r="AK64" s="74">
        <f t="shared" si="104"/>
        <v>0</v>
      </c>
      <c r="AL64" s="74">
        <f t="shared" si="104"/>
        <v>0</v>
      </c>
      <c r="AM64" s="74">
        <f t="shared" si="104"/>
        <v>3300</v>
      </c>
      <c r="AN64" s="74">
        <f t="shared" si="104"/>
        <v>0</v>
      </c>
      <c r="AO64" s="74">
        <f t="shared" si="104"/>
        <v>3300</v>
      </c>
      <c r="AP64" s="74">
        <f t="shared" si="104"/>
        <v>0</v>
      </c>
      <c r="AQ64" s="74">
        <f t="shared" si="104"/>
        <v>4031</v>
      </c>
      <c r="AR64" s="74">
        <f t="shared" si="104"/>
        <v>4031</v>
      </c>
      <c r="AS64" s="74">
        <f t="shared" si="104"/>
        <v>1362</v>
      </c>
      <c r="AT64" s="74">
        <f t="shared" si="104"/>
        <v>7</v>
      </c>
      <c r="AU64" s="74">
        <f t="shared" si="104"/>
        <v>0</v>
      </c>
      <c r="AV64" s="74">
        <f t="shared" si="104"/>
        <v>0</v>
      </c>
      <c r="AW64" s="74">
        <f t="shared" si="104"/>
        <v>0</v>
      </c>
      <c r="AX64" s="74">
        <f t="shared" si="104"/>
        <v>0</v>
      </c>
      <c r="AY64" s="74">
        <f t="shared" si="104"/>
        <v>5400</v>
      </c>
      <c r="AZ64" s="75">
        <f t="shared" si="104"/>
        <v>-0.01</v>
      </c>
      <c r="BA64" s="75">
        <f t="shared" si="104"/>
        <v>0</v>
      </c>
      <c r="BB64" s="75">
        <f t="shared" si="104"/>
        <v>0</v>
      </c>
      <c r="BC64" s="75">
        <f t="shared" si="104"/>
        <v>0</v>
      </c>
      <c r="BD64" s="75">
        <f t="shared" si="104"/>
        <v>0.02</v>
      </c>
      <c r="BE64" s="75">
        <f t="shared" si="104"/>
        <v>0</v>
      </c>
      <c r="BF64" s="75">
        <f t="shared" si="104"/>
        <v>0</v>
      </c>
      <c r="BG64" s="75">
        <f t="shared" si="104"/>
        <v>0</v>
      </c>
      <c r="BH64" s="75">
        <f t="shared" si="104"/>
        <v>0</v>
      </c>
      <c r="BI64" s="75">
        <f t="shared" si="104"/>
        <v>-0.01</v>
      </c>
      <c r="BJ64" s="75">
        <f t="shared" si="104"/>
        <v>0.02</v>
      </c>
      <c r="BK64" s="76">
        <f t="shared" si="104"/>
        <v>0.01</v>
      </c>
      <c r="BL64" s="781">
        <f t="shared" si="104"/>
        <v>9050057</v>
      </c>
      <c r="BM64" s="74">
        <f t="shared" si="104"/>
        <v>6642537</v>
      </c>
      <c r="BN64" s="74">
        <f t="shared" si="104"/>
        <v>5232168</v>
      </c>
      <c r="BO64" s="74">
        <f t="shared" si="104"/>
        <v>1410369</v>
      </c>
      <c r="BP64" s="74">
        <f t="shared" si="104"/>
        <v>36100</v>
      </c>
      <c r="BQ64" s="74">
        <f t="shared" si="104"/>
        <v>36100</v>
      </c>
      <c r="BR64" s="74">
        <f t="shared" si="104"/>
        <v>0</v>
      </c>
      <c r="BS64" s="74">
        <f t="shared" si="104"/>
        <v>2257379</v>
      </c>
      <c r="BT64" s="74">
        <f t="shared" si="104"/>
        <v>66425</v>
      </c>
      <c r="BU64" s="74">
        <f t="shared" si="104"/>
        <v>47616</v>
      </c>
      <c r="BV64" s="75">
        <f t="shared" si="104"/>
        <v>14.041900000000002</v>
      </c>
      <c r="BW64" s="75">
        <f t="shared" si="104"/>
        <v>9.5106000000000019</v>
      </c>
      <c r="BX64" s="76">
        <f t="shared" si="104"/>
        <v>4.5312999999999999</v>
      </c>
      <c r="BY64" s="791">
        <f t="shared" ref="BY64:CJ64" si="105">SUM(BY61:BY63)</f>
        <v>0</v>
      </c>
      <c r="BZ64" s="679">
        <f t="shared" si="105"/>
        <v>0</v>
      </c>
      <c r="CA64" s="679">
        <f t="shared" si="105"/>
        <v>0</v>
      </c>
      <c r="CB64" s="679">
        <f t="shared" si="105"/>
        <v>0</v>
      </c>
      <c r="CC64" s="679">
        <f t="shared" si="105"/>
        <v>0</v>
      </c>
      <c r="CD64" s="947">
        <f t="shared" si="105"/>
        <v>0</v>
      </c>
      <c r="CE64" s="956">
        <f t="shared" si="105"/>
        <v>322454</v>
      </c>
      <c r="CF64" s="953">
        <f t="shared" si="105"/>
        <v>228453</v>
      </c>
      <c r="CG64" s="953">
        <f t="shared" si="105"/>
        <v>77217</v>
      </c>
      <c r="CH64" s="953">
        <f t="shared" si="105"/>
        <v>2285</v>
      </c>
      <c r="CI64" s="953">
        <f t="shared" si="105"/>
        <v>14499</v>
      </c>
      <c r="CJ64" s="877">
        <f t="shared" si="105"/>
        <v>0.78120000000000001</v>
      </c>
    </row>
    <row r="65" spans="1:88" ht="14.1" customHeight="1">
      <c r="A65" s="66">
        <v>15</v>
      </c>
      <c r="B65" s="63">
        <v>2436</v>
      </c>
      <c r="C65" s="64">
        <v>600079538</v>
      </c>
      <c r="D65" s="63">
        <v>72741546</v>
      </c>
      <c r="E65" s="65" t="s">
        <v>562</v>
      </c>
      <c r="F65" s="66">
        <v>3111</v>
      </c>
      <c r="G65" s="65" t="s">
        <v>290</v>
      </c>
      <c r="H65" s="67" t="s">
        <v>271</v>
      </c>
      <c r="I65" s="419">
        <v>9182608</v>
      </c>
      <c r="J65" s="414">
        <v>6625006</v>
      </c>
      <c r="K65" s="414">
        <v>5878269</v>
      </c>
      <c r="L65" s="414">
        <v>746737</v>
      </c>
      <c r="M65" s="414">
        <v>150000</v>
      </c>
      <c r="N65" s="414">
        <v>35000</v>
      </c>
      <c r="O65" s="414">
        <v>115000</v>
      </c>
      <c r="P65" s="595">
        <v>2289952</v>
      </c>
      <c r="Q65" s="595">
        <v>66250</v>
      </c>
      <c r="R65" s="414">
        <v>51400</v>
      </c>
      <c r="S65" s="415">
        <v>13.175400000000002</v>
      </c>
      <c r="T65" s="415">
        <v>10.610000000000001</v>
      </c>
      <c r="U65" s="422">
        <v>2.5653999999999999</v>
      </c>
      <c r="V65" s="423">
        <f t="shared" si="2"/>
        <v>0</v>
      </c>
      <c r="W65" s="417">
        <f t="shared" si="3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4"/>
        <v>0</v>
      </c>
      <c r="AF65" s="417">
        <f t="shared" si="5"/>
        <v>0</v>
      </c>
      <c r="AG65" s="417">
        <f t="shared" si="6"/>
        <v>0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7"/>
        <v>0</v>
      </c>
      <c r="AN65" s="417">
        <f t="shared" si="8"/>
        <v>0</v>
      </c>
      <c r="AO65" s="417">
        <f t="shared" si="9"/>
        <v>0</v>
      </c>
      <c r="AP65" s="417">
        <f t="shared" si="10"/>
        <v>0</v>
      </c>
      <c r="AQ65" s="417">
        <f t="shared" si="11"/>
        <v>0</v>
      </c>
      <c r="AR65" s="417">
        <f t="shared" si="12"/>
        <v>0</v>
      </c>
      <c r="AS65" s="68">
        <f t="shared" si="13"/>
        <v>0</v>
      </c>
      <c r="AT65" s="68">
        <f t="shared" si="14"/>
        <v>0</v>
      </c>
      <c r="AU65" s="417">
        <v>0</v>
      </c>
      <c r="AV65" s="417">
        <v>0</v>
      </c>
      <c r="AW65" s="417">
        <v>0</v>
      </c>
      <c r="AX65" s="417">
        <f t="shared" si="15"/>
        <v>0</v>
      </c>
      <c r="AY65" s="417">
        <f t="shared" si="16"/>
        <v>0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7"/>
        <v>0</v>
      </c>
      <c r="BJ65" s="418">
        <f t="shared" si="18"/>
        <v>0</v>
      </c>
      <c r="BK65" s="420">
        <f t="shared" si="19"/>
        <v>0</v>
      </c>
      <c r="BL65" s="772">
        <f>I65+AY65</f>
        <v>9182608</v>
      </c>
      <c r="BM65" s="417">
        <f>J65+AG65</f>
        <v>6625006</v>
      </c>
      <c r="BN65" s="417">
        <f t="shared" ref="BN65:BO67" si="106">K65+AE65</f>
        <v>5878269</v>
      </c>
      <c r="BO65" s="417">
        <f t="shared" si="106"/>
        <v>746737</v>
      </c>
      <c r="BP65" s="417">
        <f>M65+AO65</f>
        <v>150000</v>
      </c>
      <c r="BQ65" s="417">
        <f t="shared" ref="BQ65:BR67" si="107">N65+AM65</f>
        <v>35000</v>
      </c>
      <c r="BR65" s="417">
        <f t="shared" si="107"/>
        <v>115000</v>
      </c>
      <c r="BS65" s="417">
        <f t="shared" ref="BS65:BT67" si="108">P65+AS65</f>
        <v>2289952</v>
      </c>
      <c r="BT65" s="417">
        <f t="shared" si="108"/>
        <v>66250</v>
      </c>
      <c r="BU65" s="417">
        <f>R65+AX65</f>
        <v>51400</v>
      </c>
      <c r="BV65" s="418">
        <f>S65+BK65</f>
        <v>13.175400000000002</v>
      </c>
      <c r="BW65" s="418">
        <f t="shared" ref="BW65:BX67" si="109">T65+BI65</f>
        <v>10.610000000000001</v>
      </c>
      <c r="BX65" s="420">
        <f t="shared" si="109"/>
        <v>2.5653999999999999</v>
      </c>
      <c r="BY65" s="419"/>
      <c r="BZ65" s="414"/>
      <c r="CA65" s="414"/>
      <c r="CB65" s="414"/>
      <c r="CC65" s="414"/>
      <c r="CD65" s="422"/>
      <c r="CE65" s="419">
        <f t="shared" si="24"/>
        <v>389844</v>
      </c>
      <c r="CF65" s="414">
        <v>276518</v>
      </c>
      <c r="CG65" s="414">
        <v>93463</v>
      </c>
      <c r="CH65" s="414">
        <v>2765</v>
      </c>
      <c r="CI65" s="414">
        <v>17098</v>
      </c>
      <c r="CJ65" s="509">
        <v>0.94189999999999996</v>
      </c>
    </row>
    <row r="66" spans="1:88" ht="14.1" customHeight="1">
      <c r="A66" s="66">
        <v>15</v>
      </c>
      <c r="B66" s="63">
        <v>2436</v>
      </c>
      <c r="C66" s="64">
        <v>600079538</v>
      </c>
      <c r="D66" s="63">
        <v>72741546</v>
      </c>
      <c r="E66" s="65" t="s">
        <v>562</v>
      </c>
      <c r="F66" s="66">
        <v>3111</v>
      </c>
      <c r="G66" s="77" t="s">
        <v>291</v>
      </c>
      <c r="H66" s="67" t="s">
        <v>272</v>
      </c>
      <c r="I66" s="419">
        <v>1738829</v>
      </c>
      <c r="J66" s="414">
        <v>1285481</v>
      </c>
      <c r="K66" s="414">
        <v>1285481</v>
      </c>
      <c r="L66" s="414">
        <v>0</v>
      </c>
      <c r="M66" s="414">
        <v>0</v>
      </c>
      <c r="N66" s="414">
        <v>0</v>
      </c>
      <c r="O66" s="414">
        <v>0</v>
      </c>
      <c r="P66" s="595">
        <v>434493</v>
      </c>
      <c r="Q66" s="595">
        <v>12855</v>
      </c>
      <c r="R66" s="414">
        <v>6000</v>
      </c>
      <c r="S66" s="415">
        <v>3.7199999999999998</v>
      </c>
      <c r="T66" s="416">
        <v>3.7199999999999998</v>
      </c>
      <c r="U66" s="422">
        <v>0</v>
      </c>
      <c r="V66" s="423">
        <f t="shared" si="2"/>
        <v>0</v>
      </c>
      <c r="W66" s="417">
        <f t="shared" si="3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4"/>
        <v>0</v>
      </c>
      <c r="AF66" s="417">
        <f t="shared" si="5"/>
        <v>0</v>
      </c>
      <c r="AG66" s="417">
        <f t="shared" si="6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7"/>
        <v>0</v>
      </c>
      <c r="AN66" s="417">
        <f t="shared" si="8"/>
        <v>0</v>
      </c>
      <c r="AO66" s="417">
        <f t="shared" si="9"/>
        <v>0</v>
      </c>
      <c r="AP66" s="417">
        <f t="shared" si="10"/>
        <v>0</v>
      </c>
      <c r="AQ66" s="417">
        <f t="shared" si="11"/>
        <v>0</v>
      </c>
      <c r="AR66" s="417">
        <f t="shared" si="12"/>
        <v>0</v>
      </c>
      <c r="AS66" s="68">
        <f t="shared" si="13"/>
        <v>0</v>
      </c>
      <c r="AT66" s="68">
        <f t="shared" si="14"/>
        <v>0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0</v>
      </c>
      <c r="BJ66" s="418">
        <f t="shared" si="18"/>
        <v>0</v>
      </c>
      <c r="BK66" s="420">
        <f t="shared" si="19"/>
        <v>0</v>
      </c>
      <c r="BL66" s="772">
        <f>I66+AY66</f>
        <v>1738829</v>
      </c>
      <c r="BM66" s="417">
        <f>J66+AG66</f>
        <v>1285481</v>
      </c>
      <c r="BN66" s="417">
        <f t="shared" si="106"/>
        <v>1285481</v>
      </c>
      <c r="BO66" s="417">
        <f t="shared" si="106"/>
        <v>0</v>
      </c>
      <c r="BP66" s="417">
        <f>M66+AO66</f>
        <v>0</v>
      </c>
      <c r="BQ66" s="417">
        <f t="shared" si="107"/>
        <v>0</v>
      </c>
      <c r="BR66" s="417">
        <f t="shared" si="107"/>
        <v>0</v>
      </c>
      <c r="BS66" s="417">
        <f t="shared" si="108"/>
        <v>434493</v>
      </c>
      <c r="BT66" s="417">
        <f t="shared" si="108"/>
        <v>12855</v>
      </c>
      <c r="BU66" s="417">
        <f>R66+AX66</f>
        <v>6000</v>
      </c>
      <c r="BV66" s="418">
        <f>S66+BK66</f>
        <v>3.7199999999999998</v>
      </c>
      <c r="BW66" s="418">
        <f t="shared" si="109"/>
        <v>3.7199999999999998</v>
      </c>
      <c r="BX66" s="420">
        <f t="shared" si="109"/>
        <v>0</v>
      </c>
      <c r="BY66" s="419"/>
      <c r="BZ66" s="414"/>
      <c r="CA66" s="414"/>
      <c r="CB66" s="414"/>
      <c r="CC66" s="414"/>
      <c r="CD66" s="422"/>
      <c r="CE66" s="419">
        <f t="shared" si="24"/>
        <v>0</v>
      </c>
      <c r="CF66" s="414">
        <v>0</v>
      </c>
      <c r="CG66" s="414">
        <v>0</v>
      </c>
      <c r="CH66" s="414">
        <v>0</v>
      </c>
      <c r="CI66" s="414">
        <v>0</v>
      </c>
      <c r="CJ66" s="509">
        <v>0</v>
      </c>
    </row>
    <row r="67" spans="1:88" ht="14.1" customHeight="1">
      <c r="A67" s="66">
        <v>15</v>
      </c>
      <c r="B67" s="63">
        <v>2436</v>
      </c>
      <c r="C67" s="64">
        <v>600079538</v>
      </c>
      <c r="D67" s="63">
        <v>72741546</v>
      </c>
      <c r="E67" s="65" t="s">
        <v>562</v>
      </c>
      <c r="F67" s="66">
        <v>3141</v>
      </c>
      <c r="G67" s="65" t="s">
        <v>294</v>
      </c>
      <c r="H67" s="67" t="s">
        <v>272</v>
      </c>
      <c r="I67" s="419">
        <v>1167414</v>
      </c>
      <c r="J67" s="414">
        <v>861945</v>
      </c>
      <c r="K67" s="414">
        <v>0</v>
      </c>
      <c r="L67" s="744">
        <v>861945</v>
      </c>
      <c r="M67" s="414">
        <v>0</v>
      </c>
      <c r="N67" s="204">
        <v>0</v>
      </c>
      <c r="O67" s="204">
        <v>0</v>
      </c>
      <c r="P67" s="595">
        <v>291337</v>
      </c>
      <c r="Q67" s="595">
        <v>8620</v>
      </c>
      <c r="R67" s="601">
        <v>5512</v>
      </c>
      <c r="S67" s="415">
        <v>2.58</v>
      </c>
      <c r="T67" s="603">
        <v>0</v>
      </c>
      <c r="U67" s="731">
        <v>2.58</v>
      </c>
      <c r="V67" s="423">
        <f t="shared" si="2"/>
        <v>0</v>
      </c>
      <c r="W67" s="417">
        <f t="shared" si="3"/>
        <v>0</v>
      </c>
      <c r="X67" s="417">
        <v>0</v>
      </c>
      <c r="Y67" s="417">
        <v>0</v>
      </c>
      <c r="Z67" s="417">
        <v>0</v>
      </c>
      <c r="AA67" s="417">
        <v>2009</v>
      </c>
      <c r="AB67" s="417">
        <v>0</v>
      </c>
      <c r="AC67" s="417">
        <v>0</v>
      </c>
      <c r="AD67" s="417">
        <v>0</v>
      </c>
      <c r="AE67" s="417">
        <f t="shared" si="4"/>
        <v>0</v>
      </c>
      <c r="AF67" s="417">
        <f t="shared" si="5"/>
        <v>2009</v>
      </c>
      <c r="AG67" s="417">
        <f t="shared" si="6"/>
        <v>2009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7"/>
        <v>0</v>
      </c>
      <c r="AN67" s="417">
        <f t="shared" si="8"/>
        <v>0</v>
      </c>
      <c r="AO67" s="417">
        <f t="shared" si="9"/>
        <v>0</v>
      </c>
      <c r="AP67" s="417">
        <f t="shared" si="10"/>
        <v>0</v>
      </c>
      <c r="AQ67" s="417">
        <f t="shared" si="11"/>
        <v>2009</v>
      </c>
      <c r="AR67" s="417">
        <f t="shared" si="12"/>
        <v>2009</v>
      </c>
      <c r="AS67" s="68">
        <f t="shared" si="13"/>
        <v>679</v>
      </c>
      <c r="AT67" s="68">
        <f t="shared" si="14"/>
        <v>20</v>
      </c>
      <c r="AU67" s="417">
        <v>0</v>
      </c>
      <c r="AV67" s="417">
        <v>0</v>
      </c>
      <c r="AW67" s="417">
        <v>0</v>
      </c>
      <c r="AX67" s="417">
        <f t="shared" si="15"/>
        <v>0</v>
      </c>
      <c r="AY67" s="417">
        <f t="shared" si="16"/>
        <v>2708</v>
      </c>
      <c r="AZ67" s="418">
        <v>0</v>
      </c>
      <c r="BA67" s="418">
        <v>0</v>
      </c>
      <c r="BB67" s="418">
        <v>0</v>
      </c>
      <c r="BC67" s="418">
        <v>0</v>
      </c>
      <c r="BD67" s="418">
        <v>0.01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7"/>
        <v>0</v>
      </c>
      <c r="BJ67" s="418">
        <f t="shared" si="18"/>
        <v>0.01</v>
      </c>
      <c r="BK67" s="420">
        <f t="shared" si="19"/>
        <v>0.01</v>
      </c>
      <c r="BL67" s="772">
        <f>I67+AY67</f>
        <v>1170122</v>
      </c>
      <c r="BM67" s="417">
        <f>J67+AG67</f>
        <v>863954</v>
      </c>
      <c r="BN67" s="417">
        <f t="shared" si="106"/>
        <v>0</v>
      </c>
      <c r="BO67" s="417">
        <f t="shared" si="106"/>
        <v>863954</v>
      </c>
      <c r="BP67" s="417">
        <f>M67+AO67</f>
        <v>0</v>
      </c>
      <c r="BQ67" s="417">
        <f t="shared" si="107"/>
        <v>0</v>
      </c>
      <c r="BR67" s="417">
        <f t="shared" si="107"/>
        <v>0</v>
      </c>
      <c r="BS67" s="417">
        <f t="shared" si="108"/>
        <v>292016</v>
      </c>
      <c r="BT67" s="417">
        <f t="shared" si="108"/>
        <v>8640</v>
      </c>
      <c r="BU67" s="417">
        <f>R67+AX67</f>
        <v>5512</v>
      </c>
      <c r="BV67" s="418">
        <f>S67+BK67</f>
        <v>2.59</v>
      </c>
      <c r="BW67" s="418">
        <f t="shared" si="109"/>
        <v>0</v>
      </c>
      <c r="BX67" s="420">
        <f t="shared" si="109"/>
        <v>2.59</v>
      </c>
      <c r="BY67" s="419"/>
      <c r="BZ67" s="414"/>
      <c r="CA67" s="414"/>
      <c r="CB67" s="414"/>
      <c r="CC67" s="414"/>
      <c r="CD67" s="422"/>
      <c r="CE67" s="419">
        <f t="shared" si="24"/>
        <v>0</v>
      </c>
      <c r="CF67" s="414">
        <v>0</v>
      </c>
      <c r="CG67" s="414">
        <v>0</v>
      </c>
      <c r="CH67" s="414">
        <v>0</v>
      </c>
      <c r="CI67" s="414">
        <v>0</v>
      </c>
      <c r="CJ67" s="509">
        <v>0</v>
      </c>
    </row>
    <row r="68" spans="1:88" ht="14.1" customHeight="1">
      <c r="A68" s="72">
        <v>15</v>
      </c>
      <c r="B68" s="69">
        <v>2436</v>
      </c>
      <c r="C68" s="70">
        <v>600079538</v>
      </c>
      <c r="D68" s="69">
        <v>72741546</v>
      </c>
      <c r="E68" s="71" t="s">
        <v>563</v>
      </c>
      <c r="F68" s="72"/>
      <c r="G68" s="71"/>
      <c r="H68" s="73"/>
      <c r="I68" s="516">
        <v>12088851</v>
      </c>
      <c r="J68" s="74">
        <v>8772432</v>
      </c>
      <c r="K68" s="74">
        <v>7163750</v>
      </c>
      <c r="L68" s="74">
        <v>1608682</v>
      </c>
      <c r="M68" s="74">
        <v>150000</v>
      </c>
      <c r="N68" s="74">
        <v>35000</v>
      </c>
      <c r="O68" s="74">
        <v>115000</v>
      </c>
      <c r="P68" s="74">
        <v>3015782</v>
      </c>
      <c r="Q68" s="74">
        <v>87725</v>
      </c>
      <c r="R68" s="74">
        <v>62912</v>
      </c>
      <c r="S68" s="75">
        <v>19.4754</v>
      </c>
      <c r="T68" s="75">
        <v>14.330000000000002</v>
      </c>
      <c r="U68" s="653">
        <v>5.1454000000000004</v>
      </c>
      <c r="V68" s="516">
        <f t="shared" ref="V68:BX68" si="110">SUM(V65:V67)</f>
        <v>0</v>
      </c>
      <c r="W68" s="74">
        <f t="shared" si="110"/>
        <v>0</v>
      </c>
      <c r="X68" s="74">
        <f t="shared" si="110"/>
        <v>0</v>
      </c>
      <c r="Y68" s="74">
        <f t="shared" si="110"/>
        <v>0</v>
      </c>
      <c r="Z68" s="74">
        <f t="shared" si="110"/>
        <v>0</v>
      </c>
      <c r="AA68" s="74">
        <f t="shared" si="110"/>
        <v>2009</v>
      </c>
      <c r="AB68" s="74">
        <f t="shared" si="110"/>
        <v>0</v>
      </c>
      <c r="AC68" s="74">
        <f t="shared" si="110"/>
        <v>0</v>
      </c>
      <c r="AD68" s="74">
        <f t="shared" si="110"/>
        <v>0</v>
      </c>
      <c r="AE68" s="74">
        <f t="shared" si="110"/>
        <v>0</v>
      </c>
      <c r="AF68" s="74">
        <f t="shared" si="110"/>
        <v>2009</v>
      </c>
      <c r="AG68" s="74">
        <f t="shared" si="110"/>
        <v>2009</v>
      </c>
      <c r="AH68" s="74">
        <f t="shared" si="110"/>
        <v>0</v>
      </c>
      <c r="AI68" s="74">
        <f t="shared" si="110"/>
        <v>0</v>
      </c>
      <c r="AJ68" s="74">
        <f t="shared" si="110"/>
        <v>0</v>
      </c>
      <c r="AK68" s="74">
        <f t="shared" si="110"/>
        <v>0</v>
      </c>
      <c r="AL68" s="74">
        <f t="shared" si="110"/>
        <v>0</v>
      </c>
      <c r="AM68" s="74">
        <f t="shared" si="110"/>
        <v>0</v>
      </c>
      <c r="AN68" s="74">
        <f t="shared" si="110"/>
        <v>0</v>
      </c>
      <c r="AO68" s="74">
        <f t="shared" si="110"/>
        <v>0</v>
      </c>
      <c r="AP68" s="74">
        <f t="shared" si="110"/>
        <v>0</v>
      </c>
      <c r="AQ68" s="74">
        <f t="shared" si="110"/>
        <v>2009</v>
      </c>
      <c r="AR68" s="74">
        <f t="shared" si="110"/>
        <v>2009</v>
      </c>
      <c r="AS68" s="74">
        <f t="shared" si="110"/>
        <v>679</v>
      </c>
      <c r="AT68" s="74">
        <f t="shared" si="110"/>
        <v>20</v>
      </c>
      <c r="AU68" s="74">
        <f t="shared" si="110"/>
        <v>0</v>
      </c>
      <c r="AV68" s="74">
        <f t="shared" si="110"/>
        <v>0</v>
      </c>
      <c r="AW68" s="74">
        <f t="shared" si="110"/>
        <v>0</v>
      </c>
      <c r="AX68" s="74">
        <f t="shared" si="110"/>
        <v>0</v>
      </c>
      <c r="AY68" s="74">
        <f t="shared" si="110"/>
        <v>2708</v>
      </c>
      <c r="AZ68" s="75">
        <f t="shared" si="110"/>
        <v>0</v>
      </c>
      <c r="BA68" s="75">
        <f t="shared" si="110"/>
        <v>0</v>
      </c>
      <c r="BB68" s="75">
        <f t="shared" si="110"/>
        <v>0</v>
      </c>
      <c r="BC68" s="75">
        <f t="shared" si="110"/>
        <v>0</v>
      </c>
      <c r="BD68" s="75">
        <f t="shared" si="110"/>
        <v>0.01</v>
      </c>
      <c r="BE68" s="75">
        <f t="shared" si="110"/>
        <v>0</v>
      </c>
      <c r="BF68" s="75">
        <f t="shared" si="110"/>
        <v>0</v>
      </c>
      <c r="BG68" s="75">
        <f t="shared" si="110"/>
        <v>0</v>
      </c>
      <c r="BH68" s="75">
        <f t="shared" si="110"/>
        <v>0</v>
      </c>
      <c r="BI68" s="75">
        <f t="shared" si="110"/>
        <v>0</v>
      </c>
      <c r="BJ68" s="75">
        <f t="shared" si="110"/>
        <v>0.01</v>
      </c>
      <c r="BK68" s="76">
        <f t="shared" si="110"/>
        <v>0.01</v>
      </c>
      <c r="BL68" s="781">
        <f t="shared" si="110"/>
        <v>12091559</v>
      </c>
      <c r="BM68" s="74">
        <f t="shared" si="110"/>
        <v>8774441</v>
      </c>
      <c r="BN68" s="74">
        <f t="shared" si="110"/>
        <v>7163750</v>
      </c>
      <c r="BO68" s="74">
        <f t="shared" si="110"/>
        <v>1610691</v>
      </c>
      <c r="BP68" s="74">
        <f t="shared" si="110"/>
        <v>150000</v>
      </c>
      <c r="BQ68" s="74">
        <f t="shared" si="110"/>
        <v>35000</v>
      </c>
      <c r="BR68" s="74">
        <f t="shared" si="110"/>
        <v>115000</v>
      </c>
      <c r="BS68" s="74">
        <f t="shared" si="110"/>
        <v>3016461</v>
      </c>
      <c r="BT68" s="74">
        <f t="shared" si="110"/>
        <v>87745</v>
      </c>
      <c r="BU68" s="74">
        <f t="shared" si="110"/>
        <v>62912</v>
      </c>
      <c r="BV68" s="75">
        <f t="shared" si="110"/>
        <v>19.485400000000002</v>
      </c>
      <c r="BW68" s="75">
        <f t="shared" si="110"/>
        <v>14.330000000000002</v>
      </c>
      <c r="BX68" s="76">
        <f t="shared" si="110"/>
        <v>5.1554000000000002</v>
      </c>
      <c r="BY68" s="791">
        <f t="shared" ref="BY68:CJ68" si="111">SUM(BY65:BY67)</f>
        <v>0</v>
      </c>
      <c r="BZ68" s="679">
        <f t="shared" si="111"/>
        <v>0</v>
      </c>
      <c r="CA68" s="679">
        <f t="shared" si="111"/>
        <v>0</v>
      </c>
      <c r="CB68" s="679">
        <f t="shared" si="111"/>
        <v>0</v>
      </c>
      <c r="CC68" s="679">
        <f t="shared" si="111"/>
        <v>0</v>
      </c>
      <c r="CD68" s="947">
        <f t="shared" si="111"/>
        <v>0</v>
      </c>
      <c r="CE68" s="956">
        <f t="shared" si="111"/>
        <v>389844</v>
      </c>
      <c r="CF68" s="953">
        <f t="shared" si="111"/>
        <v>276518</v>
      </c>
      <c r="CG68" s="953">
        <f t="shared" si="111"/>
        <v>93463</v>
      </c>
      <c r="CH68" s="953">
        <f t="shared" si="111"/>
        <v>2765</v>
      </c>
      <c r="CI68" s="953">
        <f t="shared" si="111"/>
        <v>17098</v>
      </c>
      <c r="CJ68" s="877">
        <f t="shared" si="111"/>
        <v>0.94189999999999996</v>
      </c>
    </row>
    <row r="69" spans="1:88" ht="14.1" customHeight="1">
      <c r="A69" s="66">
        <v>16</v>
      </c>
      <c r="B69" s="63">
        <v>2424</v>
      </c>
      <c r="C69" s="64">
        <v>600079147</v>
      </c>
      <c r="D69" s="63">
        <v>72741945</v>
      </c>
      <c r="E69" s="65" t="s">
        <v>564</v>
      </c>
      <c r="F69" s="66">
        <v>3111</v>
      </c>
      <c r="G69" s="65" t="s">
        <v>290</v>
      </c>
      <c r="H69" s="67" t="s">
        <v>271</v>
      </c>
      <c r="I69" s="419">
        <v>3696814</v>
      </c>
      <c r="J69" s="414">
        <v>2729091</v>
      </c>
      <c r="K69" s="414">
        <v>2382890</v>
      </c>
      <c r="L69" s="414">
        <v>346201</v>
      </c>
      <c r="M69" s="414">
        <v>0</v>
      </c>
      <c r="N69" s="414">
        <v>0</v>
      </c>
      <c r="O69" s="414">
        <v>0</v>
      </c>
      <c r="P69" s="595">
        <v>922432</v>
      </c>
      <c r="Q69" s="595">
        <v>27291</v>
      </c>
      <c r="R69" s="414">
        <v>18000</v>
      </c>
      <c r="S69" s="415">
        <v>5.1781000000000006</v>
      </c>
      <c r="T69" s="415">
        <v>4</v>
      </c>
      <c r="U69" s="422">
        <v>1.1781000000000001</v>
      </c>
      <c r="V69" s="423">
        <f t="shared" si="2"/>
        <v>-3200</v>
      </c>
      <c r="W69" s="417">
        <f t="shared" si="3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4"/>
        <v>-3200</v>
      </c>
      <c r="AF69" s="417">
        <f t="shared" si="5"/>
        <v>0</v>
      </c>
      <c r="AG69" s="417">
        <f t="shared" si="6"/>
        <v>-3200</v>
      </c>
      <c r="AH69" s="417">
        <v>3200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7"/>
        <v>3200</v>
      </c>
      <c r="AN69" s="417">
        <f t="shared" si="8"/>
        <v>0</v>
      </c>
      <c r="AO69" s="417">
        <f t="shared" si="9"/>
        <v>3200</v>
      </c>
      <c r="AP69" s="417">
        <f t="shared" si="10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-32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-32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>I69+AY69</f>
        <v>3696782</v>
      </c>
      <c r="BM69" s="417">
        <f>J69+AG69</f>
        <v>2725891</v>
      </c>
      <c r="BN69" s="417">
        <f>K69+AE69</f>
        <v>2379690</v>
      </c>
      <c r="BO69" s="417">
        <f>L69+AF69</f>
        <v>346201</v>
      </c>
      <c r="BP69" s="417">
        <f>M69+AO69</f>
        <v>3200</v>
      </c>
      <c r="BQ69" s="417">
        <f>N69+AM69</f>
        <v>3200</v>
      </c>
      <c r="BR69" s="417">
        <f>O69+AN69</f>
        <v>0</v>
      </c>
      <c r="BS69" s="417">
        <f>P69+AS69</f>
        <v>922432</v>
      </c>
      <c r="BT69" s="417">
        <f>Q69+AT69</f>
        <v>27259</v>
      </c>
      <c r="BU69" s="417">
        <f>R69+AX69</f>
        <v>18000</v>
      </c>
      <c r="BV69" s="418">
        <f>S69+BK69</f>
        <v>5.1781000000000006</v>
      </c>
      <c r="BW69" s="418">
        <f>T69+BI69</f>
        <v>4</v>
      </c>
      <c r="BX69" s="420">
        <f>U69+BJ69</f>
        <v>1.1781000000000001</v>
      </c>
      <c r="BY69" s="419"/>
      <c r="BZ69" s="414"/>
      <c r="CA69" s="414"/>
      <c r="CB69" s="414"/>
      <c r="CC69" s="414"/>
      <c r="CD69" s="422"/>
      <c r="CE69" s="419">
        <f t="shared" si="24"/>
        <v>155722</v>
      </c>
      <c r="CF69" s="414">
        <v>111081</v>
      </c>
      <c r="CG69" s="414">
        <v>37545</v>
      </c>
      <c r="CH69" s="414">
        <v>1111</v>
      </c>
      <c r="CI69" s="414">
        <v>5985</v>
      </c>
      <c r="CJ69" s="509">
        <v>0.378</v>
      </c>
    </row>
    <row r="70" spans="1:88" ht="14.1" customHeight="1">
      <c r="A70" s="66">
        <v>16</v>
      </c>
      <c r="B70" s="63">
        <v>2424</v>
      </c>
      <c r="C70" s="64">
        <v>600079147</v>
      </c>
      <c r="D70" s="63">
        <v>72741945</v>
      </c>
      <c r="E70" s="65" t="s">
        <v>564</v>
      </c>
      <c r="F70" s="66">
        <v>3141</v>
      </c>
      <c r="G70" s="65" t="s">
        <v>294</v>
      </c>
      <c r="H70" s="67" t="s">
        <v>272</v>
      </c>
      <c r="I70" s="419">
        <v>647147</v>
      </c>
      <c r="J70" s="414">
        <v>478344</v>
      </c>
      <c r="K70" s="414">
        <v>0</v>
      </c>
      <c r="L70" s="744">
        <v>478344</v>
      </c>
      <c r="M70" s="414">
        <v>0</v>
      </c>
      <c r="N70" s="204">
        <v>0</v>
      </c>
      <c r="O70" s="204">
        <v>0</v>
      </c>
      <c r="P70" s="595">
        <v>161680</v>
      </c>
      <c r="Q70" s="595">
        <v>4783</v>
      </c>
      <c r="R70" s="601">
        <v>2340</v>
      </c>
      <c r="S70" s="415">
        <v>1.4333</v>
      </c>
      <c r="T70" s="603">
        <v>0</v>
      </c>
      <c r="U70" s="731">
        <v>1.4333</v>
      </c>
      <c r="V70" s="423">
        <f t="shared" si="2"/>
        <v>0</v>
      </c>
      <c r="W70" s="417">
        <f t="shared" si="3"/>
        <v>0</v>
      </c>
      <c r="X70" s="417">
        <v>0</v>
      </c>
      <c r="Y70" s="417">
        <v>0</v>
      </c>
      <c r="Z70" s="417">
        <v>0</v>
      </c>
      <c r="AA70" s="417">
        <v>-20432</v>
      </c>
      <c r="AB70" s="417">
        <v>0</v>
      </c>
      <c r="AC70" s="417">
        <v>0</v>
      </c>
      <c r="AD70" s="417">
        <v>0</v>
      </c>
      <c r="AE70" s="417">
        <f t="shared" si="4"/>
        <v>0</v>
      </c>
      <c r="AF70" s="417">
        <f t="shared" si="5"/>
        <v>-20432</v>
      </c>
      <c r="AG70" s="417">
        <f t="shared" si="6"/>
        <v>-20432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7"/>
        <v>0</v>
      </c>
      <c r="AN70" s="417">
        <f t="shared" si="8"/>
        <v>0</v>
      </c>
      <c r="AO70" s="417">
        <f t="shared" si="9"/>
        <v>0</v>
      </c>
      <c r="AP70" s="417">
        <f t="shared" si="10"/>
        <v>0</v>
      </c>
      <c r="AQ70" s="417">
        <f t="shared" si="11"/>
        <v>-20432</v>
      </c>
      <c r="AR70" s="417">
        <f t="shared" si="12"/>
        <v>-20432</v>
      </c>
      <c r="AS70" s="68">
        <f t="shared" si="13"/>
        <v>-6906</v>
      </c>
      <c r="AT70" s="68">
        <f t="shared" si="14"/>
        <v>-204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-27542</v>
      </c>
      <c r="AZ70" s="418">
        <v>0</v>
      </c>
      <c r="BA70" s="418">
        <v>0</v>
      </c>
      <c r="BB70" s="418">
        <v>0</v>
      </c>
      <c r="BC70" s="418">
        <v>0</v>
      </c>
      <c r="BD70" s="418">
        <v>-0.06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-0.06</v>
      </c>
      <c r="BK70" s="420">
        <f t="shared" si="19"/>
        <v>-0.06</v>
      </c>
      <c r="BL70" s="772">
        <f>I70+AY70</f>
        <v>619605</v>
      </c>
      <c r="BM70" s="417">
        <f>J70+AG70</f>
        <v>457912</v>
      </c>
      <c r="BN70" s="417">
        <f>K70+AE70</f>
        <v>0</v>
      </c>
      <c r="BO70" s="417">
        <f>L70+AF70</f>
        <v>457912</v>
      </c>
      <c r="BP70" s="417">
        <f>M70+AO70</f>
        <v>0</v>
      </c>
      <c r="BQ70" s="417">
        <f>N70+AM70</f>
        <v>0</v>
      </c>
      <c r="BR70" s="417">
        <f>O70+AN70</f>
        <v>0</v>
      </c>
      <c r="BS70" s="417">
        <f>P70+AS70</f>
        <v>154774</v>
      </c>
      <c r="BT70" s="417">
        <f>Q70+AT70</f>
        <v>4579</v>
      </c>
      <c r="BU70" s="417">
        <f>R70+AX70</f>
        <v>2340</v>
      </c>
      <c r="BV70" s="418">
        <f>S70+BK70</f>
        <v>1.3733</v>
      </c>
      <c r="BW70" s="418">
        <f>T70+BI70</f>
        <v>0</v>
      </c>
      <c r="BX70" s="420">
        <f>U70+BJ70</f>
        <v>1.3733</v>
      </c>
      <c r="BY70" s="419"/>
      <c r="BZ70" s="414"/>
      <c r="CA70" s="414"/>
      <c r="CB70" s="414"/>
      <c r="CC70" s="414"/>
      <c r="CD70" s="422"/>
      <c r="CE70" s="419">
        <f t="shared" si="24"/>
        <v>0</v>
      </c>
      <c r="CF70" s="414">
        <v>0</v>
      </c>
      <c r="CG70" s="414">
        <v>0</v>
      </c>
      <c r="CH70" s="414">
        <v>0</v>
      </c>
      <c r="CI70" s="414">
        <v>0</v>
      </c>
      <c r="CJ70" s="509">
        <v>0</v>
      </c>
    </row>
    <row r="71" spans="1:88" ht="14.1" customHeight="1">
      <c r="A71" s="72">
        <v>16</v>
      </c>
      <c r="B71" s="69">
        <v>2424</v>
      </c>
      <c r="C71" s="70">
        <v>600079147</v>
      </c>
      <c r="D71" s="69">
        <v>72741945</v>
      </c>
      <c r="E71" s="71" t="s">
        <v>565</v>
      </c>
      <c r="F71" s="72"/>
      <c r="G71" s="71"/>
      <c r="H71" s="73"/>
      <c r="I71" s="516">
        <v>4343961</v>
      </c>
      <c r="J71" s="74">
        <v>3207435</v>
      </c>
      <c r="K71" s="74">
        <v>2382890</v>
      </c>
      <c r="L71" s="74">
        <v>824545</v>
      </c>
      <c r="M71" s="74">
        <v>0</v>
      </c>
      <c r="N71" s="74">
        <v>0</v>
      </c>
      <c r="O71" s="74">
        <v>0</v>
      </c>
      <c r="P71" s="74">
        <v>1084112</v>
      </c>
      <c r="Q71" s="74">
        <v>32074</v>
      </c>
      <c r="R71" s="74">
        <v>20340</v>
      </c>
      <c r="S71" s="75">
        <v>6.6114000000000006</v>
      </c>
      <c r="T71" s="75">
        <v>4</v>
      </c>
      <c r="U71" s="653">
        <v>2.6114000000000002</v>
      </c>
      <c r="V71" s="516">
        <f t="shared" ref="V71:BX71" si="112">SUM(V69:V70)</f>
        <v>-3200</v>
      </c>
      <c r="W71" s="74">
        <f t="shared" si="112"/>
        <v>0</v>
      </c>
      <c r="X71" s="74">
        <f t="shared" si="112"/>
        <v>0</v>
      </c>
      <c r="Y71" s="74">
        <f t="shared" si="112"/>
        <v>0</v>
      </c>
      <c r="Z71" s="74">
        <f t="shared" si="112"/>
        <v>0</v>
      </c>
      <c r="AA71" s="74">
        <f t="shared" si="112"/>
        <v>-20432</v>
      </c>
      <c r="AB71" s="74">
        <f t="shared" si="112"/>
        <v>0</v>
      </c>
      <c r="AC71" s="74">
        <f t="shared" si="112"/>
        <v>0</v>
      </c>
      <c r="AD71" s="74">
        <f t="shared" si="112"/>
        <v>0</v>
      </c>
      <c r="AE71" s="74">
        <f t="shared" si="112"/>
        <v>-3200</v>
      </c>
      <c r="AF71" s="74">
        <f t="shared" si="112"/>
        <v>-20432</v>
      </c>
      <c r="AG71" s="74">
        <f t="shared" si="112"/>
        <v>-23632</v>
      </c>
      <c r="AH71" s="74">
        <f t="shared" si="112"/>
        <v>3200</v>
      </c>
      <c r="AI71" s="74">
        <f t="shared" si="112"/>
        <v>0</v>
      </c>
      <c r="AJ71" s="74">
        <f t="shared" si="112"/>
        <v>0</v>
      </c>
      <c r="AK71" s="74">
        <f t="shared" si="112"/>
        <v>0</v>
      </c>
      <c r="AL71" s="74">
        <f t="shared" si="112"/>
        <v>0</v>
      </c>
      <c r="AM71" s="74">
        <f t="shared" si="112"/>
        <v>3200</v>
      </c>
      <c r="AN71" s="74">
        <f t="shared" si="112"/>
        <v>0</v>
      </c>
      <c r="AO71" s="74">
        <f t="shared" si="112"/>
        <v>3200</v>
      </c>
      <c r="AP71" s="74">
        <f t="shared" si="112"/>
        <v>0</v>
      </c>
      <c r="AQ71" s="74">
        <f t="shared" si="112"/>
        <v>-20432</v>
      </c>
      <c r="AR71" s="74">
        <f t="shared" si="112"/>
        <v>-20432</v>
      </c>
      <c r="AS71" s="74">
        <f t="shared" si="112"/>
        <v>-6906</v>
      </c>
      <c r="AT71" s="74">
        <f t="shared" si="112"/>
        <v>-236</v>
      </c>
      <c r="AU71" s="74">
        <f t="shared" si="112"/>
        <v>0</v>
      </c>
      <c r="AV71" s="74">
        <f t="shared" si="112"/>
        <v>0</v>
      </c>
      <c r="AW71" s="74">
        <f t="shared" si="112"/>
        <v>0</v>
      </c>
      <c r="AX71" s="74">
        <f t="shared" si="112"/>
        <v>0</v>
      </c>
      <c r="AY71" s="74">
        <f t="shared" si="112"/>
        <v>-27574</v>
      </c>
      <c r="AZ71" s="75">
        <f t="shared" si="112"/>
        <v>0</v>
      </c>
      <c r="BA71" s="75">
        <f t="shared" si="112"/>
        <v>0</v>
      </c>
      <c r="BB71" s="75">
        <f t="shared" si="112"/>
        <v>0</v>
      </c>
      <c r="BC71" s="75">
        <f t="shared" si="112"/>
        <v>0</v>
      </c>
      <c r="BD71" s="75">
        <f t="shared" si="112"/>
        <v>-0.06</v>
      </c>
      <c r="BE71" s="75">
        <f t="shared" si="112"/>
        <v>0</v>
      </c>
      <c r="BF71" s="75">
        <f t="shared" si="112"/>
        <v>0</v>
      </c>
      <c r="BG71" s="75">
        <f t="shared" si="112"/>
        <v>0</v>
      </c>
      <c r="BH71" s="75">
        <f t="shared" si="112"/>
        <v>0</v>
      </c>
      <c r="BI71" s="75">
        <f t="shared" si="112"/>
        <v>0</v>
      </c>
      <c r="BJ71" s="75">
        <f t="shared" si="112"/>
        <v>-0.06</v>
      </c>
      <c r="BK71" s="76">
        <f t="shared" si="112"/>
        <v>-0.06</v>
      </c>
      <c r="BL71" s="781">
        <f t="shared" si="112"/>
        <v>4316387</v>
      </c>
      <c r="BM71" s="74">
        <f t="shared" si="112"/>
        <v>3183803</v>
      </c>
      <c r="BN71" s="74">
        <f t="shared" si="112"/>
        <v>2379690</v>
      </c>
      <c r="BO71" s="74">
        <f t="shared" si="112"/>
        <v>804113</v>
      </c>
      <c r="BP71" s="74">
        <f t="shared" si="112"/>
        <v>3200</v>
      </c>
      <c r="BQ71" s="74">
        <f t="shared" si="112"/>
        <v>3200</v>
      </c>
      <c r="BR71" s="74">
        <f t="shared" si="112"/>
        <v>0</v>
      </c>
      <c r="BS71" s="74">
        <f t="shared" si="112"/>
        <v>1077206</v>
      </c>
      <c r="BT71" s="74">
        <f t="shared" si="112"/>
        <v>31838</v>
      </c>
      <c r="BU71" s="74">
        <f t="shared" si="112"/>
        <v>20340</v>
      </c>
      <c r="BV71" s="75">
        <f t="shared" si="112"/>
        <v>6.551400000000001</v>
      </c>
      <c r="BW71" s="75">
        <f t="shared" si="112"/>
        <v>4</v>
      </c>
      <c r="BX71" s="76">
        <f t="shared" si="112"/>
        <v>2.5514000000000001</v>
      </c>
      <c r="BY71" s="791">
        <f t="shared" ref="BY71:CJ71" si="113">SUM(BY69:BY70)</f>
        <v>0</v>
      </c>
      <c r="BZ71" s="679">
        <f t="shared" si="113"/>
        <v>0</v>
      </c>
      <c r="CA71" s="679">
        <f t="shared" si="113"/>
        <v>0</v>
      </c>
      <c r="CB71" s="679">
        <f t="shared" si="113"/>
        <v>0</v>
      </c>
      <c r="CC71" s="679">
        <f t="shared" si="113"/>
        <v>0</v>
      </c>
      <c r="CD71" s="947">
        <f t="shared" si="113"/>
        <v>0</v>
      </c>
      <c r="CE71" s="956">
        <f t="shared" si="113"/>
        <v>155722</v>
      </c>
      <c r="CF71" s="953">
        <f t="shared" si="113"/>
        <v>111081</v>
      </c>
      <c r="CG71" s="953">
        <f t="shared" si="113"/>
        <v>37545</v>
      </c>
      <c r="CH71" s="953">
        <f t="shared" si="113"/>
        <v>1111</v>
      </c>
      <c r="CI71" s="953">
        <f t="shared" si="113"/>
        <v>5985</v>
      </c>
      <c r="CJ71" s="877">
        <f t="shared" si="113"/>
        <v>0.378</v>
      </c>
    </row>
    <row r="72" spans="1:88" ht="14.1" customHeight="1">
      <c r="A72" s="66">
        <v>17</v>
      </c>
      <c r="B72" s="63">
        <v>2417</v>
      </c>
      <c r="C72" s="64">
        <v>600079562</v>
      </c>
      <c r="D72" s="63">
        <v>72742810</v>
      </c>
      <c r="E72" s="65" t="s">
        <v>566</v>
      </c>
      <c r="F72" s="66">
        <v>3111</v>
      </c>
      <c r="G72" s="65" t="s">
        <v>290</v>
      </c>
      <c r="H72" s="67" t="s">
        <v>271</v>
      </c>
      <c r="I72" s="419">
        <v>18798060</v>
      </c>
      <c r="J72" s="414">
        <v>13858850</v>
      </c>
      <c r="K72" s="414">
        <v>12185716</v>
      </c>
      <c r="L72" s="414">
        <v>1673134</v>
      </c>
      <c r="M72" s="414">
        <v>20000</v>
      </c>
      <c r="N72" s="414">
        <v>0</v>
      </c>
      <c r="O72" s="414">
        <v>20000</v>
      </c>
      <c r="P72" s="595">
        <v>4691051</v>
      </c>
      <c r="Q72" s="595">
        <v>138589</v>
      </c>
      <c r="R72" s="414">
        <v>89570</v>
      </c>
      <c r="S72" s="415">
        <v>26.869699999999998</v>
      </c>
      <c r="T72" s="415">
        <v>21</v>
      </c>
      <c r="U72" s="422">
        <v>5.8696999999999999</v>
      </c>
      <c r="V72" s="423">
        <f t="shared" si="2"/>
        <v>0</v>
      </c>
      <c r="W72" s="417">
        <f t="shared" si="3"/>
        <v>20000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4"/>
        <v>0</v>
      </c>
      <c r="AF72" s="417">
        <f t="shared" si="5"/>
        <v>20000</v>
      </c>
      <c r="AG72" s="417">
        <f t="shared" si="6"/>
        <v>20000</v>
      </c>
      <c r="AH72" s="417">
        <v>0</v>
      </c>
      <c r="AI72" s="417">
        <v>-20000</v>
      </c>
      <c r="AJ72" s="417">
        <v>0</v>
      </c>
      <c r="AK72" s="417">
        <v>0</v>
      </c>
      <c r="AL72" s="417">
        <v>0</v>
      </c>
      <c r="AM72" s="417">
        <f t="shared" si="7"/>
        <v>0</v>
      </c>
      <c r="AN72" s="417">
        <f t="shared" si="8"/>
        <v>-20000</v>
      </c>
      <c r="AO72" s="417">
        <f t="shared" si="9"/>
        <v>-20000</v>
      </c>
      <c r="AP72" s="417">
        <f t="shared" si="10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200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200</v>
      </c>
      <c r="AZ72" s="418">
        <v>0</v>
      </c>
      <c r="BA72" s="418">
        <v>7.0000000000000007E-2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7.0000000000000007E-2</v>
      </c>
      <c r="BK72" s="420">
        <f t="shared" si="19"/>
        <v>7.0000000000000007E-2</v>
      </c>
      <c r="BL72" s="772">
        <f>I72+AY72</f>
        <v>18798260</v>
      </c>
      <c r="BM72" s="417">
        <f>J72+AG72</f>
        <v>13878850</v>
      </c>
      <c r="BN72" s="417">
        <f t="shared" ref="BN72:BO75" si="114">K72+AE72</f>
        <v>12185716</v>
      </c>
      <c r="BO72" s="417">
        <f t="shared" si="114"/>
        <v>1693134</v>
      </c>
      <c r="BP72" s="417">
        <f>M72+AO72</f>
        <v>0</v>
      </c>
      <c r="BQ72" s="417">
        <f t="shared" ref="BQ72:BR75" si="115">N72+AM72</f>
        <v>0</v>
      </c>
      <c r="BR72" s="417">
        <f t="shared" si="115"/>
        <v>0</v>
      </c>
      <c r="BS72" s="417">
        <f t="shared" ref="BS72:BT75" si="116">P72+AS72</f>
        <v>4691051</v>
      </c>
      <c r="BT72" s="417">
        <f t="shared" si="116"/>
        <v>138789</v>
      </c>
      <c r="BU72" s="417">
        <f>R72+AX72</f>
        <v>89570</v>
      </c>
      <c r="BV72" s="418">
        <f>S72+BK72</f>
        <v>26.939699999999998</v>
      </c>
      <c r="BW72" s="418">
        <f t="shared" ref="BW72:BX75" si="117">T72+BI72</f>
        <v>21</v>
      </c>
      <c r="BX72" s="420">
        <f t="shared" si="117"/>
        <v>5.9397000000000002</v>
      </c>
      <c r="BY72" s="419"/>
      <c r="BZ72" s="414"/>
      <c r="CA72" s="414"/>
      <c r="CB72" s="414"/>
      <c r="CC72" s="414"/>
      <c r="CD72" s="422"/>
      <c r="CE72" s="419">
        <f t="shared" si="24"/>
        <v>762205</v>
      </c>
      <c r="CF72" s="414">
        <v>543318</v>
      </c>
      <c r="CG72" s="414">
        <v>183641</v>
      </c>
      <c r="CH72" s="414">
        <v>5433</v>
      </c>
      <c r="CI72" s="414">
        <v>29813</v>
      </c>
      <c r="CJ72" s="509">
        <v>1.9060000000000001</v>
      </c>
    </row>
    <row r="73" spans="1:88" ht="14.1" customHeight="1">
      <c r="A73" s="66">
        <v>17</v>
      </c>
      <c r="B73" s="63">
        <v>2417</v>
      </c>
      <c r="C73" s="64">
        <v>600079562</v>
      </c>
      <c r="D73" s="63">
        <v>72742810</v>
      </c>
      <c r="E73" s="65" t="s">
        <v>566</v>
      </c>
      <c r="F73" s="66">
        <v>3111</v>
      </c>
      <c r="G73" s="43" t="s">
        <v>292</v>
      </c>
      <c r="H73" s="67" t="s">
        <v>271</v>
      </c>
      <c r="I73" s="419">
        <v>1760919</v>
      </c>
      <c r="J73" s="414">
        <v>1306320</v>
      </c>
      <c r="K73" s="414">
        <v>1306320</v>
      </c>
      <c r="L73" s="414">
        <v>0</v>
      </c>
      <c r="M73" s="414">
        <v>0</v>
      </c>
      <c r="N73" s="414">
        <v>0</v>
      </c>
      <c r="O73" s="414">
        <v>0</v>
      </c>
      <c r="P73" s="595">
        <v>441536</v>
      </c>
      <c r="Q73" s="595">
        <v>13063</v>
      </c>
      <c r="R73" s="414">
        <v>0</v>
      </c>
      <c r="S73" s="415">
        <v>4</v>
      </c>
      <c r="T73" s="415">
        <v>4</v>
      </c>
      <c r="U73" s="422">
        <v>0</v>
      </c>
      <c r="V73" s="423">
        <f t="shared" si="2"/>
        <v>0</v>
      </c>
      <c r="W73" s="417">
        <f t="shared" si="3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4"/>
        <v>0</v>
      </c>
      <c r="AF73" s="417">
        <f t="shared" si="5"/>
        <v>0</v>
      </c>
      <c r="AG73" s="417">
        <f t="shared" si="6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7"/>
        <v>0</v>
      </c>
      <c r="AN73" s="417">
        <f t="shared" si="8"/>
        <v>0</v>
      </c>
      <c r="AO73" s="417">
        <f t="shared" si="9"/>
        <v>0</v>
      </c>
      <c r="AP73" s="417">
        <f t="shared" si="10"/>
        <v>0</v>
      </c>
      <c r="AQ73" s="417">
        <f t="shared" si="11"/>
        <v>0</v>
      </c>
      <c r="AR73" s="417">
        <f t="shared" si="12"/>
        <v>0</v>
      </c>
      <c r="AS73" s="68">
        <f t="shared" si="13"/>
        <v>0</v>
      </c>
      <c r="AT73" s="68">
        <f t="shared" si="14"/>
        <v>0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</v>
      </c>
      <c r="BJ73" s="418">
        <f t="shared" si="18"/>
        <v>0</v>
      </c>
      <c r="BK73" s="420">
        <f t="shared" si="19"/>
        <v>0</v>
      </c>
      <c r="BL73" s="772">
        <f>I73+AY73</f>
        <v>1760919</v>
      </c>
      <c r="BM73" s="417">
        <f>J73+AG73</f>
        <v>1306320</v>
      </c>
      <c r="BN73" s="417">
        <f t="shared" si="114"/>
        <v>1306320</v>
      </c>
      <c r="BO73" s="417">
        <f t="shared" si="114"/>
        <v>0</v>
      </c>
      <c r="BP73" s="417">
        <f>M73+AO73</f>
        <v>0</v>
      </c>
      <c r="BQ73" s="417">
        <f t="shared" si="115"/>
        <v>0</v>
      </c>
      <c r="BR73" s="417">
        <f t="shared" si="115"/>
        <v>0</v>
      </c>
      <c r="BS73" s="417">
        <f t="shared" si="116"/>
        <v>441536</v>
      </c>
      <c r="BT73" s="417">
        <f t="shared" si="116"/>
        <v>13063</v>
      </c>
      <c r="BU73" s="417">
        <f>R73+AX73</f>
        <v>0</v>
      </c>
      <c r="BV73" s="418">
        <f>S73+BK73</f>
        <v>4</v>
      </c>
      <c r="BW73" s="418">
        <f t="shared" si="117"/>
        <v>4</v>
      </c>
      <c r="BX73" s="420">
        <f t="shared" si="117"/>
        <v>0</v>
      </c>
      <c r="BY73" s="419"/>
      <c r="BZ73" s="414"/>
      <c r="CA73" s="414"/>
      <c r="CB73" s="414"/>
      <c r="CC73" s="414"/>
      <c r="CD73" s="422"/>
      <c r="CE73" s="419">
        <f t="shared" si="24"/>
        <v>0</v>
      </c>
      <c r="CF73" s="414">
        <v>0</v>
      </c>
      <c r="CG73" s="414">
        <v>0</v>
      </c>
      <c r="CH73" s="414">
        <v>0</v>
      </c>
      <c r="CI73" s="414">
        <v>0</v>
      </c>
      <c r="CJ73" s="509">
        <v>0</v>
      </c>
    </row>
    <row r="74" spans="1:88" ht="14.1" customHeight="1">
      <c r="A74" s="66">
        <v>17</v>
      </c>
      <c r="B74" s="63">
        <v>2417</v>
      </c>
      <c r="C74" s="64">
        <v>600079562</v>
      </c>
      <c r="D74" s="63">
        <v>72742810</v>
      </c>
      <c r="E74" s="65" t="s">
        <v>566</v>
      </c>
      <c r="F74" s="66">
        <v>3111</v>
      </c>
      <c r="G74" s="43" t="s">
        <v>291</v>
      </c>
      <c r="H74" s="67" t="s">
        <v>272</v>
      </c>
      <c r="I74" s="419">
        <v>410981</v>
      </c>
      <c r="J74" s="414">
        <v>304882</v>
      </c>
      <c r="K74" s="414">
        <v>304882</v>
      </c>
      <c r="L74" s="414">
        <v>0</v>
      </c>
      <c r="M74" s="414">
        <v>0</v>
      </c>
      <c r="N74" s="414">
        <v>0</v>
      </c>
      <c r="O74" s="414">
        <v>0</v>
      </c>
      <c r="P74" s="595">
        <v>103050</v>
      </c>
      <c r="Q74" s="595">
        <v>3049</v>
      </c>
      <c r="R74" s="414">
        <v>0</v>
      </c>
      <c r="S74" s="415">
        <v>1</v>
      </c>
      <c r="T74" s="416">
        <v>1</v>
      </c>
      <c r="U74" s="422">
        <v>0</v>
      </c>
      <c r="V74" s="423">
        <f t="shared" si="2"/>
        <v>0</v>
      </c>
      <c r="W74" s="417">
        <f t="shared" si="3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4"/>
        <v>0</v>
      </c>
      <c r="AF74" s="417">
        <f t="shared" si="5"/>
        <v>0</v>
      </c>
      <c r="AG74" s="417">
        <f t="shared" si="6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7"/>
        <v>0</v>
      </c>
      <c r="AN74" s="417">
        <f t="shared" si="8"/>
        <v>0</v>
      </c>
      <c r="AO74" s="417">
        <f t="shared" si="9"/>
        <v>0</v>
      </c>
      <c r="AP74" s="417">
        <f t="shared" si="10"/>
        <v>0</v>
      </c>
      <c r="AQ74" s="417">
        <f t="shared" si="11"/>
        <v>0</v>
      </c>
      <c r="AR74" s="417">
        <f t="shared" si="12"/>
        <v>0</v>
      </c>
      <c r="AS74" s="68">
        <f t="shared" si="13"/>
        <v>0</v>
      </c>
      <c r="AT74" s="68">
        <f t="shared" si="14"/>
        <v>0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0</v>
      </c>
      <c r="BK74" s="420">
        <f t="shared" si="19"/>
        <v>0</v>
      </c>
      <c r="BL74" s="772">
        <f>I74+AY74</f>
        <v>410981</v>
      </c>
      <c r="BM74" s="417">
        <f>J74+AG74</f>
        <v>304882</v>
      </c>
      <c r="BN74" s="417">
        <f t="shared" si="114"/>
        <v>304882</v>
      </c>
      <c r="BO74" s="417">
        <f t="shared" si="114"/>
        <v>0</v>
      </c>
      <c r="BP74" s="417">
        <f>M74+AO74</f>
        <v>0</v>
      </c>
      <c r="BQ74" s="417">
        <f t="shared" si="115"/>
        <v>0</v>
      </c>
      <c r="BR74" s="417">
        <f t="shared" si="115"/>
        <v>0</v>
      </c>
      <c r="BS74" s="417">
        <f t="shared" si="116"/>
        <v>103050</v>
      </c>
      <c r="BT74" s="417">
        <f t="shared" si="116"/>
        <v>3049</v>
      </c>
      <c r="BU74" s="417">
        <f>R74+AX74</f>
        <v>0</v>
      </c>
      <c r="BV74" s="418">
        <f>S74+BK74</f>
        <v>1</v>
      </c>
      <c r="BW74" s="418">
        <f t="shared" si="117"/>
        <v>1</v>
      </c>
      <c r="BX74" s="420">
        <f t="shared" si="117"/>
        <v>0</v>
      </c>
      <c r="BY74" s="419"/>
      <c r="BZ74" s="414"/>
      <c r="CA74" s="414"/>
      <c r="CB74" s="414"/>
      <c r="CC74" s="414"/>
      <c r="CD74" s="422"/>
      <c r="CE74" s="419">
        <f t="shared" si="24"/>
        <v>0</v>
      </c>
      <c r="CF74" s="414">
        <v>0</v>
      </c>
      <c r="CG74" s="414">
        <v>0</v>
      </c>
      <c r="CH74" s="414">
        <v>0</v>
      </c>
      <c r="CI74" s="414">
        <v>0</v>
      </c>
      <c r="CJ74" s="509">
        <v>0</v>
      </c>
    </row>
    <row r="75" spans="1:88" ht="14.1" customHeight="1">
      <c r="A75" s="66">
        <v>17</v>
      </c>
      <c r="B75" s="63">
        <v>2417</v>
      </c>
      <c r="C75" s="64">
        <v>600079562</v>
      </c>
      <c r="D75" s="63">
        <v>72742810</v>
      </c>
      <c r="E75" s="65" t="s">
        <v>566</v>
      </c>
      <c r="F75" s="66">
        <v>3141</v>
      </c>
      <c r="G75" s="65" t="s">
        <v>294</v>
      </c>
      <c r="H75" s="67" t="s">
        <v>272</v>
      </c>
      <c r="I75" s="419">
        <v>1886741</v>
      </c>
      <c r="J75" s="414">
        <v>1393334</v>
      </c>
      <c r="K75" s="414">
        <v>0</v>
      </c>
      <c r="L75" s="744">
        <v>1393334</v>
      </c>
      <c r="M75" s="414">
        <v>0</v>
      </c>
      <c r="N75" s="204">
        <v>0</v>
      </c>
      <c r="O75" s="204">
        <v>0</v>
      </c>
      <c r="P75" s="595">
        <v>470946</v>
      </c>
      <c r="Q75" s="595">
        <v>13933</v>
      </c>
      <c r="R75" s="601">
        <v>8528</v>
      </c>
      <c r="S75" s="415">
        <v>4.1766999999999994</v>
      </c>
      <c r="T75" s="603">
        <v>0</v>
      </c>
      <c r="U75" s="731">
        <v>4.1766999999999994</v>
      </c>
      <c r="V75" s="423">
        <f t="shared" si="2"/>
        <v>0</v>
      </c>
      <c r="W75" s="417">
        <f t="shared" si="3"/>
        <v>0</v>
      </c>
      <c r="X75" s="417">
        <v>0</v>
      </c>
      <c r="Y75" s="417">
        <v>0</v>
      </c>
      <c r="Z75" s="417">
        <v>0</v>
      </c>
      <c r="AA75" s="417">
        <v>-12640</v>
      </c>
      <c r="AB75" s="417">
        <v>0</v>
      </c>
      <c r="AC75" s="417">
        <v>0</v>
      </c>
      <c r="AD75" s="417">
        <v>0</v>
      </c>
      <c r="AE75" s="417">
        <f t="shared" si="4"/>
        <v>0</v>
      </c>
      <c r="AF75" s="417">
        <f t="shared" si="5"/>
        <v>-12640</v>
      </c>
      <c r="AG75" s="417">
        <f t="shared" si="6"/>
        <v>-12640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7"/>
        <v>0</v>
      </c>
      <c r="AN75" s="417">
        <f t="shared" si="8"/>
        <v>0</v>
      </c>
      <c r="AO75" s="417">
        <f t="shared" si="9"/>
        <v>0</v>
      </c>
      <c r="AP75" s="417">
        <f t="shared" si="10"/>
        <v>0</v>
      </c>
      <c r="AQ75" s="417">
        <f t="shared" si="11"/>
        <v>-12640</v>
      </c>
      <c r="AR75" s="417">
        <f t="shared" si="12"/>
        <v>-12640</v>
      </c>
      <c r="AS75" s="68">
        <f t="shared" si="13"/>
        <v>-4272</v>
      </c>
      <c r="AT75" s="68">
        <f t="shared" si="14"/>
        <v>-126</v>
      </c>
      <c r="AU75" s="417">
        <v>0</v>
      </c>
      <c r="AV75" s="417">
        <v>0</v>
      </c>
      <c r="AW75" s="417">
        <v>0</v>
      </c>
      <c r="AX75" s="417">
        <f t="shared" si="15"/>
        <v>0</v>
      </c>
      <c r="AY75" s="417">
        <f t="shared" si="16"/>
        <v>-17038</v>
      </c>
      <c r="AZ75" s="418">
        <v>0</v>
      </c>
      <c r="BA75" s="418">
        <v>0</v>
      </c>
      <c r="BB75" s="418">
        <v>0</v>
      </c>
      <c r="BC75" s="418">
        <v>0</v>
      </c>
      <c r="BD75" s="418">
        <v>-0.04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7"/>
        <v>0</v>
      </c>
      <c r="BJ75" s="418">
        <f t="shared" si="18"/>
        <v>-0.04</v>
      </c>
      <c r="BK75" s="420">
        <f t="shared" si="19"/>
        <v>-0.04</v>
      </c>
      <c r="BL75" s="772">
        <f>I75+AY75</f>
        <v>1869703</v>
      </c>
      <c r="BM75" s="417">
        <f>J75+AG75</f>
        <v>1380694</v>
      </c>
      <c r="BN75" s="417">
        <f t="shared" si="114"/>
        <v>0</v>
      </c>
      <c r="BO75" s="417">
        <f t="shared" si="114"/>
        <v>1380694</v>
      </c>
      <c r="BP75" s="417">
        <f>M75+AO75</f>
        <v>0</v>
      </c>
      <c r="BQ75" s="417">
        <f t="shared" si="115"/>
        <v>0</v>
      </c>
      <c r="BR75" s="417">
        <f t="shared" si="115"/>
        <v>0</v>
      </c>
      <c r="BS75" s="417">
        <f t="shared" si="116"/>
        <v>466674</v>
      </c>
      <c r="BT75" s="417">
        <f t="shared" si="116"/>
        <v>13807</v>
      </c>
      <c r="BU75" s="417">
        <f>R75+AX75</f>
        <v>8528</v>
      </c>
      <c r="BV75" s="418">
        <f>S75+BK75</f>
        <v>4.1366999999999994</v>
      </c>
      <c r="BW75" s="418">
        <f t="shared" si="117"/>
        <v>0</v>
      </c>
      <c r="BX75" s="420">
        <f t="shared" si="117"/>
        <v>4.1366999999999994</v>
      </c>
      <c r="BY75" s="419"/>
      <c r="BZ75" s="414"/>
      <c r="CA75" s="414"/>
      <c r="CB75" s="414"/>
      <c r="CC75" s="414"/>
      <c r="CD75" s="422"/>
      <c r="CE75" s="419">
        <f t="shared" si="24"/>
        <v>0</v>
      </c>
      <c r="CF75" s="414">
        <v>0</v>
      </c>
      <c r="CG75" s="414">
        <v>0</v>
      </c>
      <c r="CH75" s="414">
        <v>0</v>
      </c>
      <c r="CI75" s="414">
        <v>0</v>
      </c>
      <c r="CJ75" s="509">
        <v>0</v>
      </c>
    </row>
    <row r="76" spans="1:88" ht="14.1" customHeight="1">
      <c r="A76" s="72">
        <v>17</v>
      </c>
      <c r="B76" s="69">
        <v>2417</v>
      </c>
      <c r="C76" s="70">
        <v>600079562</v>
      </c>
      <c r="D76" s="69">
        <v>72742810</v>
      </c>
      <c r="E76" s="71" t="s">
        <v>567</v>
      </c>
      <c r="F76" s="72"/>
      <c r="G76" s="71"/>
      <c r="H76" s="73"/>
      <c r="I76" s="516">
        <v>22856701</v>
      </c>
      <c r="J76" s="74">
        <v>16863386</v>
      </c>
      <c r="K76" s="74">
        <v>13796918</v>
      </c>
      <c r="L76" s="74">
        <v>3066468</v>
      </c>
      <c r="M76" s="74">
        <v>20000</v>
      </c>
      <c r="N76" s="74">
        <v>0</v>
      </c>
      <c r="O76" s="74">
        <v>20000</v>
      </c>
      <c r="P76" s="74">
        <v>5706583</v>
      </c>
      <c r="Q76" s="74">
        <v>168634</v>
      </c>
      <c r="R76" s="74">
        <v>98098</v>
      </c>
      <c r="S76" s="75">
        <v>36.046399999999998</v>
      </c>
      <c r="T76" s="75">
        <v>26</v>
      </c>
      <c r="U76" s="653">
        <v>10.046399999999998</v>
      </c>
      <c r="V76" s="516">
        <f t="shared" ref="V76:BX76" si="118">SUM(V72:V75)</f>
        <v>0</v>
      </c>
      <c r="W76" s="74">
        <f t="shared" si="118"/>
        <v>20000</v>
      </c>
      <c r="X76" s="74">
        <f t="shared" si="118"/>
        <v>0</v>
      </c>
      <c r="Y76" s="74">
        <f t="shared" si="118"/>
        <v>0</v>
      </c>
      <c r="Z76" s="74">
        <f t="shared" si="118"/>
        <v>0</v>
      </c>
      <c r="AA76" s="74">
        <f t="shared" si="118"/>
        <v>-12640</v>
      </c>
      <c r="AB76" s="74">
        <f t="shared" si="118"/>
        <v>0</v>
      </c>
      <c r="AC76" s="74">
        <f t="shared" si="118"/>
        <v>0</v>
      </c>
      <c r="AD76" s="74">
        <f t="shared" si="118"/>
        <v>0</v>
      </c>
      <c r="AE76" s="74">
        <f t="shared" si="118"/>
        <v>0</v>
      </c>
      <c r="AF76" s="74">
        <f t="shared" si="118"/>
        <v>7360</v>
      </c>
      <c r="AG76" s="74">
        <f t="shared" si="118"/>
        <v>7360</v>
      </c>
      <c r="AH76" s="74">
        <f t="shared" si="118"/>
        <v>0</v>
      </c>
      <c r="AI76" s="74">
        <f t="shared" si="118"/>
        <v>-20000</v>
      </c>
      <c r="AJ76" s="74">
        <f t="shared" si="118"/>
        <v>0</v>
      </c>
      <c r="AK76" s="74">
        <f t="shared" si="118"/>
        <v>0</v>
      </c>
      <c r="AL76" s="74">
        <f t="shared" si="118"/>
        <v>0</v>
      </c>
      <c r="AM76" s="74">
        <f t="shared" si="118"/>
        <v>0</v>
      </c>
      <c r="AN76" s="74">
        <f t="shared" si="118"/>
        <v>-20000</v>
      </c>
      <c r="AO76" s="74">
        <f t="shared" si="118"/>
        <v>-20000</v>
      </c>
      <c r="AP76" s="74">
        <f t="shared" si="118"/>
        <v>0</v>
      </c>
      <c r="AQ76" s="74">
        <f t="shared" si="118"/>
        <v>-12640</v>
      </c>
      <c r="AR76" s="74">
        <f t="shared" si="118"/>
        <v>-12640</v>
      </c>
      <c r="AS76" s="74">
        <f t="shared" si="118"/>
        <v>-4272</v>
      </c>
      <c r="AT76" s="74">
        <f t="shared" si="118"/>
        <v>74</v>
      </c>
      <c r="AU76" s="74">
        <f t="shared" si="118"/>
        <v>0</v>
      </c>
      <c r="AV76" s="74">
        <f t="shared" si="118"/>
        <v>0</v>
      </c>
      <c r="AW76" s="74">
        <f t="shared" si="118"/>
        <v>0</v>
      </c>
      <c r="AX76" s="74">
        <f t="shared" si="118"/>
        <v>0</v>
      </c>
      <c r="AY76" s="74">
        <f t="shared" si="118"/>
        <v>-16838</v>
      </c>
      <c r="AZ76" s="75">
        <f t="shared" si="118"/>
        <v>0</v>
      </c>
      <c r="BA76" s="75">
        <f t="shared" si="118"/>
        <v>7.0000000000000007E-2</v>
      </c>
      <c r="BB76" s="75">
        <f t="shared" si="118"/>
        <v>0</v>
      </c>
      <c r="BC76" s="75">
        <f t="shared" si="118"/>
        <v>0</v>
      </c>
      <c r="BD76" s="75">
        <f t="shared" si="118"/>
        <v>-0.04</v>
      </c>
      <c r="BE76" s="75">
        <f t="shared" si="118"/>
        <v>0</v>
      </c>
      <c r="BF76" s="75">
        <f t="shared" si="118"/>
        <v>0</v>
      </c>
      <c r="BG76" s="75">
        <f t="shared" si="118"/>
        <v>0</v>
      </c>
      <c r="BH76" s="75">
        <f t="shared" si="118"/>
        <v>0</v>
      </c>
      <c r="BI76" s="75">
        <f t="shared" si="118"/>
        <v>0</v>
      </c>
      <c r="BJ76" s="75">
        <f t="shared" si="118"/>
        <v>3.0000000000000006E-2</v>
      </c>
      <c r="BK76" s="76">
        <f t="shared" si="118"/>
        <v>3.0000000000000006E-2</v>
      </c>
      <c r="BL76" s="781">
        <f t="shared" si="118"/>
        <v>22839863</v>
      </c>
      <c r="BM76" s="74">
        <f t="shared" si="118"/>
        <v>16870746</v>
      </c>
      <c r="BN76" s="74">
        <f t="shared" si="118"/>
        <v>13796918</v>
      </c>
      <c r="BO76" s="74">
        <f t="shared" si="118"/>
        <v>3073828</v>
      </c>
      <c r="BP76" s="74">
        <f t="shared" si="118"/>
        <v>0</v>
      </c>
      <c r="BQ76" s="74">
        <f t="shared" si="118"/>
        <v>0</v>
      </c>
      <c r="BR76" s="74">
        <f t="shared" si="118"/>
        <v>0</v>
      </c>
      <c r="BS76" s="74">
        <f t="shared" si="118"/>
        <v>5702311</v>
      </c>
      <c r="BT76" s="74">
        <f t="shared" si="118"/>
        <v>168708</v>
      </c>
      <c r="BU76" s="74">
        <f t="shared" si="118"/>
        <v>98098</v>
      </c>
      <c r="BV76" s="75">
        <f t="shared" si="118"/>
        <v>36.0764</v>
      </c>
      <c r="BW76" s="75">
        <f t="shared" si="118"/>
        <v>26</v>
      </c>
      <c r="BX76" s="76">
        <f t="shared" si="118"/>
        <v>10.0764</v>
      </c>
      <c r="BY76" s="791">
        <f t="shared" ref="BY76:CJ76" si="119">SUM(BY72:BY75)</f>
        <v>0</v>
      </c>
      <c r="BZ76" s="679">
        <f t="shared" si="119"/>
        <v>0</v>
      </c>
      <c r="CA76" s="679">
        <f t="shared" si="119"/>
        <v>0</v>
      </c>
      <c r="CB76" s="679">
        <f t="shared" si="119"/>
        <v>0</v>
      </c>
      <c r="CC76" s="679">
        <f t="shared" si="119"/>
        <v>0</v>
      </c>
      <c r="CD76" s="947">
        <f t="shared" si="119"/>
        <v>0</v>
      </c>
      <c r="CE76" s="956">
        <f t="shared" si="119"/>
        <v>762205</v>
      </c>
      <c r="CF76" s="953">
        <f t="shared" si="119"/>
        <v>543318</v>
      </c>
      <c r="CG76" s="953">
        <f t="shared" si="119"/>
        <v>183641</v>
      </c>
      <c r="CH76" s="953">
        <f t="shared" si="119"/>
        <v>5433</v>
      </c>
      <c r="CI76" s="953">
        <f t="shared" si="119"/>
        <v>29813</v>
      </c>
      <c r="CJ76" s="877">
        <f t="shared" si="119"/>
        <v>1.9060000000000001</v>
      </c>
    </row>
    <row r="77" spans="1:88" ht="14.1" customHeight="1">
      <c r="A77" s="66">
        <v>18</v>
      </c>
      <c r="B77" s="63">
        <v>2416</v>
      </c>
      <c r="C77" s="64">
        <v>600079571</v>
      </c>
      <c r="D77" s="63">
        <v>72742895</v>
      </c>
      <c r="E77" s="65" t="s">
        <v>568</v>
      </c>
      <c r="F77" s="66">
        <v>3111</v>
      </c>
      <c r="G77" s="65" t="s">
        <v>290</v>
      </c>
      <c r="H77" s="67" t="s">
        <v>271</v>
      </c>
      <c r="I77" s="419">
        <v>5919141</v>
      </c>
      <c r="J77" s="414">
        <v>4315427</v>
      </c>
      <c r="K77" s="414">
        <v>3808956</v>
      </c>
      <c r="L77" s="414">
        <v>506471</v>
      </c>
      <c r="M77" s="414">
        <v>52000</v>
      </c>
      <c r="N77" s="414">
        <v>0</v>
      </c>
      <c r="O77" s="414">
        <v>52000</v>
      </c>
      <c r="P77" s="595">
        <v>1476190</v>
      </c>
      <c r="Q77" s="595">
        <v>43154</v>
      </c>
      <c r="R77" s="414">
        <v>32370</v>
      </c>
      <c r="S77" s="415">
        <v>8.3085999999999984</v>
      </c>
      <c r="T77" s="415">
        <v>6.5644999999999998</v>
      </c>
      <c r="U77" s="422">
        <v>1.7440999999999998</v>
      </c>
      <c r="V77" s="423">
        <f t="shared" si="2"/>
        <v>0</v>
      </c>
      <c r="W77" s="417">
        <f t="shared" si="3"/>
        <v>-15000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si="4"/>
        <v>0</v>
      </c>
      <c r="AF77" s="417">
        <f t="shared" si="5"/>
        <v>-15000</v>
      </c>
      <c r="AG77" s="417">
        <f t="shared" si="6"/>
        <v>-15000</v>
      </c>
      <c r="AH77" s="417">
        <v>0</v>
      </c>
      <c r="AI77" s="417">
        <v>15000</v>
      </c>
      <c r="AJ77" s="417">
        <v>0</v>
      </c>
      <c r="AK77" s="417">
        <v>0</v>
      </c>
      <c r="AL77" s="417">
        <v>0</v>
      </c>
      <c r="AM77" s="417">
        <f t="shared" si="7"/>
        <v>0</v>
      </c>
      <c r="AN77" s="417">
        <f t="shared" si="8"/>
        <v>15000</v>
      </c>
      <c r="AO77" s="417">
        <f t="shared" si="9"/>
        <v>15000</v>
      </c>
      <c r="AP77" s="417">
        <f t="shared" si="10"/>
        <v>0</v>
      </c>
      <c r="AQ77" s="417">
        <f t="shared" si="11"/>
        <v>0</v>
      </c>
      <c r="AR77" s="417">
        <f t="shared" si="12"/>
        <v>0</v>
      </c>
      <c r="AS77" s="68">
        <f t="shared" si="13"/>
        <v>0</v>
      </c>
      <c r="AT77" s="68">
        <f t="shared" si="14"/>
        <v>-150</v>
      </c>
      <c r="AU77" s="417">
        <v>0</v>
      </c>
      <c r="AV77" s="417">
        <v>0</v>
      </c>
      <c r="AW77" s="417">
        <v>0</v>
      </c>
      <c r="AX77" s="417">
        <f t="shared" si="15"/>
        <v>0</v>
      </c>
      <c r="AY77" s="417">
        <f t="shared" si="16"/>
        <v>-150</v>
      </c>
      <c r="AZ77" s="418">
        <v>0</v>
      </c>
      <c r="BA77" s="418">
        <v>-0.05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si="17"/>
        <v>0</v>
      </c>
      <c r="BJ77" s="418">
        <f t="shared" si="18"/>
        <v>-0.05</v>
      </c>
      <c r="BK77" s="420">
        <f t="shared" si="19"/>
        <v>-0.05</v>
      </c>
      <c r="BL77" s="772">
        <f>I77+AY77</f>
        <v>5918991</v>
      </c>
      <c r="BM77" s="417">
        <f>J77+AG77</f>
        <v>4300427</v>
      </c>
      <c r="BN77" s="417">
        <f t="shared" ref="BN77:BO79" si="120">K77+AE77</f>
        <v>3808956</v>
      </c>
      <c r="BO77" s="417">
        <f t="shared" si="120"/>
        <v>491471</v>
      </c>
      <c r="BP77" s="417">
        <f>M77+AO77</f>
        <v>67000</v>
      </c>
      <c r="BQ77" s="417">
        <f t="shared" ref="BQ77:BR79" si="121">N77+AM77</f>
        <v>0</v>
      </c>
      <c r="BR77" s="417">
        <f t="shared" si="121"/>
        <v>67000</v>
      </c>
      <c r="BS77" s="417">
        <f t="shared" ref="BS77:BT79" si="122">P77+AS77</f>
        <v>1476190</v>
      </c>
      <c r="BT77" s="417">
        <f t="shared" si="122"/>
        <v>43004</v>
      </c>
      <c r="BU77" s="417">
        <f>R77+AX77</f>
        <v>32370</v>
      </c>
      <c r="BV77" s="418">
        <f>S77+BK77</f>
        <v>8.2585999999999977</v>
      </c>
      <c r="BW77" s="418">
        <f t="shared" ref="BW77:BX79" si="123">T77+BI77</f>
        <v>6.5644999999999998</v>
      </c>
      <c r="BX77" s="420">
        <f t="shared" si="123"/>
        <v>1.6940999999999997</v>
      </c>
      <c r="BY77" s="419"/>
      <c r="BZ77" s="414"/>
      <c r="CA77" s="414"/>
      <c r="CB77" s="414"/>
      <c r="CC77" s="414"/>
      <c r="CD77" s="422"/>
      <c r="CE77" s="419">
        <f t="shared" si="24"/>
        <v>252346</v>
      </c>
      <c r="CF77" s="414">
        <v>179202</v>
      </c>
      <c r="CG77" s="414">
        <v>60570</v>
      </c>
      <c r="CH77" s="414">
        <v>1792</v>
      </c>
      <c r="CI77" s="414">
        <v>10782</v>
      </c>
      <c r="CJ77" s="509">
        <v>0.61739999999999995</v>
      </c>
    </row>
    <row r="78" spans="1:88" ht="14.1" customHeight="1">
      <c r="A78" s="66">
        <v>18</v>
      </c>
      <c r="B78" s="63">
        <v>2416</v>
      </c>
      <c r="C78" s="64">
        <v>600079571</v>
      </c>
      <c r="D78" s="63">
        <v>72742895</v>
      </c>
      <c r="E78" s="65" t="s">
        <v>568</v>
      </c>
      <c r="F78" s="66">
        <v>3111</v>
      </c>
      <c r="G78" s="43" t="s">
        <v>292</v>
      </c>
      <c r="H78" s="67" t="s">
        <v>271</v>
      </c>
      <c r="I78" s="419">
        <v>949208</v>
      </c>
      <c r="J78" s="414">
        <v>704160</v>
      </c>
      <c r="K78" s="414">
        <v>704160</v>
      </c>
      <c r="L78" s="414">
        <v>0</v>
      </c>
      <c r="M78" s="414">
        <v>0</v>
      </c>
      <c r="N78" s="414">
        <v>0</v>
      </c>
      <c r="O78" s="414">
        <v>0</v>
      </c>
      <c r="P78" s="595">
        <v>238006</v>
      </c>
      <c r="Q78" s="595">
        <v>7042</v>
      </c>
      <c r="R78" s="414">
        <v>0</v>
      </c>
      <c r="S78" s="415">
        <v>2</v>
      </c>
      <c r="T78" s="415">
        <v>2</v>
      </c>
      <c r="U78" s="422">
        <v>0</v>
      </c>
      <c r="V78" s="423">
        <f t="shared" ref="V78:V140" si="124">AH78*-1</f>
        <v>0</v>
      </c>
      <c r="W78" s="417">
        <f t="shared" ref="W78:W140" si="125">AI78*-1</f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ref="AE78:AE140" si="126">V78+X78+Y78+Z78+AC78</f>
        <v>0</v>
      </c>
      <c r="AF78" s="417">
        <f t="shared" ref="AF78:AF140" si="127">W78+AA78+AD78+AB78</f>
        <v>0</v>
      </c>
      <c r="AG78" s="417">
        <f t="shared" ref="AG78:AG140" si="128">SUM(AE78:AF78)</f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40" si="129">AH78+AJ78+AK78</f>
        <v>0</v>
      </c>
      <c r="AN78" s="417">
        <f t="shared" ref="AN78:AN140" si="130">AI78+AL78</f>
        <v>0</v>
      </c>
      <c r="AO78" s="417">
        <f t="shared" ref="AO78:AO140" si="131">SUM(AM78:AN78)</f>
        <v>0</v>
      </c>
      <c r="AP78" s="417">
        <f t="shared" ref="AP78:AP140" si="132">AE78+AM78</f>
        <v>0</v>
      </c>
      <c r="AQ78" s="417">
        <f t="shared" ref="AQ78:AQ140" si="133">AF78+AN78</f>
        <v>0</v>
      </c>
      <c r="AR78" s="417">
        <f t="shared" ref="AR78:AR140" si="134">SUM(AP78:AQ78)</f>
        <v>0</v>
      </c>
      <c r="AS78" s="68">
        <f t="shared" ref="AS78:AS140" si="135">ROUND((AG78+AH78+AI78+AJ78)*33.8%,0)</f>
        <v>0</v>
      </c>
      <c r="AT78" s="68">
        <f t="shared" ref="AT78:AT140" si="136">ROUND(AG78*1%,0)</f>
        <v>0</v>
      </c>
      <c r="AU78" s="417">
        <v>0</v>
      </c>
      <c r="AV78" s="417">
        <v>0</v>
      </c>
      <c r="AW78" s="417">
        <v>0</v>
      </c>
      <c r="AX78" s="417">
        <f t="shared" ref="AX78:AX140" si="137">SUM(AU78:AW78)</f>
        <v>0</v>
      </c>
      <c r="AY78" s="417">
        <f t="shared" ref="AY78:AY140" si="138">AR78+AS78+AT78+AX78</f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ref="BI78:BI140" si="139">AZ78+BB78+BC78+BE78+BG78</f>
        <v>0</v>
      </c>
      <c r="BJ78" s="418">
        <f t="shared" ref="BJ78:BJ140" si="140">BA78+BD78+BH78+BF78</f>
        <v>0</v>
      </c>
      <c r="BK78" s="420">
        <f t="shared" ref="BK78:BK140" si="141">SUM(BI78:BJ78)</f>
        <v>0</v>
      </c>
      <c r="BL78" s="772">
        <f>I78+AY78</f>
        <v>949208</v>
      </c>
      <c r="BM78" s="417">
        <f>J78+AG78</f>
        <v>704160</v>
      </c>
      <c r="BN78" s="417">
        <f t="shared" si="120"/>
        <v>704160</v>
      </c>
      <c r="BO78" s="417">
        <f t="shared" si="120"/>
        <v>0</v>
      </c>
      <c r="BP78" s="417">
        <f>M78+AO78</f>
        <v>0</v>
      </c>
      <c r="BQ78" s="417">
        <f t="shared" si="121"/>
        <v>0</v>
      </c>
      <c r="BR78" s="417">
        <f t="shared" si="121"/>
        <v>0</v>
      </c>
      <c r="BS78" s="417">
        <f t="shared" si="122"/>
        <v>238006</v>
      </c>
      <c r="BT78" s="417">
        <f t="shared" si="122"/>
        <v>7042</v>
      </c>
      <c r="BU78" s="417">
        <f>R78+AX78</f>
        <v>0</v>
      </c>
      <c r="BV78" s="418">
        <f>S78+BK78</f>
        <v>2</v>
      </c>
      <c r="BW78" s="418">
        <f t="shared" si="123"/>
        <v>2</v>
      </c>
      <c r="BX78" s="420">
        <f t="shared" si="123"/>
        <v>0</v>
      </c>
      <c r="BY78" s="419"/>
      <c r="BZ78" s="414"/>
      <c r="CA78" s="414"/>
      <c r="CB78" s="414"/>
      <c r="CC78" s="414"/>
      <c r="CD78" s="422"/>
      <c r="CE78" s="419">
        <f t="shared" ref="CE78:CE140" si="142">SUM(CF78:CI78)</f>
        <v>0</v>
      </c>
      <c r="CF78" s="414">
        <v>0</v>
      </c>
      <c r="CG78" s="414">
        <v>0</v>
      </c>
      <c r="CH78" s="414">
        <v>0</v>
      </c>
      <c r="CI78" s="414">
        <v>0</v>
      </c>
      <c r="CJ78" s="509">
        <v>0</v>
      </c>
    </row>
    <row r="79" spans="1:88" ht="14.1" customHeight="1">
      <c r="A79" s="66">
        <v>18</v>
      </c>
      <c r="B79" s="63">
        <v>2416</v>
      </c>
      <c r="C79" s="64">
        <v>600079571</v>
      </c>
      <c r="D79" s="63">
        <v>72742895</v>
      </c>
      <c r="E79" s="65" t="s">
        <v>568</v>
      </c>
      <c r="F79" s="66">
        <v>3141</v>
      </c>
      <c r="G79" s="65" t="s">
        <v>294</v>
      </c>
      <c r="H79" s="67" t="s">
        <v>272</v>
      </c>
      <c r="I79" s="419">
        <v>666623</v>
      </c>
      <c r="J79" s="414">
        <v>469886</v>
      </c>
      <c r="K79" s="414">
        <v>0</v>
      </c>
      <c r="L79" s="744">
        <v>469886</v>
      </c>
      <c r="M79" s="414">
        <v>23000</v>
      </c>
      <c r="N79" s="204">
        <v>0</v>
      </c>
      <c r="O79" s="204">
        <v>23000</v>
      </c>
      <c r="P79" s="595">
        <v>166595</v>
      </c>
      <c r="Q79" s="595">
        <v>4698</v>
      </c>
      <c r="R79" s="601">
        <v>2444</v>
      </c>
      <c r="S79" s="415">
        <v>1.4767000000000001</v>
      </c>
      <c r="T79" s="603">
        <v>0</v>
      </c>
      <c r="U79" s="731">
        <v>1.4767000000000001</v>
      </c>
      <c r="V79" s="423">
        <f t="shared" si="124"/>
        <v>0</v>
      </c>
      <c r="W79" s="417">
        <f t="shared" si="125"/>
        <v>0</v>
      </c>
      <c r="X79" s="417">
        <v>0</v>
      </c>
      <c r="Y79" s="417">
        <v>0</v>
      </c>
      <c r="Z79" s="417">
        <v>0</v>
      </c>
      <c r="AA79" s="417">
        <v>-14838</v>
      </c>
      <c r="AB79" s="417">
        <v>0</v>
      </c>
      <c r="AC79" s="417">
        <v>0</v>
      </c>
      <c r="AD79" s="417">
        <v>0</v>
      </c>
      <c r="AE79" s="417">
        <f t="shared" si="126"/>
        <v>0</v>
      </c>
      <c r="AF79" s="417">
        <f t="shared" si="127"/>
        <v>-14838</v>
      </c>
      <c r="AG79" s="417">
        <f t="shared" si="128"/>
        <v>-14838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29"/>
        <v>0</v>
      </c>
      <c r="AN79" s="417">
        <f t="shared" si="130"/>
        <v>0</v>
      </c>
      <c r="AO79" s="417">
        <f t="shared" si="131"/>
        <v>0</v>
      </c>
      <c r="AP79" s="417">
        <f t="shared" si="132"/>
        <v>0</v>
      </c>
      <c r="AQ79" s="417">
        <f t="shared" si="133"/>
        <v>-14838</v>
      </c>
      <c r="AR79" s="417">
        <f t="shared" si="134"/>
        <v>-14838</v>
      </c>
      <c r="AS79" s="68">
        <f t="shared" si="135"/>
        <v>-5015</v>
      </c>
      <c r="AT79" s="68">
        <f t="shared" si="136"/>
        <v>-148</v>
      </c>
      <c r="AU79" s="417">
        <v>0</v>
      </c>
      <c r="AV79" s="417">
        <v>0</v>
      </c>
      <c r="AW79" s="417">
        <v>0</v>
      </c>
      <c r="AX79" s="417">
        <f t="shared" si="137"/>
        <v>0</v>
      </c>
      <c r="AY79" s="417">
        <f t="shared" si="138"/>
        <v>-20001</v>
      </c>
      <c r="AZ79" s="418">
        <v>0</v>
      </c>
      <c r="BA79" s="418">
        <v>0</v>
      </c>
      <c r="BB79" s="418">
        <v>0</v>
      </c>
      <c r="BC79" s="418">
        <v>0</v>
      </c>
      <c r="BD79" s="418">
        <v>-0.04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39"/>
        <v>0</v>
      </c>
      <c r="BJ79" s="418">
        <f t="shared" si="140"/>
        <v>-0.04</v>
      </c>
      <c r="BK79" s="420">
        <f t="shared" si="141"/>
        <v>-0.04</v>
      </c>
      <c r="BL79" s="772">
        <f>I79+AY79</f>
        <v>646622</v>
      </c>
      <c r="BM79" s="417">
        <f>J79+AG79</f>
        <v>455048</v>
      </c>
      <c r="BN79" s="417">
        <f t="shared" si="120"/>
        <v>0</v>
      </c>
      <c r="BO79" s="417">
        <f t="shared" si="120"/>
        <v>455048</v>
      </c>
      <c r="BP79" s="417">
        <f>M79+AO79</f>
        <v>23000</v>
      </c>
      <c r="BQ79" s="417">
        <f t="shared" si="121"/>
        <v>0</v>
      </c>
      <c r="BR79" s="417">
        <f t="shared" si="121"/>
        <v>23000</v>
      </c>
      <c r="BS79" s="417">
        <f t="shared" si="122"/>
        <v>161580</v>
      </c>
      <c r="BT79" s="417">
        <f t="shared" si="122"/>
        <v>4550</v>
      </c>
      <c r="BU79" s="417">
        <f>R79+AX79</f>
        <v>2444</v>
      </c>
      <c r="BV79" s="418">
        <f>S79+BK79</f>
        <v>1.4367000000000001</v>
      </c>
      <c r="BW79" s="418">
        <f t="shared" si="123"/>
        <v>0</v>
      </c>
      <c r="BX79" s="420">
        <f t="shared" si="123"/>
        <v>1.4367000000000001</v>
      </c>
      <c r="BY79" s="419"/>
      <c r="BZ79" s="414"/>
      <c r="CA79" s="414"/>
      <c r="CB79" s="414"/>
      <c r="CC79" s="414"/>
      <c r="CD79" s="422"/>
      <c r="CE79" s="419">
        <f t="shared" si="142"/>
        <v>0</v>
      </c>
      <c r="CF79" s="414">
        <v>0</v>
      </c>
      <c r="CG79" s="414">
        <v>0</v>
      </c>
      <c r="CH79" s="414">
        <v>0</v>
      </c>
      <c r="CI79" s="414">
        <v>0</v>
      </c>
      <c r="CJ79" s="509">
        <v>0</v>
      </c>
    </row>
    <row r="80" spans="1:88" ht="14.1" customHeight="1">
      <c r="A80" s="72">
        <v>18</v>
      </c>
      <c r="B80" s="69">
        <v>2416</v>
      </c>
      <c r="C80" s="70">
        <v>600079571</v>
      </c>
      <c r="D80" s="69">
        <v>72742895</v>
      </c>
      <c r="E80" s="71" t="s">
        <v>569</v>
      </c>
      <c r="F80" s="72"/>
      <c r="G80" s="71"/>
      <c r="H80" s="73"/>
      <c r="I80" s="516">
        <v>7534972</v>
      </c>
      <c r="J80" s="74">
        <v>5489473</v>
      </c>
      <c r="K80" s="74">
        <v>4513116</v>
      </c>
      <c r="L80" s="74">
        <v>976357</v>
      </c>
      <c r="M80" s="74">
        <v>75000</v>
      </c>
      <c r="N80" s="74">
        <v>0</v>
      </c>
      <c r="O80" s="74">
        <v>75000</v>
      </c>
      <c r="P80" s="74">
        <v>1880791</v>
      </c>
      <c r="Q80" s="74">
        <v>54894</v>
      </c>
      <c r="R80" s="74">
        <v>34814</v>
      </c>
      <c r="S80" s="75">
        <v>11.785299999999999</v>
      </c>
      <c r="T80" s="75">
        <v>8.5644999999999989</v>
      </c>
      <c r="U80" s="653">
        <v>3.2207999999999997</v>
      </c>
      <c r="V80" s="516">
        <f t="shared" ref="V80:BX80" si="143">SUM(V77:V79)</f>
        <v>0</v>
      </c>
      <c r="W80" s="74">
        <f t="shared" si="143"/>
        <v>-15000</v>
      </c>
      <c r="X80" s="74">
        <f t="shared" si="143"/>
        <v>0</v>
      </c>
      <c r="Y80" s="74">
        <f t="shared" si="143"/>
        <v>0</v>
      </c>
      <c r="Z80" s="74">
        <f t="shared" si="143"/>
        <v>0</v>
      </c>
      <c r="AA80" s="74">
        <f t="shared" si="143"/>
        <v>-14838</v>
      </c>
      <c r="AB80" s="74">
        <f t="shared" si="143"/>
        <v>0</v>
      </c>
      <c r="AC80" s="74">
        <f t="shared" si="143"/>
        <v>0</v>
      </c>
      <c r="AD80" s="74">
        <f t="shared" si="143"/>
        <v>0</v>
      </c>
      <c r="AE80" s="74">
        <f t="shared" si="143"/>
        <v>0</v>
      </c>
      <c r="AF80" s="74">
        <f t="shared" si="143"/>
        <v>-29838</v>
      </c>
      <c r="AG80" s="74">
        <f t="shared" si="143"/>
        <v>-29838</v>
      </c>
      <c r="AH80" s="74">
        <f t="shared" si="143"/>
        <v>0</v>
      </c>
      <c r="AI80" s="74">
        <f t="shared" si="143"/>
        <v>15000</v>
      </c>
      <c r="AJ80" s="74">
        <f t="shared" si="143"/>
        <v>0</v>
      </c>
      <c r="AK80" s="74">
        <f t="shared" si="143"/>
        <v>0</v>
      </c>
      <c r="AL80" s="74">
        <f t="shared" si="143"/>
        <v>0</v>
      </c>
      <c r="AM80" s="74">
        <f t="shared" si="143"/>
        <v>0</v>
      </c>
      <c r="AN80" s="74">
        <f t="shared" si="143"/>
        <v>15000</v>
      </c>
      <c r="AO80" s="74">
        <f t="shared" si="143"/>
        <v>15000</v>
      </c>
      <c r="AP80" s="74">
        <f t="shared" si="143"/>
        <v>0</v>
      </c>
      <c r="AQ80" s="74">
        <f t="shared" si="143"/>
        <v>-14838</v>
      </c>
      <c r="AR80" s="74">
        <f t="shared" si="143"/>
        <v>-14838</v>
      </c>
      <c r="AS80" s="74">
        <f t="shared" si="143"/>
        <v>-5015</v>
      </c>
      <c r="AT80" s="74">
        <f t="shared" si="143"/>
        <v>-298</v>
      </c>
      <c r="AU80" s="74">
        <f t="shared" si="143"/>
        <v>0</v>
      </c>
      <c r="AV80" s="74">
        <f t="shared" si="143"/>
        <v>0</v>
      </c>
      <c r="AW80" s="74">
        <f t="shared" si="143"/>
        <v>0</v>
      </c>
      <c r="AX80" s="74">
        <f t="shared" si="143"/>
        <v>0</v>
      </c>
      <c r="AY80" s="74">
        <f t="shared" si="143"/>
        <v>-20151</v>
      </c>
      <c r="AZ80" s="75">
        <f t="shared" si="143"/>
        <v>0</v>
      </c>
      <c r="BA80" s="75">
        <f t="shared" si="143"/>
        <v>-0.05</v>
      </c>
      <c r="BB80" s="75">
        <f t="shared" si="143"/>
        <v>0</v>
      </c>
      <c r="BC80" s="75">
        <f t="shared" si="143"/>
        <v>0</v>
      </c>
      <c r="BD80" s="75">
        <f t="shared" si="143"/>
        <v>-0.04</v>
      </c>
      <c r="BE80" s="75">
        <f t="shared" si="143"/>
        <v>0</v>
      </c>
      <c r="BF80" s="75">
        <f t="shared" si="143"/>
        <v>0</v>
      </c>
      <c r="BG80" s="75">
        <f t="shared" si="143"/>
        <v>0</v>
      </c>
      <c r="BH80" s="75">
        <f t="shared" si="143"/>
        <v>0</v>
      </c>
      <c r="BI80" s="75">
        <f t="shared" si="143"/>
        <v>0</v>
      </c>
      <c r="BJ80" s="75">
        <f t="shared" si="143"/>
        <v>-0.09</v>
      </c>
      <c r="BK80" s="76">
        <f t="shared" si="143"/>
        <v>-0.09</v>
      </c>
      <c r="BL80" s="781">
        <f t="shared" si="143"/>
        <v>7514821</v>
      </c>
      <c r="BM80" s="74">
        <f t="shared" si="143"/>
        <v>5459635</v>
      </c>
      <c r="BN80" s="74">
        <f t="shared" si="143"/>
        <v>4513116</v>
      </c>
      <c r="BO80" s="74">
        <f t="shared" si="143"/>
        <v>946519</v>
      </c>
      <c r="BP80" s="74">
        <f t="shared" si="143"/>
        <v>90000</v>
      </c>
      <c r="BQ80" s="74">
        <f t="shared" si="143"/>
        <v>0</v>
      </c>
      <c r="BR80" s="74">
        <f t="shared" si="143"/>
        <v>90000</v>
      </c>
      <c r="BS80" s="74">
        <f t="shared" si="143"/>
        <v>1875776</v>
      </c>
      <c r="BT80" s="74">
        <f t="shared" si="143"/>
        <v>54596</v>
      </c>
      <c r="BU80" s="74">
        <f t="shared" si="143"/>
        <v>34814</v>
      </c>
      <c r="BV80" s="75">
        <f t="shared" si="143"/>
        <v>11.695299999999998</v>
      </c>
      <c r="BW80" s="75">
        <f t="shared" si="143"/>
        <v>8.5644999999999989</v>
      </c>
      <c r="BX80" s="76">
        <f t="shared" si="143"/>
        <v>3.1307999999999998</v>
      </c>
      <c r="BY80" s="791">
        <f t="shared" ref="BY80:CJ80" si="144">SUM(BY77:BY79)</f>
        <v>0</v>
      </c>
      <c r="BZ80" s="679">
        <f t="shared" si="144"/>
        <v>0</v>
      </c>
      <c r="CA80" s="679">
        <f t="shared" si="144"/>
        <v>0</v>
      </c>
      <c r="CB80" s="679">
        <f t="shared" si="144"/>
        <v>0</v>
      </c>
      <c r="CC80" s="679">
        <f t="shared" si="144"/>
        <v>0</v>
      </c>
      <c r="CD80" s="947">
        <f t="shared" si="144"/>
        <v>0</v>
      </c>
      <c r="CE80" s="956">
        <f t="shared" si="144"/>
        <v>252346</v>
      </c>
      <c r="CF80" s="953">
        <f t="shared" si="144"/>
        <v>179202</v>
      </c>
      <c r="CG80" s="953">
        <f t="shared" si="144"/>
        <v>60570</v>
      </c>
      <c r="CH80" s="953">
        <f t="shared" si="144"/>
        <v>1792</v>
      </c>
      <c r="CI80" s="953">
        <f t="shared" si="144"/>
        <v>10782</v>
      </c>
      <c r="CJ80" s="877">
        <f t="shared" si="144"/>
        <v>0.61739999999999995</v>
      </c>
    </row>
    <row r="81" spans="1:88" ht="14.1" customHeight="1">
      <c r="A81" s="66">
        <v>19</v>
      </c>
      <c r="B81" s="63">
        <v>2421</v>
      </c>
      <c r="C81" s="64">
        <v>600079163</v>
      </c>
      <c r="D81" s="63">
        <v>72743301</v>
      </c>
      <c r="E81" s="65" t="s">
        <v>570</v>
      </c>
      <c r="F81" s="66">
        <v>3111</v>
      </c>
      <c r="G81" s="65" t="s">
        <v>290</v>
      </c>
      <c r="H81" s="67" t="s">
        <v>271</v>
      </c>
      <c r="I81" s="419">
        <v>11613507</v>
      </c>
      <c r="J81" s="414">
        <v>8570481</v>
      </c>
      <c r="K81" s="414">
        <v>7558185</v>
      </c>
      <c r="L81" s="414">
        <v>1012296</v>
      </c>
      <c r="M81" s="414">
        <v>0</v>
      </c>
      <c r="N81" s="414">
        <v>0</v>
      </c>
      <c r="O81" s="414">
        <v>0</v>
      </c>
      <c r="P81" s="595">
        <v>2896822</v>
      </c>
      <c r="Q81" s="595">
        <v>85704</v>
      </c>
      <c r="R81" s="414">
        <v>60500</v>
      </c>
      <c r="S81" s="415">
        <v>16.2074</v>
      </c>
      <c r="T81" s="415">
        <v>12.741899999999999</v>
      </c>
      <c r="U81" s="422">
        <v>3.4655</v>
      </c>
      <c r="V81" s="423">
        <f t="shared" si="124"/>
        <v>0</v>
      </c>
      <c r="W81" s="417">
        <f t="shared" si="125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26"/>
        <v>0</v>
      </c>
      <c r="AF81" s="417">
        <f t="shared" si="127"/>
        <v>0</v>
      </c>
      <c r="AG81" s="417">
        <f t="shared" si="128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29"/>
        <v>0</v>
      </c>
      <c r="AN81" s="417">
        <f t="shared" si="130"/>
        <v>0</v>
      </c>
      <c r="AO81" s="417">
        <f t="shared" si="131"/>
        <v>0</v>
      </c>
      <c r="AP81" s="417">
        <f t="shared" si="132"/>
        <v>0</v>
      </c>
      <c r="AQ81" s="417">
        <f t="shared" si="133"/>
        <v>0</v>
      </c>
      <c r="AR81" s="417">
        <f t="shared" si="134"/>
        <v>0</v>
      </c>
      <c r="AS81" s="68">
        <f t="shared" si="135"/>
        <v>0</v>
      </c>
      <c r="AT81" s="68">
        <f t="shared" si="136"/>
        <v>0</v>
      </c>
      <c r="AU81" s="417">
        <v>0</v>
      </c>
      <c r="AV81" s="417">
        <v>0</v>
      </c>
      <c r="AW81" s="417">
        <v>0</v>
      </c>
      <c r="AX81" s="417">
        <f t="shared" si="137"/>
        <v>0</v>
      </c>
      <c r="AY81" s="417">
        <f t="shared" si="138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39"/>
        <v>0</v>
      </c>
      <c r="BJ81" s="418">
        <f t="shared" si="140"/>
        <v>0</v>
      </c>
      <c r="BK81" s="420">
        <f t="shared" si="141"/>
        <v>0</v>
      </c>
      <c r="BL81" s="772">
        <f>I81+AY81</f>
        <v>11613507</v>
      </c>
      <c r="BM81" s="417">
        <f>J81+AG81</f>
        <v>8570481</v>
      </c>
      <c r="BN81" s="417">
        <f t="shared" ref="BN81:BO83" si="145">K81+AE81</f>
        <v>7558185</v>
      </c>
      <c r="BO81" s="417">
        <f t="shared" si="145"/>
        <v>1012296</v>
      </c>
      <c r="BP81" s="417">
        <f>M81+AO81</f>
        <v>0</v>
      </c>
      <c r="BQ81" s="417">
        <f t="shared" ref="BQ81:BR83" si="146">N81+AM81</f>
        <v>0</v>
      </c>
      <c r="BR81" s="417">
        <f t="shared" si="146"/>
        <v>0</v>
      </c>
      <c r="BS81" s="417">
        <f t="shared" ref="BS81:BT83" si="147">P81+AS81</f>
        <v>2896822</v>
      </c>
      <c r="BT81" s="417">
        <f t="shared" si="147"/>
        <v>85704</v>
      </c>
      <c r="BU81" s="417">
        <f>R81+AX81</f>
        <v>60500</v>
      </c>
      <c r="BV81" s="418">
        <f>S81+BK81</f>
        <v>16.2074</v>
      </c>
      <c r="BW81" s="418">
        <f t="shared" ref="BW81:BX83" si="148">T81+BI81</f>
        <v>12.741899999999999</v>
      </c>
      <c r="BX81" s="420">
        <f t="shared" si="148"/>
        <v>3.4655</v>
      </c>
      <c r="BY81" s="419"/>
      <c r="BZ81" s="414"/>
      <c r="CA81" s="414"/>
      <c r="CB81" s="414"/>
      <c r="CC81" s="414"/>
      <c r="CD81" s="422"/>
      <c r="CE81" s="419">
        <f t="shared" si="142"/>
        <v>457993</v>
      </c>
      <c r="CF81" s="414">
        <v>324832</v>
      </c>
      <c r="CG81" s="414">
        <v>109793</v>
      </c>
      <c r="CH81" s="414">
        <v>3248</v>
      </c>
      <c r="CI81" s="414">
        <v>20120</v>
      </c>
      <c r="CJ81" s="509">
        <v>1.1120000000000001</v>
      </c>
    </row>
    <row r="82" spans="1:88" ht="14.1" customHeight="1">
      <c r="A82" s="66">
        <v>19</v>
      </c>
      <c r="B82" s="63">
        <v>2421</v>
      </c>
      <c r="C82" s="64">
        <v>600079163</v>
      </c>
      <c r="D82" s="63">
        <v>72743301</v>
      </c>
      <c r="E82" s="65" t="s">
        <v>570</v>
      </c>
      <c r="F82" s="66">
        <v>3111</v>
      </c>
      <c r="G82" s="43" t="s">
        <v>291</v>
      </c>
      <c r="H82" s="67" t="s">
        <v>272</v>
      </c>
      <c r="I82" s="419">
        <v>462818</v>
      </c>
      <c r="J82" s="414">
        <v>343337</v>
      </c>
      <c r="K82" s="414">
        <v>343337</v>
      </c>
      <c r="L82" s="414">
        <v>0</v>
      </c>
      <c r="M82" s="414">
        <v>0</v>
      </c>
      <c r="N82" s="414">
        <v>0</v>
      </c>
      <c r="O82" s="414">
        <v>0</v>
      </c>
      <c r="P82" s="595">
        <v>116048</v>
      </c>
      <c r="Q82" s="595">
        <v>3433</v>
      </c>
      <c r="R82" s="414">
        <v>0</v>
      </c>
      <c r="S82" s="415">
        <v>0.91999999999999993</v>
      </c>
      <c r="T82" s="416">
        <v>0.91999999999999993</v>
      </c>
      <c r="U82" s="422">
        <v>0</v>
      </c>
      <c r="V82" s="423">
        <f t="shared" si="124"/>
        <v>0</v>
      </c>
      <c r="W82" s="417">
        <f t="shared" si="125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26"/>
        <v>0</v>
      </c>
      <c r="AF82" s="417">
        <f t="shared" si="127"/>
        <v>0</v>
      </c>
      <c r="AG82" s="417">
        <f t="shared" si="128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29"/>
        <v>0</v>
      </c>
      <c r="AN82" s="417">
        <f t="shared" si="130"/>
        <v>0</v>
      </c>
      <c r="AO82" s="417">
        <f t="shared" si="131"/>
        <v>0</v>
      </c>
      <c r="AP82" s="417">
        <f t="shared" si="132"/>
        <v>0</v>
      </c>
      <c r="AQ82" s="417">
        <f t="shared" si="133"/>
        <v>0</v>
      </c>
      <c r="AR82" s="417">
        <f t="shared" si="134"/>
        <v>0</v>
      </c>
      <c r="AS82" s="68">
        <f t="shared" si="135"/>
        <v>0</v>
      </c>
      <c r="AT82" s="68">
        <f t="shared" si="136"/>
        <v>0</v>
      </c>
      <c r="AU82" s="417">
        <v>0</v>
      </c>
      <c r="AV82" s="417">
        <v>0</v>
      </c>
      <c r="AW82" s="417">
        <v>0</v>
      </c>
      <c r="AX82" s="417">
        <f t="shared" si="137"/>
        <v>0</v>
      </c>
      <c r="AY82" s="417">
        <f t="shared" si="138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39"/>
        <v>0</v>
      </c>
      <c r="BJ82" s="418">
        <f t="shared" si="140"/>
        <v>0</v>
      </c>
      <c r="BK82" s="420">
        <f t="shared" si="141"/>
        <v>0</v>
      </c>
      <c r="BL82" s="772">
        <f>I82+AY82</f>
        <v>462818</v>
      </c>
      <c r="BM82" s="417">
        <f>J82+AG82</f>
        <v>343337</v>
      </c>
      <c r="BN82" s="417">
        <f t="shared" si="145"/>
        <v>343337</v>
      </c>
      <c r="BO82" s="417">
        <f t="shared" si="145"/>
        <v>0</v>
      </c>
      <c r="BP82" s="417">
        <f>M82+AO82</f>
        <v>0</v>
      </c>
      <c r="BQ82" s="417">
        <f t="shared" si="146"/>
        <v>0</v>
      </c>
      <c r="BR82" s="417">
        <f t="shared" si="146"/>
        <v>0</v>
      </c>
      <c r="BS82" s="417">
        <f t="shared" si="147"/>
        <v>116048</v>
      </c>
      <c r="BT82" s="417">
        <f t="shared" si="147"/>
        <v>3433</v>
      </c>
      <c r="BU82" s="417">
        <f>R82+AX82</f>
        <v>0</v>
      </c>
      <c r="BV82" s="418">
        <f>S82+BK82</f>
        <v>0.91999999999999993</v>
      </c>
      <c r="BW82" s="418">
        <f t="shared" si="148"/>
        <v>0.91999999999999993</v>
      </c>
      <c r="BX82" s="420">
        <f t="shared" si="148"/>
        <v>0</v>
      </c>
      <c r="BY82" s="419"/>
      <c r="BZ82" s="414"/>
      <c r="CA82" s="414"/>
      <c r="CB82" s="414"/>
      <c r="CC82" s="414"/>
      <c r="CD82" s="422"/>
      <c r="CE82" s="419">
        <f t="shared" si="142"/>
        <v>0</v>
      </c>
      <c r="CF82" s="414">
        <v>0</v>
      </c>
      <c r="CG82" s="414">
        <v>0</v>
      </c>
      <c r="CH82" s="414">
        <v>0</v>
      </c>
      <c r="CI82" s="414">
        <v>0</v>
      </c>
      <c r="CJ82" s="509">
        <v>0</v>
      </c>
    </row>
    <row r="83" spans="1:88" ht="14.1" customHeight="1">
      <c r="A83" s="66">
        <v>19</v>
      </c>
      <c r="B83" s="63">
        <v>2421</v>
      </c>
      <c r="C83" s="64">
        <v>600079163</v>
      </c>
      <c r="D83" s="63">
        <v>72743301</v>
      </c>
      <c r="E83" s="65" t="s">
        <v>570</v>
      </c>
      <c r="F83" s="66">
        <v>3141</v>
      </c>
      <c r="G83" s="65" t="s">
        <v>294</v>
      </c>
      <c r="H83" s="67" t="s">
        <v>272</v>
      </c>
      <c r="I83" s="419">
        <v>1459761</v>
      </c>
      <c r="J83" s="414">
        <v>1077508</v>
      </c>
      <c r="K83" s="414">
        <v>0</v>
      </c>
      <c r="L83" s="744">
        <v>1077508</v>
      </c>
      <c r="M83" s="414">
        <v>0</v>
      </c>
      <c r="N83" s="204">
        <v>0</v>
      </c>
      <c r="O83" s="204">
        <v>0</v>
      </c>
      <c r="P83" s="595">
        <v>364198</v>
      </c>
      <c r="Q83" s="595">
        <v>10775</v>
      </c>
      <c r="R83" s="601">
        <v>7280</v>
      </c>
      <c r="S83" s="415">
        <v>3.2333000000000003</v>
      </c>
      <c r="T83" s="603">
        <v>0</v>
      </c>
      <c r="U83" s="731">
        <v>3.2333000000000003</v>
      </c>
      <c r="V83" s="423">
        <f t="shared" si="124"/>
        <v>0</v>
      </c>
      <c r="W83" s="417">
        <f t="shared" si="125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26"/>
        <v>0</v>
      </c>
      <c r="AF83" s="417">
        <f t="shared" si="127"/>
        <v>0</v>
      </c>
      <c r="AG83" s="417">
        <f t="shared" si="128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29"/>
        <v>0</v>
      </c>
      <c r="AN83" s="417">
        <f t="shared" si="130"/>
        <v>0</v>
      </c>
      <c r="AO83" s="417">
        <f t="shared" si="131"/>
        <v>0</v>
      </c>
      <c r="AP83" s="417">
        <f t="shared" si="132"/>
        <v>0</v>
      </c>
      <c r="AQ83" s="417">
        <f t="shared" si="133"/>
        <v>0</v>
      </c>
      <c r="AR83" s="417">
        <f t="shared" si="134"/>
        <v>0</v>
      </c>
      <c r="AS83" s="68">
        <f t="shared" si="135"/>
        <v>0</v>
      </c>
      <c r="AT83" s="68">
        <f t="shared" si="136"/>
        <v>0</v>
      </c>
      <c r="AU83" s="417">
        <v>0</v>
      </c>
      <c r="AV83" s="417">
        <v>0</v>
      </c>
      <c r="AW83" s="417">
        <v>0</v>
      </c>
      <c r="AX83" s="417">
        <f t="shared" si="137"/>
        <v>0</v>
      </c>
      <c r="AY83" s="417">
        <f t="shared" si="138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39"/>
        <v>0</v>
      </c>
      <c r="BJ83" s="418">
        <f t="shared" si="140"/>
        <v>0</v>
      </c>
      <c r="BK83" s="420">
        <f t="shared" si="141"/>
        <v>0</v>
      </c>
      <c r="BL83" s="772">
        <f>I83+AY83</f>
        <v>1459761</v>
      </c>
      <c r="BM83" s="417">
        <f>J83+AG83</f>
        <v>1077508</v>
      </c>
      <c r="BN83" s="417">
        <f t="shared" si="145"/>
        <v>0</v>
      </c>
      <c r="BO83" s="417">
        <f t="shared" si="145"/>
        <v>1077508</v>
      </c>
      <c r="BP83" s="417">
        <f>M83+AO83</f>
        <v>0</v>
      </c>
      <c r="BQ83" s="417">
        <f t="shared" si="146"/>
        <v>0</v>
      </c>
      <c r="BR83" s="417">
        <f t="shared" si="146"/>
        <v>0</v>
      </c>
      <c r="BS83" s="417">
        <f t="shared" si="147"/>
        <v>364198</v>
      </c>
      <c r="BT83" s="417">
        <f t="shared" si="147"/>
        <v>10775</v>
      </c>
      <c r="BU83" s="417">
        <f>R83+AX83</f>
        <v>7280</v>
      </c>
      <c r="BV83" s="418">
        <f>S83+BK83</f>
        <v>3.2333000000000003</v>
      </c>
      <c r="BW83" s="418">
        <f t="shared" si="148"/>
        <v>0</v>
      </c>
      <c r="BX83" s="420">
        <f t="shared" si="148"/>
        <v>3.2333000000000003</v>
      </c>
      <c r="BY83" s="419"/>
      <c r="BZ83" s="414"/>
      <c r="CA83" s="414"/>
      <c r="CB83" s="414"/>
      <c r="CC83" s="414"/>
      <c r="CD83" s="422"/>
      <c r="CE83" s="419">
        <f t="shared" si="142"/>
        <v>0</v>
      </c>
      <c r="CF83" s="414">
        <v>0</v>
      </c>
      <c r="CG83" s="414">
        <v>0</v>
      </c>
      <c r="CH83" s="414">
        <v>0</v>
      </c>
      <c r="CI83" s="414">
        <v>0</v>
      </c>
      <c r="CJ83" s="509">
        <v>0</v>
      </c>
    </row>
    <row r="84" spans="1:88" ht="14.1" customHeight="1">
      <c r="A84" s="72">
        <v>19</v>
      </c>
      <c r="B84" s="69">
        <v>2421</v>
      </c>
      <c r="C84" s="70">
        <v>600079163</v>
      </c>
      <c r="D84" s="69">
        <v>72743301</v>
      </c>
      <c r="E84" s="71" t="s">
        <v>571</v>
      </c>
      <c r="F84" s="72"/>
      <c r="G84" s="71"/>
      <c r="H84" s="73"/>
      <c r="I84" s="516">
        <v>13536086</v>
      </c>
      <c r="J84" s="74">
        <v>9991326</v>
      </c>
      <c r="K84" s="74">
        <v>7901522</v>
      </c>
      <c r="L84" s="74">
        <v>2089804</v>
      </c>
      <c r="M84" s="74">
        <v>0</v>
      </c>
      <c r="N84" s="74">
        <v>0</v>
      </c>
      <c r="O84" s="74">
        <v>0</v>
      </c>
      <c r="P84" s="74">
        <v>3377068</v>
      </c>
      <c r="Q84" s="74">
        <v>99912</v>
      </c>
      <c r="R84" s="74">
        <v>67780</v>
      </c>
      <c r="S84" s="75">
        <v>20.360700000000001</v>
      </c>
      <c r="T84" s="75">
        <v>13.661899999999999</v>
      </c>
      <c r="U84" s="653">
        <v>6.6988000000000003</v>
      </c>
      <c r="V84" s="516">
        <f t="shared" ref="V84:BK84" si="149">SUM(V81:V83)</f>
        <v>0</v>
      </c>
      <c r="W84" s="74">
        <f t="shared" si="149"/>
        <v>0</v>
      </c>
      <c r="X84" s="74">
        <f t="shared" si="149"/>
        <v>0</v>
      </c>
      <c r="Y84" s="74">
        <f t="shared" si="149"/>
        <v>0</v>
      </c>
      <c r="Z84" s="74">
        <f t="shared" si="149"/>
        <v>0</v>
      </c>
      <c r="AA84" s="74">
        <f t="shared" si="149"/>
        <v>0</v>
      </c>
      <c r="AB84" s="74">
        <f t="shared" si="149"/>
        <v>0</v>
      </c>
      <c r="AC84" s="74">
        <f t="shared" si="149"/>
        <v>0</v>
      </c>
      <c r="AD84" s="74">
        <f t="shared" si="149"/>
        <v>0</v>
      </c>
      <c r="AE84" s="74">
        <f t="shared" si="149"/>
        <v>0</v>
      </c>
      <c r="AF84" s="74">
        <f t="shared" si="149"/>
        <v>0</v>
      </c>
      <c r="AG84" s="74">
        <f t="shared" si="149"/>
        <v>0</v>
      </c>
      <c r="AH84" s="74">
        <f t="shared" si="149"/>
        <v>0</v>
      </c>
      <c r="AI84" s="74">
        <f t="shared" si="149"/>
        <v>0</v>
      </c>
      <c r="AJ84" s="74">
        <f t="shared" si="149"/>
        <v>0</v>
      </c>
      <c r="AK84" s="74">
        <f t="shared" si="149"/>
        <v>0</v>
      </c>
      <c r="AL84" s="74">
        <f t="shared" si="149"/>
        <v>0</v>
      </c>
      <c r="AM84" s="74">
        <f t="shared" si="149"/>
        <v>0</v>
      </c>
      <c r="AN84" s="74">
        <f t="shared" si="149"/>
        <v>0</v>
      </c>
      <c r="AO84" s="74">
        <f t="shared" si="149"/>
        <v>0</v>
      </c>
      <c r="AP84" s="74">
        <f t="shared" si="149"/>
        <v>0</v>
      </c>
      <c r="AQ84" s="74">
        <f t="shared" si="149"/>
        <v>0</v>
      </c>
      <c r="AR84" s="74">
        <f t="shared" si="149"/>
        <v>0</v>
      </c>
      <c r="AS84" s="74">
        <f t="shared" si="149"/>
        <v>0</v>
      </c>
      <c r="AT84" s="74">
        <f t="shared" si="149"/>
        <v>0</v>
      </c>
      <c r="AU84" s="74">
        <f t="shared" si="149"/>
        <v>0</v>
      </c>
      <c r="AV84" s="74">
        <f t="shared" si="149"/>
        <v>0</v>
      </c>
      <c r="AW84" s="74">
        <f t="shared" si="149"/>
        <v>0</v>
      </c>
      <c r="AX84" s="74">
        <f t="shared" si="149"/>
        <v>0</v>
      </c>
      <c r="AY84" s="74">
        <f t="shared" si="149"/>
        <v>0</v>
      </c>
      <c r="AZ84" s="75">
        <f t="shared" si="149"/>
        <v>0</v>
      </c>
      <c r="BA84" s="75">
        <f t="shared" si="149"/>
        <v>0</v>
      </c>
      <c r="BB84" s="75">
        <f t="shared" si="149"/>
        <v>0</v>
      </c>
      <c r="BC84" s="75">
        <f t="shared" si="149"/>
        <v>0</v>
      </c>
      <c r="BD84" s="75">
        <f t="shared" si="149"/>
        <v>0</v>
      </c>
      <c r="BE84" s="75">
        <f t="shared" si="149"/>
        <v>0</v>
      </c>
      <c r="BF84" s="75">
        <f t="shared" si="149"/>
        <v>0</v>
      </c>
      <c r="BG84" s="75">
        <f t="shared" si="149"/>
        <v>0</v>
      </c>
      <c r="BH84" s="75">
        <f t="shared" si="149"/>
        <v>0</v>
      </c>
      <c r="BI84" s="75">
        <f t="shared" si="149"/>
        <v>0</v>
      </c>
      <c r="BJ84" s="75">
        <f t="shared" si="149"/>
        <v>0</v>
      </c>
      <c r="BK84" s="76">
        <f t="shared" si="149"/>
        <v>0</v>
      </c>
      <c r="BL84" s="781">
        <f t="shared" ref="BL84:BX84" si="150">SUM(BL81:BL83)</f>
        <v>13536086</v>
      </c>
      <c r="BM84" s="74">
        <f t="shared" si="150"/>
        <v>9991326</v>
      </c>
      <c r="BN84" s="74">
        <f t="shared" si="150"/>
        <v>7901522</v>
      </c>
      <c r="BO84" s="74">
        <f t="shared" si="150"/>
        <v>2089804</v>
      </c>
      <c r="BP84" s="74">
        <f t="shared" si="150"/>
        <v>0</v>
      </c>
      <c r="BQ84" s="74">
        <f t="shared" si="150"/>
        <v>0</v>
      </c>
      <c r="BR84" s="74">
        <f t="shared" si="150"/>
        <v>0</v>
      </c>
      <c r="BS84" s="74">
        <f t="shared" si="150"/>
        <v>3377068</v>
      </c>
      <c r="BT84" s="74">
        <f t="shared" si="150"/>
        <v>99912</v>
      </c>
      <c r="BU84" s="74">
        <f t="shared" si="150"/>
        <v>67780</v>
      </c>
      <c r="BV84" s="75">
        <f t="shared" si="150"/>
        <v>20.360700000000001</v>
      </c>
      <c r="BW84" s="75">
        <f t="shared" si="150"/>
        <v>13.661899999999999</v>
      </c>
      <c r="BX84" s="76">
        <f t="shared" si="150"/>
        <v>6.6988000000000003</v>
      </c>
      <c r="BY84" s="791">
        <f t="shared" ref="BY84:CJ84" si="151">SUM(BY81:BY83)</f>
        <v>0</v>
      </c>
      <c r="BZ84" s="679">
        <f t="shared" si="151"/>
        <v>0</v>
      </c>
      <c r="CA84" s="679">
        <f t="shared" si="151"/>
        <v>0</v>
      </c>
      <c r="CB84" s="679">
        <f t="shared" si="151"/>
        <v>0</v>
      </c>
      <c r="CC84" s="679">
        <f t="shared" si="151"/>
        <v>0</v>
      </c>
      <c r="CD84" s="947">
        <f t="shared" si="151"/>
        <v>0</v>
      </c>
      <c r="CE84" s="956">
        <f t="shared" si="151"/>
        <v>457993</v>
      </c>
      <c r="CF84" s="953">
        <f t="shared" si="151"/>
        <v>324832</v>
      </c>
      <c r="CG84" s="953">
        <f t="shared" si="151"/>
        <v>109793</v>
      </c>
      <c r="CH84" s="953">
        <f t="shared" si="151"/>
        <v>3248</v>
      </c>
      <c r="CI84" s="953">
        <f t="shared" si="151"/>
        <v>20120</v>
      </c>
      <c r="CJ84" s="877">
        <f t="shared" si="151"/>
        <v>1.1120000000000001</v>
      </c>
    </row>
    <row r="85" spans="1:88" ht="14.1" customHeight="1">
      <c r="A85" s="66">
        <v>20</v>
      </c>
      <c r="B85" s="63">
        <v>2419</v>
      </c>
      <c r="C85" s="64">
        <v>600079171</v>
      </c>
      <c r="D85" s="63">
        <v>72742500</v>
      </c>
      <c r="E85" s="65" t="s">
        <v>572</v>
      </c>
      <c r="F85" s="66">
        <v>3111</v>
      </c>
      <c r="G85" s="65" t="s">
        <v>290</v>
      </c>
      <c r="H85" s="67" t="s">
        <v>271</v>
      </c>
      <c r="I85" s="419">
        <v>5722737</v>
      </c>
      <c r="J85" s="414">
        <v>4224879</v>
      </c>
      <c r="K85" s="414">
        <v>3705596</v>
      </c>
      <c r="L85" s="414">
        <v>519283</v>
      </c>
      <c r="M85" s="414">
        <v>0</v>
      </c>
      <c r="N85" s="414">
        <v>0</v>
      </c>
      <c r="O85" s="414">
        <v>0</v>
      </c>
      <c r="P85" s="595">
        <v>1428009</v>
      </c>
      <c r="Q85" s="595">
        <v>42249</v>
      </c>
      <c r="R85" s="414">
        <v>27600</v>
      </c>
      <c r="S85" s="415">
        <v>8.0090000000000003</v>
      </c>
      <c r="T85" s="415">
        <v>6.2419000000000002</v>
      </c>
      <c r="U85" s="422">
        <v>1.7670999999999999</v>
      </c>
      <c r="V85" s="423">
        <f t="shared" si="124"/>
        <v>0</v>
      </c>
      <c r="W85" s="417">
        <f t="shared" si="125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26"/>
        <v>0</v>
      </c>
      <c r="AF85" s="417">
        <f t="shared" si="127"/>
        <v>0</v>
      </c>
      <c r="AG85" s="417">
        <f t="shared" si="128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29"/>
        <v>0</v>
      </c>
      <c r="AN85" s="417">
        <f t="shared" si="130"/>
        <v>0</v>
      </c>
      <c r="AO85" s="417">
        <f t="shared" si="131"/>
        <v>0</v>
      </c>
      <c r="AP85" s="417">
        <f t="shared" si="132"/>
        <v>0</v>
      </c>
      <c r="AQ85" s="417">
        <f t="shared" si="133"/>
        <v>0</v>
      </c>
      <c r="AR85" s="417">
        <f t="shared" si="134"/>
        <v>0</v>
      </c>
      <c r="AS85" s="68">
        <f t="shared" si="135"/>
        <v>0</v>
      </c>
      <c r="AT85" s="68">
        <f t="shared" si="136"/>
        <v>0</v>
      </c>
      <c r="AU85" s="417">
        <v>0</v>
      </c>
      <c r="AV85" s="417">
        <v>0</v>
      </c>
      <c r="AW85" s="417">
        <v>0</v>
      </c>
      <c r="AX85" s="417">
        <f t="shared" si="137"/>
        <v>0</v>
      </c>
      <c r="AY85" s="417">
        <f t="shared" si="138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39"/>
        <v>0</v>
      </c>
      <c r="BJ85" s="418">
        <f t="shared" si="140"/>
        <v>0</v>
      </c>
      <c r="BK85" s="420">
        <f t="shared" si="141"/>
        <v>0</v>
      </c>
      <c r="BL85" s="772">
        <f>I85+AY85</f>
        <v>5722737</v>
      </c>
      <c r="BM85" s="417">
        <f>J85+AG85</f>
        <v>4224879</v>
      </c>
      <c r="BN85" s="417">
        <f t="shared" ref="BN85:BO87" si="152">K85+AE85</f>
        <v>3705596</v>
      </c>
      <c r="BO85" s="417">
        <f t="shared" si="152"/>
        <v>519283</v>
      </c>
      <c r="BP85" s="417">
        <f>M85+AO85</f>
        <v>0</v>
      </c>
      <c r="BQ85" s="417">
        <f t="shared" ref="BQ85:BR87" si="153">N85+AM85</f>
        <v>0</v>
      </c>
      <c r="BR85" s="417">
        <f t="shared" si="153"/>
        <v>0</v>
      </c>
      <c r="BS85" s="417">
        <f t="shared" ref="BS85:BT87" si="154">P85+AS85</f>
        <v>1428009</v>
      </c>
      <c r="BT85" s="417">
        <f t="shared" si="154"/>
        <v>42249</v>
      </c>
      <c r="BU85" s="417">
        <f>R85+AX85</f>
        <v>27600</v>
      </c>
      <c r="BV85" s="418">
        <f>S85+BK85</f>
        <v>8.0090000000000003</v>
      </c>
      <c r="BW85" s="418">
        <f t="shared" ref="BW85:BX87" si="155">T85+BI85</f>
        <v>6.2419000000000002</v>
      </c>
      <c r="BX85" s="420">
        <f t="shared" si="155"/>
        <v>1.7670999999999999</v>
      </c>
      <c r="BY85" s="419"/>
      <c r="BZ85" s="414"/>
      <c r="CA85" s="414"/>
      <c r="CB85" s="414"/>
      <c r="CC85" s="414"/>
      <c r="CD85" s="422"/>
      <c r="CE85" s="419">
        <f t="shared" si="142"/>
        <v>233783</v>
      </c>
      <c r="CF85" s="414">
        <v>166622</v>
      </c>
      <c r="CG85" s="414">
        <v>56318</v>
      </c>
      <c r="CH85" s="414">
        <v>1666</v>
      </c>
      <c r="CI85" s="414">
        <v>9177</v>
      </c>
      <c r="CJ85" s="509">
        <v>0.56699999999999995</v>
      </c>
    </row>
    <row r="86" spans="1:88" ht="14.1" customHeight="1">
      <c r="A86" s="66">
        <v>20</v>
      </c>
      <c r="B86" s="63">
        <v>2419</v>
      </c>
      <c r="C86" s="64">
        <v>600079171</v>
      </c>
      <c r="D86" s="63">
        <v>72742500</v>
      </c>
      <c r="E86" s="65" t="s">
        <v>572</v>
      </c>
      <c r="F86" s="66">
        <v>3111</v>
      </c>
      <c r="G86" s="43" t="s">
        <v>291</v>
      </c>
      <c r="H86" s="67" t="s">
        <v>272</v>
      </c>
      <c r="I86" s="419">
        <v>0</v>
      </c>
      <c r="J86" s="414">
        <v>0</v>
      </c>
      <c r="K86" s="414">
        <v>0</v>
      </c>
      <c r="L86" s="414">
        <v>0</v>
      </c>
      <c r="M86" s="414">
        <v>0</v>
      </c>
      <c r="N86" s="414">
        <v>0</v>
      </c>
      <c r="O86" s="414">
        <v>0</v>
      </c>
      <c r="P86" s="595">
        <v>0</v>
      </c>
      <c r="Q86" s="595">
        <v>0</v>
      </c>
      <c r="R86" s="414">
        <v>0</v>
      </c>
      <c r="S86" s="415">
        <v>0</v>
      </c>
      <c r="T86" s="416">
        <v>0</v>
      </c>
      <c r="U86" s="422">
        <v>0</v>
      </c>
      <c r="V86" s="423">
        <f t="shared" si="124"/>
        <v>0</v>
      </c>
      <c r="W86" s="417">
        <f t="shared" si="125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26"/>
        <v>0</v>
      </c>
      <c r="AF86" s="417">
        <f t="shared" si="127"/>
        <v>0</v>
      </c>
      <c r="AG86" s="417">
        <f t="shared" si="128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29"/>
        <v>0</v>
      </c>
      <c r="AN86" s="417">
        <f t="shared" si="130"/>
        <v>0</v>
      </c>
      <c r="AO86" s="417">
        <f t="shared" si="131"/>
        <v>0</v>
      </c>
      <c r="AP86" s="417">
        <f t="shared" si="132"/>
        <v>0</v>
      </c>
      <c r="AQ86" s="417">
        <f t="shared" si="133"/>
        <v>0</v>
      </c>
      <c r="AR86" s="417">
        <f t="shared" si="134"/>
        <v>0</v>
      </c>
      <c r="AS86" s="68">
        <f t="shared" si="135"/>
        <v>0</v>
      </c>
      <c r="AT86" s="68">
        <f t="shared" si="136"/>
        <v>0</v>
      </c>
      <c r="AU86" s="417">
        <v>0</v>
      </c>
      <c r="AV86" s="417">
        <v>0</v>
      </c>
      <c r="AW86" s="417">
        <v>0</v>
      </c>
      <c r="AX86" s="417">
        <f t="shared" si="137"/>
        <v>0</v>
      </c>
      <c r="AY86" s="417">
        <f t="shared" si="138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39"/>
        <v>0</v>
      </c>
      <c r="BJ86" s="418">
        <f t="shared" si="140"/>
        <v>0</v>
      </c>
      <c r="BK86" s="420">
        <f t="shared" si="141"/>
        <v>0</v>
      </c>
      <c r="BL86" s="772">
        <f>I86+AY86</f>
        <v>0</v>
      </c>
      <c r="BM86" s="417">
        <f>J86+AG86</f>
        <v>0</v>
      </c>
      <c r="BN86" s="417">
        <f t="shared" si="152"/>
        <v>0</v>
      </c>
      <c r="BO86" s="417">
        <f t="shared" si="152"/>
        <v>0</v>
      </c>
      <c r="BP86" s="417">
        <f>M86+AO86</f>
        <v>0</v>
      </c>
      <c r="BQ86" s="417">
        <f t="shared" si="153"/>
        <v>0</v>
      </c>
      <c r="BR86" s="417">
        <f t="shared" si="153"/>
        <v>0</v>
      </c>
      <c r="BS86" s="417">
        <f t="shared" si="154"/>
        <v>0</v>
      </c>
      <c r="BT86" s="417">
        <f t="shared" si="154"/>
        <v>0</v>
      </c>
      <c r="BU86" s="417">
        <f>R86+AX86</f>
        <v>0</v>
      </c>
      <c r="BV86" s="418">
        <f>S86+BK86</f>
        <v>0</v>
      </c>
      <c r="BW86" s="418">
        <f t="shared" si="155"/>
        <v>0</v>
      </c>
      <c r="BX86" s="420">
        <f t="shared" si="155"/>
        <v>0</v>
      </c>
      <c r="BY86" s="419"/>
      <c r="BZ86" s="414"/>
      <c r="CA86" s="414"/>
      <c r="CB86" s="414"/>
      <c r="CC86" s="414"/>
      <c r="CD86" s="422"/>
      <c r="CE86" s="419">
        <f t="shared" si="142"/>
        <v>0</v>
      </c>
      <c r="CF86" s="414">
        <v>0</v>
      </c>
      <c r="CG86" s="414">
        <v>0</v>
      </c>
      <c r="CH86" s="414">
        <v>0</v>
      </c>
      <c r="CI86" s="414">
        <v>0</v>
      </c>
      <c r="CJ86" s="509">
        <v>0</v>
      </c>
    </row>
    <row r="87" spans="1:88" ht="14.1" customHeight="1">
      <c r="A87" s="66">
        <v>20</v>
      </c>
      <c r="B87" s="63">
        <v>2419</v>
      </c>
      <c r="C87" s="64">
        <v>600079171</v>
      </c>
      <c r="D87" s="63">
        <v>72742500</v>
      </c>
      <c r="E87" s="65" t="s">
        <v>572</v>
      </c>
      <c r="F87" s="66">
        <v>3141</v>
      </c>
      <c r="G87" s="65" t="s">
        <v>294</v>
      </c>
      <c r="H87" s="67" t="s">
        <v>272</v>
      </c>
      <c r="I87" s="419">
        <v>865098</v>
      </c>
      <c r="J87" s="414">
        <v>639102</v>
      </c>
      <c r="K87" s="414">
        <v>0</v>
      </c>
      <c r="L87" s="744">
        <v>639102</v>
      </c>
      <c r="M87" s="414">
        <v>0</v>
      </c>
      <c r="N87" s="204">
        <v>0</v>
      </c>
      <c r="O87" s="204">
        <v>0</v>
      </c>
      <c r="P87" s="595">
        <v>216017</v>
      </c>
      <c r="Q87" s="595">
        <v>6391</v>
      </c>
      <c r="R87" s="601">
        <v>3588</v>
      </c>
      <c r="S87" s="415">
        <v>1.92</v>
      </c>
      <c r="T87" s="603">
        <v>0</v>
      </c>
      <c r="U87" s="731">
        <v>1.92</v>
      </c>
      <c r="V87" s="423">
        <f t="shared" si="124"/>
        <v>0</v>
      </c>
      <c r="W87" s="417">
        <f t="shared" si="125"/>
        <v>0</v>
      </c>
      <c r="X87" s="417">
        <v>0</v>
      </c>
      <c r="Y87" s="417">
        <v>0</v>
      </c>
      <c r="Z87" s="417">
        <v>0</v>
      </c>
      <c r="AA87" s="417">
        <v>-8392</v>
      </c>
      <c r="AB87" s="417">
        <v>0</v>
      </c>
      <c r="AC87" s="417">
        <v>0</v>
      </c>
      <c r="AD87" s="417">
        <v>0</v>
      </c>
      <c r="AE87" s="417">
        <f t="shared" si="126"/>
        <v>0</v>
      </c>
      <c r="AF87" s="417">
        <f t="shared" si="127"/>
        <v>-8392</v>
      </c>
      <c r="AG87" s="417">
        <f t="shared" si="128"/>
        <v>-8392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29"/>
        <v>0</v>
      </c>
      <c r="AN87" s="417">
        <f t="shared" si="130"/>
        <v>0</v>
      </c>
      <c r="AO87" s="417">
        <f t="shared" si="131"/>
        <v>0</v>
      </c>
      <c r="AP87" s="417">
        <f t="shared" si="132"/>
        <v>0</v>
      </c>
      <c r="AQ87" s="417">
        <f t="shared" si="133"/>
        <v>-8392</v>
      </c>
      <c r="AR87" s="417">
        <f t="shared" si="134"/>
        <v>-8392</v>
      </c>
      <c r="AS87" s="68">
        <f t="shared" si="135"/>
        <v>-2836</v>
      </c>
      <c r="AT87" s="68">
        <f t="shared" si="136"/>
        <v>-84</v>
      </c>
      <c r="AU87" s="417">
        <v>0</v>
      </c>
      <c r="AV87" s="417">
        <v>0</v>
      </c>
      <c r="AW87" s="417">
        <v>0</v>
      </c>
      <c r="AX87" s="417">
        <f t="shared" si="137"/>
        <v>0</v>
      </c>
      <c r="AY87" s="417">
        <f t="shared" si="138"/>
        <v>-11312</v>
      </c>
      <c r="AZ87" s="418">
        <v>0</v>
      </c>
      <c r="BA87" s="418">
        <v>0</v>
      </c>
      <c r="BB87" s="418">
        <v>0</v>
      </c>
      <c r="BC87" s="418">
        <v>0</v>
      </c>
      <c r="BD87" s="418">
        <v>-0.03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39"/>
        <v>0</v>
      </c>
      <c r="BJ87" s="418">
        <f t="shared" si="140"/>
        <v>-0.03</v>
      </c>
      <c r="BK87" s="420">
        <f t="shared" si="141"/>
        <v>-0.03</v>
      </c>
      <c r="BL87" s="772">
        <f>I87+AY87</f>
        <v>853786</v>
      </c>
      <c r="BM87" s="417">
        <f>J87+AG87</f>
        <v>630710</v>
      </c>
      <c r="BN87" s="417">
        <f t="shared" si="152"/>
        <v>0</v>
      </c>
      <c r="BO87" s="417">
        <f t="shared" si="152"/>
        <v>630710</v>
      </c>
      <c r="BP87" s="417">
        <f>M87+AO87</f>
        <v>0</v>
      </c>
      <c r="BQ87" s="417">
        <f t="shared" si="153"/>
        <v>0</v>
      </c>
      <c r="BR87" s="417">
        <f t="shared" si="153"/>
        <v>0</v>
      </c>
      <c r="BS87" s="417">
        <f t="shared" si="154"/>
        <v>213181</v>
      </c>
      <c r="BT87" s="417">
        <f t="shared" si="154"/>
        <v>6307</v>
      </c>
      <c r="BU87" s="417">
        <f>R87+AX87</f>
        <v>3588</v>
      </c>
      <c r="BV87" s="418">
        <f>S87+BK87</f>
        <v>1.89</v>
      </c>
      <c r="BW87" s="418">
        <f t="shared" si="155"/>
        <v>0</v>
      </c>
      <c r="BX87" s="420">
        <f t="shared" si="155"/>
        <v>1.89</v>
      </c>
      <c r="BY87" s="419"/>
      <c r="BZ87" s="414"/>
      <c r="CA87" s="414"/>
      <c r="CB87" s="414"/>
      <c r="CC87" s="414"/>
      <c r="CD87" s="422"/>
      <c r="CE87" s="419">
        <f t="shared" si="142"/>
        <v>0</v>
      </c>
      <c r="CF87" s="414">
        <v>0</v>
      </c>
      <c r="CG87" s="414">
        <v>0</v>
      </c>
      <c r="CH87" s="414">
        <v>0</v>
      </c>
      <c r="CI87" s="414">
        <v>0</v>
      </c>
      <c r="CJ87" s="509">
        <v>0</v>
      </c>
    </row>
    <row r="88" spans="1:88" ht="14.1" customHeight="1">
      <c r="A88" s="72">
        <v>20</v>
      </c>
      <c r="B88" s="69">
        <v>2419</v>
      </c>
      <c r="C88" s="70">
        <v>600079171</v>
      </c>
      <c r="D88" s="69">
        <v>72742500</v>
      </c>
      <c r="E88" s="71" t="s">
        <v>573</v>
      </c>
      <c r="F88" s="72"/>
      <c r="G88" s="71"/>
      <c r="H88" s="73"/>
      <c r="I88" s="516">
        <v>6587835</v>
      </c>
      <c r="J88" s="74">
        <v>4863981</v>
      </c>
      <c r="K88" s="74">
        <v>3705596</v>
      </c>
      <c r="L88" s="74">
        <v>1158385</v>
      </c>
      <c r="M88" s="74">
        <v>0</v>
      </c>
      <c r="N88" s="74">
        <v>0</v>
      </c>
      <c r="O88" s="74">
        <v>0</v>
      </c>
      <c r="P88" s="74">
        <v>1644026</v>
      </c>
      <c r="Q88" s="74">
        <v>48640</v>
      </c>
      <c r="R88" s="74">
        <v>31188</v>
      </c>
      <c r="S88" s="75">
        <v>9.9290000000000003</v>
      </c>
      <c r="T88" s="75">
        <v>6.2419000000000002</v>
      </c>
      <c r="U88" s="653">
        <v>3.6871</v>
      </c>
      <c r="V88" s="516">
        <f t="shared" ref="V88:BX88" si="156">SUM(V85:V87)</f>
        <v>0</v>
      </c>
      <c r="W88" s="74">
        <f t="shared" si="156"/>
        <v>0</v>
      </c>
      <c r="X88" s="74">
        <f t="shared" si="156"/>
        <v>0</v>
      </c>
      <c r="Y88" s="74">
        <f t="shared" si="156"/>
        <v>0</v>
      </c>
      <c r="Z88" s="74">
        <f t="shared" si="156"/>
        <v>0</v>
      </c>
      <c r="AA88" s="74">
        <f t="shared" si="156"/>
        <v>-8392</v>
      </c>
      <c r="AB88" s="74">
        <f t="shared" si="156"/>
        <v>0</v>
      </c>
      <c r="AC88" s="74">
        <f t="shared" si="156"/>
        <v>0</v>
      </c>
      <c r="AD88" s="74">
        <f t="shared" si="156"/>
        <v>0</v>
      </c>
      <c r="AE88" s="74">
        <f t="shared" si="156"/>
        <v>0</v>
      </c>
      <c r="AF88" s="74">
        <f t="shared" si="156"/>
        <v>-8392</v>
      </c>
      <c r="AG88" s="74">
        <f t="shared" si="156"/>
        <v>-8392</v>
      </c>
      <c r="AH88" s="74">
        <f t="shared" si="156"/>
        <v>0</v>
      </c>
      <c r="AI88" s="74">
        <f t="shared" si="156"/>
        <v>0</v>
      </c>
      <c r="AJ88" s="74">
        <f t="shared" si="156"/>
        <v>0</v>
      </c>
      <c r="AK88" s="74">
        <f t="shared" si="156"/>
        <v>0</v>
      </c>
      <c r="AL88" s="74">
        <f t="shared" si="156"/>
        <v>0</v>
      </c>
      <c r="AM88" s="74">
        <f t="shared" si="156"/>
        <v>0</v>
      </c>
      <c r="AN88" s="74">
        <f t="shared" si="156"/>
        <v>0</v>
      </c>
      <c r="AO88" s="74">
        <f t="shared" si="156"/>
        <v>0</v>
      </c>
      <c r="AP88" s="74">
        <f t="shared" si="156"/>
        <v>0</v>
      </c>
      <c r="AQ88" s="74">
        <f t="shared" si="156"/>
        <v>-8392</v>
      </c>
      <c r="AR88" s="74">
        <f t="shared" si="156"/>
        <v>-8392</v>
      </c>
      <c r="AS88" s="74">
        <f t="shared" si="156"/>
        <v>-2836</v>
      </c>
      <c r="AT88" s="74">
        <f t="shared" si="156"/>
        <v>-84</v>
      </c>
      <c r="AU88" s="74">
        <f t="shared" si="156"/>
        <v>0</v>
      </c>
      <c r="AV88" s="74">
        <f t="shared" si="156"/>
        <v>0</v>
      </c>
      <c r="AW88" s="74">
        <f t="shared" si="156"/>
        <v>0</v>
      </c>
      <c r="AX88" s="74">
        <f t="shared" si="156"/>
        <v>0</v>
      </c>
      <c r="AY88" s="74">
        <f t="shared" si="156"/>
        <v>-11312</v>
      </c>
      <c r="AZ88" s="75">
        <f t="shared" si="156"/>
        <v>0</v>
      </c>
      <c r="BA88" s="75">
        <f t="shared" si="156"/>
        <v>0</v>
      </c>
      <c r="BB88" s="75">
        <f t="shared" si="156"/>
        <v>0</v>
      </c>
      <c r="BC88" s="75">
        <f t="shared" si="156"/>
        <v>0</v>
      </c>
      <c r="BD88" s="75">
        <f t="shared" si="156"/>
        <v>-0.03</v>
      </c>
      <c r="BE88" s="75">
        <f t="shared" si="156"/>
        <v>0</v>
      </c>
      <c r="BF88" s="75">
        <f t="shared" si="156"/>
        <v>0</v>
      </c>
      <c r="BG88" s="75">
        <f t="shared" si="156"/>
        <v>0</v>
      </c>
      <c r="BH88" s="75">
        <f t="shared" si="156"/>
        <v>0</v>
      </c>
      <c r="BI88" s="75">
        <f t="shared" si="156"/>
        <v>0</v>
      </c>
      <c r="BJ88" s="75">
        <f t="shared" si="156"/>
        <v>-0.03</v>
      </c>
      <c r="BK88" s="76">
        <f t="shared" si="156"/>
        <v>-0.03</v>
      </c>
      <c r="BL88" s="781">
        <f t="shared" si="156"/>
        <v>6576523</v>
      </c>
      <c r="BM88" s="74">
        <f t="shared" si="156"/>
        <v>4855589</v>
      </c>
      <c r="BN88" s="74">
        <f t="shared" si="156"/>
        <v>3705596</v>
      </c>
      <c r="BO88" s="74">
        <f t="shared" si="156"/>
        <v>1149993</v>
      </c>
      <c r="BP88" s="74">
        <f t="shared" si="156"/>
        <v>0</v>
      </c>
      <c r="BQ88" s="74">
        <f t="shared" si="156"/>
        <v>0</v>
      </c>
      <c r="BR88" s="74">
        <f t="shared" si="156"/>
        <v>0</v>
      </c>
      <c r="BS88" s="74">
        <f t="shared" si="156"/>
        <v>1641190</v>
      </c>
      <c r="BT88" s="74">
        <f t="shared" si="156"/>
        <v>48556</v>
      </c>
      <c r="BU88" s="74">
        <f t="shared" si="156"/>
        <v>31188</v>
      </c>
      <c r="BV88" s="75">
        <f t="shared" si="156"/>
        <v>9.8990000000000009</v>
      </c>
      <c r="BW88" s="75">
        <f t="shared" si="156"/>
        <v>6.2419000000000002</v>
      </c>
      <c r="BX88" s="76">
        <f t="shared" si="156"/>
        <v>3.6570999999999998</v>
      </c>
      <c r="BY88" s="791">
        <f t="shared" ref="BY88:CJ88" si="157">SUM(BY85:BY87)</f>
        <v>0</v>
      </c>
      <c r="BZ88" s="679">
        <f t="shared" si="157"/>
        <v>0</v>
      </c>
      <c r="CA88" s="679">
        <f t="shared" si="157"/>
        <v>0</v>
      </c>
      <c r="CB88" s="679">
        <f t="shared" si="157"/>
        <v>0</v>
      </c>
      <c r="CC88" s="679">
        <f t="shared" si="157"/>
        <v>0</v>
      </c>
      <c r="CD88" s="947">
        <f t="shared" si="157"/>
        <v>0</v>
      </c>
      <c r="CE88" s="956">
        <f t="shared" si="157"/>
        <v>233783</v>
      </c>
      <c r="CF88" s="953">
        <f t="shared" si="157"/>
        <v>166622</v>
      </c>
      <c r="CG88" s="953">
        <f t="shared" si="157"/>
        <v>56318</v>
      </c>
      <c r="CH88" s="953">
        <f t="shared" si="157"/>
        <v>1666</v>
      </c>
      <c r="CI88" s="953">
        <f t="shared" si="157"/>
        <v>9177</v>
      </c>
      <c r="CJ88" s="877">
        <f t="shared" si="157"/>
        <v>0.56699999999999995</v>
      </c>
    </row>
    <row r="89" spans="1:88" ht="14.1" customHeight="1">
      <c r="A89" s="66">
        <v>21</v>
      </c>
      <c r="B89" s="63">
        <v>2430</v>
      </c>
      <c r="C89" s="64">
        <v>600079180</v>
      </c>
      <c r="D89" s="63">
        <v>46747532</v>
      </c>
      <c r="E89" s="65" t="s">
        <v>574</v>
      </c>
      <c r="F89" s="66">
        <v>3111</v>
      </c>
      <c r="G89" s="65" t="s">
        <v>290</v>
      </c>
      <c r="H89" s="67" t="s">
        <v>271</v>
      </c>
      <c r="I89" s="419">
        <v>5655814</v>
      </c>
      <c r="J89" s="414">
        <v>4176420</v>
      </c>
      <c r="K89" s="414">
        <v>3657137</v>
      </c>
      <c r="L89" s="414">
        <v>519283</v>
      </c>
      <c r="M89" s="414">
        <v>0</v>
      </c>
      <c r="N89" s="414">
        <v>0</v>
      </c>
      <c r="O89" s="414">
        <v>0</v>
      </c>
      <c r="P89" s="595">
        <v>1411630</v>
      </c>
      <c r="Q89" s="595">
        <v>41764</v>
      </c>
      <c r="R89" s="414">
        <v>26000</v>
      </c>
      <c r="S89" s="415">
        <v>7.7671000000000001</v>
      </c>
      <c r="T89" s="415">
        <v>6</v>
      </c>
      <c r="U89" s="422">
        <v>1.7670999999999999</v>
      </c>
      <c r="V89" s="423">
        <f t="shared" si="124"/>
        <v>0</v>
      </c>
      <c r="W89" s="417">
        <f t="shared" si="125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26"/>
        <v>0</v>
      </c>
      <c r="AF89" s="417">
        <f t="shared" si="127"/>
        <v>0</v>
      </c>
      <c r="AG89" s="417">
        <f t="shared" si="128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29"/>
        <v>0</v>
      </c>
      <c r="AN89" s="417">
        <f t="shared" si="130"/>
        <v>0</v>
      </c>
      <c r="AO89" s="417">
        <f t="shared" si="131"/>
        <v>0</v>
      </c>
      <c r="AP89" s="417">
        <f t="shared" si="132"/>
        <v>0</v>
      </c>
      <c r="AQ89" s="417">
        <f t="shared" si="133"/>
        <v>0</v>
      </c>
      <c r="AR89" s="417">
        <f t="shared" si="134"/>
        <v>0</v>
      </c>
      <c r="AS89" s="68">
        <f t="shared" si="135"/>
        <v>0</v>
      </c>
      <c r="AT89" s="68">
        <f t="shared" si="136"/>
        <v>0</v>
      </c>
      <c r="AU89" s="417">
        <v>0</v>
      </c>
      <c r="AV89" s="417">
        <v>0</v>
      </c>
      <c r="AW89" s="417">
        <v>0</v>
      </c>
      <c r="AX89" s="417">
        <f t="shared" si="137"/>
        <v>0</v>
      </c>
      <c r="AY89" s="417">
        <f t="shared" si="138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39"/>
        <v>0</v>
      </c>
      <c r="BJ89" s="418">
        <f t="shared" si="140"/>
        <v>0</v>
      </c>
      <c r="BK89" s="420">
        <f t="shared" si="141"/>
        <v>0</v>
      </c>
      <c r="BL89" s="772">
        <f>I89+AY89</f>
        <v>5655814</v>
      </c>
      <c r="BM89" s="417">
        <f>J89+AG89</f>
        <v>4176420</v>
      </c>
      <c r="BN89" s="417">
        <f t="shared" ref="BN89:BO91" si="158">K89+AE89</f>
        <v>3657137</v>
      </c>
      <c r="BO89" s="417">
        <f t="shared" si="158"/>
        <v>519283</v>
      </c>
      <c r="BP89" s="417">
        <f>M89+AO89</f>
        <v>0</v>
      </c>
      <c r="BQ89" s="417">
        <f t="shared" ref="BQ89:BR91" si="159">N89+AM89</f>
        <v>0</v>
      </c>
      <c r="BR89" s="417">
        <f t="shared" si="159"/>
        <v>0</v>
      </c>
      <c r="BS89" s="417">
        <f t="shared" ref="BS89:BT91" si="160">P89+AS89</f>
        <v>1411630</v>
      </c>
      <c r="BT89" s="417">
        <f t="shared" si="160"/>
        <v>41764</v>
      </c>
      <c r="BU89" s="417">
        <f>R89+AX89</f>
        <v>26000</v>
      </c>
      <c r="BV89" s="418">
        <f>S89+BK89</f>
        <v>7.7671000000000001</v>
      </c>
      <c r="BW89" s="418">
        <f t="shared" ref="BW89:BX91" si="161">T89+BI89</f>
        <v>6</v>
      </c>
      <c r="BX89" s="420">
        <f t="shared" si="161"/>
        <v>1.7670999999999999</v>
      </c>
      <c r="BY89" s="419"/>
      <c r="BZ89" s="414"/>
      <c r="CA89" s="414"/>
      <c r="CB89" s="414"/>
      <c r="CC89" s="414"/>
      <c r="CD89" s="422"/>
      <c r="CE89" s="419">
        <f t="shared" si="142"/>
        <v>233251</v>
      </c>
      <c r="CF89" s="414">
        <v>166622</v>
      </c>
      <c r="CG89" s="414">
        <v>56318</v>
      </c>
      <c r="CH89" s="414">
        <v>1666</v>
      </c>
      <c r="CI89" s="414">
        <v>8645</v>
      </c>
      <c r="CJ89" s="509">
        <v>0.56699999999999995</v>
      </c>
    </row>
    <row r="90" spans="1:88" ht="14.1" customHeight="1">
      <c r="A90" s="66">
        <v>21</v>
      </c>
      <c r="B90" s="63">
        <v>2430</v>
      </c>
      <c r="C90" s="64">
        <v>600079180</v>
      </c>
      <c r="D90" s="63">
        <v>46747532</v>
      </c>
      <c r="E90" s="65" t="s">
        <v>574</v>
      </c>
      <c r="F90" s="66">
        <v>3111</v>
      </c>
      <c r="G90" s="77" t="s">
        <v>291</v>
      </c>
      <c r="H90" s="67" t="s">
        <v>272</v>
      </c>
      <c r="I90" s="419">
        <v>0</v>
      </c>
      <c r="J90" s="414">
        <v>0</v>
      </c>
      <c r="K90" s="414">
        <v>0</v>
      </c>
      <c r="L90" s="414">
        <v>0</v>
      </c>
      <c r="M90" s="414">
        <v>0</v>
      </c>
      <c r="N90" s="414">
        <v>0</v>
      </c>
      <c r="O90" s="414">
        <v>0</v>
      </c>
      <c r="P90" s="595">
        <v>0</v>
      </c>
      <c r="Q90" s="595">
        <v>0</v>
      </c>
      <c r="R90" s="414">
        <v>0</v>
      </c>
      <c r="S90" s="415">
        <v>0</v>
      </c>
      <c r="T90" s="416">
        <v>0</v>
      </c>
      <c r="U90" s="422">
        <v>0</v>
      </c>
      <c r="V90" s="423">
        <f t="shared" si="124"/>
        <v>0</v>
      </c>
      <c r="W90" s="417">
        <f t="shared" si="125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26"/>
        <v>0</v>
      </c>
      <c r="AF90" s="417">
        <f t="shared" si="127"/>
        <v>0</v>
      </c>
      <c r="AG90" s="417">
        <f t="shared" si="128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29"/>
        <v>0</v>
      </c>
      <c r="AN90" s="417">
        <f t="shared" si="130"/>
        <v>0</v>
      </c>
      <c r="AO90" s="417">
        <f t="shared" si="131"/>
        <v>0</v>
      </c>
      <c r="AP90" s="417">
        <f t="shared" si="132"/>
        <v>0</v>
      </c>
      <c r="AQ90" s="417">
        <f t="shared" si="133"/>
        <v>0</v>
      </c>
      <c r="AR90" s="417">
        <f t="shared" si="134"/>
        <v>0</v>
      </c>
      <c r="AS90" s="68">
        <f t="shared" si="135"/>
        <v>0</v>
      </c>
      <c r="AT90" s="68">
        <f t="shared" si="136"/>
        <v>0</v>
      </c>
      <c r="AU90" s="417">
        <v>0</v>
      </c>
      <c r="AV90" s="417">
        <v>0</v>
      </c>
      <c r="AW90" s="417">
        <v>0</v>
      </c>
      <c r="AX90" s="417">
        <f t="shared" si="137"/>
        <v>0</v>
      </c>
      <c r="AY90" s="417">
        <f t="shared" si="138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39"/>
        <v>0</v>
      </c>
      <c r="BJ90" s="418">
        <f t="shared" si="140"/>
        <v>0</v>
      </c>
      <c r="BK90" s="420">
        <f t="shared" si="141"/>
        <v>0</v>
      </c>
      <c r="BL90" s="772">
        <f>I90+AY90</f>
        <v>0</v>
      </c>
      <c r="BM90" s="417">
        <f>J90+AG90</f>
        <v>0</v>
      </c>
      <c r="BN90" s="417">
        <f t="shared" si="158"/>
        <v>0</v>
      </c>
      <c r="BO90" s="417">
        <f t="shared" si="158"/>
        <v>0</v>
      </c>
      <c r="BP90" s="417">
        <f>M90+AO90</f>
        <v>0</v>
      </c>
      <c r="BQ90" s="417">
        <f t="shared" si="159"/>
        <v>0</v>
      </c>
      <c r="BR90" s="417">
        <f t="shared" si="159"/>
        <v>0</v>
      </c>
      <c r="BS90" s="417">
        <f t="shared" si="160"/>
        <v>0</v>
      </c>
      <c r="BT90" s="417">
        <f t="shared" si="160"/>
        <v>0</v>
      </c>
      <c r="BU90" s="417">
        <f>R90+AX90</f>
        <v>0</v>
      </c>
      <c r="BV90" s="418">
        <f>S90+BK90</f>
        <v>0</v>
      </c>
      <c r="BW90" s="418">
        <f t="shared" si="161"/>
        <v>0</v>
      </c>
      <c r="BX90" s="420">
        <f t="shared" si="161"/>
        <v>0</v>
      </c>
      <c r="BY90" s="419"/>
      <c r="BZ90" s="414"/>
      <c r="CA90" s="414"/>
      <c r="CB90" s="414"/>
      <c r="CC90" s="414"/>
      <c r="CD90" s="422"/>
      <c r="CE90" s="419">
        <f t="shared" si="142"/>
        <v>0</v>
      </c>
      <c r="CF90" s="414">
        <v>0</v>
      </c>
      <c r="CG90" s="414">
        <v>0</v>
      </c>
      <c r="CH90" s="414">
        <v>0</v>
      </c>
      <c r="CI90" s="414">
        <v>0</v>
      </c>
      <c r="CJ90" s="509">
        <v>0</v>
      </c>
    </row>
    <row r="91" spans="1:88" ht="14.1" customHeight="1">
      <c r="A91" s="66">
        <v>21</v>
      </c>
      <c r="B91" s="63">
        <v>2430</v>
      </c>
      <c r="C91" s="64">
        <v>600079180</v>
      </c>
      <c r="D91" s="63">
        <v>46747532</v>
      </c>
      <c r="E91" s="65" t="s">
        <v>574</v>
      </c>
      <c r="F91" s="66">
        <v>3141</v>
      </c>
      <c r="G91" s="65" t="s">
        <v>294</v>
      </c>
      <c r="H91" s="67" t="s">
        <v>272</v>
      </c>
      <c r="I91" s="419">
        <v>848101</v>
      </c>
      <c r="J91" s="414">
        <v>626570</v>
      </c>
      <c r="K91" s="414">
        <v>0</v>
      </c>
      <c r="L91" s="744">
        <v>626570</v>
      </c>
      <c r="M91" s="414">
        <v>0</v>
      </c>
      <c r="N91" s="204">
        <v>0</v>
      </c>
      <c r="O91" s="204">
        <v>0</v>
      </c>
      <c r="P91" s="595">
        <v>211781</v>
      </c>
      <c r="Q91" s="595">
        <v>6266</v>
      </c>
      <c r="R91" s="601">
        <v>3484</v>
      </c>
      <c r="S91" s="415">
        <v>1.8833000000000002</v>
      </c>
      <c r="T91" s="603">
        <v>0</v>
      </c>
      <c r="U91" s="731">
        <v>1.8833000000000002</v>
      </c>
      <c r="V91" s="423">
        <f t="shared" si="124"/>
        <v>0</v>
      </c>
      <c r="W91" s="417">
        <f t="shared" si="125"/>
        <v>0</v>
      </c>
      <c r="X91" s="417">
        <v>0</v>
      </c>
      <c r="Y91" s="417">
        <v>0</v>
      </c>
      <c r="Z91" s="417">
        <v>0</v>
      </c>
      <c r="AA91" s="417">
        <v>-12773</v>
      </c>
      <c r="AB91" s="417">
        <v>0</v>
      </c>
      <c r="AC91" s="417">
        <v>0</v>
      </c>
      <c r="AD91" s="417">
        <v>0</v>
      </c>
      <c r="AE91" s="417">
        <f t="shared" si="126"/>
        <v>0</v>
      </c>
      <c r="AF91" s="417">
        <f t="shared" si="127"/>
        <v>-12773</v>
      </c>
      <c r="AG91" s="417">
        <f t="shared" si="128"/>
        <v>-12773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29"/>
        <v>0</v>
      </c>
      <c r="AN91" s="417">
        <f t="shared" si="130"/>
        <v>0</v>
      </c>
      <c r="AO91" s="417">
        <f t="shared" si="131"/>
        <v>0</v>
      </c>
      <c r="AP91" s="417">
        <f t="shared" si="132"/>
        <v>0</v>
      </c>
      <c r="AQ91" s="417">
        <f t="shared" si="133"/>
        <v>-12773</v>
      </c>
      <c r="AR91" s="417">
        <f t="shared" si="134"/>
        <v>-12773</v>
      </c>
      <c r="AS91" s="68">
        <f t="shared" si="135"/>
        <v>-4317</v>
      </c>
      <c r="AT91" s="68">
        <f t="shared" si="136"/>
        <v>-128</v>
      </c>
      <c r="AU91" s="417">
        <v>0</v>
      </c>
      <c r="AV91" s="417">
        <v>0</v>
      </c>
      <c r="AW91" s="417">
        <v>0</v>
      </c>
      <c r="AX91" s="417">
        <f t="shared" si="137"/>
        <v>0</v>
      </c>
      <c r="AY91" s="417">
        <f t="shared" si="138"/>
        <v>-17218</v>
      </c>
      <c r="AZ91" s="418">
        <v>0</v>
      </c>
      <c r="BA91" s="418">
        <v>0</v>
      </c>
      <c r="BB91" s="418">
        <v>0</v>
      </c>
      <c r="BC91" s="418">
        <v>0</v>
      </c>
      <c r="BD91" s="418">
        <v>-0.04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39"/>
        <v>0</v>
      </c>
      <c r="BJ91" s="418">
        <f t="shared" si="140"/>
        <v>-0.04</v>
      </c>
      <c r="BK91" s="420">
        <f t="shared" si="141"/>
        <v>-0.04</v>
      </c>
      <c r="BL91" s="772">
        <f>I91+AY91</f>
        <v>830883</v>
      </c>
      <c r="BM91" s="417">
        <f>J91+AG91</f>
        <v>613797</v>
      </c>
      <c r="BN91" s="417">
        <f t="shared" si="158"/>
        <v>0</v>
      </c>
      <c r="BO91" s="417">
        <f t="shared" si="158"/>
        <v>613797</v>
      </c>
      <c r="BP91" s="417">
        <f>M91+AO91</f>
        <v>0</v>
      </c>
      <c r="BQ91" s="417">
        <f t="shared" si="159"/>
        <v>0</v>
      </c>
      <c r="BR91" s="417">
        <f t="shared" si="159"/>
        <v>0</v>
      </c>
      <c r="BS91" s="417">
        <f t="shared" si="160"/>
        <v>207464</v>
      </c>
      <c r="BT91" s="417">
        <f t="shared" si="160"/>
        <v>6138</v>
      </c>
      <c r="BU91" s="417">
        <f>R91+AX91</f>
        <v>3484</v>
      </c>
      <c r="BV91" s="418">
        <f>S91+BK91</f>
        <v>1.8433000000000002</v>
      </c>
      <c r="BW91" s="418">
        <f t="shared" si="161"/>
        <v>0</v>
      </c>
      <c r="BX91" s="420">
        <f t="shared" si="161"/>
        <v>1.8433000000000002</v>
      </c>
      <c r="BY91" s="419"/>
      <c r="BZ91" s="414"/>
      <c r="CA91" s="414"/>
      <c r="CB91" s="414"/>
      <c r="CC91" s="414"/>
      <c r="CD91" s="422"/>
      <c r="CE91" s="419">
        <f t="shared" si="142"/>
        <v>0</v>
      </c>
      <c r="CF91" s="414">
        <v>0</v>
      </c>
      <c r="CG91" s="414">
        <v>0</v>
      </c>
      <c r="CH91" s="414">
        <v>0</v>
      </c>
      <c r="CI91" s="414">
        <v>0</v>
      </c>
      <c r="CJ91" s="509">
        <v>0</v>
      </c>
    </row>
    <row r="92" spans="1:88" ht="13.5" customHeight="1">
      <c r="A92" s="72">
        <v>21</v>
      </c>
      <c r="B92" s="69">
        <v>2430</v>
      </c>
      <c r="C92" s="70">
        <v>600079180</v>
      </c>
      <c r="D92" s="69">
        <v>46747532</v>
      </c>
      <c r="E92" s="71" t="s">
        <v>575</v>
      </c>
      <c r="F92" s="72"/>
      <c r="G92" s="71"/>
      <c r="H92" s="73"/>
      <c r="I92" s="516">
        <v>6503915</v>
      </c>
      <c r="J92" s="74">
        <v>4802990</v>
      </c>
      <c r="K92" s="74">
        <v>3657137</v>
      </c>
      <c r="L92" s="74">
        <v>1145853</v>
      </c>
      <c r="M92" s="74">
        <v>0</v>
      </c>
      <c r="N92" s="74">
        <v>0</v>
      </c>
      <c r="O92" s="74">
        <v>0</v>
      </c>
      <c r="P92" s="74">
        <v>1623411</v>
      </c>
      <c r="Q92" s="74">
        <v>48030</v>
      </c>
      <c r="R92" s="74">
        <v>29484</v>
      </c>
      <c r="S92" s="75">
        <v>9.6504000000000012</v>
      </c>
      <c r="T92" s="75">
        <v>6</v>
      </c>
      <c r="U92" s="653">
        <v>3.6504000000000003</v>
      </c>
      <c r="V92" s="516">
        <f t="shared" ref="V92:BX92" si="162">SUM(V89:V91)</f>
        <v>0</v>
      </c>
      <c r="W92" s="74">
        <f t="shared" si="162"/>
        <v>0</v>
      </c>
      <c r="X92" s="74">
        <f t="shared" si="162"/>
        <v>0</v>
      </c>
      <c r="Y92" s="74">
        <f t="shared" si="162"/>
        <v>0</v>
      </c>
      <c r="Z92" s="74">
        <f t="shared" si="162"/>
        <v>0</v>
      </c>
      <c r="AA92" s="74">
        <f t="shared" si="162"/>
        <v>-12773</v>
      </c>
      <c r="AB92" s="74">
        <f t="shared" si="162"/>
        <v>0</v>
      </c>
      <c r="AC92" s="74">
        <f t="shared" si="162"/>
        <v>0</v>
      </c>
      <c r="AD92" s="74">
        <f t="shared" si="162"/>
        <v>0</v>
      </c>
      <c r="AE92" s="74">
        <f t="shared" si="162"/>
        <v>0</v>
      </c>
      <c r="AF92" s="74">
        <f t="shared" si="162"/>
        <v>-12773</v>
      </c>
      <c r="AG92" s="74">
        <f t="shared" si="162"/>
        <v>-12773</v>
      </c>
      <c r="AH92" s="74">
        <f t="shared" si="162"/>
        <v>0</v>
      </c>
      <c r="AI92" s="74">
        <f t="shared" si="162"/>
        <v>0</v>
      </c>
      <c r="AJ92" s="74">
        <f t="shared" si="162"/>
        <v>0</v>
      </c>
      <c r="AK92" s="74">
        <f t="shared" si="162"/>
        <v>0</v>
      </c>
      <c r="AL92" s="74">
        <f t="shared" si="162"/>
        <v>0</v>
      </c>
      <c r="AM92" s="74">
        <f t="shared" si="162"/>
        <v>0</v>
      </c>
      <c r="AN92" s="74">
        <f t="shared" si="162"/>
        <v>0</v>
      </c>
      <c r="AO92" s="74">
        <f t="shared" si="162"/>
        <v>0</v>
      </c>
      <c r="AP92" s="74">
        <f t="shared" si="162"/>
        <v>0</v>
      </c>
      <c r="AQ92" s="74">
        <f t="shared" si="162"/>
        <v>-12773</v>
      </c>
      <c r="AR92" s="74">
        <f t="shared" si="162"/>
        <v>-12773</v>
      </c>
      <c r="AS92" s="74">
        <f t="shared" si="162"/>
        <v>-4317</v>
      </c>
      <c r="AT92" s="74">
        <f t="shared" si="162"/>
        <v>-128</v>
      </c>
      <c r="AU92" s="74">
        <f t="shared" si="162"/>
        <v>0</v>
      </c>
      <c r="AV92" s="74">
        <f t="shared" si="162"/>
        <v>0</v>
      </c>
      <c r="AW92" s="74">
        <f t="shared" si="162"/>
        <v>0</v>
      </c>
      <c r="AX92" s="74">
        <f t="shared" si="162"/>
        <v>0</v>
      </c>
      <c r="AY92" s="74">
        <f t="shared" si="162"/>
        <v>-17218</v>
      </c>
      <c r="AZ92" s="75">
        <f t="shared" si="162"/>
        <v>0</v>
      </c>
      <c r="BA92" s="75">
        <f t="shared" si="162"/>
        <v>0</v>
      </c>
      <c r="BB92" s="75">
        <f t="shared" si="162"/>
        <v>0</v>
      </c>
      <c r="BC92" s="75">
        <f t="shared" si="162"/>
        <v>0</v>
      </c>
      <c r="BD92" s="75">
        <f t="shared" si="162"/>
        <v>-0.04</v>
      </c>
      <c r="BE92" s="75">
        <f t="shared" si="162"/>
        <v>0</v>
      </c>
      <c r="BF92" s="75">
        <f t="shared" si="162"/>
        <v>0</v>
      </c>
      <c r="BG92" s="75">
        <f t="shared" si="162"/>
        <v>0</v>
      </c>
      <c r="BH92" s="75">
        <f t="shared" si="162"/>
        <v>0</v>
      </c>
      <c r="BI92" s="75">
        <f t="shared" si="162"/>
        <v>0</v>
      </c>
      <c r="BJ92" s="75">
        <f t="shared" si="162"/>
        <v>-0.04</v>
      </c>
      <c r="BK92" s="76">
        <f t="shared" si="162"/>
        <v>-0.04</v>
      </c>
      <c r="BL92" s="781">
        <f t="shared" si="162"/>
        <v>6486697</v>
      </c>
      <c r="BM92" s="74">
        <f t="shared" si="162"/>
        <v>4790217</v>
      </c>
      <c r="BN92" s="74">
        <f t="shared" si="162"/>
        <v>3657137</v>
      </c>
      <c r="BO92" s="74">
        <f t="shared" si="162"/>
        <v>1133080</v>
      </c>
      <c r="BP92" s="74">
        <f t="shared" si="162"/>
        <v>0</v>
      </c>
      <c r="BQ92" s="74">
        <f t="shared" si="162"/>
        <v>0</v>
      </c>
      <c r="BR92" s="74">
        <f t="shared" si="162"/>
        <v>0</v>
      </c>
      <c r="BS92" s="74">
        <f t="shared" si="162"/>
        <v>1619094</v>
      </c>
      <c r="BT92" s="74">
        <f t="shared" si="162"/>
        <v>47902</v>
      </c>
      <c r="BU92" s="74">
        <f t="shared" si="162"/>
        <v>29484</v>
      </c>
      <c r="BV92" s="75">
        <f t="shared" si="162"/>
        <v>9.6104000000000003</v>
      </c>
      <c r="BW92" s="75">
        <f t="shared" si="162"/>
        <v>6</v>
      </c>
      <c r="BX92" s="76">
        <f t="shared" si="162"/>
        <v>3.6104000000000003</v>
      </c>
      <c r="BY92" s="791">
        <f t="shared" ref="BY92:CJ92" si="163">SUM(BY89:BY91)</f>
        <v>0</v>
      </c>
      <c r="BZ92" s="679">
        <f t="shared" si="163"/>
        <v>0</v>
      </c>
      <c r="CA92" s="679">
        <f t="shared" si="163"/>
        <v>0</v>
      </c>
      <c r="CB92" s="679">
        <f t="shared" si="163"/>
        <v>0</v>
      </c>
      <c r="CC92" s="679">
        <f t="shared" si="163"/>
        <v>0</v>
      </c>
      <c r="CD92" s="947">
        <f t="shared" si="163"/>
        <v>0</v>
      </c>
      <c r="CE92" s="956">
        <f t="shared" si="163"/>
        <v>233251</v>
      </c>
      <c r="CF92" s="953">
        <f t="shared" si="163"/>
        <v>166622</v>
      </c>
      <c r="CG92" s="953">
        <f t="shared" si="163"/>
        <v>56318</v>
      </c>
      <c r="CH92" s="953">
        <f t="shared" si="163"/>
        <v>1666</v>
      </c>
      <c r="CI92" s="953">
        <f t="shared" si="163"/>
        <v>8645</v>
      </c>
      <c r="CJ92" s="877">
        <f t="shared" si="163"/>
        <v>0.56699999999999995</v>
      </c>
    </row>
    <row r="93" spans="1:88" ht="14.1" customHeight="1">
      <c r="A93" s="66">
        <v>22</v>
      </c>
      <c r="B93" s="63">
        <v>2409</v>
      </c>
      <c r="C93" s="64">
        <v>600079635</v>
      </c>
      <c r="D93" s="63">
        <v>72742747</v>
      </c>
      <c r="E93" s="65" t="s">
        <v>576</v>
      </c>
      <c r="F93" s="66">
        <v>3111</v>
      </c>
      <c r="G93" s="65" t="s">
        <v>290</v>
      </c>
      <c r="H93" s="67" t="s">
        <v>271</v>
      </c>
      <c r="I93" s="419">
        <v>8320218</v>
      </c>
      <c r="J93" s="414">
        <v>6136512</v>
      </c>
      <c r="K93" s="414">
        <v>5334998</v>
      </c>
      <c r="L93" s="414">
        <v>801514</v>
      </c>
      <c r="M93" s="414">
        <v>0</v>
      </c>
      <c r="N93" s="414">
        <v>0</v>
      </c>
      <c r="O93" s="414">
        <v>0</v>
      </c>
      <c r="P93" s="595">
        <v>2074141</v>
      </c>
      <c r="Q93" s="595">
        <v>61365</v>
      </c>
      <c r="R93" s="414">
        <v>48200</v>
      </c>
      <c r="S93" s="415">
        <v>11.6488</v>
      </c>
      <c r="T93" s="415">
        <v>8.9</v>
      </c>
      <c r="U93" s="422">
        <v>2.7487999999999997</v>
      </c>
      <c r="V93" s="423">
        <f t="shared" si="124"/>
        <v>0</v>
      </c>
      <c r="W93" s="417">
        <f t="shared" si="125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26"/>
        <v>0</v>
      </c>
      <c r="AF93" s="417">
        <f t="shared" si="127"/>
        <v>0</v>
      </c>
      <c r="AG93" s="417">
        <f t="shared" si="128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29"/>
        <v>0</v>
      </c>
      <c r="AN93" s="417">
        <f t="shared" si="130"/>
        <v>0</v>
      </c>
      <c r="AO93" s="417">
        <f t="shared" si="131"/>
        <v>0</v>
      </c>
      <c r="AP93" s="417">
        <f t="shared" si="132"/>
        <v>0</v>
      </c>
      <c r="AQ93" s="417">
        <f t="shared" si="133"/>
        <v>0</v>
      </c>
      <c r="AR93" s="417">
        <f t="shared" si="134"/>
        <v>0</v>
      </c>
      <c r="AS93" s="68">
        <f t="shared" si="135"/>
        <v>0</v>
      </c>
      <c r="AT93" s="68">
        <f t="shared" si="136"/>
        <v>0</v>
      </c>
      <c r="AU93" s="417">
        <v>0</v>
      </c>
      <c r="AV93" s="417">
        <v>0</v>
      </c>
      <c r="AW93" s="417">
        <v>0</v>
      </c>
      <c r="AX93" s="417">
        <f t="shared" si="137"/>
        <v>0</v>
      </c>
      <c r="AY93" s="417">
        <f t="shared" si="138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39"/>
        <v>0</v>
      </c>
      <c r="BJ93" s="418">
        <f t="shared" si="140"/>
        <v>0</v>
      </c>
      <c r="BK93" s="420">
        <f t="shared" si="141"/>
        <v>0</v>
      </c>
      <c r="BL93" s="772">
        <f>I93+AY93</f>
        <v>8320218</v>
      </c>
      <c r="BM93" s="417">
        <f>J93+AG93</f>
        <v>6136512</v>
      </c>
      <c r="BN93" s="417">
        <f t="shared" ref="BN93:BO95" si="164">K93+AE93</f>
        <v>5334998</v>
      </c>
      <c r="BO93" s="417">
        <f t="shared" si="164"/>
        <v>801514</v>
      </c>
      <c r="BP93" s="417">
        <f>M93+AO93</f>
        <v>0</v>
      </c>
      <c r="BQ93" s="417">
        <f t="shared" ref="BQ93:BR95" si="165">N93+AM93</f>
        <v>0</v>
      </c>
      <c r="BR93" s="417">
        <f t="shared" si="165"/>
        <v>0</v>
      </c>
      <c r="BS93" s="417">
        <f t="shared" ref="BS93:BT95" si="166">P93+AS93</f>
        <v>2074141</v>
      </c>
      <c r="BT93" s="417">
        <f t="shared" si="166"/>
        <v>61365</v>
      </c>
      <c r="BU93" s="417">
        <f>R93+AX93</f>
        <v>48200</v>
      </c>
      <c r="BV93" s="418">
        <f>S93+BK93</f>
        <v>11.6488</v>
      </c>
      <c r="BW93" s="418">
        <f t="shared" ref="BW93:BX95" si="167">T93+BI93</f>
        <v>8.9</v>
      </c>
      <c r="BX93" s="420">
        <f t="shared" si="167"/>
        <v>2.7487999999999997</v>
      </c>
      <c r="BY93" s="419"/>
      <c r="BZ93" s="414"/>
      <c r="CA93" s="414"/>
      <c r="CB93" s="414"/>
      <c r="CC93" s="414"/>
      <c r="CD93" s="422"/>
      <c r="CE93" s="419">
        <f t="shared" si="142"/>
        <v>362718</v>
      </c>
      <c r="CF93" s="414">
        <v>257184</v>
      </c>
      <c r="CG93" s="414">
        <v>86928</v>
      </c>
      <c r="CH93" s="414">
        <v>2572</v>
      </c>
      <c r="CI93" s="414">
        <v>16034</v>
      </c>
      <c r="CJ93" s="509">
        <v>0.88200000000000001</v>
      </c>
    </row>
    <row r="94" spans="1:88" ht="14.1" customHeight="1">
      <c r="A94" s="66">
        <v>22</v>
      </c>
      <c r="B94" s="63">
        <v>2409</v>
      </c>
      <c r="C94" s="64">
        <v>600079635</v>
      </c>
      <c r="D94" s="63">
        <v>72742747</v>
      </c>
      <c r="E94" s="65" t="s">
        <v>576</v>
      </c>
      <c r="F94" s="66">
        <v>3111</v>
      </c>
      <c r="G94" s="65" t="s">
        <v>291</v>
      </c>
      <c r="H94" s="67" t="s">
        <v>272</v>
      </c>
      <c r="I94" s="419">
        <v>727544</v>
      </c>
      <c r="J94" s="414">
        <v>539721</v>
      </c>
      <c r="K94" s="414">
        <v>539721</v>
      </c>
      <c r="L94" s="414">
        <v>0</v>
      </c>
      <c r="M94" s="414">
        <v>0</v>
      </c>
      <c r="N94" s="414">
        <v>0</v>
      </c>
      <c r="O94" s="414">
        <v>0</v>
      </c>
      <c r="P94" s="595">
        <v>182426</v>
      </c>
      <c r="Q94" s="595">
        <v>5397</v>
      </c>
      <c r="R94" s="414">
        <v>0</v>
      </c>
      <c r="S94" s="415">
        <v>1.5</v>
      </c>
      <c r="T94" s="416">
        <v>1.5</v>
      </c>
      <c r="U94" s="422">
        <v>0</v>
      </c>
      <c r="V94" s="423">
        <f t="shared" si="124"/>
        <v>0</v>
      </c>
      <c r="W94" s="417">
        <f t="shared" si="125"/>
        <v>0</v>
      </c>
      <c r="X94" s="417">
        <v>-123600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26"/>
        <v>-123600</v>
      </c>
      <c r="AF94" s="417">
        <f t="shared" si="127"/>
        <v>0</v>
      </c>
      <c r="AG94" s="417">
        <f t="shared" si="128"/>
        <v>-123600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29"/>
        <v>0</v>
      </c>
      <c r="AN94" s="417">
        <f t="shared" si="130"/>
        <v>0</v>
      </c>
      <c r="AO94" s="417">
        <f t="shared" si="131"/>
        <v>0</v>
      </c>
      <c r="AP94" s="417">
        <f t="shared" si="132"/>
        <v>-123600</v>
      </c>
      <c r="AQ94" s="417">
        <f t="shared" si="133"/>
        <v>0</v>
      </c>
      <c r="AR94" s="417">
        <f t="shared" si="134"/>
        <v>-123600</v>
      </c>
      <c r="AS94" s="68">
        <f t="shared" si="135"/>
        <v>-41777</v>
      </c>
      <c r="AT94" s="68">
        <f t="shared" si="136"/>
        <v>-1236</v>
      </c>
      <c r="AU94" s="417">
        <v>0</v>
      </c>
      <c r="AV94" s="417">
        <v>0</v>
      </c>
      <c r="AW94" s="417">
        <v>0</v>
      </c>
      <c r="AX94" s="417">
        <f t="shared" si="137"/>
        <v>0</v>
      </c>
      <c r="AY94" s="417">
        <f t="shared" si="138"/>
        <v>-166613</v>
      </c>
      <c r="AZ94" s="418">
        <v>0</v>
      </c>
      <c r="BA94" s="418">
        <v>0</v>
      </c>
      <c r="BB94" s="418">
        <v>-0.33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39"/>
        <v>-0.33</v>
      </c>
      <c r="BJ94" s="418">
        <f t="shared" si="140"/>
        <v>0</v>
      </c>
      <c r="BK94" s="420">
        <f t="shared" si="141"/>
        <v>-0.33</v>
      </c>
      <c r="BL94" s="772">
        <f>I94+AY94</f>
        <v>560931</v>
      </c>
      <c r="BM94" s="417">
        <f>J94+AG94</f>
        <v>416121</v>
      </c>
      <c r="BN94" s="417">
        <f t="shared" si="164"/>
        <v>416121</v>
      </c>
      <c r="BO94" s="417">
        <f t="shared" si="164"/>
        <v>0</v>
      </c>
      <c r="BP94" s="417">
        <f>M94+AO94</f>
        <v>0</v>
      </c>
      <c r="BQ94" s="417">
        <f t="shared" si="165"/>
        <v>0</v>
      </c>
      <c r="BR94" s="417">
        <f t="shared" si="165"/>
        <v>0</v>
      </c>
      <c r="BS94" s="417">
        <f t="shared" si="166"/>
        <v>140649</v>
      </c>
      <c r="BT94" s="417">
        <f t="shared" si="166"/>
        <v>4161</v>
      </c>
      <c r="BU94" s="417">
        <f>R94+AX94</f>
        <v>0</v>
      </c>
      <c r="BV94" s="418">
        <f>S94+BK94</f>
        <v>1.17</v>
      </c>
      <c r="BW94" s="418">
        <f t="shared" si="167"/>
        <v>1.17</v>
      </c>
      <c r="BX94" s="420">
        <f t="shared" si="167"/>
        <v>0</v>
      </c>
      <c r="BY94" s="419"/>
      <c r="BZ94" s="414"/>
      <c r="CA94" s="414"/>
      <c r="CB94" s="414"/>
      <c r="CC94" s="414"/>
      <c r="CD94" s="422"/>
      <c r="CE94" s="419">
        <f t="shared" si="142"/>
        <v>0</v>
      </c>
      <c r="CF94" s="414">
        <v>0</v>
      </c>
      <c r="CG94" s="414">
        <v>0</v>
      </c>
      <c r="CH94" s="414">
        <v>0</v>
      </c>
      <c r="CI94" s="414">
        <v>0</v>
      </c>
      <c r="CJ94" s="509">
        <v>0</v>
      </c>
    </row>
    <row r="95" spans="1:88" ht="14.1" customHeight="1">
      <c r="A95" s="66">
        <v>22</v>
      </c>
      <c r="B95" s="63">
        <v>2409</v>
      </c>
      <c r="C95" s="64">
        <v>600079635</v>
      </c>
      <c r="D95" s="63">
        <v>72742747</v>
      </c>
      <c r="E95" s="65" t="s">
        <v>576</v>
      </c>
      <c r="F95" s="66">
        <v>3141</v>
      </c>
      <c r="G95" s="65" t="s">
        <v>294</v>
      </c>
      <c r="H95" s="67" t="s">
        <v>272</v>
      </c>
      <c r="I95" s="419">
        <v>1372402</v>
      </c>
      <c r="J95" s="414">
        <v>1014322</v>
      </c>
      <c r="K95" s="414">
        <v>0</v>
      </c>
      <c r="L95" s="744">
        <v>1014322</v>
      </c>
      <c r="M95" s="414">
        <v>0</v>
      </c>
      <c r="N95" s="601">
        <v>0</v>
      </c>
      <c r="O95" s="601">
        <v>0</v>
      </c>
      <c r="P95" s="595">
        <v>342841</v>
      </c>
      <c r="Q95" s="595">
        <v>10143</v>
      </c>
      <c r="R95" s="601">
        <v>5096</v>
      </c>
      <c r="S95" s="415">
        <v>3.0366</v>
      </c>
      <c r="T95" s="603">
        <v>0</v>
      </c>
      <c r="U95" s="731">
        <v>3.0366</v>
      </c>
      <c r="V95" s="423">
        <f t="shared" si="124"/>
        <v>0</v>
      </c>
      <c r="W95" s="417">
        <f t="shared" si="125"/>
        <v>0</v>
      </c>
      <c r="X95" s="417">
        <v>0</v>
      </c>
      <c r="Y95" s="417">
        <v>0</v>
      </c>
      <c r="Z95" s="417">
        <v>0</v>
      </c>
      <c r="AA95" s="417">
        <v>2348</v>
      </c>
      <c r="AB95" s="417">
        <v>0</v>
      </c>
      <c r="AC95" s="417">
        <v>0</v>
      </c>
      <c r="AD95" s="417">
        <v>0</v>
      </c>
      <c r="AE95" s="417">
        <f t="shared" si="126"/>
        <v>0</v>
      </c>
      <c r="AF95" s="417">
        <f t="shared" si="127"/>
        <v>2348</v>
      </c>
      <c r="AG95" s="417">
        <f t="shared" si="128"/>
        <v>2348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29"/>
        <v>0</v>
      </c>
      <c r="AN95" s="417">
        <f t="shared" si="130"/>
        <v>0</v>
      </c>
      <c r="AO95" s="417">
        <f t="shared" si="131"/>
        <v>0</v>
      </c>
      <c r="AP95" s="417">
        <f t="shared" si="132"/>
        <v>0</v>
      </c>
      <c r="AQ95" s="417">
        <f t="shared" si="133"/>
        <v>2348</v>
      </c>
      <c r="AR95" s="417">
        <f t="shared" si="134"/>
        <v>2348</v>
      </c>
      <c r="AS95" s="68">
        <f t="shared" si="135"/>
        <v>794</v>
      </c>
      <c r="AT95" s="68">
        <f t="shared" si="136"/>
        <v>23</v>
      </c>
      <c r="AU95" s="417">
        <v>0</v>
      </c>
      <c r="AV95" s="417">
        <v>0</v>
      </c>
      <c r="AW95" s="417">
        <v>0</v>
      </c>
      <c r="AX95" s="417">
        <f t="shared" si="137"/>
        <v>0</v>
      </c>
      <c r="AY95" s="417">
        <f t="shared" si="138"/>
        <v>3165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39"/>
        <v>0</v>
      </c>
      <c r="BJ95" s="418">
        <f t="shared" si="140"/>
        <v>0</v>
      </c>
      <c r="BK95" s="420">
        <f t="shared" si="141"/>
        <v>0</v>
      </c>
      <c r="BL95" s="772">
        <f>I95+AY95</f>
        <v>1375567</v>
      </c>
      <c r="BM95" s="417">
        <f>J95+AG95</f>
        <v>1016670</v>
      </c>
      <c r="BN95" s="417">
        <f t="shared" si="164"/>
        <v>0</v>
      </c>
      <c r="BO95" s="417">
        <f t="shared" si="164"/>
        <v>1016670</v>
      </c>
      <c r="BP95" s="417">
        <f>M95+AO95</f>
        <v>0</v>
      </c>
      <c r="BQ95" s="417">
        <f t="shared" si="165"/>
        <v>0</v>
      </c>
      <c r="BR95" s="417">
        <f t="shared" si="165"/>
        <v>0</v>
      </c>
      <c r="BS95" s="417">
        <f t="shared" si="166"/>
        <v>343635</v>
      </c>
      <c r="BT95" s="417">
        <f t="shared" si="166"/>
        <v>10166</v>
      </c>
      <c r="BU95" s="417">
        <f>R95+AX95</f>
        <v>5096</v>
      </c>
      <c r="BV95" s="418">
        <f>S95+BK95</f>
        <v>3.0366</v>
      </c>
      <c r="BW95" s="418">
        <f t="shared" si="167"/>
        <v>0</v>
      </c>
      <c r="BX95" s="420">
        <f t="shared" si="167"/>
        <v>3.0366</v>
      </c>
      <c r="BY95" s="419"/>
      <c r="BZ95" s="414"/>
      <c r="CA95" s="414"/>
      <c r="CB95" s="414"/>
      <c r="CC95" s="414"/>
      <c r="CD95" s="422"/>
      <c r="CE95" s="419">
        <f t="shared" si="142"/>
        <v>0</v>
      </c>
      <c r="CF95" s="414">
        <v>0</v>
      </c>
      <c r="CG95" s="414">
        <v>0</v>
      </c>
      <c r="CH95" s="414">
        <v>0</v>
      </c>
      <c r="CI95" s="414">
        <v>0</v>
      </c>
      <c r="CJ95" s="509">
        <v>0</v>
      </c>
    </row>
    <row r="96" spans="1:88" ht="13.5" customHeight="1">
      <c r="A96" s="72">
        <v>22</v>
      </c>
      <c r="B96" s="69">
        <v>2409</v>
      </c>
      <c r="C96" s="70">
        <v>600079635</v>
      </c>
      <c r="D96" s="69">
        <v>72742747</v>
      </c>
      <c r="E96" s="71" t="s">
        <v>577</v>
      </c>
      <c r="F96" s="72"/>
      <c r="G96" s="71"/>
      <c r="H96" s="73"/>
      <c r="I96" s="516">
        <v>10420164</v>
      </c>
      <c r="J96" s="74">
        <v>7690555</v>
      </c>
      <c r="K96" s="74">
        <v>5874719</v>
      </c>
      <c r="L96" s="74">
        <v>1815836</v>
      </c>
      <c r="M96" s="74">
        <v>0</v>
      </c>
      <c r="N96" s="74">
        <v>0</v>
      </c>
      <c r="O96" s="74">
        <v>0</v>
      </c>
      <c r="P96" s="74">
        <v>2599408</v>
      </c>
      <c r="Q96" s="74">
        <v>76905</v>
      </c>
      <c r="R96" s="74">
        <v>53296</v>
      </c>
      <c r="S96" s="75">
        <v>16.185400000000001</v>
      </c>
      <c r="T96" s="75">
        <v>10.4</v>
      </c>
      <c r="U96" s="653">
        <v>5.7853999999999992</v>
      </c>
      <c r="V96" s="516">
        <f t="shared" ref="V96:BX96" si="168">SUM(V93:V95)</f>
        <v>0</v>
      </c>
      <c r="W96" s="74">
        <f t="shared" si="168"/>
        <v>0</v>
      </c>
      <c r="X96" s="74">
        <f t="shared" si="168"/>
        <v>-123600</v>
      </c>
      <c r="Y96" s="74">
        <f t="shared" si="168"/>
        <v>0</v>
      </c>
      <c r="Z96" s="74">
        <f t="shared" si="168"/>
        <v>0</v>
      </c>
      <c r="AA96" s="74">
        <f t="shared" si="168"/>
        <v>2348</v>
      </c>
      <c r="AB96" s="74">
        <f t="shared" si="168"/>
        <v>0</v>
      </c>
      <c r="AC96" s="74">
        <f t="shared" si="168"/>
        <v>0</v>
      </c>
      <c r="AD96" s="74">
        <f t="shared" si="168"/>
        <v>0</v>
      </c>
      <c r="AE96" s="74">
        <f t="shared" si="168"/>
        <v>-123600</v>
      </c>
      <c r="AF96" s="74">
        <f t="shared" si="168"/>
        <v>2348</v>
      </c>
      <c r="AG96" s="74">
        <f t="shared" si="168"/>
        <v>-121252</v>
      </c>
      <c r="AH96" s="74">
        <f t="shared" si="168"/>
        <v>0</v>
      </c>
      <c r="AI96" s="74">
        <f t="shared" si="168"/>
        <v>0</v>
      </c>
      <c r="AJ96" s="74">
        <f t="shared" si="168"/>
        <v>0</v>
      </c>
      <c r="AK96" s="74">
        <f t="shared" si="168"/>
        <v>0</v>
      </c>
      <c r="AL96" s="74">
        <f t="shared" si="168"/>
        <v>0</v>
      </c>
      <c r="AM96" s="74">
        <f t="shared" si="168"/>
        <v>0</v>
      </c>
      <c r="AN96" s="74">
        <f t="shared" si="168"/>
        <v>0</v>
      </c>
      <c r="AO96" s="74">
        <f t="shared" si="168"/>
        <v>0</v>
      </c>
      <c r="AP96" s="74">
        <f t="shared" si="168"/>
        <v>-123600</v>
      </c>
      <c r="AQ96" s="74">
        <f t="shared" si="168"/>
        <v>2348</v>
      </c>
      <c r="AR96" s="74">
        <f t="shared" si="168"/>
        <v>-121252</v>
      </c>
      <c r="AS96" s="74">
        <f t="shared" si="168"/>
        <v>-40983</v>
      </c>
      <c r="AT96" s="74">
        <f t="shared" si="168"/>
        <v>-1213</v>
      </c>
      <c r="AU96" s="74">
        <f t="shared" si="168"/>
        <v>0</v>
      </c>
      <c r="AV96" s="74">
        <f t="shared" si="168"/>
        <v>0</v>
      </c>
      <c r="AW96" s="74">
        <f t="shared" si="168"/>
        <v>0</v>
      </c>
      <c r="AX96" s="74">
        <f t="shared" si="168"/>
        <v>0</v>
      </c>
      <c r="AY96" s="74">
        <f t="shared" si="168"/>
        <v>-163448</v>
      </c>
      <c r="AZ96" s="75">
        <f t="shared" si="168"/>
        <v>0</v>
      </c>
      <c r="BA96" s="75">
        <f t="shared" si="168"/>
        <v>0</v>
      </c>
      <c r="BB96" s="75">
        <f t="shared" si="168"/>
        <v>-0.33</v>
      </c>
      <c r="BC96" s="75">
        <f t="shared" si="168"/>
        <v>0</v>
      </c>
      <c r="BD96" s="75">
        <f t="shared" si="168"/>
        <v>0</v>
      </c>
      <c r="BE96" s="75">
        <f t="shared" si="168"/>
        <v>0</v>
      </c>
      <c r="BF96" s="75">
        <f t="shared" si="168"/>
        <v>0</v>
      </c>
      <c r="BG96" s="75">
        <f t="shared" si="168"/>
        <v>0</v>
      </c>
      <c r="BH96" s="75">
        <f t="shared" si="168"/>
        <v>0</v>
      </c>
      <c r="BI96" s="75">
        <f t="shared" si="168"/>
        <v>-0.33</v>
      </c>
      <c r="BJ96" s="75">
        <f t="shared" si="168"/>
        <v>0</v>
      </c>
      <c r="BK96" s="76">
        <f t="shared" si="168"/>
        <v>-0.33</v>
      </c>
      <c r="BL96" s="781">
        <f t="shared" si="168"/>
        <v>10256716</v>
      </c>
      <c r="BM96" s="74">
        <f t="shared" si="168"/>
        <v>7569303</v>
      </c>
      <c r="BN96" s="74">
        <f t="shared" si="168"/>
        <v>5751119</v>
      </c>
      <c r="BO96" s="74">
        <f t="shared" si="168"/>
        <v>1818184</v>
      </c>
      <c r="BP96" s="74">
        <f t="shared" si="168"/>
        <v>0</v>
      </c>
      <c r="BQ96" s="74">
        <f t="shared" si="168"/>
        <v>0</v>
      </c>
      <c r="BR96" s="74">
        <f t="shared" si="168"/>
        <v>0</v>
      </c>
      <c r="BS96" s="74">
        <f t="shared" si="168"/>
        <v>2558425</v>
      </c>
      <c r="BT96" s="74">
        <f t="shared" si="168"/>
        <v>75692</v>
      </c>
      <c r="BU96" s="74">
        <f t="shared" si="168"/>
        <v>53296</v>
      </c>
      <c r="BV96" s="75">
        <f t="shared" si="168"/>
        <v>15.855399999999999</v>
      </c>
      <c r="BW96" s="75">
        <f t="shared" si="168"/>
        <v>10.07</v>
      </c>
      <c r="BX96" s="76">
        <f t="shared" si="168"/>
        <v>5.7853999999999992</v>
      </c>
      <c r="BY96" s="791">
        <f t="shared" ref="BY96:CJ96" si="169">SUM(BY93:BY95)</f>
        <v>0</v>
      </c>
      <c r="BZ96" s="679">
        <f t="shared" si="169"/>
        <v>0</v>
      </c>
      <c r="CA96" s="679">
        <f t="shared" si="169"/>
        <v>0</v>
      </c>
      <c r="CB96" s="679">
        <f t="shared" si="169"/>
        <v>0</v>
      </c>
      <c r="CC96" s="679">
        <f t="shared" si="169"/>
        <v>0</v>
      </c>
      <c r="CD96" s="947">
        <f t="shared" si="169"/>
        <v>0</v>
      </c>
      <c r="CE96" s="956">
        <f t="shared" si="169"/>
        <v>362718</v>
      </c>
      <c r="CF96" s="953">
        <f t="shared" si="169"/>
        <v>257184</v>
      </c>
      <c r="CG96" s="953">
        <f t="shared" si="169"/>
        <v>86928</v>
      </c>
      <c r="CH96" s="953">
        <f t="shared" si="169"/>
        <v>2572</v>
      </c>
      <c r="CI96" s="953">
        <f t="shared" si="169"/>
        <v>16034</v>
      </c>
      <c r="CJ96" s="877">
        <f t="shared" si="169"/>
        <v>0.88200000000000001</v>
      </c>
    </row>
    <row r="97" spans="1:88" ht="14.1" customHeight="1">
      <c r="A97" s="66">
        <v>23</v>
      </c>
      <c r="B97" s="63">
        <v>2429</v>
      </c>
      <c r="C97" s="64">
        <v>600079244</v>
      </c>
      <c r="D97" s="63">
        <v>72741708</v>
      </c>
      <c r="E97" s="65" t="s">
        <v>578</v>
      </c>
      <c r="F97" s="66">
        <v>3111</v>
      </c>
      <c r="G97" s="65" t="s">
        <v>290</v>
      </c>
      <c r="H97" s="67" t="s">
        <v>271</v>
      </c>
      <c r="I97" s="419">
        <v>7670637</v>
      </c>
      <c r="J97" s="414">
        <v>5663974</v>
      </c>
      <c r="K97" s="414">
        <v>4971609</v>
      </c>
      <c r="L97" s="414">
        <v>692365</v>
      </c>
      <c r="M97" s="414">
        <v>0</v>
      </c>
      <c r="N97" s="414">
        <v>0</v>
      </c>
      <c r="O97" s="414">
        <v>0</v>
      </c>
      <c r="P97" s="595">
        <v>1914423</v>
      </c>
      <c r="Q97" s="595">
        <v>56640</v>
      </c>
      <c r="R97" s="414">
        <v>35600</v>
      </c>
      <c r="S97" s="415">
        <v>10.807699999999999</v>
      </c>
      <c r="T97" s="415">
        <v>8.4515999999999991</v>
      </c>
      <c r="U97" s="422">
        <v>2.3560999999999996</v>
      </c>
      <c r="V97" s="423">
        <f t="shared" si="124"/>
        <v>0</v>
      </c>
      <c r="W97" s="417">
        <f t="shared" si="125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26"/>
        <v>0</v>
      </c>
      <c r="AF97" s="417">
        <f t="shared" si="127"/>
        <v>0</v>
      </c>
      <c r="AG97" s="417">
        <f t="shared" si="128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29"/>
        <v>0</v>
      </c>
      <c r="AN97" s="417">
        <f t="shared" si="130"/>
        <v>0</v>
      </c>
      <c r="AO97" s="417">
        <f t="shared" si="131"/>
        <v>0</v>
      </c>
      <c r="AP97" s="417">
        <f t="shared" si="132"/>
        <v>0</v>
      </c>
      <c r="AQ97" s="417">
        <f t="shared" si="133"/>
        <v>0</v>
      </c>
      <c r="AR97" s="417">
        <f t="shared" si="134"/>
        <v>0</v>
      </c>
      <c r="AS97" s="68">
        <f t="shared" si="135"/>
        <v>0</v>
      </c>
      <c r="AT97" s="68">
        <f t="shared" si="136"/>
        <v>0</v>
      </c>
      <c r="AU97" s="417">
        <v>0</v>
      </c>
      <c r="AV97" s="417">
        <v>0</v>
      </c>
      <c r="AW97" s="417">
        <v>0</v>
      </c>
      <c r="AX97" s="417">
        <f t="shared" si="137"/>
        <v>0</v>
      </c>
      <c r="AY97" s="417">
        <f t="shared" si="138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39"/>
        <v>0</v>
      </c>
      <c r="BJ97" s="418">
        <f t="shared" si="140"/>
        <v>0</v>
      </c>
      <c r="BK97" s="420">
        <f t="shared" si="141"/>
        <v>0</v>
      </c>
      <c r="BL97" s="772">
        <f>I97+AY97</f>
        <v>7670637</v>
      </c>
      <c r="BM97" s="417">
        <f>J97+AG97</f>
        <v>5663974</v>
      </c>
      <c r="BN97" s="417">
        <f t="shared" ref="BN97:BO99" si="170">K97+AE97</f>
        <v>4971609</v>
      </c>
      <c r="BO97" s="417">
        <f t="shared" si="170"/>
        <v>692365</v>
      </c>
      <c r="BP97" s="417">
        <f>M97+AO97</f>
        <v>0</v>
      </c>
      <c r="BQ97" s="417">
        <f t="shared" ref="BQ97:BR99" si="171">N97+AM97</f>
        <v>0</v>
      </c>
      <c r="BR97" s="417">
        <f t="shared" si="171"/>
        <v>0</v>
      </c>
      <c r="BS97" s="417">
        <f t="shared" ref="BS97:BT99" si="172">P97+AS97</f>
        <v>1914423</v>
      </c>
      <c r="BT97" s="417">
        <f t="shared" si="172"/>
        <v>56640</v>
      </c>
      <c r="BU97" s="417">
        <f>R97+AX97</f>
        <v>35600</v>
      </c>
      <c r="BV97" s="418">
        <f>S97+BK97</f>
        <v>10.807699999999999</v>
      </c>
      <c r="BW97" s="418">
        <f t="shared" ref="BW97:BX99" si="173">T97+BI97</f>
        <v>8.4515999999999991</v>
      </c>
      <c r="BX97" s="420">
        <f t="shared" si="173"/>
        <v>2.3560999999999996</v>
      </c>
      <c r="BY97" s="419"/>
      <c r="BZ97" s="414"/>
      <c r="CA97" s="414"/>
      <c r="CB97" s="414"/>
      <c r="CC97" s="414"/>
      <c r="CD97" s="422"/>
      <c r="CE97" s="419">
        <f t="shared" si="142"/>
        <v>311313</v>
      </c>
      <c r="CF97" s="414">
        <v>222163</v>
      </c>
      <c r="CG97" s="414">
        <v>75091</v>
      </c>
      <c r="CH97" s="414">
        <v>2222</v>
      </c>
      <c r="CI97" s="414">
        <v>11837</v>
      </c>
      <c r="CJ97" s="509">
        <v>0.75600000000000001</v>
      </c>
    </row>
    <row r="98" spans="1:88" ht="14.1" customHeight="1">
      <c r="A98" s="66">
        <v>23</v>
      </c>
      <c r="B98" s="63">
        <v>2429</v>
      </c>
      <c r="C98" s="64">
        <v>600079244</v>
      </c>
      <c r="D98" s="63">
        <v>72741708</v>
      </c>
      <c r="E98" s="65" t="s">
        <v>578</v>
      </c>
      <c r="F98" s="66">
        <v>3111</v>
      </c>
      <c r="G98" s="77" t="s">
        <v>291</v>
      </c>
      <c r="H98" s="67" t="s">
        <v>272</v>
      </c>
      <c r="I98" s="419">
        <v>833067</v>
      </c>
      <c r="J98" s="414">
        <v>618002</v>
      </c>
      <c r="K98" s="414">
        <v>618002</v>
      </c>
      <c r="L98" s="414">
        <v>0</v>
      </c>
      <c r="M98" s="414">
        <v>0</v>
      </c>
      <c r="N98" s="414">
        <v>0</v>
      </c>
      <c r="O98" s="414">
        <v>0</v>
      </c>
      <c r="P98" s="595">
        <v>208885</v>
      </c>
      <c r="Q98" s="595">
        <v>6180</v>
      </c>
      <c r="R98" s="414">
        <v>0</v>
      </c>
      <c r="S98" s="415">
        <v>1.67</v>
      </c>
      <c r="T98" s="416">
        <v>1.67</v>
      </c>
      <c r="U98" s="422">
        <v>0</v>
      </c>
      <c r="V98" s="423">
        <f t="shared" si="124"/>
        <v>0</v>
      </c>
      <c r="W98" s="417">
        <f t="shared" si="125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26"/>
        <v>0</v>
      </c>
      <c r="AF98" s="417">
        <f t="shared" si="127"/>
        <v>0</v>
      </c>
      <c r="AG98" s="417">
        <f t="shared" si="128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29"/>
        <v>0</v>
      </c>
      <c r="AN98" s="417">
        <f t="shared" si="130"/>
        <v>0</v>
      </c>
      <c r="AO98" s="417">
        <f t="shared" si="131"/>
        <v>0</v>
      </c>
      <c r="AP98" s="417">
        <f t="shared" si="132"/>
        <v>0</v>
      </c>
      <c r="AQ98" s="417">
        <f t="shared" si="133"/>
        <v>0</v>
      </c>
      <c r="AR98" s="417">
        <f t="shared" si="134"/>
        <v>0</v>
      </c>
      <c r="AS98" s="68">
        <f t="shared" si="135"/>
        <v>0</v>
      </c>
      <c r="AT98" s="68">
        <f t="shared" si="136"/>
        <v>0</v>
      </c>
      <c r="AU98" s="417">
        <v>0</v>
      </c>
      <c r="AV98" s="417">
        <v>0</v>
      </c>
      <c r="AW98" s="417">
        <v>0</v>
      </c>
      <c r="AX98" s="417">
        <f t="shared" si="137"/>
        <v>0</v>
      </c>
      <c r="AY98" s="417">
        <f t="shared" si="138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39"/>
        <v>0</v>
      </c>
      <c r="BJ98" s="418">
        <f t="shared" si="140"/>
        <v>0</v>
      </c>
      <c r="BK98" s="420">
        <f t="shared" si="141"/>
        <v>0</v>
      </c>
      <c r="BL98" s="772">
        <f>I98+AY98</f>
        <v>833067</v>
      </c>
      <c r="BM98" s="417">
        <f>J98+AG98</f>
        <v>618002</v>
      </c>
      <c r="BN98" s="417">
        <f t="shared" si="170"/>
        <v>618002</v>
      </c>
      <c r="BO98" s="417">
        <f t="shared" si="170"/>
        <v>0</v>
      </c>
      <c r="BP98" s="417">
        <f>M98+AO98</f>
        <v>0</v>
      </c>
      <c r="BQ98" s="417">
        <f t="shared" si="171"/>
        <v>0</v>
      </c>
      <c r="BR98" s="417">
        <f t="shared" si="171"/>
        <v>0</v>
      </c>
      <c r="BS98" s="417">
        <f t="shared" si="172"/>
        <v>208885</v>
      </c>
      <c r="BT98" s="417">
        <f t="shared" si="172"/>
        <v>6180</v>
      </c>
      <c r="BU98" s="417">
        <f>R98+AX98</f>
        <v>0</v>
      </c>
      <c r="BV98" s="418">
        <f>S98+BK98</f>
        <v>1.67</v>
      </c>
      <c r="BW98" s="418">
        <f t="shared" si="173"/>
        <v>1.67</v>
      </c>
      <c r="BX98" s="420">
        <f t="shared" si="173"/>
        <v>0</v>
      </c>
      <c r="BY98" s="419"/>
      <c r="BZ98" s="414"/>
      <c r="CA98" s="414"/>
      <c r="CB98" s="414"/>
      <c r="CC98" s="414"/>
      <c r="CD98" s="422"/>
      <c r="CE98" s="419">
        <f t="shared" si="142"/>
        <v>0</v>
      </c>
      <c r="CF98" s="414">
        <v>0</v>
      </c>
      <c r="CG98" s="414">
        <v>0</v>
      </c>
      <c r="CH98" s="414">
        <v>0</v>
      </c>
      <c r="CI98" s="414">
        <v>0</v>
      </c>
      <c r="CJ98" s="509">
        <v>0</v>
      </c>
    </row>
    <row r="99" spans="1:88" ht="14.1" customHeight="1">
      <c r="A99" s="66">
        <v>23</v>
      </c>
      <c r="B99" s="63">
        <v>2429</v>
      </c>
      <c r="C99" s="64">
        <v>600079244</v>
      </c>
      <c r="D99" s="63">
        <v>72741708</v>
      </c>
      <c r="E99" s="65" t="s">
        <v>578</v>
      </c>
      <c r="F99" s="66">
        <v>3141</v>
      </c>
      <c r="G99" s="65" t="s">
        <v>294</v>
      </c>
      <c r="H99" s="67" t="s">
        <v>272</v>
      </c>
      <c r="I99" s="419">
        <v>1045819</v>
      </c>
      <c r="J99" s="414">
        <v>772320</v>
      </c>
      <c r="K99" s="414">
        <v>0</v>
      </c>
      <c r="L99" s="744">
        <v>772320</v>
      </c>
      <c r="M99" s="414">
        <v>0</v>
      </c>
      <c r="N99" s="204">
        <v>0</v>
      </c>
      <c r="O99" s="204">
        <v>0</v>
      </c>
      <c r="P99" s="595">
        <v>261044</v>
      </c>
      <c r="Q99" s="595">
        <v>7723</v>
      </c>
      <c r="R99" s="601">
        <v>4732</v>
      </c>
      <c r="S99" s="415">
        <v>2.3167</v>
      </c>
      <c r="T99" s="603">
        <v>0</v>
      </c>
      <c r="U99" s="731">
        <v>2.3167</v>
      </c>
      <c r="V99" s="423">
        <f t="shared" si="124"/>
        <v>0</v>
      </c>
      <c r="W99" s="417">
        <f t="shared" si="125"/>
        <v>0</v>
      </c>
      <c r="X99" s="417">
        <v>0</v>
      </c>
      <c r="Y99" s="417">
        <v>0</v>
      </c>
      <c r="Z99" s="417">
        <v>0</v>
      </c>
      <c r="AA99" s="417">
        <v>-21949</v>
      </c>
      <c r="AB99" s="417">
        <v>0</v>
      </c>
      <c r="AC99" s="417">
        <v>0</v>
      </c>
      <c r="AD99" s="417">
        <v>0</v>
      </c>
      <c r="AE99" s="417">
        <f t="shared" si="126"/>
        <v>0</v>
      </c>
      <c r="AF99" s="417">
        <f t="shared" si="127"/>
        <v>-21949</v>
      </c>
      <c r="AG99" s="417">
        <f t="shared" si="128"/>
        <v>-21949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29"/>
        <v>0</v>
      </c>
      <c r="AN99" s="417">
        <f t="shared" si="130"/>
        <v>0</v>
      </c>
      <c r="AO99" s="417">
        <f t="shared" si="131"/>
        <v>0</v>
      </c>
      <c r="AP99" s="417">
        <f t="shared" si="132"/>
        <v>0</v>
      </c>
      <c r="AQ99" s="417">
        <f t="shared" si="133"/>
        <v>-21949</v>
      </c>
      <c r="AR99" s="417">
        <f t="shared" si="134"/>
        <v>-21949</v>
      </c>
      <c r="AS99" s="68">
        <f t="shared" si="135"/>
        <v>-7419</v>
      </c>
      <c r="AT99" s="68">
        <f t="shared" si="136"/>
        <v>-219</v>
      </c>
      <c r="AU99" s="417">
        <v>0</v>
      </c>
      <c r="AV99" s="417">
        <v>0</v>
      </c>
      <c r="AW99" s="417">
        <v>0</v>
      </c>
      <c r="AX99" s="417">
        <f t="shared" si="137"/>
        <v>0</v>
      </c>
      <c r="AY99" s="417">
        <f t="shared" si="138"/>
        <v>-29587</v>
      </c>
      <c r="AZ99" s="418">
        <v>0</v>
      </c>
      <c r="BA99" s="418">
        <v>0</v>
      </c>
      <c r="BB99" s="418">
        <v>0</v>
      </c>
      <c r="BC99" s="418">
        <v>0</v>
      </c>
      <c r="BD99" s="418">
        <v>-0.06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39"/>
        <v>0</v>
      </c>
      <c r="BJ99" s="418">
        <f t="shared" si="140"/>
        <v>-0.06</v>
      </c>
      <c r="BK99" s="420">
        <f t="shared" si="141"/>
        <v>-0.06</v>
      </c>
      <c r="BL99" s="772">
        <f>I99+AY99</f>
        <v>1016232</v>
      </c>
      <c r="BM99" s="417">
        <f>J99+AG99</f>
        <v>750371</v>
      </c>
      <c r="BN99" s="417">
        <f t="shared" si="170"/>
        <v>0</v>
      </c>
      <c r="BO99" s="417">
        <f t="shared" si="170"/>
        <v>750371</v>
      </c>
      <c r="BP99" s="417">
        <f>M99+AO99</f>
        <v>0</v>
      </c>
      <c r="BQ99" s="417">
        <f t="shared" si="171"/>
        <v>0</v>
      </c>
      <c r="BR99" s="417">
        <f t="shared" si="171"/>
        <v>0</v>
      </c>
      <c r="BS99" s="417">
        <f t="shared" si="172"/>
        <v>253625</v>
      </c>
      <c r="BT99" s="417">
        <f t="shared" si="172"/>
        <v>7504</v>
      </c>
      <c r="BU99" s="417">
        <f>R99+AX99</f>
        <v>4732</v>
      </c>
      <c r="BV99" s="418">
        <f>S99+BK99</f>
        <v>2.2566999999999999</v>
      </c>
      <c r="BW99" s="418">
        <f t="shared" si="173"/>
        <v>0</v>
      </c>
      <c r="BX99" s="420">
        <f t="shared" si="173"/>
        <v>2.2566999999999999</v>
      </c>
      <c r="BY99" s="419"/>
      <c r="BZ99" s="414"/>
      <c r="CA99" s="414"/>
      <c r="CB99" s="414"/>
      <c r="CC99" s="414"/>
      <c r="CD99" s="422"/>
      <c r="CE99" s="419">
        <f t="shared" si="142"/>
        <v>0</v>
      </c>
      <c r="CF99" s="414">
        <v>0</v>
      </c>
      <c r="CG99" s="414">
        <v>0</v>
      </c>
      <c r="CH99" s="414">
        <v>0</v>
      </c>
      <c r="CI99" s="414">
        <v>0</v>
      </c>
      <c r="CJ99" s="509">
        <v>0</v>
      </c>
    </row>
    <row r="100" spans="1:88" ht="13.5" customHeight="1">
      <c r="A100" s="72">
        <v>23</v>
      </c>
      <c r="B100" s="69">
        <v>2429</v>
      </c>
      <c r="C100" s="70">
        <v>600079244</v>
      </c>
      <c r="D100" s="69">
        <v>72741708</v>
      </c>
      <c r="E100" s="71" t="s">
        <v>579</v>
      </c>
      <c r="F100" s="72"/>
      <c r="G100" s="71"/>
      <c r="H100" s="73"/>
      <c r="I100" s="516">
        <v>9549523</v>
      </c>
      <c r="J100" s="74">
        <v>7054296</v>
      </c>
      <c r="K100" s="74">
        <v>5589611</v>
      </c>
      <c r="L100" s="74">
        <v>1464685</v>
      </c>
      <c r="M100" s="74">
        <v>0</v>
      </c>
      <c r="N100" s="74">
        <v>0</v>
      </c>
      <c r="O100" s="74">
        <v>0</v>
      </c>
      <c r="P100" s="74">
        <v>2384352</v>
      </c>
      <c r="Q100" s="74">
        <v>70543</v>
      </c>
      <c r="R100" s="74">
        <v>40332</v>
      </c>
      <c r="S100" s="75">
        <v>14.7944</v>
      </c>
      <c r="T100" s="75">
        <v>10.121599999999999</v>
      </c>
      <c r="U100" s="653">
        <v>4.6727999999999996</v>
      </c>
      <c r="V100" s="516">
        <f t="shared" ref="V100:BX100" si="174">SUM(V97:V99)</f>
        <v>0</v>
      </c>
      <c r="W100" s="74">
        <f t="shared" si="174"/>
        <v>0</v>
      </c>
      <c r="X100" s="74">
        <f t="shared" si="174"/>
        <v>0</v>
      </c>
      <c r="Y100" s="74">
        <f t="shared" si="174"/>
        <v>0</v>
      </c>
      <c r="Z100" s="74">
        <f t="shared" si="174"/>
        <v>0</v>
      </c>
      <c r="AA100" s="74">
        <f t="shared" si="174"/>
        <v>-21949</v>
      </c>
      <c r="AB100" s="74">
        <f t="shared" si="174"/>
        <v>0</v>
      </c>
      <c r="AC100" s="74">
        <f t="shared" si="174"/>
        <v>0</v>
      </c>
      <c r="AD100" s="74">
        <f t="shared" si="174"/>
        <v>0</v>
      </c>
      <c r="AE100" s="74">
        <f t="shared" si="174"/>
        <v>0</v>
      </c>
      <c r="AF100" s="74">
        <f t="shared" si="174"/>
        <v>-21949</v>
      </c>
      <c r="AG100" s="74">
        <f t="shared" si="174"/>
        <v>-21949</v>
      </c>
      <c r="AH100" s="74">
        <f t="shared" si="174"/>
        <v>0</v>
      </c>
      <c r="AI100" s="74">
        <f t="shared" si="174"/>
        <v>0</v>
      </c>
      <c r="AJ100" s="74">
        <f t="shared" si="174"/>
        <v>0</v>
      </c>
      <c r="AK100" s="74">
        <f t="shared" si="174"/>
        <v>0</v>
      </c>
      <c r="AL100" s="74">
        <f t="shared" si="174"/>
        <v>0</v>
      </c>
      <c r="AM100" s="74">
        <f t="shared" si="174"/>
        <v>0</v>
      </c>
      <c r="AN100" s="74">
        <f t="shared" si="174"/>
        <v>0</v>
      </c>
      <c r="AO100" s="74">
        <f t="shared" si="174"/>
        <v>0</v>
      </c>
      <c r="AP100" s="74">
        <f t="shared" si="174"/>
        <v>0</v>
      </c>
      <c r="AQ100" s="74">
        <f t="shared" si="174"/>
        <v>-21949</v>
      </c>
      <c r="AR100" s="74">
        <f t="shared" si="174"/>
        <v>-21949</v>
      </c>
      <c r="AS100" s="74">
        <f t="shared" si="174"/>
        <v>-7419</v>
      </c>
      <c r="AT100" s="74">
        <f t="shared" si="174"/>
        <v>-219</v>
      </c>
      <c r="AU100" s="74">
        <f t="shared" si="174"/>
        <v>0</v>
      </c>
      <c r="AV100" s="74">
        <f t="shared" si="174"/>
        <v>0</v>
      </c>
      <c r="AW100" s="74">
        <f t="shared" si="174"/>
        <v>0</v>
      </c>
      <c r="AX100" s="74">
        <f t="shared" si="174"/>
        <v>0</v>
      </c>
      <c r="AY100" s="74">
        <f t="shared" si="174"/>
        <v>-29587</v>
      </c>
      <c r="AZ100" s="75">
        <f t="shared" si="174"/>
        <v>0</v>
      </c>
      <c r="BA100" s="75">
        <f t="shared" si="174"/>
        <v>0</v>
      </c>
      <c r="BB100" s="75">
        <f t="shared" si="174"/>
        <v>0</v>
      </c>
      <c r="BC100" s="75">
        <f t="shared" si="174"/>
        <v>0</v>
      </c>
      <c r="BD100" s="75">
        <f t="shared" si="174"/>
        <v>-0.06</v>
      </c>
      <c r="BE100" s="75">
        <f t="shared" si="174"/>
        <v>0</v>
      </c>
      <c r="BF100" s="75">
        <f t="shared" si="174"/>
        <v>0</v>
      </c>
      <c r="BG100" s="75">
        <f t="shared" si="174"/>
        <v>0</v>
      </c>
      <c r="BH100" s="75">
        <f t="shared" si="174"/>
        <v>0</v>
      </c>
      <c r="BI100" s="75">
        <f t="shared" si="174"/>
        <v>0</v>
      </c>
      <c r="BJ100" s="75">
        <f t="shared" si="174"/>
        <v>-0.06</v>
      </c>
      <c r="BK100" s="76">
        <f t="shared" si="174"/>
        <v>-0.06</v>
      </c>
      <c r="BL100" s="781">
        <f t="shared" si="174"/>
        <v>9519936</v>
      </c>
      <c r="BM100" s="74">
        <f t="shared" si="174"/>
        <v>7032347</v>
      </c>
      <c r="BN100" s="74">
        <f t="shared" si="174"/>
        <v>5589611</v>
      </c>
      <c r="BO100" s="74">
        <f t="shared" si="174"/>
        <v>1442736</v>
      </c>
      <c r="BP100" s="74">
        <f t="shared" si="174"/>
        <v>0</v>
      </c>
      <c r="BQ100" s="74">
        <f t="shared" si="174"/>
        <v>0</v>
      </c>
      <c r="BR100" s="74">
        <f t="shared" si="174"/>
        <v>0</v>
      </c>
      <c r="BS100" s="74">
        <f t="shared" si="174"/>
        <v>2376933</v>
      </c>
      <c r="BT100" s="74">
        <f t="shared" si="174"/>
        <v>70324</v>
      </c>
      <c r="BU100" s="74">
        <f t="shared" si="174"/>
        <v>40332</v>
      </c>
      <c r="BV100" s="75">
        <f t="shared" si="174"/>
        <v>14.734399999999999</v>
      </c>
      <c r="BW100" s="75">
        <f t="shared" si="174"/>
        <v>10.121599999999999</v>
      </c>
      <c r="BX100" s="76">
        <f t="shared" si="174"/>
        <v>4.6128</v>
      </c>
      <c r="BY100" s="791">
        <f t="shared" ref="BY100:CJ100" si="175">SUM(BY97:BY99)</f>
        <v>0</v>
      </c>
      <c r="BZ100" s="679">
        <f t="shared" si="175"/>
        <v>0</v>
      </c>
      <c r="CA100" s="679">
        <f t="shared" si="175"/>
        <v>0</v>
      </c>
      <c r="CB100" s="679">
        <f t="shared" si="175"/>
        <v>0</v>
      </c>
      <c r="CC100" s="679">
        <f t="shared" si="175"/>
        <v>0</v>
      </c>
      <c r="CD100" s="947">
        <f t="shared" si="175"/>
        <v>0</v>
      </c>
      <c r="CE100" s="956">
        <f t="shared" si="175"/>
        <v>311313</v>
      </c>
      <c r="CF100" s="953">
        <f t="shared" si="175"/>
        <v>222163</v>
      </c>
      <c r="CG100" s="953">
        <f t="shared" si="175"/>
        <v>75091</v>
      </c>
      <c r="CH100" s="953">
        <f t="shared" si="175"/>
        <v>2222</v>
      </c>
      <c r="CI100" s="953">
        <f t="shared" si="175"/>
        <v>11837</v>
      </c>
      <c r="CJ100" s="877">
        <f t="shared" si="175"/>
        <v>0.75600000000000001</v>
      </c>
    </row>
    <row r="101" spans="1:88" ht="14.1" customHeight="1">
      <c r="A101" s="66">
        <v>24</v>
      </c>
      <c r="B101" s="63">
        <v>2412</v>
      </c>
      <c r="C101" s="64">
        <v>600079252</v>
      </c>
      <c r="D101" s="63">
        <v>72742429</v>
      </c>
      <c r="E101" s="65" t="s">
        <v>580</v>
      </c>
      <c r="F101" s="66">
        <v>3111</v>
      </c>
      <c r="G101" s="65" t="s">
        <v>290</v>
      </c>
      <c r="H101" s="67" t="s">
        <v>271</v>
      </c>
      <c r="I101" s="419">
        <v>12739500</v>
      </c>
      <c r="J101" s="414">
        <v>9397455</v>
      </c>
      <c r="K101" s="414">
        <v>8209930</v>
      </c>
      <c r="L101" s="414">
        <v>1187525</v>
      </c>
      <c r="M101" s="414">
        <v>8320</v>
      </c>
      <c r="N101" s="414">
        <v>0</v>
      </c>
      <c r="O101" s="414">
        <v>8320</v>
      </c>
      <c r="P101" s="595">
        <v>3179152</v>
      </c>
      <c r="Q101" s="595">
        <v>93973</v>
      </c>
      <c r="R101" s="414">
        <v>60600</v>
      </c>
      <c r="S101" s="415">
        <v>18.934500000000003</v>
      </c>
      <c r="T101" s="415">
        <v>14.870900000000001</v>
      </c>
      <c r="U101" s="422">
        <v>4.063600000000001</v>
      </c>
      <c r="V101" s="423">
        <f t="shared" si="124"/>
        <v>0</v>
      </c>
      <c r="W101" s="417">
        <f t="shared" si="125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26"/>
        <v>0</v>
      </c>
      <c r="AF101" s="417">
        <f t="shared" si="127"/>
        <v>0</v>
      </c>
      <c r="AG101" s="417">
        <f t="shared" si="128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29"/>
        <v>0</v>
      </c>
      <c r="AN101" s="417">
        <f t="shared" si="130"/>
        <v>0</v>
      </c>
      <c r="AO101" s="417">
        <f t="shared" si="131"/>
        <v>0</v>
      </c>
      <c r="AP101" s="417">
        <f t="shared" si="132"/>
        <v>0</v>
      </c>
      <c r="AQ101" s="417">
        <f t="shared" si="133"/>
        <v>0</v>
      </c>
      <c r="AR101" s="417">
        <f t="shared" si="134"/>
        <v>0</v>
      </c>
      <c r="AS101" s="68">
        <f t="shared" si="135"/>
        <v>0</v>
      </c>
      <c r="AT101" s="68">
        <f t="shared" si="136"/>
        <v>0</v>
      </c>
      <c r="AU101" s="417">
        <v>0</v>
      </c>
      <c r="AV101" s="417">
        <v>0</v>
      </c>
      <c r="AW101" s="417">
        <v>0</v>
      </c>
      <c r="AX101" s="417">
        <f t="shared" si="137"/>
        <v>0</v>
      </c>
      <c r="AY101" s="417">
        <f t="shared" si="138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39"/>
        <v>0</v>
      </c>
      <c r="BJ101" s="418">
        <f t="shared" si="140"/>
        <v>0</v>
      </c>
      <c r="BK101" s="420">
        <f t="shared" si="141"/>
        <v>0</v>
      </c>
      <c r="BL101" s="772">
        <f>I101+AY101</f>
        <v>12739500</v>
      </c>
      <c r="BM101" s="417">
        <f>J101+AG101</f>
        <v>9397455</v>
      </c>
      <c r="BN101" s="417">
        <f t="shared" ref="BN101:BO103" si="176">K101+AE101</f>
        <v>8209930</v>
      </c>
      <c r="BO101" s="417">
        <f t="shared" si="176"/>
        <v>1187525</v>
      </c>
      <c r="BP101" s="417">
        <f>M101+AO101</f>
        <v>8320</v>
      </c>
      <c r="BQ101" s="417">
        <f t="shared" ref="BQ101:BR103" si="177">N101+AM101</f>
        <v>0</v>
      </c>
      <c r="BR101" s="417">
        <f t="shared" si="177"/>
        <v>8320</v>
      </c>
      <c r="BS101" s="417">
        <f t="shared" ref="BS101:BT103" si="178">P101+AS101</f>
        <v>3179152</v>
      </c>
      <c r="BT101" s="417">
        <f t="shared" si="178"/>
        <v>93973</v>
      </c>
      <c r="BU101" s="417">
        <f>R101+AX101</f>
        <v>60600</v>
      </c>
      <c r="BV101" s="418">
        <f>S101+BK101</f>
        <v>18.934500000000003</v>
      </c>
      <c r="BW101" s="418">
        <f t="shared" ref="BW101:BX103" si="179">T101+BI101</f>
        <v>14.870900000000001</v>
      </c>
      <c r="BX101" s="420">
        <f t="shared" si="179"/>
        <v>4.063600000000001</v>
      </c>
      <c r="BY101" s="419"/>
      <c r="BZ101" s="414"/>
      <c r="CA101" s="414"/>
      <c r="CB101" s="414"/>
      <c r="CC101" s="414"/>
      <c r="CD101" s="422"/>
      <c r="CE101" s="419">
        <f t="shared" si="142"/>
        <v>537441</v>
      </c>
      <c r="CF101" s="414">
        <v>383742</v>
      </c>
      <c r="CG101" s="414">
        <v>129705</v>
      </c>
      <c r="CH101" s="414">
        <v>3837</v>
      </c>
      <c r="CI101" s="414">
        <v>20157</v>
      </c>
      <c r="CJ101" s="509">
        <v>1.3136000000000001</v>
      </c>
    </row>
    <row r="102" spans="1:88" ht="14.1" customHeight="1">
      <c r="A102" s="66">
        <v>24</v>
      </c>
      <c r="B102" s="63">
        <v>2412</v>
      </c>
      <c r="C102" s="64">
        <v>600079252</v>
      </c>
      <c r="D102" s="63">
        <v>72742429</v>
      </c>
      <c r="E102" s="65" t="s">
        <v>580</v>
      </c>
      <c r="F102" s="66">
        <v>3111</v>
      </c>
      <c r="G102" s="77" t="s">
        <v>291</v>
      </c>
      <c r="H102" s="67" t="s">
        <v>272</v>
      </c>
      <c r="I102" s="419">
        <v>1444349</v>
      </c>
      <c r="J102" s="414">
        <v>1034818</v>
      </c>
      <c r="K102" s="414">
        <v>1034818</v>
      </c>
      <c r="L102" s="414">
        <v>0</v>
      </c>
      <c r="M102" s="414">
        <v>33008</v>
      </c>
      <c r="N102" s="414">
        <v>33008</v>
      </c>
      <c r="O102" s="414">
        <v>0</v>
      </c>
      <c r="P102" s="595">
        <v>360925</v>
      </c>
      <c r="Q102" s="595">
        <v>10348</v>
      </c>
      <c r="R102" s="414">
        <v>5250</v>
      </c>
      <c r="S102" s="415">
        <v>3.07</v>
      </c>
      <c r="T102" s="416">
        <v>3.07</v>
      </c>
      <c r="U102" s="422">
        <v>0</v>
      </c>
      <c r="V102" s="423">
        <f t="shared" si="124"/>
        <v>-4126</v>
      </c>
      <c r="W102" s="417">
        <f t="shared" si="125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126"/>
        <v>-4126</v>
      </c>
      <c r="AF102" s="417">
        <f t="shared" si="127"/>
        <v>0</v>
      </c>
      <c r="AG102" s="417">
        <f t="shared" si="128"/>
        <v>-4126</v>
      </c>
      <c r="AH102" s="417">
        <v>4126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29"/>
        <v>4126</v>
      </c>
      <c r="AN102" s="417">
        <f t="shared" si="130"/>
        <v>0</v>
      </c>
      <c r="AO102" s="417">
        <f t="shared" si="131"/>
        <v>4126</v>
      </c>
      <c r="AP102" s="417">
        <f t="shared" si="132"/>
        <v>0</v>
      </c>
      <c r="AQ102" s="417">
        <f t="shared" si="133"/>
        <v>0</v>
      </c>
      <c r="AR102" s="417">
        <f t="shared" si="134"/>
        <v>0</v>
      </c>
      <c r="AS102" s="68">
        <f t="shared" si="135"/>
        <v>0</v>
      </c>
      <c r="AT102" s="68">
        <f t="shared" si="136"/>
        <v>-41</v>
      </c>
      <c r="AU102" s="417">
        <v>0</v>
      </c>
      <c r="AV102" s="417">
        <v>0</v>
      </c>
      <c r="AW102" s="417">
        <v>0</v>
      </c>
      <c r="AX102" s="417">
        <f t="shared" si="137"/>
        <v>0</v>
      </c>
      <c r="AY102" s="417">
        <f t="shared" si="138"/>
        <v>-41</v>
      </c>
      <c r="AZ102" s="418">
        <v>-0.01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418">
        <v>0</v>
      </c>
      <c r="BG102" s="418">
        <v>0</v>
      </c>
      <c r="BH102" s="418">
        <v>0</v>
      </c>
      <c r="BI102" s="418">
        <f t="shared" si="139"/>
        <v>-0.01</v>
      </c>
      <c r="BJ102" s="418">
        <f t="shared" si="140"/>
        <v>0</v>
      </c>
      <c r="BK102" s="420">
        <f t="shared" si="141"/>
        <v>-0.01</v>
      </c>
      <c r="BL102" s="772">
        <f>I102+AY102</f>
        <v>1444308</v>
      </c>
      <c r="BM102" s="417">
        <f>J102+AG102</f>
        <v>1030692</v>
      </c>
      <c r="BN102" s="417">
        <f t="shared" si="176"/>
        <v>1030692</v>
      </c>
      <c r="BO102" s="417">
        <f t="shared" si="176"/>
        <v>0</v>
      </c>
      <c r="BP102" s="417">
        <f>M102+AO102</f>
        <v>37134</v>
      </c>
      <c r="BQ102" s="417">
        <f t="shared" si="177"/>
        <v>37134</v>
      </c>
      <c r="BR102" s="417">
        <f t="shared" si="177"/>
        <v>0</v>
      </c>
      <c r="BS102" s="417">
        <f t="shared" si="178"/>
        <v>360925</v>
      </c>
      <c r="BT102" s="417">
        <f t="shared" si="178"/>
        <v>10307</v>
      </c>
      <c r="BU102" s="417">
        <f>R102+AX102</f>
        <v>5250</v>
      </c>
      <c r="BV102" s="418">
        <f>S102+BK102</f>
        <v>3.06</v>
      </c>
      <c r="BW102" s="418">
        <f t="shared" si="179"/>
        <v>3.06</v>
      </c>
      <c r="BX102" s="420">
        <f t="shared" si="179"/>
        <v>0</v>
      </c>
      <c r="BY102" s="419"/>
      <c r="BZ102" s="414"/>
      <c r="CA102" s="414"/>
      <c r="CB102" s="414"/>
      <c r="CC102" s="414"/>
      <c r="CD102" s="422"/>
      <c r="CE102" s="419">
        <f t="shared" si="142"/>
        <v>0</v>
      </c>
      <c r="CF102" s="414">
        <v>0</v>
      </c>
      <c r="CG102" s="414">
        <v>0</v>
      </c>
      <c r="CH102" s="414">
        <v>0</v>
      </c>
      <c r="CI102" s="414">
        <v>0</v>
      </c>
      <c r="CJ102" s="509">
        <v>0</v>
      </c>
    </row>
    <row r="103" spans="1:88" ht="14.1" customHeight="1">
      <c r="A103" s="66">
        <v>24</v>
      </c>
      <c r="B103" s="63">
        <v>2412</v>
      </c>
      <c r="C103" s="64">
        <v>600079252</v>
      </c>
      <c r="D103" s="63">
        <v>72742429</v>
      </c>
      <c r="E103" s="65" t="s">
        <v>580</v>
      </c>
      <c r="F103" s="66">
        <v>3141</v>
      </c>
      <c r="G103" s="65" t="s">
        <v>294</v>
      </c>
      <c r="H103" s="67" t="s">
        <v>272</v>
      </c>
      <c r="I103" s="419">
        <v>1612174</v>
      </c>
      <c r="J103" s="414">
        <v>1190998</v>
      </c>
      <c r="K103" s="414">
        <v>0</v>
      </c>
      <c r="L103" s="744">
        <v>1190998</v>
      </c>
      <c r="M103" s="414">
        <v>0</v>
      </c>
      <c r="N103" s="204">
        <v>0</v>
      </c>
      <c r="O103" s="204">
        <v>0</v>
      </c>
      <c r="P103" s="595">
        <v>402558</v>
      </c>
      <c r="Q103" s="595">
        <v>11910</v>
      </c>
      <c r="R103" s="601">
        <v>6708</v>
      </c>
      <c r="S103" s="415">
        <v>3.57</v>
      </c>
      <c r="T103" s="603">
        <v>0</v>
      </c>
      <c r="U103" s="731">
        <v>3.57</v>
      </c>
      <c r="V103" s="423">
        <f t="shared" si="124"/>
        <v>0</v>
      </c>
      <c r="W103" s="417">
        <f t="shared" si="125"/>
        <v>-9000</v>
      </c>
      <c r="X103" s="417">
        <v>0</v>
      </c>
      <c r="Y103" s="417">
        <v>0</v>
      </c>
      <c r="Z103" s="417">
        <v>0</v>
      </c>
      <c r="AA103" s="417">
        <v>-6729</v>
      </c>
      <c r="AB103" s="417">
        <v>0</v>
      </c>
      <c r="AC103" s="417">
        <v>0</v>
      </c>
      <c r="AD103" s="417">
        <v>0</v>
      </c>
      <c r="AE103" s="417">
        <f t="shared" si="126"/>
        <v>0</v>
      </c>
      <c r="AF103" s="417">
        <f t="shared" si="127"/>
        <v>-15729</v>
      </c>
      <c r="AG103" s="417">
        <f t="shared" si="128"/>
        <v>-15729</v>
      </c>
      <c r="AH103" s="417">
        <v>0</v>
      </c>
      <c r="AI103" s="417">
        <v>9000</v>
      </c>
      <c r="AJ103" s="417">
        <v>0</v>
      </c>
      <c r="AK103" s="417">
        <v>0</v>
      </c>
      <c r="AL103" s="417">
        <v>0</v>
      </c>
      <c r="AM103" s="417">
        <f t="shared" si="129"/>
        <v>0</v>
      </c>
      <c r="AN103" s="417">
        <f t="shared" si="130"/>
        <v>9000</v>
      </c>
      <c r="AO103" s="417">
        <f t="shared" si="131"/>
        <v>9000</v>
      </c>
      <c r="AP103" s="417">
        <f t="shared" si="132"/>
        <v>0</v>
      </c>
      <c r="AQ103" s="417">
        <f t="shared" si="133"/>
        <v>-6729</v>
      </c>
      <c r="AR103" s="417">
        <f t="shared" si="134"/>
        <v>-6729</v>
      </c>
      <c r="AS103" s="68">
        <f t="shared" si="135"/>
        <v>-2274</v>
      </c>
      <c r="AT103" s="68">
        <f t="shared" si="136"/>
        <v>-157</v>
      </c>
      <c r="AU103" s="417">
        <v>0</v>
      </c>
      <c r="AV103" s="417">
        <v>0</v>
      </c>
      <c r="AW103" s="417">
        <v>0</v>
      </c>
      <c r="AX103" s="417">
        <f t="shared" si="137"/>
        <v>0</v>
      </c>
      <c r="AY103" s="417">
        <f t="shared" si="138"/>
        <v>-9160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-0.02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39"/>
        <v>0</v>
      </c>
      <c r="BJ103" s="418">
        <f t="shared" si="140"/>
        <v>-0.02</v>
      </c>
      <c r="BK103" s="420">
        <f t="shared" si="141"/>
        <v>-0.02</v>
      </c>
      <c r="BL103" s="772">
        <f>I103+AY103</f>
        <v>1603014</v>
      </c>
      <c r="BM103" s="417">
        <f>J103+AG103</f>
        <v>1175269</v>
      </c>
      <c r="BN103" s="417">
        <f t="shared" si="176"/>
        <v>0</v>
      </c>
      <c r="BO103" s="417">
        <f t="shared" si="176"/>
        <v>1175269</v>
      </c>
      <c r="BP103" s="417">
        <f>M103+AO103</f>
        <v>9000</v>
      </c>
      <c r="BQ103" s="417">
        <f t="shared" si="177"/>
        <v>0</v>
      </c>
      <c r="BR103" s="417">
        <f t="shared" si="177"/>
        <v>9000</v>
      </c>
      <c r="BS103" s="417">
        <f t="shared" si="178"/>
        <v>400284</v>
      </c>
      <c r="BT103" s="417">
        <f t="shared" si="178"/>
        <v>11753</v>
      </c>
      <c r="BU103" s="417">
        <f>R103+AX103</f>
        <v>6708</v>
      </c>
      <c r="BV103" s="418">
        <f>S103+BK103</f>
        <v>3.55</v>
      </c>
      <c r="BW103" s="418">
        <f t="shared" si="179"/>
        <v>0</v>
      </c>
      <c r="BX103" s="420">
        <f t="shared" si="179"/>
        <v>3.55</v>
      </c>
      <c r="BY103" s="419"/>
      <c r="BZ103" s="414"/>
      <c r="CA103" s="414"/>
      <c r="CB103" s="414"/>
      <c r="CC103" s="414"/>
      <c r="CD103" s="422"/>
      <c r="CE103" s="419">
        <f t="shared" si="142"/>
        <v>0</v>
      </c>
      <c r="CF103" s="414">
        <v>0</v>
      </c>
      <c r="CG103" s="414">
        <v>0</v>
      </c>
      <c r="CH103" s="414">
        <v>0</v>
      </c>
      <c r="CI103" s="414">
        <v>0</v>
      </c>
      <c r="CJ103" s="509">
        <v>0</v>
      </c>
    </row>
    <row r="104" spans="1:88" ht="13.5" customHeight="1">
      <c r="A104" s="72">
        <v>24</v>
      </c>
      <c r="B104" s="69">
        <v>2412</v>
      </c>
      <c r="C104" s="70">
        <v>600079252</v>
      </c>
      <c r="D104" s="69">
        <v>72742429</v>
      </c>
      <c r="E104" s="71" t="s">
        <v>581</v>
      </c>
      <c r="F104" s="72"/>
      <c r="G104" s="71"/>
      <c r="H104" s="73"/>
      <c r="I104" s="516">
        <v>15796023</v>
      </c>
      <c r="J104" s="74">
        <v>11623271</v>
      </c>
      <c r="K104" s="74">
        <v>9244748</v>
      </c>
      <c r="L104" s="74">
        <v>2378523</v>
      </c>
      <c r="M104" s="74">
        <v>41328</v>
      </c>
      <c r="N104" s="74">
        <v>33008</v>
      </c>
      <c r="O104" s="74">
        <v>8320</v>
      </c>
      <c r="P104" s="74">
        <v>3942635</v>
      </c>
      <c r="Q104" s="74">
        <v>116231</v>
      </c>
      <c r="R104" s="74">
        <v>72558</v>
      </c>
      <c r="S104" s="75">
        <v>25.574500000000004</v>
      </c>
      <c r="T104" s="75">
        <v>17.940899999999999</v>
      </c>
      <c r="U104" s="653">
        <v>7.6336000000000013</v>
      </c>
      <c r="V104" s="516">
        <f t="shared" ref="V104:BX104" si="180">SUM(V101:V103)</f>
        <v>-4126</v>
      </c>
      <c r="W104" s="74">
        <f t="shared" si="180"/>
        <v>-9000</v>
      </c>
      <c r="X104" s="74">
        <f t="shared" si="180"/>
        <v>0</v>
      </c>
      <c r="Y104" s="74">
        <f t="shared" si="180"/>
        <v>0</v>
      </c>
      <c r="Z104" s="74">
        <f t="shared" si="180"/>
        <v>0</v>
      </c>
      <c r="AA104" s="74">
        <f t="shared" si="180"/>
        <v>-6729</v>
      </c>
      <c r="AB104" s="74">
        <f t="shared" si="180"/>
        <v>0</v>
      </c>
      <c r="AC104" s="74">
        <f t="shared" si="180"/>
        <v>0</v>
      </c>
      <c r="AD104" s="74">
        <f t="shared" si="180"/>
        <v>0</v>
      </c>
      <c r="AE104" s="74">
        <f t="shared" si="180"/>
        <v>-4126</v>
      </c>
      <c r="AF104" s="74">
        <f t="shared" si="180"/>
        <v>-15729</v>
      </c>
      <c r="AG104" s="74">
        <f t="shared" si="180"/>
        <v>-19855</v>
      </c>
      <c r="AH104" s="74">
        <f t="shared" si="180"/>
        <v>4126</v>
      </c>
      <c r="AI104" s="74">
        <f t="shared" si="180"/>
        <v>9000</v>
      </c>
      <c r="AJ104" s="74">
        <f t="shared" si="180"/>
        <v>0</v>
      </c>
      <c r="AK104" s="74">
        <f t="shared" si="180"/>
        <v>0</v>
      </c>
      <c r="AL104" s="74">
        <f t="shared" si="180"/>
        <v>0</v>
      </c>
      <c r="AM104" s="74">
        <f t="shared" si="180"/>
        <v>4126</v>
      </c>
      <c r="AN104" s="74">
        <f t="shared" si="180"/>
        <v>9000</v>
      </c>
      <c r="AO104" s="74">
        <f t="shared" si="180"/>
        <v>13126</v>
      </c>
      <c r="AP104" s="74">
        <f t="shared" si="180"/>
        <v>0</v>
      </c>
      <c r="AQ104" s="74">
        <f t="shared" si="180"/>
        <v>-6729</v>
      </c>
      <c r="AR104" s="74">
        <f t="shared" si="180"/>
        <v>-6729</v>
      </c>
      <c r="AS104" s="74">
        <f t="shared" si="180"/>
        <v>-2274</v>
      </c>
      <c r="AT104" s="74">
        <f t="shared" si="180"/>
        <v>-198</v>
      </c>
      <c r="AU104" s="74">
        <f t="shared" si="180"/>
        <v>0</v>
      </c>
      <c r="AV104" s="74">
        <f t="shared" si="180"/>
        <v>0</v>
      </c>
      <c r="AW104" s="74">
        <f t="shared" si="180"/>
        <v>0</v>
      </c>
      <c r="AX104" s="74">
        <f t="shared" si="180"/>
        <v>0</v>
      </c>
      <c r="AY104" s="74">
        <f t="shared" si="180"/>
        <v>-9201</v>
      </c>
      <c r="AZ104" s="75">
        <f t="shared" si="180"/>
        <v>-0.01</v>
      </c>
      <c r="BA104" s="75">
        <f t="shared" si="180"/>
        <v>0</v>
      </c>
      <c r="BB104" s="75">
        <f t="shared" si="180"/>
        <v>0</v>
      </c>
      <c r="BC104" s="75">
        <f t="shared" si="180"/>
        <v>0</v>
      </c>
      <c r="BD104" s="75">
        <f t="shared" si="180"/>
        <v>-0.02</v>
      </c>
      <c r="BE104" s="75">
        <f t="shared" si="180"/>
        <v>0</v>
      </c>
      <c r="BF104" s="75">
        <f t="shared" si="180"/>
        <v>0</v>
      </c>
      <c r="BG104" s="75">
        <f t="shared" si="180"/>
        <v>0</v>
      </c>
      <c r="BH104" s="75">
        <f t="shared" si="180"/>
        <v>0</v>
      </c>
      <c r="BI104" s="75">
        <f t="shared" si="180"/>
        <v>-0.01</v>
      </c>
      <c r="BJ104" s="75">
        <f t="shared" si="180"/>
        <v>-0.02</v>
      </c>
      <c r="BK104" s="76">
        <f t="shared" si="180"/>
        <v>-0.03</v>
      </c>
      <c r="BL104" s="781">
        <f t="shared" si="180"/>
        <v>15786822</v>
      </c>
      <c r="BM104" s="74">
        <f t="shared" si="180"/>
        <v>11603416</v>
      </c>
      <c r="BN104" s="74">
        <f t="shared" si="180"/>
        <v>9240622</v>
      </c>
      <c r="BO104" s="74">
        <f t="shared" si="180"/>
        <v>2362794</v>
      </c>
      <c r="BP104" s="74">
        <f t="shared" si="180"/>
        <v>54454</v>
      </c>
      <c r="BQ104" s="74">
        <f t="shared" si="180"/>
        <v>37134</v>
      </c>
      <c r="BR104" s="74">
        <f t="shared" si="180"/>
        <v>17320</v>
      </c>
      <c r="BS104" s="74">
        <f t="shared" si="180"/>
        <v>3940361</v>
      </c>
      <c r="BT104" s="74">
        <f t="shared" si="180"/>
        <v>116033</v>
      </c>
      <c r="BU104" s="74">
        <f t="shared" si="180"/>
        <v>72558</v>
      </c>
      <c r="BV104" s="75">
        <f t="shared" si="180"/>
        <v>25.544500000000003</v>
      </c>
      <c r="BW104" s="75">
        <f t="shared" si="180"/>
        <v>17.930900000000001</v>
      </c>
      <c r="BX104" s="76">
        <f t="shared" si="180"/>
        <v>7.6136000000000008</v>
      </c>
      <c r="BY104" s="791">
        <f t="shared" ref="BY104:CJ104" si="181">SUM(BY101:BY103)</f>
        <v>0</v>
      </c>
      <c r="BZ104" s="679">
        <f t="shared" si="181"/>
        <v>0</v>
      </c>
      <c r="CA104" s="679">
        <f t="shared" si="181"/>
        <v>0</v>
      </c>
      <c r="CB104" s="679">
        <f t="shared" si="181"/>
        <v>0</v>
      </c>
      <c r="CC104" s="679">
        <f t="shared" si="181"/>
        <v>0</v>
      </c>
      <c r="CD104" s="947">
        <f t="shared" si="181"/>
        <v>0</v>
      </c>
      <c r="CE104" s="956">
        <f t="shared" si="181"/>
        <v>537441</v>
      </c>
      <c r="CF104" s="953">
        <f t="shared" si="181"/>
        <v>383742</v>
      </c>
      <c r="CG104" s="953">
        <f t="shared" si="181"/>
        <v>129705</v>
      </c>
      <c r="CH104" s="953">
        <f t="shared" si="181"/>
        <v>3837</v>
      </c>
      <c r="CI104" s="953">
        <f t="shared" si="181"/>
        <v>20157</v>
      </c>
      <c r="CJ104" s="877">
        <f t="shared" si="181"/>
        <v>1.3136000000000001</v>
      </c>
    </row>
    <row r="105" spans="1:88" ht="14.1" customHeight="1">
      <c r="A105" s="66">
        <v>25</v>
      </c>
      <c r="B105" s="63">
        <v>2418</v>
      </c>
      <c r="C105" s="64">
        <v>600079261</v>
      </c>
      <c r="D105" s="63">
        <v>72741783</v>
      </c>
      <c r="E105" s="65" t="s">
        <v>582</v>
      </c>
      <c r="F105" s="66">
        <v>3111</v>
      </c>
      <c r="G105" s="65" t="s">
        <v>290</v>
      </c>
      <c r="H105" s="67" t="s">
        <v>271</v>
      </c>
      <c r="I105" s="419">
        <v>3717842</v>
      </c>
      <c r="J105" s="414">
        <v>2745580</v>
      </c>
      <c r="K105" s="414">
        <v>2399379</v>
      </c>
      <c r="L105" s="414">
        <v>346201</v>
      </c>
      <c r="M105" s="414">
        <v>0</v>
      </c>
      <c r="N105" s="414">
        <v>0</v>
      </c>
      <c r="O105" s="414">
        <v>0</v>
      </c>
      <c r="P105" s="595">
        <v>928006</v>
      </c>
      <c r="Q105" s="595">
        <v>27456</v>
      </c>
      <c r="R105" s="414">
        <v>16800</v>
      </c>
      <c r="S105" s="415">
        <v>5.1781000000000006</v>
      </c>
      <c r="T105" s="415">
        <v>4</v>
      </c>
      <c r="U105" s="422">
        <v>1.1781000000000001</v>
      </c>
      <c r="V105" s="423">
        <f t="shared" si="124"/>
        <v>0</v>
      </c>
      <c r="W105" s="417">
        <f t="shared" si="125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26"/>
        <v>0</v>
      </c>
      <c r="AF105" s="417">
        <f t="shared" si="127"/>
        <v>0</v>
      </c>
      <c r="AG105" s="417">
        <f t="shared" si="128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29"/>
        <v>0</v>
      </c>
      <c r="AN105" s="417">
        <f t="shared" si="130"/>
        <v>0</v>
      </c>
      <c r="AO105" s="417">
        <f t="shared" si="131"/>
        <v>0</v>
      </c>
      <c r="AP105" s="417">
        <f t="shared" si="132"/>
        <v>0</v>
      </c>
      <c r="AQ105" s="417">
        <f t="shared" si="133"/>
        <v>0</v>
      </c>
      <c r="AR105" s="417">
        <f t="shared" si="134"/>
        <v>0</v>
      </c>
      <c r="AS105" s="68">
        <f t="shared" si="135"/>
        <v>0</v>
      </c>
      <c r="AT105" s="68">
        <f t="shared" si="136"/>
        <v>0</v>
      </c>
      <c r="AU105" s="417">
        <v>0</v>
      </c>
      <c r="AV105" s="417">
        <v>0</v>
      </c>
      <c r="AW105" s="417">
        <v>0</v>
      </c>
      <c r="AX105" s="417">
        <f t="shared" si="137"/>
        <v>0</v>
      </c>
      <c r="AY105" s="417">
        <f t="shared" si="138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39"/>
        <v>0</v>
      </c>
      <c r="BJ105" s="418">
        <f t="shared" si="140"/>
        <v>0</v>
      </c>
      <c r="BK105" s="420">
        <f t="shared" si="141"/>
        <v>0</v>
      </c>
      <c r="BL105" s="772">
        <f>I105+AY105</f>
        <v>3717842</v>
      </c>
      <c r="BM105" s="417">
        <f>J105+AG105</f>
        <v>2745580</v>
      </c>
      <c r="BN105" s="417">
        <f>K105+AE105</f>
        <v>2399379</v>
      </c>
      <c r="BO105" s="417">
        <f>L105+AF105</f>
        <v>346201</v>
      </c>
      <c r="BP105" s="417">
        <f>M105+AO105</f>
        <v>0</v>
      </c>
      <c r="BQ105" s="417">
        <f>N105+AM105</f>
        <v>0</v>
      </c>
      <c r="BR105" s="417">
        <f>O105+AN105</f>
        <v>0</v>
      </c>
      <c r="BS105" s="417">
        <f>P105+AS105</f>
        <v>928006</v>
      </c>
      <c r="BT105" s="417">
        <f>Q105+AT105</f>
        <v>27456</v>
      </c>
      <c r="BU105" s="417">
        <f>R105+AX105</f>
        <v>16800</v>
      </c>
      <c r="BV105" s="418">
        <f>S105+BK105</f>
        <v>5.1781000000000006</v>
      </c>
      <c r="BW105" s="418">
        <f>T105+BI105</f>
        <v>4</v>
      </c>
      <c r="BX105" s="420">
        <f>U105+BJ105</f>
        <v>1.1781000000000001</v>
      </c>
      <c r="BY105" s="419"/>
      <c r="BZ105" s="414"/>
      <c r="CA105" s="414"/>
      <c r="CB105" s="414"/>
      <c r="CC105" s="414"/>
      <c r="CD105" s="422"/>
      <c r="CE105" s="419">
        <f t="shared" si="142"/>
        <v>155323</v>
      </c>
      <c r="CF105" s="414">
        <v>111081</v>
      </c>
      <c r="CG105" s="414">
        <v>37545</v>
      </c>
      <c r="CH105" s="414">
        <v>1111</v>
      </c>
      <c r="CI105" s="414">
        <v>5586</v>
      </c>
      <c r="CJ105" s="509">
        <v>0.378</v>
      </c>
    </row>
    <row r="106" spans="1:88" ht="14.1" customHeight="1">
      <c r="A106" s="66">
        <v>25</v>
      </c>
      <c r="B106" s="63">
        <v>2418</v>
      </c>
      <c r="C106" s="64">
        <v>600079261</v>
      </c>
      <c r="D106" s="63">
        <v>72741783</v>
      </c>
      <c r="E106" s="65" t="s">
        <v>582</v>
      </c>
      <c r="F106" s="66">
        <v>3141</v>
      </c>
      <c r="G106" s="65" t="s">
        <v>294</v>
      </c>
      <c r="H106" s="67" t="s">
        <v>272</v>
      </c>
      <c r="I106" s="419">
        <v>606538</v>
      </c>
      <c r="J106" s="414">
        <v>448372</v>
      </c>
      <c r="K106" s="414">
        <v>0</v>
      </c>
      <c r="L106" s="744">
        <v>448372</v>
      </c>
      <c r="M106" s="414">
        <v>0</v>
      </c>
      <c r="N106" s="204">
        <v>0</v>
      </c>
      <c r="O106" s="204">
        <v>0</v>
      </c>
      <c r="P106" s="595">
        <v>151550</v>
      </c>
      <c r="Q106" s="595">
        <v>4484</v>
      </c>
      <c r="R106" s="601">
        <v>2132</v>
      </c>
      <c r="S106" s="415">
        <v>1.3432999999999999</v>
      </c>
      <c r="T106" s="603">
        <v>0</v>
      </c>
      <c r="U106" s="731">
        <v>1.3432999999999999</v>
      </c>
      <c r="V106" s="423">
        <f t="shared" si="124"/>
        <v>0</v>
      </c>
      <c r="W106" s="417">
        <f t="shared" si="125"/>
        <v>0</v>
      </c>
      <c r="X106" s="417">
        <v>0</v>
      </c>
      <c r="Y106" s="417">
        <v>0</v>
      </c>
      <c r="Z106" s="417">
        <v>0</v>
      </c>
      <c r="AA106" s="417">
        <v>-2565</v>
      </c>
      <c r="AB106" s="417">
        <v>0</v>
      </c>
      <c r="AC106" s="417">
        <v>0</v>
      </c>
      <c r="AD106" s="417">
        <v>0</v>
      </c>
      <c r="AE106" s="417">
        <f t="shared" si="126"/>
        <v>0</v>
      </c>
      <c r="AF106" s="417">
        <f t="shared" si="127"/>
        <v>-2565</v>
      </c>
      <c r="AG106" s="417">
        <f t="shared" si="128"/>
        <v>-2565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29"/>
        <v>0</v>
      </c>
      <c r="AN106" s="417">
        <f t="shared" si="130"/>
        <v>0</v>
      </c>
      <c r="AO106" s="417">
        <f t="shared" si="131"/>
        <v>0</v>
      </c>
      <c r="AP106" s="417">
        <f t="shared" si="132"/>
        <v>0</v>
      </c>
      <c r="AQ106" s="417">
        <f t="shared" si="133"/>
        <v>-2565</v>
      </c>
      <c r="AR106" s="417">
        <f t="shared" si="134"/>
        <v>-2565</v>
      </c>
      <c r="AS106" s="68">
        <f t="shared" si="135"/>
        <v>-867</v>
      </c>
      <c r="AT106" s="68">
        <f t="shared" si="136"/>
        <v>-26</v>
      </c>
      <c r="AU106" s="417">
        <v>0</v>
      </c>
      <c r="AV106" s="417">
        <v>0</v>
      </c>
      <c r="AW106" s="417">
        <v>0</v>
      </c>
      <c r="AX106" s="417">
        <f t="shared" si="137"/>
        <v>0</v>
      </c>
      <c r="AY106" s="417">
        <f t="shared" si="138"/>
        <v>-3458</v>
      </c>
      <c r="AZ106" s="418">
        <v>0</v>
      </c>
      <c r="BA106" s="418">
        <v>0</v>
      </c>
      <c r="BB106" s="418">
        <v>0</v>
      </c>
      <c r="BC106" s="418">
        <v>0</v>
      </c>
      <c r="BD106" s="418">
        <v>-0.01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39"/>
        <v>0</v>
      </c>
      <c r="BJ106" s="418">
        <f t="shared" si="140"/>
        <v>-0.01</v>
      </c>
      <c r="BK106" s="420">
        <f t="shared" si="141"/>
        <v>-0.01</v>
      </c>
      <c r="BL106" s="772">
        <f>I106+AY106</f>
        <v>603080</v>
      </c>
      <c r="BM106" s="417">
        <f>J106+AG106</f>
        <v>445807</v>
      </c>
      <c r="BN106" s="417">
        <f>K106+AE106</f>
        <v>0</v>
      </c>
      <c r="BO106" s="417">
        <f>L106+AF106</f>
        <v>445807</v>
      </c>
      <c r="BP106" s="417">
        <f>M106+AO106</f>
        <v>0</v>
      </c>
      <c r="BQ106" s="417">
        <f>N106+AM106</f>
        <v>0</v>
      </c>
      <c r="BR106" s="417">
        <f>O106+AN106</f>
        <v>0</v>
      </c>
      <c r="BS106" s="417">
        <f>P106+AS106</f>
        <v>150683</v>
      </c>
      <c r="BT106" s="417">
        <f>Q106+AT106</f>
        <v>4458</v>
      </c>
      <c r="BU106" s="417">
        <f>R106+AX106</f>
        <v>2132</v>
      </c>
      <c r="BV106" s="418">
        <f>S106+BK106</f>
        <v>1.3332999999999999</v>
      </c>
      <c r="BW106" s="418">
        <f>T106+BI106</f>
        <v>0</v>
      </c>
      <c r="BX106" s="420">
        <f>U106+BJ106</f>
        <v>1.3332999999999999</v>
      </c>
      <c r="BY106" s="419"/>
      <c r="BZ106" s="414"/>
      <c r="CA106" s="414"/>
      <c r="CB106" s="414"/>
      <c r="CC106" s="414"/>
      <c r="CD106" s="422"/>
      <c r="CE106" s="419">
        <f t="shared" si="142"/>
        <v>0</v>
      </c>
      <c r="CF106" s="414">
        <v>0</v>
      </c>
      <c r="CG106" s="414">
        <v>0</v>
      </c>
      <c r="CH106" s="414">
        <v>0</v>
      </c>
      <c r="CI106" s="414">
        <v>0</v>
      </c>
      <c r="CJ106" s="509">
        <v>0</v>
      </c>
    </row>
    <row r="107" spans="1:88" ht="13.5" customHeight="1">
      <c r="A107" s="72">
        <v>25</v>
      </c>
      <c r="B107" s="69">
        <v>2418</v>
      </c>
      <c r="C107" s="70">
        <v>600079261</v>
      </c>
      <c r="D107" s="69">
        <v>72741783</v>
      </c>
      <c r="E107" s="71" t="s">
        <v>583</v>
      </c>
      <c r="F107" s="72"/>
      <c r="G107" s="71"/>
      <c r="H107" s="73"/>
      <c r="I107" s="516">
        <v>4324380</v>
      </c>
      <c r="J107" s="74">
        <v>3193952</v>
      </c>
      <c r="K107" s="74">
        <v>2399379</v>
      </c>
      <c r="L107" s="74">
        <v>794573</v>
      </c>
      <c r="M107" s="74">
        <v>0</v>
      </c>
      <c r="N107" s="74">
        <v>0</v>
      </c>
      <c r="O107" s="74">
        <v>0</v>
      </c>
      <c r="P107" s="74">
        <v>1079556</v>
      </c>
      <c r="Q107" s="74">
        <v>31940</v>
      </c>
      <c r="R107" s="74">
        <v>18932</v>
      </c>
      <c r="S107" s="75">
        <v>6.5214000000000008</v>
      </c>
      <c r="T107" s="75">
        <v>4</v>
      </c>
      <c r="U107" s="653">
        <v>2.5213999999999999</v>
      </c>
      <c r="V107" s="516">
        <f t="shared" ref="V107:BX107" si="182">SUM(V105:V106)</f>
        <v>0</v>
      </c>
      <c r="W107" s="74">
        <f t="shared" si="182"/>
        <v>0</v>
      </c>
      <c r="X107" s="74">
        <f t="shared" si="182"/>
        <v>0</v>
      </c>
      <c r="Y107" s="74">
        <f t="shared" si="182"/>
        <v>0</v>
      </c>
      <c r="Z107" s="74">
        <f t="shared" si="182"/>
        <v>0</v>
      </c>
      <c r="AA107" s="74">
        <f t="shared" si="182"/>
        <v>-2565</v>
      </c>
      <c r="AB107" s="74">
        <f t="shared" si="182"/>
        <v>0</v>
      </c>
      <c r="AC107" s="74">
        <f t="shared" si="182"/>
        <v>0</v>
      </c>
      <c r="AD107" s="74">
        <f t="shared" si="182"/>
        <v>0</v>
      </c>
      <c r="AE107" s="74">
        <f t="shared" si="182"/>
        <v>0</v>
      </c>
      <c r="AF107" s="74">
        <f t="shared" si="182"/>
        <v>-2565</v>
      </c>
      <c r="AG107" s="74">
        <f t="shared" si="182"/>
        <v>-2565</v>
      </c>
      <c r="AH107" s="74">
        <f t="shared" si="182"/>
        <v>0</v>
      </c>
      <c r="AI107" s="74">
        <f t="shared" si="182"/>
        <v>0</v>
      </c>
      <c r="AJ107" s="74">
        <f t="shared" si="182"/>
        <v>0</v>
      </c>
      <c r="AK107" s="74">
        <f t="shared" si="182"/>
        <v>0</v>
      </c>
      <c r="AL107" s="74">
        <f t="shared" si="182"/>
        <v>0</v>
      </c>
      <c r="AM107" s="74">
        <f t="shared" si="182"/>
        <v>0</v>
      </c>
      <c r="AN107" s="74">
        <f t="shared" si="182"/>
        <v>0</v>
      </c>
      <c r="AO107" s="74">
        <f t="shared" si="182"/>
        <v>0</v>
      </c>
      <c r="AP107" s="74">
        <f t="shared" si="182"/>
        <v>0</v>
      </c>
      <c r="AQ107" s="74">
        <f t="shared" si="182"/>
        <v>-2565</v>
      </c>
      <c r="AR107" s="74">
        <f t="shared" si="182"/>
        <v>-2565</v>
      </c>
      <c r="AS107" s="74">
        <f t="shared" si="182"/>
        <v>-867</v>
      </c>
      <c r="AT107" s="74">
        <f t="shared" si="182"/>
        <v>-26</v>
      </c>
      <c r="AU107" s="74">
        <f t="shared" si="182"/>
        <v>0</v>
      </c>
      <c r="AV107" s="74">
        <f t="shared" si="182"/>
        <v>0</v>
      </c>
      <c r="AW107" s="74">
        <f t="shared" si="182"/>
        <v>0</v>
      </c>
      <c r="AX107" s="74">
        <f t="shared" si="182"/>
        <v>0</v>
      </c>
      <c r="AY107" s="74">
        <f t="shared" si="182"/>
        <v>-3458</v>
      </c>
      <c r="AZ107" s="75">
        <f t="shared" si="182"/>
        <v>0</v>
      </c>
      <c r="BA107" s="75">
        <f t="shared" si="182"/>
        <v>0</v>
      </c>
      <c r="BB107" s="75">
        <f t="shared" si="182"/>
        <v>0</v>
      </c>
      <c r="BC107" s="75">
        <f t="shared" si="182"/>
        <v>0</v>
      </c>
      <c r="BD107" s="75">
        <f t="shared" si="182"/>
        <v>-0.01</v>
      </c>
      <c r="BE107" s="75">
        <f t="shared" si="182"/>
        <v>0</v>
      </c>
      <c r="BF107" s="75">
        <f t="shared" si="182"/>
        <v>0</v>
      </c>
      <c r="BG107" s="75">
        <f t="shared" si="182"/>
        <v>0</v>
      </c>
      <c r="BH107" s="75">
        <f t="shared" si="182"/>
        <v>0</v>
      </c>
      <c r="BI107" s="75">
        <f t="shared" si="182"/>
        <v>0</v>
      </c>
      <c r="BJ107" s="75">
        <f t="shared" si="182"/>
        <v>-0.01</v>
      </c>
      <c r="BK107" s="76">
        <f t="shared" si="182"/>
        <v>-0.01</v>
      </c>
      <c r="BL107" s="781">
        <f t="shared" si="182"/>
        <v>4320922</v>
      </c>
      <c r="BM107" s="74">
        <f t="shared" si="182"/>
        <v>3191387</v>
      </c>
      <c r="BN107" s="74">
        <f t="shared" si="182"/>
        <v>2399379</v>
      </c>
      <c r="BO107" s="74">
        <f t="shared" si="182"/>
        <v>792008</v>
      </c>
      <c r="BP107" s="74">
        <f t="shared" si="182"/>
        <v>0</v>
      </c>
      <c r="BQ107" s="74">
        <f t="shared" si="182"/>
        <v>0</v>
      </c>
      <c r="BR107" s="74">
        <f t="shared" si="182"/>
        <v>0</v>
      </c>
      <c r="BS107" s="74">
        <f t="shared" si="182"/>
        <v>1078689</v>
      </c>
      <c r="BT107" s="74">
        <f t="shared" si="182"/>
        <v>31914</v>
      </c>
      <c r="BU107" s="74">
        <f t="shared" si="182"/>
        <v>18932</v>
      </c>
      <c r="BV107" s="75">
        <f t="shared" si="182"/>
        <v>6.5114000000000001</v>
      </c>
      <c r="BW107" s="75">
        <f t="shared" si="182"/>
        <v>4</v>
      </c>
      <c r="BX107" s="76">
        <f t="shared" si="182"/>
        <v>2.5114000000000001</v>
      </c>
      <c r="BY107" s="791">
        <f t="shared" ref="BY107:CJ107" si="183">SUM(BY105:BY106)</f>
        <v>0</v>
      </c>
      <c r="BZ107" s="679">
        <f t="shared" si="183"/>
        <v>0</v>
      </c>
      <c r="CA107" s="679">
        <f t="shared" si="183"/>
        <v>0</v>
      </c>
      <c r="CB107" s="679">
        <f t="shared" si="183"/>
        <v>0</v>
      </c>
      <c r="CC107" s="679">
        <f t="shared" si="183"/>
        <v>0</v>
      </c>
      <c r="CD107" s="947">
        <f t="shared" si="183"/>
        <v>0</v>
      </c>
      <c r="CE107" s="956">
        <f t="shared" si="183"/>
        <v>155323</v>
      </c>
      <c r="CF107" s="953">
        <f t="shared" si="183"/>
        <v>111081</v>
      </c>
      <c r="CG107" s="953">
        <f t="shared" si="183"/>
        <v>37545</v>
      </c>
      <c r="CH107" s="953">
        <f t="shared" si="183"/>
        <v>1111</v>
      </c>
      <c r="CI107" s="953">
        <f t="shared" si="183"/>
        <v>5586</v>
      </c>
      <c r="CJ107" s="877">
        <f t="shared" si="183"/>
        <v>0.378</v>
      </c>
    </row>
    <row r="108" spans="1:88" ht="14.1" customHeight="1">
      <c r="A108" s="66">
        <v>26</v>
      </c>
      <c r="B108" s="63">
        <v>2414</v>
      </c>
      <c r="C108" s="64">
        <v>600079295</v>
      </c>
      <c r="D108" s="63">
        <v>72742020</v>
      </c>
      <c r="E108" s="65" t="s">
        <v>584</v>
      </c>
      <c r="F108" s="66">
        <v>3111</v>
      </c>
      <c r="G108" s="65" t="s">
        <v>290</v>
      </c>
      <c r="H108" s="67" t="s">
        <v>271</v>
      </c>
      <c r="I108" s="419">
        <v>5398541</v>
      </c>
      <c r="J108" s="414">
        <v>3987048</v>
      </c>
      <c r="K108" s="414">
        <v>3497192</v>
      </c>
      <c r="L108" s="414">
        <v>489856</v>
      </c>
      <c r="M108" s="414">
        <v>0</v>
      </c>
      <c r="N108" s="414">
        <v>0</v>
      </c>
      <c r="O108" s="414">
        <v>0</v>
      </c>
      <c r="P108" s="595">
        <v>1347622</v>
      </c>
      <c r="Q108" s="595">
        <v>39871</v>
      </c>
      <c r="R108" s="414">
        <v>24000</v>
      </c>
      <c r="S108" s="415">
        <v>7.8911000000000007</v>
      </c>
      <c r="T108" s="415">
        <v>6.2419000000000002</v>
      </c>
      <c r="U108" s="422">
        <v>1.6492</v>
      </c>
      <c r="V108" s="423">
        <f t="shared" si="124"/>
        <v>0</v>
      </c>
      <c r="W108" s="417">
        <f t="shared" si="125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26"/>
        <v>0</v>
      </c>
      <c r="AF108" s="417">
        <f t="shared" si="127"/>
        <v>0</v>
      </c>
      <c r="AG108" s="417">
        <f t="shared" si="128"/>
        <v>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29"/>
        <v>0</v>
      </c>
      <c r="AN108" s="417">
        <f t="shared" si="130"/>
        <v>0</v>
      </c>
      <c r="AO108" s="417">
        <f t="shared" si="131"/>
        <v>0</v>
      </c>
      <c r="AP108" s="417">
        <f t="shared" si="132"/>
        <v>0</v>
      </c>
      <c r="AQ108" s="417">
        <f t="shared" si="133"/>
        <v>0</v>
      </c>
      <c r="AR108" s="417">
        <f t="shared" si="134"/>
        <v>0</v>
      </c>
      <c r="AS108" s="68">
        <f t="shared" si="135"/>
        <v>0</v>
      </c>
      <c r="AT108" s="68">
        <f t="shared" si="136"/>
        <v>0</v>
      </c>
      <c r="AU108" s="417">
        <v>0</v>
      </c>
      <c r="AV108" s="417">
        <v>0</v>
      </c>
      <c r="AW108" s="417">
        <v>0</v>
      </c>
      <c r="AX108" s="417">
        <f t="shared" si="137"/>
        <v>0</v>
      </c>
      <c r="AY108" s="417">
        <f t="shared" si="138"/>
        <v>0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39"/>
        <v>0</v>
      </c>
      <c r="BJ108" s="418">
        <f t="shared" si="140"/>
        <v>0</v>
      </c>
      <c r="BK108" s="420">
        <f t="shared" si="141"/>
        <v>0</v>
      </c>
      <c r="BL108" s="772">
        <f>I108+AY108</f>
        <v>5398541</v>
      </c>
      <c r="BM108" s="417">
        <f>J108+AG108</f>
        <v>3987048</v>
      </c>
      <c r="BN108" s="417">
        <f t="shared" ref="BN108:BO110" si="184">K108+AE108</f>
        <v>3497192</v>
      </c>
      <c r="BO108" s="417">
        <f t="shared" si="184"/>
        <v>489856</v>
      </c>
      <c r="BP108" s="417">
        <f>M108+AO108</f>
        <v>0</v>
      </c>
      <c r="BQ108" s="417">
        <f t="shared" ref="BQ108:BR110" si="185">N108+AM108</f>
        <v>0</v>
      </c>
      <c r="BR108" s="417">
        <f t="shared" si="185"/>
        <v>0</v>
      </c>
      <c r="BS108" s="417">
        <f t="shared" ref="BS108:BT110" si="186">P108+AS108</f>
        <v>1347622</v>
      </c>
      <c r="BT108" s="417">
        <f t="shared" si="186"/>
        <v>39871</v>
      </c>
      <c r="BU108" s="417">
        <f>R108+AX108</f>
        <v>24000</v>
      </c>
      <c r="BV108" s="418">
        <f>S108+BK108</f>
        <v>7.8911000000000007</v>
      </c>
      <c r="BW108" s="418">
        <f t="shared" ref="BW108:BX110" si="187">T108+BI108</f>
        <v>6.2419000000000002</v>
      </c>
      <c r="BX108" s="420">
        <f t="shared" si="187"/>
        <v>1.6492</v>
      </c>
      <c r="BY108" s="419"/>
      <c r="BZ108" s="414"/>
      <c r="CA108" s="414"/>
      <c r="CB108" s="414"/>
      <c r="CC108" s="414"/>
      <c r="CD108" s="422"/>
      <c r="CE108" s="419">
        <f t="shared" si="142"/>
        <v>219868</v>
      </c>
      <c r="CF108" s="414">
        <v>157187</v>
      </c>
      <c r="CG108" s="414">
        <v>53129</v>
      </c>
      <c r="CH108" s="414">
        <v>1572</v>
      </c>
      <c r="CI108" s="414">
        <v>7980</v>
      </c>
      <c r="CJ108" s="509">
        <v>0.5292</v>
      </c>
    </row>
    <row r="109" spans="1:88" ht="14.1" customHeight="1">
      <c r="A109" s="66">
        <v>26</v>
      </c>
      <c r="B109" s="63">
        <v>2414</v>
      </c>
      <c r="C109" s="64">
        <v>600079295</v>
      </c>
      <c r="D109" s="63">
        <v>72742020</v>
      </c>
      <c r="E109" s="65" t="s">
        <v>584</v>
      </c>
      <c r="F109" s="66">
        <v>3111</v>
      </c>
      <c r="G109" s="77" t="s">
        <v>291</v>
      </c>
      <c r="H109" s="67" t="s">
        <v>272</v>
      </c>
      <c r="I109" s="419">
        <v>104133</v>
      </c>
      <c r="J109" s="414">
        <v>77250</v>
      </c>
      <c r="K109" s="414">
        <v>77250</v>
      </c>
      <c r="L109" s="414">
        <v>0</v>
      </c>
      <c r="M109" s="414">
        <v>0</v>
      </c>
      <c r="N109" s="414">
        <v>0</v>
      </c>
      <c r="O109" s="414">
        <v>0</v>
      </c>
      <c r="P109" s="595">
        <v>26111</v>
      </c>
      <c r="Q109" s="595">
        <v>772</v>
      </c>
      <c r="R109" s="414">
        <v>0</v>
      </c>
      <c r="S109" s="415">
        <v>0.2</v>
      </c>
      <c r="T109" s="416">
        <v>0.2</v>
      </c>
      <c r="U109" s="422">
        <v>0</v>
      </c>
      <c r="V109" s="423">
        <f t="shared" si="124"/>
        <v>0</v>
      </c>
      <c r="W109" s="417">
        <f t="shared" si="125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26"/>
        <v>0</v>
      </c>
      <c r="AF109" s="417">
        <f t="shared" si="127"/>
        <v>0</v>
      </c>
      <c r="AG109" s="417">
        <f t="shared" si="128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29"/>
        <v>0</v>
      </c>
      <c r="AN109" s="417">
        <f t="shared" si="130"/>
        <v>0</v>
      </c>
      <c r="AO109" s="417">
        <f t="shared" si="131"/>
        <v>0</v>
      </c>
      <c r="AP109" s="417">
        <f t="shared" si="132"/>
        <v>0</v>
      </c>
      <c r="AQ109" s="417">
        <f t="shared" si="133"/>
        <v>0</v>
      </c>
      <c r="AR109" s="417">
        <f t="shared" si="134"/>
        <v>0</v>
      </c>
      <c r="AS109" s="68">
        <f t="shared" si="135"/>
        <v>0</v>
      </c>
      <c r="AT109" s="68">
        <f t="shared" si="136"/>
        <v>0</v>
      </c>
      <c r="AU109" s="417">
        <v>0</v>
      </c>
      <c r="AV109" s="417">
        <v>0</v>
      </c>
      <c r="AW109" s="417">
        <v>0</v>
      </c>
      <c r="AX109" s="417">
        <f t="shared" si="137"/>
        <v>0</v>
      </c>
      <c r="AY109" s="417">
        <f t="shared" si="138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39"/>
        <v>0</v>
      </c>
      <c r="BJ109" s="418">
        <f t="shared" si="140"/>
        <v>0</v>
      </c>
      <c r="BK109" s="420">
        <f t="shared" si="141"/>
        <v>0</v>
      </c>
      <c r="BL109" s="772">
        <f>I109+AY109</f>
        <v>104133</v>
      </c>
      <c r="BM109" s="417">
        <f>J109+AG109</f>
        <v>77250</v>
      </c>
      <c r="BN109" s="417">
        <f t="shared" si="184"/>
        <v>77250</v>
      </c>
      <c r="BO109" s="417">
        <f t="shared" si="184"/>
        <v>0</v>
      </c>
      <c r="BP109" s="417">
        <f>M109+AO109</f>
        <v>0</v>
      </c>
      <c r="BQ109" s="417">
        <f t="shared" si="185"/>
        <v>0</v>
      </c>
      <c r="BR109" s="417">
        <f t="shared" si="185"/>
        <v>0</v>
      </c>
      <c r="BS109" s="417">
        <f t="shared" si="186"/>
        <v>26111</v>
      </c>
      <c r="BT109" s="417">
        <f t="shared" si="186"/>
        <v>772</v>
      </c>
      <c r="BU109" s="417">
        <f>R109+AX109</f>
        <v>0</v>
      </c>
      <c r="BV109" s="418">
        <f>S109+BK109</f>
        <v>0.2</v>
      </c>
      <c r="BW109" s="418">
        <f t="shared" si="187"/>
        <v>0.2</v>
      </c>
      <c r="BX109" s="420">
        <f t="shared" si="187"/>
        <v>0</v>
      </c>
      <c r="BY109" s="419"/>
      <c r="BZ109" s="414"/>
      <c r="CA109" s="414"/>
      <c r="CB109" s="414"/>
      <c r="CC109" s="414"/>
      <c r="CD109" s="422"/>
      <c r="CE109" s="419">
        <f t="shared" si="142"/>
        <v>0</v>
      </c>
      <c r="CF109" s="414">
        <v>0</v>
      </c>
      <c r="CG109" s="414">
        <v>0</v>
      </c>
      <c r="CH109" s="414">
        <v>0</v>
      </c>
      <c r="CI109" s="414">
        <v>0</v>
      </c>
      <c r="CJ109" s="509">
        <v>0</v>
      </c>
    </row>
    <row r="110" spans="1:88" ht="14.1" customHeight="1">
      <c r="A110" s="66">
        <v>26</v>
      </c>
      <c r="B110" s="63">
        <v>2414</v>
      </c>
      <c r="C110" s="64">
        <v>600079295</v>
      </c>
      <c r="D110" s="63">
        <v>72742020</v>
      </c>
      <c r="E110" s="65" t="s">
        <v>584</v>
      </c>
      <c r="F110" s="66">
        <v>3141</v>
      </c>
      <c r="G110" s="65" t="s">
        <v>294</v>
      </c>
      <c r="H110" s="67" t="s">
        <v>272</v>
      </c>
      <c r="I110" s="419">
        <v>787309</v>
      </c>
      <c r="J110" s="414">
        <v>581743</v>
      </c>
      <c r="K110" s="414">
        <v>0</v>
      </c>
      <c r="L110" s="744">
        <v>581743</v>
      </c>
      <c r="M110" s="414">
        <v>0</v>
      </c>
      <c r="N110" s="204">
        <v>0</v>
      </c>
      <c r="O110" s="204">
        <v>0</v>
      </c>
      <c r="P110" s="595">
        <v>196629</v>
      </c>
      <c r="Q110" s="595">
        <v>5817</v>
      </c>
      <c r="R110" s="601">
        <v>3120</v>
      </c>
      <c r="S110" s="415">
        <v>1.7399999999999998</v>
      </c>
      <c r="T110" s="603">
        <v>0</v>
      </c>
      <c r="U110" s="731">
        <v>1.7399999999999998</v>
      </c>
      <c r="V110" s="423">
        <f t="shared" si="124"/>
        <v>0</v>
      </c>
      <c r="W110" s="417">
        <f t="shared" si="125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26"/>
        <v>0</v>
      </c>
      <c r="AF110" s="417">
        <f t="shared" si="127"/>
        <v>0</v>
      </c>
      <c r="AG110" s="417">
        <f t="shared" si="128"/>
        <v>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29"/>
        <v>0</v>
      </c>
      <c r="AN110" s="417">
        <f t="shared" si="130"/>
        <v>0</v>
      </c>
      <c r="AO110" s="417">
        <f t="shared" si="131"/>
        <v>0</v>
      </c>
      <c r="AP110" s="417">
        <f t="shared" si="132"/>
        <v>0</v>
      </c>
      <c r="AQ110" s="417">
        <f t="shared" si="133"/>
        <v>0</v>
      </c>
      <c r="AR110" s="417">
        <f t="shared" si="134"/>
        <v>0</v>
      </c>
      <c r="AS110" s="68">
        <f t="shared" si="135"/>
        <v>0</v>
      </c>
      <c r="AT110" s="68">
        <f t="shared" si="136"/>
        <v>0</v>
      </c>
      <c r="AU110" s="417">
        <v>0</v>
      </c>
      <c r="AV110" s="417">
        <v>0</v>
      </c>
      <c r="AW110" s="417">
        <v>0</v>
      </c>
      <c r="AX110" s="417">
        <f t="shared" si="137"/>
        <v>0</v>
      </c>
      <c r="AY110" s="417">
        <f t="shared" si="138"/>
        <v>0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39"/>
        <v>0</v>
      </c>
      <c r="BJ110" s="418">
        <f t="shared" si="140"/>
        <v>0</v>
      </c>
      <c r="BK110" s="420">
        <f t="shared" si="141"/>
        <v>0</v>
      </c>
      <c r="BL110" s="772">
        <f>I110+AY110</f>
        <v>787309</v>
      </c>
      <c r="BM110" s="417">
        <f>J110+AG110</f>
        <v>581743</v>
      </c>
      <c r="BN110" s="417">
        <f t="shared" si="184"/>
        <v>0</v>
      </c>
      <c r="BO110" s="417">
        <f t="shared" si="184"/>
        <v>581743</v>
      </c>
      <c r="BP110" s="417">
        <f>M110+AO110</f>
        <v>0</v>
      </c>
      <c r="BQ110" s="417">
        <f t="shared" si="185"/>
        <v>0</v>
      </c>
      <c r="BR110" s="417">
        <f t="shared" si="185"/>
        <v>0</v>
      </c>
      <c r="BS110" s="417">
        <f t="shared" si="186"/>
        <v>196629</v>
      </c>
      <c r="BT110" s="417">
        <f t="shared" si="186"/>
        <v>5817</v>
      </c>
      <c r="BU110" s="417">
        <f>R110+AX110</f>
        <v>3120</v>
      </c>
      <c r="BV110" s="418">
        <f>S110+BK110</f>
        <v>1.7399999999999998</v>
      </c>
      <c r="BW110" s="418">
        <f t="shared" si="187"/>
        <v>0</v>
      </c>
      <c r="BX110" s="420">
        <f t="shared" si="187"/>
        <v>1.7399999999999998</v>
      </c>
      <c r="BY110" s="419"/>
      <c r="BZ110" s="414"/>
      <c r="CA110" s="414"/>
      <c r="CB110" s="414"/>
      <c r="CC110" s="414"/>
      <c r="CD110" s="422"/>
      <c r="CE110" s="419">
        <f t="shared" si="142"/>
        <v>0</v>
      </c>
      <c r="CF110" s="414">
        <v>0</v>
      </c>
      <c r="CG110" s="414">
        <v>0</v>
      </c>
      <c r="CH110" s="414">
        <v>0</v>
      </c>
      <c r="CI110" s="414">
        <v>0</v>
      </c>
      <c r="CJ110" s="509">
        <v>0</v>
      </c>
    </row>
    <row r="111" spans="1:88" ht="14.1" customHeight="1">
      <c r="A111" s="72">
        <v>26</v>
      </c>
      <c r="B111" s="69">
        <v>2414</v>
      </c>
      <c r="C111" s="70">
        <v>600079295</v>
      </c>
      <c r="D111" s="69">
        <v>72742020</v>
      </c>
      <c r="E111" s="71" t="s">
        <v>585</v>
      </c>
      <c r="F111" s="72"/>
      <c r="G111" s="71"/>
      <c r="H111" s="73"/>
      <c r="I111" s="516">
        <v>6289983</v>
      </c>
      <c r="J111" s="74">
        <v>4646041</v>
      </c>
      <c r="K111" s="74">
        <v>3574442</v>
      </c>
      <c r="L111" s="74">
        <v>1071599</v>
      </c>
      <c r="M111" s="74">
        <v>0</v>
      </c>
      <c r="N111" s="74">
        <v>0</v>
      </c>
      <c r="O111" s="74">
        <v>0</v>
      </c>
      <c r="P111" s="74">
        <v>1570362</v>
      </c>
      <c r="Q111" s="74">
        <v>46460</v>
      </c>
      <c r="R111" s="74">
        <v>27120</v>
      </c>
      <c r="S111" s="75">
        <v>9.8311000000000011</v>
      </c>
      <c r="T111" s="75">
        <v>6.4419000000000004</v>
      </c>
      <c r="U111" s="653">
        <v>3.3891999999999998</v>
      </c>
      <c r="V111" s="516">
        <f t="shared" ref="V111:BX111" si="188">SUM(V108:V110)</f>
        <v>0</v>
      </c>
      <c r="W111" s="74">
        <f t="shared" si="188"/>
        <v>0</v>
      </c>
      <c r="X111" s="74">
        <f t="shared" si="188"/>
        <v>0</v>
      </c>
      <c r="Y111" s="74">
        <f t="shared" si="188"/>
        <v>0</v>
      </c>
      <c r="Z111" s="74">
        <f t="shared" si="188"/>
        <v>0</v>
      </c>
      <c r="AA111" s="74">
        <f t="shared" si="188"/>
        <v>0</v>
      </c>
      <c r="AB111" s="74">
        <f t="shared" si="188"/>
        <v>0</v>
      </c>
      <c r="AC111" s="74">
        <f t="shared" si="188"/>
        <v>0</v>
      </c>
      <c r="AD111" s="74">
        <f t="shared" si="188"/>
        <v>0</v>
      </c>
      <c r="AE111" s="74">
        <f t="shared" si="188"/>
        <v>0</v>
      </c>
      <c r="AF111" s="74">
        <f t="shared" si="188"/>
        <v>0</v>
      </c>
      <c r="AG111" s="74">
        <f t="shared" si="188"/>
        <v>0</v>
      </c>
      <c r="AH111" s="74">
        <f t="shared" si="188"/>
        <v>0</v>
      </c>
      <c r="AI111" s="74">
        <f t="shared" si="188"/>
        <v>0</v>
      </c>
      <c r="AJ111" s="74">
        <f t="shared" si="188"/>
        <v>0</v>
      </c>
      <c r="AK111" s="74">
        <f t="shared" si="188"/>
        <v>0</v>
      </c>
      <c r="AL111" s="74">
        <f t="shared" si="188"/>
        <v>0</v>
      </c>
      <c r="AM111" s="74">
        <f t="shared" si="188"/>
        <v>0</v>
      </c>
      <c r="AN111" s="74">
        <f t="shared" si="188"/>
        <v>0</v>
      </c>
      <c r="AO111" s="74">
        <f t="shared" si="188"/>
        <v>0</v>
      </c>
      <c r="AP111" s="74">
        <f t="shared" si="188"/>
        <v>0</v>
      </c>
      <c r="AQ111" s="74">
        <f t="shared" si="188"/>
        <v>0</v>
      </c>
      <c r="AR111" s="74">
        <f t="shared" si="188"/>
        <v>0</v>
      </c>
      <c r="AS111" s="74">
        <f t="shared" si="188"/>
        <v>0</v>
      </c>
      <c r="AT111" s="74">
        <f t="shared" si="188"/>
        <v>0</v>
      </c>
      <c r="AU111" s="74">
        <f t="shared" si="188"/>
        <v>0</v>
      </c>
      <c r="AV111" s="74">
        <f t="shared" si="188"/>
        <v>0</v>
      </c>
      <c r="AW111" s="74">
        <f t="shared" si="188"/>
        <v>0</v>
      </c>
      <c r="AX111" s="74">
        <f t="shared" si="188"/>
        <v>0</v>
      </c>
      <c r="AY111" s="74">
        <f t="shared" si="188"/>
        <v>0</v>
      </c>
      <c r="AZ111" s="75">
        <f t="shared" si="188"/>
        <v>0</v>
      </c>
      <c r="BA111" s="75">
        <f t="shared" si="188"/>
        <v>0</v>
      </c>
      <c r="BB111" s="75">
        <f t="shared" si="188"/>
        <v>0</v>
      </c>
      <c r="BC111" s="75">
        <f t="shared" si="188"/>
        <v>0</v>
      </c>
      <c r="BD111" s="75">
        <f t="shared" si="188"/>
        <v>0</v>
      </c>
      <c r="BE111" s="75">
        <f t="shared" si="188"/>
        <v>0</v>
      </c>
      <c r="BF111" s="75">
        <f t="shared" si="188"/>
        <v>0</v>
      </c>
      <c r="BG111" s="75">
        <f t="shared" si="188"/>
        <v>0</v>
      </c>
      <c r="BH111" s="75">
        <f t="shared" si="188"/>
        <v>0</v>
      </c>
      <c r="BI111" s="75">
        <f t="shared" si="188"/>
        <v>0</v>
      </c>
      <c r="BJ111" s="75">
        <f t="shared" si="188"/>
        <v>0</v>
      </c>
      <c r="BK111" s="76">
        <f t="shared" si="188"/>
        <v>0</v>
      </c>
      <c r="BL111" s="781">
        <f t="shared" si="188"/>
        <v>6289983</v>
      </c>
      <c r="BM111" s="74">
        <f t="shared" si="188"/>
        <v>4646041</v>
      </c>
      <c r="BN111" s="74">
        <f t="shared" si="188"/>
        <v>3574442</v>
      </c>
      <c r="BO111" s="74">
        <f t="shared" si="188"/>
        <v>1071599</v>
      </c>
      <c r="BP111" s="74">
        <f t="shared" si="188"/>
        <v>0</v>
      </c>
      <c r="BQ111" s="74">
        <f t="shared" si="188"/>
        <v>0</v>
      </c>
      <c r="BR111" s="74">
        <f t="shared" si="188"/>
        <v>0</v>
      </c>
      <c r="BS111" s="74">
        <f t="shared" si="188"/>
        <v>1570362</v>
      </c>
      <c r="BT111" s="74">
        <f t="shared" si="188"/>
        <v>46460</v>
      </c>
      <c r="BU111" s="74">
        <f t="shared" si="188"/>
        <v>27120</v>
      </c>
      <c r="BV111" s="75">
        <f t="shared" si="188"/>
        <v>9.8311000000000011</v>
      </c>
      <c r="BW111" s="75">
        <f t="shared" si="188"/>
        <v>6.4419000000000004</v>
      </c>
      <c r="BX111" s="76">
        <f t="shared" si="188"/>
        <v>3.3891999999999998</v>
      </c>
      <c r="BY111" s="791">
        <f t="shared" ref="BY111:CJ111" si="189">SUM(BY108:BY110)</f>
        <v>0</v>
      </c>
      <c r="BZ111" s="679">
        <f t="shared" si="189"/>
        <v>0</v>
      </c>
      <c r="CA111" s="679">
        <f t="shared" si="189"/>
        <v>0</v>
      </c>
      <c r="CB111" s="679">
        <f t="shared" si="189"/>
        <v>0</v>
      </c>
      <c r="CC111" s="679">
        <f t="shared" si="189"/>
        <v>0</v>
      </c>
      <c r="CD111" s="947">
        <f t="shared" si="189"/>
        <v>0</v>
      </c>
      <c r="CE111" s="956">
        <f t="shared" si="189"/>
        <v>219868</v>
      </c>
      <c r="CF111" s="953">
        <f t="shared" si="189"/>
        <v>157187</v>
      </c>
      <c r="CG111" s="953">
        <f t="shared" si="189"/>
        <v>53129</v>
      </c>
      <c r="CH111" s="953">
        <f t="shared" si="189"/>
        <v>1572</v>
      </c>
      <c r="CI111" s="953">
        <f t="shared" si="189"/>
        <v>7980</v>
      </c>
      <c r="CJ111" s="877">
        <f t="shared" si="189"/>
        <v>0.5292</v>
      </c>
    </row>
    <row r="112" spans="1:88" ht="14.1" customHeight="1">
      <c r="A112" s="66">
        <v>27</v>
      </c>
      <c r="B112" s="63">
        <v>2443</v>
      </c>
      <c r="C112" s="64">
        <v>600079309</v>
      </c>
      <c r="D112" s="63">
        <v>72743051</v>
      </c>
      <c r="E112" s="65" t="s">
        <v>586</v>
      </c>
      <c r="F112" s="66">
        <v>3111</v>
      </c>
      <c r="G112" s="65" t="s">
        <v>290</v>
      </c>
      <c r="H112" s="67" t="s">
        <v>271</v>
      </c>
      <c r="I112" s="419">
        <v>5195100</v>
      </c>
      <c r="J112" s="414">
        <v>3836128</v>
      </c>
      <c r="K112" s="414">
        <v>3346272</v>
      </c>
      <c r="L112" s="414">
        <v>489856</v>
      </c>
      <c r="M112" s="414">
        <v>0</v>
      </c>
      <c r="N112" s="414">
        <v>0</v>
      </c>
      <c r="O112" s="414">
        <v>0</v>
      </c>
      <c r="P112" s="595">
        <v>1296611</v>
      </c>
      <c r="Q112" s="595">
        <v>38361</v>
      </c>
      <c r="R112" s="414">
        <v>24000</v>
      </c>
      <c r="S112" s="415">
        <v>7.6492000000000004</v>
      </c>
      <c r="T112" s="415">
        <v>6</v>
      </c>
      <c r="U112" s="422">
        <v>1.6492</v>
      </c>
      <c r="V112" s="423">
        <f t="shared" si="124"/>
        <v>0</v>
      </c>
      <c r="W112" s="417">
        <f t="shared" si="125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126"/>
        <v>0</v>
      </c>
      <c r="AF112" s="417">
        <f t="shared" si="127"/>
        <v>0</v>
      </c>
      <c r="AG112" s="417">
        <f t="shared" si="128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29"/>
        <v>0</v>
      </c>
      <c r="AN112" s="417">
        <f t="shared" si="130"/>
        <v>0</v>
      </c>
      <c r="AO112" s="417">
        <f t="shared" si="131"/>
        <v>0</v>
      </c>
      <c r="AP112" s="417">
        <f t="shared" si="132"/>
        <v>0</v>
      </c>
      <c r="AQ112" s="417">
        <f t="shared" si="133"/>
        <v>0</v>
      </c>
      <c r="AR112" s="417">
        <f t="shared" si="134"/>
        <v>0</v>
      </c>
      <c r="AS112" s="68">
        <f t="shared" si="135"/>
        <v>0</v>
      </c>
      <c r="AT112" s="68">
        <f t="shared" si="136"/>
        <v>0</v>
      </c>
      <c r="AU112" s="417">
        <v>0</v>
      </c>
      <c r="AV112" s="417">
        <v>0</v>
      </c>
      <c r="AW112" s="417">
        <v>0</v>
      </c>
      <c r="AX112" s="417">
        <f t="shared" si="137"/>
        <v>0</v>
      </c>
      <c r="AY112" s="417">
        <f t="shared" si="138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39"/>
        <v>0</v>
      </c>
      <c r="BJ112" s="418">
        <f t="shared" si="140"/>
        <v>0</v>
      </c>
      <c r="BK112" s="420">
        <f t="shared" si="141"/>
        <v>0</v>
      </c>
      <c r="BL112" s="772">
        <f>I112+AY112</f>
        <v>5195100</v>
      </c>
      <c r="BM112" s="417">
        <f>J112+AG112</f>
        <v>3836128</v>
      </c>
      <c r="BN112" s="417">
        <f t="shared" ref="BN112:BO114" si="190">K112+AE112</f>
        <v>3346272</v>
      </c>
      <c r="BO112" s="417">
        <f t="shared" si="190"/>
        <v>489856</v>
      </c>
      <c r="BP112" s="417">
        <f>M112+AO112</f>
        <v>0</v>
      </c>
      <c r="BQ112" s="417">
        <f t="shared" ref="BQ112:BR114" si="191">N112+AM112</f>
        <v>0</v>
      </c>
      <c r="BR112" s="417">
        <f t="shared" si="191"/>
        <v>0</v>
      </c>
      <c r="BS112" s="417">
        <f t="shared" ref="BS112:BT114" si="192">P112+AS112</f>
        <v>1296611</v>
      </c>
      <c r="BT112" s="417">
        <f t="shared" si="192"/>
        <v>38361</v>
      </c>
      <c r="BU112" s="417">
        <f>R112+AX112</f>
        <v>24000</v>
      </c>
      <c r="BV112" s="418">
        <f>S112+BK112</f>
        <v>7.6492000000000004</v>
      </c>
      <c r="BW112" s="418">
        <f t="shared" ref="BW112:BX114" si="193">T112+BI112</f>
        <v>6</v>
      </c>
      <c r="BX112" s="420">
        <f t="shared" si="193"/>
        <v>1.6492</v>
      </c>
      <c r="BY112" s="419"/>
      <c r="BZ112" s="414"/>
      <c r="CA112" s="414"/>
      <c r="CB112" s="414"/>
      <c r="CC112" s="414"/>
      <c r="CD112" s="422"/>
      <c r="CE112" s="419">
        <f t="shared" si="142"/>
        <v>219868</v>
      </c>
      <c r="CF112" s="414">
        <v>157187</v>
      </c>
      <c r="CG112" s="414">
        <v>53129</v>
      </c>
      <c r="CH112" s="414">
        <v>1572</v>
      </c>
      <c r="CI112" s="414">
        <v>7980</v>
      </c>
      <c r="CJ112" s="509">
        <v>0.5292</v>
      </c>
    </row>
    <row r="113" spans="1:90" ht="14.1" customHeight="1">
      <c r="A113" s="66">
        <v>27</v>
      </c>
      <c r="B113" s="63">
        <v>2443</v>
      </c>
      <c r="C113" s="64">
        <v>600079309</v>
      </c>
      <c r="D113" s="63">
        <v>72743051</v>
      </c>
      <c r="E113" s="65" t="s">
        <v>586</v>
      </c>
      <c r="F113" s="66">
        <v>3111</v>
      </c>
      <c r="G113" s="77" t="s">
        <v>291</v>
      </c>
      <c r="H113" s="67" t="s">
        <v>272</v>
      </c>
      <c r="I113" s="419">
        <v>0</v>
      </c>
      <c r="J113" s="414">
        <v>0</v>
      </c>
      <c r="K113" s="414">
        <v>0</v>
      </c>
      <c r="L113" s="414">
        <v>0</v>
      </c>
      <c r="M113" s="414">
        <v>0</v>
      </c>
      <c r="N113" s="414">
        <v>0</v>
      </c>
      <c r="O113" s="414">
        <v>0</v>
      </c>
      <c r="P113" s="595">
        <v>0</v>
      </c>
      <c r="Q113" s="595">
        <v>0</v>
      </c>
      <c r="R113" s="414">
        <v>0</v>
      </c>
      <c r="S113" s="415">
        <v>0</v>
      </c>
      <c r="T113" s="416">
        <v>0</v>
      </c>
      <c r="U113" s="422">
        <v>0</v>
      </c>
      <c r="V113" s="423">
        <f t="shared" si="124"/>
        <v>0</v>
      </c>
      <c r="W113" s="417">
        <f t="shared" si="125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26"/>
        <v>0</v>
      </c>
      <c r="AF113" s="417">
        <f t="shared" si="127"/>
        <v>0</v>
      </c>
      <c r="AG113" s="417">
        <f t="shared" si="128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29"/>
        <v>0</v>
      </c>
      <c r="AN113" s="417">
        <f t="shared" si="130"/>
        <v>0</v>
      </c>
      <c r="AO113" s="417">
        <f t="shared" si="131"/>
        <v>0</v>
      </c>
      <c r="AP113" s="417">
        <f t="shared" si="132"/>
        <v>0</v>
      </c>
      <c r="AQ113" s="417">
        <f t="shared" si="133"/>
        <v>0</v>
      </c>
      <c r="AR113" s="417">
        <f t="shared" si="134"/>
        <v>0</v>
      </c>
      <c r="AS113" s="68">
        <f t="shared" si="135"/>
        <v>0</v>
      </c>
      <c r="AT113" s="68">
        <f t="shared" si="136"/>
        <v>0</v>
      </c>
      <c r="AU113" s="417">
        <v>0</v>
      </c>
      <c r="AV113" s="417">
        <v>0</v>
      </c>
      <c r="AW113" s="417">
        <v>0</v>
      </c>
      <c r="AX113" s="417">
        <f t="shared" si="137"/>
        <v>0</v>
      </c>
      <c r="AY113" s="417">
        <f t="shared" si="138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39"/>
        <v>0</v>
      </c>
      <c r="BJ113" s="418">
        <f t="shared" si="140"/>
        <v>0</v>
      </c>
      <c r="BK113" s="420">
        <f t="shared" si="141"/>
        <v>0</v>
      </c>
      <c r="BL113" s="772">
        <f>I113+AY113</f>
        <v>0</v>
      </c>
      <c r="BM113" s="417">
        <f>J113+AG113</f>
        <v>0</v>
      </c>
      <c r="BN113" s="417">
        <f t="shared" si="190"/>
        <v>0</v>
      </c>
      <c r="BO113" s="417">
        <f t="shared" si="190"/>
        <v>0</v>
      </c>
      <c r="BP113" s="417">
        <f>M113+AO113</f>
        <v>0</v>
      </c>
      <c r="BQ113" s="417">
        <f t="shared" si="191"/>
        <v>0</v>
      </c>
      <c r="BR113" s="417">
        <f t="shared" si="191"/>
        <v>0</v>
      </c>
      <c r="BS113" s="417">
        <f t="shared" si="192"/>
        <v>0</v>
      </c>
      <c r="BT113" s="417">
        <f t="shared" si="192"/>
        <v>0</v>
      </c>
      <c r="BU113" s="417">
        <f>R113+AX113</f>
        <v>0</v>
      </c>
      <c r="BV113" s="418">
        <f>S113+BK113</f>
        <v>0</v>
      </c>
      <c r="BW113" s="418">
        <f t="shared" si="193"/>
        <v>0</v>
      </c>
      <c r="BX113" s="420">
        <f t="shared" si="193"/>
        <v>0</v>
      </c>
      <c r="BY113" s="419"/>
      <c r="BZ113" s="414"/>
      <c r="CA113" s="414"/>
      <c r="CB113" s="414"/>
      <c r="CC113" s="414"/>
      <c r="CD113" s="422"/>
      <c r="CE113" s="419">
        <f t="shared" si="142"/>
        <v>0</v>
      </c>
      <c r="CF113" s="414">
        <v>0</v>
      </c>
      <c r="CG113" s="414">
        <v>0</v>
      </c>
      <c r="CH113" s="414">
        <v>0</v>
      </c>
      <c r="CI113" s="414">
        <v>0</v>
      </c>
      <c r="CJ113" s="509">
        <v>0</v>
      </c>
    </row>
    <row r="114" spans="1:90" ht="14.1" customHeight="1">
      <c r="A114" s="66">
        <v>27</v>
      </c>
      <c r="B114" s="63">
        <v>2443</v>
      </c>
      <c r="C114" s="64">
        <v>600079309</v>
      </c>
      <c r="D114" s="63">
        <v>72743051</v>
      </c>
      <c r="E114" s="65" t="s">
        <v>586</v>
      </c>
      <c r="F114" s="66">
        <v>3141</v>
      </c>
      <c r="G114" s="65" t="s">
        <v>294</v>
      </c>
      <c r="H114" s="67" t="s">
        <v>272</v>
      </c>
      <c r="I114" s="419">
        <v>787309</v>
      </c>
      <c r="J114" s="414">
        <v>581743</v>
      </c>
      <c r="K114" s="414">
        <v>0</v>
      </c>
      <c r="L114" s="744">
        <v>581743</v>
      </c>
      <c r="M114" s="414">
        <v>0</v>
      </c>
      <c r="N114" s="204">
        <v>0</v>
      </c>
      <c r="O114" s="204">
        <v>0</v>
      </c>
      <c r="P114" s="595">
        <v>196629</v>
      </c>
      <c r="Q114" s="595">
        <v>5817</v>
      </c>
      <c r="R114" s="601">
        <v>3120</v>
      </c>
      <c r="S114" s="415">
        <v>1.7399999999999998</v>
      </c>
      <c r="T114" s="603">
        <v>0</v>
      </c>
      <c r="U114" s="731">
        <v>1.7399999999999998</v>
      </c>
      <c r="V114" s="423">
        <f t="shared" si="124"/>
        <v>0</v>
      </c>
      <c r="W114" s="417">
        <f t="shared" si="125"/>
        <v>0</v>
      </c>
      <c r="X114" s="417">
        <v>0</v>
      </c>
      <c r="Y114" s="417">
        <v>0</v>
      </c>
      <c r="Z114" s="417">
        <v>0</v>
      </c>
      <c r="AA114" s="417">
        <v>0</v>
      </c>
      <c r="AB114" s="417">
        <v>0</v>
      </c>
      <c r="AC114" s="417">
        <v>0</v>
      </c>
      <c r="AD114" s="417">
        <v>0</v>
      </c>
      <c r="AE114" s="417">
        <f t="shared" si="126"/>
        <v>0</v>
      </c>
      <c r="AF114" s="417">
        <f t="shared" si="127"/>
        <v>0</v>
      </c>
      <c r="AG114" s="417">
        <f t="shared" si="128"/>
        <v>0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29"/>
        <v>0</v>
      </c>
      <c r="AN114" s="417">
        <f t="shared" si="130"/>
        <v>0</v>
      </c>
      <c r="AO114" s="417">
        <f t="shared" si="131"/>
        <v>0</v>
      </c>
      <c r="AP114" s="417">
        <f t="shared" si="132"/>
        <v>0</v>
      </c>
      <c r="AQ114" s="417">
        <f t="shared" si="133"/>
        <v>0</v>
      </c>
      <c r="AR114" s="417">
        <f t="shared" si="134"/>
        <v>0</v>
      </c>
      <c r="AS114" s="68">
        <f t="shared" si="135"/>
        <v>0</v>
      </c>
      <c r="AT114" s="68">
        <f t="shared" si="136"/>
        <v>0</v>
      </c>
      <c r="AU114" s="417">
        <v>0</v>
      </c>
      <c r="AV114" s="417">
        <v>0</v>
      </c>
      <c r="AW114" s="417">
        <v>0</v>
      </c>
      <c r="AX114" s="417">
        <f t="shared" si="137"/>
        <v>0</v>
      </c>
      <c r="AY114" s="417">
        <f t="shared" si="138"/>
        <v>0</v>
      </c>
      <c r="AZ114" s="418">
        <v>0</v>
      </c>
      <c r="BA114" s="418">
        <v>0</v>
      </c>
      <c r="BB114" s="418">
        <v>0</v>
      </c>
      <c r="BC114" s="418">
        <v>0</v>
      </c>
      <c r="BD114" s="418">
        <v>0</v>
      </c>
      <c r="BE114" s="418">
        <v>0</v>
      </c>
      <c r="BF114" s="418">
        <v>0</v>
      </c>
      <c r="BG114" s="418">
        <v>0</v>
      </c>
      <c r="BH114" s="418">
        <v>0</v>
      </c>
      <c r="BI114" s="418">
        <f t="shared" si="139"/>
        <v>0</v>
      </c>
      <c r="BJ114" s="418">
        <f t="shared" si="140"/>
        <v>0</v>
      </c>
      <c r="BK114" s="420">
        <f t="shared" si="141"/>
        <v>0</v>
      </c>
      <c r="BL114" s="772">
        <f>I114+AY114</f>
        <v>787309</v>
      </c>
      <c r="BM114" s="417">
        <f>J114+AG114</f>
        <v>581743</v>
      </c>
      <c r="BN114" s="417">
        <f t="shared" si="190"/>
        <v>0</v>
      </c>
      <c r="BO114" s="417">
        <f t="shared" si="190"/>
        <v>581743</v>
      </c>
      <c r="BP114" s="417">
        <f>M114+AO114</f>
        <v>0</v>
      </c>
      <c r="BQ114" s="417">
        <f t="shared" si="191"/>
        <v>0</v>
      </c>
      <c r="BR114" s="417">
        <f t="shared" si="191"/>
        <v>0</v>
      </c>
      <c r="BS114" s="417">
        <f t="shared" si="192"/>
        <v>196629</v>
      </c>
      <c r="BT114" s="417">
        <f t="shared" si="192"/>
        <v>5817</v>
      </c>
      <c r="BU114" s="417">
        <f>R114+AX114</f>
        <v>3120</v>
      </c>
      <c r="BV114" s="418">
        <f>S114+BK114</f>
        <v>1.7399999999999998</v>
      </c>
      <c r="BW114" s="418">
        <f t="shared" si="193"/>
        <v>0</v>
      </c>
      <c r="BX114" s="420">
        <f t="shared" si="193"/>
        <v>1.7399999999999998</v>
      </c>
      <c r="BY114" s="419"/>
      <c r="BZ114" s="414"/>
      <c r="CA114" s="414"/>
      <c r="CB114" s="414"/>
      <c r="CC114" s="414"/>
      <c r="CD114" s="422"/>
      <c r="CE114" s="419">
        <f t="shared" si="142"/>
        <v>0</v>
      </c>
      <c r="CF114" s="414">
        <v>0</v>
      </c>
      <c r="CG114" s="414">
        <v>0</v>
      </c>
      <c r="CH114" s="414">
        <v>0</v>
      </c>
      <c r="CI114" s="414">
        <v>0</v>
      </c>
      <c r="CJ114" s="509">
        <v>0</v>
      </c>
    </row>
    <row r="115" spans="1:90" ht="14.1" customHeight="1">
      <c r="A115" s="72">
        <v>27</v>
      </c>
      <c r="B115" s="69">
        <v>2443</v>
      </c>
      <c r="C115" s="70">
        <v>600079309</v>
      </c>
      <c r="D115" s="69">
        <v>72743051</v>
      </c>
      <c r="E115" s="71" t="s">
        <v>587</v>
      </c>
      <c r="F115" s="72"/>
      <c r="G115" s="71"/>
      <c r="H115" s="73"/>
      <c r="I115" s="516">
        <v>5982409</v>
      </c>
      <c r="J115" s="74">
        <v>4417871</v>
      </c>
      <c r="K115" s="74">
        <v>3346272</v>
      </c>
      <c r="L115" s="74">
        <v>1071599</v>
      </c>
      <c r="M115" s="74">
        <v>0</v>
      </c>
      <c r="N115" s="74">
        <v>0</v>
      </c>
      <c r="O115" s="74">
        <v>0</v>
      </c>
      <c r="P115" s="74">
        <v>1493240</v>
      </c>
      <c r="Q115" s="74">
        <v>44178</v>
      </c>
      <c r="R115" s="74">
        <v>27120</v>
      </c>
      <c r="S115" s="75">
        <v>9.3892000000000007</v>
      </c>
      <c r="T115" s="75">
        <v>6</v>
      </c>
      <c r="U115" s="653">
        <v>3.3891999999999998</v>
      </c>
      <c r="V115" s="516">
        <f t="shared" ref="V115:BX115" si="194">SUM(V112:V114)</f>
        <v>0</v>
      </c>
      <c r="W115" s="74">
        <f t="shared" si="194"/>
        <v>0</v>
      </c>
      <c r="X115" s="74">
        <f t="shared" si="194"/>
        <v>0</v>
      </c>
      <c r="Y115" s="74">
        <f t="shared" si="194"/>
        <v>0</v>
      </c>
      <c r="Z115" s="74">
        <f t="shared" si="194"/>
        <v>0</v>
      </c>
      <c r="AA115" s="74">
        <f t="shared" si="194"/>
        <v>0</v>
      </c>
      <c r="AB115" s="74">
        <f t="shared" si="194"/>
        <v>0</v>
      </c>
      <c r="AC115" s="74">
        <f t="shared" si="194"/>
        <v>0</v>
      </c>
      <c r="AD115" s="74">
        <f t="shared" si="194"/>
        <v>0</v>
      </c>
      <c r="AE115" s="74">
        <f t="shared" si="194"/>
        <v>0</v>
      </c>
      <c r="AF115" s="74">
        <f t="shared" si="194"/>
        <v>0</v>
      </c>
      <c r="AG115" s="74">
        <f t="shared" si="194"/>
        <v>0</v>
      </c>
      <c r="AH115" s="74">
        <f t="shared" si="194"/>
        <v>0</v>
      </c>
      <c r="AI115" s="74">
        <f t="shared" si="194"/>
        <v>0</v>
      </c>
      <c r="AJ115" s="74">
        <f t="shared" si="194"/>
        <v>0</v>
      </c>
      <c r="AK115" s="74">
        <f t="shared" si="194"/>
        <v>0</v>
      </c>
      <c r="AL115" s="74">
        <f t="shared" si="194"/>
        <v>0</v>
      </c>
      <c r="AM115" s="74">
        <f t="shared" si="194"/>
        <v>0</v>
      </c>
      <c r="AN115" s="74">
        <f t="shared" si="194"/>
        <v>0</v>
      </c>
      <c r="AO115" s="74">
        <f t="shared" si="194"/>
        <v>0</v>
      </c>
      <c r="AP115" s="74">
        <f t="shared" si="194"/>
        <v>0</v>
      </c>
      <c r="AQ115" s="74">
        <f t="shared" si="194"/>
        <v>0</v>
      </c>
      <c r="AR115" s="74">
        <f t="shared" si="194"/>
        <v>0</v>
      </c>
      <c r="AS115" s="74">
        <f t="shared" si="194"/>
        <v>0</v>
      </c>
      <c r="AT115" s="74">
        <f t="shared" si="194"/>
        <v>0</v>
      </c>
      <c r="AU115" s="74">
        <f t="shared" si="194"/>
        <v>0</v>
      </c>
      <c r="AV115" s="74">
        <f t="shared" si="194"/>
        <v>0</v>
      </c>
      <c r="AW115" s="74">
        <f t="shared" si="194"/>
        <v>0</v>
      </c>
      <c r="AX115" s="74">
        <f t="shared" si="194"/>
        <v>0</v>
      </c>
      <c r="AY115" s="74">
        <f t="shared" si="194"/>
        <v>0</v>
      </c>
      <c r="AZ115" s="75">
        <f t="shared" si="194"/>
        <v>0</v>
      </c>
      <c r="BA115" s="75">
        <f t="shared" si="194"/>
        <v>0</v>
      </c>
      <c r="BB115" s="75">
        <f t="shared" si="194"/>
        <v>0</v>
      </c>
      <c r="BC115" s="75">
        <f t="shared" si="194"/>
        <v>0</v>
      </c>
      <c r="BD115" s="75">
        <f t="shared" si="194"/>
        <v>0</v>
      </c>
      <c r="BE115" s="75">
        <f t="shared" si="194"/>
        <v>0</v>
      </c>
      <c r="BF115" s="75">
        <f t="shared" si="194"/>
        <v>0</v>
      </c>
      <c r="BG115" s="75">
        <f t="shared" si="194"/>
        <v>0</v>
      </c>
      <c r="BH115" s="75">
        <f t="shared" si="194"/>
        <v>0</v>
      </c>
      <c r="BI115" s="75">
        <f t="shared" si="194"/>
        <v>0</v>
      </c>
      <c r="BJ115" s="75">
        <f t="shared" si="194"/>
        <v>0</v>
      </c>
      <c r="BK115" s="76">
        <f t="shared" si="194"/>
        <v>0</v>
      </c>
      <c r="BL115" s="781">
        <f t="shared" si="194"/>
        <v>5982409</v>
      </c>
      <c r="BM115" s="74">
        <f t="shared" si="194"/>
        <v>4417871</v>
      </c>
      <c r="BN115" s="74">
        <f t="shared" si="194"/>
        <v>3346272</v>
      </c>
      <c r="BO115" s="74">
        <f t="shared" si="194"/>
        <v>1071599</v>
      </c>
      <c r="BP115" s="74">
        <f t="shared" si="194"/>
        <v>0</v>
      </c>
      <c r="BQ115" s="74">
        <f t="shared" si="194"/>
        <v>0</v>
      </c>
      <c r="BR115" s="74">
        <f t="shared" si="194"/>
        <v>0</v>
      </c>
      <c r="BS115" s="74">
        <f t="shared" si="194"/>
        <v>1493240</v>
      </c>
      <c r="BT115" s="74">
        <f t="shared" si="194"/>
        <v>44178</v>
      </c>
      <c r="BU115" s="74">
        <f t="shared" si="194"/>
        <v>27120</v>
      </c>
      <c r="BV115" s="75">
        <f t="shared" si="194"/>
        <v>9.3892000000000007</v>
      </c>
      <c r="BW115" s="75">
        <f t="shared" si="194"/>
        <v>6</v>
      </c>
      <c r="BX115" s="76">
        <f t="shared" si="194"/>
        <v>3.3891999999999998</v>
      </c>
      <c r="BY115" s="791">
        <f t="shared" ref="BY115:CJ115" si="195">SUM(BY112:BY114)</f>
        <v>0</v>
      </c>
      <c r="BZ115" s="679">
        <f t="shared" si="195"/>
        <v>0</v>
      </c>
      <c r="CA115" s="679">
        <f t="shared" si="195"/>
        <v>0</v>
      </c>
      <c r="CB115" s="679">
        <f t="shared" si="195"/>
        <v>0</v>
      </c>
      <c r="CC115" s="679">
        <f t="shared" si="195"/>
        <v>0</v>
      </c>
      <c r="CD115" s="947">
        <f t="shared" si="195"/>
        <v>0</v>
      </c>
      <c r="CE115" s="956">
        <f t="shared" si="195"/>
        <v>219868</v>
      </c>
      <c r="CF115" s="953">
        <f t="shared" si="195"/>
        <v>157187</v>
      </c>
      <c r="CG115" s="953">
        <f t="shared" si="195"/>
        <v>53129</v>
      </c>
      <c r="CH115" s="953">
        <f t="shared" si="195"/>
        <v>1572</v>
      </c>
      <c r="CI115" s="953">
        <f t="shared" si="195"/>
        <v>7980</v>
      </c>
      <c r="CJ115" s="877">
        <f t="shared" si="195"/>
        <v>0.5292</v>
      </c>
    </row>
    <row r="116" spans="1:90" ht="14.1" customHeight="1">
      <c r="A116" s="66">
        <v>28</v>
      </c>
      <c r="B116" s="63">
        <v>2425</v>
      </c>
      <c r="C116" s="64">
        <v>600079333</v>
      </c>
      <c r="D116" s="63">
        <v>72741864</v>
      </c>
      <c r="E116" s="65" t="s">
        <v>588</v>
      </c>
      <c r="F116" s="66">
        <v>3111</v>
      </c>
      <c r="G116" s="65" t="s">
        <v>290</v>
      </c>
      <c r="H116" s="67" t="s">
        <v>271</v>
      </c>
      <c r="I116" s="419">
        <v>3624724</v>
      </c>
      <c r="J116" s="414">
        <v>2675908</v>
      </c>
      <c r="K116" s="414">
        <v>2329707</v>
      </c>
      <c r="L116" s="414">
        <v>346201</v>
      </c>
      <c r="M116" s="414">
        <v>0</v>
      </c>
      <c r="N116" s="414">
        <v>0</v>
      </c>
      <c r="O116" s="414">
        <v>0</v>
      </c>
      <c r="P116" s="595">
        <v>904457</v>
      </c>
      <c r="Q116" s="595">
        <v>26759</v>
      </c>
      <c r="R116" s="414">
        <v>17600</v>
      </c>
      <c r="S116" s="415">
        <v>5.1781000000000006</v>
      </c>
      <c r="T116" s="415">
        <v>4</v>
      </c>
      <c r="U116" s="422">
        <v>1.1781000000000001</v>
      </c>
      <c r="V116" s="423">
        <f t="shared" si="124"/>
        <v>0</v>
      </c>
      <c r="W116" s="417">
        <f t="shared" si="125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26"/>
        <v>0</v>
      </c>
      <c r="AF116" s="417">
        <f t="shared" si="127"/>
        <v>0</v>
      </c>
      <c r="AG116" s="417">
        <f t="shared" si="128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29"/>
        <v>0</v>
      </c>
      <c r="AN116" s="417">
        <f t="shared" si="130"/>
        <v>0</v>
      </c>
      <c r="AO116" s="417">
        <f t="shared" si="131"/>
        <v>0</v>
      </c>
      <c r="AP116" s="417">
        <f t="shared" si="132"/>
        <v>0</v>
      </c>
      <c r="AQ116" s="417">
        <f t="shared" si="133"/>
        <v>0</v>
      </c>
      <c r="AR116" s="417">
        <f t="shared" si="134"/>
        <v>0</v>
      </c>
      <c r="AS116" s="68">
        <f t="shared" si="135"/>
        <v>0</v>
      </c>
      <c r="AT116" s="68">
        <f t="shared" si="136"/>
        <v>0</v>
      </c>
      <c r="AU116" s="417">
        <v>0</v>
      </c>
      <c r="AV116" s="417">
        <v>0</v>
      </c>
      <c r="AW116" s="417">
        <v>0</v>
      </c>
      <c r="AX116" s="417">
        <f t="shared" si="137"/>
        <v>0</v>
      </c>
      <c r="AY116" s="417">
        <f t="shared" si="138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39"/>
        <v>0</v>
      </c>
      <c r="BJ116" s="418">
        <f t="shared" si="140"/>
        <v>0</v>
      </c>
      <c r="BK116" s="420">
        <f t="shared" si="141"/>
        <v>0</v>
      </c>
      <c r="BL116" s="772">
        <f>I116+AY116</f>
        <v>3624724</v>
      </c>
      <c r="BM116" s="417">
        <f>J116+AG116</f>
        <v>2675908</v>
      </c>
      <c r="BN116" s="417">
        <f>K116+AE116</f>
        <v>2329707</v>
      </c>
      <c r="BO116" s="417">
        <f>L116+AF116</f>
        <v>346201</v>
      </c>
      <c r="BP116" s="417">
        <f>M116+AO116</f>
        <v>0</v>
      </c>
      <c r="BQ116" s="417">
        <f>N116+AM116</f>
        <v>0</v>
      </c>
      <c r="BR116" s="417">
        <f>O116+AN116</f>
        <v>0</v>
      </c>
      <c r="BS116" s="417">
        <f>P116+AS116</f>
        <v>904457</v>
      </c>
      <c r="BT116" s="417">
        <f>Q116+AT116</f>
        <v>26759</v>
      </c>
      <c r="BU116" s="417">
        <f>R116+AX116</f>
        <v>17600</v>
      </c>
      <c r="BV116" s="418">
        <f>S116+BK116</f>
        <v>5.1781000000000006</v>
      </c>
      <c r="BW116" s="418">
        <f>T116+BI116</f>
        <v>4</v>
      </c>
      <c r="BX116" s="420">
        <f>U116+BJ116</f>
        <v>1.1781000000000001</v>
      </c>
      <c r="BY116" s="419"/>
      <c r="BZ116" s="414"/>
      <c r="CA116" s="414"/>
      <c r="CB116" s="414"/>
      <c r="CC116" s="414"/>
      <c r="CD116" s="422"/>
      <c r="CE116" s="419">
        <f t="shared" si="142"/>
        <v>155589</v>
      </c>
      <c r="CF116" s="414">
        <v>111081</v>
      </c>
      <c r="CG116" s="414">
        <v>37545</v>
      </c>
      <c r="CH116" s="414">
        <v>1111</v>
      </c>
      <c r="CI116" s="414">
        <v>5852</v>
      </c>
      <c r="CJ116" s="509">
        <v>0.378</v>
      </c>
    </row>
    <row r="117" spans="1:90" ht="14.1" customHeight="1">
      <c r="A117" s="66">
        <v>28</v>
      </c>
      <c r="B117" s="63">
        <v>2425</v>
      </c>
      <c r="C117" s="64">
        <v>600079333</v>
      </c>
      <c r="D117" s="63">
        <v>72741864</v>
      </c>
      <c r="E117" s="65" t="s">
        <v>588</v>
      </c>
      <c r="F117" s="66">
        <v>3141</v>
      </c>
      <c r="G117" s="65" t="s">
        <v>294</v>
      </c>
      <c r="H117" s="67" t="s">
        <v>272</v>
      </c>
      <c r="I117" s="419">
        <v>637152</v>
      </c>
      <c r="J117" s="414">
        <v>470967</v>
      </c>
      <c r="K117" s="414">
        <v>0</v>
      </c>
      <c r="L117" s="744">
        <v>470967</v>
      </c>
      <c r="M117" s="414">
        <v>0</v>
      </c>
      <c r="N117" s="204">
        <v>0</v>
      </c>
      <c r="O117" s="204">
        <v>0</v>
      </c>
      <c r="P117" s="595">
        <v>159187</v>
      </c>
      <c r="Q117" s="595">
        <v>4710</v>
      </c>
      <c r="R117" s="601">
        <v>2288</v>
      </c>
      <c r="S117" s="415">
        <v>1.41</v>
      </c>
      <c r="T117" s="603">
        <v>0</v>
      </c>
      <c r="U117" s="731">
        <v>1.41</v>
      </c>
      <c r="V117" s="423">
        <f t="shared" si="124"/>
        <v>0</v>
      </c>
      <c r="W117" s="417">
        <f t="shared" si="125"/>
        <v>0</v>
      </c>
      <c r="X117" s="417">
        <v>0</v>
      </c>
      <c r="Y117" s="417">
        <v>0</v>
      </c>
      <c r="Z117" s="417">
        <v>0</v>
      </c>
      <c r="AA117" s="417">
        <v>-15317</v>
      </c>
      <c r="AB117" s="417">
        <v>0</v>
      </c>
      <c r="AC117" s="417">
        <v>0</v>
      </c>
      <c r="AD117" s="417">
        <v>0</v>
      </c>
      <c r="AE117" s="417">
        <f t="shared" si="126"/>
        <v>0</v>
      </c>
      <c r="AF117" s="417">
        <f t="shared" si="127"/>
        <v>-15317</v>
      </c>
      <c r="AG117" s="417">
        <f t="shared" si="128"/>
        <v>-15317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29"/>
        <v>0</v>
      </c>
      <c r="AN117" s="417">
        <f t="shared" si="130"/>
        <v>0</v>
      </c>
      <c r="AO117" s="417">
        <f t="shared" si="131"/>
        <v>0</v>
      </c>
      <c r="AP117" s="417">
        <f t="shared" si="132"/>
        <v>0</v>
      </c>
      <c r="AQ117" s="417">
        <f t="shared" si="133"/>
        <v>-15317</v>
      </c>
      <c r="AR117" s="417">
        <f t="shared" si="134"/>
        <v>-15317</v>
      </c>
      <c r="AS117" s="68">
        <f t="shared" si="135"/>
        <v>-5177</v>
      </c>
      <c r="AT117" s="68">
        <f t="shared" si="136"/>
        <v>-153</v>
      </c>
      <c r="AU117" s="417">
        <v>0</v>
      </c>
      <c r="AV117" s="417">
        <v>0</v>
      </c>
      <c r="AW117" s="417">
        <v>0</v>
      </c>
      <c r="AX117" s="417">
        <f t="shared" si="137"/>
        <v>0</v>
      </c>
      <c r="AY117" s="417">
        <f t="shared" si="138"/>
        <v>-20647</v>
      </c>
      <c r="AZ117" s="418">
        <v>0</v>
      </c>
      <c r="BA117" s="418">
        <v>0</v>
      </c>
      <c r="BB117" s="418">
        <v>0</v>
      </c>
      <c r="BC117" s="418">
        <v>0</v>
      </c>
      <c r="BD117" s="418">
        <v>-0.05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39"/>
        <v>0</v>
      </c>
      <c r="BJ117" s="418">
        <f t="shared" si="140"/>
        <v>-0.05</v>
      </c>
      <c r="BK117" s="420">
        <f t="shared" si="141"/>
        <v>-0.05</v>
      </c>
      <c r="BL117" s="772">
        <f>I117+AY117</f>
        <v>616505</v>
      </c>
      <c r="BM117" s="417">
        <f>J117+AG117</f>
        <v>455650</v>
      </c>
      <c r="BN117" s="417">
        <f>K117+AE117</f>
        <v>0</v>
      </c>
      <c r="BO117" s="417">
        <f>L117+AF117</f>
        <v>455650</v>
      </c>
      <c r="BP117" s="417">
        <f>M117+AO117</f>
        <v>0</v>
      </c>
      <c r="BQ117" s="417">
        <f>N117+AM117</f>
        <v>0</v>
      </c>
      <c r="BR117" s="417">
        <f>O117+AN117</f>
        <v>0</v>
      </c>
      <c r="BS117" s="417">
        <f>P117+AS117</f>
        <v>154010</v>
      </c>
      <c r="BT117" s="417">
        <f>Q117+AT117</f>
        <v>4557</v>
      </c>
      <c r="BU117" s="417">
        <f>R117+AX117</f>
        <v>2288</v>
      </c>
      <c r="BV117" s="418">
        <f>S117+BK117</f>
        <v>1.3599999999999999</v>
      </c>
      <c r="BW117" s="418">
        <f>T117+BI117</f>
        <v>0</v>
      </c>
      <c r="BX117" s="420">
        <f>U117+BJ117</f>
        <v>1.3599999999999999</v>
      </c>
      <c r="BY117" s="419"/>
      <c r="BZ117" s="414"/>
      <c r="CA117" s="414"/>
      <c r="CB117" s="414"/>
      <c r="CC117" s="414"/>
      <c r="CD117" s="422"/>
      <c r="CE117" s="419">
        <f t="shared" si="142"/>
        <v>0</v>
      </c>
      <c r="CF117" s="414">
        <v>0</v>
      </c>
      <c r="CG117" s="414">
        <v>0</v>
      </c>
      <c r="CH117" s="414">
        <v>0</v>
      </c>
      <c r="CI117" s="414">
        <v>0</v>
      </c>
      <c r="CJ117" s="509">
        <v>0</v>
      </c>
    </row>
    <row r="118" spans="1:90" ht="14.1" customHeight="1">
      <c r="A118" s="72">
        <v>28</v>
      </c>
      <c r="B118" s="69">
        <v>2425</v>
      </c>
      <c r="C118" s="70">
        <v>600079333</v>
      </c>
      <c r="D118" s="69">
        <v>72741864</v>
      </c>
      <c r="E118" s="71" t="s">
        <v>589</v>
      </c>
      <c r="F118" s="72"/>
      <c r="G118" s="71"/>
      <c r="H118" s="73"/>
      <c r="I118" s="516">
        <v>4261876</v>
      </c>
      <c r="J118" s="74">
        <v>3146875</v>
      </c>
      <c r="K118" s="74">
        <v>2329707</v>
      </c>
      <c r="L118" s="74">
        <v>817168</v>
      </c>
      <c r="M118" s="74">
        <v>0</v>
      </c>
      <c r="N118" s="74">
        <v>0</v>
      </c>
      <c r="O118" s="74">
        <v>0</v>
      </c>
      <c r="P118" s="74">
        <v>1063644</v>
      </c>
      <c r="Q118" s="74">
        <v>31469</v>
      </c>
      <c r="R118" s="74">
        <v>19888</v>
      </c>
      <c r="S118" s="75">
        <v>6.5881000000000007</v>
      </c>
      <c r="T118" s="75">
        <v>4</v>
      </c>
      <c r="U118" s="653">
        <v>2.5880999999999998</v>
      </c>
      <c r="V118" s="516">
        <f t="shared" ref="V118:BX118" si="196">SUM(V116:V117)</f>
        <v>0</v>
      </c>
      <c r="W118" s="74">
        <f t="shared" si="196"/>
        <v>0</v>
      </c>
      <c r="X118" s="74">
        <f t="shared" si="196"/>
        <v>0</v>
      </c>
      <c r="Y118" s="74">
        <f t="shared" si="196"/>
        <v>0</v>
      </c>
      <c r="Z118" s="74">
        <f t="shared" si="196"/>
        <v>0</v>
      </c>
      <c r="AA118" s="74">
        <f t="shared" si="196"/>
        <v>-15317</v>
      </c>
      <c r="AB118" s="74">
        <f t="shared" si="196"/>
        <v>0</v>
      </c>
      <c r="AC118" s="74">
        <f t="shared" si="196"/>
        <v>0</v>
      </c>
      <c r="AD118" s="74">
        <f t="shared" si="196"/>
        <v>0</v>
      </c>
      <c r="AE118" s="74">
        <f t="shared" si="196"/>
        <v>0</v>
      </c>
      <c r="AF118" s="74">
        <f t="shared" si="196"/>
        <v>-15317</v>
      </c>
      <c r="AG118" s="74">
        <f t="shared" si="196"/>
        <v>-15317</v>
      </c>
      <c r="AH118" s="74">
        <f t="shared" si="196"/>
        <v>0</v>
      </c>
      <c r="AI118" s="74">
        <f t="shared" si="196"/>
        <v>0</v>
      </c>
      <c r="AJ118" s="74">
        <f t="shared" si="196"/>
        <v>0</v>
      </c>
      <c r="AK118" s="74">
        <f t="shared" si="196"/>
        <v>0</v>
      </c>
      <c r="AL118" s="74">
        <f t="shared" si="196"/>
        <v>0</v>
      </c>
      <c r="AM118" s="74">
        <f t="shared" si="196"/>
        <v>0</v>
      </c>
      <c r="AN118" s="74">
        <f t="shared" si="196"/>
        <v>0</v>
      </c>
      <c r="AO118" s="74">
        <f t="shared" si="196"/>
        <v>0</v>
      </c>
      <c r="AP118" s="74">
        <f t="shared" si="196"/>
        <v>0</v>
      </c>
      <c r="AQ118" s="74">
        <f t="shared" si="196"/>
        <v>-15317</v>
      </c>
      <c r="AR118" s="74">
        <f t="shared" si="196"/>
        <v>-15317</v>
      </c>
      <c r="AS118" s="74">
        <f t="shared" si="196"/>
        <v>-5177</v>
      </c>
      <c r="AT118" s="74">
        <f t="shared" si="196"/>
        <v>-153</v>
      </c>
      <c r="AU118" s="74">
        <f t="shared" si="196"/>
        <v>0</v>
      </c>
      <c r="AV118" s="74">
        <f t="shared" si="196"/>
        <v>0</v>
      </c>
      <c r="AW118" s="74">
        <f t="shared" si="196"/>
        <v>0</v>
      </c>
      <c r="AX118" s="74">
        <f t="shared" si="196"/>
        <v>0</v>
      </c>
      <c r="AY118" s="74">
        <f t="shared" si="196"/>
        <v>-20647</v>
      </c>
      <c r="AZ118" s="75">
        <f t="shared" si="196"/>
        <v>0</v>
      </c>
      <c r="BA118" s="75">
        <f t="shared" si="196"/>
        <v>0</v>
      </c>
      <c r="BB118" s="75">
        <f t="shared" si="196"/>
        <v>0</v>
      </c>
      <c r="BC118" s="75">
        <f t="shared" si="196"/>
        <v>0</v>
      </c>
      <c r="BD118" s="75">
        <f t="shared" si="196"/>
        <v>-0.05</v>
      </c>
      <c r="BE118" s="75">
        <f t="shared" si="196"/>
        <v>0</v>
      </c>
      <c r="BF118" s="75">
        <f t="shared" si="196"/>
        <v>0</v>
      </c>
      <c r="BG118" s="75">
        <f t="shared" si="196"/>
        <v>0</v>
      </c>
      <c r="BH118" s="75">
        <f t="shared" si="196"/>
        <v>0</v>
      </c>
      <c r="BI118" s="75">
        <f t="shared" si="196"/>
        <v>0</v>
      </c>
      <c r="BJ118" s="75">
        <f t="shared" si="196"/>
        <v>-0.05</v>
      </c>
      <c r="BK118" s="76">
        <f t="shared" si="196"/>
        <v>-0.05</v>
      </c>
      <c r="BL118" s="781">
        <f t="shared" si="196"/>
        <v>4241229</v>
      </c>
      <c r="BM118" s="74">
        <f t="shared" si="196"/>
        <v>3131558</v>
      </c>
      <c r="BN118" s="74">
        <f t="shared" si="196"/>
        <v>2329707</v>
      </c>
      <c r="BO118" s="74">
        <f t="shared" si="196"/>
        <v>801851</v>
      </c>
      <c r="BP118" s="74">
        <f t="shared" si="196"/>
        <v>0</v>
      </c>
      <c r="BQ118" s="74">
        <f t="shared" si="196"/>
        <v>0</v>
      </c>
      <c r="BR118" s="74">
        <f t="shared" si="196"/>
        <v>0</v>
      </c>
      <c r="BS118" s="74">
        <f t="shared" si="196"/>
        <v>1058467</v>
      </c>
      <c r="BT118" s="74">
        <f t="shared" si="196"/>
        <v>31316</v>
      </c>
      <c r="BU118" s="74">
        <f t="shared" si="196"/>
        <v>19888</v>
      </c>
      <c r="BV118" s="75">
        <f t="shared" si="196"/>
        <v>6.5381</v>
      </c>
      <c r="BW118" s="75">
        <f t="shared" si="196"/>
        <v>4</v>
      </c>
      <c r="BX118" s="76">
        <f t="shared" si="196"/>
        <v>2.5381</v>
      </c>
      <c r="BY118" s="791">
        <f t="shared" ref="BY118:CJ118" si="197">SUM(BY116:BY117)</f>
        <v>0</v>
      </c>
      <c r="BZ118" s="679">
        <f t="shared" si="197"/>
        <v>0</v>
      </c>
      <c r="CA118" s="679">
        <f t="shared" si="197"/>
        <v>0</v>
      </c>
      <c r="CB118" s="679">
        <f t="shared" si="197"/>
        <v>0</v>
      </c>
      <c r="CC118" s="679">
        <f t="shared" si="197"/>
        <v>0</v>
      </c>
      <c r="CD118" s="947">
        <f t="shared" si="197"/>
        <v>0</v>
      </c>
      <c r="CE118" s="956">
        <f t="shared" si="197"/>
        <v>155589</v>
      </c>
      <c r="CF118" s="953">
        <f t="shared" si="197"/>
        <v>111081</v>
      </c>
      <c r="CG118" s="953">
        <f t="shared" si="197"/>
        <v>37545</v>
      </c>
      <c r="CH118" s="953">
        <f t="shared" si="197"/>
        <v>1111</v>
      </c>
      <c r="CI118" s="953">
        <f t="shared" si="197"/>
        <v>5852</v>
      </c>
      <c r="CJ118" s="877">
        <f t="shared" si="197"/>
        <v>0.378</v>
      </c>
    </row>
    <row r="119" spans="1:90" ht="14.1" customHeight="1">
      <c r="A119" s="66">
        <v>29</v>
      </c>
      <c r="B119" s="63">
        <v>2433</v>
      </c>
      <c r="C119" s="64">
        <v>600079643</v>
      </c>
      <c r="D119" s="63">
        <v>66113334</v>
      </c>
      <c r="E119" s="65" t="s">
        <v>590</v>
      </c>
      <c r="F119" s="66">
        <v>3111</v>
      </c>
      <c r="G119" s="65" t="s">
        <v>290</v>
      </c>
      <c r="H119" s="67" t="s">
        <v>271</v>
      </c>
      <c r="I119" s="419">
        <v>7323561</v>
      </c>
      <c r="J119" s="414">
        <v>5404570</v>
      </c>
      <c r="K119" s="414">
        <v>4751441</v>
      </c>
      <c r="L119" s="414">
        <v>653129</v>
      </c>
      <c r="M119" s="414">
        <v>0</v>
      </c>
      <c r="N119" s="414">
        <v>0</v>
      </c>
      <c r="O119" s="414">
        <v>0</v>
      </c>
      <c r="P119" s="595">
        <v>1826745</v>
      </c>
      <c r="Q119" s="595">
        <v>54046</v>
      </c>
      <c r="R119" s="414">
        <v>38200</v>
      </c>
      <c r="S119" s="415">
        <v>10.6182</v>
      </c>
      <c r="T119" s="415">
        <v>8.4192999999999998</v>
      </c>
      <c r="U119" s="422">
        <v>2.1989000000000001</v>
      </c>
      <c r="V119" s="423">
        <f t="shared" si="124"/>
        <v>0</v>
      </c>
      <c r="W119" s="417">
        <f t="shared" si="125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26"/>
        <v>0</v>
      </c>
      <c r="AF119" s="417">
        <f t="shared" si="127"/>
        <v>0</v>
      </c>
      <c r="AG119" s="417">
        <f t="shared" si="128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29"/>
        <v>0</v>
      </c>
      <c r="AN119" s="417">
        <f t="shared" si="130"/>
        <v>0</v>
      </c>
      <c r="AO119" s="417">
        <f t="shared" si="131"/>
        <v>0</v>
      </c>
      <c r="AP119" s="417">
        <f t="shared" si="132"/>
        <v>0</v>
      </c>
      <c r="AQ119" s="417">
        <f t="shared" si="133"/>
        <v>0</v>
      </c>
      <c r="AR119" s="417">
        <f t="shared" si="134"/>
        <v>0</v>
      </c>
      <c r="AS119" s="68">
        <f t="shared" si="135"/>
        <v>0</v>
      </c>
      <c r="AT119" s="68">
        <f t="shared" si="136"/>
        <v>0</v>
      </c>
      <c r="AU119" s="417">
        <v>0</v>
      </c>
      <c r="AV119" s="417">
        <v>0</v>
      </c>
      <c r="AW119" s="417">
        <v>0</v>
      </c>
      <c r="AX119" s="417">
        <f t="shared" si="137"/>
        <v>0</v>
      </c>
      <c r="AY119" s="417">
        <f t="shared" si="138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39"/>
        <v>0</v>
      </c>
      <c r="BJ119" s="418">
        <f t="shared" si="140"/>
        <v>0</v>
      </c>
      <c r="BK119" s="420">
        <f t="shared" si="141"/>
        <v>0</v>
      </c>
      <c r="BL119" s="772">
        <f>I119+AY119</f>
        <v>7323561</v>
      </c>
      <c r="BM119" s="417">
        <f>J119+AG119</f>
        <v>5404570</v>
      </c>
      <c r="BN119" s="417">
        <f t="shared" ref="BN119:BO121" si="198">K119+AE119</f>
        <v>4751441</v>
      </c>
      <c r="BO119" s="417">
        <f t="shared" si="198"/>
        <v>653129</v>
      </c>
      <c r="BP119" s="417">
        <f>M119+AO119</f>
        <v>0</v>
      </c>
      <c r="BQ119" s="417">
        <f t="shared" ref="BQ119:BR121" si="199">N119+AM119</f>
        <v>0</v>
      </c>
      <c r="BR119" s="417">
        <f t="shared" si="199"/>
        <v>0</v>
      </c>
      <c r="BS119" s="417">
        <f t="shared" ref="BS119:BT121" si="200">P119+AS119</f>
        <v>1826745</v>
      </c>
      <c r="BT119" s="417">
        <f t="shared" si="200"/>
        <v>54046</v>
      </c>
      <c r="BU119" s="417">
        <f>R119+AX119</f>
        <v>38200</v>
      </c>
      <c r="BV119" s="418">
        <f>S119+BK119</f>
        <v>10.6182</v>
      </c>
      <c r="BW119" s="418">
        <f t="shared" ref="BW119:BX121" si="201">T119+BI119</f>
        <v>8.4192999999999998</v>
      </c>
      <c r="BX119" s="420">
        <f t="shared" si="201"/>
        <v>2.1989000000000001</v>
      </c>
      <c r="BY119" s="419"/>
      <c r="BZ119" s="414"/>
      <c r="CA119" s="414"/>
      <c r="CB119" s="414"/>
      <c r="CC119" s="414"/>
      <c r="CD119" s="422"/>
      <c r="CE119" s="419">
        <f t="shared" si="142"/>
        <v>295227</v>
      </c>
      <c r="CF119" s="414">
        <v>209583</v>
      </c>
      <c r="CG119" s="414">
        <v>70839</v>
      </c>
      <c r="CH119" s="414">
        <v>2096</v>
      </c>
      <c r="CI119" s="414">
        <v>12709</v>
      </c>
      <c r="CJ119" s="509">
        <v>0.7056</v>
      </c>
    </row>
    <row r="120" spans="1:90" ht="14.1" customHeight="1">
      <c r="A120" s="66">
        <v>29</v>
      </c>
      <c r="B120" s="63">
        <v>2433</v>
      </c>
      <c r="C120" s="64">
        <v>600079643</v>
      </c>
      <c r="D120" s="63">
        <v>66113334</v>
      </c>
      <c r="E120" s="65" t="s">
        <v>590</v>
      </c>
      <c r="F120" s="66">
        <v>3111</v>
      </c>
      <c r="G120" s="65" t="s">
        <v>291</v>
      </c>
      <c r="H120" s="67" t="s">
        <v>272</v>
      </c>
      <c r="I120" s="419">
        <v>1332906</v>
      </c>
      <c r="J120" s="414">
        <v>988803</v>
      </c>
      <c r="K120" s="414">
        <v>988803</v>
      </c>
      <c r="L120" s="414">
        <v>0</v>
      </c>
      <c r="M120" s="414">
        <v>0</v>
      </c>
      <c r="N120" s="414">
        <v>0</v>
      </c>
      <c r="O120" s="414">
        <v>0</v>
      </c>
      <c r="P120" s="595">
        <v>334215</v>
      </c>
      <c r="Q120" s="595">
        <v>9888</v>
      </c>
      <c r="R120" s="414">
        <v>0</v>
      </c>
      <c r="S120" s="415">
        <v>2.67</v>
      </c>
      <c r="T120" s="416">
        <v>2.67</v>
      </c>
      <c r="U120" s="422">
        <v>0</v>
      </c>
      <c r="V120" s="423">
        <f t="shared" si="124"/>
        <v>0</v>
      </c>
      <c r="W120" s="417">
        <f t="shared" si="125"/>
        <v>0</v>
      </c>
      <c r="X120" s="417">
        <v>36051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126"/>
        <v>36051</v>
      </c>
      <c r="AF120" s="417">
        <f t="shared" si="127"/>
        <v>0</v>
      </c>
      <c r="AG120" s="417">
        <f t="shared" si="128"/>
        <v>36051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29"/>
        <v>0</v>
      </c>
      <c r="AN120" s="417">
        <f t="shared" si="130"/>
        <v>0</v>
      </c>
      <c r="AO120" s="417">
        <f t="shared" si="131"/>
        <v>0</v>
      </c>
      <c r="AP120" s="417">
        <f t="shared" si="132"/>
        <v>36051</v>
      </c>
      <c r="AQ120" s="417">
        <f t="shared" si="133"/>
        <v>0</v>
      </c>
      <c r="AR120" s="417">
        <f t="shared" si="134"/>
        <v>36051</v>
      </c>
      <c r="AS120" s="68">
        <f t="shared" si="135"/>
        <v>12185</v>
      </c>
      <c r="AT120" s="68">
        <f t="shared" si="136"/>
        <v>361</v>
      </c>
      <c r="AU120" s="417">
        <v>0</v>
      </c>
      <c r="AV120" s="417">
        <v>0</v>
      </c>
      <c r="AW120" s="417">
        <v>0</v>
      </c>
      <c r="AX120" s="417">
        <f t="shared" si="137"/>
        <v>0</v>
      </c>
      <c r="AY120" s="417">
        <f t="shared" si="138"/>
        <v>48597</v>
      </c>
      <c r="AZ120" s="418">
        <v>0</v>
      </c>
      <c r="BA120" s="418">
        <v>0</v>
      </c>
      <c r="BB120" s="418">
        <v>0.1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39"/>
        <v>0.1</v>
      </c>
      <c r="BJ120" s="418">
        <f t="shared" si="140"/>
        <v>0</v>
      </c>
      <c r="BK120" s="420">
        <f t="shared" si="141"/>
        <v>0.1</v>
      </c>
      <c r="BL120" s="772">
        <f>I120+AY120</f>
        <v>1381503</v>
      </c>
      <c r="BM120" s="417">
        <f>J120+AG120</f>
        <v>1024854</v>
      </c>
      <c r="BN120" s="417">
        <f t="shared" si="198"/>
        <v>1024854</v>
      </c>
      <c r="BO120" s="417">
        <f t="shared" si="198"/>
        <v>0</v>
      </c>
      <c r="BP120" s="417">
        <f>M120+AO120</f>
        <v>0</v>
      </c>
      <c r="BQ120" s="417">
        <f t="shared" si="199"/>
        <v>0</v>
      </c>
      <c r="BR120" s="417">
        <f t="shared" si="199"/>
        <v>0</v>
      </c>
      <c r="BS120" s="417">
        <f t="shared" si="200"/>
        <v>346400</v>
      </c>
      <c r="BT120" s="417">
        <f t="shared" si="200"/>
        <v>10249</v>
      </c>
      <c r="BU120" s="417">
        <f>R120+AX120</f>
        <v>0</v>
      </c>
      <c r="BV120" s="418">
        <f>S120+BK120</f>
        <v>2.77</v>
      </c>
      <c r="BW120" s="418">
        <f t="shared" si="201"/>
        <v>2.77</v>
      </c>
      <c r="BX120" s="420">
        <f t="shared" si="201"/>
        <v>0</v>
      </c>
      <c r="BY120" s="419"/>
      <c r="BZ120" s="414"/>
      <c r="CA120" s="414"/>
      <c r="CB120" s="414"/>
      <c r="CC120" s="414"/>
      <c r="CD120" s="422"/>
      <c r="CE120" s="419">
        <f t="shared" si="142"/>
        <v>0</v>
      </c>
      <c r="CF120" s="414">
        <v>0</v>
      </c>
      <c r="CG120" s="414">
        <v>0</v>
      </c>
      <c r="CH120" s="414">
        <v>0</v>
      </c>
      <c r="CI120" s="414">
        <v>0</v>
      </c>
      <c r="CJ120" s="509">
        <v>0</v>
      </c>
    </row>
    <row r="121" spans="1:90" ht="14.1" customHeight="1">
      <c r="A121" s="66">
        <v>29</v>
      </c>
      <c r="B121" s="63">
        <v>2433</v>
      </c>
      <c r="C121" s="64">
        <v>600079643</v>
      </c>
      <c r="D121" s="63">
        <v>66113334</v>
      </c>
      <c r="E121" s="65" t="s">
        <v>590</v>
      </c>
      <c r="F121" s="66">
        <v>3141</v>
      </c>
      <c r="G121" s="65" t="s">
        <v>294</v>
      </c>
      <c r="H121" s="67" t="s">
        <v>272</v>
      </c>
      <c r="I121" s="419">
        <v>898691</v>
      </c>
      <c r="J121" s="414">
        <v>663869</v>
      </c>
      <c r="K121" s="414">
        <v>0</v>
      </c>
      <c r="L121" s="744">
        <v>663869</v>
      </c>
      <c r="M121" s="414">
        <v>0</v>
      </c>
      <c r="N121" s="204">
        <v>0</v>
      </c>
      <c r="O121" s="204">
        <v>0</v>
      </c>
      <c r="P121" s="595">
        <v>224388</v>
      </c>
      <c r="Q121" s="595">
        <v>6638</v>
      </c>
      <c r="R121" s="601">
        <v>3796</v>
      </c>
      <c r="S121" s="415">
        <v>1.9866999999999999</v>
      </c>
      <c r="T121" s="603">
        <v>0</v>
      </c>
      <c r="U121" s="731">
        <v>1.9866999999999999</v>
      </c>
      <c r="V121" s="423">
        <f t="shared" si="124"/>
        <v>0</v>
      </c>
      <c r="W121" s="417">
        <f t="shared" si="125"/>
        <v>0</v>
      </c>
      <c r="X121" s="417">
        <v>0</v>
      </c>
      <c r="Y121" s="417">
        <v>0</v>
      </c>
      <c r="Z121" s="417">
        <v>0</v>
      </c>
      <c r="AA121" s="417">
        <v>-2053</v>
      </c>
      <c r="AB121" s="417">
        <v>0</v>
      </c>
      <c r="AC121" s="417">
        <v>0</v>
      </c>
      <c r="AD121" s="417">
        <v>0</v>
      </c>
      <c r="AE121" s="417">
        <f t="shared" si="126"/>
        <v>0</v>
      </c>
      <c r="AF121" s="417">
        <f t="shared" si="127"/>
        <v>-2053</v>
      </c>
      <c r="AG121" s="417">
        <f t="shared" si="128"/>
        <v>-2053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29"/>
        <v>0</v>
      </c>
      <c r="AN121" s="417">
        <f t="shared" si="130"/>
        <v>0</v>
      </c>
      <c r="AO121" s="417">
        <f t="shared" si="131"/>
        <v>0</v>
      </c>
      <c r="AP121" s="417">
        <f t="shared" si="132"/>
        <v>0</v>
      </c>
      <c r="AQ121" s="417">
        <f t="shared" si="133"/>
        <v>-2053</v>
      </c>
      <c r="AR121" s="417">
        <f t="shared" si="134"/>
        <v>-2053</v>
      </c>
      <c r="AS121" s="68">
        <f t="shared" si="135"/>
        <v>-694</v>
      </c>
      <c r="AT121" s="68">
        <f t="shared" si="136"/>
        <v>-21</v>
      </c>
      <c r="AU121" s="417">
        <v>0</v>
      </c>
      <c r="AV121" s="417">
        <v>0</v>
      </c>
      <c r="AW121" s="417">
        <v>0</v>
      </c>
      <c r="AX121" s="417">
        <f t="shared" si="137"/>
        <v>0</v>
      </c>
      <c r="AY121" s="417">
        <f t="shared" si="138"/>
        <v>-2768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39"/>
        <v>0</v>
      </c>
      <c r="BJ121" s="418">
        <f t="shared" si="140"/>
        <v>0</v>
      </c>
      <c r="BK121" s="420">
        <f t="shared" si="141"/>
        <v>0</v>
      </c>
      <c r="BL121" s="772">
        <f>I121+AY121</f>
        <v>895923</v>
      </c>
      <c r="BM121" s="417">
        <f>J121+AG121</f>
        <v>661816</v>
      </c>
      <c r="BN121" s="417">
        <f t="shared" si="198"/>
        <v>0</v>
      </c>
      <c r="BO121" s="417">
        <f t="shared" si="198"/>
        <v>661816</v>
      </c>
      <c r="BP121" s="417">
        <f>M121+AO121</f>
        <v>0</v>
      </c>
      <c r="BQ121" s="417">
        <f t="shared" si="199"/>
        <v>0</v>
      </c>
      <c r="BR121" s="417">
        <f t="shared" si="199"/>
        <v>0</v>
      </c>
      <c r="BS121" s="417">
        <f t="shared" si="200"/>
        <v>223694</v>
      </c>
      <c r="BT121" s="417">
        <f t="shared" si="200"/>
        <v>6617</v>
      </c>
      <c r="BU121" s="417">
        <f>R121+AX121</f>
        <v>3796</v>
      </c>
      <c r="BV121" s="418">
        <f>S121+BK121</f>
        <v>1.9866999999999999</v>
      </c>
      <c r="BW121" s="418">
        <f t="shared" si="201"/>
        <v>0</v>
      </c>
      <c r="BX121" s="420">
        <f t="shared" si="201"/>
        <v>1.9866999999999999</v>
      </c>
      <c r="BY121" s="419"/>
      <c r="BZ121" s="414"/>
      <c r="CA121" s="414"/>
      <c r="CB121" s="414"/>
      <c r="CC121" s="414"/>
      <c r="CD121" s="422"/>
      <c r="CE121" s="419">
        <f t="shared" si="142"/>
        <v>0</v>
      </c>
      <c r="CF121" s="414">
        <v>0</v>
      </c>
      <c r="CG121" s="414">
        <v>0</v>
      </c>
      <c r="CH121" s="414">
        <v>0</v>
      </c>
      <c r="CI121" s="414">
        <v>0</v>
      </c>
      <c r="CJ121" s="509">
        <v>0</v>
      </c>
    </row>
    <row r="122" spans="1:90" ht="14.1" customHeight="1">
      <c r="A122" s="72">
        <v>29</v>
      </c>
      <c r="B122" s="69">
        <v>2433</v>
      </c>
      <c r="C122" s="70">
        <v>600079643</v>
      </c>
      <c r="D122" s="69">
        <v>66113334</v>
      </c>
      <c r="E122" s="71" t="s">
        <v>591</v>
      </c>
      <c r="F122" s="72"/>
      <c r="G122" s="71"/>
      <c r="H122" s="73"/>
      <c r="I122" s="516">
        <v>9555158</v>
      </c>
      <c r="J122" s="74">
        <v>7057242</v>
      </c>
      <c r="K122" s="74">
        <v>5740244</v>
      </c>
      <c r="L122" s="74">
        <v>1316998</v>
      </c>
      <c r="M122" s="74">
        <v>0</v>
      </c>
      <c r="N122" s="74">
        <v>0</v>
      </c>
      <c r="O122" s="74">
        <v>0</v>
      </c>
      <c r="P122" s="74">
        <v>2385348</v>
      </c>
      <c r="Q122" s="74">
        <v>70572</v>
      </c>
      <c r="R122" s="74">
        <v>41996</v>
      </c>
      <c r="S122" s="75">
        <v>15.274899999999999</v>
      </c>
      <c r="T122" s="75">
        <v>11.0893</v>
      </c>
      <c r="U122" s="653">
        <v>4.1856</v>
      </c>
      <c r="V122" s="516">
        <f t="shared" ref="V122:BX122" si="202">SUM(V119:V121)</f>
        <v>0</v>
      </c>
      <c r="W122" s="74">
        <f t="shared" si="202"/>
        <v>0</v>
      </c>
      <c r="X122" s="74">
        <f t="shared" si="202"/>
        <v>36051</v>
      </c>
      <c r="Y122" s="74">
        <f t="shared" si="202"/>
        <v>0</v>
      </c>
      <c r="Z122" s="74">
        <f t="shared" si="202"/>
        <v>0</v>
      </c>
      <c r="AA122" s="74">
        <f t="shared" si="202"/>
        <v>-2053</v>
      </c>
      <c r="AB122" s="74">
        <f t="shared" si="202"/>
        <v>0</v>
      </c>
      <c r="AC122" s="74">
        <f t="shared" si="202"/>
        <v>0</v>
      </c>
      <c r="AD122" s="74">
        <f t="shared" si="202"/>
        <v>0</v>
      </c>
      <c r="AE122" s="74">
        <f t="shared" si="202"/>
        <v>36051</v>
      </c>
      <c r="AF122" s="74">
        <f t="shared" si="202"/>
        <v>-2053</v>
      </c>
      <c r="AG122" s="74">
        <f t="shared" si="202"/>
        <v>33998</v>
      </c>
      <c r="AH122" s="74">
        <f t="shared" si="202"/>
        <v>0</v>
      </c>
      <c r="AI122" s="74">
        <f t="shared" si="202"/>
        <v>0</v>
      </c>
      <c r="AJ122" s="74">
        <f t="shared" si="202"/>
        <v>0</v>
      </c>
      <c r="AK122" s="74">
        <f t="shared" si="202"/>
        <v>0</v>
      </c>
      <c r="AL122" s="74">
        <f t="shared" si="202"/>
        <v>0</v>
      </c>
      <c r="AM122" s="74">
        <f t="shared" si="202"/>
        <v>0</v>
      </c>
      <c r="AN122" s="74">
        <f t="shared" si="202"/>
        <v>0</v>
      </c>
      <c r="AO122" s="74">
        <f t="shared" si="202"/>
        <v>0</v>
      </c>
      <c r="AP122" s="74">
        <f t="shared" si="202"/>
        <v>36051</v>
      </c>
      <c r="AQ122" s="74">
        <f t="shared" si="202"/>
        <v>-2053</v>
      </c>
      <c r="AR122" s="74">
        <f t="shared" si="202"/>
        <v>33998</v>
      </c>
      <c r="AS122" s="74">
        <f t="shared" si="202"/>
        <v>11491</v>
      </c>
      <c r="AT122" s="74">
        <f t="shared" si="202"/>
        <v>340</v>
      </c>
      <c r="AU122" s="74">
        <f t="shared" si="202"/>
        <v>0</v>
      </c>
      <c r="AV122" s="74">
        <f t="shared" si="202"/>
        <v>0</v>
      </c>
      <c r="AW122" s="74">
        <f t="shared" si="202"/>
        <v>0</v>
      </c>
      <c r="AX122" s="74">
        <f t="shared" si="202"/>
        <v>0</v>
      </c>
      <c r="AY122" s="74">
        <f t="shared" si="202"/>
        <v>45829</v>
      </c>
      <c r="AZ122" s="75">
        <f t="shared" si="202"/>
        <v>0</v>
      </c>
      <c r="BA122" s="75">
        <f t="shared" si="202"/>
        <v>0</v>
      </c>
      <c r="BB122" s="75">
        <f t="shared" si="202"/>
        <v>0.1</v>
      </c>
      <c r="BC122" s="75">
        <f t="shared" si="202"/>
        <v>0</v>
      </c>
      <c r="BD122" s="75">
        <f t="shared" si="202"/>
        <v>0</v>
      </c>
      <c r="BE122" s="75">
        <f t="shared" si="202"/>
        <v>0</v>
      </c>
      <c r="BF122" s="75">
        <f t="shared" si="202"/>
        <v>0</v>
      </c>
      <c r="BG122" s="75">
        <f t="shared" si="202"/>
        <v>0</v>
      </c>
      <c r="BH122" s="75">
        <f t="shared" si="202"/>
        <v>0</v>
      </c>
      <c r="BI122" s="75">
        <f t="shared" si="202"/>
        <v>0.1</v>
      </c>
      <c r="BJ122" s="75">
        <f t="shared" si="202"/>
        <v>0</v>
      </c>
      <c r="BK122" s="76">
        <f t="shared" si="202"/>
        <v>0.1</v>
      </c>
      <c r="BL122" s="781">
        <f t="shared" si="202"/>
        <v>9600987</v>
      </c>
      <c r="BM122" s="74">
        <f t="shared" si="202"/>
        <v>7091240</v>
      </c>
      <c r="BN122" s="74">
        <f t="shared" si="202"/>
        <v>5776295</v>
      </c>
      <c r="BO122" s="74">
        <f t="shared" si="202"/>
        <v>1314945</v>
      </c>
      <c r="BP122" s="74">
        <f t="shared" si="202"/>
        <v>0</v>
      </c>
      <c r="BQ122" s="74">
        <f t="shared" si="202"/>
        <v>0</v>
      </c>
      <c r="BR122" s="74">
        <f t="shared" si="202"/>
        <v>0</v>
      </c>
      <c r="BS122" s="74">
        <f t="shared" si="202"/>
        <v>2396839</v>
      </c>
      <c r="BT122" s="74">
        <f t="shared" si="202"/>
        <v>70912</v>
      </c>
      <c r="BU122" s="74">
        <f t="shared" si="202"/>
        <v>41996</v>
      </c>
      <c r="BV122" s="75">
        <f t="shared" si="202"/>
        <v>15.3749</v>
      </c>
      <c r="BW122" s="75">
        <f t="shared" si="202"/>
        <v>11.189299999999999</v>
      </c>
      <c r="BX122" s="76">
        <f t="shared" si="202"/>
        <v>4.1856</v>
      </c>
      <c r="BY122" s="791">
        <f t="shared" ref="BY122:CJ122" si="203">SUM(BY119:BY121)</f>
        <v>0</v>
      </c>
      <c r="BZ122" s="679">
        <f t="shared" si="203"/>
        <v>0</v>
      </c>
      <c r="CA122" s="679">
        <f t="shared" si="203"/>
        <v>0</v>
      </c>
      <c r="CB122" s="679">
        <f t="shared" si="203"/>
        <v>0</v>
      </c>
      <c r="CC122" s="679">
        <f t="shared" si="203"/>
        <v>0</v>
      </c>
      <c r="CD122" s="947">
        <f t="shared" si="203"/>
        <v>0</v>
      </c>
      <c r="CE122" s="956">
        <f t="shared" si="203"/>
        <v>295227</v>
      </c>
      <c r="CF122" s="953">
        <f t="shared" si="203"/>
        <v>209583</v>
      </c>
      <c r="CG122" s="953">
        <f t="shared" si="203"/>
        <v>70839</v>
      </c>
      <c r="CH122" s="953">
        <f t="shared" si="203"/>
        <v>2096</v>
      </c>
      <c r="CI122" s="953">
        <f t="shared" si="203"/>
        <v>12709</v>
      </c>
      <c r="CJ122" s="877">
        <f t="shared" si="203"/>
        <v>0.7056</v>
      </c>
    </row>
    <row r="123" spans="1:90" ht="14.1" customHeight="1">
      <c r="A123" s="66">
        <v>30</v>
      </c>
      <c r="B123" s="63">
        <v>2435</v>
      </c>
      <c r="C123" s="64">
        <v>600079341</v>
      </c>
      <c r="D123" s="63">
        <v>72743069</v>
      </c>
      <c r="E123" s="65" t="s">
        <v>592</v>
      </c>
      <c r="F123" s="66">
        <v>3111</v>
      </c>
      <c r="G123" s="65" t="s">
        <v>290</v>
      </c>
      <c r="H123" s="67" t="s">
        <v>271</v>
      </c>
      <c r="I123" s="419">
        <v>7500638</v>
      </c>
      <c r="J123" s="414">
        <v>5539687</v>
      </c>
      <c r="K123" s="414">
        <v>4839959</v>
      </c>
      <c r="L123" s="414">
        <v>699728</v>
      </c>
      <c r="M123" s="414">
        <v>0</v>
      </c>
      <c r="N123" s="414">
        <v>0</v>
      </c>
      <c r="O123" s="414">
        <v>0</v>
      </c>
      <c r="P123" s="595">
        <v>1872414</v>
      </c>
      <c r="Q123" s="595">
        <v>55397</v>
      </c>
      <c r="R123" s="414">
        <v>33140</v>
      </c>
      <c r="S123" s="415">
        <v>10.643599999999999</v>
      </c>
      <c r="T123" s="415">
        <v>8.2579999999999991</v>
      </c>
      <c r="U123" s="422">
        <v>2.3855999999999997</v>
      </c>
      <c r="V123" s="423">
        <f t="shared" si="124"/>
        <v>0</v>
      </c>
      <c r="W123" s="417">
        <f t="shared" si="125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26"/>
        <v>0</v>
      </c>
      <c r="AF123" s="417">
        <f t="shared" si="127"/>
        <v>0</v>
      </c>
      <c r="AG123" s="417">
        <f t="shared" si="128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29"/>
        <v>0</v>
      </c>
      <c r="AN123" s="417">
        <f t="shared" si="130"/>
        <v>0</v>
      </c>
      <c r="AO123" s="417">
        <f t="shared" si="131"/>
        <v>0</v>
      </c>
      <c r="AP123" s="417">
        <f t="shared" si="132"/>
        <v>0</v>
      </c>
      <c r="AQ123" s="417">
        <f t="shared" si="133"/>
        <v>0</v>
      </c>
      <c r="AR123" s="417">
        <f t="shared" si="134"/>
        <v>0</v>
      </c>
      <c r="AS123" s="68">
        <f t="shared" si="135"/>
        <v>0</v>
      </c>
      <c r="AT123" s="68">
        <f t="shared" si="136"/>
        <v>0</v>
      </c>
      <c r="AU123" s="417">
        <v>0</v>
      </c>
      <c r="AV123" s="417">
        <v>0</v>
      </c>
      <c r="AW123" s="417">
        <v>0</v>
      </c>
      <c r="AX123" s="417">
        <f t="shared" si="137"/>
        <v>0</v>
      </c>
      <c r="AY123" s="417">
        <f t="shared" si="138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39"/>
        <v>0</v>
      </c>
      <c r="BJ123" s="418">
        <f t="shared" si="140"/>
        <v>0</v>
      </c>
      <c r="BK123" s="420">
        <f t="shared" si="141"/>
        <v>0</v>
      </c>
      <c r="BL123" s="772">
        <f>I123+AY123</f>
        <v>7500638</v>
      </c>
      <c r="BM123" s="417">
        <f>J123+AG123</f>
        <v>5539687</v>
      </c>
      <c r="BN123" s="417">
        <f t="shared" ref="BN123:BO126" si="204">K123+AE123</f>
        <v>4839959</v>
      </c>
      <c r="BO123" s="417">
        <f t="shared" si="204"/>
        <v>699728</v>
      </c>
      <c r="BP123" s="417">
        <f>M123+AO123</f>
        <v>0</v>
      </c>
      <c r="BQ123" s="417">
        <f t="shared" ref="BQ123:BR126" si="205">N123+AM123</f>
        <v>0</v>
      </c>
      <c r="BR123" s="417">
        <f t="shared" si="205"/>
        <v>0</v>
      </c>
      <c r="BS123" s="417">
        <f t="shared" ref="BS123:BT126" si="206">P123+AS123</f>
        <v>1872414</v>
      </c>
      <c r="BT123" s="417">
        <f t="shared" si="206"/>
        <v>55397</v>
      </c>
      <c r="BU123" s="417">
        <f>R123+AX123</f>
        <v>33140</v>
      </c>
      <c r="BV123" s="418">
        <f>S123+BK123</f>
        <v>10.643599999999999</v>
      </c>
      <c r="BW123" s="418">
        <f t="shared" ref="BW123:BX126" si="207">T123+BI123</f>
        <v>8.2579999999999991</v>
      </c>
      <c r="BX123" s="420">
        <f t="shared" si="207"/>
        <v>2.3855999999999997</v>
      </c>
      <c r="BY123" s="419"/>
      <c r="BZ123" s="414"/>
      <c r="CA123" s="414"/>
      <c r="CB123" s="414"/>
      <c r="CC123" s="414"/>
      <c r="CD123" s="422"/>
      <c r="CE123" s="419">
        <f t="shared" si="142"/>
        <v>313695</v>
      </c>
      <c r="CF123" s="414">
        <v>224534</v>
      </c>
      <c r="CG123" s="414">
        <v>75892</v>
      </c>
      <c r="CH123" s="414">
        <v>2245</v>
      </c>
      <c r="CI123" s="414">
        <v>11024</v>
      </c>
      <c r="CJ123" s="509">
        <v>0.76549999999999996</v>
      </c>
    </row>
    <row r="124" spans="1:90" ht="14.1" customHeight="1">
      <c r="A124" s="66">
        <v>30</v>
      </c>
      <c r="B124" s="63">
        <v>2435</v>
      </c>
      <c r="C124" s="64">
        <v>600079341</v>
      </c>
      <c r="D124" s="63">
        <v>72743069</v>
      </c>
      <c r="E124" s="65" t="s">
        <v>592</v>
      </c>
      <c r="F124" s="66">
        <v>3111</v>
      </c>
      <c r="G124" s="43" t="s">
        <v>292</v>
      </c>
      <c r="H124" s="67" t="s">
        <v>271</v>
      </c>
      <c r="I124" s="419">
        <v>534617</v>
      </c>
      <c r="J124" s="414">
        <v>396600</v>
      </c>
      <c r="K124" s="414">
        <v>396600</v>
      </c>
      <c r="L124" s="414">
        <v>0</v>
      </c>
      <c r="M124" s="414">
        <v>0</v>
      </c>
      <c r="N124" s="414">
        <v>0</v>
      </c>
      <c r="O124" s="414">
        <v>0</v>
      </c>
      <c r="P124" s="595">
        <v>134051</v>
      </c>
      <c r="Q124" s="595">
        <v>3966</v>
      </c>
      <c r="R124" s="414">
        <v>0</v>
      </c>
      <c r="S124" s="415">
        <v>1</v>
      </c>
      <c r="T124" s="415">
        <v>1</v>
      </c>
      <c r="U124" s="422">
        <v>0</v>
      </c>
      <c r="V124" s="423">
        <f t="shared" si="124"/>
        <v>0</v>
      </c>
      <c r="W124" s="417">
        <f t="shared" si="125"/>
        <v>0</v>
      </c>
      <c r="X124" s="417">
        <v>0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 t="shared" si="126"/>
        <v>0</v>
      </c>
      <c r="AF124" s="417">
        <f t="shared" si="127"/>
        <v>0</v>
      </c>
      <c r="AG124" s="417">
        <f t="shared" si="128"/>
        <v>0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29"/>
        <v>0</v>
      </c>
      <c r="AN124" s="417">
        <f t="shared" si="130"/>
        <v>0</v>
      </c>
      <c r="AO124" s="417">
        <f t="shared" si="131"/>
        <v>0</v>
      </c>
      <c r="AP124" s="417">
        <f t="shared" si="132"/>
        <v>0</v>
      </c>
      <c r="AQ124" s="417">
        <f t="shared" si="133"/>
        <v>0</v>
      </c>
      <c r="AR124" s="417">
        <f t="shared" si="134"/>
        <v>0</v>
      </c>
      <c r="AS124" s="68">
        <f t="shared" si="135"/>
        <v>0</v>
      </c>
      <c r="AT124" s="68">
        <f t="shared" si="136"/>
        <v>0</v>
      </c>
      <c r="AU124" s="417">
        <v>0</v>
      </c>
      <c r="AV124" s="417">
        <v>0</v>
      </c>
      <c r="AW124" s="417">
        <v>0</v>
      </c>
      <c r="AX124" s="417">
        <f t="shared" si="137"/>
        <v>0</v>
      </c>
      <c r="AY124" s="417">
        <f t="shared" si="138"/>
        <v>0</v>
      </c>
      <c r="AZ124" s="418">
        <v>0</v>
      </c>
      <c r="BA124" s="418">
        <v>0</v>
      </c>
      <c r="BB124" s="418">
        <v>0</v>
      </c>
      <c r="BC124" s="418">
        <v>0</v>
      </c>
      <c r="BD124" s="418">
        <v>0</v>
      </c>
      <c r="BE124" s="418">
        <v>0</v>
      </c>
      <c r="BF124" s="418">
        <v>0</v>
      </c>
      <c r="BG124" s="418">
        <v>0</v>
      </c>
      <c r="BH124" s="418">
        <v>0</v>
      </c>
      <c r="BI124" s="418">
        <f t="shared" si="139"/>
        <v>0</v>
      </c>
      <c r="BJ124" s="418">
        <f t="shared" si="140"/>
        <v>0</v>
      </c>
      <c r="BK124" s="420">
        <f t="shared" si="141"/>
        <v>0</v>
      </c>
      <c r="BL124" s="772">
        <f>I124+AY124</f>
        <v>534617</v>
      </c>
      <c r="BM124" s="417">
        <f>J124+AG124</f>
        <v>396600</v>
      </c>
      <c r="BN124" s="417">
        <f t="shared" si="204"/>
        <v>396600</v>
      </c>
      <c r="BO124" s="417">
        <f t="shared" si="204"/>
        <v>0</v>
      </c>
      <c r="BP124" s="417">
        <f>M124+AO124</f>
        <v>0</v>
      </c>
      <c r="BQ124" s="417">
        <f t="shared" si="205"/>
        <v>0</v>
      </c>
      <c r="BR124" s="417">
        <f t="shared" si="205"/>
        <v>0</v>
      </c>
      <c r="BS124" s="417">
        <f t="shared" si="206"/>
        <v>134051</v>
      </c>
      <c r="BT124" s="417">
        <f t="shared" si="206"/>
        <v>3966</v>
      </c>
      <c r="BU124" s="417">
        <f>R124+AX124</f>
        <v>0</v>
      </c>
      <c r="BV124" s="418">
        <f>S124+BK124</f>
        <v>1</v>
      </c>
      <c r="BW124" s="418">
        <f t="shared" si="207"/>
        <v>1</v>
      </c>
      <c r="BX124" s="420">
        <f t="shared" si="207"/>
        <v>0</v>
      </c>
      <c r="BY124" s="419"/>
      <c r="BZ124" s="414"/>
      <c r="CA124" s="414"/>
      <c r="CB124" s="414"/>
      <c r="CC124" s="414"/>
      <c r="CD124" s="422"/>
      <c r="CE124" s="419">
        <f t="shared" si="142"/>
        <v>0</v>
      </c>
      <c r="CF124" s="414">
        <v>0</v>
      </c>
      <c r="CG124" s="414">
        <v>0</v>
      </c>
      <c r="CH124" s="414">
        <v>0</v>
      </c>
      <c r="CI124" s="414">
        <v>0</v>
      </c>
      <c r="CJ124" s="509">
        <v>0</v>
      </c>
    </row>
    <row r="125" spans="1:90" ht="14.1" customHeight="1">
      <c r="A125" s="66">
        <v>30</v>
      </c>
      <c r="B125" s="63">
        <v>2435</v>
      </c>
      <c r="C125" s="64">
        <v>600079341</v>
      </c>
      <c r="D125" s="63">
        <v>72743069</v>
      </c>
      <c r="E125" s="65" t="s">
        <v>592</v>
      </c>
      <c r="F125" s="66">
        <v>3111</v>
      </c>
      <c r="G125" s="43" t="s">
        <v>291</v>
      </c>
      <c r="H125" s="67" t="s">
        <v>272</v>
      </c>
      <c r="I125" s="419">
        <v>499840</v>
      </c>
      <c r="J125" s="414">
        <v>370801</v>
      </c>
      <c r="K125" s="414">
        <v>370801</v>
      </c>
      <c r="L125" s="414">
        <v>0</v>
      </c>
      <c r="M125" s="414">
        <v>0</v>
      </c>
      <c r="N125" s="414">
        <v>0</v>
      </c>
      <c r="O125" s="414">
        <v>0</v>
      </c>
      <c r="P125" s="595">
        <v>125331</v>
      </c>
      <c r="Q125" s="595">
        <v>3708</v>
      </c>
      <c r="R125" s="414">
        <v>0</v>
      </c>
      <c r="S125" s="415">
        <v>1</v>
      </c>
      <c r="T125" s="416">
        <v>1</v>
      </c>
      <c r="U125" s="422">
        <v>0</v>
      </c>
      <c r="V125" s="423">
        <f t="shared" si="124"/>
        <v>0</v>
      </c>
      <c r="W125" s="417">
        <f t="shared" si="125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26"/>
        <v>0</v>
      </c>
      <c r="AF125" s="417">
        <f t="shared" si="127"/>
        <v>0</v>
      </c>
      <c r="AG125" s="417">
        <f t="shared" si="128"/>
        <v>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29"/>
        <v>0</v>
      </c>
      <c r="AN125" s="417">
        <f t="shared" si="130"/>
        <v>0</v>
      </c>
      <c r="AO125" s="417">
        <f t="shared" si="131"/>
        <v>0</v>
      </c>
      <c r="AP125" s="417">
        <f t="shared" si="132"/>
        <v>0</v>
      </c>
      <c r="AQ125" s="417">
        <f t="shared" si="133"/>
        <v>0</v>
      </c>
      <c r="AR125" s="417">
        <f t="shared" si="134"/>
        <v>0</v>
      </c>
      <c r="AS125" s="68">
        <f t="shared" si="135"/>
        <v>0</v>
      </c>
      <c r="AT125" s="68">
        <f t="shared" si="136"/>
        <v>0</v>
      </c>
      <c r="AU125" s="417">
        <v>0</v>
      </c>
      <c r="AV125" s="417">
        <v>0</v>
      </c>
      <c r="AW125" s="417">
        <v>0</v>
      </c>
      <c r="AX125" s="417">
        <f t="shared" si="137"/>
        <v>0</v>
      </c>
      <c r="AY125" s="417">
        <f t="shared" si="138"/>
        <v>0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39"/>
        <v>0</v>
      </c>
      <c r="BJ125" s="418">
        <f t="shared" si="140"/>
        <v>0</v>
      </c>
      <c r="BK125" s="420">
        <f t="shared" si="141"/>
        <v>0</v>
      </c>
      <c r="BL125" s="772">
        <f>I125+AY125</f>
        <v>499840</v>
      </c>
      <c r="BM125" s="417">
        <f>J125+AG125</f>
        <v>370801</v>
      </c>
      <c r="BN125" s="417">
        <f t="shared" si="204"/>
        <v>370801</v>
      </c>
      <c r="BO125" s="417">
        <f t="shared" si="204"/>
        <v>0</v>
      </c>
      <c r="BP125" s="417">
        <f>M125+AO125</f>
        <v>0</v>
      </c>
      <c r="BQ125" s="417">
        <f t="shared" si="205"/>
        <v>0</v>
      </c>
      <c r="BR125" s="417">
        <f t="shared" si="205"/>
        <v>0</v>
      </c>
      <c r="BS125" s="417">
        <f t="shared" si="206"/>
        <v>125331</v>
      </c>
      <c r="BT125" s="417">
        <f t="shared" si="206"/>
        <v>3708</v>
      </c>
      <c r="BU125" s="417">
        <f>R125+AX125</f>
        <v>0</v>
      </c>
      <c r="BV125" s="418">
        <f>S125+BK125</f>
        <v>1</v>
      </c>
      <c r="BW125" s="418">
        <f t="shared" si="207"/>
        <v>1</v>
      </c>
      <c r="BX125" s="420">
        <f t="shared" si="207"/>
        <v>0</v>
      </c>
      <c r="BY125" s="419"/>
      <c r="BZ125" s="414"/>
      <c r="CA125" s="414"/>
      <c r="CB125" s="414"/>
      <c r="CC125" s="414"/>
      <c r="CD125" s="422"/>
      <c r="CE125" s="419">
        <f t="shared" si="142"/>
        <v>0</v>
      </c>
      <c r="CF125" s="414">
        <v>0</v>
      </c>
      <c r="CG125" s="414">
        <v>0</v>
      </c>
      <c r="CH125" s="414">
        <v>0</v>
      </c>
      <c r="CI125" s="414">
        <v>0</v>
      </c>
      <c r="CJ125" s="509">
        <v>0</v>
      </c>
    </row>
    <row r="126" spans="1:90" ht="14.1" customHeight="1">
      <c r="A126" s="66">
        <v>30</v>
      </c>
      <c r="B126" s="63">
        <v>2435</v>
      </c>
      <c r="C126" s="64">
        <v>600079341</v>
      </c>
      <c r="D126" s="63">
        <v>72743069</v>
      </c>
      <c r="E126" s="65" t="s">
        <v>592</v>
      </c>
      <c r="F126" s="66">
        <v>3141</v>
      </c>
      <c r="G126" s="65" t="s">
        <v>294</v>
      </c>
      <c r="H126" s="67" t="s">
        <v>272</v>
      </c>
      <c r="I126" s="419">
        <v>898691</v>
      </c>
      <c r="J126" s="414">
        <v>663869</v>
      </c>
      <c r="K126" s="414">
        <v>0</v>
      </c>
      <c r="L126" s="744">
        <v>663869</v>
      </c>
      <c r="M126" s="414">
        <v>0</v>
      </c>
      <c r="N126" s="204">
        <v>0</v>
      </c>
      <c r="O126" s="204">
        <v>0</v>
      </c>
      <c r="P126" s="595">
        <v>224388</v>
      </c>
      <c r="Q126" s="595">
        <v>6638</v>
      </c>
      <c r="R126" s="601">
        <v>3796</v>
      </c>
      <c r="S126" s="415">
        <v>1.9866999999999999</v>
      </c>
      <c r="T126" s="603">
        <v>0</v>
      </c>
      <c r="U126" s="731">
        <v>1.9866999999999999</v>
      </c>
      <c r="V126" s="423">
        <f t="shared" si="124"/>
        <v>0</v>
      </c>
      <c r="W126" s="417">
        <f t="shared" si="125"/>
        <v>0</v>
      </c>
      <c r="X126" s="417">
        <v>0</v>
      </c>
      <c r="Y126" s="417">
        <v>0</v>
      </c>
      <c r="Z126" s="417">
        <v>0</v>
      </c>
      <c r="AA126" s="417">
        <v>6119</v>
      </c>
      <c r="AB126" s="417">
        <v>0</v>
      </c>
      <c r="AC126" s="417">
        <v>0</v>
      </c>
      <c r="AD126" s="417">
        <v>0</v>
      </c>
      <c r="AE126" s="417">
        <f t="shared" si="126"/>
        <v>0</v>
      </c>
      <c r="AF126" s="417">
        <f t="shared" si="127"/>
        <v>6119</v>
      </c>
      <c r="AG126" s="417">
        <f t="shared" si="128"/>
        <v>6119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29"/>
        <v>0</v>
      </c>
      <c r="AN126" s="417">
        <f t="shared" si="130"/>
        <v>0</v>
      </c>
      <c r="AO126" s="417">
        <f t="shared" si="131"/>
        <v>0</v>
      </c>
      <c r="AP126" s="417">
        <f t="shared" si="132"/>
        <v>0</v>
      </c>
      <c r="AQ126" s="417">
        <f t="shared" si="133"/>
        <v>6119</v>
      </c>
      <c r="AR126" s="417">
        <f t="shared" si="134"/>
        <v>6119</v>
      </c>
      <c r="AS126" s="68">
        <f t="shared" si="135"/>
        <v>2068</v>
      </c>
      <c r="AT126" s="68">
        <f t="shared" si="136"/>
        <v>61</v>
      </c>
      <c r="AU126" s="417">
        <v>0</v>
      </c>
      <c r="AV126" s="417">
        <v>0</v>
      </c>
      <c r="AW126" s="417">
        <v>0</v>
      </c>
      <c r="AX126" s="417">
        <f t="shared" si="137"/>
        <v>0</v>
      </c>
      <c r="AY126" s="417">
        <f t="shared" si="138"/>
        <v>8248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0.02</v>
      </c>
      <c r="BE126" s="418">
        <v>0</v>
      </c>
      <c r="BF126" s="418">
        <v>0</v>
      </c>
      <c r="BG126" s="418">
        <v>0</v>
      </c>
      <c r="BH126" s="418">
        <v>0</v>
      </c>
      <c r="BI126" s="418">
        <f t="shared" si="139"/>
        <v>0</v>
      </c>
      <c r="BJ126" s="418">
        <f t="shared" si="140"/>
        <v>0.02</v>
      </c>
      <c r="BK126" s="420">
        <f t="shared" si="141"/>
        <v>0.02</v>
      </c>
      <c r="BL126" s="772">
        <f>I126+AY126</f>
        <v>906939</v>
      </c>
      <c r="BM126" s="417">
        <f>J126+AG126</f>
        <v>669988</v>
      </c>
      <c r="BN126" s="417">
        <f t="shared" si="204"/>
        <v>0</v>
      </c>
      <c r="BO126" s="417">
        <f t="shared" si="204"/>
        <v>669988</v>
      </c>
      <c r="BP126" s="417">
        <f>M126+AO126</f>
        <v>0</v>
      </c>
      <c r="BQ126" s="417">
        <f t="shared" si="205"/>
        <v>0</v>
      </c>
      <c r="BR126" s="417">
        <f t="shared" si="205"/>
        <v>0</v>
      </c>
      <c r="BS126" s="417">
        <f t="shared" si="206"/>
        <v>226456</v>
      </c>
      <c r="BT126" s="417">
        <f t="shared" si="206"/>
        <v>6699</v>
      </c>
      <c r="BU126" s="417">
        <f>R126+AX126</f>
        <v>3796</v>
      </c>
      <c r="BV126" s="418">
        <f>S126+BK126</f>
        <v>2.0066999999999999</v>
      </c>
      <c r="BW126" s="418">
        <f t="shared" si="207"/>
        <v>0</v>
      </c>
      <c r="BX126" s="420">
        <f t="shared" si="207"/>
        <v>2.0066999999999999</v>
      </c>
      <c r="BY126" s="419"/>
      <c r="BZ126" s="414"/>
      <c r="CA126" s="414"/>
      <c r="CB126" s="414"/>
      <c r="CC126" s="414"/>
      <c r="CD126" s="422"/>
      <c r="CE126" s="419">
        <f t="shared" si="142"/>
        <v>0</v>
      </c>
      <c r="CF126" s="414">
        <v>0</v>
      </c>
      <c r="CG126" s="414">
        <v>0</v>
      </c>
      <c r="CH126" s="414">
        <v>0</v>
      </c>
      <c r="CI126" s="414">
        <v>0</v>
      </c>
      <c r="CJ126" s="509">
        <v>0</v>
      </c>
    </row>
    <row r="127" spans="1:90" ht="14.1" customHeight="1">
      <c r="A127" s="72">
        <v>30</v>
      </c>
      <c r="B127" s="69">
        <v>2435</v>
      </c>
      <c r="C127" s="70">
        <v>600079341</v>
      </c>
      <c r="D127" s="69">
        <v>72743069</v>
      </c>
      <c r="E127" s="71" t="s">
        <v>593</v>
      </c>
      <c r="F127" s="72"/>
      <c r="G127" s="71"/>
      <c r="H127" s="73"/>
      <c r="I127" s="516">
        <v>9433786</v>
      </c>
      <c r="J127" s="74">
        <v>6970957</v>
      </c>
      <c r="K127" s="74">
        <v>5607360</v>
      </c>
      <c r="L127" s="74">
        <v>1363597</v>
      </c>
      <c r="M127" s="74">
        <v>0</v>
      </c>
      <c r="N127" s="74">
        <v>0</v>
      </c>
      <c r="O127" s="74">
        <v>0</v>
      </c>
      <c r="P127" s="74">
        <v>2356184</v>
      </c>
      <c r="Q127" s="74">
        <v>69709</v>
      </c>
      <c r="R127" s="74">
        <v>36936</v>
      </c>
      <c r="S127" s="75">
        <v>14.630299999999998</v>
      </c>
      <c r="T127" s="75">
        <v>10.257999999999999</v>
      </c>
      <c r="U127" s="653">
        <v>4.3722999999999992</v>
      </c>
      <c r="V127" s="516">
        <f t="shared" ref="V127:BX127" si="208">SUM(V123:V126)</f>
        <v>0</v>
      </c>
      <c r="W127" s="74">
        <f t="shared" si="208"/>
        <v>0</v>
      </c>
      <c r="X127" s="74">
        <f t="shared" si="208"/>
        <v>0</v>
      </c>
      <c r="Y127" s="74">
        <f t="shared" si="208"/>
        <v>0</v>
      </c>
      <c r="Z127" s="74">
        <f t="shared" si="208"/>
        <v>0</v>
      </c>
      <c r="AA127" s="74">
        <f t="shared" si="208"/>
        <v>6119</v>
      </c>
      <c r="AB127" s="74">
        <f t="shared" si="208"/>
        <v>0</v>
      </c>
      <c r="AC127" s="74">
        <f t="shared" si="208"/>
        <v>0</v>
      </c>
      <c r="AD127" s="74">
        <f t="shared" si="208"/>
        <v>0</v>
      </c>
      <c r="AE127" s="74">
        <f t="shared" si="208"/>
        <v>0</v>
      </c>
      <c r="AF127" s="74">
        <f t="shared" si="208"/>
        <v>6119</v>
      </c>
      <c r="AG127" s="74">
        <f t="shared" si="208"/>
        <v>6119</v>
      </c>
      <c r="AH127" s="74">
        <f t="shared" si="208"/>
        <v>0</v>
      </c>
      <c r="AI127" s="74">
        <f t="shared" si="208"/>
        <v>0</v>
      </c>
      <c r="AJ127" s="74">
        <f t="shared" si="208"/>
        <v>0</v>
      </c>
      <c r="AK127" s="74">
        <f t="shared" si="208"/>
        <v>0</v>
      </c>
      <c r="AL127" s="74">
        <f t="shared" si="208"/>
        <v>0</v>
      </c>
      <c r="AM127" s="74">
        <f t="shared" si="208"/>
        <v>0</v>
      </c>
      <c r="AN127" s="74">
        <f t="shared" si="208"/>
        <v>0</v>
      </c>
      <c r="AO127" s="74">
        <f t="shared" si="208"/>
        <v>0</v>
      </c>
      <c r="AP127" s="74">
        <f t="shared" si="208"/>
        <v>0</v>
      </c>
      <c r="AQ127" s="74">
        <f t="shared" si="208"/>
        <v>6119</v>
      </c>
      <c r="AR127" s="74">
        <f t="shared" si="208"/>
        <v>6119</v>
      </c>
      <c r="AS127" s="74">
        <f t="shared" si="208"/>
        <v>2068</v>
      </c>
      <c r="AT127" s="74">
        <f t="shared" si="208"/>
        <v>61</v>
      </c>
      <c r="AU127" s="74">
        <f t="shared" si="208"/>
        <v>0</v>
      </c>
      <c r="AV127" s="74">
        <f t="shared" si="208"/>
        <v>0</v>
      </c>
      <c r="AW127" s="74">
        <f t="shared" si="208"/>
        <v>0</v>
      </c>
      <c r="AX127" s="74">
        <f t="shared" si="208"/>
        <v>0</v>
      </c>
      <c r="AY127" s="74">
        <f t="shared" si="208"/>
        <v>8248</v>
      </c>
      <c r="AZ127" s="75">
        <f t="shared" si="208"/>
        <v>0</v>
      </c>
      <c r="BA127" s="75">
        <f t="shared" si="208"/>
        <v>0</v>
      </c>
      <c r="BB127" s="75">
        <f t="shared" si="208"/>
        <v>0</v>
      </c>
      <c r="BC127" s="75">
        <f t="shared" si="208"/>
        <v>0</v>
      </c>
      <c r="BD127" s="75">
        <f t="shared" si="208"/>
        <v>0.02</v>
      </c>
      <c r="BE127" s="75">
        <f t="shared" si="208"/>
        <v>0</v>
      </c>
      <c r="BF127" s="75">
        <f t="shared" si="208"/>
        <v>0</v>
      </c>
      <c r="BG127" s="75">
        <f t="shared" si="208"/>
        <v>0</v>
      </c>
      <c r="BH127" s="75">
        <f t="shared" si="208"/>
        <v>0</v>
      </c>
      <c r="BI127" s="75">
        <f t="shared" si="208"/>
        <v>0</v>
      </c>
      <c r="BJ127" s="75">
        <f t="shared" si="208"/>
        <v>0.02</v>
      </c>
      <c r="BK127" s="76">
        <f t="shared" si="208"/>
        <v>0.02</v>
      </c>
      <c r="BL127" s="781">
        <f t="shared" si="208"/>
        <v>9442034</v>
      </c>
      <c r="BM127" s="74">
        <f t="shared" si="208"/>
        <v>6977076</v>
      </c>
      <c r="BN127" s="74">
        <f t="shared" si="208"/>
        <v>5607360</v>
      </c>
      <c r="BO127" s="74">
        <f t="shared" si="208"/>
        <v>1369716</v>
      </c>
      <c r="BP127" s="74">
        <f t="shared" si="208"/>
        <v>0</v>
      </c>
      <c r="BQ127" s="74">
        <f t="shared" si="208"/>
        <v>0</v>
      </c>
      <c r="BR127" s="74">
        <f t="shared" si="208"/>
        <v>0</v>
      </c>
      <c r="BS127" s="74">
        <f t="shared" si="208"/>
        <v>2358252</v>
      </c>
      <c r="BT127" s="74">
        <f t="shared" si="208"/>
        <v>69770</v>
      </c>
      <c r="BU127" s="74">
        <f t="shared" si="208"/>
        <v>36936</v>
      </c>
      <c r="BV127" s="75">
        <f t="shared" si="208"/>
        <v>14.6503</v>
      </c>
      <c r="BW127" s="75">
        <f t="shared" si="208"/>
        <v>10.257999999999999</v>
      </c>
      <c r="BX127" s="76">
        <f t="shared" si="208"/>
        <v>4.3922999999999996</v>
      </c>
      <c r="BY127" s="791">
        <f t="shared" ref="BY127:CJ127" si="209">SUM(BY123:BY126)</f>
        <v>0</v>
      </c>
      <c r="BZ127" s="679">
        <f t="shared" si="209"/>
        <v>0</v>
      </c>
      <c r="CA127" s="679">
        <f t="shared" si="209"/>
        <v>0</v>
      </c>
      <c r="CB127" s="679">
        <f t="shared" si="209"/>
        <v>0</v>
      </c>
      <c r="CC127" s="679">
        <f t="shared" si="209"/>
        <v>0</v>
      </c>
      <c r="CD127" s="947">
        <f t="shared" si="209"/>
        <v>0</v>
      </c>
      <c r="CE127" s="956">
        <f t="shared" si="209"/>
        <v>313695</v>
      </c>
      <c r="CF127" s="953">
        <f t="shared" si="209"/>
        <v>224534</v>
      </c>
      <c r="CG127" s="953">
        <f t="shared" si="209"/>
        <v>75892</v>
      </c>
      <c r="CH127" s="953">
        <f t="shared" si="209"/>
        <v>2245</v>
      </c>
      <c r="CI127" s="953">
        <f t="shared" si="209"/>
        <v>11024</v>
      </c>
      <c r="CJ127" s="877">
        <f t="shared" si="209"/>
        <v>0.76549999999999996</v>
      </c>
    </row>
    <row r="128" spans="1:90" ht="14.1" customHeight="1">
      <c r="A128" s="66">
        <v>31</v>
      </c>
      <c r="B128" s="63">
        <v>2474</v>
      </c>
      <c r="C128" s="64">
        <v>600080307</v>
      </c>
      <c r="D128" s="63">
        <v>65635612</v>
      </c>
      <c r="E128" s="65" t="s">
        <v>594</v>
      </c>
      <c r="F128" s="66">
        <v>3111</v>
      </c>
      <c r="G128" s="65" t="s">
        <v>290</v>
      </c>
      <c r="H128" s="67" t="s">
        <v>271</v>
      </c>
      <c r="I128" s="419">
        <v>3635640</v>
      </c>
      <c r="J128" s="414">
        <v>2670908</v>
      </c>
      <c r="K128" s="414">
        <v>2481872</v>
      </c>
      <c r="L128" s="414">
        <v>189036</v>
      </c>
      <c r="M128" s="414">
        <v>12000</v>
      </c>
      <c r="N128" s="414">
        <v>5000</v>
      </c>
      <c r="O128" s="414">
        <v>7000</v>
      </c>
      <c r="P128" s="595">
        <v>906823</v>
      </c>
      <c r="Q128" s="595">
        <v>26709</v>
      </c>
      <c r="R128" s="414">
        <v>19200</v>
      </c>
      <c r="S128" s="415">
        <v>4.7654000000000005</v>
      </c>
      <c r="T128" s="415">
        <v>4</v>
      </c>
      <c r="U128" s="422">
        <v>0.76539999999999997</v>
      </c>
      <c r="V128" s="423">
        <f t="shared" si="124"/>
        <v>0</v>
      </c>
      <c r="W128" s="417">
        <f t="shared" si="125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26"/>
        <v>0</v>
      </c>
      <c r="AF128" s="417">
        <f t="shared" si="127"/>
        <v>0</v>
      </c>
      <c r="AG128" s="417">
        <f t="shared" si="128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29"/>
        <v>0</v>
      </c>
      <c r="AN128" s="417">
        <f t="shared" si="130"/>
        <v>0</v>
      </c>
      <c r="AO128" s="417">
        <f t="shared" si="131"/>
        <v>0</v>
      </c>
      <c r="AP128" s="417">
        <f t="shared" si="132"/>
        <v>0</v>
      </c>
      <c r="AQ128" s="417">
        <f t="shared" si="133"/>
        <v>0</v>
      </c>
      <c r="AR128" s="417">
        <f t="shared" si="134"/>
        <v>0</v>
      </c>
      <c r="AS128" s="68">
        <f t="shared" si="135"/>
        <v>0</v>
      </c>
      <c r="AT128" s="68">
        <f t="shared" si="136"/>
        <v>0</v>
      </c>
      <c r="AU128" s="417">
        <v>0</v>
      </c>
      <c r="AV128" s="417">
        <v>0</v>
      </c>
      <c r="AW128" s="417">
        <v>0</v>
      </c>
      <c r="AX128" s="417">
        <f t="shared" si="137"/>
        <v>0</v>
      </c>
      <c r="AY128" s="417">
        <f t="shared" si="138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39"/>
        <v>0</v>
      </c>
      <c r="BJ128" s="418">
        <f t="shared" si="140"/>
        <v>0</v>
      </c>
      <c r="BK128" s="420">
        <f t="shared" si="141"/>
        <v>0</v>
      </c>
      <c r="BL128" s="772">
        <f t="shared" ref="BL128:BL133" si="210">I128+AY128</f>
        <v>3635640</v>
      </c>
      <c r="BM128" s="417">
        <f t="shared" ref="BM128:BM133" si="211">J128+AG128</f>
        <v>2670908</v>
      </c>
      <c r="BN128" s="417">
        <f t="shared" ref="BN128:BO133" si="212">K128+AE128</f>
        <v>2481872</v>
      </c>
      <c r="BO128" s="417">
        <f t="shared" si="212"/>
        <v>189036</v>
      </c>
      <c r="BP128" s="417">
        <f t="shared" ref="BP128:BP133" si="213">M128+AO128</f>
        <v>12000</v>
      </c>
      <c r="BQ128" s="417">
        <f t="shared" ref="BQ128:BR133" si="214">N128+AM128</f>
        <v>5000</v>
      </c>
      <c r="BR128" s="417">
        <f t="shared" si="214"/>
        <v>7000</v>
      </c>
      <c r="BS128" s="417">
        <f t="shared" ref="BS128:BT133" si="215">P128+AS128</f>
        <v>906823</v>
      </c>
      <c r="BT128" s="417">
        <f t="shared" si="215"/>
        <v>26709</v>
      </c>
      <c r="BU128" s="417">
        <f t="shared" ref="BU128:BU133" si="216">R128+AX128</f>
        <v>19200</v>
      </c>
      <c r="BV128" s="418">
        <f t="shared" ref="BV128:BV133" si="217">S128+BK128</f>
        <v>4.7654000000000005</v>
      </c>
      <c r="BW128" s="418">
        <f t="shared" ref="BW128:BX133" si="218">T128+BI128</f>
        <v>4</v>
      </c>
      <c r="BX128" s="420">
        <f t="shared" si="218"/>
        <v>0.76539999999999997</v>
      </c>
      <c r="BY128" s="419"/>
      <c r="BZ128" s="414"/>
      <c r="CA128" s="414"/>
      <c r="CB128" s="414"/>
      <c r="CC128" s="414"/>
      <c r="CD128" s="422"/>
      <c r="CE128" s="419">
        <f t="shared" si="142"/>
        <v>91173</v>
      </c>
      <c r="CF128" s="414">
        <v>62900</v>
      </c>
      <c r="CG128" s="414">
        <f>ROUND(CF128*33.8%,0)</f>
        <v>21260</v>
      </c>
      <c r="CH128" s="414">
        <f>ROUND(CF128*1%,0)</f>
        <v>629</v>
      </c>
      <c r="CI128" s="414">
        <v>6384</v>
      </c>
      <c r="CJ128" s="509">
        <v>0.252</v>
      </c>
      <c r="CK128" s="53"/>
      <c r="CL128" s="53"/>
    </row>
    <row r="129" spans="1:90" ht="14.1" customHeight="1">
      <c r="A129" s="66">
        <v>31</v>
      </c>
      <c r="B129" s="63">
        <v>2474</v>
      </c>
      <c r="C129" s="64">
        <v>600080307</v>
      </c>
      <c r="D129" s="63">
        <v>65635612</v>
      </c>
      <c r="E129" s="65" t="s">
        <v>594</v>
      </c>
      <c r="F129" s="66">
        <v>3113</v>
      </c>
      <c r="G129" s="65" t="s">
        <v>293</v>
      </c>
      <c r="H129" s="67" t="s">
        <v>271</v>
      </c>
      <c r="I129" s="419">
        <v>30445238</v>
      </c>
      <c r="J129" s="414">
        <v>22131066</v>
      </c>
      <c r="K129" s="414">
        <v>20016782</v>
      </c>
      <c r="L129" s="414">
        <v>2114284</v>
      </c>
      <c r="M129" s="414">
        <v>70000</v>
      </c>
      <c r="N129" s="414">
        <v>45000</v>
      </c>
      <c r="O129" s="414">
        <v>25000</v>
      </c>
      <c r="P129" s="595">
        <v>7503961</v>
      </c>
      <c r="Q129" s="595">
        <v>221311</v>
      </c>
      <c r="R129" s="414">
        <v>518900</v>
      </c>
      <c r="S129" s="415">
        <v>35.047800000000002</v>
      </c>
      <c r="T129" s="415">
        <v>28.805</v>
      </c>
      <c r="U129" s="422">
        <v>6.2428000000000008</v>
      </c>
      <c r="V129" s="423">
        <f t="shared" si="124"/>
        <v>-140000</v>
      </c>
      <c r="W129" s="417">
        <f t="shared" si="125"/>
        <v>-20000</v>
      </c>
      <c r="X129" s="417">
        <v>0</v>
      </c>
      <c r="Y129" s="417">
        <v>75468</v>
      </c>
      <c r="Z129" s="417">
        <v>-59416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26"/>
        <v>-123948</v>
      </c>
      <c r="AF129" s="417">
        <f t="shared" si="127"/>
        <v>-20000</v>
      </c>
      <c r="AG129" s="417">
        <f t="shared" si="128"/>
        <v>-143948</v>
      </c>
      <c r="AH129" s="417">
        <v>140000</v>
      </c>
      <c r="AI129" s="417">
        <v>20000</v>
      </c>
      <c r="AJ129" s="417">
        <v>0</v>
      </c>
      <c r="AK129" s="417">
        <v>0</v>
      </c>
      <c r="AL129" s="417">
        <v>0</v>
      </c>
      <c r="AM129" s="417">
        <f t="shared" si="129"/>
        <v>140000</v>
      </c>
      <c r="AN129" s="417">
        <f t="shared" si="130"/>
        <v>20000</v>
      </c>
      <c r="AO129" s="417">
        <f t="shared" si="131"/>
        <v>160000</v>
      </c>
      <c r="AP129" s="417">
        <f t="shared" si="132"/>
        <v>16052</v>
      </c>
      <c r="AQ129" s="417">
        <f t="shared" si="133"/>
        <v>0</v>
      </c>
      <c r="AR129" s="417">
        <f t="shared" si="134"/>
        <v>16052</v>
      </c>
      <c r="AS129" s="68">
        <f t="shared" si="135"/>
        <v>5426</v>
      </c>
      <c r="AT129" s="68">
        <f t="shared" si="136"/>
        <v>-1439</v>
      </c>
      <c r="AU129" s="417">
        <v>0</v>
      </c>
      <c r="AV129" s="417">
        <v>0</v>
      </c>
      <c r="AW129" s="417">
        <v>0</v>
      </c>
      <c r="AX129" s="417">
        <f t="shared" si="137"/>
        <v>0</v>
      </c>
      <c r="AY129" s="417">
        <f t="shared" si="138"/>
        <v>20039</v>
      </c>
      <c r="AZ129" s="418">
        <v>-0.2</v>
      </c>
      <c r="BA129" s="418">
        <v>0</v>
      </c>
      <c r="BB129" s="418">
        <v>0</v>
      </c>
      <c r="BC129" s="418">
        <v>-0.12</v>
      </c>
      <c r="BD129" s="418">
        <v>0</v>
      </c>
      <c r="BE129" s="418">
        <v>0.11</v>
      </c>
      <c r="BF129" s="418">
        <v>0</v>
      </c>
      <c r="BG129" s="418">
        <v>0</v>
      </c>
      <c r="BH129" s="418">
        <v>0</v>
      </c>
      <c r="BI129" s="418">
        <f t="shared" si="139"/>
        <v>-0.21000000000000002</v>
      </c>
      <c r="BJ129" s="418">
        <f t="shared" si="140"/>
        <v>0</v>
      </c>
      <c r="BK129" s="420">
        <f t="shared" si="141"/>
        <v>-0.21000000000000002</v>
      </c>
      <c r="BL129" s="772">
        <f t="shared" si="210"/>
        <v>30465277</v>
      </c>
      <c r="BM129" s="417">
        <f t="shared" si="211"/>
        <v>21987118</v>
      </c>
      <c r="BN129" s="417">
        <f t="shared" si="212"/>
        <v>19892834</v>
      </c>
      <c r="BO129" s="417">
        <f t="shared" si="212"/>
        <v>2094284</v>
      </c>
      <c r="BP129" s="417">
        <f t="shared" si="213"/>
        <v>230000</v>
      </c>
      <c r="BQ129" s="417">
        <f t="shared" si="214"/>
        <v>185000</v>
      </c>
      <c r="BR129" s="417">
        <f t="shared" si="214"/>
        <v>45000</v>
      </c>
      <c r="BS129" s="417">
        <f t="shared" si="215"/>
        <v>7509387</v>
      </c>
      <c r="BT129" s="417">
        <f t="shared" si="215"/>
        <v>219872</v>
      </c>
      <c r="BU129" s="417">
        <f t="shared" si="216"/>
        <v>518900</v>
      </c>
      <c r="BV129" s="418">
        <f t="shared" si="217"/>
        <v>34.837800000000001</v>
      </c>
      <c r="BW129" s="418">
        <f t="shared" si="218"/>
        <v>28.594999999999999</v>
      </c>
      <c r="BX129" s="420">
        <f t="shared" si="218"/>
        <v>6.2428000000000008</v>
      </c>
      <c r="BY129" s="419">
        <v>760272</v>
      </c>
      <c r="BZ129" s="414">
        <v>564000</v>
      </c>
      <c r="CA129" s="414">
        <v>0</v>
      </c>
      <c r="CB129" s="414">
        <v>190632</v>
      </c>
      <c r="CC129" s="414">
        <v>5640</v>
      </c>
      <c r="CD129" s="422">
        <v>1</v>
      </c>
      <c r="CE129" s="419">
        <f t="shared" si="142"/>
        <v>1047280</v>
      </c>
      <c r="CF129" s="414">
        <v>686691</v>
      </c>
      <c r="CG129" s="414">
        <v>232102</v>
      </c>
      <c r="CH129" s="414">
        <v>6867</v>
      </c>
      <c r="CI129" s="414">
        <v>121620</v>
      </c>
      <c r="CJ129" s="509">
        <v>2.0201000000000002</v>
      </c>
      <c r="CK129" s="53"/>
      <c r="CL129" s="53"/>
    </row>
    <row r="130" spans="1:90" ht="14.1" customHeight="1">
      <c r="A130" s="66">
        <v>31</v>
      </c>
      <c r="B130" s="63">
        <v>2474</v>
      </c>
      <c r="C130" s="64">
        <v>600080307</v>
      </c>
      <c r="D130" s="63">
        <v>65635612</v>
      </c>
      <c r="E130" s="65" t="s">
        <v>594</v>
      </c>
      <c r="F130" s="66">
        <v>3113</v>
      </c>
      <c r="G130" s="77" t="s">
        <v>291</v>
      </c>
      <c r="H130" s="67" t="s">
        <v>272</v>
      </c>
      <c r="I130" s="419">
        <v>2871011</v>
      </c>
      <c r="J130" s="414">
        <v>2126120</v>
      </c>
      <c r="K130" s="414">
        <v>2126120</v>
      </c>
      <c r="L130" s="414">
        <v>0</v>
      </c>
      <c r="M130" s="414">
        <v>0</v>
      </c>
      <c r="N130" s="414">
        <v>0</v>
      </c>
      <c r="O130" s="414">
        <v>0</v>
      </c>
      <c r="P130" s="595">
        <v>718629</v>
      </c>
      <c r="Q130" s="595">
        <v>21262</v>
      </c>
      <c r="R130" s="414">
        <v>5000</v>
      </c>
      <c r="S130" s="415">
        <v>5.74</v>
      </c>
      <c r="T130" s="416">
        <v>5.74</v>
      </c>
      <c r="U130" s="422">
        <v>0</v>
      </c>
      <c r="V130" s="423">
        <f t="shared" si="124"/>
        <v>0</v>
      </c>
      <c r="W130" s="417">
        <f t="shared" si="125"/>
        <v>0</v>
      </c>
      <c r="X130" s="417">
        <v>211154</v>
      </c>
      <c r="Y130" s="417">
        <v>0</v>
      </c>
      <c r="Z130" s="417">
        <v>0</v>
      </c>
      <c r="AA130" s="417">
        <v>0</v>
      </c>
      <c r="AB130" s="417">
        <v>0</v>
      </c>
      <c r="AC130" s="417">
        <v>0</v>
      </c>
      <c r="AD130" s="417">
        <v>0</v>
      </c>
      <c r="AE130" s="417">
        <f t="shared" si="126"/>
        <v>211154</v>
      </c>
      <c r="AF130" s="417">
        <f t="shared" si="127"/>
        <v>0</v>
      </c>
      <c r="AG130" s="417">
        <f t="shared" si="128"/>
        <v>211154</v>
      </c>
      <c r="AH130" s="417">
        <v>0</v>
      </c>
      <c r="AI130" s="417">
        <v>0</v>
      </c>
      <c r="AJ130" s="417">
        <v>0</v>
      </c>
      <c r="AK130" s="417">
        <v>0</v>
      </c>
      <c r="AL130" s="417">
        <v>0</v>
      </c>
      <c r="AM130" s="417">
        <f t="shared" si="129"/>
        <v>0</v>
      </c>
      <c r="AN130" s="417">
        <f t="shared" si="130"/>
        <v>0</v>
      </c>
      <c r="AO130" s="417">
        <f t="shared" si="131"/>
        <v>0</v>
      </c>
      <c r="AP130" s="417">
        <f t="shared" si="132"/>
        <v>211154</v>
      </c>
      <c r="AQ130" s="417">
        <f t="shared" si="133"/>
        <v>0</v>
      </c>
      <c r="AR130" s="417">
        <f t="shared" si="134"/>
        <v>211154</v>
      </c>
      <c r="AS130" s="68">
        <f t="shared" si="135"/>
        <v>71370</v>
      </c>
      <c r="AT130" s="68">
        <f t="shared" si="136"/>
        <v>2112</v>
      </c>
      <c r="AU130" s="417">
        <f>4250+2500</f>
        <v>6750</v>
      </c>
      <c r="AV130" s="417">
        <v>0</v>
      </c>
      <c r="AW130" s="417">
        <v>0</v>
      </c>
      <c r="AX130" s="417">
        <f t="shared" si="137"/>
        <v>6750</v>
      </c>
      <c r="AY130" s="417">
        <f t="shared" si="138"/>
        <v>291386</v>
      </c>
      <c r="AZ130" s="418">
        <v>0</v>
      </c>
      <c r="BA130" s="418">
        <v>0</v>
      </c>
      <c r="BB130" s="418">
        <v>0.56999999999999995</v>
      </c>
      <c r="BC130" s="418">
        <v>0</v>
      </c>
      <c r="BD130" s="418">
        <v>0</v>
      </c>
      <c r="BE130" s="418">
        <v>0</v>
      </c>
      <c r="BF130" s="418">
        <v>0</v>
      </c>
      <c r="BG130" s="418">
        <v>0</v>
      </c>
      <c r="BH130" s="418">
        <v>0</v>
      </c>
      <c r="BI130" s="418">
        <f t="shared" si="139"/>
        <v>0.56999999999999995</v>
      </c>
      <c r="BJ130" s="418">
        <f t="shared" si="140"/>
        <v>0</v>
      </c>
      <c r="BK130" s="420">
        <f t="shared" si="141"/>
        <v>0.56999999999999995</v>
      </c>
      <c r="BL130" s="772">
        <f t="shared" si="210"/>
        <v>3162397</v>
      </c>
      <c r="BM130" s="417">
        <f t="shared" si="211"/>
        <v>2337274</v>
      </c>
      <c r="BN130" s="417">
        <f t="shared" si="212"/>
        <v>2337274</v>
      </c>
      <c r="BO130" s="417">
        <f t="shared" si="212"/>
        <v>0</v>
      </c>
      <c r="BP130" s="417">
        <f t="shared" si="213"/>
        <v>0</v>
      </c>
      <c r="BQ130" s="417">
        <f t="shared" si="214"/>
        <v>0</v>
      </c>
      <c r="BR130" s="417">
        <f t="shared" si="214"/>
        <v>0</v>
      </c>
      <c r="BS130" s="417">
        <f t="shared" si="215"/>
        <v>789999</v>
      </c>
      <c r="BT130" s="417">
        <f t="shared" si="215"/>
        <v>23374</v>
      </c>
      <c r="BU130" s="417">
        <f t="shared" si="216"/>
        <v>11750</v>
      </c>
      <c r="BV130" s="418">
        <f t="shared" si="217"/>
        <v>6.3100000000000005</v>
      </c>
      <c r="BW130" s="418">
        <f t="shared" si="218"/>
        <v>6.3100000000000005</v>
      </c>
      <c r="BX130" s="420">
        <f t="shared" si="218"/>
        <v>0</v>
      </c>
      <c r="BY130" s="419"/>
      <c r="BZ130" s="414"/>
      <c r="CA130" s="414"/>
      <c r="CB130" s="414"/>
      <c r="CC130" s="414"/>
      <c r="CD130" s="422"/>
      <c r="CE130" s="419">
        <f t="shared" si="142"/>
        <v>0</v>
      </c>
      <c r="CF130" s="414">
        <v>0</v>
      </c>
      <c r="CG130" s="414">
        <v>0</v>
      </c>
      <c r="CH130" s="414">
        <v>0</v>
      </c>
      <c r="CI130" s="414">
        <v>0</v>
      </c>
      <c r="CJ130" s="509">
        <v>0</v>
      </c>
      <c r="CK130" s="53"/>
      <c r="CL130" s="53"/>
    </row>
    <row r="131" spans="1:90" ht="14.1" customHeight="1">
      <c r="A131" s="66">
        <v>31</v>
      </c>
      <c r="B131" s="63">
        <v>2474</v>
      </c>
      <c r="C131" s="64">
        <v>600080307</v>
      </c>
      <c r="D131" s="63">
        <v>65635612</v>
      </c>
      <c r="E131" s="65" t="s">
        <v>594</v>
      </c>
      <c r="F131" s="66">
        <v>3141</v>
      </c>
      <c r="G131" s="65" t="s">
        <v>294</v>
      </c>
      <c r="H131" s="67" t="s">
        <v>272</v>
      </c>
      <c r="I131" s="419">
        <v>267332</v>
      </c>
      <c r="J131" s="414">
        <v>194154</v>
      </c>
      <c r="K131" s="414">
        <v>0</v>
      </c>
      <c r="L131" s="744">
        <v>194154</v>
      </c>
      <c r="M131" s="414">
        <v>3000</v>
      </c>
      <c r="N131" s="204">
        <v>0</v>
      </c>
      <c r="O131" s="204">
        <v>3000</v>
      </c>
      <c r="P131" s="595">
        <v>66638</v>
      </c>
      <c r="Q131" s="595">
        <v>1942</v>
      </c>
      <c r="R131" s="601">
        <v>1598</v>
      </c>
      <c r="S131" s="415">
        <v>0.59329999999999994</v>
      </c>
      <c r="T131" s="603">
        <v>0</v>
      </c>
      <c r="U131" s="731">
        <v>0.59329999999999994</v>
      </c>
      <c r="V131" s="423">
        <f t="shared" si="124"/>
        <v>0</v>
      </c>
      <c r="W131" s="417">
        <f t="shared" si="125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26"/>
        <v>0</v>
      </c>
      <c r="AF131" s="417">
        <f t="shared" si="127"/>
        <v>0</v>
      </c>
      <c r="AG131" s="417">
        <f t="shared" si="128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29"/>
        <v>0</v>
      </c>
      <c r="AN131" s="417">
        <f t="shared" si="130"/>
        <v>0</v>
      </c>
      <c r="AO131" s="417">
        <f t="shared" si="131"/>
        <v>0</v>
      </c>
      <c r="AP131" s="417">
        <f t="shared" si="132"/>
        <v>0</v>
      </c>
      <c r="AQ131" s="417">
        <f t="shared" si="133"/>
        <v>0</v>
      </c>
      <c r="AR131" s="417">
        <f t="shared" si="134"/>
        <v>0</v>
      </c>
      <c r="AS131" s="68">
        <f t="shared" si="135"/>
        <v>0</v>
      </c>
      <c r="AT131" s="68">
        <f t="shared" si="136"/>
        <v>0</v>
      </c>
      <c r="AU131" s="417">
        <v>0</v>
      </c>
      <c r="AV131" s="417">
        <v>0</v>
      </c>
      <c r="AW131" s="417">
        <v>0</v>
      </c>
      <c r="AX131" s="417">
        <f t="shared" si="137"/>
        <v>0</v>
      </c>
      <c r="AY131" s="417">
        <f t="shared" si="138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39"/>
        <v>0</v>
      </c>
      <c r="BJ131" s="418">
        <f t="shared" si="140"/>
        <v>0</v>
      </c>
      <c r="BK131" s="420">
        <f t="shared" si="141"/>
        <v>0</v>
      </c>
      <c r="BL131" s="772">
        <f t="shared" si="210"/>
        <v>267332</v>
      </c>
      <c r="BM131" s="417">
        <f t="shared" si="211"/>
        <v>194154</v>
      </c>
      <c r="BN131" s="417">
        <f t="shared" si="212"/>
        <v>0</v>
      </c>
      <c r="BO131" s="417">
        <f t="shared" si="212"/>
        <v>194154</v>
      </c>
      <c r="BP131" s="417">
        <f t="shared" si="213"/>
        <v>3000</v>
      </c>
      <c r="BQ131" s="417">
        <f t="shared" si="214"/>
        <v>0</v>
      </c>
      <c r="BR131" s="417">
        <f t="shared" si="214"/>
        <v>3000</v>
      </c>
      <c r="BS131" s="417">
        <f t="shared" si="215"/>
        <v>66638</v>
      </c>
      <c r="BT131" s="417">
        <f t="shared" si="215"/>
        <v>1942</v>
      </c>
      <c r="BU131" s="417">
        <f t="shared" si="216"/>
        <v>1598</v>
      </c>
      <c r="BV131" s="418">
        <f t="shared" si="217"/>
        <v>0.59329999999999994</v>
      </c>
      <c r="BW131" s="418">
        <f t="shared" si="218"/>
        <v>0</v>
      </c>
      <c r="BX131" s="420">
        <f t="shared" si="218"/>
        <v>0.59329999999999994</v>
      </c>
      <c r="BY131" s="419"/>
      <c r="BZ131" s="414"/>
      <c r="CA131" s="414"/>
      <c r="CB131" s="414"/>
      <c r="CC131" s="414"/>
      <c r="CD131" s="422"/>
      <c r="CE131" s="419">
        <f t="shared" si="142"/>
        <v>0</v>
      </c>
      <c r="CF131" s="414">
        <v>0</v>
      </c>
      <c r="CG131" s="414">
        <v>0</v>
      </c>
      <c r="CH131" s="414">
        <v>0</v>
      </c>
      <c r="CI131" s="414">
        <v>0</v>
      </c>
      <c r="CJ131" s="509">
        <v>0</v>
      </c>
      <c r="CK131" s="53"/>
      <c r="CL131" s="53"/>
    </row>
    <row r="132" spans="1:90" ht="14.1" customHeight="1">
      <c r="A132" s="66">
        <v>31</v>
      </c>
      <c r="B132" s="63">
        <v>2474</v>
      </c>
      <c r="C132" s="64">
        <v>600080307</v>
      </c>
      <c r="D132" s="63">
        <v>65635612</v>
      </c>
      <c r="E132" s="65" t="s">
        <v>594</v>
      </c>
      <c r="F132" s="66">
        <v>3143</v>
      </c>
      <c r="G132" s="77" t="s">
        <v>595</v>
      </c>
      <c r="H132" s="67" t="s">
        <v>271</v>
      </c>
      <c r="I132" s="419">
        <v>2055840</v>
      </c>
      <c r="J132" s="414">
        <v>1515178</v>
      </c>
      <c r="K132" s="414">
        <v>1515178</v>
      </c>
      <c r="L132" s="414">
        <v>0</v>
      </c>
      <c r="M132" s="414">
        <v>10000</v>
      </c>
      <c r="N132" s="414">
        <v>10000</v>
      </c>
      <c r="O132" s="414">
        <v>0</v>
      </c>
      <c r="P132" s="595">
        <v>515510</v>
      </c>
      <c r="Q132" s="595">
        <v>15152</v>
      </c>
      <c r="R132" s="414">
        <v>0</v>
      </c>
      <c r="S132" s="415">
        <v>3.036</v>
      </c>
      <c r="T132" s="415">
        <v>3.036</v>
      </c>
      <c r="U132" s="422">
        <v>0</v>
      </c>
      <c r="V132" s="423">
        <f t="shared" si="124"/>
        <v>0</v>
      </c>
      <c r="W132" s="417">
        <f t="shared" si="125"/>
        <v>0</v>
      </c>
      <c r="X132" s="417">
        <v>0</v>
      </c>
      <c r="Y132" s="417">
        <v>0</v>
      </c>
      <c r="Z132" s="417">
        <v>0</v>
      </c>
      <c r="AA132" s="417">
        <v>0</v>
      </c>
      <c r="AB132" s="417">
        <v>0</v>
      </c>
      <c r="AC132" s="417">
        <v>0</v>
      </c>
      <c r="AD132" s="417">
        <v>0</v>
      </c>
      <c r="AE132" s="417">
        <f t="shared" si="126"/>
        <v>0</v>
      </c>
      <c r="AF132" s="417">
        <f t="shared" si="127"/>
        <v>0</v>
      </c>
      <c r="AG132" s="417">
        <f t="shared" si="128"/>
        <v>0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29"/>
        <v>0</v>
      </c>
      <c r="AN132" s="417">
        <f t="shared" si="130"/>
        <v>0</v>
      </c>
      <c r="AO132" s="417">
        <f t="shared" si="131"/>
        <v>0</v>
      </c>
      <c r="AP132" s="417">
        <f t="shared" si="132"/>
        <v>0</v>
      </c>
      <c r="AQ132" s="417">
        <f t="shared" si="133"/>
        <v>0</v>
      </c>
      <c r="AR132" s="417">
        <f t="shared" si="134"/>
        <v>0</v>
      </c>
      <c r="AS132" s="68">
        <f t="shared" si="135"/>
        <v>0</v>
      </c>
      <c r="AT132" s="68">
        <f t="shared" si="136"/>
        <v>0</v>
      </c>
      <c r="AU132" s="417">
        <v>0</v>
      </c>
      <c r="AV132" s="417">
        <v>0</v>
      </c>
      <c r="AW132" s="417">
        <v>0</v>
      </c>
      <c r="AX132" s="417">
        <f t="shared" si="137"/>
        <v>0</v>
      </c>
      <c r="AY132" s="417">
        <f t="shared" si="138"/>
        <v>0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418">
        <v>0</v>
      </c>
      <c r="BG132" s="418">
        <v>0</v>
      </c>
      <c r="BH132" s="418">
        <v>0</v>
      </c>
      <c r="BI132" s="418">
        <f t="shared" si="139"/>
        <v>0</v>
      </c>
      <c r="BJ132" s="418">
        <f t="shared" si="140"/>
        <v>0</v>
      </c>
      <c r="BK132" s="420">
        <f t="shared" si="141"/>
        <v>0</v>
      </c>
      <c r="BL132" s="772">
        <f t="shared" si="210"/>
        <v>2055840</v>
      </c>
      <c r="BM132" s="417">
        <f t="shared" si="211"/>
        <v>1515178</v>
      </c>
      <c r="BN132" s="417">
        <f t="shared" si="212"/>
        <v>1515178</v>
      </c>
      <c r="BO132" s="417">
        <f t="shared" si="212"/>
        <v>0</v>
      </c>
      <c r="BP132" s="417">
        <f t="shared" si="213"/>
        <v>10000</v>
      </c>
      <c r="BQ132" s="417">
        <f t="shared" si="214"/>
        <v>10000</v>
      </c>
      <c r="BR132" s="417">
        <f t="shared" si="214"/>
        <v>0</v>
      </c>
      <c r="BS132" s="417">
        <f t="shared" si="215"/>
        <v>515510</v>
      </c>
      <c r="BT132" s="417">
        <f t="shared" si="215"/>
        <v>15152</v>
      </c>
      <c r="BU132" s="417">
        <f t="shared" si="216"/>
        <v>0</v>
      </c>
      <c r="BV132" s="418">
        <f t="shared" si="217"/>
        <v>3.036</v>
      </c>
      <c r="BW132" s="418">
        <f t="shared" si="218"/>
        <v>3.036</v>
      </c>
      <c r="BX132" s="420">
        <f t="shared" si="218"/>
        <v>0</v>
      </c>
      <c r="BY132" s="419"/>
      <c r="BZ132" s="414"/>
      <c r="CA132" s="414"/>
      <c r="CB132" s="414"/>
      <c r="CC132" s="414"/>
      <c r="CD132" s="422"/>
      <c r="CE132" s="419">
        <f t="shared" si="142"/>
        <v>0</v>
      </c>
      <c r="CF132" s="414">
        <v>0</v>
      </c>
      <c r="CG132" s="414">
        <v>0</v>
      </c>
      <c r="CH132" s="414">
        <v>0</v>
      </c>
      <c r="CI132" s="414">
        <v>0</v>
      </c>
      <c r="CJ132" s="509">
        <v>0</v>
      </c>
      <c r="CK132" s="53"/>
      <c r="CL132" s="53"/>
    </row>
    <row r="133" spans="1:90" ht="14.1" customHeight="1">
      <c r="A133" s="66">
        <v>31</v>
      </c>
      <c r="B133" s="63">
        <v>2474</v>
      </c>
      <c r="C133" s="64">
        <v>600080307</v>
      </c>
      <c r="D133" s="63">
        <v>65635612</v>
      </c>
      <c r="E133" s="65" t="s">
        <v>594</v>
      </c>
      <c r="F133" s="66">
        <v>3143</v>
      </c>
      <c r="G133" s="77" t="s">
        <v>596</v>
      </c>
      <c r="H133" s="67" t="s">
        <v>272</v>
      </c>
      <c r="I133" s="419">
        <v>76840</v>
      </c>
      <c r="J133" s="414">
        <v>55000</v>
      </c>
      <c r="K133" s="414">
        <v>0</v>
      </c>
      <c r="L133" s="601">
        <v>55000</v>
      </c>
      <c r="M133" s="414">
        <v>0</v>
      </c>
      <c r="N133" s="414">
        <v>0</v>
      </c>
      <c r="O133" s="414">
        <v>0</v>
      </c>
      <c r="P133" s="595">
        <v>18590</v>
      </c>
      <c r="Q133" s="595">
        <v>550</v>
      </c>
      <c r="R133" s="602">
        <v>2700</v>
      </c>
      <c r="S133" s="415">
        <v>0.2089</v>
      </c>
      <c r="T133" s="605">
        <v>0</v>
      </c>
      <c r="U133" s="731">
        <v>0.2089</v>
      </c>
      <c r="V133" s="423">
        <f t="shared" si="124"/>
        <v>0</v>
      </c>
      <c r="W133" s="417">
        <f t="shared" si="125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26"/>
        <v>0</v>
      </c>
      <c r="AF133" s="417">
        <f t="shared" si="127"/>
        <v>0</v>
      </c>
      <c r="AG133" s="417">
        <f t="shared" si="128"/>
        <v>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29"/>
        <v>0</v>
      </c>
      <c r="AN133" s="417">
        <f t="shared" si="130"/>
        <v>0</v>
      </c>
      <c r="AO133" s="417">
        <f t="shared" si="131"/>
        <v>0</v>
      </c>
      <c r="AP133" s="417">
        <f t="shared" si="132"/>
        <v>0</v>
      </c>
      <c r="AQ133" s="417">
        <f t="shared" si="133"/>
        <v>0</v>
      </c>
      <c r="AR133" s="417">
        <f t="shared" si="134"/>
        <v>0</v>
      </c>
      <c r="AS133" s="68">
        <f t="shared" si="135"/>
        <v>0</v>
      </c>
      <c r="AT133" s="68">
        <f t="shared" si="136"/>
        <v>0</v>
      </c>
      <c r="AU133" s="417">
        <v>0</v>
      </c>
      <c r="AV133" s="417">
        <v>0</v>
      </c>
      <c r="AW133" s="417">
        <v>0</v>
      </c>
      <c r="AX133" s="417">
        <f t="shared" si="137"/>
        <v>0</v>
      </c>
      <c r="AY133" s="417">
        <f t="shared" si="138"/>
        <v>0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39"/>
        <v>0</v>
      </c>
      <c r="BJ133" s="418">
        <f t="shared" si="140"/>
        <v>0</v>
      </c>
      <c r="BK133" s="420">
        <f t="shared" si="141"/>
        <v>0</v>
      </c>
      <c r="BL133" s="772">
        <f t="shared" si="210"/>
        <v>76840</v>
      </c>
      <c r="BM133" s="417">
        <f t="shared" si="211"/>
        <v>55000</v>
      </c>
      <c r="BN133" s="417">
        <f t="shared" si="212"/>
        <v>0</v>
      </c>
      <c r="BO133" s="417">
        <f t="shared" si="212"/>
        <v>55000</v>
      </c>
      <c r="BP133" s="417">
        <f t="shared" si="213"/>
        <v>0</v>
      </c>
      <c r="BQ133" s="417">
        <f t="shared" si="214"/>
        <v>0</v>
      </c>
      <c r="BR133" s="417">
        <f t="shared" si="214"/>
        <v>0</v>
      </c>
      <c r="BS133" s="417">
        <f t="shared" si="215"/>
        <v>18590</v>
      </c>
      <c r="BT133" s="417">
        <f t="shared" si="215"/>
        <v>550</v>
      </c>
      <c r="BU133" s="417">
        <f t="shared" si="216"/>
        <v>2700</v>
      </c>
      <c r="BV133" s="418">
        <f t="shared" si="217"/>
        <v>0.2089</v>
      </c>
      <c r="BW133" s="418">
        <f t="shared" si="218"/>
        <v>0</v>
      </c>
      <c r="BX133" s="420">
        <f t="shared" si="218"/>
        <v>0.2089</v>
      </c>
      <c r="BY133" s="419"/>
      <c r="BZ133" s="414"/>
      <c r="CA133" s="414"/>
      <c r="CB133" s="414"/>
      <c r="CC133" s="414"/>
      <c r="CD133" s="422"/>
      <c r="CE133" s="419">
        <f t="shared" si="142"/>
        <v>0</v>
      </c>
      <c r="CF133" s="414">
        <v>0</v>
      </c>
      <c r="CG133" s="414">
        <v>0</v>
      </c>
      <c r="CH133" s="414">
        <v>0</v>
      </c>
      <c r="CI133" s="414">
        <v>0</v>
      </c>
      <c r="CJ133" s="509">
        <v>0</v>
      </c>
      <c r="CK133" s="53"/>
      <c r="CL133" s="53"/>
    </row>
    <row r="134" spans="1:90" ht="14.1" customHeight="1">
      <c r="A134" s="72">
        <v>31</v>
      </c>
      <c r="B134" s="69">
        <v>2474</v>
      </c>
      <c r="C134" s="70">
        <v>600080307</v>
      </c>
      <c r="D134" s="69">
        <v>65635612</v>
      </c>
      <c r="E134" s="71" t="s">
        <v>597</v>
      </c>
      <c r="F134" s="72"/>
      <c r="G134" s="71"/>
      <c r="H134" s="73"/>
      <c r="I134" s="516">
        <v>39351901</v>
      </c>
      <c r="J134" s="74">
        <v>28692426</v>
      </c>
      <c r="K134" s="74">
        <v>26139952</v>
      </c>
      <c r="L134" s="74">
        <v>2552474</v>
      </c>
      <c r="M134" s="74">
        <v>95000</v>
      </c>
      <c r="N134" s="74">
        <v>60000</v>
      </c>
      <c r="O134" s="74">
        <v>35000</v>
      </c>
      <c r="P134" s="74">
        <v>9730151</v>
      </c>
      <c r="Q134" s="74">
        <v>286926</v>
      </c>
      <c r="R134" s="74">
        <v>547398</v>
      </c>
      <c r="S134" s="75">
        <v>49.391400000000004</v>
      </c>
      <c r="T134" s="75">
        <v>41.581000000000003</v>
      </c>
      <c r="U134" s="653">
        <v>7.8104000000000005</v>
      </c>
      <c r="V134" s="516">
        <f t="shared" ref="V134:BX134" si="219">SUM(V128:V133)</f>
        <v>-140000</v>
      </c>
      <c r="W134" s="74">
        <f t="shared" si="219"/>
        <v>-20000</v>
      </c>
      <c r="X134" s="74">
        <f t="shared" si="219"/>
        <v>211154</v>
      </c>
      <c r="Y134" s="74">
        <f t="shared" si="219"/>
        <v>75468</v>
      </c>
      <c r="Z134" s="74">
        <f t="shared" si="219"/>
        <v>-59416</v>
      </c>
      <c r="AA134" s="74">
        <f t="shared" si="219"/>
        <v>0</v>
      </c>
      <c r="AB134" s="74">
        <f t="shared" si="219"/>
        <v>0</v>
      </c>
      <c r="AC134" s="74">
        <f t="shared" si="219"/>
        <v>0</v>
      </c>
      <c r="AD134" s="74">
        <f t="shared" si="219"/>
        <v>0</v>
      </c>
      <c r="AE134" s="74">
        <f t="shared" si="219"/>
        <v>87206</v>
      </c>
      <c r="AF134" s="74">
        <f t="shared" si="219"/>
        <v>-20000</v>
      </c>
      <c r="AG134" s="74">
        <f t="shared" si="219"/>
        <v>67206</v>
      </c>
      <c r="AH134" s="74">
        <f t="shared" si="219"/>
        <v>140000</v>
      </c>
      <c r="AI134" s="74">
        <f t="shared" si="219"/>
        <v>20000</v>
      </c>
      <c r="AJ134" s="74">
        <f t="shared" si="219"/>
        <v>0</v>
      </c>
      <c r="AK134" s="74">
        <f t="shared" si="219"/>
        <v>0</v>
      </c>
      <c r="AL134" s="74">
        <f t="shared" si="219"/>
        <v>0</v>
      </c>
      <c r="AM134" s="74">
        <f t="shared" si="219"/>
        <v>140000</v>
      </c>
      <c r="AN134" s="74">
        <f t="shared" si="219"/>
        <v>20000</v>
      </c>
      <c r="AO134" s="74">
        <f t="shared" si="219"/>
        <v>160000</v>
      </c>
      <c r="AP134" s="74">
        <f t="shared" si="219"/>
        <v>227206</v>
      </c>
      <c r="AQ134" s="74">
        <f t="shared" si="219"/>
        <v>0</v>
      </c>
      <c r="AR134" s="74">
        <f t="shared" si="219"/>
        <v>227206</v>
      </c>
      <c r="AS134" s="74">
        <f t="shared" si="219"/>
        <v>76796</v>
      </c>
      <c r="AT134" s="74">
        <f t="shared" si="219"/>
        <v>673</v>
      </c>
      <c r="AU134" s="74">
        <f t="shared" si="219"/>
        <v>6750</v>
      </c>
      <c r="AV134" s="74">
        <f t="shared" si="219"/>
        <v>0</v>
      </c>
      <c r="AW134" s="74">
        <f t="shared" si="219"/>
        <v>0</v>
      </c>
      <c r="AX134" s="74">
        <f t="shared" si="219"/>
        <v>6750</v>
      </c>
      <c r="AY134" s="74">
        <f t="shared" si="219"/>
        <v>311425</v>
      </c>
      <c r="AZ134" s="75">
        <f t="shared" si="219"/>
        <v>-0.2</v>
      </c>
      <c r="BA134" s="75">
        <f t="shared" si="219"/>
        <v>0</v>
      </c>
      <c r="BB134" s="75">
        <f t="shared" si="219"/>
        <v>0.56999999999999995</v>
      </c>
      <c r="BC134" s="75">
        <f t="shared" si="219"/>
        <v>-0.12</v>
      </c>
      <c r="BD134" s="75">
        <f t="shared" si="219"/>
        <v>0</v>
      </c>
      <c r="BE134" s="75">
        <f t="shared" si="219"/>
        <v>0.11</v>
      </c>
      <c r="BF134" s="75">
        <f t="shared" si="219"/>
        <v>0</v>
      </c>
      <c r="BG134" s="75">
        <f t="shared" si="219"/>
        <v>0</v>
      </c>
      <c r="BH134" s="75">
        <f t="shared" si="219"/>
        <v>0</v>
      </c>
      <c r="BI134" s="75">
        <f t="shared" si="219"/>
        <v>0.35999999999999993</v>
      </c>
      <c r="BJ134" s="75">
        <f t="shared" si="219"/>
        <v>0</v>
      </c>
      <c r="BK134" s="76">
        <f t="shared" si="219"/>
        <v>0.35999999999999993</v>
      </c>
      <c r="BL134" s="781">
        <f t="shared" si="219"/>
        <v>39663326</v>
      </c>
      <c r="BM134" s="74">
        <f t="shared" si="219"/>
        <v>28759632</v>
      </c>
      <c r="BN134" s="74">
        <f t="shared" si="219"/>
        <v>26227158</v>
      </c>
      <c r="BO134" s="74">
        <f t="shared" si="219"/>
        <v>2532474</v>
      </c>
      <c r="BP134" s="74">
        <f t="shared" si="219"/>
        <v>255000</v>
      </c>
      <c r="BQ134" s="74">
        <f t="shared" si="219"/>
        <v>200000</v>
      </c>
      <c r="BR134" s="74">
        <f t="shared" si="219"/>
        <v>55000</v>
      </c>
      <c r="BS134" s="74">
        <f t="shared" si="219"/>
        <v>9806947</v>
      </c>
      <c r="BT134" s="74">
        <f t="shared" si="219"/>
        <v>287599</v>
      </c>
      <c r="BU134" s="74">
        <f t="shared" si="219"/>
        <v>554148</v>
      </c>
      <c r="BV134" s="75">
        <f t="shared" si="219"/>
        <v>49.751400000000004</v>
      </c>
      <c r="BW134" s="75">
        <f t="shared" si="219"/>
        <v>41.941000000000003</v>
      </c>
      <c r="BX134" s="76">
        <f t="shared" si="219"/>
        <v>7.8104000000000005</v>
      </c>
      <c r="BY134" s="791">
        <f t="shared" ref="BY134:CJ134" si="220">SUM(BY128:BY133)</f>
        <v>760272</v>
      </c>
      <c r="BZ134" s="679">
        <f t="shared" si="220"/>
        <v>564000</v>
      </c>
      <c r="CA134" s="679">
        <f t="shared" si="220"/>
        <v>0</v>
      </c>
      <c r="CB134" s="679">
        <f t="shared" si="220"/>
        <v>190632</v>
      </c>
      <c r="CC134" s="679">
        <f t="shared" si="220"/>
        <v>5640</v>
      </c>
      <c r="CD134" s="947">
        <f t="shared" si="220"/>
        <v>1</v>
      </c>
      <c r="CE134" s="956">
        <f t="shared" si="220"/>
        <v>1138453</v>
      </c>
      <c r="CF134" s="953">
        <f t="shared" si="220"/>
        <v>749591</v>
      </c>
      <c r="CG134" s="953">
        <f t="shared" si="220"/>
        <v>253362</v>
      </c>
      <c r="CH134" s="953">
        <f t="shared" si="220"/>
        <v>7496</v>
      </c>
      <c r="CI134" s="953">
        <f t="shared" si="220"/>
        <v>128004</v>
      </c>
      <c r="CJ134" s="877">
        <f t="shared" si="220"/>
        <v>2.2721</v>
      </c>
      <c r="CK134" s="53"/>
      <c r="CL134" s="53"/>
    </row>
    <row r="135" spans="1:90" ht="14.1" customHeight="1">
      <c r="A135" s="66">
        <v>32</v>
      </c>
      <c r="B135" s="63">
        <v>2312</v>
      </c>
      <c r="C135" s="64">
        <v>600079899</v>
      </c>
      <c r="D135" s="63">
        <v>65642350</v>
      </c>
      <c r="E135" s="65" t="s">
        <v>598</v>
      </c>
      <c r="F135" s="66">
        <v>3113</v>
      </c>
      <c r="G135" s="65" t="s">
        <v>293</v>
      </c>
      <c r="H135" s="67" t="s">
        <v>271</v>
      </c>
      <c r="I135" s="419">
        <v>34240637</v>
      </c>
      <c r="J135" s="414">
        <v>24848065</v>
      </c>
      <c r="K135" s="414">
        <v>22541704</v>
      </c>
      <c r="L135" s="414">
        <v>2306361</v>
      </c>
      <c r="M135" s="414">
        <v>120000</v>
      </c>
      <c r="N135" s="414">
        <v>40000</v>
      </c>
      <c r="O135" s="414">
        <v>80000</v>
      </c>
      <c r="P135" s="595">
        <v>8439206</v>
      </c>
      <c r="Q135" s="595">
        <v>248481</v>
      </c>
      <c r="R135" s="414">
        <v>584885</v>
      </c>
      <c r="S135" s="415">
        <v>39.127899999999997</v>
      </c>
      <c r="T135" s="415">
        <v>32.151699999999998</v>
      </c>
      <c r="U135" s="422">
        <v>6.9762000000000004</v>
      </c>
      <c r="V135" s="423">
        <f t="shared" si="124"/>
        <v>0</v>
      </c>
      <c r="W135" s="417">
        <f t="shared" si="125"/>
        <v>-90000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26"/>
        <v>0</v>
      </c>
      <c r="AF135" s="417">
        <f t="shared" si="127"/>
        <v>-90000</v>
      </c>
      <c r="AG135" s="417">
        <f t="shared" si="128"/>
        <v>-90000</v>
      </c>
      <c r="AH135" s="417">
        <v>0</v>
      </c>
      <c r="AI135" s="417">
        <v>90000</v>
      </c>
      <c r="AJ135" s="417">
        <v>0</v>
      </c>
      <c r="AK135" s="417">
        <v>0</v>
      </c>
      <c r="AL135" s="417">
        <v>0</v>
      </c>
      <c r="AM135" s="417">
        <f t="shared" si="129"/>
        <v>0</v>
      </c>
      <c r="AN135" s="417">
        <f t="shared" si="130"/>
        <v>90000</v>
      </c>
      <c r="AO135" s="417">
        <f t="shared" si="131"/>
        <v>90000</v>
      </c>
      <c r="AP135" s="417">
        <f t="shared" si="132"/>
        <v>0</v>
      </c>
      <c r="AQ135" s="417">
        <f t="shared" si="133"/>
        <v>0</v>
      </c>
      <c r="AR135" s="417">
        <f t="shared" si="134"/>
        <v>0</v>
      </c>
      <c r="AS135" s="68">
        <f t="shared" si="135"/>
        <v>0</v>
      </c>
      <c r="AT135" s="68">
        <f t="shared" si="136"/>
        <v>-900</v>
      </c>
      <c r="AU135" s="417">
        <v>0</v>
      </c>
      <c r="AV135" s="417">
        <v>0</v>
      </c>
      <c r="AW135" s="417">
        <v>0</v>
      </c>
      <c r="AX135" s="417">
        <f t="shared" si="137"/>
        <v>0</v>
      </c>
      <c r="AY135" s="417">
        <f t="shared" si="138"/>
        <v>-900</v>
      </c>
      <c r="AZ135" s="418">
        <v>-0.03</v>
      </c>
      <c r="BA135" s="418">
        <v>-0.2</v>
      </c>
      <c r="BB135" s="418">
        <v>0</v>
      </c>
      <c r="BC135" s="418">
        <v>0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39"/>
        <v>-0.03</v>
      </c>
      <c r="BJ135" s="418">
        <f t="shared" si="140"/>
        <v>-0.2</v>
      </c>
      <c r="BK135" s="420">
        <f t="shared" si="141"/>
        <v>-0.23</v>
      </c>
      <c r="BL135" s="772">
        <f t="shared" ref="BL135:BL140" si="221">I135+AY135</f>
        <v>34239737</v>
      </c>
      <c r="BM135" s="417">
        <f t="shared" ref="BM135:BM140" si="222">J135+AG135</f>
        <v>24758065</v>
      </c>
      <c r="BN135" s="417">
        <f t="shared" ref="BN135:BO140" si="223">K135+AE135</f>
        <v>22541704</v>
      </c>
      <c r="BO135" s="417">
        <f t="shared" si="223"/>
        <v>2216361</v>
      </c>
      <c r="BP135" s="417">
        <f t="shared" ref="BP135:BP140" si="224">M135+AO135</f>
        <v>210000</v>
      </c>
      <c r="BQ135" s="417">
        <f t="shared" ref="BQ135:BR140" si="225">N135+AM135</f>
        <v>40000</v>
      </c>
      <c r="BR135" s="417">
        <f t="shared" si="225"/>
        <v>170000</v>
      </c>
      <c r="BS135" s="417">
        <f t="shared" ref="BS135:BT140" si="226">P135+AS135</f>
        <v>8439206</v>
      </c>
      <c r="BT135" s="417">
        <f t="shared" si="226"/>
        <v>247581</v>
      </c>
      <c r="BU135" s="417">
        <f t="shared" ref="BU135:BU140" si="227">R135+AX135</f>
        <v>584885</v>
      </c>
      <c r="BV135" s="418">
        <f t="shared" ref="BV135:BV140" si="228">S135+BK135</f>
        <v>38.8979</v>
      </c>
      <c r="BW135" s="418">
        <f t="shared" ref="BW135:BX140" si="229">T135+BI135</f>
        <v>32.121699999999997</v>
      </c>
      <c r="BX135" s="420">
        <f t="shared" si="229"/>
        <v>6.7762000000000002</v>
      </c>
      <c r="BY135" s="419">
        <v>760272</v>
      </c>
      <c r="BZ135" s="414">
        <v>564000</v>
      </c>
      <c r="CA135" s="414">
        <v>0</v>
      </c>
      <c r="CB135" s="414">
        <v>190632</v>
      </c>
      <c r="CC135" s="414">
        <v>5640</v>
      </c>
      <c r="CD135" s="422">
        <v>1</v>
      </c>
      <c r="CE135" s="419">
        <f t="shared" si="142"/>
        <v>1169302</v>
      </c>
      <c r="CF135" s="414">
        <v>765917</v>
      </c>
      <c r="CG135" s="414">
        <v>258880</v>
      </c>
      <c r="CH135" s="414">
        <v>7659</v>
      </c>
      <c r="CI135" s="414">
        <v>136846</v>
      </c>
      <c r="CJ135" s="509">
        <v>2.3162000000000003</v>
      </c>
    </row>
    <row r="136" spans="1:90" ht="14.1" customHeight="1">
      <c r="A136" s="66">
        <v>32</v>
      </c>
      <c r="B136" s="63">
        <v>2312</v>
      </c>
      <c r="C136" s="64">
        <v>600079899</v>
      </c>
      <c r="D136" s="63">
        <v>65642350</v>
      </c>
      <c r="E136" s="65" t="s">
        <v>598</v>
      </c>
      <c r="F136" s="66">
        <v>3113</v>
      </c>
      <c r="G136" s="77" t="s">
        <v>291</v>
      </c>
      <c r="H136" s="67" t="s">
        <v>272</v>
      </c>
      <c r="I136" s="419">
        <v>2739242</v>
      </c>
      <c r="J136" s="414">
        <v>2029482</v>
      </c>
      <c r="K136" s="414">
        <v>2029482</v>
      </c>
      <c r="L136" s="414">
        <v>0</v>
      </c>
      <c r="M136" s="414">
        <v>0</v>
      </c>
      <c r="N136" s="414">
        <v>0</v>
      </c>
      <c r="O136" s="414">
        <v>0</v>
      </c>
      <c r="P136" s="595">
        <v>685965</v>
      </c>
      <c r="Q136" s="595">
        <v>20295</v>
      </c>
      <c r="R136" s="414">
        <v>3500</v>
      </c>
      <c r="S136" s="415">
        <v>5.3100000000000005</v>
      </c>
      <c r="T136" s="416">
        <v>5.3100000000000005</v>
      </c>
      <c r="U136" s="422">
        <v>0</v>
      </c>
      <c r="V136" s="423">
        <f t="shared" si="124"/>
        <v>0</v>
      </c>
      <c r="W136" s="417">
        <f t="shared" si="125"/>
        <v>0</v>
      </c>
      <c r="X136" s="417">
        <f>12379+4126</f>
        <v>16505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26"/>
        <v>16505</v>
      </c>
      <c r="AF136" s="417">
        <f t="shared" si="127"/>
        <v>0</v>
      </c>
      <c r="AG136" s="417">
        <f t="shared" si="128"/>
        <v>16505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29"/>
        <v>0</v>
      </c>
      <c r="AN136" s="417">
        <f t="shared" si="130"/>
        <v>0</v>
      </c>
      <c r="AO136" s="417">
        <f t="shared" si="131"/>
        <v>0</v>
      </c>
      <c r="AP136" s="417">
        <f t="shared" si="132"/>
        <v>16505</v>
      </c>
      <c r="AQ136" s="417">
        <f t="shared" si="133"/>
        <v>0</v>
      </c>
      <c r="AR136" s="417">
        <f t="shared" si="134"/>
        <v>16505</v>
      </c>
      <c r="AS136" s="68">
        <f t="shared" si="135"/>
        <v>5579</v>
      </c>
      <c r="AT136" s="68">
        <f t="shared" si="136"/>
        <v>165</v>
      </c>
      <c r="AU136" s="417">
        <v>2500</v>
      </c>
      <c r="AV136" s="417">
        <v>0</v>
      </c>
      <c r="AW136" s="417">
        <v>0</v>
      </c>
      <c r="AX136" s="417">
        <f t="shared" si="137"/>
        <v>2500</v>
      </c>
      <c r="AY136" s="417">
        <f t="shared" si="138"/>
        <v>24749</v>
      </c>
      <c r="AZ136" s="418">
        <v>0</v>
      </c>
      <c r="BA136" s="418">
        <v>0</v>
      </c>
      <c r="BB136" s="418">
        <f>0.03+0.01</f>
        <v>0.04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39"/>
        <v>0.04</v>
      </c>
      <c r="BJ136" s="418">
        <f t="shared" si="140"/>
        <v>0</v>
      </c>
      <c r="BK136" s="420">
        <f t="shared" si="141"/>
        <v>0.04</v>
      </c>
      <c r="BL136" s="772">
        <f t="shared" si="221"/>
        <v>2763991</v>
      </c>
      <c r="BM136" s="417">
        <f t="shared" si="222"/>
        <v>2045987</v>
      </c>
      <c r="BN136" s="417">
        <f t="shared" si="223"/>
        <v>2045987</v>
      </c>
      <c r="BO136" s="417">
        <f t="shared" si="223"/>
        <v>0</v>
      </c>
      <c r="BP136" s="417">
        <f t="shared" si="224"/>
        <v>0</v>
      </c>
      <c r="BQ136" s="417">
        <f t="shared" si="225"/>
        <v>0</v>
      </c>
      <c r="BR136" s="417">
        <f t="shared" si="225"/>
        <v>0</v>
      </c>
      <c r="BS136" s="417">
        <f t="shared" si="226"/>
        <v>691544</v>
      </c>
      <c r="BT136" s="417">
        <f t="shared" si="226"/>
        <v>20460</v>
      </c>
      <c r="BU136" s="417">
        <f t="shared" si="227"/>
        <v>6000</v>
      </c>
      <c r="BV136" s="418">
        <f t="shared" si="228"/>
        <v>5.3500000000000005</v>
      </c>
      <c r="BW136" s="418">
        <f t="shared" si="229"/>
        <v>5.3500000000000005</v>
      </c>
      <c r="BX136" s="420">
        <f t="shared" si="229"/>
        <v>0</v>
      </c>
      <c r="BY136" s="419"/>
      <c r="BZ136" s="414"/>
      <c r="CA136" s="414"/>
      <c r="CB136" s="414"/>
      <c r="CC136" s="414"/>
      <c r="CD136" s="422"/>
      <c r="CE136" s="419">
        <f t="shared" si="142"/>
        <v>0</v>
      </c>
      <c r="CF136" s="414">
        <v>0</v>
      </c>
      <c r="CG136" s="414">
        <v>0</v>
      </c>
      <c r="CH136" s="414">
        <v>0</v>
      </c>
      <c r="CI136" s="414">
        <v>0</v>
      </c>
      <c r="CJ136" s="509">
        <v>0</v>
      </c>
    </row>
    <row r="137" spans="1:90" ht="14.1" customHeight="1">
      <c r="A137" s="66">
        <v>32</v>
      </c>
      <c r="B137" s="63">
        <v>2312</v>
      </c>
      <c r="C137" s="64">
        <v>600079899</v>
      </c>
      <c r="D137" s="63">
        <v>65642350</v>
      </c>
      <c r="E137" s="65" t="s">
        <v>598</v>
      </c>
      <c r="F137" s="66">
        <v>3141</v>
      </c>
      <c r="G137" s="65" t="s">
        <v>294</v>
      </c>
      <c r="H137" s="67" t="s">
        <v>272</v>
      </c>
      <c r="I137" s="419">
        <v>2720395</v>
      </c>
      <c r="J137" s="414">
        <v>1982391</v>
      </c>
      <c r="K137" s="414">
        <v>0</v>
      </c>
      <c r="L137" s="744">
        <v>1982391</v>
      </c>
      <c r="M137" s="414">
        <v>20000</v>
      </c>
      <c r="N137" s="204">
        <v>0</v>
      </c>
      <c r="O137" s="204">
        <v>20000</v>
      </c>
      <c r="P137" s="595">
        <v>676808</v>
      </c>
      <c r="Q137" s="595">
        <v>19824</v>
      </c>
      <c r="R137" s="601">
        <v>21372</v>
      </c>
      <c r="S137" s="415">
        <v>6</v>
      </c>
      <c r="T137" s="603">
        <v>0</v>
      </c>
      <c r="U137" s="731">
        <v>6</v>
      </c>
      <c r="V137" s="423">
        <f t="shared" si="124"/>
        <v>0</v>
      </c>
      <c r="W137" s="417">
        <f t="shared" si="125"/>
        <v>-36000</v>
      </c>
      <c r="X137" s="417">
        <v>0</v>
      </c>
      <c r="Y137" s="417">
        <v>0</v>
      </c>
      <c r="Z137" s="417">
        <v>0</v>
      </c>
      <c r="AA137" s="417">
        <v>-11735</v>
      </c>
      <c r="AB137" s="417">
        <v>0</v>
      </c>
      <c r="AC137" s="417">
        <v>0</v>
      </c>
      <c r="AD137" s="417">
        <v>0</v>
      </c>
      <c r="AE137" s="417">
        <f t="shared" si="126"/>
        <v>0</v>
      </c>
      <c r="AF137" s="417">
        <f t="shared" si="127"/>
        <v>-47735</v>
      </c>
      <c r="AG137" s="417">
        <f t="shared" si="128"/>
        <v>-47735</v>
      </c>
      <c r="AH137" s="417">
        <v>0</v>
      </c>
      <c r="AI137" s="417">
        <v>36000</v>
      </c>
      <c r="AJ137" s="417">
        <v>0</v>
      </c>
      <c r="AK137" s="417">
        <v>0</v>
      </c>
      <c r="AL137" s="417">
        <v>0</v>
      </c>
      <c r="AM137" s="417">
        <f t="shared" si="129"/>
        <v>0</v>
      </c>
      <c r="AN137" s="417">
        <f t="shared" si="130"/>
        <v>36000</v>
      </c>
      <c r="AO137" s="417">
        <f t="shared" si="131"/>
        <v>36000</v>
      </c>
      <c r="AP137" s="417">
        <f t="shared" si="132"/>
        <v>0</v>
      </c>
      <c r="AQ137" s="417">
        <f t="shared" si="133"/>
        <v>-11735</v>
      </c>
      <c r="AR137" s="417">
        <f t="shared" si="134"/>
        <v>-11735</v>
      </c>
      <c r="AS137" s="68">
        <f t="shared" si="135"/>
        <v>-3966</v>
      </c>
      <c r="AT137" s="68">
        <f t="shared" si="136"/>
        <v>-477</v>
      </c>
      <c r="AU137" s="417">
        <v>0</v>
      </c>
      <c r="AV137" s="417">
        <v>0</v>
      </c>
      <c r="AW137" s="417">
        <v>0</v>
      </c>
      <c r="AX137" s="417">
        <f t="shared" si="137"/>
        <v>0</v>
      </c>
      <c r="AY137" s="417">
        <f t="shared" si="138"/>
        <v>-16178</v>
      </c>
      <c r="AZ137" s="418">
        <v>0</v>
      </c>
      <c r="BA137" s="418">
        <v>0</v>
      </c>
      <c r="BB137" s="418">
        <v>0</v>
      </c>
      <c r="BC137" s="418">
        <v>0</v>
      </c>
      <c r="BD137" s="418">
        <v>-0.03</v>
      </c>
      <c r="BE137" s="418">
        <v>0</v>
      </c>
      <c r="BF137" s="418">
        <v>0</v>
      </c>
      <c r="BG137" s="418">
        <v>0</v>
      </c>
      <c r="BH137" s="418">
        <v>0</v>
      </c>
      <c r="BI137" s="418">
        <f t="shared" si="139"/>
        <v>0</v>
      </c>
      <c r="BJ137" s="418">
        <f t="shared" si="140"/>
        <v>-0.03</v>
      </c>
      <c r="BK137" s="420">
        <f t="shared" si="141"/>
        <v>-0.03</v>
      </c>
      <c r="BL137" s="772">
        <f t="shared" si="221"/>
        <v>2704217</v>
      </c>
      <c r="BM137" s="417">
        <f t="shared" si="222"/>
        <v>1934656</v>
      </c>
      <c r="BN137" s="417">
        <f t="shared" si="223"/>
        <v>0</v>
      </c>
      <c r="BO137" s="417">
        <f t="shared" si="223"/>
        <v>1934656</v>
      </c>
      <c r="BP137" s="417">
        <f t="shared" si="224"/>
        <v>56000</v>
      </c>
      <c r="BQ137" s="417">
        <f t="shared" si="225"/>
        <v>0</v>
      </c>
      <c r="BR137" s="417">
        <f t="shared" si="225"/>
        <v>56000</v>
      </c>
      <c r="BS137" s="417">
        <f t="shared" si="226"/>
        <v>672842</v>
      </c>
      <c r="BT137" s="417">
        <f t="shared" si="226"/>
        <v>19347</v>
      </c>
      <c r="BU137" s="417">
        <f t="shared" si="227"/>
        <v>21372</v>
      </c>
      <c r="BV137" s="418">
        <f t="shared" si="228"/>
        <v>5.97</v>
      </c>
      <c r="BW137" s="418">
        <f t="shared" si="229"/>
        <v>0</v>
      </c>
      <c r="BX137" s="420">
        <f t="shared" si="229"/>
        <v>5.97</v>
      </c>
      <c r="BY137" s="419"/>
      <c r="BZ137" s="414"/>
      <c r="CA137" s="414"/>
      <c r="CB137" s="414"/>
      <c r="CC137" s="414"/>
      <c r="CD137" s="422"/>
      <c r="CE137" s="419">
        <f t="shared" si="142"/>
        <v>0</v>
      </c>
      <c r="CF137" s="414">
        <v>0</v>
      </c>
      <c r="CG137" s="414">
        <v>0</v>
      </c>
      <c r="CH137" s="414">
        <v>0</v>
      </c>
      <c r="CI137" s="414">
        <v>0</v>
      </c>
      <c r="CJ137" s="509">
        <v>0</v>
      </c>
    </row>
    <row r="138" spans="1:90" ht="14.1" customHeight="1">
      <c r="A138" s="66">
        <v>32</v>
      </c>
      <c r="B138" s="63">
        <v>2312</v>
      </c>
      <c r="C138" s="64">
        <v>600079899</v>
      </c>
      <c r="D138" s="63">
        <v>65642350</v>
      </c>
      <c r="E138" s="65" t="s">
        <v>598</v>
      </c>
      <c r="F138" s="66">
        <v>3143</v>
      </c>
      <c r="G138" s="77" t="s">
        <v>595</v>
      </c>
      <c r="H138" s="67" t="s">
        <v>271</v>
      </c>
      <c r="I138" s="419">
        <v>3839603</v>
      </c>
      <c r="J138" s="414">
        <v>2848370</v>
      </c>
      <c r="K138" s="414">
        <v>2848370</v>
      </c>
      <c r="L138" s="414">
        <v>0</v>
      </c>
      <c r="M138" s="414">
        <v>0</v>
      </c>
      <c r="N138" s="414">
        <v>0</v>
      </c>
      <c r="O138" s="414">
        <v>0</v>
      </c>
      <c r="P138" s="595">
        <v>962749</v>
      </c>
      <c r="Q138" s="595">
        <v>28484</v>
      </c>
      <c r="R138" s="414">
        <v>0</v>
      </c>
      <c r="S138" s="415">
        <v>5.5</v>
      </c>
      <c r="T138" s="415">
        <v>5.5</v>
      </c>
      <c r="U138" s="422">
        <v>0</v>
      </c>
      <c r="V138" s="423">
        <f t="shared" si="124"/>
        <v>0</v>
      </c>
      <c r="W138" s="417">
        <f t="shared" si="125"/>
        <v>0</v>
      </c>
      <c r="X138" s="417">
        <v>0</v>
      </c>
      <c r="Y138" s="417">
        <v>0</v>
      </c>
      <c r="Z138" s="417">
        <v>0</v>
      </c>
      <c r="AA138" s="417">
        <v>0</v>
      </c>
      <c r="AB138" s="417">
        <v>0</v>
      </c>
      <c r="AC138" s="417">
        <v>0</v>
      </c>
      <c r="AD138" s="417">
        <v>0</v>
      </c>
      <c r="AE138" s="417">
        <f t="shared" si="126"/>
        <v>0</v>
      </c>
      <c r="AF138" s="417">
        <f t="shared" si="127"/>
        <v>0</v>
      </c>
      <c r="AG138" s="417">
        <f t="shared" si="128"/>
        <v>0</v>
      </c>
      <c r="AH138" s="417">
        <v>0</v>
      </c>
      <c r="AI138" s="417">
        <v>0</v>
      </c>
      <c r="AJ138" s="417">
        <v>0</v>
      </c>
      <c r="AK138" s="417">
        <v>0</v>
      </c>
      <c r="AL138" s="417">
        <v>0</v>
      </c>
      <c r="AM138" s="417">
        <f t="shared" si="129"/>
        <v>0</v>
      </c>
      <c r="AN138" s="417">
        <f t="shared" si="130"/>
        <v>0</v>
      </c>
      <c r="AO138" s="417">
        <f t="shared" si="131"/>
        <v>0</v>
      </c>
      <c r="AP138" s="417">
        <f t="shared" si="132"/>
        <v>0</v>
      </c>
      <c r="AQ138" s="417">
        <f t="shared" si="133"/>
        <v>0</v>
      </c>
      <c r="AR138" s="417">
        <f t="shared" si="134"/>
        <v>0</v>
      </c>
      <c r="AS138" s="68">
        <f t="shared" si="135"/>
        <v>0</v>
      </c>
      <c r="AT138" s="68">
        <f t="shared" si="136"/>
        <v>0</v>
      </c>
      <c r="AU138" s="417">
        <v>0</v>
      </c>
      <c r="AV138" s="417">
        <v>0</v>
      </c>
      <c r="AW138" s="417">
        <v>0</v>
      </c>
      <c r="AX138" s="417">
        <f t="shared" si="137"/>
        <v>0</v>
      </c>
      <c r="AY138" s="417">
        <f t="shared" si="138"/>
        <v>0</v>
      </c>
      <c r="AZ138" s="418">
        <v>0</v>
      </c>
      <c r="BA138" s="418">
        <v>0</v>
      </c>
      <c r="BB138" s="418">
        <v>0</v>
      </c>
      <c r="BC138" s="418">
        <v>0</v>
      </c>
      <c r="BD138" s="418">
        <v>0</v>
      </c>
      <c r="BE138" s="418">
        <v>0</v>
      </c>
      <c r="BF138" s="418">
        <v>0</v>
      </c>
      <c r="BG138" s="418">
        <v>0</v>
      </c>
      <c r="BH138" s="418">
        <v>0</v>
      </c>
      <c r="BI138" s="418">
        <f t="shared" si="139"/>
        <v>0</v>
      </c>
      <c r="BJ138" s="418">
        <f t="shared" si="140"/>
        <v>0</v>
      </c>
      <c r="BK138" s="420">
        <f t="shared" si="141"/>
        <v>0</v>
      </c>
      <c r="BL138" s="772">
        <f t="shared" si="221"/>
        <v>3839603</v>
      </c>
      <c r="BM138" s="417">
        <f t="shared" si="222"/>
        <v>2848370</v>
      </c>
      <c r="BN138" s="417">
        <f t="shared" si="223"/>
        <v>2848370</v>
      </c>
      <c r="BO138" s="417">
        <f t="shared" si="223"/>
        <v>0</v>
      </c>
      <c r="BP138" s="417">
        <f t="shared" si="224"/>
        <v>0</v>
      </c>
      <c r="BQ138" s="417">
        <f t="shared" si="225"/>
        <v>0</v>
      </c>
      <c r="BR138" s="417">
        <f t="shared" si="225"/>
        <v>0</v>
      </c>
      <c r="BS138" s="417">
        <f t="shared" si="226"/>
        <v>962749</v>
      </c>
      <c r="BT138" s="417">
        <f t="shared" si="226"/>
        <v>28484</v>
      </c>
      <c r="BU138" s="417">
        <f t="shared" si="227"/>
        <v>0</v>
      </c>
      <c r="BV138" s="418">
        <f t="shared" si="228"/>
        <v>5.5</v>
      </c>
      <c r="BW138" s="418">
        <f t="shared" si="229"/>
        <v>5.5</v>
      </c>
      <c r="BX138" s="420">
        <f t="shared" si="229"/>
        <v>0</v>
      </c>
      <c r="BY138" s="419"/>
      <c r="BZ138" s="414"/>
      <c r="CA138" s="414"/>
      <c r="CB138" s="414"/>
      <c r="CC138" s="414"/>
      <c r="CD138" s="422"/>
      <c r="CE138" s="419">
        <f t="shared" si="142"/>
        <v>0</v>
      </c>
      <c r="CF138" s="414">
        <v>0</v>
      </c>
      <c r="CG138" s="414">
        <v>0</v>
      </c>
      <c r="CH138" s="414">
        <v>0</v>
      </c>
      <c r="CI138" s="414">
        <v>0</v>
      </c>
      <c r="CJ138" s="509">
        <v>0</v>
      </c>
    </row>
    <row r="139" spans="1:90" ht="14.1" customHeight="1">
      <c r="A139" s="66">
        <v>32</v>
      </c>
      <c r="B139" s="63">
        <v>2312</v>
      </c>
      <c r="C139" s="64">
        <v>600079899</v>
      </c>
      <c r="D139" s="63">
        <v>65642350</v>
      </c>
      <c r="E139" s="65" t="s">
        <v>598</v>
      </c>
      <c r="F139" s="66">
        <v>3143</v>
      </c>
      <c r="G139" s="77" t="s">
        <v>596</v>
      </c>
      <c r="H139" s="67" t="s">
        <v>272</v>
      </c>
      <c r="I139" s="419">
        <v>132165</v>
      </c>
      <c r="J139" s="414">
        <v>94600</v>
      </c>
      <c r="K139" s="414">
        <v>0</v>
      </c>
      <c r="L139" s="601">
        <v>94600</v>
      </c>
      <c r="M139" s="414">
        <v>0</v>
      </c>
      <c r="N139" s="414">
        <v>0</v>
      </c>
      <c r="O139" s="414">
        <v>0</v>
      </c>
      <c r="P139" s="595">
        <v>31975</v>
      </c>
      <c r="Q139" s="595">
        <v>946</v>
      </c>
      <c r="R139" s="602">
        <v>4644</v>
      </c>
      <c r="S139" s="415">
        <v>0.3589</v>
      </c>
      <c r="T139" s="605">
        <v>0</v>
      </c>
      <c r="U139" s="731">
        <v>0.3589</v>
      </c>
      <c r="V139" s="423">
        <f t="shared" si="124"/>
        <v>0</v>
      </c>
      <c r="W139" s="417">
        <f t="shared" si="125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0</v>
      </c>
      <c r="AC139" s="417">
        <v>0</v>
      </c>
      <c r="AD139" s="417">
        <v>0</v>
      </c>
      <c r="AE139" s="417">
        <f t="shared" si="126"/>
        <v>0</v>
      </c>
      <c r="AF139" s="417">
        <f t="shared" si="127"/>
        <v>0</v>
      </c>
      <c r="AG139" s="417">
        <f t="shared" si="128"/>
        <v>0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29"/>
        <v>0</v>
      </c>
      <c r="AN139" s="417">
        <f t="shared" si="130"/>
        <v>0</v>
      </c>
      <c r="AO139" s="417">
        <f t="shared" si="131"/>
        <v>0</v>
      </c>
      <c r="AP139" s="417">
        <f t="shared" si="132"/>
        <v>0</v>
      </c>
      <c r="AQ139" s="417">
        <f t="shared" si="133"/>
        <v>0</v>
      </c>
      <c r="AR139" s="417">
        <f t="shared" si="134"/>
        <v>0</v>
      </c>
      <c r="AS139" s="68">
        <f t="shared" si="135"/>
        <v>0</v>
      </c>
      <c r="AT139" s="68">
        <f t="shared" si="136"/>
        <v>0</v>
      </c>
      <c r="AU139" s="417">
        <v>0</v>
      </c>
      <c r="AV139" s="417">
        <v>0</v>
      </c>
      <c r="AW139" s="417">
        <v>0</v>
      </c>
      <c r="AX139" s="417">
        <f t="shared" si="137"/>
        <v>0</v>
      </c>
      <c r="AY139" s="417">
        <f t="shared" si="138"/>
        <v>0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418">
        <v>0</v>
      </c>
      <c r="BG139" s="418">
        <v>0</v>
      </c>
      <c r="BH139" s="418">
        <v>0</v>
      </c>
      <c r="BI139" s="418">
        <f t="shared" si="139"/>
        <v>0</v>
      </c>
      <c r="BJ139" s="418">
        <f t="shared" si="140"/>
        <v>0</v>
      </c>
      <c r="BK139" s="420">
        <f t="shared" si="141"/>
        <v>0</v>
      </c>
      <c r="BL139" s="772">
        <f t="shared" si="221"/>
        <v>132165</v>
      </c>
      <c r="BM139" s="417">
        <f t="shared" si="222"/>
        <v>94600</v>
      </c>
      <c r="BN139" s="417">
        <f t="shared" si="223"/>
        <v>0</v>
      </c>
      <c r="BO139" s="417">
        <f t="shared" si="223"/>
        <v>94600</v>
      </c>
      <c r="BP139" s="417">
        <f t="shared" si="224"/>
        <v>0</v>
      </c>
      <c r="BQ139" s="417">
        <f t="shared" si="225"/>
        <v>0</v>
      </c>
      <c r="BR139" s="417">
        <f t="shared" si="225"/>
        <v>0</v>
      </c>
      <c r="BS139" s="417">
        <f t="shared" si="226"/>
        <v>31975</v>
      </c>
      <c r="BT139" s="417">
        <f t="shared" si="226"/>
        <v>946</v>
      </c>
      <c r="BU139" s="417">
        <f t="shared" si="227"/>
        <v>4644</v>
      </c>
      <c r="BV139" s="418">
        <f t="shared" si="228"/>
        <v>0.3589</v>
      </c>
      <c r="BW139" s="418">
        <f t="shared" si="229"/>
        <v>0</v>
      </c>
      <c r="BX139" s="420">
        <f t="shared" si="229"/>
        <v>0.3589</v>
      </c>
      <c r="BY139" s="419"/>
      <c r="BZ139" s="414"/>
      <c r="CA139" s="414"/>
      <c r="CB139" s="414"/>
      <c r="CC139" s="414"/>
      <c r="CD139" s="422"/>
      <c r="CE139" s="419">
        <f t="shared" si="142"/>
        <v>0</v>
      </c>
      <c r="CF139" s="414">
        <v>0</v>
      </c>
      <c r="CG139" s="414">
        <v>0</v>
      </c>
      <c r="CH139" s="414">
        <v>0</v>
      </c>
      <c r="CI139" s="414">
        <v>0</v>
      </c>
      <c r="CJ139" s="509">
        <v>0</v>
      </c>
    </row>
    <row r="140" spans="1:90" ht="14.1" customHeight="1">
      <c r="A140" s="66">
        <v>32</v>
      </c>
      <c r="B140" s="63">
        <v>2312</v>
      </c>
      <c r="C140" s="64">
        <v>600079899</v>
      </c>
      <c r="D140" s="63">
        <v>65642350</v>
      </c>
      <c r="E140" s="65" t="s">
        <v>598</v>
      </c>
      <c r="F140" s="66">
        <v>3231</v>
      </c>
      <c r="G140" s="65" t="s">
        <v>295</v>
      </c>
      <c r="H140" s="67" t="s">
        <v>271</v>
      </c>
      <c r="I140" s="419">
        <v>15847743</v>
      </c>
      <c r="J140" s="414">
        <v>11626153</v>
      </c>
      <c r="K140" s="414">
        <v>11027275</v>
      </c>
      <c r="L140" s="414">
        <v>598878</v>
      </c>
      <c r="M140" s="414">
        <v>110000</v>
      </c>
      <c r="N140" s="414">
        <v>110000</v>
      </c>
      <c r="O140" s="414">
        <v>0</v>
      </c>
      <c r="P140" s="595">
        <v>3966819</v>
      </c>
      <c r="Q140" s="595">
        <v>116261</v>
      </c>
      <c r="R140" s="414">
        <v>28510</v>
      </c>
      <c r="S140" s="415">
        <v>19.158799999999996</v>
      </c>
      <c r="T140" s="415">
        <v>17.479999999999997</v>
      </c>
      <c r="U140" s="422">
        <v>1.6787999999999998</v>
      </c>
      <c r="V140" s="423">
        <f t="shared" si="124"/>
        <v>20000</v>
      </c>
      <c r="W140" s="417">
        <f t="shared" si="125"/>
        <v>0</v>
      </c>
      <c r="X140" s="417">
        <v>0</v>
      </c>
      <c r="Y140" s="417">
        <v>0</v>
      </c>
      <c r="Z140" s="417">
        <v>0</v>
      </c>
      <c r="AA140" s="417">
        <v>0</v>
      </c>
      <c r="AB140" s="417">
        <v>0</v>
      </c>
      <c r="AC140" s="417">
        <v>0</v>
      </c>
      <c r="AD140" s="417">
        <v>0</v>
      </c>
      <c r="AE140" s="417">
        <f t="shared" si="126"/>
        <v>20000</v>
      </c>
      <c r="AF140" s="417">
        <f t="shared" si="127"/>
        <v>0</v>
      </c>
      <c r="AG140" s="417">
        <f t="shared" si="128"/>
        <v>20000</v>
      </c>
      <c r="AH140" s="417">
        <v>-20000</v>
      </c>
      <c r="AI140" s="417">
        <v>0</v>
      </c>
      <c r="AJ140" s="417">
        <v>0</v>
      </c>
      <c r="AK140" s="417">
        <v>0</v>
      </c>
      <c r="AL140" s="417">
        <v>0</v>
      </c>
      <c r="AM140" s="417">
        <f t="shared" si="129"/>
        <v>-20000</v>
      </c>
      <c r="AN140" s="417">
        <f t="shared" si="130"/>
        <v>0</v>
      </c>
      <c r="AO140" s="417">
        <f t="shared" si="131"/>
        <v>-20000</v>
      </c>
      <c r="AP140" s="417">
        <f t="shared" si="132"/>
        <v>0</v>
      </c>
      <c r="AQ140" s="417">
        <f t="shared" si="133"/>
        <v>0</v>
      </c>
      <c r="AR140" s="417">
        <f t="shared" si="134"/>
        <v>0</v>
      </c>
      <c r="AS140" s="68">
        <f t="shared" si="135"/>
        <v>0</v>
      </c>
      <c r="AT140" s="68">
        <f t="shared" si="136"/>
        <v>200</v>
      </c>
      <c r="AU140" s="417">
        <v>0</v>
      </c>
      <c r="AV140" s="417">
        <v>0</v>
      </c>
      <c r="AW140" s="417">
        <v>0</v>
      </c>
      <c r="AX140" s="417">
        <f t="shared" si="137"/>
        <v>0</v>
      </c>
      <c r="AY140" s="417">
        <f t="shared" si="138"/>
        <v>200</v>
      </c>
      <c r="AZ140" s="418">
        <v>-0.03</v>
      </c>
      <c r="BA140" s="418">
        <v>0</v>
      </c>
      <c r="BB140" s="418">
        <v>0</v>
      </c>
      <c r="BC140" s="418">
        <v>0</v>
      </c>
      <c r="BD140" s="418">
        <v>0</v>
      </c>
      <c r="BE140" s="418">
        <v>0</v>
      </c>
      <c r="BF140" s="418">
        <v>0</v>
      </c>
      <c r="BG140" s="418">
        <v>0</v>
      </c>
      <c r="BH140" s="418">
        <v>0</v>
      </c>
      <c r="BI140" s="418">
        <f t="shared" si="139"/>
        <v>-0.03</v>
      </c>
      <c r="BJ140" s="418">
        <f t="shared" si="140"/>
        <v>0</v>
      </c>
      <c r="BK140" s="420">
        <f t="shared" si="141"/>
        <v>-0.03</v>
      </c>
      <c r="BL140" s="772">
        <f t="shared" si="221"/>
        <v>15847943</v>
      </c>
      <c r="BM140" s="417">
        <f t="shared" si="222"/>
        <v>11646153</v>
      </c>
      <c r="BN140" s="417">
        <f t="shared" si="223"/>
        <v>11047275</v>
      </c>
      <c r="BO140" s="417">
        <f t="shared" si="223"/>
        <v>598878</v>
      </c>
      <c r="BP140" s="417">
        <f t="shared" si="224"/>
        <v>90000</v>
      </c>
      <c r="BQ140" s="417">
        <f t="shared" si="225"/>
        <v>90000</v>
      </c>
      <c r="BR140" s="417">
        <f t="shared" si="225"/>
        <v>0</v>
      </c>
      <c r="BS140" s="417">
        <f t="shared" si="226"/>
        <v>3966819</v>
      </c>
      <c r="BT140" s="417">
        <f t="shared" si="226"/>
        <v>116461</v>
      </c>
      <c r="BU140" s="417">
        <f t="shared" si="227"/>
        <v>28510</v>
      </c>
      <c r="BV140" s="418">
        <f t="shared" si="228"/>
        <v>19.128799999999995</v>
      </c>
      <c r="BW140" s="418">
        <f t="shared" si="229"/>
        <v>17.449999999999996</v>
      </c>
      <c r="BX140" s="420">
        <f t="shared" si="229"/>
        <v>1.6787999999999998</v>
      </c>
      <c r="BY140" s="419"/>
      <c r="BZ140" s="414"/>
      <c r="CA140" s="414"/>
      <c r="CB140" s="414"/>
      <c r="CC140" s="414"/>
      <c r="CD140" s="422"/>
      <c r="CE140" s="419">
        <f t="shared" si="142"/>
        <v>272936</v>
      </c>
      <c r="CF140" s="414">
        <v>195510</v>
      </c>
      <c r="CG140" s="414">
        <v>66082</v>
      </c>
      <c r="CH140" s="414">
        <v>1955</v>
      </c>
      <c r="CI140" s="414">
        <v>9389</v>
      </c>
      <c r="CJ140" s="509">
        <v>0.54879999999999995</v>
      </c>
    </row>
    <row r="141" spans="1:90" ht="14.1" customHeight="1">
      <c r="A141" s="72">
        <v>32</v>
      </c>
      <c r="B141" s="69">
        <v>2312</v>
      </c>
      <c r="C141" s="70">
        <v>600079899</v>
      </c>
      <c r="D141" s="69">
        <v>65642350</v>
      </c>
      <c r="E141" s="71" t="s">
        <v>599</v>
      </c>
      <c r="F141" s="72"/>
      <c r="G141" s="71"/>
      <c r="H141" s="73"/>
      <c r="I141" s="517">
        <v>59519785</v>
      </c>
      <c r="J141" s="78">
        <v>43429061</v>
      </c>
      <c r="K141" s="78">
        <v>38446831</v>
      </c>
      <c r="L141" s="78">
        <v>4982230</v>
      </c>
      <c r="M141" s="78">
        <v>250000</v>
      </c>
      <c r="N141" s="78">
        <v>150000</v>
      </c>
      <c r="O141" s="78">
        <v>100000</v>
      </c>
      <c r="P141" s="78">
        <v>14763522</v>
      </c>
      <c r="Q141" s="78">
        <v>434291</v>
      </c>
      <c r="R141" s="78">
        <v>642911</v>
      </c>
      <c r="S141" s="79">
        <v>75.45559999999999</v>
      </c>
      <c r="T141" s="79">
        <v>60.441699999999997</v>
      </c>
      <c r="U141" s="654">
        <v>15.0139</v>
      </c>
      <c r="V141" s="517">
        <f t="shared" ref="V141:BX141" si="230">SUM(V135:V140)</f>
        <v>20000</v>
      </c>
      <c r="W141" s="78">
        <f t="shared" si="230"/>
        <v>-126000</v>
      </c>
      <c r="X141" s="78">
        <f t="shared" si="230"/>
        <v>16505</v>
      </c>
      <c r="Y141" s="78">
        <f t="shared" si="230"/>
        <v>0</v>
      </c>
      <c r="Z141" s="78">
        <f t="shared" si="230"/>
        <v>0</v>
      </c>
      <c r="AA141" s="78">
        <f t="shared" si="230"/>
        <v>-11735</v>
      </c>
      <c r="AB141" s="78">
        <f t="shared" si="230"/>
        <v>0</v>
      </c>
      <c r="AC141" s="78">
        <f t="shared" si="230"/>
        <v>0</v>
      </c>
      <c r="AD141" s="78">
        <f t="shared" si="230"/>
        <v>0</v>
      </c>
      <c r="AE141" s="78">
        <f t="shared" si="230"/>
        <v>36505</v>
      </c>
      <c r="AF141" s="78">
        <f t="shared" si="230"/>
        <v>-137735</v>
      </c>
      <c r="AG141" s="78">
        <f t="shared" si="230"/>
        <v>-101230</v>
      </c>
      <c r="AH141" s="78">
        <f t="shared" si="230"/>
        <v>-20000</v>
      </c>
      <c r="AI141" s="78">
        <f t="shared" si="230"/>
        <v>126000</v>
      </c>
      <c r="AJ141" s="78">
        <f t="shared" si="230"/>
        <v>0</v>
      </c>
      <c r="AK141" s="78">
        <f t="shared" si="230"/>
        <v>0</v>
      </c>
      <c r="AL141" s="78">
        <f t="shared" si="230"/>
        <v>0</v>
      </c>
      <c r="AM141" s="78">
        <f t="shared" si="230"/>
        <v>-20000</v>
      </c>
      <c r="AN141" s="78">
        <f t="shared" si="230"/>
        <v>126000</v>
      </c>
      <c r="AO141" s="78">
        <f t="shared" si="230"/>
        <v>106000</v>
      </c>
      <c r="AP141" s="78">
        <f t="shared" si="230"/>
        <v>16505</v>
      </c>
      <c r="AQ141" s="78">
        <f t="shared" si="230"/>
        <v>-11735</v>
      </c>
      <c r="AR141" s="78">
        <f t="shared" si="230"/>
        <v>4770</v>
      </c>
      <c r="AS141" s="78">
        <f t="shared" si="230"/>
        <v>1613</v>
      </c>
      <c r="AT141" s="78">
        <f t="shared" si="230"/>
        <v>-1012</v>
      </c>
      <c r="AU141" s="78">
        <f t="shared" si="230"/>
        <v>2500</v>
      </c>
      <c r="AV141" s="78">
        <f t="shared" si="230"/>
        <v>0</v>
      </c>
      <c r="AW141" s="78">
        <f t="shared" si="230"/>
        <v>0</v>
      </c>
      <c r="AX141" s="78">
        <f t="shared" si="230"/>
        <v>2500</v>
      </c>
      <c r="AY141" s="78">
        <f t="shared" si="230"/>
        <v>7871</v>
      </c>
      <c r="AZ141" s="79">
        <f t="shared" si="230"/>
        <v>-0.06</v>
      </c>
      <c r="BA141" s="79">
        <f t="shared" si="230"/>
        <v>-0.2</v>
      </c>
      <c r="BB141" s="79">
        <f t="shared" si="230"/>
        <v>0.04</v>
      </c>
      <c r="BC141" s="79">
        <f t="shared" si="230"/>
        <v>0</v>
      </c>
      <c r="BD141" s="79">
        <f t="shared" si="230"/>
        <v>-0.03</v>
      </c>
      <c r="BE141" s="79">
        <f t="shared" si="230"/>
        <v>0</v>
      </c>
      <c r="BF141" s="79">
        <f t="shared" si="230"/>
        <v>0</v>
      </c>
      <c r="BG141" s="79">
        <f t="shared" si="230"/>
        <v>0</v>
      </c>
      <c r="BH141" s="79">
        <f t="shared" si="230"/>
        <v>0</v>
      </c>
      <c r="BI141" s="79">
        <f t="shared" si="230"/>
        <v>-1.9999999999999997E-2</v>
      </c>
      <c r="BJ141" s="79">
        <f t="shared" si="230"/>
        <v>-0.23</v>
      </c>
      <c r="BK141" s="80">
        <f t="shared" si="230"/>
        <v>-0.25</v>
      </c>
      <c r="BL141" s="782">
        <f t="shared" si="230"/>
        <v>59527656</v>
      </c>
      <c r="BM141" s="78">
        <f t="shared" si="230"/>
        <v>43327831</v>
      </c>
      <c r="BN141" s="78">
        <f t="shared" si="230"/>
        <v>38483336</v>
      </c>
      <c r="BO141" s="78">
        <f t="shared" si="230"/>
        <v>4844495</v>
      </c>
      <c r="BP141" s="78">
        <f t="shared" si="230"/>
        <v>356000</v>
      </c>
      <c r="BQ141" s="78">
        <f t="shared" si="230"/>
        <v>130000</v>
      </c>
      <c r="BR141" s="78">
        <f t="shared" si="230"/>
        <v>226000</v>
      </c>
      <c r="BS141" s="78">
        <f t="shared" si="230"/>
        <v>14765135</v>
      </c>
      <c r="BT141" s="78">
        <f t="shared" si="230"/>
        <v>433279</v>
      </c>
      <c r="BU141" s="78">
        <f t="shared" si="230"/>
        <v>645411</v>
      </c>
      <c r="BV141" s="79">
        <f t="shared" si="230"/>
        <v>75.20559999999999</v>
      </c>
      <c r="BW141" s="79">
        <f t="shared" si="230"/>
        <v>60.421699999999994</v>
      </c>
      <c r="BX141" s="80">
        <f t="shared" si="230"/>
        <v>14.783899999999999</v>
      </c>
      <c r="BY141" s="792">
        <f t="shared" ref="BY141:CJ141" si="231">SUM(BY135:BY140)</f>
        <v>760272</v>
      </c>
      <c r="BZ141" s="680">
        <f t="shared" si="231"/>
        <v>564000</v>
      </c>
      <c r="CA141" s="680">
        <f t="shared" si="231"/>
        <v>0</v>
      </c>
      <c r="CB141" s="680">
        <f t="shared" si="231"/>
        <v>190632</v>
      </c>
      <c r="CC141" s="680">
        <f t="shared" si="231"/>
        <v>5640</v>
      </c>
      <c r="CD141" s="948">
        <f t="shared" si="231"/>
        <v>1</v>
      </c>
      <c r="CE141" s="957">
        <f t="shared" si="231"/>
        <v>1442238</v>
      </c>
      <c r="CF141" s="954">
        <f t="shared" si="231"/>
        <v>961427</v>
      </c>
      <c r="CG141" s="954">
        <f t="shared" si="231"/>
        <v>324962</v>
      </c>
      <c r="CH141" s="954">
        <f t="shared" si="231"/>
        <v>9614</v>
      </c>
      <c r="CI141" s="954">
        <f t="shared" si="231"/>
        <v>146235</v>
      </c>
      <c r="CJ141" s="878">
        <f t="shared" si="231"/>
        <v>2.8650000000000002</v>
      </c>
    </row>
    <row r="142" spans="1:90" ht="14.1" customHeight="1">
      <c r="A142" s="66">
        <v>33</v>
      </c>
      <c r="B142" s="63">
        <v>2479</v>
      </c>
      <c r="C142" s="64">
        <v>600080340</v>
      </c>
      <c r="D142" s="63">
        <v>65100280</v>
      </c>
      <c r="E142" s="65" t="s">
        <v>600</v>
      </c>
      <c r="F142" s="66">
        <v>3113</v>
      </c>
      <c r="G142" s="65" t="s">
        <v>293</v>
      </c>
      <c r="H142" s="67" t="s">
        <v>271</v>
      </c>
      <c r="I142" s="419">
        <v>41308671</v>
      </c>
      <c r="J142" s="414">
        <v>30032541</v>
      </c>
      <c r="K142" s="414">
        <v>27237220</v>
      </c>
      <c r="L142" s="414">
        <v>2795321</v>
      </c>
      <c r="M142" s="414">
        <v>50000</v>
      </c>
      <c r="N142" s="414">
        <v>50000</v>
      </c>
      <c r="O142" s="414">
        <v>0</v>
      </c>
      <c r="P142" s="595">
        <v>10167899</v>
      </c>
      <c r="Q142" s="595">
        <v>300326</v>
      </c>
      <c r="R142" s="414">
        <v>757905</v>
      </c>
      <c r="S142" s="415">
        <v>48.057199999999995</v>
      </c>
      <c r="T142" s="415">
        <v>39.634</v>
      </c>
      <c r="U142" s="422">
        <v>8.4231999999999996</v>
      </c>
      <c r="V142" s="423">
        <f t="shared" ref="V142:V205" si="232">AH142*-1</f>
        <v>-20000</v>
      </c>
      <c r="W142" s="417">
        <f t="shared" ref="W142:W205" si="233">AI142*-1</f>
        <v>0</v>
      </c>
      <c r="X142" s="417">
        <v>0</v>
      </c>
      <c r="Y142" s="417">
        <v>0</v>
      </c>
      <c r="Z142" s="417">
        <v>-44420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ref="AE142:AE205" si="234">V142+X142+Y142+Z142+AC142</f>
        <v>-64420</v>
      </c>
      <c r="AF142" s="417">
        <f t="shared" ref="AF142:AF205" si="235">W142+AA142+AD142+AB142</f>
        <v>0</v>
      </c>
      <c r="AG142" s="417">
        <f t="shared" ref="AG142:AG205" si="236">SUM(AE142:AF142)</f>
        <v>-64420</v>
      </c>
      <c r="AH142" s="417">
        <v>20000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ref="AM142:AM205" si="237">AH142+AJ142+AK142</f>
        <v>20000</v>
      </c>
      <c r="AN142" s="417">
        <f t="shared" ref="AN142:AN205" si="238">AI142+AL142</f>
        <v>0</v>
      </c>
      <c r="AO142" s="417">
        <f t="shared" ref="AO142:AO205" si="239">SUM(AM142:AN142)</f>
        <v>20000</v>
      </c>
      <c r="AP142" s="417">
        <f t="shared" ref="AP142:AP205" si="240">AE142+AM142</f>
        <v>-44420</v>
      </c>
      <c r="AQ142" s="417">
        <f t="shared" ref="AQ142:AQ205" si="241">AF142+AN142</f>
        <v>0</v>
      </c>
      <c r="AR142" s="417">
        <f t="shared" ref="AR142:AR205" si="242">SUM(AP142:AQ142)</f>
        <v>-44420</v>
      </c>
      <c r="AS142" s="68">
        <f t="shared" ref="AS142:AS205" si="243">ROUND((AG142+AH142+AI142+AJ142)*33.8%,0)</f>
        <v>-15014</v>
      </c>
      <c r="AT142" s="68">
        <f t="shared" ref="AT142:AT205" si="244">ROUND(AG142*1%,0)</f>
        <v>-644</v>
      </c>
      <c r="AU142" s="417">
        <v>0</v>
      </c>
      <c r="AV142" s="417">
        <v>0</v>
      </c>
      <c r="AW142" s="417">
        <v>0</v>
      </c>
      <c r="AX142" s="417">
        <f t="shared" ref="AX142:AX205" si="245">SUM(AU142:AW142)</f>
        <v>0</v>
      </c>
      <c r="AY142" s="417">
        <f t="shared" ref="AY142:AY205" si="246">AR142+AS142+AT142+AX142</f>
        <v>-60078</v>
      </c>
      <c r="AZ142" s="418">
        <v>-0.01</v>
      </c>
      <c r="BA142" s="418">
        <v>0</v>
      </c>
      <c r="BB142" s="418">
        <v>0</v>
      </c>
      <c r="BC142" s="418">
        <v>-0.09</v>
      </c>
      <c r="BD142" s="418">
        <v>0</v>
      </c>
      <c r="BE142" s="418">
        <v>0</v>
      </c>
      <c r="BF142" s="418">
        <v>0</v>
      </c>
      <c r="BG142" s="418">
        <v>0</v>
      </c>
      <c r="BH142" s="418">
        <v>0</v>
      </c>
      <c r="BI142" s="418">
        <f t="shared" ref="BI142:BI205" si="247">AZ142+BB142+BC142+BE142+BG142</f>
        <v>-9.9999999999999992E-2</v>
      </c>
      <c r="BJ142" s="418">
        <f t="shared" ref="BJ142:BJ205" si="248">BA142+BD142+BH142+BF142</f>
        <v>0</v>
      </c>
      <c r="BK142" s="420">
        <f t="shared" ref="BK142:BK205" si="249">SUM(BI142:BJ142)</f>
        <v>-9.9999999999999992E-2</v>
      </c>
      <c r="BL142" s="772">
        <f>I142+AY142</f>
        <v>41248593</v>
      </c>
      <c r="BM142" s="417">
        <f>J142+AG142</f>
        <v>29968121</v>
      </c>
      <c r="BN142" s="417">
        <f t="shared" ref="BN142:BO146" si="250">K142+AE142</f>
        <v>27172800</v>
      </c>
      <c r="BO142" s="417">
        <f t="shared" si="250"/>
        <v>2795321</v>
      </c>
      <c r="BP142" s="417">
        <f>M142+AO142</f>
        <v>70000</v>
      </c>
      <c r="BQ142" s="417">
        <f t="shared" ref="BQ142:BR146" si="251">N142+AM142</f>
        <v>70000</v>
      </c>
      <c r="BR142" s="417">
        <f t="shared" si="251"/>
        <v>0</v>
      </c>
      <c r="BS142" s="417">
        <f t="shared" ref="BS142:BT146" si="252">P142+AS142</f>
        <v>10152885</v>
      </c>
      <c r="BT142" s="417">
        <f t="shared" si="252"/>
        <v>299682</v>
      </c>
      <c r="BU142" s="417">
        <f>R142+AX142</f>
        <v>757905</v>
      </c>
      <c r="BV142" s="418">
        <f>S142+BK142</f>
        <v>47.957199999999993</v>
      </c>
      <c r="BW142" s="418">
        <f t="shared" ref="BW142:BX146" si="253">T142+BI142</f>
        <v>39.533999999999999</v>
      </c>
      <c r="BX142" s="420">
        <f t="shared" si="253"/>
        <v>8.4231999999999996</v>
      </c>
      <c r="BY142" s="419">
        <v>760272</v>
      </c>
      <c r="BZ142" s="414">
        <v>564000</v>
      </c>
      <c r="CA142" s="414">
        <v>0</v>
      </c>
      <c r="CB142" s="414">
        <v>190632</v>
      </c>
      <c r="CC142" s="414">
        <v>5640</v>
      </c>
      <c r="CD142" s="422">
        <v>1</v>
      </c>
      <c r="CE142" s="419">
        <f t="shared" ref="CE142:CE205" si="254">SUM(CF142:CI142)</f>
        <v>1387983</v>
      </c>
      <c r="CF142" s="414">
        <v>897305</v>
      </c>
      <c r="CG142" s="414">
        <v>303289</v>
      </c>
      <c r="CH142" s="414">
        <v>8973</v>
      </c>
      <c r="CI142" s="414">
        <v>178416</v>
      </c>
      <c r="CJ142" s="509">
        <v>2.7040999999999999</v>
      </c>
    </row>
    <row r="143" spans="1:90" ht="14.1" customHeight="1">
      <c r="A143" s="66">
        <v>33</v>
      </c>
      <c r="B143" s="63">
        <v>2479</v>
      </c>
      <c r="C143" s="64">
        <v>600080340</v>
      </c>
      <c r="D143" s="63">
        <v>65100280</v>
      </c>
      <c r="E143" s="65" t="s">
        <v>600</v>
      </c>
      <c r="F143" s="66">
        <v>3113</v>
      </c>
      <c r="G143" s="77" t="s">
        <v>291</v>
      </c>
      <c r="H143" s="67" t="s">
        <v>272</v>
      </c>
      <c r="I143" s="419">
        <v>5611349</v>
      </c>
      <c r="J143" s="414">
        <v>4162722</v>
      </c>
      <c r="K143" s="414">
        <v>4162722</v>
      </c>
      <c r="L143" s="414">
        <v>0</v>
      </c>
      <c r="M143" s="414">
        <v>0</v>
      </c>
      <c r="N143" s="414">
        <v>0</v>
      </c>
      <c r="O143" s="414">
        <v>0</v>
      </c>
      <c r="P143" s="595">
        <v>1407000</v>
      </c>
      <c r="Q143" s="595">
        <v>41627</v>
      </c>
      <c r="R143" s="414">
        <v>0</v>
      </c>
      <c r="S143" s="415">
        <v>10.880000000000003</v>
      </c>
      <c r="T143" s="416">
        <v>10.880000000000003</v>
      </c>
      <c r="U143" s="422">
        <v>0</v>
      </c>
      <c r="V143" s="423">
        <f t="shared" si="232"/>
        <v>0</v>
      </c>
      <c r="W143" s="417">
        <f t="shared" si="233"/>
        <v>0</v>
      </c>
      <c r="X143" s="417">
        <f>-282319-4126</f>
        <v>-286445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34"/>
        <v>-286445</v>
      </c>
      <c r="AF143" s="417">
        <f t="shared" si="235"/>
        <v>0</v>
      </c>
      <c r="AG143" s="417">
        <f t="shared" si="236"/>
        <v>-286445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237"/>
        <v>0</v>
      </c>
      <c r="AN143" s="417">
        <f t="shared" si="238"/>
        <v>0</v>
      </c>
      <c r="AO143" s="417">
        <f t="shared" si="239"/>
        <v>0</v>
      </c>
      <c r="AP143" s="417">
        <f t="shared" si="240"/>
        <v>-286445</v>
      </c>
      <c r="AQ143" s="417">
        <f t="shared" si="241"/>
        <v>0</v>
      </c>
      <c r="AR143" s="417">
        <f t="shared" si="242"/>
        <v>-286445</v>
      </c>
      <c r="AS143" s="68">
        <f t="shared" si="243"/>
        <v>-96818</v>
      </c>
      <c r="AT143" s="68">
        <f t="shared" si="244"/>
        <v>-2864</v>
      </c>
      <c r="AU143" s="417">
        <v>1750</v>
      </c>
      <c r="AV143" s="417">
        <v>0</v>
      </c>
      <c r="AW143" s="417">
        <v>0</v>
      </c>
      <c r="AX143" s="417">
        <f t="shared" si="245"/>
        <v>1750</v>
      </c>
      <c r="AY143" s="417">
        <f t="shared" si="246"/>
        <v>-384377</v>
      </c>
      <c r="AZ143" s="418">
        <v>0</v>
      </c>
      <c r="BA143" s="418">
        <v>0</v>
      </c>
      <c r="BB143" s="418">
        <f>-0.71-0.01</f>
        <v>-0.72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47"/>
        <v>-0.72</v>
      </c>
      <c r="BJ143" s="418">
        <f t="shared" si="248"/>
        <v>0</v>
      </c>
      <c r="BK143" s="420">
        <f t="shared" si="249"/>
        <v>-0.72</v>
      </c>
      <c r="BL143" s="772">
        <f>I143+AY143</f>
        <v>5226972</v>
      </c>
      <c r="BM143" s="417">
        <f>J143+AG143</f>
        <v>3876277</v>
      </c>
      <c r="BN143" s="417">
        <f t="shared" si="250"/>
        <v>3876277</v>
      </c>
      <c r="BO143" s="417">
        <f t="shared" si="250"/>
        <v>0</v>
      </c>
      <c r="BP143" s="417">
        <f>M143+AO143</f>
        <v>0</v>
      </c>
      <c r="BQ143" s="417">
        <f t="shared" si="251"/>
        <v>0</v>
      </c>
      <c r="BR143" s="417">
        <f t="shared" si="251"/>
        <v>0</v>
      </c>
      <c r="BS143" s="417">
        <f t="shared" si="252"/>
        <v>1310182</v>
      </c>
      <c r="BT143" s="417">
        <f t="shared" si="252"/>
        <v>38763</v>
      </c>
      <c r="BU143" s="417">
        <f>R143+AX143</f>
        <v>1750</v>
      </c>
      <c r="BV143" s="418">
        <f>S143+BK143</f>
        <v>10.160000000000002</v>
      </c>
      <c r="BW143" s="418">
        <f t="shared" si="253"/>
        <v>10.160000000000002</v>
      </c>
      <c r="BX143" s="420">
        <f t="shared" si="253"/>
        <v>0</v>
      </c>
      <c r="BY143" s="419"/>
      <c r="BZ143" s="414"/>
      <c r="CA143" s="414"/>
      <c r="CB143" s="414"/>
      <c r="CC143" s="414"/>
      <c r="CD143" s="422"/>
      <c r="CE143" s="419">
        <f t="shared" si="254"/>
        <v>0</v>
      </c>
      <c r="CF143" s="414">
        <v>0</v>
      </c>
      <c r="CG143" s="414">
        <v>0</v>
      </c>
      <c r="CH143" s="414">
        <v>0</v>
      </c>
      <c r="CI143" s="414">
        <v>0</v>
      </c>
      <c r="CJ143" s="509">
        <v>0</v>
      </c>
    </row>
    <row r="144" spans="1:90" ht="14.1" customHeight="1">
      <c r="A144" s="66">
        <v>33</v>
      </c>
      <c r="B144" s="63">
        <v>2479</v>
      </c>
      <c r="C144" s="64">
        <v>600080340</v>
      </c>
      <c r="D144" s="63">
        <v>65100280</v>
      </c>
      <c r="E144" s="65" t="s">
        <v>600</v>
      </c>
      <c r="F144" s="66">
        <v>3141</v>
      </c>
      <c r="G144" s="65" t="s">
        <v>294</v>
      </c>
      <c r="H144" s="67" t="s">
        <v>272</v>
      </c>
      <c r="I144" s="419">
        <v>3548291</v>
      </c>
      <c r="J144" s="414">
        <v>2610198</v>
      </c>
      <c r="K144" s="414">
        <v>0</v>
      </c>
      <c r="L144" s="744">
        <v>2610198</v>
      </c>
      <c r="M144" s="414">
        <v>0</v>
      </c>
      <c r="N144" s="204">
        <v>0</v>
      </c>
      <c r="O144" s="204">
        <v>0</v>
      </c>
      <c r="P144" s="595">
        <v>882247</v>
      </c>
      <c r="Q144" s="595">
        <v>26102</v>
      </c>
      <c r="R144" s="601">
        <v>29744</v>
      </c>
      <c r="S144" s="415">
        <v>7.83</v>
      </c>
      <c r="T144" s="603">
        <v>0</v>
      </c>
      <c r="U144" s="731">
        <v>7.83</v>
      </c>
      <c r="V144" s="423">
        <f t="shared" si="232"/>
        <v>0</v>
      </c>
      <c r="W144" s="417">
        <f t="shared" si="233"/>
        <v>0</v>
      </c>
      <c r="X144" s="417">
        <v>0</v>
      </c>
      <c r="Y144" s="417">
        <v>0</v>
      </c>
      <c r="Z144" s="417">
        <v>0</v>
      </c>
      <c r="AA144" s="417">
        <v>-39270</v>
      </c>
      <c r="AB144" s="417">
        <v>0</v>
      </c>
      <c r="AC144" s="417">
        <v>0</v>
      </c>
      <c r="AD144" s="417">
        <v>0</v>
      </c>
      <c r="AE144" s="417">
        <f t="shared" si="234"/>
        <v>0</v>
      </c>
      <c r="AF144" s="417">
        <f t="shared" si="235"/>
        <v>-39270</v>
      </c>
      <c r="AG144" s="417">
        <f t="shared" si="236"/>
        <v>-39270</v>
      </c>
      <c r="AH144" s="417">
        <v>0</v>
      </c>
      <c r="AI144" s="417">
        <v>0</v>
      </c>
      <c r="AJ144" s="417">
        <v>0</v>
      </c>
      <c r="AK144" s="417">
        <v>0</v>
      </c>
      <c r="AL144" s="417">
        <v>0</v>
      </c>
      <c r="AM144" s="417">
        <f t="shared" si="237"/>
        <v>0</v>
      </c>
      <c r="AN144" s="417">
        <f t="shared" si="238"/>
        <v>0</v>
      </c>
      <c r="AO144" s="417">
        <f t="shared" si="239"/>
        <v>0</v>
      </c>
      <c r="AP144" s="417">
        <f t="shared" si="240"/>
        <v>0</v>
      </c>
      <c r="AQ144" s="417">
        <f t="shared" si="241"/>
        <v>-39270</v>
      </c>
      <c r="AR144" s="417">
        <f t="shared" si="242"/>
        <v>-39270</v>
      </c>
      <c r="AS144" s="68">
        <f t="shared" si="243"/>
        <v>-13273</v>
      </c>
      <c r="AT144" s="68">
        <f t="shared" si="244"/>
        <v>-393</v>
      </c>
      <c r="AU144" s="417">
        <v>0</v>
      </c>
      <c r="AV144" s="417">
        <v>0</v>
      </c>
      <c r="AW144" s="417">
        <v>0</v>
      </c>
      <c r="AX144" s="417">
        <f t="shared" si="245"/>
        <v>0</v>
      </c>
      <c r="AY144" s="417">
        <f t="shared" si="246"/>
        <v>-52936</v>
      </c>
      <c r="AZ144" s="418">
        <v>0</v>
      </c>
      <c r="BA144" s="418">
        <v>0</v>
      </c>
      <c r="BB144" s="418">
        <v>0</v>
      </c>
      <c r="BC144" s="418">
        <v>0</v>
      </c>
      <c r="BD144" s="418">
        <v>-0.12</v>
      </c>
      <c r="BE144" s="418">
        <v>0</v>
      </c>
      <c r="BF144" s="418">
        <v>0</v>
      </c>
      <c r="BG144" s="418">
        <v>0</v>
      </c>
      <c r="BH144" s="418">
        <v>0</v>
      </c>
      <c r="BI144" s="418">
        <f t="shared" si="247"/>
        <v>0</v>
      </c>
      <c r="BJ144" s="418">
        <f t="shared" si="248"/>
        <v>-0.12</v>
      </c>
      <c r="BK144" s="420">
        <f t="shared" si="249"/>
        <v>-0.12</v>
      </c>
      <c r="BL144" s="772">
        <f>I144+AY144</f>
        <v>3495355</v>
      </c>
      <c r="BM144" s="417">
        <f>J144+AG144</f>
        <v>2570928</v>
      </c>
      <c r="BN144" s="417">
        <f t="shared" si="250"/>
        <v>0</v>
      </c>
      <c r="BO144" s="417">
        <f t="shared" si="250"/>
        <v>2570928</v>
      </c>
      <c r="BP144" s="417">
        <f>M144+AO144</f>
        <v>0</v>
      </c>
      <c r="BQ144" s="417">
        <f t="shared" si="251"/>
        <v>0</v>
      </c>
      <c r="BR144" s="417">
        <f t="shared" si="251"/>
        <v>0</v>
      </c>
      <c r="BS144" s="417">
        <f t="shared" si="252"/>
        <v>868974</v>
      </c>
      <c r="BT144" s="417">
        <f t="shared" si="252"/>
        <v>25709</v>
      </c>
      <c r="BU144" s="417">
        <f>R144+AX144</f>
        <v>29744</v>
      </c>
      <c r="BV144" s="418">
        <f>S144+BK144</f>
        <v>7.71</v>
      </c>
      <c r="BW144" s="418">
        <f t="shared" si="253"/>
        <v>0</v>
      </c>
      <c r="BX144" s="420">
        <f t="shared" si="253"/>
        <v>7.71</v>
      </c>
      <c r="BY144" s="419"/>
      <c r="BZ144" s="414"/>
      <c r="CA144" s="414"/>
      <c r="CB144" s="414"/>
      <c r="CC144" s="414"/>
      <c r="CD144" s="422"/>
      <c r="CE144" s="419">
        <f t="shared" si="254"/>
        <v>0</v>
      </c>
      <c r="CF144" s="414">
        <v>0</v>
      </c>
      <c r="CG144" s="414">
        <v>0</v>
      </c>
      <c r="CH144" s="414">
        <v>0</v>
      </c>
      <c r="CI144" s="414">
        <v>0</v>
      </c>
      <c r="CJ144" s="509">
        <v>0</v>
      </c>
    </row>
    <row r="145" spans="1:88" ht="14.1" customHeight="1">
      <c r="A145" s="66">
        <v>33</v>
      </c>
      <c r="B145" s="63">
        <v>2479</v>
      </c>
      <c r="C145" s="64">
        <v>600080340</v>
      </c>
      <c r="D145" s="63">
        <v>65100280</v>
      </c>
      <c r="E145" s="65" t="s">
        <v>600</v>
      </c>
      <c r="F145" s="66">
        <v>3143</v>
      </c>
      <c r="G145" s="77" t="s">
        <v>595</v>
      </c>
      <c r="H145" s="67" t="s">
        <v>271</v>
      </c>
      <c r="I145" s="419">
        <v>4270721</v>
      </c>
      <c r="J145" s="414">
        <v>3164717</v>
      </c>
      <c r="K145" s="414">
        <v>3164717</v>
      </c>
      <c r="L145" s="414">
        <v>0</v>
      </c>
      <c r="M145" s="414">
        <v>3500</v>
      </c>
      <c r="N145" s="414">
        <v>3500</v>
      </c>
      <c r="O145" s="414">
        <v>0</v>
      </c>
      <c r="P145" s="595">
        <v>1070857</v>
      </c>
      <c r="Q145" s="595">
        <v>31647</v>
      </c>
      <c r="R145" s="414">
        <v>0</v>
      </c>
      <c r="S145" s="415">
        <v>6.07</v>
      </c>
      <c r="T145" s="415">
        <v>6.07</v>
      </c>
      <c r="U145" s="422">
        <v>0</v>
      </c>
      <c r="V145" s="423">
        <f t="shared" si="232"/>
        <v>0</v>
      </c>
      <c r="W145" s="417">
        <f t="shared" si="233"/>
        <v>0</v>
      </c>
      <c r="X145" s="417">
        <v>0</v>
      </c>
      <c r="Y145" s="417">
        <v>0</v>
      </c>
      <c r="Z145" s="417">
        <v>131278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234"/>
        <v>131278</v>
      </c>
      <c r="AF145" s="417">
        <f t="shared" si="235"/>
        <v>0</v>
      </c>
      <c r="AG145" s="417">
        <f t="shared" si="236"/>
        <v>131278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237"/>
        <v>0</v>
      </c>
      <c r="AN145" s="417">
        <f t="shared" si="238"/>
        <v>0</v>
      </c>
      <c r="AO145" s="417">
        <f t="shared" si="239"/>
        <v>0</v>
      </c>
      <c r="AP145" s="417">
        <f t="shared" si="240"/>
        <v>131278</v>
      </c>
      <c r="AQ145" s="417">
        <f t="shared" si="241"/>
        <v>0</v>
      </c>
      <c r="AR145" s="417">
        <f t="shared" si="242"/>
        <v>131278</v>
      </c>
      <c r="AS145" s="68">
        <f t="shared" si="243"/>
        <v>44372</v>
      </c>
      <c r="AT145" s="68">
        <f t="shared" si="244"/>
        <v>1313</v>
      </c>
      <c r="AU145" s="417">
        <v>0</v>
      </c>
      <c r="AV145" s="417">
        <v>0</v>
      </c>
      <c r="AW145" s="417">
        <v>0</v>
      </c>
      <c r="AX145" s="417">
        <f t="shared" si="245"/>
        <v>0</v>
      </c>
      <c r="AY145" s="417">
        <f t="shared" si="246"/>
        <v>176963</v>
      </c>
      <c r="AZ145" s="418">
        <v>0</v>
      </c>
      <c r="BA145" s="418">
        <v>0</v>
      </c>
      <c r="BB145" s="418">
        <v>0</v>
      </c>
      <c r="BC145" s="418">
        <v>0.3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47"/>
        <v>0.3</v>
      </c>
      <c r="BJ145" s="418">
        <f t="shared" si="248"/>
        <v>0</v>
      </c>
      <c r="BK145" s="420">
        <f t="shared" si="249"/>
        <v>0.3</v>
      </c>
      <c r="BL145" s="772">
        <f>I145+AY145</f>
        <v>4447684</v>
      </c>
      <c r="BM145" s="417">
        <f>J145+AG145</f>
        <v>3295995</v>
      </c>
      <c r="BN145" s="417">
        <f t="shared" si="250"/>
        <v>3295995</v>
      </c>
      <c r="BO145" s="417">
        <f t="shared" si="250"/>
        <v>0</v>
      </c>
      <c r="BP145" s="417">
        <f>M145+AO145</f>
        <v>3500</v>
      </c>
      <c r="BQ145" s="417">
        <f t="shared" si="251"/>
        <v>3500</v>
      </c>
      <c r="BR145" s="417">
        <f t="shared" si="251"/>
        <v>0</v>
      </c>
      <c r="BS145" s="417">
        <f t="shared" si="252"/>
        <v>1115229</v>
      </c>
      <c r="BT145" s="417">
        <f t="shared" si="252"/>
        <v>32960</v>
      </c>
      <c r="BU145" s="417">
        <f>R145+AX145</f>
        <v>0</v>
      </c>
      <c r="BV145" s="418">
        <f>S145+BK145</f>
        <v>6.37</v>
      </c>
      <c r="BW145" s="418">
        <f t="shared" si="253"/>
        <v>6.37</v>
      </c>
      <c r="BX145" s="420">
        <f t="shared" si="253"/>
        <v>0</v>
      </c>
      <c r="BY145" s="419"/>
      <c r="BZ145" s="414"/>
      <c r="CA145" s="414"/>
      <c r="CB145" s="414"/>
      <c r="CC145" s="414"/>
      <c r="CD145" s="422"/>
      <c r="CE145" s="419">
        <f t="shared" si="254"/>
        <v>0</v>
      </c>
      <c r="CF145" s="414">
        <v>0</v>
      </c>
      <c r="CG145" s="414">
        <v>0</v>
      </c>
      <c r="CH145" s="414">
        <v>0</v>
      </c>
      <c r="CI145" s="414">
        <v>0</v>
      </c>
      <c r="CJ145" s="509">
        <v>0</v>
      </c>
    </row>
    <row r="146" spans="1:88" ht="14.1" customHeight="1">
      <c r="A146" s="66">
        <v>33</v>
      </c>
      <c r="B146" s="63">
        <v>2479</v>
      </c>
      <c r="C146" s="64">
        <v>600080340</v>
      </c>
      <c r="D146" s="63">
        <v>65100280</v>
      </c>
      <c r="E146" s="65" t="s">
        <v>600</v>
      </c>
      <c r="F146" s="66">
        <v>3143</v>
      </c>
      <c r="G146" s="77" t="s">
        <v>596</v>
      </c>
      <c r="H146" s="67" t="s">
        <v>272</v>
      </c>
      <c r="I146" s="419">
        <v>153680</v>
      </c>
      <c r="J146" s="414">
        <v>110000</v>
      </c>
      <c r="K146" s="414">
        <v>0</v>
      </c>
      <c r="L146" s="601">
        <v>110000</v>
      </c>
      <c r="M146" s="414">
        <v>0</v>
      </c>
      <c r="N146" s="414">
        <v>0</v>
      </c>
      <c r="O146" s="414">
        <v>0</v>
      </c>
      <c r="P146" s="595">
        <v>37180</v>
      </c>
      <c r="Q146" s="595">
        <v>1100</v>
      </c>
      <c r="R146" s="602">
        <v>5400</v>
      </c>
      <c r="S146" s="415">
        <v>0.4178</v>
      </c>
      <c r="T146" s="605">
        <v>0</v>
      </c>
      <c r="U146" s="731">
        <v>0.4178</v>
      </c>
      <c r="V146" s="423">
        <f t="shared" si="232"/>
        <v>0</v>
      </c>
      <c r="W146" s="417">
        <f t="shared" si="233"/>
        <v>0</v>
      </c>
      <c r="X146" s="417">
        <v>0</v>
      </c>
      <c r="Y146" s="417">
        <v>0</v>
      </c>
      <c r="Z146" s="417">
        <v>0</v>
      </c>
      <c r="AA146" s="417">
        <v>0</v>
      </c>
      <c r="AB146" s="417">
        <v>0</v>
      </c>
      <c r="AC146" s="417">
        <v>0</v>
      </c>
      <c r="AD146" s="417">
        <v>0</v>
      </c>
      <c r="AE146" s="417">
        <f t="shared" si="234"/>
        <v>0</v>
      </c>
      <c r="AF146" s="417">
        <f t="shared" si="235"/>
        <v>0</v>
      </c>
      <c r="AG146" s="417">
        <f t="shared" si="236"/>
        <v>0</v>
      </c>
      <c r="AH146" s="417">
        <v>0</v>
      </c>
      <c r="AI146" s="417">
        <v>0</v>
      </c>
      <c r="AJ146" s="417">
        <v>0</v>
      </c>
      <c r="AK146" s="417">
        <v>0</v>
      </c>
      <c r="AL146" s="417">
        <v>0</v>
      </c>
      <c r="AM146" s="417">
        <f t="shared" si="237"/>
        <v>0</v>
      </c>
      <c r="AN146" s="417">
        <f t="shared" si="238"/>
        <v>0</v>
      </c>
      <c r="AO146" s="417">
        <f t="shared" si="239"/>
        <v>0</v>
      </c>
      <c r="AP146" s="417">
        <f t="shared" si="240"/>
        <v>0</v>
      </c>
      <c r="AQ146" s="417">
        <f t="shared" si="241"/>
        <v>0</v>
      </c>
      <c r="AR146" s="417">
        <f t="shared" si="242"/>
        <v>0</v>
      </c>
      <c r="AS146" s="68">
        <f t="shared" si="243"/>
        <v>0</v>
      </c>
      <c r="AT146" s="68">
        <f t="shared" si="244"/>
        <v>0</v>
      </c>
      <c r="AU146" s="417">
        <v>0</v>
      </c>
      <c r="AV146" s="417">
        <v>0</v>
      </c>
      <c r="AW146" s="417">
        <v>0</v>
      </c>
      <c r="AX146" s="417">
        <f t="shared" si="245"/>
        <v>0</v>
      </c>
      <c r="AY146" s="417">
        <f t="shared" si="246"/>
        <v>0</v>
      </c>
      <c r="AZ146" s="418">
        <v>0</v>
      </c>
      <c r="BA146" s="418">
        <v>0</v>
      </c>
      <c r="BB146" s="418">
        <v>0</v>
      </c>
      <c r="BC146" s="418">
        <v>0</v>
      </c>
      <c r="BD146" s="418">
        <v>0</v>
      </c>
      <c r="BE146" s="418">
        <v>0</v>
      </c>
      <c r="BF146" s="418">
        <v>0</v>
      </c>
      <c r="BG146" s="418">
        <v>0</v>
      </c>
      <c r="BH146" s="418">
        <v>0</v>
      </c>
      <c r="BI146" s="418">
        <f t="shared" si="247"/>
        <v>0</v>
      </c>
      <c r="BJ146" s="418">
        <f t="shared" si="248"/>
        <v>0</v>
      </c>
      <c r="BK146" s="420">
        <f t="shared" si="249"/>
        <v>0</v>
      </c>
      <c r="BL146" s="772">
        <f>I146+AY146</f>
        <v>153680</v>
      </c>
      <c r="BM146" s="417">
        <f>J146+AG146</f>
        <v>110000</v>
      </c>
      <c r="BN146" s="417">
        <f t="shared" si="250"/>
        <v>0</v>
      </c>
      <c r="BO146" s="417">
        <f t="shared" si="250"/>
        <v>110000</v>
      </c>
      <c r="BP146" s="417">
        <f>M146+AO146</f>
        <v>0</v>
      </c>
      <c r="BQ146" s="417">
        <f t="shared" si="251"/>
        <v>0</v>
      </c>
      <c r="BR146" s="417">
        <f t="shared" si="251"/>
        <v>0</v>
      </c>
      <c r="BS146" s="417">
        <f t="shared" si="252"/>
        <v>37180</v>
      </c>
      <c r="BT146" s="417">
        <f t="shared" si="252"/>
        <v>1100</v>
      </c>
      <c r="BU146" s="417">
        <f>R146+AX146</f>
        <v>5400</v>
      </c>
      <c r="BV146" s="418">
        <f>S146+BK146</f>
        <v>0.4178</v>
      </c>
      <c r="BW146" s="418">
        <f t="shared" si="253"/>
        <v>0</v>
      </c>
      <c r="BX146" s="420">
        <f t="shared" si="253"/>
        <v>0.4178</v>
      </c>
      <c r="BY146" s="419"/>
      <c r="BZ146" s="414"/>
      <c r="CA146" s="414"/>
      <c r="CB146" s="414"/>
      <c r="CC146" s="414"/>
      <c r="CD146" s="422"/>
      <c r="CE146" s="419">
        <f t="shared" si="254"/>
        <v>0</v>
      </c>
      <c r="CF146" s="414">
        <v>0</v>
      </c>
      <c r="CG146" s="414">
        <v>0</v>
      </c>
      <c r="CH146" s="414">
        <v>0</v>
      </c>
      <c r="CI146" s="414">
        <v>0</v>
      </c>
      <c r="CJ146" s="509">
        <v>0</v>
      </c>
    </row>
    <row r="147" spans="1:88" ht="14.1" customHeight="1">
      <c r="A147" s="72">
        <v>33</v>
      </c>
      <c r="B147" s="69">
        <v>2479</v>
      </c>
      <c r="C147" s="70">
        <v>600080340</v>
      </c>
      <c r="D147" s="69">
        <v>65100280</v>
      </c>
      <c r="E147" s="71" t="s">
        <v>601</v>
      </c>
      <c r="F147" s="72"/>
      <c r="G147" s="71"/>
      <c r="H147" s="73"/>
      <c r="I147" s="516">
        <v>54892712</v>
      </c>
      <c r="J147" s="74">
        <v>40080178</v>
      </c>
      <c r="K147" s="74">
        <v>34564659</v>
      </c>
      <c r="L147" s="74">
        <v>5515519</v>
      </c>
      <c r="M147" s="74">
        <v>53500</v>
      </c>
      <c r="N147" s="74">
        <v>53500</v>
      </c>
      <c r="O147" s="74">
        <v>0</v>
      </c>
      <c r="P147" s="74">
        <v>13565183</v>
      </c>
      <c r="Q147" s="74">
        <v>400802</v>
      </c>
      <c r="R147" s="74">
        <v>793049</v>
      </c>
      <c r="S147" s="75">
        <v>73.254999999999995</v>
      </c>
      <c r="T147" s="75">
        <v>56.584000000000003</v>
      </c>
      <c r="U147" s="653">
        <v>16.670999999999999</v>
      </c>
      <c r="V147" s="516">
        <f t="shared" ref="V147:BX147" si="255">SUM(V142:V146)</f>
        <v>-20000</v>
      </c>
      <c r="W147" s="74">
        <f t="shared" si="255"/>
        <v>0</v>
      </c>
      <c r="X147" s="74">
        <f t="shared" si="255"/>
        <v>-286445</v>
      </c>
      <c r="Y147" s="74">
        <f t="shared" si="255"/>
        <v>0</v>
      </c>
      <c r="Z147" s="74">
        <f t="shared" si="255"/>
        <v>86858</v>
      </c>
      <c r="AA147" s="74">
        <f t="shared" si="255"/>
        <v>-39270</v>
      </c>
      <c r="AB147" s="74">
        <f t="shared" si="255"/>
        <v>0</v>
      </c>
      <c r="AC147" s="74">
        <f t="shared" si="255"/>
        <v>0</v>
      </c>
      <c r="AD147" s="74">
        <f t="shared" si="255"/>
        <v>0</v>
      </c>
      <c r="AE147" s="74">
        <f t="shared" si="255"/>
        <v>-219587</v>
      </c>
      <c r="AF147" s="74">
        <f t="shared" si="255"/>
        <v>-39270</v>
      </c>
      <c r="AG147" s="74">
        <f t="shared" si="255"/>
        <v>-258857</v>
      </c>
      <c r="AH147" s="74">
        <f t="shared" si="255"/>
        <v>20000</v>
      </c>
      <c r="AI147" s="74">
        <f t="shared" si="255"/>
        <v>0</v>
      </c>
      <c r="AJ147" s="74">
        <f t="shared" si="255"/>
        <v>0</v>
      </c>
      <c r="AK147" s="74">
        <f t="shared" si="255"/>
        <v>0</v>
      </c>
      <c r="AL147" s="74">
        <f t="shared" si="255"/>
        <v>0</v>
      </c>
      <c r="AM147" s="74">
        <f t="shared" si="255"/>
        <v>20000</v>
      </c>
      <c r="AN147" s="74">
        <f t="shared" si="255"/>
        <v>0</v>
      </c>
      <c r="AO147" s="74">
        <f t="shared" si="255"/>
        <v>20000</v>
      </c>
      <c r="AP147" s="74">
        <f t="shared" si="255"/>
        <v>-199587</v>
      </c>
      <c r="AQ147" s="74">
        <f t="shared" si="255"/>
        <v>-39270</v>
      </c>
      <c r="AR147" s="74">
        <f t="shared" si="255"/>
        <v>-238857</v>
      </c>
      <c r="AS147" s="74">
        <f t="shared" si="255"/>
        <v>-80733</v>
      </c>
      <c r="AT147" s="74">
        <f t="shared" si="255"/>
        <v>-2588</v>
      </c>
      <c r="AU147" s="74">
        <f t="shared" si="255"/>
        <v>1750</v>
      </c>
      <c r="AV147" s="74">
        <f t="shared" si="255"/>
        <v>0</v>
      </c>
      <c r="AW147" s="74">
        <f t="shared" si="255"/>
        <v>0</v>
      </c>
      <c r="AX147" s="74">
        <f t="shared" si="255"/>
        <v>1750</v>
      </c>
      <c r="AY147" s="74">
        <f t="shared" si="255"/>
        <v>-320428</v>
      </c>
      <c r="AZ147" s="75">
        <f t="shared" si="255"/>
        <v>-0.01</v>
      </c>
      <c r="BA147" s="75">
        <f t="shared" si="255"/>
        <v>0</v>
      </c>
      <c r="BB147" s="75">
        <f t="shared" si="255"/>
        <v>-0.72</v>
      </c>
      <c r="BC147" s="75">
        <f t="shared" si="255"/>
        <v>0.21</v>
      </c>
      <c r="BD147" s="75">
        <f t="shared" si="255"/>
        <v>-0.12</v>
      </c>
      <c r="BE147" s="75">
        <f t="shared" si="255"/>
        <v>0</v>
      </c>
      <c r="BF147" s="75">
        <f t="shared" si="255"/>
        <v>0</v>
      </c>
      <c r="BG147" s="75">
        <f t="shared" si="255"/>
        <v>0</v>
      </c>
      <c r="BH147" s="75">
        <f t="shared" si="255"/>
        <v>0</v>
      </c>
      <c r="BI147" s="75">
        <f t="shared" si="255"/>
        <v>-0.52</v>
      </c>
      <c r="BJ147" s="75">
        <f t="shared" si="255"/>
        <v>-0.12</v>
      </c>
      <c r="BK147" s="76">
        <f t="shared" si="255"/>
        <v>-0.6399999999999999</v>
      </c>
      <c r="BL147" s="781">
        <f t="shared" si="255"/>
        <v>54572284</v>
      </c>
      <c r="BM147" s="74">
        <f t="shared" si="255"/>
        <v>39821321</v>
      </c>
      <c r="BN147" s="74">
        <f t="shared" si="255"/>
        <v>34345072</v>
      </c>
      <c r="BO147" s="74">
        <f t="shared" si="255"/>
        <v>5476249</v>
      </c>
      <c r="BP147" s="74">
        <f t="shared" si="255"/>
        <v>73500</v>
      </c>
      <c r="BQ147" s="74">
        <f t="shared" si="255"/>
        <v>73500</v>
      </c>
      <c r="BR147" s="74">
        <f t="shared" si="255"/>
        <v>0</v>
      </c>
      <c r="BS147" s="74">
        <f t="shared" si="255"/>
        <v>13484450</v>
      </c>
      <c r="BT147" s="74">
        <f t="shared" si="255"/>
        <v>398214</v>
      </c>
      <c r="BU147" s="74">
        <f t="shared" si="255"/>
        <v>794799</v>
      </c>
      <c r="BV147" s="75">
        <f t="shared" si="255"/>
        <v>72.614999999999995</v>
      </c>
      <c r="BW147" s="75">
        <f t="shared" si="255"/>
        <v>56.064</v>
      </c>
      <c r="BX147" s="76">
        <f t="shared" si="255"/>
        <v>16.550999999999998</v>
      </c>
      <c r="BY147" s="791">
        <f t="shared" ref="BY147:CJ147" si="256">SUM(BY142:BY146)</f>
        <v>760272</v>
      </c>
      <c r="BZ147" s="679">
        <f t="shared" si="256"/>
        <v>564000</v>
      </c>
      <c r="CA147" s="679">
        <f t="shared" si="256"/>
        <v>0</v>
      </c>
      <c r="CB147" s="679">
        <f t="shared" si="256"/>
        <v>190632</v>
      </c>
      <c r="CC147" s="679">
        <f t="shared" si="256"/>
        <v>5640</v>
      </c>
      <c r="CD147" s="947">
        <f t="shared" si="256"/>
        <v>1</v>
      </c>
      <c r="CE147" s="956">
        <f t="shared" si="256"/>
        <v>1387983</v>
      </c>
      <c r="CF147" s="953">
        <f t="shared" si="256"/>
        <v>897305</v>
      </c>
      <c r="CG147" s="953">
        <f t="shared" si="256"/>
        <v>303289</v>
      </c>
      <c r="CH147" s="953">
        <f t="shared" si="256"/>
        <v>8973</v>
      </c>
      <c r="CI147" s="953">
        <f t="shared" si="256"/>
        <v>178416</v>
      </c>
      <c r="CJ147" s="877">
        <f t="shared" si="256"/>
        <v>2.7040999999999999</v>
      </c>
    </row>
    <row r="148" spans="1:88" ht="14.1" customHeight="1">
      <c r="A148" s="66">
        <v>34</v>
      </c>
      <c r="B148" s="63">
        <v>2475</v>
      </c>
      <c r="C148" s="64">
        <v>600080331</v>
      </c>
      <c r="D148" s="63">
        <v>65642368</v>
      </c>
      <c r="E148" s="65" t="s">
        <v>602</v>
      </c>
      <c r="F148" s="66">
        <v>3113</v>
      </c>
      <c r="G148" s="65" t="s">
        <v>293</v>
      </c>
      <c r="H148" s="67" t="s">
        <v>271</v>
      </c>
      <c r="I148" s="419">
        <v>45684404</v>
      </c>
      <c r="J148" s="414">
        <v>33139284</v>
      </c>
      <c r="K148" s="414">
        <v>30239324</v>
      </c>
      <c r="L148" s="414">
        <v>2899960</v>
      </c>
      <c r="M148" s="414">
        <v>160000</v>
      </c>
      <c r="N148" s="414">
        <v>150000</v>
      </c>
      <c r="O148" s="414">
        <v>10000</v>
      </c>
      <c r="P148" s="595">
        <v>11255158</v>
      </c>
      <c r="Q148" s="595">
        <v>331392</v>
      </c>
      <c r="R148" s="414">
        <v>798570</v>
      </c>
      <c r="S148" s="415">
        <v>51.265500000000003</v>
      </c>
      <c r="T148" s="415">
        <v>42.331000000000003</v>
      </c>
      <c r="U148" s="422">
        <v>8.9344999999999999</v>
      </c>
      <c r="V148" s="423">
        <f t="shared" si="232"/>
        <v>-20000</v>
      </c>
      <c r="W148" s="417">
        <f t="shared" si="233"/>
        <v>-80000</v>
      </c>
      <c r="X148" s="417">
        <v>0</v>
      </c>
      <c r="Y148" s="417">
        <v>19198</v>
      </c>
      <c r="Z148" s="417">
        <v>-88715</v>
      </c>
      <c r="AA148" s="417">
        <v>0</v>
      </c>
      <c r="AB148" s="417">
        <v>0</v>
      </c>
      <c r="AC148" s="417">
        <v>0</v>
      </c>
      <c r="AD148" s="417">
        <v>0</v>
      </c>
      <c r="AE148" s="417">
        <f t="shared" si="234"/>
        <v>-89517</v>
      </c>
      <c r="AF148" s="417">
        <f t="shared" si="235"/>
        <v>-80000</v>
      </c>
      <c r="AG148" s="417">
        <f t="shared" si="236"/>
        <v>-169517</v>
      </c>
      <c r="AH148" s="417">
        <v>20000</v>
      </c>
      <c r="AI148" s="417">
        <v>80000</v>
      </c>
      <c r="AJ148" s="417">
        <v>0</v>
      </c>
      <c r="AK148" s="417">
        <v>0</v>
      </c>
      <c r="AL148" s="417">
        <v>0</v>
      </c>
      <c r="AM148" s="417">
        <f t="shared" si="237"/>
        <v>20000</v>
      </c>
      <c r="AN148" s="417">
        <f t="shared" si="238"/>
        <v>80000</v>
      </c>
      <c r="AO148" s="417">
        <f t="shared" si="239"/>
        <v>100000</v>
      </c>
      <c r="AP148" s="417">
        <f t="shared" si="240"/>
        <v>-69517</v>
      </c>
      <c r="AQ148" s="417">
        <f t="shared" si="241"/>
        <v>0</v>
      </c>
      <c r="AR148" s="417">
        <f t="shared" si="242"/>
        <v>-69517</v>
      </c>
      <c r="AS148" s="68">
        <f t="shared" si="243"/>
        <v>-23497</v>
      </c>
      <c r="AT148" s="68">
        <f t="shared" si="244"/>
        <v>-1695</v>
      </c>
      <c r="AU148" s="417">
        <v>0</v>
      </c>
      <c r="AV148" s="417">
        <v>0</v>
      </c>
      <c r="AW148" s="417">
        <v>0</v>
      </c>
      <c r="AX148" s="417">
        <f t="shared" si="245"/>
        <v>0</v>
      </c>
      <c r="AY148" s="417">
        <f t="shared" si="246"/>
        <v>-94709</v>
      </c>
      <c r="AZ148" s="418">
        <v>-0.03</v>
      </c>
      <c r="BA148" s="418">
        <v>-0.24</v>
      </c>
      <c r="BB148" s="418">
        <v>0</v>
      </c>
      <c r="BC148" s="418">
        <v>-0.18</v>
      </c>
      <c r="BD148" s="418">
        <v>0</v>
      </c>
      <c r="BE148" s="418">
        <v>0.03</v>
      </c>
      <c r="BF148" s="418">
        <v>0</v>
      </c>
      <c r="BG148" s="418">
        <v>0</v>
      </c>
      <c r="BH148" s="418">
        <v>0</v>
      </c>
      <c r="BI148" s="418">
        <f t="shared" si="247"/>
        <v>-0.18</v>
      </c>
      <c r="BJ148" s="418">
        <f t="shared" si="248"/>
        <v>-0.24</v>
      </c>
      <c r="BK148" s="420">
        <f t="shared" si="249"/>
        <v>-0.42</v>
      </c>
      <c r="BL148" s="772">
        <f>I148+AY148</f>
        <v>45589695</v>
      </c>
      <c r="BM148" s="417">
        <f>J148+AG148</f>
        <v>32969767</v>
      </c>
      <c r="BN148" s="417">
        <f t="shared" ref="BN148:BO152" si="257">K148+AE148</f>
        <v>30149807</v>
      </c>
      <c r="BO148" s="417">
        <f t="shared" si="257"/>
        <v>2819960</v>
      </c>
      <c r="BP148" s="417">
        <f>M148+AO148</f>
        <v>260000</v>
      </c>
      <c r="BQ148" s="417">
        <f t="shared" ref="BQ148:BR152" si="258">N148+AM148</f>
        <v>170000</v>
      </c>
      <c r="BR148" s="417">
        <f t="shared" si="258"/>
        <v>90000</v>
      </c>
      <c r="BS148" s="417">
        <f t="shared" ref="BS148:BT152" si="259">P148+AS148</f>
        <v>11231661</v>
      </c>
      <c r="BT148" s="417">
        <f t="shared" si="259"/>
        <v>329697</v>
      </c>
      <c r="BU148" s="417">
        <f>R148+AX148</f>
        <v>798570</v>
      </c>
      <c r="BV148" s="418">
        <f>S148+BK148</f>
        <v>50.845500000000001</v>
      </c>
      <c r="BW148" s="418">
        <f t="shared" ref="BW148:BX152" si="260">T148+BI148</f>
        <v>42.151000000000003</v>
      </c>
      <c r="BX148" s="420">
        <f t="shared" si="260"/>
        <v>8.6944999999999997</v>
      </c>
      <c r="BY148" s="419">
        <v>836299</v>
      </c>
      <c r="BZ148" s="414">
        <v>620400</v>
      </c>
      <c r="CA148" s="414">
        <v>0</v>
      </c>
      <c r="CB148" s="414">
        <v>209695</v>
      </c>
      <c r="CC148" s="414">
        <v>6204</v>
      </c>
      <c r="CD148" s="422">
        <v>1.1000000000000001</v>
      </c>
      <c r="CE148" s="419">
        <f t="shared" si="254"/>
        <v>1443757</v>
      </c>
      <c r="CF148" s="414">
        <v>933996</v>
      </c>
      <c r="CG148" s="414">
        <v>315691</v>
      </c>
      <c r="CH148" s="414">
        <v>9340</v>
      </c>
      <c r="CI148" s="414">
        <v>184730</v>
      </c>
      <c r="CJ148" s="509">
        <v>2.8677999999999999</v>
      </c>
    </row>
    <row r="149" spans="1:88" ht="14.1" customHeight="1">
      <c r="A149" s="66">
        <v>34</v>
      </c>
      <c r="B149" s="63">
        <v>2475</v>
      </c>
      <c r="C149" s="64">
        <v>600080331</v>
      </c>
      <c r="D149" s="63">
        <v>65642368</v>
      </c>
      <c r="E149" s="65" t="s">
        <v>602</v>
      </c>
      <c r="F149" s="66">
        <v>3113</v>
      </c>
      <c r="G149" s="77" t="s">
        <v>291</v>
      </c>
      <c r="H149" s="67" t="s">
        <v>272</v>
      </c>
      <c r="I149" s="419">
        <v>4933051</v>
      </c>
      <c r="J149" s="414">
        <v>3658050</v>
      </c>
      <c r="K149" s="414">
        <v>3658050</v>
      </c>
      <c r="L149" s="414">
        <v>0</v>
      </c>
      <c r="M149" s="414">
        <v>0</v>
      </c>
      <c r="N149" s="414">
        <v>0</v>
      </c>
      <c r="O149" s="414">
        <v>0</v>
      </c>
      <c r="P149" s="595">
        <v>1236420</v>
      </c>
      <c r="Q149" s="595">
        <v>36581</v>
      </c>
      <c r="R149" s="414">
        <v>2000</v>
      </c>
      <c r="S149" s="415">
        <v>9.84</v>
      </c>
      <c r="T149" s="416">
        <v>9.84</v>
      </c>
      <c r="U149" s="422">
        <v>0</v>
      </c>
      <c r="V149" s="423">
        <f t="shared" si="232"/>
        <v>0</v>
      </c>
      <c r="W149" s="417">
        <f t="shared" si="233"/>
        <v>0</v>
      </c>
      <c r="X149" s="417">
        <v>123782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234"/>
        <v>123782</v>
      </c>
      <c r="AF149" s="417">
        <f t="shared" si="235"/>
        <v>0</v>
      </c>
      <c r="AG149" s="417">
        <f t="shared" si="236"/>
        <v>123782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237"/>
        <v>0</v>
      </c>
      <c r="AN149" s="417">
        <f t="shared" si="238"/>
        <v>0</v>
      </c>
      <c r="AO149" s="417">
        <f t="shared" si="239"/>
        <v>0</v>
      </c>
      <c r="AP149" s="417">
        <f t="shared" si="240"/>
        <v>123782</v>
      </c>
      <c r="AQ149" s="417">
        <f t="shared" si="241"/>
        <v>0</v>
      </c>
      <c r="AR149" s="417">
        <f t="shared" si="242"/>
        <v>123782</v>
      </c>
      <c r="AS149" s="68">
        <f t="shared" si="243"/>
        <v>41838</v>
      </c>
      <c r="AT149" s="68">
        <f t="shared" si="244"/>
        <v>1238</v>
      </c>
      <c r="AU149" s="417">
        <v>8500</v>
      </c>
      <c r="AV149" s="417">
        <v>0</v>
      </c>
      <c r="AW149" s="417">
        <v>0</v>
      </c>
      <c r="AX149" s="417">
        <f t="shared" si="245"/>
        <v>8500</v>
      </c>
      <c r="AY149" s="417">
        <f t="shared" si="246"/>
        <v>175358</v>
      </c>
      <c r="AZ149" s="418">
        <v>0</v>
      </c>
      <c r="BA149" s="418">
        <v>0</v>
      </c>
      <c r="BB149" s="418">
        <v>0.25</v>
      </c>
      <c r="BC149" s="418">
        <v>0</v>
      </c>
      <c r="BD149" s="418">
        <v>0</v>
      </c>
      <c r="BE149" s="418">
        <v>0</v>
      </c>
      <c r="BF149" s="418">
        <v>0</v>
      </c>
      <c r="BG149" s="418">
        <v>0</v>
      </c>
      <c r="BH149" s="418">
        <v>0</v>
      </c>
      <c r="BI149" s="418">
        <f t="shared" si="247"/>
        <v>0.25</v>
      </c>
      <c r="BJ149" s="418">
        <f t="shared" si="248"/>
        <v>0</v>
      </c>
      <c r="BK149" s="420">
        <f t="shared" si="249"/>
        <v>0.25</v>
      </c>
      <c r="BL149" s="772">
        <f>I149+AY149</f>
        <v>5108409</v>
      </c>
      <c r="BM149" s="417">
        <f>J149+AG149</f>
        <v>3781832</v>
      </c>
      <c r="BN149" s="417">
        <f t="shared" si="257"/>
        <v>3781832</v>
      </c>
      <c r="BO149" s="417">
        <f t="shared" si="257"/>
        <v>0</v>
      </c>
      <c r="BP149" s="417">
        <f>M149+AO149</f>
        <v>0</v>
      </c>
      <c r="BQ149" s="417">
        <f t="shared" si="258"/>
        <v>0</v>
      </c>
      <c r="BR149" s="417">
        <f t="shared" si="258"/>
        <v>0</v>
      </c>
      <c r="BS149" s="417">
        <f t="shared" si="259"/>
        <v>1278258</v>
      </c>
      <c r="BT149" s="417">
        <f t="shared" si="259"/>
        <v>37819</v>
      </c>
      <c r="BU149" s="417">
        <f>R149+AX149</f>
        <v>10500</v>
      </c>
      <c r="BV149" s="418">
        <f>S149+BK149</f>
        <v>10.09</v>
      </c>
      <c r="BW149" s="418">
        <f t="shared" si="260"/>
        <v>10.09</v>
      </c>
      <c r="BX149" s="420">
        <f t="shared" si="260"/>
        <v>0</v>
      </c>
      <c r="BY149" s="419"/>
      <c r="BZ149" s="414"/>
      <c r="CA149" s="414"/>
      <c r="CB149" s="414"/>
      <c r="CC149" s="414"/>
      <c r="CD149" s="422"/>
      <c r="CE149" s="419">
        <f t="shared" si="254"/>
        <v>0</v>
      </c>
      <c r="CF149" s="414">
        <v>0</v>
      </c>
      <c r="CG149" s="414">
        <v>0</v>
      </c>
      <c r="CH149" s="414">
        <v>0</v>
      </c>
      <c r="CI149" s="414">
        <v>0</v>
      </c>
      <c r="CJ149" s="509">
        <v>0</v>
      </c>
    </row>
    <row r="150" spans="1:88" ht="14.1" customHeight="1">
      <c r="A150" s="66">
        <v>34</v>
      </c>
      <c r="B150" s="63">
        <v>2475</v>
      </c>
      <c r="C150" s="64">
        <v>600080331</v>
      </c>
      <c r="D150" s="63">
        <v>65642368</v>
      </c>
      <c r="E150" s="65" t="s">
        <v>603</v>
      </c>
      <c r="F150" s="66">
        <v>3141</v>
      </c>
      <c r="G150" s="65" t="s">
        <v>294</v>
      </c>
      <c r="H150" s="67" t="s">
        <v>272</v>
      </c>
      <c r="I150" s="419">
        <v>1563773</v>
      </c>
      <c r="J150" s="414">
        <v>1138938</v>
      </c>
      <c r="K150" s="414">
        <v>0</v>
      </c>
      <c r="L150" s="744">
        <v>1138938</v>
      </c>
      <c r="M150" s="414">
        <v>5000</v>
      </c>
      <c r="N150" s="204">
        <v>0</v>
      </c>
      <c r="O150" s="204">
        <v>5000</v>
      </c>
      <c r="P150" s="595">
        <v>386651</v>
      </c>
      <c r="Q150" s="595">
        <v>11390</v>
      </c>
      <c r="R150" s="601">
        <v>21794</v>
      </c>
      <c r="S150" s="415">
        <v>3.4267000000000003</v>
      </c>
      <c r="T150" s="603">
        <v>0</v>
      </c>
      <c r="U150" s="731">
        <v>3.4267000000000003</v>
      </c>
      <c r="V150" s="423">
        <f t="shared" si="232"/>
        <v>0</v>
      </c>
      <c r="W150" s="417">
        <f t="shared" si="233"/>
        <v>0</v>
      </c>
      <c r="X150" s="417">
        <v>0</v>
      </c>
      <c r="Y150" s="417">
        <v>0</v>
      </c>
      <c r="Z150" s="417">
        <v>0</v>
      </c>
      <c r="AA150" s="417">
        <v>-2865</v>
      </c>
      <c r="AB150" s="417">
        <v>0</v>
      </c>
      <c r="AC150" s="417">
        <v>0</v>
      </c>
      <c r="AD150" s="417">
        <v>0</v>
      </c>
      <c r="AE150" s="417">
        <f t="shared" si="234"/>
        <v>0</v>
      </c>
      <c r="AF150" s="417">
        <f t="shared" si="235"/>
        <v>-2865</v>
      </c>
      <c r="AG150" s="417">
        <f t="shared" si="236"/>
        <v>-2865</v>
      </c>
      <c r="AH150" s="417">
        <v>0</v>
      </c>
      <c r="AI150" s="417">
        <v>0</v>
      </c>
      <c r="AJ150" s="417">
        <v>0</v>
      </c>
      <c r="AK150" s="417">
        <v>0</v>
      </c>
      <c r="AL150" s="417">
        <v>0</v>
      </c>
      <c r="AM150" s="417">
        <f t="shared" si="237"/>
        <v>0</v>
      </c>
      <c r="AN150" s="417">
        <f t="shared" si="238"/>
        <v>0</v>
      </c>
      <c r="AO150" s="417">
        <f t="shared" si="239"/>
        <v>0</v>
      </c>
      <c r="AP150" s="417">
        <f t="shared" si="240"/>
        <v>0</v>
      </c>
      <c r="AQ150" s="417">
        <f t="shared" si="241"/>
        <v>-2865</v>
      </c>
      <c r="AR150" s="417">
        <f t="shared" si="242"/>
        <v>-2865</v>
      </c>
      <c r="AS150" s="68">
        <f t="shared" si="243"/>
        <v>-968</v>
      </c>
      <c r="AT150" s="68">
        <f t="shared" si="244"/>
        <v>-29</v>
      </c>
      <c r="AU150" s="417">
        <v>0</v>
      </c>
      <c r="AV150" s="417">
        <v>0</v>
      </c>
      <c r="AW150" s="417">
        <v>0</v>
      </c>
      <c r="AX150" s="417">
        <f t="shared" si="245"/>
        <v>0</v>
      </c>
      <c r="AY150" s="417">
        <f t="shared" si="246"/>
        <v>-3862</v>
      </c>
      <c r="AZ150" s="418">
        <v>0</v>
      </c>
      <c r="BA150" s="418">
        <v>0</v>
      </c>
      <c r="BB150" s="418">
        <v>0</v>
      </c>
      <c r="BC150" s="418">
        <v>0</v>
      </c>
      <c r="BD150" s="418">
        <v>-0.01</v>
      </c>
      <c r="BE150" s="418">
        <v>0</v>
      </c>
      <c r="BF150" s="418">
        <v>0</v>
      </c>
      <c r="BG150" s="418">
        <v>0</v>
      </c>
      <c r="BH150" s="418">
        <v>0</v>
      </c>
      <c r="BI150" s="418">
        <f t="shared" si="247"/>
        <v>0</v>
      </c>
      <c r="BJ150" s="418">
        <f t="shared" si="248"/>
        <v>-0.01</v>
      </c>
      <c r="BK150" s="420">
        <f t="shared" si="249"/>
        <v>-0.01</v>
      </c>
      <c r="BL150" s="772">
        <f>I150+AY150</f>
        <v>1559911</v>
      </c>
      <c r="BM150" s="417">
        <f>J150+AG150</f>
        <v>1136073</v>
      </c>
      <c r="BN150" s="417">
        <f t="shared" si="257"/>
        <v>0</v>
      </c>
      <c r="BO150" s="417">
        <f t="shared" si="257"/>
        <v>1136073</v>
      </c>
      <c r="BP150" s="417">
        <f>M150+AO150</f>
        <v>5000</v>
      </c>
      <c r="BQ150" s="417">
        <f t="shared" si="258"/>
        <v>0</v>
      </c>
      <c r="BR150" s="417">
        <f t="shared" si="258"/>
        <v>5000</v>
      </c>
      <c r="BS150" s="417">
        <f t="shared" si="259"/>
        <v>385683</v>
      </c>
      <c r="BT150" s="417">
        <f t="shared" si="259"/>
        <v>11361</v>
      </c>
      <c r="BU150" s="417">
        <f>R150+AX150</f>
        <v>21794</v>
      </c>
      <c r="BV150" s="418">
        <f>S150+BK150</f>
        <v>3.4167000000000005</v>
      </c>
      <c r="BW150" s="418">
        <f t="shared" si="260"/>
        <v>0</v>
      </c>
      <c r="BX150" s="420">
        <f t="shared" si="260"/>
        <v>3.4167000000000005</v>
      </c>
      <c r="BY150" s="419"/>
      <c r="BZ150" s="414"/>
      <c r="CA150" s="414"/>
      <c r="CB150" s="414"/>
      <c r="CC150" s="414"/>
      <c r="CD150" s="422"/>
      <c r="CE150" s="419">
        <f t="shared" si="254"/>
        <v>0</v>
      </c>
      <c r="CF150" s="414">
        <v>0</v>
      </c>
      <c r="CG150" s="414">
        <v>0</v>
      </c>
      <c r="CH150" s="414">
        <v>0</v>
      </c>
      <c r="CI150" s="414">
        <v>0</v>
      </c>
      <c r="CJ150" s="509">
        <v>0</v>
      </c>
    </row>
    <row r="151" spans="1:88" ht="14.1" customHeight="1">
      <c r="A151" s="66">
        <v>34</v>
      </c>
      <c r="B151" s="63">
        <v>2475</v>
      </c>
      <c r="C151" s="64">
        <v>600080331</v>
      </c>
      <c r="D151" s="63">
        <v>65642368</v>
      </c>
      <c r="E151" s="65" t="s">
        <v>602</v>
      </c>
      <c r="F151" s="66">
        <v>3143</v>
      </c>
      <c r="G151" s="77" t="s">
        <v>595</v>
      </c>
      <c r="H151" s="67" t="s">
        <v>271</v>
      </c>
      <c r="I151" s="419">
        <v>4389047</v>
      </c>
      <c r="J151" s="414">
        <v>3255969</v>
      </c>
      <c r="K151" s="414">
        <v>3255969</v>
      </c>
      <c r="L151" s="414">
        <v>0</v>
      </c>
      <c r="M151" s="414">
        <v>0</v>
      </c>
      <c r="N151" s="414">
        <v>0</v>
      </c>
      <c r="O151" s="414">
        <v>0</v>
      </c>
      <c r="P151" s="595">
        <v>1100518</v>
      </c>
      <c r="Q151" s="595">
        <v>32560</v>
      </c>
      <c r="R151" s="414">
        <v>0</v>
      </c>
      <c r="S151" s="415">
        <v>6.25</v>
      </c>
      <c r="T151" s="415">
        <v>6.25</v>
      </c>
      <c r="U151" s="422">
        <v>0</v>
      </c>
      <c r="V151" s="423">
        <f t="shared" si="232"/>
        <v>0</v>
      </c>
      <c r="W151" s="417">
        <f t="shared" si="233"/>
        <v>0</v>
      </c>
      <c r="X151" s="417">
        <v>0</v>
      </c>
      <c r="Y151" s="417">
        <v>0</v>
      </c>
      <c r="Z151" s="417">
        <v>0</v>
      </c>
      <c r="AA151" s="417">
        <v>0</v>
      </c>
      <c r="AB151" s="417">
        <v>0</v>
      </c>
      <c r="AC151" s="417">
        <v>0</v>
      </c>
      <c r="AD151" s="417">
        <v>0</v>
      </c>
      <c r="AE151" s="417">
        <f t="shared" si="234"/>
        <v>0</v>
      </c>
      <c r="AF151" s="417">
        <f t="shared" si="235"/>
        <v>0</v>
      </c>
      <c r="AG151" s="417">
        <f t="shared" si="236"/>
        <v>0</v>
      </c>
      <c r="AH151" s="417">
        <v>0</v>
      </c>
      <c r="AI151" s="417">
        <v>0</v>
      </c>
      <c r="AJ151" s="417">
        <v>0</v>
      </c>
      <c r="AK151" s="417">
        <v>0</v>
      </c>
      <c r="AL151" s="417">
        <v>0</v>
      </c>
      <c r="AM151" s="417">
        <f t="shared" si="237"/>
        <v>0</v>
      </c>
      <c r="AN151" s="417">
        <f t="shared" si="238"/>
        <v>0</v>
      </c>
      <c r="AO151" s="417">
        <f t="shared" si="239"/>
        <v>0</v>
      </c>
      <c r="AP151" s="417">
        <f t="shared" si="240"/>
        <v>0</v>
      </c>
      <c r="AQ151" s="417">
        <f t="shared" si="241"/>
        <v>0</v>
      </c>
      <c r="AR151" s="417">
        <f t="shared" si="242"/>
        <v>0</v>
      </c>
      <c r="AS151" s="68">
        <f t="shared" si="243"/>
        <v>0</v>
      </c>
      <c r="AT151" s="68">
        <f t="shared" si="244"/>
        <v>0</v>
      </c>
      <c r="AU151" s="417">
        <v>0</v>
      </c>
      <c r="AV151" s="417">
        <v>0</v>
      </c>
      <c r="AW151" s="417">
        <v>0</v>
      </c>
      <c r="AX151" s="417">
        <f t="shared" si="245"/>
        <v>0</v>
      </c>
      <c r="AY151" s="417">
        <f t="shared" si="246"/>
        <v>0</v>
      </c>
      <c r="AZ151" s="418">
        <v>0</v>
      </c>
      <c r="BA151" s="418">
        <v>0</v>
      </c>
      <c r="BB151" s="418">
        <v>0</v>
      </c>
      <c r="BC151" s="418">
        <v>0</v>
      </c>
      <c r="BD151" s="418">
        <v>0</v>
      </c>
      <c r="BE151" s="418">
        <v>0</v>
      </c>
      <c r="BF151" s="418">
        <v>0</v>
      </c>
      <c r="BG151" s="418">
        <v>0</v>
      </c>
      <c r="BH151" s="418">
        <v>0</v>
      </c>
      <c r="BI151" s="418">
        <f t="shared" si="247"/>
        <v>0</v>
      </c>
      <c r="BJ151" s="418">
        <f t="shared" si="248"/>
        <v>0</v>
      </c>
      <c r="BK151" s="420">
        <f t="shared" si="249"/>
        <v>0</v>
      </c>
      <c r="BL151" s="772">
        <f>I151+AY151</f>
        <v>4389047</v>
      </c>
      <c r="BM151" s="417">
        <f>J151+AG151</f>
        <v>3255969</v>
      </c>
      <c r="BN151" s="417">
        <f t="shared" si="257"/>
        <v>3255969</v>
      </c>
      <c r="BO151" s="417">
        <f t="shared" si="257"/>
        <v>0</v>
      </c>
      <c r="BP151" s="417">
        <f>M151+AO151</f>
        <v>0</v>
      </c>
      <c r="BQ151" s="417">
        <f t="shared" si="258"/>
        <v>0</v>
      </c>
      <c r="BR151" s="417">
        <f t="shared" si="258"/>
        <v>0</v>
      </c>
      <c r="BS151" s="417">
        <f t="shared" si="259"/>
        <v>1100518</v>
      </c>
      <c r="BT151" s="417">
        <f t="shared" si="259"/>
        <v>32560</v>
      </c>
      <c r="BU151" s="417">
        <f>R151+AX151</f>
        <v>0</v>
      </c>
      <c r="BV151" s="418">
        <f>S151+BK151</f>
        <v>6.25</v>
      </c>
      <c r="BW151" s="418">
        <f t="shared" si="260"/>
        <v>6.25</v>
      </c>
      <c r="BX151" s="420">
        <f t="shared" si="260"/>
        <v>0</v>
      </c>
      <c r="BY151" s="419"/>
      <c r="BZ151" s="414"/>
      <c r="CA151" s="414"/>
      <c r="CB151" s="414"/>
      <c r="CC151" s="414"/>
      <c r="CD151" s="422"/>
      <c r="CE151" s="419">
        <f t="shared" si="254"/>
        <v>0</v>
      </c>
      <c r="CF151" s="414">
        <v>0</v>
      </c>
      <c r="CG151" s="414">
        <v>0</v>
      </c>
      <c r="CH151" s="414">
        <v>0</v>
      </c>
      <c r="CI151" s="414">
        <v>0</v>
      </c>
      <c r="CJ151" s="509">
        <v>0</v>
      </c>
    </row>
    <row r="152" spans="1:88" ht="14.1" customHeight="1">
      <c r="A152" s="66">
        <v>34</v>
      </c>
      <c r="B152" s="63">
        <v>2475</v>
      </c>
      <c r="C152" s="64">
        <v>600080331</v>
      </c>
      <c r="D152" s="63">
        <v>65642368</v>
      </c>
      <c r="E152" s="65" t="s">
        <v>602</v>
      </c>
      <c r="F152" s="66">
        <v>3143</v>
      </c>
      <c r="G152" s="77" t="s">
        <v>596</v>
      </c>
      <c r="H152" s="67" t="s">
        <v>272</v>
      </c>
      <c r="I152" s="419">
        <v>149069</v>
      </c>
      <c r="J152" s="414">
        <v>106700</v>
      </c>
      <c r="K152" s="414">
        <v>0</v>
      </c>
      <c r="L152" s="601">
        <v>106700</v>
      </c>
      <c r="M152" s="414">
        <v>0</v>
      </c>
      <c r="N152" s="414">
        <v>0</v>
      </c>
      <c r="O152" s="414">
        <v>0</v>
      </c>
      <c r="P152" s="595">
        <v>36064</v>
      </c>
      <c r="Q152" s="595">
        <v>1067</v>
      </c>
      <c r="R152" s="602">
        <v>5238</v>
      </c>
      <c r="S152" s="415">
        <v>0.39939999999999998</v>
      </c>
      <c r="T152" s="605">
        <v>0</v>
      </c>
      <c r="U152" s="731">
        <v>0.39939999999999998</v>
      </c>
      <c r="V152" s="423">
        <f t="shared" si="232"/>
        <v>0</v>
      </c>
      <c r="W152" s="417">
        <f t="shared" si="233"/>
        <v>0</v>
      </c>
      <c r="X152" s="417">
        <v>0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 t="shared" si="234"/>
        <v>0</v>
      </c>
      <c r="AF152" s="417">
        <f t="shared" si="235"/>
        <v>0</v>
      </c>
      <c r="AG152" s="417">
        <f t="shared" si="236"/>
        <v>0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237"/>
        <v>0</v>
      </c>
      <c r="AN152" s="417">
        <f t="shared" si="238"/>
        <v>0</v>
      </c>
      <c r="AO152" s="417">
        <f t="shared" si="239"/>
        <v>0</v>
      </c>
      <c r="AP152" s="417">
        <f t="shared" si="240"/>
        <v>0</v>
      </c>
      <c r="AQ152" s="417">
        <f t="shared" si="241"/>
        <v>0</v>
      </c>
      <c r="AR152" s="417">
        <f t="shared" si="242"/>
        <v>0</v>
      </c>
      <c r="AS152" s="68">
        <f t="shared" si="243"/>
        <v>0</v>
      </c>
      <c r="AT152" s="68">
        <f t="shared" si="244"/>
        <v>0</v>
      </c>
      <c r="AU152" s="417">
        <v>0</v>
      </c>
      <c r="AV152" s="417">
        <v>0</v>
      </c>
      <c r="AW152" s="417">
        <v>0</v>
      </c>
      <c r="AX152" s="417">
        <f t="shared" si="245"/>
        <v>0</v>
      </c>
      <c r="AY152" s="417">
        <f t="shared" si="246"/>
        <v>0</v>
      </c>
      <c r="AZ152" s="418">
        <v>0</v>
      </c>
      <c r="BA152" s="418">
        <v>0</v>
      </c>
      <c r="BB152" s="418">
        <v>0</v>
      </c>
      <c r="BC152" s="418">
        <v>0</v>
      </c>
      <c r="BD152" s="418">
        <v>0</v>
      </c>
      <c r="BE152" s="418">
        <v>0</v>
      </c>
      <c r="BF152" s="418">
        <v>0</v>
      </c>
      <c r="BG152" s="418">
        <v>0</v>
      </c>
      <c r="BH152" s="418">
        <v>0</v>
      </c>
      <c r="BI152" s="418">
        <f t="shared" si="247"/>
        <v>0</v>
      </c>
      <c r="BJ152" s="418">
        <f t="shared" si="248"/>
        <v>0</v>
      </c>
      <c r="BK152" s="420">
        <f t="shared" si="249"/>
        <v>0</v>
      </c>
      <c r="BL152" s="772">
        <f>I152+AY152</f>
        <v>149069</v>
      </c>
      <c r="BM152" s="417">
        <f>J152+AG152</f>
        <v>106700</v>
      </c>
      <c r="BN152" s="417">
        <f t="shared" si="257"/>
        <v>0</v>
      </c>
      <c r="BO152" s="417">
        <f t="shared" si="257"/>
        <v>106700</v>
      </c>
      <c r="BP152" s="417">
        <f>M152+AO152</f>
        <v>0</v>
      </c>
      <c r="BQ152" s="417">
        <f t="shared" si="258"/>
        <v>0</v>
      </c>
      <c r="BR152" s="417">
        <f t="shared" si="258"/>
        <v>0</v>
      </c>
      <c r="BS152" s="417">
        <f t="shared" si="259"/>
        <v>36064</v>
      </c>
      <c r="BT152" s="417">
        <f t="shared" si="259"/>
        <v>1067</v>
      </c>
      <c r="BU152" s="417">
        <f>R152+AX152</f>
        <v>5238</v>
      </c>
      <c r="BV152" s="418">
        <f>S152+BK152</f>
        <v>0.39939999999999998</v>
      </c>
      <c r="BW152" s="418">
        <f t="shared" si="260"/>
        <v>0</v>
      </c>
      <c r="BX152" s="420">
        <f t="shared" si="260"/>
        <v>0.39939999999999998</v>
      </c>
      <c r="BY152" s="419"/>
      <c r="BZ152" s="414"/>
      <c r="CA152" s="414"/>
      <c r="CB152" s="414"/>
      <c r="CC152" s="414"/>
      <c r="CD152" s="422"/>
      <c r="CE152" s="419">
        <f t="shared" si="254"/>
        <v>0</v>
      </c>
      <c r="CF152" s="414">
        <v>0</v>
      </c>
      <c r="CG152" s="414">
        <v>0</v>
      </c>
      <c r="CH152" s="414">
        <v>0</v>
      </c>
      <c r="CI152" s="414">
        <v>0</v>
      </c>
      <c r="CJ152" s="509">
        <v>0</v>
      </c>
    </row>
    <row r="153" spans="1:88" ht="14.1" customHeight="1">
      <c r="A153" s="72">
        <v>34</v>
      </c>
      <c r="B153" s="69">
        <v>2475</v>
      </c>
      <c r="C153" s="70">
        <v>600080331</v>
      </c>
      <c r="D153" s="69">
        <v>65642368</v>
      </c>
      <c r="E153" s="71" t="s">
        <v>604</v>
      </c>
      <c r="F153" s="72"/>
      <c r="G153" s="71"/>
      <c r="H153" s="73"/>
      <c r="I153" s="516">
        <v>56719344</v>
      </c>
      <c r="J153" s="74">
        <v>41298941</v>
      </c>
      <c r="K153" s="74">
        <v>37153343</v>
      </c>
      <c r="L153" s="74">
        <v>4145598</v>
      </c>
      <c r="M153" s="74">
        <v>165000</v>
      </c>
      <c r="N153" s="74">
        <v>150000</v>
      </c>
      <c r="O153" s="74">
        <v>15000</v>
      </c>
      <c r="P153" s="74">
        <v>14014811</v>
      </c>
      <c r="Q153" s="74">
        <v>412990</v>
      </c>
      <c r="R153" s="74">
        <v>827602</v>
      </c>
      <c r="S153" s="75">
        <v>71.181600000000003</v>
      </c>
      <c r="T153" s="75">
        <v>58.421000000000006</v>
      </c>
      <c r="U153" s="653">
        <v>12.7606</v>
      </c>
      <c r="V153" s="516">
        <f t="shared" ref="V153:BX153" si="261">SUM(V148:V152)</f>
        <v>-20000</v>
      </c>
      <c r="W153" s="74">
        <f t="shared" si="261"/>
        <v>-80000</v>
      </c>
      <c r="X153" s="74">
        <f t="shared" si="261"/>
        <v>123782</v>
      </c>
      <c r="Y153" s="74">
        <f t="shared" si="261"/>
        <v>19198</v>
      </c>
      <c r="Z153" s="74">
        <f t="shared" si="261"/>
        <v>-88715</v>
      </c>
      <c r="AA153" s="74">
        <f t="shared" si="261"/>
        <v>-2865</v>
      </c>
      <c r="AB153" s="74">
        <f t="shared" si="261"/>
        <v>0</v>
      </c>
      <c r="AC153" s="74">
        <f t="shared" si="261"/>
        <v>0</v>
      </c>
      <c r="AD153" s="74">
        <f t="shared" si="261"/>
        <v>0</v>
      </c>
      <c r="AE153" s="74">
        <f t="shared" si="261"/>
        <v>34265</v>
      </c>
      <c r="AF153" s="74">
        <f t="shared" si="261"/>
        <v>-82865</v>
      </c>
      <c r="AG153" s="74">
        <f t="shared" si="261"/>
        <v>-48600</v>
      </c>
      <c r="AH153" s="74">
        <f t="shared" si="261"/>
        <v>20000</v>
      </c>
      <c r="AI153" s="74">
        <f t="shared" si="261"/>
        <v>80000</v>
      </c>
      <c r="AJ153" s="74">
        <f t="shared" si="261"/>
        <v>0</v>
      </c>
      <c r="AK153" s="74">
        <f t="shared" si="261"/>
        <v>0</v>
      </c>
      <c r="AL153" s="74">
        <f t="shared" si="261"/>
        <v>0</v>
      </c>
      <c r="AM153" s="74">
        <f t="shared" si="261"/>
        <v>20000</v>
      </c>
      <c r="AN153" s="74">
        <f t="shared" si="261"/>
        <v>80000</v>
      </c>
      <c r="AO153" s="74">
        <f t="shared" si="261"/>
        <v>100000</v>
      </c>
      <c r="AP153" s="74">
        <f t="shared" si="261"/>
        <v>54265</v>
      </c>
      <c r="AQ153" s="74">
        <f t="shared" si="261"/>
        <v>-2865</v>
      </c>
      <c r="AR153" s="74">
        <f t="shared" si="261"/>
        <v>51400</v>
      </c>
      <c r="AS153" s="74">
        <f t="shared" si="261"/>
        <v>17373</v>
      </c>
      <c r="AT153" s="74">
        <f t="shared" si="261"/>
        <v>-486</v>
      </c>
      <c r="AU153" s="74">
        <f t="shared" si="261"/>
        <v>8500</v>
      </c>
      <c r="AV153" s="74">
        <f t="shared" si="261"/>
        <v>0</v>
      </c>
      <c r="AW153" s="74">
        <f t="shared" si="261"/>
        <v>0</v>
      </c>
      <c r="AX153" s="74">
        <f t="shared" si="261"/>
        <v>8500</v>
      </c>
      <c r="AY153" s="74">
        <f t="shared" si="261"/>
        <v>76787</v>
      </c>
      <c r="AZ153" s="75">
        <f t="shared" si="261"/>
        <v>-0.03</v>
      </c>
      <c r="BA153" s="75">
        <f t="shared" si="261"/>
        <v>-0.24</v>
      </c>
      <c r="BB153" s="75">
        <f t="shared" si="261"/>
        <v>0.25</v>
      </c>
      <c r="BC153" s="75">
        <f t="shared" si="261"/>
        <v>-0.18</v>
      </c>
      <c r="BD153" s="75">
        <f t="shared" si="261"/>
        <v>-0.01</v>
      </c>
      <c r="BE153" s="75">
        <f t="shared" si="261"/>
        <v>0.03</v>
      </c>
      <c r="BF153" s="75">
        <f t="shared" si="261"/>
        <v>0</v>
      </c>
      <c r="BG153" s="75">
        <f t="shared" si="261"/>
        <v>0</v>
      </c>
      <c r="BH153" s="75">
        <f t="shared" si="261"/>
        <v>0</v>
      </c>
      <c r="BI153" s="75">
        <f t="shared" si="261"/>
        <v>7.0000000000000007E-2</v>
      </c>
      <c r="BJ153" s="75">
        <f t="shared" si="261"/>
        <v>-0.25</v>
      </c>
      <c r="BK153" s="76">
        <f t="shared" si="261"/>
        <v>-0.18</v>
      </c>
      <c r="BL153" s="781">
        <f t="shared" si="261"/>
        <v>56796131</v>
      </c>
      <c r="BM153" s="74">
        <f t="shared" si="261"/>
        <v>41250341</v>
      </c>
      <c r="BN153" s="74">
        <f t="shared" si="261"/>
        <v>37187608</v>
      </c>
      <c r="BO153" s="74">
        <f t="shared" si="261"/>
        <v>4062733</v>
      </c>
      <c r="BP153" s="74">
        <f t="shared" si="261"/>
        <v>265000</v>
      </c>
      <c r="BQ153" s="74">
        <f t="shared" si="261"/>
        <v>170000</v>
      </c>
      <c r="BR153" s="74">
        <f t="shared" si="261"/>
        <v>95000</v>
      </c>
      <c r="BS153" s="74">
        <f t="shared" si="261"/>
        <v>14032184</v>
      </c>
      <c r="BT153" s="74">
        <f t="shared" si="261"/>
        <v>412504</v>
      </c>
      <c r="BU153" s="74">
        <f t="shared" si="261"/>
        <v>836102</v>
      </c>
      <c r="BV153" s="75">
        <f t="shared" si="261"/>
        <v>71.00160000000001</v>
      </c>
      <c r="BW153" s="75">
        <f t="shared" si="261"/>
        <v>58.491</v>
      </c>
      <c r="BX153" s="76">
        <f t="shared" si="261"/>
        <v>12.5106</v>
      </c>
      <c r="BY153" s="791">
        <f t="shared" ref="BY153:CJ153" si="262">SUM(BY148:BY152)</f>
        <v>836299</v>
      </c>
      <c r="BZ153" s="679">
        <f t="shared" si="262"/>
        <v>620400</v>
      </c>
      <c r="CA153" s="679">
        <f t="shared" si="262"/>
        <v>0</v>
      </c>
      <c r="CB153" s="679">
        <f t="shared" si="262"/>
        <v>209695</v>
      </c>
      <c r="CC153" s="679">
        <f t="shared" si="262"/>
        <v>6204</v>
      </c>
      <c r="CD153" s="947">
        <f t="shared" si="262"/>
        <v>1.1000000000000001</v>
      </c>
      <c r="CE153" s="956">
        <f t="shared" si="262"/>
        <v>1443757</v>
      </c>
      <c r="CF153" s="953">
        <f t="shared" si="262"/>
        <v>933996</v>
      </c>
      <c r="CG153" s="953">
        <f t="shared" si="262"/>
        <v>315691</v>
      </c>
      <c r="CH153" s="953">
        <f t="shared" si="262"/>
        <v>9340</v>
      </c>
      <c r="CI153" s="953">
        <f t="shared" si="262"/>
        <v>184730</v>
      </c>
      <c r="CJ153" s="877">
        <f t="shared" si="262"/>
        <v>2.8677999999999999</v>
      </c>
    </row>
    <row r="154" spans="1:88" ht="14.1" customHeight="1">
      <c r="A154" s="66">
        <v>35</v>
      </c>
      <c r="B154" s="63">
        <v>2476</v>
      </c>
      <c r="C154" s="64">
        <v>600080170</v>
      </c>
      <c r="D154" s="63">
        <v>64040364</v>
      </c>
      <c r="E154" s="65" t="s">
        <v>605</v>
      </c>
      <c r="F154" s="66">
        <v>3113</v>
      </c>
      <c r="G154" s="65" t="s">
        <v>293</v>
      </c>
      <c r="H154" s="67" t="s">
        <v>271</v>
      </c>
      <c r="I154" s="419">
        <v>45401456</v>
      </c>
      <c r="J154" s="414">
        <v>33050820</v>
      </c>
      <c r="K154" s="414">
        <v>29985752</v>
      </c>
      <c r="L154" s="414">
        <v>3065068</v>
      </c>
      <c r="M154" s="414">
        <v>20000</v>
      </c>
      <c r="N154" s="414">
        <v>10000</v>
      </c>
      <c r="O154" s="414">
        <v>10000</v>
      </c>
      <c r="P154" s="595">
        <v>11177938</v>
      </c>
      <c r="Q154" s="595">
        <v>330508</v>
      </c>
      <c r="R154" s="414">
        <v>822190</v>
      </c>
      <c r="S154" s="415">
        <v>52.720300000000002</v>
      </c>
      <c r="T154" s="415">
        <v>43.236000000000004</v>
      </c>
      <c r="U154" s="422">
        <v>9.4842999999999993</v>
      </c>
      <c r="V154" s="423">
        <f t="shared" si="232"/>
        <v>0</v>
      </c>
      <c r="W154" s="417">
        <f t="shared" si="233"/>
        <v>0</v>
      </c>
      <c r="X154" s="417">
        <v>0</v>
      </c>
      <c r="Y154" s="417">
        <v>34424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234"/>
        <v>34424</v>
      </c>
      <c r="AF154" s="417">
        <f t="shared" si="235"/>
        <v>0</v>
      </c>
      <c r="AG154" s="417">
        <f t="shared" si="236"/>
        <v>34424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237"/>
        <v>0</v>
      </c>
      <c r="AN154" s="417">
        <f t="shared" si="238"/>
        <v>0</v>
      </c>
      <c r="AO154" s="417">
        <f t="shared" si="239"/>
        <v>0</v>
      </c>
      <c r="AP154" s="417">
        <f t="shared" si="240"/>
        <v>34424</v>
      </c>
      <c r="AQ154" s="417">
        <f t="shared" si="241"/>
        <v>0</v>
      </c>
      <c r="AR154" s="417">
        <f t="shared" si="242"/>
        <v>34424</v>
      </c>
      <c r="AS154" s="68">
        <f t="shared" si="243"/>
        <v>11635</v>
      </c>
      <c r="AT154" s="68">
        <f t="shared" si="244"/>
        <v>344</v>
      </c>
      <c r="AU154" s="417">
        <v>0</v>
      </c>
      <c r="AV154" s="417">
        <v>0</v>
      </c>
      <c r="AW154" s="417">
        <v>0</v>
      </c>
      <c r="AX154" s="417">
        <f t="shared" si="245"/>
        <v>0</v>
      </c>
      <c r="AY154" s="417">
        <f t="shared" si="246"/>
        <v>46403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0.05</v>
      </c>
      <c r="BF154" s="418">
        <v>0</v>
      </c>
      <c r="BG154" s="418">
        <v>0</v>
      </c>
      <c r="BH154" s="418">
        <v>0</v>
      </c>
      <c r="BI154" s="418">
        <f t="shared" si="247"/>
        <v>0.05</v>
      </c>
      <c r="BJ154" s="418">
        <f t="shared" si="248"/>
        <v>0</v>
      </c>
      <c r="BK154" s="420">
        <f t="shared" si="249"/>
        <v>0.05</v>
      </c>
      <c r="BL154" s="772">
        <f>I154+AY154</f>
        <v>45447859</v>
      </c>
      <c r="BM154" s="417">
        <f>J154+AG154</f>
        <v>33085244</v>
      </c>
      <c r="BN154" s="417">
        <f t="shared" ref="BN154:BO158" si="263">K154+AE154</f>
        <v>30020176</v>
      </c>
      <c r="BO154" s="417">
        <f t="shared" si="263"/>
        <v>3065068</v>
      </c>
      <c r="BP154" s="417">
        <f>M154+AO154</f>
        <v>20000</v>
      </c>
      <c r="BQ154" s="417">
        <f t="shared" ref="BQ154:BR158" si="264">N154+AM154</f>
        <v>10000</v>
      </c>
      <c r="BR154" s="417">
        <f t="shared" si="264"/>
        <v>10000</v>
      </c>
      <c r="BS154" s="417">
        <f t="shared" ref="BS154:BT158" si="265">P154+AS154</f>
        <v>11189573</v>
      </c>
      <c r="BT154" s="417">
        <f t="shared" si="265"/>
        <v>330852</v>
      </c>
      <c r="BU154" s="417">
        <f>R154+AX154</f>
        <v>822190</v>
      </c>
      <c r="BV154" s="418">
        <f>S154+BK154</f>
        <v>52.770299999999999</v>
      </c>
      <c r="BW154" s="418">
        <f t="shared" ref="BW154:BX158" si="266">T154+BI154</f>
        <v>43.286000000000001</v>
      </c>
      <c r="BX154" s="420">
        <f t="shared" si="266"/>
        <v>9.4842999999999993</v>
      </c>
      <c r="BY154" s="419">
        <v>760272</v>
      </c>
      <c r="BZ154" s="414">
        <v>564000</v>
      </c>
      <c r="CA154" s="414">
        <v>0</v>
      </c>
      <c r="CB154" s="414">
        <v>190632</v>
      </c>
      <c r="CC154" s="414">
        <v>5640</v>
      </c>
      <c r="CD154" s="422">
        <v>1</v>
      </c>
      <c r="CE154" s="419">
        <f t="shared" si="254"/>
        <v>1522145</v>
      </c>
      <c r="CF154" s="414">
        <v>986999</v>
      </c>
      <c r="CG154" s="414">
        <v>333606</v>
      </c>
      <c r="CH154" s="414">
        <v>9870</v>
      </c>
      <c r="CI154" s="414">
        <v>191670</v>
      </c>
      <c r="CJ154" s="509">
        <v>3.0442999999999998</v>
      </c>
    </row>
    <row r="155" spans="1:88" ht="14.1" customHeight="1">
      <c r="A155" s="66">
        <v>35</v>
      </c>
      <c r="B155" s="63">
        <v>2476</v>
      </c>
      <c r="C155" s="64">
        <v>600080170</v>
      </c>
      <c r="D155" s="63">
        <v>64040364</v>
      </c>
      <c r="E155" s="65" t="s">
        <v>605</v>
      </c>
      <c r="F155" s="66">
        <v>3113</v>
      </c>
      <c r="G155" s="77" t="s">
        <v>291</v>
      </c>
      <c r="H155" s="67" t="s">
        <v>272</v>
      </c>
      <c r="I155" s="419">
        <v>5171807</v>
      </c>
      <c r="J155" s="414">
        <v>3835910</v>
      </c>
      <c r="K155" s="414">
        <v>3835910</v>
      </c>
      <c r="L155" s="414">
        <v>0</v>
      </c>
      <c r="M155" s="414">
        <v>0</v>
      </c>
      <c r="N155" s="414">
        <v>0</v>
      </c>
      <c r="O155" s="414">
        <v>0</v>
      </c>
      <c r="P155" s="595">
        <v>1296538</v>
      </c>
      <c r="Q155" s="595">
        <v>38359</v>
      </c>
      <c r="R155" s="414">
        <v>1000</v>
      </c>
      <c r="S155" s="415">
        <v>10.280000000000001</v>
      </c>
      <c r="T155" s="416">
        <v>10.280000000000001</v>
      </c>
      <c r="U155" s="422">
        <v>0</v>
      </c>
      <c r="V155" s="423">
        <f t="shared" si="232"/>
        <v>0</v>
      </c>
      <c r="W155" s="417">
        <f t="shared" si="233"/>
        <v>0</v>
      </c>
      <c r="X155" s="417">
        <v>-689923</v>
      </c>
      <c r="Y155" s="417">
        <v>0</v>
      </c>
      <c r="Z155" s="417">
        <v>0</v>
      </c>
      <c r="AA155" s="417">
        <v>0</v>
      </c>
      <c r="AB155" s="417">
        <v>0</v>
      </c>
      <c r="AC155" s="417">
        <v>0</v>
      </c>
      <c r="AD155" s="417">
        <v>0</v>
      </c>
      <c r="AE155" s="417">
        <f t="shared" si="234"/>
        <v>-689923</v>
      </c>
      <c r="AF155" s="417">
        <f t="shared" si="235"/>
        <v>0</v>
      </c>
      <c r="AG155" s="417">
        <f t="shared" si="236"/>
        <v>-689923</v>
      </c>
      <c r="AH155" s="417">
        <v>0</v>
      </c>
      <c r="AI155" s="417">
        <v>0</v>
      </c>
      <c r="AJ155" s="417">
        <v>0</v>
      </c>
      <c r="AK155" s="417">
        <v>0</v>
      </c>
      <c r="AL155" s="417">
        <v>0</v>
      </c>
      <c r="AM155" s="417">
        <f t="shared" si="237"/>
        <v>0</v>
      </c>
      <c r="AN155" s="417">
        <f t="shared" si="238"/>
        <v>0</v>
      </c>
      <c r="AO155" s="417">
        <f t="shared" si="239"/>
        <v>0</v>
      </c>
      <c r="AP155" s="417">
        <f t="shared" si="240"/>
        <v>-689923</v>
      </c>
      <c r="AQ155" s="417">
        <f t="shared" si="241"/>
        <v>0</v>
      </c>
      <c r="AR155" s="417">
        <f t="shared" si="242"/>
        <v>-689923</v>
      </c>
      <c r="AS155" s="68">
        <f t="shared" si="243"/>
        <v>-233194</v>
      </c>
      <c r="AT155" s="68">
        <f t="shared" si="244"/>
        <v>-6899</v>
      </c>
      <c r="AU155" s="417">
        <v>24200</v>
      </c>
      <c r="AV155" s="417">
        <v>0</v>
      </c>
      <c r="AW155" s="417">
        <v>0</v>
      </c>
      <c r="AX155" s="417">
        <f t="shared" si="245"/>
        <v>24200</v>
      </c>
      <c r="AY155" s="417">
        <f t="shared" si="246"/>
        <v>-905816</v>
      </c>
      <c r="AZ155" s="418">
        <v>0</v>
      </c>
      <c r="BA155" s="418">
        <v>0</v>
      </c>
      <c r="BB155" s="418">
        <v>-1.73</v>
      </c>
      <c r="BC155" s="418">
        <v>0</v>
      </c>
      <c r="BD155" s="418">
        <v>0</v>
      </c>
      <c r="BE155" s="418">
        <v>0</v>
      </c>
      <c r="BF155" s="418">
        <v>0</v>
      </c>
      <c r="BG155" s="418">
        <v>0</v>
      </c>
      <c r="BH155" s="418">
        <v>0</v>
      </c>
      <c r="BI155" s="418">
        <f t="shared" si="247"/>
        <v>-1.73</v>
      </c>
      <c r="BJ155" s="418">
        <f t="shared" si="248"/>
        <v>0</v>
      </c>
      <c r="BK155" s="420">
        <f t="shared" si="249"/>
        <v>-1.73</v>
      </c>
      <c r="BL155" s="772">
        <f>I155+AY155</f>
        <v>4265991</v>
      </c>
      <c r="BM155" s="417">
        <f>J155+AG155</f>
        <v>3145987</v>
      </c>
      <c r="BN155" s="417">
        <f t="shared" si="263"/>
        <v>3145987</v>
      </c>
      <c r="BO155" s="417">
        <f t="shared" si="263"/>
        <v>0</v>
      </c>
      <c r="BP155" s="417">
        <f>M155+AO155</f>
        <v>0</v>
      </c>
      <c r="BQ155" s="417">
        <f t="shared" si="264"/>
        <v>0</v>
      </c>
      <c r="BR155" s="417">
        <f t="shared" si="264"/>
        <v>0</v>
      </c>
      <c r="BS155" s="417">
        <f t="shared" si="265"/>
        <v>1063344</v>
      </c>
      <c r="BT155" s="417">
        <f t="shared" si="265"/>
        <v>31460</v>
      </c>
      <c r="BU155" s="417">
        <f>R155+AX155</f>
        <v>25200</v>
      </c>
      <c r="BV155" s="418">
        <f>S155+BK155</f>
        <v>8.5500000000000007</v>
      </c>
      <c r="BW155" s="418">
        <f t="shared" si="266"/>
        <v>8.5500000000000007</v>
      </c>
      <c r="BX155" s="420">
        <f t="shared" si="266"/>
        <v>0</v>
      </c>
      <c r="BY155" s="419"/>
      <c r="BZ155" s="414"/>
      <c r="CA155" s="414"/>
      <c r="CB155" s="414"/>
      <c r="CC155" s="414"/>
      <c r="CD155" s="422"/>
      <c r="CE155" s="419">
        <f t="shared" si="254"/>
        <v>0</v>
      </c>
      <c r="CF155" s="414">
        <v>0</v>
      </c>
      <c r="CG155" s="414">
        <v>0</v>
      </c>
      <c r="CH155" s="414">
        <v>0</v>
      </c>
      <c r="CI155" s="414">
        <v>0</v>
      </c>
      <c r="CJ155" s="509">
        <v>0</v>
      </c>
    </row>
    <row r="156" spans="1:88" ht="14.1" customHeight="1">
      <c r="A156" s="66">
        <v>35</v>
      </c>
      <c r="B156" s="63">
        <v>2476</v>
      </c>
      <c r="C156" s="64">
        <v>600080170</v>
      </c>
      <c r="D156" s="63">
        <v>64040364</v>
      </c>
      <c r="E156" s="65" t="s">
        <v>605</v>
      </c>
      <c r="F156" s="66">
        <v>3141</v>
      </c>
      <c r="G156" s="65" t="s">
        <v>294</v>
      </c>
      <c r="H156" s="67" t="s">
        <v>272</v>
      </c>
      <c r="I156" s="419">
        <v>3528231</v>
      </c>
      <c r="J156" s="414">
        <v>2585545</v>
      </c>
      <c r="K156" s="414">
        <v>0</v>
      </c>
      <c r="L156" s="744">
        <v>2585545</v>
      </c>
      <c r="M156" s="414">
        <v>10000</v>
      </c>
      <c r="N156" s="204">
        <v>0</v>
      </c>
      <c r="O156" s="204">
        <v>10000</v>
      </c>
      <c r="P156" s="595">
        <v>877294</v>
      </c>
      <c r="Q156" s="595">
        <v>25856</v>
      </c>
      <c r="R156" s="601">
        <v>29536</v>
      </c>
      <c r="S156" s="415">
        <v>7.7766999999999999</v>
      </c>
      <c r="T156" s="603">
        <v>0</v>
      </c>
      <c r="U156" s="731">
        <v>7.7766999999999999</v>
      </c>
      <c r="V156" s="423">
        <f t="shared" si="232"/>
        <v>0</v>
      </c>
      <c r="W156" s="417">
        <f t="shared" si="233"/>
        <v>0</v>
      </c>
      <c r="X156" s="417">
        <v>0</v>
      </c>
      <c r="Y156" s="417">
        <v>0</v>
      </c>
      <c r="Z156" s="417">
        <v>0</v>
      </c>
      <c r="AA156" s="417">
        <v>3663</v>
      </c>
      <c r="AB156" s="417">
        <v>0</v>
      </c>
      <c r="AC156" s="417">
        <v>0</v>
      </c>
      <c r="AD156" s="417">
        <v>0</v>
      </c>
      <c r="AE156" s="417">
        <f t="shared" si="234"/>
        <v>0</v>
      </c>
      <c r="AF156" s="417">
        <f t="shared" si="235"/>
        <v>3663</v>
      </c>
      <c r="AG156" s="417">
        <f t="shared" si="236"/>
        <v>3663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37"/>
        <v>0</v>
      </c>
      <c r="AN156" s="417">
        <f t="shared" si="238"/>
        <v>0</v>
      </c>
      <c r="AO156" s="417">
        <f t="shared" si="239"/>
        <v>0</v>
      </c>
      <c r="AP156" s="417">
        <f t="shared" si="240"/>
        <v>0</v>
      </c>
      <c r="AQ156" s="417">
        <f t="shared" si="241"/>
        <v>3663</v>
      </c>
      <c r="AR156" s="417">
        <f t="shared" si="242"/>
        <v>3663</v>
      </c>
      <c r="AS156" s="68">
        <f t="shared" si="243"/>
        <v>1238</v>
      </c>
      <c r="AT156" s="68">
        <f t="shared" si="244"/>
        <v>37</v>
      </c>
      <c r="AU156" s="417">
        <v>0</v>
      </c>
      <c r="AV156" s="417">
        <v>0</v>
      </c>
      <c r="AW156" s="417">
        <v>0</v>
      </c>
      <c r="AX156" s="417">
        <f t="shared" si="245"/>
        <v>0</v>
      </c>
      <c r="AY156" s="417">
        <f t="shared" si="246"/>
        <v>4938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0.02</v>
      </c>
      <c r="BE156" s="418">
        <v>0</v>
      </c>
      <c r="BF156" s="418">
        <v>0</v>
      </c>
      <c r="BG156" s="418">
        <v>0</v>
      </c>
      <c r="BH156" s="418">
        <v>0</v>
      </c>
      <c r="BI156" s="418">
        <f t="shared" si="247"/>
        <v>0</v>
      </c>
      <c r="BJ156" s="418">
        <f t="shared" si="248"/>
        <v>0.02</v>
      </c>
      <c r="BK156" s="420">
        <f t="shared" si="249"/>
        <v>0.02</v>
      </c>
      <c r="BL156" s="772">
        <f>I156+AY156</f>
        <v>3533169</v>
      </c>
      <c r="BM156" s="417">
        <f>J156+AG156</f>
        <v>2589208</v>
      </c>
      <c r="BN156" s="417">
        <f t="shared" si="263"/>
        <v>0</v>
      </c>
      <c r="BO156" s="417">
        <f t="shared" si="263"/>
        <v>2589208</v>
      </c>
      <c r="BP156" s="417">
        <f>M156+AO156</f>
        <v>10000</v>
      </c>
      <c r="BQ156" s="417">
        <f t="shared" si="264"/>
        <v>0</v>
      </c>
      <c r="BR156" s="417">
        <f t="shared" si="264"/>
        <v>10000</v>
      </c>
      <c r="BS156" s="417">
        <f t="shared" si="265"/>
        <v>878532</v>
      </c>
      <c r="BT156" s="417">
        <f t="shared" si="265"/>
        <v>25893</v>
      </c>
      <c r="BU156" s="417">
        <f>R156+AX156</f>
        <v>29536</v>
      </c>
      <c r="BV156" s="418">
        <f>S156+BK156</f>
        <v>7.7966999999999995</v>
      </c>
      <c r="BW156" s="418">
        <f t="shared" si="266"/>
        <v>0</v>
      </c>
      <c r="BX156" s="420">
        <f t="shared" si="266"/>
        <v>7.7966999999999995</v>
      </c>
      <c r="BY156" s="419"/>
      <c r="BZ156" s="414"/>
      <c r="CA156" s="414"/>
      <c r="CB156" s="414"/>
      <c r="CC156" s="414"/>
      <c r="CD156" s="422"/>
      <c r="CE156" s="419">
        <f t="shared" si="254"/>
        <v>0</v>
      </c>
      <c r="CF156" s="414">
        <v>0</v>
      </c>
      <c r="CG156" s="414">
        <v>0</v>
      </c>
      <c r="CH156" s="414">
        <v>0</v>
      </c>
      <c r="CI156" s="414">
        <v>0</v>
      </c>
      <c r="CJ156" s="509">
        <v>0</v>
      </c>
    </row>
    <row r="157" spans="1:88" ht="14.1" customHeight="1">
      <c r="A157" s="66">
        <v>35</v>
      </c>
      <c r="B157" s="63">
        <v>2476</v>
      </c>
      <c r="C157" s="64">
        <v>600080170</v>
      </c>
      <c r="D157" s="63">
        <v>64040364</v>
      </c>
      <c r="E157" s="65" t="s">
        <v>605</v>
      </c>
      <c r="F157" s="66">
        <v>3143</v>
      </c>
      <c r="G157" s="77" t="s">
        <v>595</v>
      </c>
      <c r="H157" s="67" t="s">
        <v>271</v>
      </c>
      <c r="I157" s="419">
        <v>4269742</v>
      </c>
      <c r="J157" s="414">
        <v>3167464</v>
      </c>
      <c r="K157" s="414">
        <v>3167464</v>
      </c>
      <c r="L157" s="414">
        <v>0</v>
      </c>
      <c r="M157" s="414">
        <v>0</v>
      </c>
      <c r="N157" s="414">
        <v>0</v>
      </c>
      <c r="O157" s="414">
        <v>0</v>
      </c>
      <c r="P157" s="595">
        <v>1070603</v>
      </c>
      <c r="Q157" s="595">
        <v>31675</v>
      </c>
      <c r="R157" s="414">
        <v>0</v>
      </c>
      <c r="S157" s="415">
        <v>6.0713999999999997</v>
      </c>
      <c r="T157" s="415">
        <v>6.0713999999999997</v>
      </c>
      <c r="U157" s="422">
        <v>0</v>
      </c>
      <c r="V157" s="423">
        <f t="shared" si="232"/>
        <v>-10000</v>
      </c>
      <c r="W157" s="417">
        <f t="shared" si="233"/>
        <v>0</v>
      </c>
      <c r="X157" s="417">
        <v>0</v>
      </c>
      <c r="Y157" s="417">
        <v>0</v>
      </c>
      <c r="Z157" s="417">
        <v>0</v>
      </c>
      <c r="AA157" s="417">
        <v>0</v>
      </c>
      <c r="AB157" s="417">
        <v>0</v>
      </c>
      <c r="AC157" s="417">
        <v>0</v>
      </c>
      <c r="AD157" s="417">
        <v>0</v>
      </c>
      <c r="AE157" s="417">
        <f t="shared" si="234"/>
        <v>-10000</v>
      </c>
      <c r="AF157" s="417">
        <f t="shared" si="235"/>
        <v>0</v>
      </c>
      <c r="AG157" s="417">
        <f t="shared" si="236"/>
        <v>-10000</v>
      </c>
      <c r="AH157" s="417">
        <v>10000</v>
      </c>
      <c r="AI157" s="417">
        <v>0</v>
      </c>
      <c r="AJ157" s="417">
        <v>0</v>
      </c>
      <c r="AK157" s="417">
        <v>0</v>
      </c>
      <c r="AL157" s="417">
        <v>0</v>
      </c>
      <c r="AM157" s="417">
        <f t="shared" si="237"/>
        <v>10000</v>
      </c>
      <c r="AN157" s="417">
        <f t="shared" si="238"/>
        <v>0</v>
      </c>
      <c r="AO157" s="417">
        <f t="shared" si="239"/>
        <v>10000</v>
      </c>
      <c r="AP157" s="417">
        <f t="shared" si="240"/>
        <v>0</v>
      </c>
      <c r="AQ157" s="417">
        <f t="shared" si="241"/>
        <v>0</v>
      </c>
      <c r="AR157" s="417">
        <f t="shared" si="242"/>
        <v>0</v>
      </c>
      <c r="AS157" s="68">
        <f t="shared" si="243"/>
        <v>0</v>
      </c>
      <c r="AT157" s="68">
        <f t="shared" si="244"/>
        <v>-100</v>
      </c>
      <c r="AU157" s="417">
        <v>0</v>
      </c>
      <c r="AV157" s="417">
        <v>0</v>
      </c>
      <c r="AW157" s="417">
        <v>0</v>
      </c>
      <c r="AX157" s="417">
        <f t="shared" si="245"/>
        <v>0</v>
      </c>
      <c r="AY157" s="417">
        <f t="shared" si="246"/>
        <v>-100</v>
      </c>
      <c r="AZ157" s="418">
        <v>0</v>
      </c>
      <c r="BA157" s="418">
        <v>0</v>
      </c>
      <c r="BB157" s="418">
        <v>0</v>
      </c>
      <c r="BC157" s="418">
        <v>0</v>
      </c>
      <c r="BD157" s="418">
        <v>0</v>
      </c>
      <c r="BE157" s="418">
        <v>0</v>
      </c>
      <c r="BF157" s="418">
        <v>0</v>
      </c>
      <c r="BG157" s="418">
        <v>0</v>
      </c>
      <c r="BH157" s="418">
        <v>0</v>
      </c>
      <c r="BI157" s="418">
        <f t="shared" si="247"/>
        <v>0</v>
      </c>
      <c r="BJ157" s="418">
        <f t="shared" si="248"/>
        <v>0</v>
      </c>
      <c r="BK157" s="420">
        <f t="shared" si="249"/>
        <v>0</v>
      </c>
      <c r="BL157" s="772">
        <f>I157+AY157</f>
        <v>4269642</v>
      </c>
      <c r="BM157" s="417">
        <f>J157+AG157</f>
        <v>3157464</v>
      </c>
      <c r="BN157" s="417">
        <f t="shared" si="263"/>
        <v>3157464</v>
      </c>
      <c r="BO157" s="417">
        <f t="shared" si="263"/>
        <v>0</v>
      </c>
      <c r="BP157" s="417">
        <f>M157+AO157</f>
        <v>10000</v>
      </c>
      <c r="BQ157" s="417">
        <f t="shared" si="264"/>
        <v>10000</v>
      </c>
      <c r="BR157" s="417">
        <f t="shared" si="264"/>
        <v>0</v>
      </c>
      <c r="BS157" s="417">
        <f t="shared" si="265"/>
        <v>1070603</v>
      </c>
      <c r="BT157" s="417">
        <f t="shared" si="265"/>
        <v>31575</v>
      </c>
      <c r="BU157" s="417">
        <f>R157+AX157</f>
        <v>0</v>
      </c>
      <c r="BV157" s="418">
        <f>S157+BK157</f>
        <v>6.0713999999999997</v>
      </c>
      <c r="BW157" s="418">
        <f t="shared" si="266"/>
        <v>6.0713999999999997</v>
      </c>
      <c r="BX157" s="420">
        <f t="shared" si="266"/>
        <v>0</v>
      </c>
      <c r="BY157" s="419"/>
      <c r="BZ157" s="414"/>
      <c r="CA157" s="414"/>
      <c r="CB157" s="414"/>
      <c r="CC157" s="414"/>
      <c r="CD157" s="422"/>
      <c r="CE157" s="419">
        <f t="shared" si="254"/>
        <v>0</v>
      </c>
      <c r="CF157" s="414">
        <v>0</v>
      </c>
      <c r="CG157" s="414">
        <v>0</v>
      </c>
      <c r="CH157" s="414">
        <v>0</v>
      </c>
      <c r="CI157" s="414">
        <v>0</v>
      </c>
      <c r="CJ157" s="509">
        <v>0</v>
      </c>
    </row>
    <row r="158" spans="1:88" ht="14.1" customHeight="1">
      <c r="A158" s="66">
        <v>35</v>
      </c>
      <c r="B158" s="63">
        <v>2476</v>
      </c>
      <c r="C158" s="64">
        <v>600080170</v>
      </c>
      <c r="D158" s="63">
        <v>64040364</v>
      </c>
      <c r="E158" s="65" t="s">
        <v>605</v>
      </c>
      <c r="F158" s="66">
        <v>3143</v>
      </c>
      <c r="G158" s="77" t="s">
        <v>596</v>
      </c>
      <c r="H158" s="67" t="s">
        <v>272</v>
      </c>
      <c r="I158" s="419">
        <v>156753</v>
      </c>
      <c r="J158" s="414">
        <v>112200</v>
      </c>
      <c r="K158" s="414">
        <v>0</v>
      </c>
      <c r="L158" s="601">
        <v>112200</v>
      </c>
      <c r="M158" s="414">
        <v>0</v>
      </c>
      <c r="N158" s="414">
        <v>0</v>
      </c>
      <c r="O158" s="414">
        <v>0</v>
      </c>
      <c r="P158" s="595">
        <v>37923</v>
      </c>
      <c r="Q158" s="595">
        <v>1122</v>
      </c>
      <c r="R158" s="602">
        <v>5508</v>
      </c>
      <c r="S158" s="415">
        <v>0.42330000000000001</v>
      </c>
      <c r="T158" s="605">
        <v>0</v>
      </c>
      <c r="U158" s="731">
        <v>0.42330000000000001</v>
      </c>
      <c r="V158" s="423">
        <f t="shared" si="232"/>
        <v>0</v>
      </c>
      <c r="W158" s="417">
        <f t="shared" si="233"/>
        <v>0</v>
      </c>
      <c r="X158" s="417">
        <v>0</v>
      </c>
      <c r="Y158" s="417">
        <v>0</v>
      </c>
      <c r="Z158" s="417">
        <v>0</v>
      </c>
      <c r="AA158" s="417">
        <v>0</v>
      </c>
      <c r="AB158" s="417">
        <v>0</v>
      </c>
      <c r="AC158" s="417">
        <v>0</v>
      </c>
      <c r="AD158" s="417">
        <v>0</v>
      </c>
      <c r="AE158" s="417">
        <f t="shared" si="234"/>
        <v>0</v>
      </c>
      <c r="AF158" s="417">
        <f t="shared" si="235"/>
        <v>0</v>
      </c>
      <c r="AG158" s="417">
        <f t="shared" si="236"/>
        <v>0</v>
      </c>
      <c r="AH158" s="417">
        <v>0</v>
      </c>
      <c r="AI158" s="417">
        <v>0</v>
      </c>
      <c r="AJ158" s="417">
        <v>0</v>
      </c>
      <c r="AK158" s="417">
        <v>0</v>
      </c>
      <c r="AL158" s="417">
        <v>0</v>
      </c>
      <c r="AM158" s="417">
        <f t="shared" si="237"/>
        <v>0</v>
      </c>
      <c r="AN158" s="417">
        <f t="shared" si="238"/>
        <v>0</v>
      </c>
      <c r="AO158" s="417">
        <f t="shared" si="239"/>
        <v>0</v>
      </c>
      <c r="AP158" s="417">
        <f t="shared" si="240"/>
        <v>0</v>
      </c>
      <c r="AQ158" s="417">
        <f t="shared" si="241"/>
        <v>0</v>
      </c>
      <c r="AR158" s="417">
        <f t="shared" si="242"/>
        <v>0</v>
      </c>
      <c r="AS158" s="68">
        <f t="shared" si="243"/>
        <v>0</v>
      </c>
      <c r="AT158" s="68">
        <f t="shared" si="244"/>
        <v>0</v>
      </c>
      <c r="AU158" s="417">
        <v>0</v>
      </c>
      <c r="AV158" s="417">
        <v>0</v>
      </c>
      <c r="AW158" s="417">
        <v>0</v>
      </c>
      <c r="AX158" s="417">
        <f t="shared" si="245"/>
        <v>0</v>
      </c>
      <c r="AY158" s="417">
        <f t="shared" si="246"/>
        <v>0</v>
      </c>
      <c r="AZ158" s="418">
        <v>0</v>
      </c>
      <c r="BA158" s="418">
        <v>0</v>
      </c>
      <c r="BB158" s="418">
        <v>0</v>
      </c>
      <c r="BC158" s="418">
        <v>0</v>
      </c>
      <c r="BD158" s="418">
        <v>0</v>
      </c>
      <c r="BE158" s="418">
        <v>0</v>
      </c>
      <c r="BF158" s="418">
        <v>0</v>
      </c>
      <c r="BG158" s="418">
        <v>0</v>
      </c>
      <c r="BH158" s="418">
        <v>0</v>
      </c>
      <c r="BI158" s="418">
        <f t="shared" si="247"/>
        <v>0</v>
      </c>
      <c r="BJ158" s="418">
        <f t="shared" si="248"/>
        <v>0</v>
      </c>
      <c r="BK158" s="420">
        <f t="shared" si="249"/>
        <v>0</v>
      </c>
      <c r="BL158" s="772">
        <f>I158+AY158</f>
        <v>156753</v>
      </c>
      <c r="BM158" s="417">
        <f>J158+AG158</f>
        <v>112200</v>
      </c>
      <c r="BN158" s="417">
        <f t="shared" si="263"/>
        <v>0</v>
      </c>
      <c r="BO158" s="417">
        <f t="shared" si="263"/>
        <v>112200</v>
      </c>
      <c r="BP158" s="417">
        <f>M158+AO158</f>
        <v>0</v>
      </c>
      <c r="BQ158" s="417">
        <f t="shared" si="264"/>
        <v>0</v>
      </c>
      <c r="BR158" s="417">
        <f t="shared" si="264"/>
        <v>0</v>
      </c>
      <c r="BS158" s="417">
        <f t="shared" si="265"/>
        <v>37923</v>
      </c>
      <c r="BT158" s="417">
        <f t="shared" si="265"/>
        <v>1122</v>
      </c>
      <c r="BU158" s="417">
        <f>R158+AX158</f>
        <v>5508</v>
      </c>
      <c r="BV158" s="418">
        <f>S158+BK158</f>
        <v>0.42330000000000001</v>
      </c>
      <c r="BW158" s="418">
        <f t="shared" si="266"/>
        <v>0</v>
      </c>
      <c r="BX158" s="420">
        <f t="shared" si="266"/>
        <v>0.42330000000000001</v>
      </c>
      <c r="BY158" s="419"/>
      <c r="BZ158" s="414"/>
      <c r="CA158" s="414"/>
      <c r="CB158" s="414"/>
      <c r="CC158" s="414"/>
      <c r="CD158" s="422"/>
      <c r="CE158" s="419">
        <f t="shared" si="254"/>
        <v>0</v>
      </c>
      <c r="CF158" s="414">
        <v>0</v>
      </c>
      <c r="CG158" s="414">
        <v>0</v>
      </c>
      <c r="CH158" s="414">
        <v>0</v>
      </c>
      <c r="CI158" s="414">
        <v>0</v>
      </c>
      <c r="CJ158" s="509">
        <v>0</v>
      </c>
    </row>
    <row r="159" spans="1:88" ht="14.1" customHeight="1">
      <c r="A159" s="72">
        <v>35</v>
      </c>
      <c r="B159" s="69">
        <v>2476</v>
      </c>
      <c r="C159" s="70">
        <v>600080170</v>
      </c>
      <c r="D159" s="69">
        <v>64040364</v>
      </c>
      <c r="E159" s="71" t="s">
        <v>606</v>
      </c>
      <c r="F159" s="72"/>
      <c r="G159" s="71"/>
      <c r="H159" s="73"/>
      <c r="I159" s="516">
        <v>58527989</v>
      </c>
      <c r="J159" s="74">
        <v>42751939</v>
      </c>
      <c r="K159" s="74">
        <v>36989126</v>
      </c>
      <c r="L159" s="74">
        <v>5762813</v>
      </c>
      <c r="M159" s="74">
        <v>30000</v>
      </c>
      <c r="N159" s="74">
        <v>10000</v>
      </c>
      <c r="O159" s="74">
        <v>20000</v>
      </c>
      <c r="P159" s="74">
        <v>14460296</v>
      </c>
      <c r="Q159" s="74">
        <v>427520</v>
      </c>
      <c r="R159" s="74">
        <v>858234</v>
      </c>
      <c r="S159" s="75">
        <v>77.271699999999996</v>
      </c>
      <c r="T159" s="75">
        <v>59.587400000000002</v>
      </c>
      <c r="U159" s="653">
        <v>17.6843</v>
      </c>
      <c r="V159" s="516">
        <f t="shared" ref="V159:BX159" si="267">SUM(V154:V158)</f>
        <v>-10000</v>
      </c>
      <c r="W159" s="74">
        <f t="shared" si="267"/>
        <v>0</v>
      </c>
      <c r="X159" s="74">
        <f t="shared" si="267"/>
        <v>-689923</v>
      </c>
      <c r="Y159" s="74">
        <f t="shared" si="267"/>
        <v>34424</v>
      </c>
      <c r="Z159" s="74">
        <f t="shared" si="267"/>
        <v>0</v>
      </c>
      <c r="AA159" s="74">
        <f t="shared" si="267"/>
        <v>3663</v>
      </c>
      <c r="AB159" s="74">
        <f t="shared" si="267"/>
        <v>0</v>
      </c>
      <c r="AC159" s="74">
        <f t="shared" si="267"/>
        <v>0</v>
      </c>
      <c r="AD159" s="74">
        <f t="shared" si="267"/>
        <v>0</v>
      </c>
      <c r="AE159" s="74">
        <f t="shared" si="267"/>
        <v>-665499</v>
      </c>
      <c r="AF159" s="74">
        <f t="shared" si="267"/>
        <v>3663</v>
      </c>
      <c r="AG159" s="74">
        <f t="shared" si="267"/>
        <v>-661836</v>
      </c>
      <c r="AH159" s="74">
        <f t="shared" si="267"/>
        <v>10000</v>
      </c>
      <c r="AI159" s="74">
        <f t="shared" si="267"/>
        <v>0</v>
      </c>
      <c r="AJ159" s="74">
        <f t="shared" si="267"/>
        <v>0</v>
      </c>
      <c r="AK159" s="74">
        <f t="shared" si="267"/>
        <v>0</v>
      </c>
      <c r="AL159" s="74">
        <f t="shared" si="267"/>
        <v>0</v>
      </c>
      <c r="AM159" s="74">
        <f t="shared" si="267"/>
        <v>10000</v>
      </c>
      <c r="AN159" s="74">
        <f t="shared" si="267"/>
        <v>0</v>
      </c>
      <c r="AO159" s="74">
        <f t="shared" si="267"/>
        <v>10000</v>
      </c>
      <c r="AP159" s="74">
        <f t="shared" si="267"/>
        <v>-655499</v>
      </c>
      <c r="AQ159" s="74">
        <f t="shared" si="267"/>
        <v>3663</v>
      </c>
      <c r="AR159" s="74">
        <f t="shared" si="267"/>
        <v>-651836</v>
      </c>
      <c r="AS159" s="74">
        <f t="shared" si="267"/>
        <v>-220321</v>
      </c>
      <c r="AT159" s="74">
        <f t="shared" si="267"/>
        <v>-6618</v>
      </c>
      <c r="AU159" s="74">
        <f t="shared" si="267"/>
        <v>24200</v>
      </c>
      <c r="AV159" s="74">
        <f t="shared" si="267"/>
        <v>0</v>
      </c>
      <c r="AW159" s="74">
        <f t="shared" si="267"/>
        <v>0</v>
      </c>
      <c r="AX159" s="74">
        <f t="shared" si="267"/>
        <v>24200</v>
      </c>
      <c r="AY159" s="74">
        <f t="shared" si="267"/>
        <v>-854575</v>
      </c>
      <c r="AZ159" s="75">
        <f t="shared" si="267"/>
        <v>0</v>
      </c>
      <c r="BA159" s="75">
        <f t="shared" si="267"/>
        <v>0</v>
      </c>
      <c r="BB159" s="75">
        <f t="shared" si="267"/>
        <v>-1.73</v>
      </c>
      <c r="BC159" s="75">
        <f t="shared" si="267"/>
        <v>0</v>
      </c>
      <c r="BD159" s="75">
        <f t="shared" si="267"/>
        <v>0.02</v>
      </c>
      <c r="BE159" s="75">
        <f t="shared" si="267"/>
        <v>0.05</v>
      </c>
      <c r="BF159" s="75">
        <f t="shared" si="267"/>
        <v>0</v>
      </c>
      <c r="BG159" s="75">
        <f t="shared" si="267"/>
        <v>0</v>
      </c>
      <c r="BH159" s="75">
        <f t="shared" si="267"/>
        <v>0</v>
      </c>
      <c r="BI159" s="75">
        <f t="shared" si="267"/>
        <v>-1.68</v>
      </c>
      <c r="BJ159" s="75">
        <f t="shared" si="267"/>
        <v>0.02</v>
      </c>
      <c r="BK159" s="76">
        <f t="shared" si="267"/>
        <v>-1.66</v>
      </c>
      <c r="BL159" s="781">
        <f t="shared" si="267"/>
        <v>57673414</v>
      </c>
      <c r="BM159" s="74">
        <f t="shared" si="267"/>
        <v>42090103</v>
      </c>
      <c r="BN159" s="74">
        <f t="shared" si="267"/>
        <v>36323627</v>
      </c>
      <c r="BO159" s="74">
        <f t="shared" si="267"/>
        <v>5766476</v>
      </c>
      <c r="BP159" s="74">
        <f t="shared" si="267"/>
        <v>40000</v>
      </c>
      <c r="BQ159" s="74">
        <f t="shared" si="267"/>
        <v>20000</v>
      </c>
      <c r="BR159" s="74">
        <f t="shared" si="267"/>
        <v>20000</v>
      </c>
      <c r="BS159" s="74">
        <f t="shared" si="267"/>
        <v>14239975</v>
      </c>
      <c r="BT159" s="74">
        <f t="shared" si="267"/>
        <v>420902</v>
      </c>
      <c r="BU159" s="74">
        <f t="shared" si="267"/>
        <v>882434</v>
      </c>
      <c r="BV159" s="75">
        <f t="shared" si="267"/>
        <v>75.611699999999999</v>
      </c>
      <c r="BW159" s="75">
        <f t="shared" si="267"/>
        <v>57.907399999999996</v>
      </c>
      <c r="BX159" s="76">
        <f t="shared" si="267"/>
        <v>17.7043</v>
      </c>
      <c r="BY159" s="791">
        <f t="shared" ref="BY159:CJ159" si="268">SUM(BY154:BY158)</f>
        <v>760272</v>
      </c>
      <c r="BZ159" s="679">
        <f t="shared" si="268"/>
        <v>564000</v>
      </c>
      <c r="CA159" s="679">
        <f t="shared" si="268"/>
        <v>0</v>
      </c>
      <c r="CB159" s="679">
        <f t="shared" si="268"/>
        <v>190632</v>
      </c>
      <c r="CC159" s="679">
        <f t="shared" si="268"/>
        <v>5640</v>
      </c>
      <c r="CD159" s="947">
        <f t="shared" si="268"/>
        <v>1</v>
      </c>
      <c r="CE159" s="956">
        <f t="shared" si="268"/>
        <v>1522145</v>
      </c>
      <c r="CF159" s="953">
        <f t="shared" si="268"/>
        <v>986999</v>
      </c>
      <c r="CG159" s="953">
        <f t="shared" si="268"/>
        <v>333606</v>
      </c>
      <c r="CH159" s="953">
        <f t="shared" si="268"/>
        <v>9870</v>
      </c>
      <c r="CI159" s="953">
        <f t="shared" si="268"/>
        <v>191670</v>
      </c>
      <c r="CJ159" s="877">
        <f t="shared" si="268"/>
        <v>3.0442999999999998</v>
      </c>
    </row>
    <row r="160" spans="1:88" ht="14.1" customHeight="1">
      <c r="A160" s="66">
        <v>36</v>
      </c>
      <c r="B160" s="63">
        <v>2477</v>
      </c>
      <c r="C160" s="64">
        <v>600079872</v>
      </c>
      <c r="D160" s="63">
        <v>68975147</v>
      </c>
      <c r="E160" s="65" t="s">
        <v>607</v>
      </c>
      <c r="F160" s="66">
        <v>3113</v>
      </c>
      <c r="G160" s="65" t="s">
        <v>293</v>
      </c>
      <c r="H160" s="67" t="s">
        <v>271</v>
      </c>
      <c r="I160" s="419">
        <v>47945138</v>
      </c>
      <c r="J160" s="414">
        <v>34799071</v>
      </c>
      <c r="K160" s="414">
        <v>31867169</v>
      </c>
      <c r="L160" s="414">
        <v>2931902</v>
      </c>
      <c r="M160" s="414">
        <v>110000</v>
      </c>
      <c r="N160" s="414">
        <v>30000</v>
      </c>
      <c r="O160" s="414">
        <v>80000</v>
      </c>
      <c r="P160" s="595">
        <v>11799267</v>
      </c>
      <c r="Q160" s="595">
        <v>347990</v>
      </c>
      <c r="R160" s="414">
        <v>888810</v>
      </c>
      <c r="S160" s="415">
        <v>54.477899999999998</v>
      </c>
      <c r="T160" s="415">
        <v>45.587900000000005</v>
      </c>
      <c r="U160" s="422">
        <v>8.89</v>
      </c>
      <c r="V160" s="423">
        <f t="shared" si="232"/>
        <v>15000</v>
      </c>
      <c r="W160" s="417">
        <f t="shared" si="233"/>
        <v>-33000</v>
      </c>
      <c r="X160" s="417">
        <v>0</v>
      </c>
      <c r="Y160" s="417">
        <v>52960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234"/>
        <v>67960</v>
      </c>
      <c r="AF160" s="417">
        <f t="shared" si="235"/>
        <v>-33000</v>
      </c>
      <c r="AG160" s="417">
        <f t="shared" si="236"/>
        <v>34960</v>
      </c>
      <c r="AH160" s="417">
        <v>-15000</v>
      </c>
      <c r="AI160" s="417">
        <v>33000</v>
      </c>
      <c r="AJ160" s="417">
        <v>0</v>
      </c>
      <c r="AK160" s="417">
        <v>0</v>
      </c>
      <c r="AL160" s="417">
        <v>0</v>
      </c>
      <c r="AM160" s="417">
        <f t="shared" si="237"/>
        <v>-15000</v>
      </c>
      <c r="AN160" s="417">
        <f t="shared" si="238"/>
        <v>33000</v>
      </c>
      <c r="AO160" s="417">
        <f t="shared" si="239"/>
        <v>18000</v>
      </c>
      <c r="AP160" s="417">
        <f t="shared" si="240"/>
        <v>52960</v>
      </c>
      <c r="AQ160" s="417">
        <f t="shared" si="241"/>
        <v>0</v>
      </c>
      <c r="AR160" s="417">
        <f t="shared" si="242"/>
        <v>52960</v>
      </c>
      <c r="AS160" s="68">
        <f t="shared" si="243"/>
        <v>17900</v>
      </c>
      <c r="AT160" s="68">
        <f t="shared" si="244"/>
        <v>350</v>
      </c>
      <c r="AU160" s="417">
        <v>0</v>
      </c>
      <c r="AV160" s="417">
        <v>0</v>
      </c>
      <c r="AW160" s="417">
        <v>0</v>
      </c>
      <c r="AX160" s="417">
        <f t="shared" si="245"/>
        <v>0</v>
      </c>
      <c r="AY160" s="417">
        <f t="shared" si="246"/>
        <v>71210</v>
      </c>
      <c r="AZ160" s="418">
        <v>0.01</v>
      </c>
      <c r="BA160" s="418">
        <v>-0.1</v>
      </c>
      <c r="BB160" s="418">
        <v>0</v>
      </c>
      <c r="BC160" s="418">
        <v>0</v>
      </c>
      <c r="BD160" s="418">
        <v>0</v>
      </c>
      <c r="BE160" s="418">
        <v>0.08</v>
      </c>
      <c r="BF160" s="418">
        <v>0</v>
      </c>
      <c r="BG160" s="418">
        <v>0</v>
      </c>
      <c r="BH160" s="418">
        <v>0</v>
      </c>
      <c r="BI160" s="418">
        <f t="shared" si="247"/>
        <v>0.09</v>
      </c>
      <c r="BJ160" s="418">
        <f t="shared" si="248"/>
        <v>-0.1</v>
      </c>
      <c r="BK160" s="420">
        <f t="shared" si="249"/>
        <v>-1.0000000000000009E-2</v>
      </c>
      <c r="BL160" s="772">
        <f>I160+AY160</f>
        <v>48016348</v>
      </c>
      <c r="BM160" s="417">
        <f>J160+AG160</f>
        <v>34834031</v>
      </c>
      <c r="BN160" s="417">
        <f t="shared" ref="BN160:BO163" si="269">K160+AE160</f>
        <v>31935129</v>
      </c>
      <c r="BO160" s="417">
        <f t="shared" si="269"/>
        <v>2898902</v>
      </c>
      <c r="BP160" s="417">
        <f>M160+AO160</f>
        <v>128000</v>
      </c>
      <c r="BQ160" s="417">
        <f t="shared" ref="BQ160:BR163" si="270">N160+AM160</f>
        <v>15000</v>
      </c>
      <c r="BR160" s="417">
        <f t="shared" si="270"/>
        <v>113000</v>
      </c>
      <c r="BS160" s="417">
        <f t="shared" ref="BS160:BT163" si="271">P160+AS160</f>
        <v>11817167</v>
      </c>
      <c r="BT160" s="417">
        <f t="shared" si="271"/>
        <v>348340</v>
      </c>
      <c r="BU160" s="417">
        <f>R160+AX160</f>
        <v>888810</v>
      </c>
      <c r="BV160" s="418">
        <f>S160+BK160</f>
        <v>54.4679</v>
      </c>
      <c r="BW160" s="418">
        <f t="shared" ref="BW160:BX163" si="272">T160+BI160</f>
        <v>45.677900000000008</v>
      </c>
      <c r="BX160" s="420">
        <f t="shared" si="272"/>
        <v>8.7900000000000009</v>
      </c>
      <c r="BY160" s="419">
        <v>152054</v>
      </c>
      <c r="BZ160" s="414">
        <v>112800</v>
      </c>
      <c r="CA160" s="414">
        <v>0</v>
      </c>
      <c r="CB160" s="414">
        <v>38126</v>
      </c>
      <c r="CC160" s="414">
        <v>1128</v>
      </c>
      <c r="CD160" s="422">
        <v>0.2</v>
      </c>
      <c r="CE160" s="419">
        <f t="shared" si="254"/>
        <v>1510621</v>
      </c>
      <c r="CF160" s="414">
        <v>966824</v>
      </c>
      <c r="CG160" s="414">
        <v>326787</v>
      </c>
      <c r="CH160" s="414">
        <v>9668</v>
      </c>
      <c r="CI160" s="414">
        <v>207342</v>
      </c>
      <c r="CJ160" s="509">
        <v>2.931</v>
      </c>
    </row>
    <row r="161" spans="1:88" ht="14.1" customHeight="1">
      <c r="A161" s="66">
        <v>36</v>
      </c>
      <c r="B161" s="63">
        <v>2477</v>
      </c>
      <c r="C161" s="64">
        <v>600079872</v>
      </c>
      <c r="D161" s="63">
        <v>68975147</v>
      </c>
      <c r="E161" s="65" t="s">
        <v>607</v>
      </c>
      <c r="F161" s="66">
        <v>3113</v>
      </c>
      <c r="G161" s="77" t="s">
        <v>291</v>
      </c>
      <c r="H161" s="67" t="s">
        <v>272</v>
      </c>
      <c r="I161" s="419">
        <v>4047841</v>
      </c>
      <c r="J161" s="414">
        <v>3002849</v>
      </c>
      <c r="K161" s="414">
        <v>3002849</v>
      </c>
      <c r="L161" s="414">
        <v>0</v>
      </c>
      <c r="M161" s="414">
        <v>0</v>
      </c>
      <c r="N161" s="414">
        <v>0</v>
      </c>
      <c r="O161" s="414">
        <v>0</v>
      </c>
      <c r="P161" s="595">
        <v>1014963</v>
      </c>
      <c r="Q161" s="595">
        <v>30029</v>
      </c>
      <c r="R161" s="414">
        <v>0</v>
      </c>
      <c r="S161" s="415">
        <v>7.54</v>
      </c>
      <c r="T161" s="416">
        <v>7.54</v>
      </c>
      <c r="U161" s="422">
        <v>0</v>
      </c>
      <c r="V161" s="423">
        <f t="shared" si="232"/>
        <v>0</v>
      </c>
      <c r="W161" s="417">
        <f t="shared" si="233"/>
        <v>0</v>
      </c>
      <c r="X161" s="417">
        <f>-67128-203488</f>
        <v>-270616</v>
      </c>
      <c r="Y161" s="417">
        <v>0</v>
      </c>
      <c r="Z161" s="417">
        <v>0</v>
      </c>
      <c r="AA161" s="417">
        <v>0</v>
      </c>
      <c r="AB161" s="417">
        <v>0</v>
      </c>
      <c r="AC161" s="417">
        <v>0</v>
      </c>
      <c r="AD161" s="417">
        <v>0</v>
      </c>
      <c r="AE161" s="417">
        <f t="shared" si="234"/>
        <v>-270616</v>
      </c>
      <c r="AF161" s="417">
        <f t="shared" si="235"/>
        <v>0</v>
      </c>
      <c r="AG161" s="417">
        <f t="shared" si="236"/>
        <v>-270616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237"/>
        <v>0</v>
      </c>
      <c r="AN161" s="417">
        <f t="shared" si="238"/>
        <v>0</v>
      </c>
      <c r="AO161" s="417">
        <f t="shared" si="239"/>
        <v>0</v>
      </c>
      <c r="AP161" s="417">
        <f t="shared" si="240"/>
        <v>-270616</v>
      </c>
      <c r="AQ161" s="417">
        <f t="shared" si="241"/>
        <v>0</v>
      </c>
      <c r="AR161" s="417">
        <f t="shared" si="242"/>
        <v>-270616</v>
      </c>
      <c r="AS161" s="68">
        <f t="shared" si="243"/>
        <v>-91468</v>
      </c>
      <c r="AT161" s="68">
        <f t="shared" si="244"/>
        <v>-2706</v>
      </c>
      <c r="AU161" s="417">
        <v>0</v>
      </c>
      <c r="AV161" s="417">
        <v>0</v>
      </c>
      <c r="AW161" s="417">
        <v>0</v>
      </c>
      <c r="AX161" s="417">
        <f t="shared" si="245"/>
        <v>0</v>
      </c>
      <c r="AY161" s="417">
        <f t="shared" si="246"/>
        <v>-364790</v>
      </c>
      <c r="AZ161" s="418">
        <v>0</v>
      </c>
      <c r="BA161" s="418">
        <v>0</v>
      </c>
      <c r="BB161" s="418">
        <f>-0.1-0.52</f>
        <v>-0.62</v>
      </c>
      <c r="BC161" s="418">
        <v>0</v>
      </c>
      <c r="BD161" s="418">
        <v>0</v>
      </c>
      <c r="BE161" s="418">
        <v>0</v>
      </c>
      <c r="BF161" s="418">
        <v>0</v>
      </c>
      <c r="BG161" s="418">
        <v>0</v>
      </c>
      <c r="BH161" s="418">
        <v>0</v>
      </c>
      <c r="BI161" s="418">
        <f t="shared" si="247"/>
        <v>-0.62</v>
      </c>
      <c r="BJ161" s="418">
        <f t="shared" si="248"/>
        <v>0</v>
      </c>
      <c r="BK161" s="420">
        <f t="shared" si="249"/>
        <v>-0.62</v>
      </c>
      <c r="BL161" s="772">
        <f>I161+AY161</f>
        <v>3683051</v>
      </c>
      <c r="BM161" s="417">
        <f>J161+AG161</f>
        <v>2732233</v>
      </c>
      <c r="BN161" s="417">
        <f t="shared" si="269"/>
        <v>2732233</v>
      </c>
      <c r="BO161" s="417">
        <f t="shared" si="269"/>
        <v>0</v>
      </c>
      <c r="BP161" s="417">
        <f>M161+AO161</f>
        <v>0</v>
      </c>
      <c r="BQ161" s="417">
        <f t="shared" si="270"/>
        <v>0</v>
      </c>
      <c r="BR161" s="417">
        <f t="shared" si="270"/>
        <v>0</v>
      </c>
      <c r="BS161" s="417">
        <f t="shared" si="271"/>
        <v>923495</v>
      </c>
      <c r="BT161" s="417">
        <f t="shared" si="271"/>
        <v>27323</v>
      </c>
      <c r="BU161" s="417">
        <f>R161+AX161</f>
        <v>0</v>
      </c>
      <c r="BV161" s="418">
        <f>S161+BK161</f>
        <v>6.92</v>
      </c>
      <c r="BW161" s="418">
        <f t="shared" si="272"/>
        <v>6.92</v>
      </c>
      <c r="BX161" s="420">
        <f t="shared" si="272"/>
        <v>0</v>
      </c>
      <c r="BY161" s="419"/>
      <c r="BZ161" s="414"/>
      <c r="CA161" s="414"/>
      <c r="CB161" s="414"/>
      <c r="CC161" s="414"/>
      <c r="CD161" s="422"/>
      <c r="CE161" s="419">
        <f t="shared" si="254"/>
        <v>0</v>
      </c>
      <c r="CF161" s="414">
        <v>0</v>
      </c>
      <c r="CG161" s="414">
        <v>0</v>
      </c>
      <c r="CH161" s="414">
        <v>0</v>
      </c>
      <c r="CI161" s="414">
        <v>0</v>
      </c>
      <c r="CJ161" s="509">
        <v>0</v>
      </c>
    </row>
    <row r="162" spans="1:88" ht="14.1" customHeight="1">
      <c r="A162" s="66">
        <v>36</v>
      </c>
      <c r="B162" s="63">
        <v>2477</v>
      </c>
      <c r="C162" s="64">
        <v>600079872</v>
      </c>
      <c r="D162" s="63">
        <v>68975147</v>
      </c>
      <c r="E162" s="65" t="s">
        <v>607</v>
      </c>
      <c r="F162" s="66">
        <v>3143</v>
      </c>
      <c r="G162" s="77" t="s">
        <v>595</v>
      </c>
      <c r="H162" s="67" t="s">
        <v>271</v>
      </c>
      <c r="I162" s="419">
        <v>4475221</v>
      </c>
      <c r="J162" s="414">
        <v>3319897</v>
      </c>
      <c r="K162" s="414">
        <v>3319897</v>
      </c>
      <c r="L162" s="414">
        <v>0</v>
      </c>
      <c r="M162" s="414">
        <v>0</v>
      </c>
      <c r="N162" s="414">
        <v>0</v>
      </c>
      <c r="O162" s="414">
        <v>0</v>
      </c>
      <c r="P162" s="595">
        <v>1122125</v>
      </c>
      <c r="Q162" s="595">
        <v>33199</v>
      </c>
      <c r="R162" s="414">
        <v>0</v>
      </c>
      <c r="S162" s="415">
        <v>6.1570999999999998</v>
      </c>
      <c r="T162" s="415">
        <v>6.1570999999999998</v>
      </c>
      <c r="U162" s="422">
        <v>0</v>
      </c>
      <c r="V162" s="423">
        <f t="shared" si="232"/>
        <v>0</v>
      </c>
      <c r="W162" s="417">
        <f t="shared" si="233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234"/>
        <v>0</v>
      </c>
      <c r="AF162" s="417">
        <f t="shared" si="235"/>
        <v>0</v>
      </c>
      <c r="AG162" s="417">
        <f t="shared" si="236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37"/>
        <v>0</v>
      </c>
      <c r="AN162" s="417">
        <f t="shared" si="238"/>
        <v>0</v>
      </c>
      <c r="AO162" s="417">
        <f t="shared" si="239"/>
        <v>0</v>
      </c>
      <c r="AP162" s="417">
        <f t="shared" si="240"/>
        <v>0</v>
      </c>
      <c r="AQ162" s="417">
        <f t="shared" si="241"/>
        <v>0</v>
      </c>
      <c r="AR162" s="417">
        <f t="shared" si="242"/>
        <v>0</v>
      </c>
      <c r="AS162" s="68">
        <f t="shared" si="243"/>
        <v>0</v>
      </c>
      <c r="AT162" s="68">
        <f t="shared" si="244"/>
        <v>0</v>
      </c>
      <c r="AU162" s="417">
        <v>0</v>
      </c>
      <c r="AV162" s="417">
        <v>0</v>
      </c>
      <c r="AW162" s="417">
        <v>0</v>
      </c>
      <c r="AX162" s="417">
        <f t="shared" si="245"/>
        <v>0</v>
      </c>
      <c r="AY162" s="417">
        <f t="shared" si="246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47"/>
        <v>0</v>
      </c>
      <c r="BJ162" s="418">
        <f t="shared" si="248"/>
        <v>0</v>
      </c>
      <c r="BK162" s="420">
        <f t="shared" si="249"/>
        <v>0</v>
      </c>
      <c r="BL162" s="772">
        <f>I162+AY162</f>
        <v>4475221</v>
      </c>
      <c r="BM162" s="417">
        <f>J162+AG162</f>
        <v>3319897</v>
      </c>
      <c r="BN162" s="417">
        <f t="shared" si="269"/>
        <v>3319897</v>
      </c>
      <c r="BO162" s="417">
        <f t="shared" si="269"/>
        <v>0</v>
      </c>
      <c r="BP162" s="417">
        <f>M162+AO162</f>
        <v>0</v>
      </c>
      <c r="BQ162" s="417">
        <f t="shared" si="270"/>
        <v>0</v>
      </c>
      <c r="BR162" s="417">
        <f t="shared" si="270"/>
        <v>0</v>
      </c>
      <c r="BS162" s="417">
        <f t="shared" si="271"/>
        <v>1122125</v>
      </c>
      <c r="BT162" s="417">
        <f t="shared" si="271"/>
        <v>33199</v>
      </c>
      <c r="BU162" s="417">
        <f>R162+AX162</f>
        <v>0</v>
      </c>
      <c r="BV162" s="418">
        <f>S162+BK162</f>
        <v>6.1570999999999998</v>
      </c>
      <c r="BW162" s="418">
        <f t="shared" si="272"/>
        <v>6.1570999999999998</v>
      </c>
      <c r="BX162" s="420">
        <f t="shared" si="272"/>
        <v>0</v>
      </c>
      <c r="BY162" s="419"/>
      <c r="BZ162" s="414"/>
      <c r="CA162" s="414"/>
      <c r="CB162" s="414"/>
      <c r="CC162" s="414"/>
      <c r="CD162" s="422"/>
      <c r="CE162" s="419">
        <f t="shared" si="254"/>
        <v>0</v>
      </c>
      <c r="CF162" s="414">
        <v>0</v>
      </c>
      <c r="CG162" s="414">
        <v>0</v>
      </c>
      <c r="CH162" s="414">
        <v>0</v>
      </c>
      <c r="CI162" s="414">
        <v>0</v>
      </c>
      <c r="CJ162" s="509">
        <v>0</v>
      </c>
    </row>
    <row r="163" spans="1:88" ht="14.1" customHeight="1">
      <c r="A163" s="66">
        <v>36</v>
      </c>
      <c r="B163" s="63">
        <v>2477</v>
      </c>
      <c r="C163" s="64">
        <v>600079872</v>
      </c>
      <c r="D163" s="63">
        <v>68975147</v>
      </c>
      <c r="E163" s="65" t="s">
        <v>607</v>
      </c>
      <c r="F163" s="66">
        <v>3143</v>
      </c>
      <c r="G163" s="77" t="s">
        <v>596</v>
      </c>
      <c r="H163" s="67" t="s">
        <v>272</v>
      </c>
      <c r="I163" s="419">
        <v>157522</v>
      </c>
      <c r="J163" s="414">
        <v>112750</v>
      </c>
      <c r="K163" s="414">
        <v>0</v>
      </c>
      <c r="L163" s="601">
        <v>112750</v>
      </c>
      <c r="M163" s="414">
        <v>0</v>
      </c>
      <c r="N163" s="414">
        <v>0</v>
      </c>
      <c r="O163" s="414">
        <v>0</v>
      </c>
      <c r="P163" s="595">
        <v>38109</v>
      </c>
      <c r="Q163" s="595">
        <v>1128</v>
      </c>
      <c r="R163" s="602">
        <v>5535</v>
      </c>
      <c r="S163" s="415">
        <v>0.42470000000000002</v>
      </c>
      <c r="T163" s="605">
        <v>0</v>
      </c>
      <c r="U163" s="731">
        <v>0.42470000000000002</v>
      </c>
      <c r="V163" s="423">
        <f t="shared" si="232"/>
        <v>0</v>
      </c>
      <c r="W163" s="417">
        <f t="shared" si="233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234"/>
        <v>0</v>
      </c>
      <c r="AF163" s="417">
        <f t="shared" si="235"/>
        <v>0</v>
      </c>
      <c r="AG163" s="417">
        <f t="shared" si="236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237"/>
        <v>0</v>
      </c>
      <c r="AN163" s="417">
        <f t="shared" si="238"/>
        <v>0</v>
      </c>
      <c r="AO163" s="417">
        <f t="shared" si="239"/>
        <v>0</v>
      </c>
      <c r="AP163" s="417">
        <f t="shared" si="240"/>
        <v>0</v>
      </c>
      <c r="AQ163" s="417">
        <f t="shared" si="241"/>
        <v>0</v>
      </c>
      <c r="AR163" s="417">
        <f t="shared" si="242"/>
        <v>0</v>
      </c>
      <c r="AS163" s="68">
        <f t="shared" si="243"/>
        <v>0</v>
      </c>
      <c r="AT163" s="68">
        <f t="shared" si="244"/>
        <v>0</v>
      </c>
      <c r="AU163" s="417">
        <v>0</v>
      </c>
      <c r="AV163" s="417">
        <v>0</v>
      </c>
      <c r="AW163" s="417">
        <v>0</v>
      </c>
      <c r="AX163" s="417">
        <f t="shared" si="245"/>
        <v>0</v>
      </c>
      <c r="AY163" s="417">
        <f t="shared" si="246"/>
        <v>0</v>
      </c>
      <c r="AZ163" s="418">
        <v>0</v>
      </c>
      <c r="BA163" s="418">
        <v>0</v>
      </c>
      <c r="BB163" s="418">
        <v>0</v>
      </c>
      <c r="BC163" s="418">
        <v>0</v>
      </c>
      <c r="BD163" s="418">
        <v>0</v>
      </c>
      <c r="BE163" s="418">
        <v>0</v>
      </c>
      <c r="BF163" s="418">
        <v>0</v>
      </c>
      <c r="BG163" s="418">
        <v>0</v>
      </c>
      <c r="BH163" s="418">
        <v>0</v>
      </c>
      <c r="BI163" s="418">
        <f t="shared" si="247"/>
        <v>0</v>
      </c>
      <c r="BJ163" s="418">
        <f t="shared" si="248"/>
        <v>0</v>
      </c>
      <c r="BK163" s="420">
        <f t="shared" si="249"/>
        <v>0</v>
      </c>
      <c r="BL163" s="772">
        <f>I163+AY163</f>
        <v>157522</v>
      </c>
      <c r="BM163" s="417">
        <f>J163+AG163</f>
        <v>112750</v>
      </c>
      <c r="BN163" s="417">
        <f t="shared" si="269"/>
        <v>0</v>
      </c>
      <c r="BO163" s="417">
        <f t="shared" si="269"/>
        <v>112750</v>
      </c>
      <c r="BP163" s="417">
        <f>M163+AO163</f>
        <v>0</v>
      </c>
      <c r="BQ163" s="417">
        <f t="shared" si="270"/>
        <v>0</v>
      </c>
      <c r="BR163" s="417">
        <f t="shared" si="270"/>
        <v>0</v>
      </c>
      <c r="BS163" s="417">
        <f t="shared" si="271"/>
        <v>38109</v>
      </c>
      <c r="BT163" s="417">
        <f t="shared" si="271"/>
        <v>1128</v>
      </c>
      <c r="BU163" s="417">
        <f>R163+AX163</f>
        <v>5535</v>
      </c>
      <c r="BV163" s="418">
        <f>S163+BK163</f>
        <v>0.42470000000000002</v>
      </c>
      <c r="BW163" s="418">
        <f t="shared" si="272"/>
        <v>0</v>
      </c>
      <c r="BX163" s="420">
        <f t="shared" si="272"/>
        <v>0.42470000000000002</v>
      </c>
      <c r="BY163" s="419"/>
      <c r="BZ163" s="414"/>
      <c r="CA163" s="414"/>
      <c r="CB163" s="414"/>
      <c r="CC163" s="414"/>
      <c r="CD163" s="422"/>
      <c r="CE163" s="419">
        <f t="shared" si="254"/>
        <v>0</v>
      </c>
      <c r="CF163" s="414">
        <v>0</v>
      </c>
      <c r="CG163" s="414">
        <v>0</v>
      </c>
      <c r="CH163" s="414">
        <v>0</v>
      </c>
      <c r="CI163" s="414">
        <v>0</v>
      </c>
      <c r="CJ163" s="509">
        <v>0</v>
      </c>
    </row>
    <row r="164" spans="1:88" ht="14.1" customHeight="1">
      <c r="A164" s="72">
        <v>36</v>
      </c>
      <c r="B164" s="69">
        <v>2477</v>
      </c>
      <c r="C164" s="70">
        <v>600079872</v>
      </c>
      <c r="D164" s="69">
        <v>68975147</v>
      </c>
      <c r="E164" s="71" t="s">
        <v>608</v>
      </c>
      <c r="F164" s="72"/>
      <c r="G164" s="71"/>
      <c r="H164" s="73"/>
      <c r="I164" s="516">
        <v>56625722</v>
      </c>
      <c r="J164" s="74">
        <v>41234567</v>
      </c>
      <c r="K164" s="74">
        <v>38189915</v>
      </c>
      <c r="L164" s="74">
        <v>3044652</v>
      </c>
      <c r="M164" s="74">
        <v>110000</v>
      </c>
      <c r="N164" s="74">
        <v>30000</v>
      </c>
      <c r="O164" s="74">
        <v>80000</v>
      </c>
      <c r="P164" s="74">
        <v>13974464</v>
      </c>
      <c r="Q164" s="74">
        <v>412346</v>
      </c>
      <c r="R164" s="74">
        <v>894345</v>
      </c>
      <c r="S164" s="75">
        <v>68.599699999999999</v>
      </c>
      <c r="T164" s="75">
        <v>59.285000000000004</v>
      </c>
      <c r="U164" s="653">
        <v>9.3147000000000002</v>
      </c>
      <c r="V164" s="516">
        <f t="shared" ref="V164:BX164" si="273">SUM(V160:V163)</f>
        <v>15000</v>
      </c>
      <c r="W164" s="74">
        <f t="shared" si="273"/>
        <v>-33000</v>
      </c>
      <c r="X164" s="74">
        <f t="shared" si="273"/>
        <v>-270616</v>
      </c>
      <c r="Y164" s="74">
        <f t="shared" si="273"/>
        <v>52960</v>
      </c>
      <c r="Z164" s="74">
        <f t="shared" si="273"/>
        <v>0</v>
      </c>
      <c r="AA164" s="74">
        <f t="shared" si="273"/>
        <v>0</v>
      </c>
      <c r="AB164" s="74">
        <f t="shared" si="273"/>
        <v>0</v>
      </c>
      <c r="AC164" s="74">
        <f t="shared" si="273"/>
        <v>0</v>
      </c>
      <c r="AD164" s="74">
        <f t="shared" si="273"/>
        <v>0</v>
      </c>
      <c r="AE164" s="74">
        <f t="shared" si="273"/>
        <v>-202656</v>
      </c>
      <c r="AF164" s="74">
        <f t="shared" si="273"/>
        <v>-33000</v>
      </c>
      <c r="AG164" s="74">
        <f t="shared" si="273"/>
        <v>-235656</v>
      </c>
      <c r="AH164" s="74">
        <f t="shared" si="273"/>
        <v>-15000</v>
      </c>
      <c r="AI164" s="74">
        <f t="shared" si="273"/>
        <v>33000</v>
      </c>
      <c r="AJ164" s="74">
        <f t="shared" si="273"/>
        <v>0</v>
      </c>
      <c r="AK164" s="74">
        <f t="shared" si="273"/>
        <v>0</v>
      </c>
      <c r="AL164" s="74">
        <f t="shared" si="273"/>
        <v>0</v>
      </c>
      <c r="AM164" s="74">
        <f t="shared" si="273"/>
        <v>-15000</v>
      </c>
      <c r="AN164" s="74">
        <f t="shared" si="273"/>
        <v>33000</v>
      </c>
      <c r="AO164" s="74">
        <f t="shared" si="273"/>
        <v>18000</v>
      </c>
      <c r="AP164" s="74">
        <f t="shared" si="273"/>
        <v>-217656</v>
      </c>
      <c r="AQ164" s="74">
        <f t="shared" si="273"/>
        <v>0</v>
      </c>
      <c r="AR164" s="74">
        <f t="shared" si="273"/>
        <v>-217656</v>
      </c>
      <c r="AS164" s="74">
        <f t="shared" si="273"/>
        <v>-73568</v>
      </c>
      <c r="AT164" s="74">
        <f t="shared" si="273"/>
        <v>-2356</v>
      </c>
      <c r="AU164" s="74">
        <f t="shared" si="273"/>
        <v>0</v>
      </c>
      <c r="AV164" s="74">
        <f t="shared" si="273"/>
        <v>0</v>
      </c>
      <c r="AW164" s="74">
        <f t="shared" si="273"/>
        <v>0</v>
      </c>
      <c r="AX164" s="74">
        <f t="shared" si="273"/>
        <v>0</v>
      </c>
      <c r="AY164" s="74">
        <f t="shared" si="273"/>
        <v>-293580</v>
      </c>
      <c r="AZ164" s="75">
        <f t="shared" si="273"/>
        <v>0.01</v>
      </c>
      <c r="BA164" s="75">
        <f t="shared" si="273"/>
        <v>-0.1</v>
      </c>
      <c r="BB164" s="75">
        <f t="shared" si="273"/>
        <v>-0.62</v>
      </c>
      <c r="BC164" s="75">
        <f t="shared" si="273"/>
        <v>0</v>
      </c>
      <c r="BD164" s="75">
        <f t="shared" si="273"/>
        <v>0</v>
      </c>
      <c r="BE164" s="75">
        <f t="shared" si="273"/>
        <v>0.08</v>
      </c>
      <c r="BF164" s="75">
        <f t="shared" si="273"/>
        <v>0</v>
      </c>
      <c r="BG164" s="75">
        <f t="shared" si="273"/>
        <v>0</v>
      </c>
      <c r="BH164" s="75">
        <f t="shared" si="273"/>
        <v>0</v>
      </c>
      <c r="BI164" s="75">
        <f t="shared" si="273"/>
        <v>-0.53</v>
      </c>
      <c r="BJ164" s="75">
        <f t="shared" si="273"/>
        <v>-0.1</v>
      </c>
      <c r="BK164" s="76">
        <f t="shared" si="273"/>
        <v>-0.63</v>
      </c>
      <c r="BL164" s="781">
        <f t="shared" si="273"/>
        <v>56332142</v>
      </c>
      <c r="BM164" s="74">
        <f t="shared" si="273"/>
        <v>40998911</v>
      </c>
      <c r="BN164" s="74">
        <f t="shared" si="273"/>
        <v>37987259</v>
      </c>
      <c r="BO164" s="74">
        <f t="shared" si="273"/>
        <v>3011652</v>
      </c>
      <c r="BP164" s="74">
        <f t="shared" si="273"/>
        <v>128000</v>
      </c>
      <c r="BQ164" s="74">
        <f t="shared" si="273"/>
        <v>15000</v>
      </c>
      <c r="BR164" s="74">
        <f t="shared" si="273"/>
        <v>113000</v>
      </c>
      <c r="BS164" s="74">
        <f t="shared" si="273"/>
        <v>13900896</v>
      </c>
      <c r="BT164" s="74">
        <f t="shared" si="273"/>
        <v>409990</v>
      </c>
      <c r="BU164" s="74">
        <f t="shared" si="273"/>
        <v>894345</v>
      </c>
      <c r="BV164" s="75">
        <f t="shared" si="273"/>
        <v>67.969700000000003</v>
      </c>
      <c r="BW164" s="75">
        <f t="shared" si="273"/>
        <v>58.75500000000001</v>
      </c>
      <c r="BX164" s="76">
        <f t="shared" si="273"/>
        <v>9.2147000000000006</v>
      </c>
      <c r="BY164" s="791">
        <f t="shared" ref="BY164:CJ164" si="274">SUM(BY160:BY163)</f>
        <v>152054</v>
      </c>
      <c r="BZ164" s="679">
        <f t="shared" si="274"/>
        <v>112800</v>
      </c>
      <c r="CA164" s="679">
        <f t="shared" si="274"/>
        <v>0</v>
      </c>
      <c r="CB164" s="679">
        <f t="shared" si="274"/>
        <v>38126</v>
      </c>
      <c r="CC164" s="679">
        <f t="shared" si="274"/>
        <v>1128</v>
      </c>
      <c r="CD164" s="947">
        <f t="shared" si="274"/>
        <v>0.2</v>
      </c>
      <c r="CE164" s="956">
        <f t="shared" si="274"/>
        <v>1510621</v>
      </c>
      <c r="CF164" s="953">
        <f t="shared" si="274"/>
        <v>966824</v>
      </c>
      <c r="CG164" s="953">
        <f t="shared" si="274"/>
        <v>326787</v>
      </c>
      <c r="CH164" s="953">
        <f t="shared" si="274"/>
        <v>9668</v>
      </c>
      <c r="CI164" s="953">
        <f t="shared" si="274"/>
        <v>207342</v>
      </c>
      <c r="CJ164" s="877">
        <f t="shared" si="274"/>
        <v>2.931</v>
      </c>
    </row>
    <row r="165" spans="1:88" ht="14.1" customHeight="1">
      <c r="A165" s="66">
        <v>37</v>
      </c>
      <c r="B165" s="63">
        <v>2470</v>
      </c>
      <c r="C165" s="64">
        <v>600080013</v>
      </c>
      <c r="D165" s="63">
        <v>72741554</v>
      </c>
      <c r="E165" s="65" t="s">
        <v>609</v>
      </c>
      <c r="F165" s="66">
        <v>3113</v>
      </c>
      <c r="G165" s="65" t="s">
        <v>293</v>
      </c>
      <c r="H165" s="67" t="s">
        <v>271</v>
      </c>
      <c r="I165" s="419">
        <v>42308572</v>
      </c>
      <c r="J165" s="414">
        <v>30625235</v>
      </c>
      <c r="K165" s="414">
        <v>28338874</v>
      </c>
      <c r="L165" s="414">
        <v>2286361</v>
      </c>
      <c r="M165" s="414">
        <v>240000</v>
      </c>
      <c r="N165" s="414">
        <v>140000</v>
      </c>
      <c r="O165" s="414">
        <v>100000</v>
      </c>
      <c r="P165" s="595">
        <v>10432449</v>
      </c>
      <c r="Q165" s="595">
        <v>306253</v>
      </c>
      <c r="R165" s="414">
        <v>704635</v>
      </c>
      <c r="S165" s="415">
        <v>43.420900000000003</v>
      </c>
      <c r="T165" s="415">
        <v>36.5047</v>
      </c>
      <c r="U165" s="422">
        <v>6.9161999999999999</v>
      </c>
      <c r="V165" s="423">
        <f t="shared" si="232"/>
        <v>90000</v>
      </c>
      <c r="W165" s="417">
        <f t="shared" si="233"/>
        <v>0</v>
      </c>
      <c r="X165" s="417">
        <v>0</v>
      </c>
      <c r="Y165" s="417">
        <v>0</v>
      </c>
      <c r="Z165" s="417">
        <v>0</v>
      </c>
      <c r="AA165" s="417">
        <v>0</v>
      </c>
      <c r="AB165" s="417">
        <v>0</v>
      </c>
      <c r="AC165" s="417">
        <v>0</v>
      </c>
      <c r="AD165" s="417">
        <v>0</v>
      </c>
      <c r="AE165" s="417">
        <f t="shared" si="234"/>
        <v>90000</v>
      </c>
      <c r="AF165" s="417">
        <f t="shared" si="235"/>
        <v>0</v>
      </c>
      <c r="AG165" s="417">
        <f t="shared" si="236"/>
        <v>90000</v>
      </c>
      <c r="AH165" s="417">
        <v>-90000</v>
      </c>
      <c r="AI165" s="417">
        <v>0</v>
      </c>
      <c r="AJ165" s="417">
        <v>0</v>
      </c>
      <c r="AK165" s="417">
        <v>0</v>
      </c>
      <c r="AL165" s="417">
        <v>0</v>
      </c>
      <c r="AM165" s="417">
        <f t="shared" si="237"/>
        <v>-90000</v>
      </c>
      <c r="AN165" s="417">
        <f t="shared" si="238"/>
        <v>0</v>
      </c>
      <c r="AO165" s="417">
        <f t="shared" si="239"/>
        <v>-90000</v>
      </c>
      <c r="AP165" s="417">
        <f t="shared" si="240"/>
        <v>0</v>
      </c>
      <c r="AQ165" s="417">
        <f t="shared" si="241"/>
        <v>0</v>
      </c>
      <c r="AR165" s="417">
        <f t="shared" si="242"/>
        <v>0</v>
      </c>
      <c r="AS165" s="68">
        <f t="shared" si="243"/>
        <v>0</v>
      </c>
      <c r="AT165" s="68">
        <f t="shared" si="244"/>
        <v>900</v>
      </c>
      <c r="AU165" s="417">
        <v>0</v>
      </c>
      <c r="AV165" s="417">
        <v>0</v>
      </c>
      <c r="AW165" s="417">
        <v>0</v>
      </c>
      <c r="AX165" s="417">
        <f t="shared" si="245"/>
        <v>0</v>
      </c>
      <c r="AY165" s="417">
        <f t="shared" si="246"/>
        <v>900</v>
      </c>
      <c r="AZ165" s="418">
        <v>0.1</v>
      </c>
      <c r="BA165" s="418">
        <v>0</v>
      </c>
      <c r="BB165" s="418">
        <v>0</v>
      </c>
      <c r="BC165" s="418">
        <v>0</v>
      </c>
      <c r="BD165" s="418">
        <v>0</v>
      </c>
      <c r="BE165" s="418">
        <v>0</v>
      </c>
      <c r="BF165" s="418">
        <v>0</v>
      </c>
      <c r="BG165" s="418">
        <v>0</v>
      </c>
      <c r="BH165" s="418">
        <v>0</v>
      </c>
      <c r="BI165" s="418">
        <f t="shared" si="247"/>
        <v>0.1</v>
      </c>
      <c r="BJ165" s="418">
        <f t="shared" si="248"/>
        <v>0</v>
      </c>
      <c r="BK165" s="420">
        <f t="shared" si="249"/>
        <v>0.1</v>
      </c>
      <c r="BL165" s="772">
        <f>I165+AY165</f>
        <v>42309472</v>
      </c>
      <c r="BM165" s="417">
        <f>J165+AG165</f>
        <v>30715235</v>
      </c>
      <c r="BN165" s="417">
        <f t="shared" ref="BN165:BO169" si="275">K165+AE165</f>
        <v>28428874</v>
      </c>
      <c r="BO165" s="417">
        <f t="shared" si="275"/>
        <v>2286361</v>
      </c>
      <c r="BP165" s="417">
        <f>M165+AO165</f>
        <v>150000</v>
      </c>
      <c r="BQ165" s="417">
        <f t="shared" ref="BQ165:BR169" si="276">N165+AM165</f>
        <v>50000</v>
      </c>
      <c r="BR165" s="417">
        <f t="shared" si="276"/>
        <v>100000</v>
      </c>
      <c r="BS165" s="417">
        <f t="shared" ref="BS165:BT169" si="277">P165+AS165</f>
        <v>10432449</v>
      </c>
      <c r="BT165" s="417">
        <f t="shared" si="277"/>
        <v>307153</v>
      </c>
      <c r="BU165" s="417">
        <f>R165+AX165</f>
        <v>704635</v>
      </c>
      <c r="BV165" s="418">
        <f>S165+BK165</f>
        <v>43.520900000000005</v>
      </c>
      <c r="BW165" s="418">
        <f t="shared" ref="BW165:BX169" si="278">T165+BI165</f>
        <v>36.604700000000001</v>
      </c>
      <c r="BX165" s="420">
        <f t="shared" si="278"/>
        <v>6.9161999999999999</v>
      </c>
      <c r="BY165" s="419">
        <v>760272</v>
      </c>
      <c r="BZ165" s="414">
        <v>564000</v>
      </c>
      <c r="CA165" s="414">
        <v>0</v>
      </c>
      <c r="CB165" s="414">
        <v>190632</v>
      </c>
      <c r="CC165" s="414">
        <v>5640</v>
      </c>
      <c r="CD165" s="422">
        <v>1</v>
      </c>
      <c r="CE165" s="419">
        <f t="shared" si="254"/>
        <v>1197784</v>
      </c>
      <c r="CF165" s="414">
        <v>765917</v>
      </c>
      <c r="CG165" s="414">
        <v>258880</v>
      </c>
      <c r="CH165" s="414">
        <v>7659</v>
      </c>
      <c r="CI165" s="414">
        <v>165328</v>
      </c>
      <c r="CJ165" s="509">
        <v>2.3162000000000003</v>
      </c>
    </row>
    <row r="166" spans="1:88" ht="14.1" customHeight="1">
      <c r="A166" s="66">
        <v>37</v>
      </c>
      <c r="B166" s="63">
        <v>2470</v>
      </c>
      <c r="C166" s="64">
        <v>600080013</v>
      </c>
      <c r="D166" s="63">
        <v>72741554</v>
      </c>
      <c r="E166" s="65" t="s">
        <v>609</v>
      </c>
      <c r="F166" s="66">
        <v>3113</v>
      </c>
      <c r="G166" s="77" t="s">
        <v>291</v>
      </c>
      <c r="H166" s="67" t="s">
        <v>272</v>
      </c>
      <c r="I166" s="419">
        <v>1341739</v>
      </c>
      <c r="J166" s="414">
        <v>988122</v>
      </c>
      <c r="K166" s="414">
        <v>988122</v>
      </c>
      <c r="L166" s="414">
        <v>0</v>
      </c>
      <c r="M166" s="414">
        <v>0</v>
      </c>
      <c r="N166" s="414">
        <v>0</v>
      </c>
      <c r="O166" s="414">
        <v>0</v>
      </c>
      <c r="P166" s="595">
        <v>333986</v>
      </c>
      <c r="Q166" s="595">
        <v>9881</v>
      </c>
      <c r="R166" s="414">
        <v>9750</v>
      </c>
      <c r="S166" s="415">
        <v>2.7300000000000004</v>
      </c>
      <c r="T166" s="416">
        <v>2.7300000000000004</v>
      </c>
      <c r="U166" s="422">
        <v>0</v>
      </c>
      <c r="V166" s="423">
        <f t="shared" si="232"/>
        <v>0</v>
      </c>
      <c r="W166" s="417">
        <f t="shared" si="233"/>
        <v>0</v>
      </c>
      <c r="X166" s="417">
        <v>0</v>
      </c>
      <c r="Y166" s="417">
        <v>59580</v>
      </c>
      <c r="Z166" s="417">
        <v>0</v>
      </c>
      <c r="AA166" s="417">
        <v>0</v>
      </c>
      <c r="AB166" s="417">
        <v>0</v>
      </c>
      <c r="AC166" s="417">
        <v>0</v>
      </c>
      <c r="AD166" s="417">
        <v>0</v>
      </c>
      <c r="AE166" s="417">
        <f t="shared" si="234"/>
        <v>59580</v>
      </c>
      <c r="AF166" s="417">
        <f t="shared" si="235"/>
        <v>0</v>
      </c>
      <c r="AG166" s="417">
        <f t="shared" si="236"/>
        <v>59580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237"/>
        <v>0</v>
      </c>
      <c r="AN166" s="417">
        <f t="shared" si="238"/>
        <v>0</v>
      </c>
      <c r="AO166" s="417">
        <f t="shared" si="239"/>
        <v>0</v>
      </c>
      <c r="AP166" s="417">
        <f t="shared" si="240"/>
        <v>59580</v>
      </c>
      <c r="AQ166" s="417">
        <f t="shared" si="241"/>
        <v>0</v>
      </c>
      <c r="AR166" s="417">
        <f t="shared" si="242"/>
        <v>59580</v>
      </c>
      <c r="AS166" s="68">
        <f t="shared" si="243"/>
        <v>20138</v>
      </c>
      <c r="AT166" s="68">
        <f t="shared" si="244"/>
        <v>596</v>
      </c>
      <c r="AU166" s="417">
        <v>0</v>
      </c>
      <c r="AV166" s="417">
        <v>0</v>
      </c>
      <c r="AW166" s="417">
        <v>0</v>
      </c>
      <c r="AX166" s="417">
        <f t="shared" si="245"/>
        <v>0</v>
      </c>
      <c r="AY166" s="417">
        <f t="shared" si="246"/>
        <v>80314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0.09</v>
      </c>
      <c r="BF166" s="418">
        <v>0</v>
      </c>
      <c r="BG166" s="418">
        <v>0</v>
      </c>
      <c r="BH166" s="418">
        <v>0</v>
      </c>
      <c r="BI166" s="418">
        <f t="shared" si="247"/>
        <v>0.09</v>
      </c>
      <c r="BJ166" s="418">
        <f t="shared" si="248"/>
        <v>0</v>
      </c>
      <c r="BK166" s="420">
        <f t="shared" si="249"/>
        <v>0.09</v>
      </c>
      <c r="BL166" s="772">
        <f>I166+AY166</f>
        <v>1422053</v>
      </c>
      <c r="BM166" s="417">
        <f>J166+AG166</f>
        <v>1047702</v>
      </c>
      <c r="BN166" s="417">
        <f t="shared" si="275"/>
        <v>1047702</v>
      </c>
      <c r="BO166" s="417">
        <f t="shared" si="275"/>
        <v>0</v>
      </c>
      <c r="BP166" s="417">
        <f>M166+AO166</f>
        <v>0</v>
      </c>
      <c r="BQ166" s="417">
        <f t="shared" si="276"/>
        <v>0</v>
      </c>
      <c r="BR166" s="417">
        <f t="shared" si="276"/>
        <v>0</v>
      </c>
      <c r="BS166" s="417">
        <f t="shared" si="277"/>
        <v>354124</v>
      </c>
      <c r="BT166" s="417">
        <f t="shared" si="277"/>
        <v>10477</v>
      </c>
      <c r="BU166" s="417">
        <f>R166+AX166</f>
        <v>9750</v>
      </c>
      <c r="BV166" s="418">
        <f>S166+BK166</f>
        <v>2.8200000000000003</v>
      </c>
      <c r="BW166" s="418">
        <f t="shared" si="278"/>
        <v>2.8200000000000003</v>
      </c>
      <c r="BX166" s="420">
        <f t="shared" si="278"/>
        <v>0</v>
      </c>
      <c r="BY166" s="419"/>
      <c r="BZ166" s="414"/>
      <c r="CA166" s="414"/>
      <c r="CB166" s="414"/>
      <c r="CC166" s="414"/>
      <c r="CD166" s="422"/>
      <c r="CE166" s="419">
        <f t="shared" si="254"/>
        <v>0</v>
      </c>
      <c r="CF166" s="414">
        <v>0</v>
      </c>
      <c r="CG166" s="414">
        <v>0</v>
      </c>
      <c r="CH166" s="414">
        <v>0</v>
      </c>
      <c r="CI166" s="414">
        <v>0</v>
      </c>
      <c r="CJ166" s="509">
        <v>0</v>
      </c>
    </row>
    <row r="167" spans="1:88" ht="14.1" customHeight="1">
      <c r="A167" s="66">
        <v>37</v>
      </c>
      <c r="B167" s="63">
        <v>2470</v>
      </c>
      <c r="C167" s="64">
        <v>600080013</v>
      </c>
      <c r="D167" s="63">
        <v>72741554</v>
      </c>
      <c r="E167" s="65" t="s">
        <v>609</v>
      </c>
      <c r="F167" s="66">
        <v>3141</v>
      </c>
      <c r="G167" s="77" t="s">
        <v>294</v>
      </c>
      <c r="H167" s="67" t="s">
        <v>272</v>
      </c>
      <c r="I167" s="419">
        <v>3456950</v>
      </c>
      <c r="J167" s="414">
        <v>2414096</v>
      </c>
      <c r="K167" s="414">
        <v>0</v>
      </c>
      <c r="L167" s="744">
        <v>2414096</v>
      </c>
      <c r="M167" s="414">
        <v>130000</v>
      </c>
      <c r="N167" s="204">
        <v>0</v>
      </c>
      <c r="O167" s="204">
        <v>130000</v>
      </c>
      <c r="P167" s="595">
        <v>859905</v>
      </c>
      <c r="Q167" s="595">
        <v>24141</v>
      </c>
      <c r="R167" s="601">
        <v>28808</v>
      </c>
      <c r="S167" s="415">
        <v>7.3266999999999998</v>
      </c>
      <c r="T167" s="603">
        <v>0</v>
      </c>
      <c r="U167" s="731">
        <v>7.3266999999999998</v>
      </c>
      <c r="V167" s="423">
        <f t="shared" si="232"/>
        <v>0</v>
      </c>
      <c r="W167" s="417">
        <f t="shared" si="233"/>
        <v>70000</v>
      </c>
      <c r="X167" s="417">
        <v>0</v>
      </c>
      <c r="Y167" s="417">
        <v>0</v>
      </c>
      <c r="Z167" s="417">
        <v>0</v>
      </c>
      <c r="AA167" s="417">
        <v>-4916</v>
      </c>
      <c r="AB167" s="417">
        <v>0</v>
      </c>
      <c r="AC167" s="417">
        <v>0</v>
      </c>
      <c r="AD167" s="417">
        <v>0</v>
      </c>
      <c r="AE167" s="417">
        <f t="shared" si="234"/>
        <v>0</v>
      </c>
      <c r="AF167" s="417">
        <f t="shared" si="235"/>
        <v>65084</v>
      </c>
      <c r="AG167" s="417">
        <f t="shared" si="236"/>
        <v>65084</v>
      </c>
      <c r="AH167" s="417">
        <v>0</v>
      </c>
      <c r="AI167" s="417">
        <v>-70000</v>
      </c>
      <c r="AJ167" s="417">
        <v>0</v>
      </c>
      <c r="AK167" s="417">
        <v>0</v>
      </c>
      <c r="AL167" s="417">
        <v>0</v>
      </c>
      <c r="AM167" s="417">
        <f t="shared" si="237"/>
        <v>0</v>
      </c>
      <c r="AN167" s="417">
        <f t="shared" si="238"/>
        <v>-70000</v>
      </c>
      <c r="AO167" s="417">
        <f t="shared" si="239"/>
        <v>-70000</v>
      </c>
      <c r="AP167" s="417">
        <f t="shared" si="240"/>
        <v>0</v>
      </c>
      <c r="AQ167" s="417">
        <f t="shared" si="241"/>
        <v>-4916</v>
      </c>
      <c r="AR167" s="417">
        <f t="shared" si="242"/>
        <v>-4916</v>
      </c>
      <c r="AS167" s="68">
        <f t="shared" si="243"/>
        <v>-1662</v>
      </c>
      <c r="AT167" s="68">
        <f t="shared" si="244"/>
        <v>651</v>
      </c>
      <c r="AU167" s="417">
        <v>0</v>
      </c>
      <c r="AV167" s="417">
        <v>0</v>
      </c>
      <c r="AW167" s="417">
        <v>0</v>
      </c>
      <c r="AX167" s="417">
        <f t="shared" si="245"/>
        <v>0</v>
      </c>
      <c r="AY167" s="417">
        <f t="shared" si="246"/>
        <v>-5927</v>
      </c>
      <c r="AZ167" s="418">
        <v>0</v>
      </c>
      <c r="BA167" s="418">
        <v>0.12</v>
      </c>
      <c r="BB167" s="418">
        <v>0</v>
      </c>
      <c r="BC167" s="418">
        <v>0</v>
      </c>
      <c r="BD167" s="418">
        <v>-0.01</v>
      </c>
      <c r="BE167" s="418">
        <v>0</v>
      </c>
      <c r="BF167" s="418">
        <v>0</v>
      </c>
      <c r="BG167" s="418">
        <v>0</v>
      </c>
      <c r="BH167" s="418">
        <v>0</v>
      </c>
      <c r="BI167" s="418">
        <f t="shared" si="247"/>
        <v>0</v>
      </c>
      <c r="BJ167" s="418">
        <f t="shared" si="248"/>
        <v>0.11</v>
      </c>
      <c r="BK167" s="420">
        <f t="shared" si="249"/>
        <v>0.11</v>
      </c>
      <c r="BL167" s="772">
        <f>I167+AY167</f>
        <v>3451023</v>
      </c>
      <c r="BM167" s="417">
        <f>J167+AG167</f>
        <v>2479180</v>
      </c>
      <c r="BN167" s="417">
        <f t="shared" si="275"/>
        <v>0</v>
      </c>
      <c r="BO167" s="417">
        <f t="shared" si="275"/>
        <v>2479180</v>
      </c>
      <c r="BP167" s="417">
        <f>M167+AO167</f>
        <v>60000</v>
      </c>
      <c r="BQ167" s="417">
        <f t="shared" si="276"/>
        <v>0</v>
      </c>
      <c r="BR167" s="417">
        <f t="shared" si="276"/>
        <v>60000</v>
      </c>
      <c r="BS167" s="417">
        <f t="shared" si="277"/>
        <v>858243</v>
      </c>
      <c r="BT167" s="417">
        <f t="shared" si="277"/>
        <v>24792</v>
      </c>
      <c r="BU167" s="417">
        <f>R167+AX167</f>
        <v>28808</v>
      </c>
      <c r="BV167" s="418">
        <f>S167+BK167</f>
        <v>7.4367000000000001</v>
      </c>
      <c r="BW167" s="418">
        <f t="shared" si="278"/>
        <v>0</v>
      </c>
      <c r="BX167" s="420">
        <f t="shared" si="278"/>
        <v>7.4367000000000001</v>
      </c>
      <c r="BY167" s="419"/>
      <c r="BZ167" s="414"/>
      <c r="CA167" s="414"/>
      <c r="CB167" s="414"/>
      <c r="CC167" s="414"/>
      <c r="CD167" s="422"/>
      <c r="CE167" s="419">
        <f t="shared" si="254"/>
        <v>0</v>
      </c>
      <c r="CF167" s="414">
        <v>0</v>
      </c>
      <c r="CG167" s="414">
        <v>0</v>
      </c>
      <c r="CH167" s="414">
        <v>0</v>
      </c>
      <c r="CI167" s="414">
        <v>0</v>
      </c>
      <c r="CJ167" s="509">
        <v>0</v>
      </c>
    </row>
    <row r="168" spans="1:88" ht="14.1" customHeight="1">
      <c r="A168" s="66">
        <v>37</v>
      </c>
      <c r="B168" s="63">
        <v>2470</v>
      </c>
      <c r="C168" s="64">
        <v>600080013</v>
      </c>
      <c r="D168" s="63">
        <v>72741554</v>
      </c>
      <c r="E168" s="65" t="s">
        <v>609</v>
      </c>
      <c r="F168" s="66">
        <v>3143</v>
      </c>
      <c r="G168" s="77" t="s">
        <v>595</v>
      </c>
      <c r="H168" s="67" t="s">
        <v>271</v>
      </c>
      <c r="I168" s="419">
        <v>6586866</v>
      </c>
      <c r="J168" s="414">
        <v>4856622</v>
      </c>
      <c r="K168" s="414">
        <v>4856622</v>
      </c>
      <c r="L168" s="414">
        <v>0</v>
      </c>
      <c r="M168" s="414">
        <v>30000</v>
      </c>
      <c r="N168" s="414">
        <v>30000</v>
      </c>
      <c r="O168" s="414">
        <v>0</v>
      </c>
      <c r="P168" s="595">
        <v>1651678</v>
      </c>
      <c r="Q168" s="595">
        <v>48566</v>
      </c>
      <c r="R168" s="414">
        <v>0</v>
      </c>
      <c r="S168" s="415">
        <v>9.8946000000000005</v>
      </c>
      <c r="T168" s="415">
        <v>9.8946000000000005</v>
      </c>
      <c r="U168" s="422">
        <v>0</v>
      </c>
      <c r="V168" s="423">
        <f t="shared" si="232"/>
        <v>-20000</v>
      </c>
      <c r="W168" s="417">
        <f t="shared" si="233"/>
        <v>0</v>
      </c>
      <c r="X168" s="417">
        <v>0</v>
      </c>
      <c r="Y168" s="417">
        <v>0</v>
      </c>
      <c r="Z168" s="417">
        <v>0</v>
      </c>
      <c r="AA168" s="417">
        <v>0</v>
      </c>
      <c r="AB168" s="417">
        <v>0</v>
      </c>
      <c r="AC168" s="417">
        <v>0</v>
      </c>
      <c r="AD168" s="417">
        <v>0</v>
      </c>
      <c r="AE168" s="417">
        <f t="shared" si="234"/>
        <v>-20000</v>
      </c>
      <c r="AF168" s="417">
        <f t="shared" si="235"/>
        <v>0</v>
      </c>
      <c r="AG168" s="417">
        <f t="shared" si="236"/>
        <v>-20000</v>
      </c>
      <c r="AH168" s="417">
        <v>20000</v>
      </c>
      <c r="AI168" s="417">
        <v>0</v>
      </c>
      <c r="AJ168" s="417">
        <v>0</v>
      </c>
      <c r="AK168" s="417">
        <v>0</v>
      </c>
      <c r="AL168" s="417">
        <v>0</v>
      </c>
      <c r="AM168" s="417">
        <f t="shared" si="237"/>
        <v>20000</v>
      </c>
      <c r="AN168" s="417">
        <f t="shared" si="238"/>
        <v>0</v>
      </c>
      <c r="AO168" s="417">
        <f t="shared" si="239"/>
        <v>20000</v>
      </c>
      <c r="AP168" s="417">
        <f t="shared" si="240"/>
        <v>0</v>
      </c>
      <c r="AQ168" s="417">
        <f t="shared" si="241"/>
        <v>0</v>
      </c>
      <c r="AR168" s="417">
        <f t="shared" si="242"/>
        <v>0</v>
      </c>
      <c r="AS168" s="68">
        <f t="shared" si="243"/>
        <v>0</v>
      </c>
      <c r="AT168" s="68">
        <f t="shared" si="244"/>
        <v>-200</v>
      </c>
      <c r="AU168" s="417">
        <v>0</v>
      </c>
      <c r="AV168" s="417">
        <v>0</v>
      </c>
      <c r="AW168" s="417">
        <v>0</v>
      </c>
      <c r="AX168" s="417">
        <f t="shared" si="245"/>
        <v>0</v>
      </c>
      <c r="AY168" s="417">
        <f t="shared" si="246"/>
        <v>-200</v>
      </c>
      <c r="AZ168" s="418">
        <v>-0.08</v>
      </c>
      <c r="BA168" s="418">
        <v>0</v>
      </c>
      <c r="BB168" s="418">
        <v>0</v>
      </c>
      <c r="BC168" s="418">
        <v>0</v>
      </c>
      <c r="BD168" s="418">
        <v>0</v>
      </c>
      <c r="BE168" s="418">
        <v>0</v>
      </c>
      <c r="BF168" s="418">
        <v>0</v>
      </c>
      <c r="BG168" s="418">
        <v>0</v>
      </c>
      <c r="BH168" s="418">
        <v>0</v>
      </c>
      <c r="BI168" s="418">
        <f t="shared" si="247"/>
        <v>-0.08</v>
      </c>
      <c r="BJ168" s="418">
        <f t="shared" si="248"/>
        <v>0</v>
      </c>
      <c r="BK168" s="420">
        <f t="shared" si="249"/>
        <v>-0.08</v>
      </c>
      <c r="BL168" s="772">
        <f>I168+AY168</f>
        <v>6586666</v>
      </c>
      <c r="BM168" s="417">
        <f>J168+AG168</f>
        <v>4836622</v>
      </c>
      <c r="BN168" s="417">
        <f t="shared" si="275"/>
        <v>4836622</v>
      </c>
      <c r="BO168" s="417">
        <f t="shared" si="275"/>
        <v>0</v>
      </c>
      <c r="BP168" s="417">
        <f>M168+AO168</f>
        <v>50000</v>
      </c>
      <c r="BQ168" s="417">
        <f t="shared" si="276"/>
        <v>50000</v>
      </c>
      <c r="BR168" s="417">
        <f t="shared" si="276"/>
        <v>0</v>
      </c>
      <c r="BS168" s="417">
        <f t="shared" si="277"/>
        <v>1651678</v>
      </c>
      <c r="BT168" s="417">
        <f t="shared" si="277"/>
        <v>48366</v>
      </c>
      <c r="BU168" s="417">
        <f>R168+AX168</f>
        <v>0</v>
      </c>
      <c r="BV168" s="418">
        <f>S168+BK168</f>
        <v>9.8146000000000004</v>
      </c>
      <c r="BW168" s="418">
        <f t="shared" si="278"/>
        <v>9.8146000000000004</v>
      </c>
      <c r="BX168" s="420">
        <f t="shared" si="278"/>
        <v>0</v>
      </c>
      <c r="BY168" s="419"/>
      <c r="BZ168" s="414"/>
      <c r="CA168" s="414"/>
      <c r="CB168" s="414"/>
      <c r="CC168" s="414"/>
      <c r="CD168" s="422"/>
      <c r="CE168" s="419">
        <f t="shared" si="254"/>
        <v>0</v>
      </c>
      <c r="CF168" s="414">
        <v>0</v>
      </c>
      <c r="CG168" s="414">
        <v>0</v>
      </c>
      <c r="CH168" s="414">
        <v>0</v>
      </c>
      <c r="CI168" s="414">
        <v>0</v>
      </c>
      <c r="CJ168" s="509">
        <v>0</v>
      </c>
    </row>
    <row r="169" spans="1:88" ht="14.1" customHeight="1">
      <c r="A169" s="66">
        <v>37</v>
      </c>
      <c r="B169" s="63">
        <v>2470</v>
      </c>
      <c r="C169" s="64">
        <v>600080013</v>
      </c>
      <c r="D169" s="63">
        <v>72741554</v>
      </c>
      <c r="E169" s="65" t="s">
        <v>609</v>
      </c>
      <c r="F169" s="66">
        <v>3143</v>
      </c>
      <c r="G169" s="77" t="s">
        <v>596</v>
      </c>
      <c r="H169" s="67" t="s">
        <v>272</v>
      </c>
      <c r="I169" s="419">
        <v>210542</v>
      </c>
      <c r="J169" s="414">
        <v>150700</v>
      </c>
      <c r="K169" s="414">
        <v>0</v>
      </c>
      <c r="L169" s="601">
        <v>150700</v>
      </c>
      <c r="M169" s="414">
        <v>0</v>
      </c>
      <c r="N169" s="414">
        <v>0</v>
      </c>
      <c r="O169" s="414">
        <v>0</v>
      </c>
      <c r="P169" s="595">
        <v>50937</v>
      </c>
      <c r="Q169" s="595">
        <v>1507</v>
      </c>
      <c r="R169" s="602">
        <v>7398</v>
      </c>
      <c r="S169" s="415">
        <v>0.5706</v>
      </c>
      <c r="T169" s="605">
        <v>0</v>
      </c>
      <c r="U169" s="731">
        <v>0.5706</v>
      </c>
      <c r="V169" s="423">
        <f t="shared" si="232"/>
        <v>0</v>
      </c>
      <c r="W169" s="417">
        <f t="shared" si="233"/>
        <v>0</v>
      </c>
      <c r="X169" s="417">
        <v>0</v>
      </c>
      <c r="Y169" s="417">
        <v>0</v>
      </c>
      <c r="Z169" s="417">
        <v>0</v>
      </c>
      <c r="AA169" s="417">
        <v>0</v>
      </c>
      <c r="AB169" s="417">
        <v>0</v>
      </c>
      <c r="AC169" s="417">
        <v>0</v>
      </c>
      <c r="AD169" s="417">
        <v>0</v>
      </c>
      <c r="AE169" s="417">
        <f t="shared" si="234"/>
        <v>0</v>
      </c>
      <c r="AF169" s="417">
        <f t="shared" si="235"/>
        <v>0</v>
      </c>
      <c r="AG169" s="417">
        <f t="shared" si="236"/>
        <v>0</v>
      </c>
      <c r="AH169" s="417">
        <v>0</v>
      </c>
      <c r="AI169" s="417">
        <v>0</v>
      </c>
      <c r="AJ169" s="417">
        <v>0</v>
      </c>
      <c r="AK169" s="417">
        <v>0</v>
      </c>
      <c r="AL169" s="417">
        <v>0</v>
      </c>
      <c r="AM169" s="417">
        <f t="shared" si="237"/>
        <v>0</v>
      </c>
      <c r="AN169" s="417">
        <f t="shared" si="238"/>
        <v>0</v>
      </c>
      <c r="AO169" s="417">
        <f t="shared" si="239"/>
        <v>0</v>
      </c>
      <c r="AP169" s="417">
        <f t="shared" si="240"/>
        <v>0</v>
      </c>
      <c r="AQ169" s="417">
        <f t="shared" si="241"/>
        <v>0</v>
      </c>
      <c r="AR169" s="417">
        <f t="shared" si="242"/>
        <v>0</v>
      </c>
      <c r="AS169" s="68">
        <f t="shared" si="243"/>
        <v>0</v>
      </c>
      <c r="AT169" s="68">
        <f t="shared" si="244"/>
        <v>0</v>
      </c>
      <c r="AU169" s="417">
        <v>0</v>
      </c>
      <c r="AV169" s="417">
        <v>0</v>
      </c>
      <c r="AW169" s="417">
        <v>0</v>
      </c>
      <c r="AX169" s="417">
        <f t="shared" si="245"/>
        <v>0</v>
      </c>
      <c r="AY169" s="417">
        <f t="shared" si="246"/>
        <v>0</v>
      </c>
      <c r="AZ169" s="418">
        <v>0</v>
      </c>
      <c r="BA169" s="418">
        <v>0</v>
      </c>
      <c r="BB169" s="418">
        <v>0</v>
      </c>
      <c r="BC169" s="418">
        <v>0</v>
      </c>
      <c r="BD169" s="418">
        <v>0</v>
      </c>
      <c r="BE169" s="418">
        <v>0</v>
      </c>
      <c r="BF169" s="418">
        <v>0</v>
      </c>
      <c r="BG169" s="418">
        <v>0</v>
      </c>
      <c r="BH169" s="418">
        <v>0</v>
      </c>
      <c r="BI169" s="418">
        <f t="shared" si="247"/>
        <v>0</v>
      </c>
      <c r="BJ169" s="418">
        <f t="shared" si="248"/>
        <v>0</v>
      </c>
      <c r="BK169" s="420">
        <f t="shared" si="249"/>
        <v>0</v>
      </c>
      <c r="BL169" s="772">
        <f>I169+AY169</f>
        <v>210542</v>
      </c>
      <c r="BM169" s="417">
        <f>J169+AG169</f>
        <v>150700</v>
      </c>
      <c r="BN169" s="417">
        <f t="shared" si="275"/>
        <v>0</v>
      </c>
      <c r="BO169" s="417">
        <f t="shared" si="275"/>
        <v>150700</v>
      </c>
      <c r="BP169" s="417">
        <f>M169+AO169</f>
        <v>0</v>
      </c>
      <c r="BQ169" s="417">
        <f t="shared" si="276"/>
        <v>0</v>
      </c>
      <c r="BR169" s="417">
        <f t="shared" si="276"/>
        <v>0</v>
      </c>
      <c r="BS169" s="417">
        <f t="shared" si="277"/>
        <v>50937</v>
      </c>
      <c r="BT169" s="417">
        <f t="shared" si="277"/>
        <v>1507</v>
      </c>
      <c r="BU169" s="417">
        <f>R169+AX169</f>
        <v>7398</v>
      </c>
      <c r="BV169" s="418">
        <f>S169+BK169</f>
        <v>0.5706</v>
      </c>
      <c r="BW169" s="418">
        <f t="shared" si="278"/>
        <v>0</v>
      </c>
      <c r="BX169" s="420">
        <f t="shared" si="278"/>
        <v>0.5706</v>
      </c>
      <c r="BY169" s="419"/>
      <c r="BZ169" s="414"/>
      <c r="CA169" s="414"/>
      <c r="CB169" s="414"/>
      <c r="CC169" s="414"/>
      <c r="CD169" s="422"/>
      <c r="CE169" s="419">
        <f t="shared" si="254"/>
        <v>0</v>
      </c>
      <c r="CF169" s="414">
        <v>0</v>
      </c>
      <c r="CG169" s="414">
        <v>0</v>
      </c>
      <c r="CH169" s="414">
        <v>0</v>
      </c>
      <c r="CI169" s="414">
        <v>0</v>
      </c>
      <c r="CJ169" s="509">
        <v>0</v>
      </c>
    </row>
    <row r="170" spans="1:88" ht="14.1" customHeight="1">
      <c r="A170" s="72">
        <v>37</v>
      </c>
      <c r="B170" s="69">
        <v>2470</v>
      </c>
      <c r="C170" s="70">
        <v>600080013</v>
      </c>
      <c r="D170" s="69">
        <v>72741554</v>
      </c>
      <c r="E170" s="71" t="s">
        <v>610</v>
      </c>
      <c r="F170" s="72"/>
      <c r="G170" s="71"/>
      <c r="H170" s="73"/>
      <c r="I170" s="516">
        <v>53904669</v>
      </c>
      <c r="J170" s="74">
        <v>39034775</v>
      </c>
      <c r="K170" s="74">
        <v>34183618</v>
      </c>
      <c r="L170" s="74">
        <v>4851157</v>
      </c>
      <c r="M170" s="74">
        <v>400000</v>
      </c>
      <c r="N170" s="74">
        <v>170000</v>
      </c>
      <c r="O170" s="74">
        <v>230000</v>
      </c>
      <c r="P170" s="74">
        <v>13328955</v>
      </c>
      <c r="Q170" s="74">
        <v>390348</v>
      </c>
      <c r="R170" s="74">
        <v>750591</v>
      </c>
      <c r="S170" s="75">
        <v>63.942800000000005</v>
      </c>
      <c r="T170" s="75">
        <v>49.129300000000001</v>
      </c>
      <c r="U170" s="653">
        <v>14.813499999999999</v>
      </c>
      <c r="V170" s="516">
        <f t="shared" ref="V170:BX170" si="279">SUM(V165:V169)</f>
        <v>70000</v>
      </c>
      <c r="W170" s="74">
        <f t="shared" si="279"/>
        <v>70000</v>
      </c>
      <c r="X170" s="74">
        <f t="shared" si="279"/>
        <v>0</v>
      </c>
      <c r="Y170" s="74">
        <f t="shared" si="279"/>
        <v>59580</v>
      </c>
      <c r="Z170" s="74">
        <f t="shared" si="279"/>
        <v>0</v>
      </c>
      <c r="AA170" s="74">
        <f t="shared" si="279"/>
        <v>-4916</v>
      </c>
      <c r="AB170" s="74">
        <f t="shared" si="279"/>
        <v>0</v>
      </c>
      <c r="AC170" s="74">
        <f t="shared" si="279"/>
        <v>0</v>
      </c>
      <c r="AD170" s="74">
        <f t="shared" si="279"/>
        <v>0</v>
      </c>
      <c r="AE170" s="74">
        <f t="shared" si="279"/>
        <v>129580</v>
      </c>
      <c r="AF170" s="74">
        <f t="shared" si="279"/>
        <v>65084</v>
      </c>
      <c r="AG170" s="74">
        <f t="shared" si="279"/>
        <v>194664</v>
      </c>
      <c r="AH170" s="74">
        <f t="shared" si="279"/>
        <v>-70000</v>
      </c>
      <c r="AI170" s="74">
        <f t="shared" si="279"/>
        <v>-70000</v>
      </c>
      <c r="AJ170" s="74">
        <f t="shared" si="279"/>
        <v>0</v>
      </c>
      <c r="AK170" s="74">
        <f t="shared" si="279"/>
        <v>0</v>
      </c>
      <c r="AL170" s="74">
        <f t="shared" si="279"/>
        <v>0</v>
      </c>
      <c r="AM170" s="74">
        <f t="shared" si="279"/>
        <v>-70000</v>
      </c>
      <c r="AN170" s="74">
        <f t="shared" si="279"/>
        <v>-70000</v>
      </c>
      <c r="AO170" s="74">
        <f t="shared" si="279"/>
        <v>-140000</v>
      </c>
      <c r="AP170" s="74">
        <f t="shared" si="279"/>
        <v>59580</v>
      </c>
      <c r="AQ170" s="74">
        <f t="shared" si="279"/>
        <v>-4916</v>
      </c>
      <c r="AR170" s="74">
        <f t="shared" si="279"/>
        <v>54664</v>
      </c>
      <c r="AS170" s="74">
        <f t="shared" si="279"/>
        <v>18476</v>
      </c>
      <c r="AT170" s="74">
        <f t="shared" si="279"/>
        <v>1947</v>
      </c>
      <c r="AU170" s="74">
        <f t="shared" si="279"/>
        <v>0</v>
      </c>
      <c r="AV170" s="74">
        <f t="shared" si="279"/>
        <v>0</v>
      </c>
      <c r="AW170" s="74">
        <f t="shared" si="279"/>
        <v>0</v>
      </c>
      <c r="AX170" s="74">
        <f t="shared" si="279"/>
        <v>0</v>
      </c>
      <c r="AY170" s="74">
        <f t="shared" si="279"/>
        <v>75087</v>
      </c>
      <c r="AZ170" s="75">
        <f t="shared" si="279"/>
        <v>2.0000000000000004E-2</v>
      </c>
      <c r="BA170" s="75">
        <f t="shared" si="279"/>
        <v>0.12</v>
      </c>
      <c r="BB170" s="75">
        <f t="shared" si="279"/>
        <v>0</v>
      </c>
      <c r="BC170" s="75">
        <f t="shared" si="279"/>
        <v>0</v>
      </c>
      <c r="BD170" s="75">
        <f t="shared" si="279"/>
        <v>-0.01</v>
      </c>
      <c r="BE170" s="75">
        <f t="shared" si="279"/>
        <v>0.09</v>
      </c>
      <c r="BF170" s="75">
        <f t="shared" si="279"/>
        <v>0</v>
      </c>
      <c r="BG170" s="75">
        <f t="shared" si="279"/>
        <v>0</v>
      </c>
      <c r="BH170" s="75">
        <f t="shared" si="279"/>
        <v>0</v>
      </c>
      <c r="BI170" s="75">
        <f t="shared" si="279"/>
        <v>0.11</v>
      </c>
      <c r="BJ170" s="75">
        <f t="shared" si="279"/>
        <v>0.11</v>
      </c>
      <c r="BK170" s="76">
        <f t="shared" si="279"/>
        <v>0.21999999999999997</v>
      </c>
      <c r="BL170" s="781">
        <f t="shared" si="279"/>
        <v>53979756</v>
      </c>
      <c r="BM170" s="74">
        <f t="shared" si="279"/>
        <v>39229439</v>
      </c>
      <c r="BN170" s="74">
        <f t="shared" si="279"/>
        <v>34313198</v>
      </c>
      <c r="BO170" s="74">
        <f t="shared" si="279"/>
        <v>4916241</v>
      </c>
      <c r="BP170" s="74">
        <f t="shared" si="279"/>
        <v>260000</v>
      </c>
      <c r="BQ170" s="74">
        <f t="shared" si="279"/>
        <v>100000</v>
      </c>
      <c r="BR170" s="74">
        <f t="shared" si="279"/>
        <v>160000</v>
      </c>
      <c r="BS170" s="74">
        <f t="shared" si="279"/>
        <v>13347431</v>
      </c>
      <c r="BT170" s="74">
        <f t="shared" si="279"/>
        <v>392295</v>
      </c>
      <c r="BU170" s="74">
        <f t="shared" si="279"/>
        <v>750591</v>
      </c>
      <c r="BV170" s="75">
        <f t="shared" si="279"/>
        <v>64.162800000000004</v>
      </c>
      <c r="BW170" s="75">
        <f t="shared" si="279"/>
        <v>49.2393</v>
      </c>
      <c r="BX170" s="76">
        <f t="shared" si="279"/>
        <v>14.923500000000001</v>
      </c>
      <c r="BY170" s="791">
        <f t="shared" ref="BY170:CJ170" si="280">SUM(BY165:BY169)</f>
        <v>760272</v>
      </c>
      <c r="BZ170" s="679">
        <f t="shared" si="280"/>
        <v>564000</v>
      </c>
      <c r="CA170" s="679">
        <f t="shared" si="280"/>
        <v>0</v>
      </c>
      <c r="CB170" s="679">
        <f t="shared" si="280"/>
        <v>190632</v>
      </c>
      <c r="CC170" s="679">
        <f t="shared" si="280"/>
        <v>5640</v>
      </c>
      <c r="CD170" s="947">
        <f t="shared" si="280"/>
        <v>1</v>
      </c>
      <c r="CE170" s="956">
        <f t="shared" si="280"/>
        <v>1197784</v>
      </c>
      <c r="CF170" s="953">
        <f t="shared" si="280"/>
        <v>765917</v>
      </c>
      <c r="CG170" s="953">
        <f t="shared" si="280"/>
        <v>258880</v>
      </c>
      <c r="CH170" s="953">
        <f t="shared" si="280"/>
        <v>7659</v>
      </c>
      <c r="CI170" s="953">
        <f t="shared" si="280"/>
        <v>165328</v>
      </c>
      <c r="CJ170" s="877">
        <f t="shared" si="280"/>
        <v>2.3162000000000003</v>
      </c>
    </row>
    <row r="171" spans="1:88" ht="14.1" customHeight="1">
      <c r="A171" s="66">
        <v>38</v>
      </c>
      <c r="B171" s="63">
        <v>2307</v>
      </c>
      <c r="C171" s="64">
        <v>600079911</v>
      </c>
      <c r="D171" s="63">
        <v>72743212</v>
      </c>
      <c r="E171" s="65" t="s">
        <v>611</v>
      </c>
      <c r="F171" s="66">
        <v>3113</v>
      </c>
      <c r="G171" s="65" t="s">
        <v>293</v>
      </c>
      <c r="H171" s="67" t="s">
        <v>271</v>
      </c>
      <c r="I171" s="419">
        <v>44388083</v>
      </c>
      <c r="J171" s="414">
        <v>32104184</v>
      </c>
      <c r="K171" s="414">
        <v>29061116</v>
      </c>
      <c r="L171" s="414">
        <v>3043068</v>
      </c>
      <c r="M171" s="414">
        <v>203000</v>
      </c>
      <c r="N171" s="414">
        <v>171000</v>
      </c>
      <c r="O171" s="414">
        <v>32000</v>
      </c>
      <c r="P171" s="595">
        <v>10919828</v>
      </c>
      <c r="Q171" s="595">
        <v>321041</v>
      </c>
      <c r="R171" s="414">
        <v>840030</v>
      </c>
      <c r="S171" s="415">
        <v>50.1586</v>
      </c>
      <c r="T171" s="415">
        <v>40.774300000000004</v>
      </c>
      <c r="U171" s="422">
        <v>9.3842999999999996</v>
      </c>
      <c r="V171" s="423">
        <f t="shared" si="232"/>
        <v>61252</v>
      </c>
      <c r="W171" s="417">
        <f t="shared" si="233"/>
        <v>32000</v>
      </c>
      <c r="X171" s="417">
        <v>0</v>
      </c>
      <c r="Y171" s="417">
        <v>0</v>
      </c>
      <c r="Z171" s="417">
        <v>0</v>
      </c>
      <c r="AA171" s="417">
        <v>0</v>
      </c>
      <c r="AB171" s="417">
        <v>0</v>
      </c>
      <c r="AC171" s="417">
        <v>0</v>
      </c>
      <c r="AD171" s="417">
        <v>0</v>
      </c>
      <c r="AE171" s="417">
        <f t="shared" si="234"/>
        <v>61252</v>
      </c>
      <c r="AF171" s="417">
        <f t="shared" si="235"/>
        <v>32000</v>
      </c>
      <c r="AG171" s="417">
        <f t="shared" si="236"/>
        <v>93252</v>
      </c>
      <c r="AH171" s="417">
        <v>-61252</v>
      </c>
      <c r="AI171" s="417">
        <v>-32000</v>
      </c>
      <c r="AJ171" s="417">
        <v>0</v>
      </c>
      <c r="AK171" s="417">
        <v>0</v>
      </c>
      <c r="AL171" s="417">
        <v>0</v>
      </c>
      <c r="AM171" s="417">
        <f t="shared" si="237"/>
        <v>-61252</v>
      </c>
      <c r="AN171" s="417">
        <f t="shared" si="238"/>
        <v>-32000</v>
      </c>
      <c r="AO171" s="417">
        <f t="shared" si="239"/>
        <v>-93252</v>
      </c>
      <c r="AP171" s="417">
        <f t="shared" si="240"/>
        <v>0</v>
      </c>
      <c r="AQ171" s="417">
        <f t="shared" si="241"/>
        <v>0</v>
      </c>
      <c r="AR171" s="417">
        <f t="shared" si="242"/>
        <v>0</v>
      </c>
      <c r="AS171" s="68">
        <f t="shared" si="243"/>
        <v>0</v>
      </c>
      <c r="AT171" s="68">
        <f t="shared" si="244"/>
        <v>933</v>
      </c>
      <c r="AU171" s="417">
        <v>0</v>
      </c>
      <c r="AV171" s="417">
        <v>0</v>
      </c>
      <c r="AW171" s="417">
        <v>0</v>
      </c>
      <c r="AX171" s="417">
        <f t="shared" si="245"/>
        <v>0</v>
      </c>
      <c r="AY171" s="417">
        <f t="shared" si="246"/>
        <v>933</v>
      </c>
      <c r="AZ171" s="418">
        <v>0.05</v>
      </c>
      <c r="BA171" s="418">
        <v>0.1</v>
      </c>
      <c r="BB171" s="418">
        <v>0</v>
      </c>
      <c r="BC171" s="418">
        <v>0</v>
      </c>
      <c r="BD171" s="418">
        <v>0</v>
      </c>
      <c r="BE171" s="418">
        <v>0</v>
      </c>
      <c r="BF171" s="418">
        <v>0</v>
      </c>
      <c r="BG171" s="418">
        <v>0</v>
      </c>
      <c r="BH171" s="418">
        <v>0</v>
      </c>
      <c r="BI171" s="418">
        <f t="shared" si="247"/>
        <v>0.05</v>
      </c>
      <c r="BJ171" s="418">
        <f t="shared" si="248"/>
        <v>0.1</v>
      </c>
      <c r="BK171" s="420">
        <f t="shared" si="249"/>
        <v>0.15000000000000002</v>
      </c>
      <c r="BL171" s="772">
        <f>I171+AY171</f>
        <v>44389016</v>
      </c>
      <c r="BM171" s="417">
        <f>J171+AG171</f>
        <v>32197436</v>
      </c>
      <c r="BN171" s="417">
        <f t="shared" ref="BN171:BO175" si="281">K171+AE171</f>
        <v>29122368</v>
      </c>
      <c r="BO171" s="417">
        <f t="shared" si="281"/>
        <v>3075068</v>
      </c>
      <c r="BP171" s="417">
        <f>M171+AO171</f>
        <v>109748</v>
      </c>
      <c r="BQ171" s="417">
        <f t="shared" ref="BQ171:BR175" si="282">N171+AM171</f>
        <v>109748</v>
      </c>
      <c r="BR171" s="417">
        <f t="shared" si="282"/>
        <v>0</v>
      </c>
      <c r="BS171" s="417">
        <f t="shared" ref="BS171:BT175" si="283">P171+AS171</f>
        <v>10919828</v>
      </c>
      <c r="BT171" s="417">
        <f t="shared" si="283"/>
        <v>321974</v>
      </c>
      <c r="BU171" s="417">
        <f>R171+AX171</f>
        <v>840030</v>
      </c>
      <c r="BV171" s="418">
        <f>S171+BK171</f>
        <v>50.308599999999998</v>
      </c>
      <c r="BW171" s="418">
        <f t="shared" ref="BW171:BX175" si="284">T171+BI171</f>
        <v>40.824300000000001</v>
      </c>
      <c r="BX171" s="420">
        <f t="shared" si="284"/>
        <v>9.4842999999999993</v>
      </c>
      <c r="BY171" s="419">
        <v>304109</v>
      </c>
      <c r="BZ171" s="414">
        <v>225600</v>
      </c>
      <c r="CA171" s="414">
        <v>0</v>
      </c>
      <c r="CB171" s="414">
        <v>76253</v>
      </c>
      <c r="CC171" s="414">
        <v>2256</v>
      </c>
      <c r="CD171" s="422">
        <v>0.4</v>
      </c>
      <c r="CE171" s="419">
        <f t="shared" si="254"/>
        <v>1525519</v>
      </c>
      <c r="CF171" s="414">
        <v>986999</v>
      </c>
      <c r="CG171" s="414">
        <v>333606</v>
      </c>
      <c r="CH171" s="414">
        <v>9870</v>
      </c>
      <c r="CI171" s="414">
        <v>195044</v>
      </c>
      <c r="CJ171" s="509">
        <v>3.0442999999999998</v>
      </c>
    </row>
    <row r="172" spans="1:88" ht="14.1" customHeight="1">
      <c r="A172" s="66">
        <v>38</v>
      </c>
      <c r="B172" s="63">
        <v>2307</v>
      </c>
      <c r="C172" s="64">
        <v>600079911</v>
      </c>
      <c r="D172" s="63">
        <v>72743212</v>
      </c>
      <c r="E172" s="65" t="s">
        <v>611</v>
      </c>
      <c r="F172" s="66">
        <v>3113</v>
      </c>
      <c r="G172" s="77" t="s">
        <v>291</v>
      </c>
      <c r="H172" s="67" t="s">
        <v>272</v>
      </c>
      <c r="I172" s="419">
        <v>2999542</v>
      </c>
      <c r="J172" s="414">
        <v>2224809</v>
      </c>
      <c r="K172" s="414">
        <v>2224809</v>
      </c>
      <c r="L172" s="414">
        <v>0</v>
      </c>
      <c r="M172" s="414">
        <v>0</v>
      </c>
      <c r="N172" s="414">
        <v>0</v>
      </c>
      <c r="O172" s="414">
        <v>0</v>
      </c>
      <c r="P172" s="595">
        <v>751985</v>
      </c>
      <c r="Q172" s="595">
        <v>22248</v>
      </c>
      <c r="R172" s="414">
        <v>500</v>
      </c>
      <c r="S172" s="415">
        <v>6</v>
      </c>
      <c r="T172" s="416">
        <v>6</v>
      </c>
      <c r="U172" s="422">
        <v>0</v>
      </c>
      <c r="V172" s="423">
        <f t="shared" si="232"/>
        <v>0</v>
      </c>
      <c r="W172" s="417">
        <f t="shared" si="233"/>
        <v>0</v>
      </c>
      <c r="X172" s="417">
        <v>-314666</v>
      </c>
      <c r="Y172" s="417">
        <v>0</v>
      </c>
      <c r="Z172" s="417">
        <v>0</v>
      </c>
      <c r="AA172" s="417">
        <v>0</v>
      </c>
      <c r="AB172" s="417">
        <v>0</v>
      </c>
      <c r="AC172" s="417">
        <v>0</v>
      </c>
      <c r="AD172" s="417">
        <v>0</v>
      </c>
      <c r="AE172" s="417">
        <f t="shared" si="234"/>
        <v>-314666</v>
      </c>
      <c r="AF172" s="417">
        <f t="shared" si="235"/>
        <v>0</v>
      </c>
      <c r="AG172" s="417">
        <f t="shared" si="236"/>
        <v>-314666</v>
      </c>
      <c r="AH172" s="417">
        <v>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237"/>
        <v>0</v>
      </c>
      <c r="AN172" s="417">
        <f t="shared" si="238"/>
        <v>0</v>
      </c>
      <c r="AO172" s="417">
        <f t="shared" si="239"/>
        <v>0</v>
      </c>
      <c r="AP172" s="417">
        <f t="shared" si="240"/>
        <v>-314666</v>
      </c>
      <c r="AQ172" s="417">
        <f t="shared" si="241"/>
        <v>0</v>
      </c>
      <c r="AR172" s="417">
        <f t="shared" si="242"/>
        <v>-314666</v>
      </c>
      <c r="AS172" s="68">
        <f t="shared" si="243"/>
        <v>-106357</v>
      </c>
      <c r="AT172" s="68">
        <f t="shared" si="244"/>
        <v>-3147</v>
      </c>
      <c r="AU172" s="417">
        <v>6000</v>
      </c>
      <c r="AV172" s="417">
        <v>0</v>
      </c>
      <c r="AW172" s="417">
        <v>0</v>
      </c>
      <c r="AX172" s="417">
        <f t="shared" si="245"/>
        <v>6000</v>
      </c>
      <c r="AY172" s="417">
        <f t="shared" si="246"/>
        <v>-418170</v>
      </c>
      <c r="AZ172" s="418">
        <v>0</v>
      </c>
      <c r="BA172" s="418">
        <v>0</v>
      </c>
      <c r="BB172" s="418">
        <v>-0.79</v>
      </c>
      <c r="BC172" s="418">
        <v>0</v>
      </c>
      <c r="BD172" s="418">
        <v>0</v>
      </c>
      <c r="BE172" s="418">
        <v>0</v>
      </c>
      <c r="BF172" s="418">
        <v>0</v>
      </c>
      <c r="BG172" s="418">
        <v>0</v>
      </c>
      <c r="BH172" s="418">
        <v>0</v>
      </c>
      <c r="BI172" s="418">
        <f t="shared" si="247"/>
        <v>-0.79</v>
      </c>
      <c r="BJ172" s="418">
        <f t="shared" si="248"/>
        <v>0</v>
      </c>
      <c r="BK172" s="420">
        <f t="shared" si="249"/>
        <v>-0.79</v>
      </c>
      <c r="BL172" s="772">
        <f>I172+AY172</f>
        <v>2581372</v>
      </c>
      <c r="BM172" s="417">
        <f>J172+AG172</f>
        <v>1910143</v>
      </c>
      <c r="BN172" s="417">
        <f t="shared" si="281"/>
        <v>1910143</v>
      </c>
      <c r="BO172" s="417">
        <f t="shared" si="281"/>
        <v>0</v>
      </c>
      <c r="BP172" s="417">
        <f>M172+AO172</f>
        <v>0</v>
      </c>
      <c r="BQ172" s="417">
        <f t="shared" si="282"/>
        <v>0</v>
      </c>
      <c r="BR172" s="417">
        <f t="shared" si="282"/>
        <v>0</v>
      </c>
      <c r="BS172" s="417">
        <f t="shared" si="283"/>
        <v>645628</v>
      </c>
      <c r="BT172" s="417">
        <f t="shared" si="283"/>
        <v>19101</v>
      </c>
      <c r="BU172" s="417">
        <f>R172+AX172</f>
        <v>6500</v>
      </c>
      <c r="BV172" s="418">
        <f>S172+BK172</f>
        <v>5.21</v>
      </c>
      <c r="BW172" s="418">
        <f t="shared" si="284"/>
        <v>5.21</v>
      </c>
      <c r="BX172" s="420">
        <f t="shared" si="284"/>
        <v>0</v>
      </c>
      <c r="BY172" s="419"/>
      <c r="BZ172" s="414"/>
      <c r="CA172" s="414"/>
      <c r="CB172" s="414"/>
      <c r="CC172" s="414"/>
      <c r="CD172" s="422"/>
      <c r="CE172" s="419">
        <f t="shared" si="254"/>
        <v>0</v>
      </c>
      <c r="CF172" s="414">
        <v>0</v>
      </c>
      <c r="CG172" s="414">
        <v>0</v>
      </c>
      <c r="CH172" s="414">
        <v>0</v>
      </c>
      <c r="CI172" s="414">
        <v>0</v>
      </c>
      <c r="CJ172" s="509">
        <v>0</v>
      </c>
    </row>
    <row r="173" spans="1:88" ht="14.1" customHeight="1">
      <c r="A173" s="66">
        <v>38</v>
      </c>
      <c r="B173" s="63">
        <v>2307</v>
      </c>
      <c r="C173" s="64">
        <v>600079911</v>
      </c>
      <c r="D173" s="63">
        <v>72743212</v>
      </c>
      <c r="E173" s="65" t="s">
        <v>611</v>
      </c>
      <c r="F173" s="66">
        <v>3143</v>
      </c>
      <c r="G173" s="77" t="s">
        <v>595</v>
      </c>
      <c r="H173" s="67" t="s">
        <v>271</v>
      </c>
      <c r="I173" s="419">
        <v>3848249</v>
      </c>
      <c r="J173" s="414">
        <v>2854784</v>
      </c>
      <c r="K173" s="414">
        <v>2854784</v>
      </c>
      <c r="L173" s="414">
        <v>0</v>
      </c>
      <c r="M173" s="414">
        <v>0</v>
      </c>
      <c r="N173" s="414">
        <v>0</v>
      </c>
      <c r="O173" s="414">
        <v>0</v>
      </c>
      <c r="P173" s="595">
        <v>964917</v>
      </c>
      <c r="Q173" s="595">
        <v>28548</v>
      </c>
      <c r="R173" s="414">
        <v>0</v>
      </c>
      <c r="S173" s="415">
        <v>5.4107000000000003</v>
      </c>
      <c r="T173" s="415">
        <v>5.4107000000000003</v>
      </c>
      <c r="U173" s="422">
        <v>0</v>
      </c>
      <c r="V173" s="423">
        <f t="shared" si="232"/>
        <v>0</v>
      </c>
      <c r="W173" s="417">
        <f t="shared" si="233"/>
        <v>0</v>
      </c>
      <c r="X173" s="417">
        <v>0</v>
      </c>
      <c r="Y173" s="417">
        <v>0</v>
      </c>
      <c r="Z173" s="417">
        <v>0</v>
      </c>
      <c r="AA173" s="417">
        <v>0</v>
      </c>
      <c r="AB173" s="417">
        <v>0</v>
      </c>
      <c r="AC173" s="417">
        <v>0</v>
      </c>
      <c r="AD173" s="417">
        <v>0</v>
      </c>
      <c r="AE173" s="417">
        <f t="shared" si="234"/>
        <v>0</v>
      </c>
      <c r="AF173" s="417">
        <f t="shared" si="235"/>
        <v>0</v>
      </c>
      <c r="AG173" s="417">
        <f t="shared" si="236"/>
        <v>0</v>
      </c>
      <c r="AH173" s="417">
        <v>0</v>
      </c>
      <c r="AI173" s="417">
        <v>0</v>
      </c>
      <c r="AJ173" s="417">
        <v>0</v>
      </c>
      <c r="AK173" s="417">
        <v>0</v>
      </c>
      <c r="AL173" s="417">
        <v>0</v>
      </c>
      <c r="AM173" s="417">
        <f t="shared" si="237"/>
        <v>0</v>
      </c>
      <c r="AN173" s="417">
        <f t="shared" si="238"/>
        <v>0</v>
      </c>
      <c r="AO173" s="417">
        <f t="shared" si="239"/>
        <v>0</v>
      </c>
      <c r="AP173" s="417">
        <f t="shared" si="240"/>
        <v>0</v>
      </c>
      <c r="AQ173" s="417">
        <f t="shared" si="241"/>
        <v>0</v>
      </c>
      <c r="AR173" s="417">
        <f t="shared" si="242"/>
        <v>0</v>
      </c>
      <c r="AS173" s="68">
        <f t="shared" si="243"/>
        <v>0</v>
      </c>
      <c r="AT173" s="68">
        <f t="shared" si="244"/>
        <v>0</v>
      </c>
      <c r="AU173" s="417">
        <v>0</v>
      </c>
      <c r="AV173" s="417">
        <v>0</v>
      </c>
      <c r="AW173" s="417">
        <v>0</v>
      </c>
      <c r="AX173" s="417">
        <f t="shared" si="245"/>
        <v>0</v>
      </c>
      <c r="AY173" s="417">
        <f t="shared" si="246"/>
        <v>0</v>
      </c>
      <c r="AZ173" s="418">
        <v>0</v>
      </c>
      <c r="BA173" s="418">
        <v>0</v>
      </c>
      <c r="BB173" s="418">
        <v>0</v>
      </c>
      <c r="BC173" s="418">
        <v>0</v>
      </c>
      <c r="BD173" s="418">
        <v>0</v>
      </c>
      <c r="BE173" s="418">
        <v>0</v>
      </c>
      <c r="BF173" s="418">
        <v>0</v>
      </c>
      <c r="BG173" s="418">
        <v>0</v>
      </c>
      <c r="BH173" s="418">
        <v>0</v>
      </c>
      <c r="BI173" s="418">
        <f t="shared" si="247"/>
        <v>0</v>
      </c>
      <c r="BJ173" s="418">
        <f t="shared" si="248"/>
        <v>0</v>
      </c>
      <c r="BK173" s="420">
        <f t="shared" si="249"/>
        <v>0</v>
      </c>
      <c r="BL173" s="772">
        <f>I173+AY173</f>
        <v>3848249</v>
      </c>
      <c r="BM173" s="417">
        <f>J173+AG173</f>
        <v>2854784</v>
      </c>
      <c r="BN173" s="417">
        <f t="shared" si="281"/>
        <v>2854784</v>
      </c>
      <c r="BO173" s="417">
        <f t="shared" si="281"/>
        <v>0</v>
      </c>
      <c r="BP173" s="417">
        <f>M173+AO173</f>
        <v>0</v>
      </c>
      <c r="BQ173" s="417">
        <f t="shared" si="282"/>
        <v>0</v>
      </c>
      <c r="BR173" s="417">
        <f t="shared" si="282"/>
        <v>0</v>
      </c>
      <c r="BS173" s="417">
        <f t="shared" si="283"/>
        <v>964917</v>
      </c>
      <c r="BT173" s="417">
        <f t="shared" si="283"/>
        <v>28548</v>
      </c>
      <c r="BU173" s="417">
        <f>R173+AX173</f>
        <v>0</v>
      </c>
      <c r="BV173" s="418">
        <f>S173+BK173</f>
        <v>5.4107000000000003</v>
      </c>
      <c r="BW173" s="418">
        <f t="shared" si="284"/>
        <v>5.4107000000000003</v>
      </c>
      <c r="BX173" s="420">
        <f t="shared" si="284"/>
        <v>0</v>
      </c>
      <c r="BY173" s="419"/>
      <c r="BZ173" s="414"/>
      <c r="CA173" s="414"/>
      <c r="CB173" s="414"/>
      <c r="CC173" s="414"/>
      <c r="CD173" s="422"/>
      <c r="CE173" s="419">
        <f t="shared" si="254"/>
        <v>0</v>
      </c>
      <c r="CF173" s="414">
        <v>0</v>
      </c>
      <c r="CG173" s="414">
        <v>0</v>
      </c>
      <c r="CH173" s="414">
        <v>0</v>
      </c>
      <c r="CI173" s="414">
        <v>0</v>
      </c>
      <c r="CJ173" s="509">
        <v>0</v>
      </c>
    </row>
    <row r="174" spans="1:88" ht="14.1" customHeight="1">
      <c r="A174" s="66">
        <v>38</v>
      </c>
      <c r="B174" s="63">
        <v>2307</v>
      </c>
      <c r="C174" s="64">
        <v>600079911</v>
      </c>
      <c r="D174" s="63">
        <v>72743212</v>
      </c>
      <c r="E174" s="65" t="s">
        <v>611</v>
      </c>
      <c r="F174" s="66">
        <v>3143</v>
      </c>
      <c r="G174" s="77" t="s">
        <v>596</v>
      </c>
      <c r="H174" s="67" t="s">
        <v>272</v>
      </c>
      <c r="I174" s="419">
        <v>146678</v>
      </c>
      <c r="J174" s="414">
        <v>105059</v>
      </c>
      <c r="K174" s="414">
        <v>0</v>
      </c>
      <c r="L174" s="601">
        <v>105059</v>
      </c>
      <c r="M174" s="414">
        <v>0</v>
      </c>
      <c r="N174" s="414">
        <v>0</v>
      </c>
      <c r="O174" s="414">
        <v>0</v>
      </c>
      <c r="P174" s="595">
        <v>35510</v>
      </c>
      <c r="Q174" s="595">
        <v>1051</v>
      </c>
      <c r="R174" s="602">
        <v>5058</v>
      </c>
      <c r="S174" s="415">
        <v>0.4</v>
      </c>
      <c r="T174" s="605">
        <v>0</v>
      </c>
      <c r="U174" s="731">
        <v>0.4</v>
      </c>
      <c r="V174" s="423">
        <f t="shared" si="232"/>
        <v>0</v>
      </c>
      <c r="W174" s="417">
        <f t="shared" si="233"/>
        <v>0</v>
      </c>
      <c r="X174" s="417">
        <v>0</v>
      </c>
      <c r="Y174" s="417">
        <v>0</v>
      </c>
      <c r="Z174" s="417">
        <v>0</v>
      </c>
      <c r="AA174" s="417">
        <v>0</v>
      </c>
      <c r="AB174" s="417">
        <v>0</v>
      </c>
      <c r="AC174" s="417">
        <v>0</v>
      </c>
      <c r="AD174" s="417">
        <v>0</v>
      </c>
      <c r="AE174" s="417">
        <f t="shared" si="234"/>
        <v>0</v>
      </c>
      <c r="AF174" s="417">
        <f t="shared" si="235"/>
        <v>0</v>
      </c>
      <c r="AG174" s="417">
        <f t="shared" si="236"/>
        <v>0</v>
      </c>
      <c r="AH174" s="417">
        <v>0</v>
      </c>
      <c r="AI174" s="417">
        <v>0</v>
      </c>
      <c r="AJ174" s="417">
        <v>0</v>
      </c>
      <c r="AK174" s="417">
        <v>0</v>
      </c>
      <c r="AL174" s="417">
        <v>0</v>
      </c>
      <c r="AM174" s="417">
        <f t="shared" si="237"/>
        <v>0</v>
      </c>
      <c r="AN174" s="417">
        <f t="shared" si="238"/>
        <v>0</v>
      </c>
      <c r="AO174" s="417">
        <f t="shared" si="239"/>
        <v>0</v>
      </c>
      <c r="AP174" s="417">
        <f t="shared" si="240"/>
        <v>0</v>
      </c>
      <c r="AQ174" s="417">
        <f t="shared" si="241"/>
        <v>0</v>
      </c>
      <c r="AR174" s="417">
        <f t="shared" si="242"/>
        <v>0</v>
      </c>
      <c r="AS174" s="68">
        <f t="shared" si="243"/>
        <v>0</v>
      </c>
      <c r="AT174" s="68">
        <f t="shared" si="244"/>
        <v>0</v>
      </c>
      <c r="AU174" s="417">
        <v>0</v>
      </c>
      <c r="AV174" s="417">
        <v>0</v>
      </c>
      <c r="AW174" s="417">
        <v>0</v>
      </c>
      <c r="AX174" s="417">
        <f t="shared" si="245"/>
        <v>0</v>
      </c>
      <c r="AY174" s="417">
        <f t="shared" si="246"/>
        <v>0</v>
      </c>
      <c r="AZ174" s="418">
        <v>0</v>
      </c>
      <c r="BA174" s="418">
        <v>0</v>
      </c>
      <c r="BB174" s="418">
        <v>0</v>
      </c>
      <c r="BC174" s="418">
        <v>0</v>
      </c>
      <c r="BD174" s="418">
        <v>0</v>
      </c>
      <c r="BE174" s="418">
        <v>0</v>
      </c>
      <c r="BF174" s="418">
        <v>0</v>
      </c>
      <c r="BG174" s="418">
        <v>0</v>
      </c>
      <c r="BH174" s="418">
        <v>0</v>
      </c>
      <c r="BI174" s="418">
        <f t="shared" si="247"/>
        <v>0</v>
      </c>
      <c r="BJ174" s="418">
        <f t="shared" si="248"/>
        <v>0</v>
      </c>
      <c r="BK174" s="420">
        <f t="shared" si="249"/>
        <v>0</v>
      </c>
      <c r="BL174" s="772">
        <f>I174+AY174</f>
        <v>146678</v>
      </c>
      <c r="BM174" s="417">
        <f>J174+AG174</f>
        <v>105059</v>
      </c>
      <c r="BN174" s="417">
        <f t="shared" si="281"/>
        <v>0</v>
      </c>
      <c r="BO174" s="417">
        <f t="shared" si="281"/>
        <v>105059</v>
      </c>
      <c r="BP174" s="417">
        <f>M174+AO174</f>
        <v>0</v>
      </c>
      <c r="BQ174" s="417">
        <f t="shared" si="282"/>
        <v>0</v>
      </c>
      <c r="BR174" s="417">
        <f t="shared" si="282"/>
        <v>0</v>
      </c>
      <c r="BS174" s="417">
        <f t="shared" si="283"/>
        <v>35510</v>
      </c>
      <c r="BT174" s="417">
        <f t="shared" si="283"/>
        <v>1051</v>
      </c>
      <c r="BU174" s="417">
        <f>R174+AX174</f>
        <v>5058</v>
      </c>
      <c r="BV174" s="418">
        <f>S174+BK174</f>
        <v>0.4</v>
      </c>
      <c r="BW174" s="418">
        <f t="shared" si="284"/>
        <v>0</v>
      </c>
      <c r="BX174" s="420">
        <f t="shared" si="284"/>
        <v>0.4</v>
      </c>
      <c r="BY174" s="419"/>
      <c r="BZ174" s="414"/>
      <c r="CA174" s="414"/>
      <c r="CB174" s="414"/>
      <c r="CC174" s="414"/>
      <c r="CD174" s="422"/>
      <c r="CE174" s="419">
        <f t="shared" si="254"/>
        <v>0</v>
      </c>
      <c r="CF174" s="414">
        <v>0</v>
      </c>
      <c r="CG174" s="414">
        <v>0</v>
      </c>
      <c r="CH174" s="414">
        <v>0</v>
      </c>
      <c r="CI174" s="414">
        <v>0</v>
      </c>
      <c r="CJ174" s="509">
        <v>0</v>
      </c>
    </row>
    <row r="175" spans="1:88" ht="14.1" customHeight="1">
      <c r="A175" s="66">
        <v>38</v>
      </c>
      <c r="B175" s="63">
        <v>2307</v>
      </c>
      <c r="C175" s="64">
        <v>600079911</v>
      </c>
      <c r="D175" s="63">
        <v>72743212</v>
      </c>
      <c r="E175" s="65" t="s">
        <v>611</v>
      </c>
      <c r="F175" s="66">
        <v>3143</v>
      </c>
      <c r="G175" s="77" t="s">
        <v>296</v>
      </c>
      <c r="H175" s="67" t="s">
        <v>272</v>
      </c>
      <c r="I175" s="419">
        <v>411702</v>
      </c>
      <c r="J175" s="414">
        <v>305123</v>
      </c>
      <c r="K175" s="414">
        <v>293032</v>
      </c>
      <c r="L175" s="414">
        <v>12091</v>
      </c>
      <c r="M175" s="414">
        <v>0</v>
      </c>
      <c r="N175" s="414">
        <v>0</v>
      </c>
      <c r="O175" s="414">
        <v>0</v>
      </c>
      <c r="P175" s="595">
        <v>103132</v>
      </c>
      <c r="Q175" s="595">
        <v>3051</v>
      </c>
      <c r="R175" s="414">
        <v>396</v>
      </c>
      <c r="S175" s="415">
        <v>0.63</v>
      </c>
      <c r="T175" s="416">
        <v>0.57999999999999996</v>
      </c>
      <c r="U175" s="422">
        <v>0.05</v>
      </c>
      <c r="V175" s="423">
        <f t="shared" si="232"/>
        <v>0</v>
      </c>
      <c r="W175" s="417">
        <f t="shared" si="233"/>
        <v>0</v>
      </c>
      <c r="X175" s="417">
        <v>0</v>
      </c>
      <c r="Y175" s="417">
        <v>0</v>
      </c>
      <c r="Z175" s="417">
        <v>0</v>
      </c>
      <c r="AA175" s="417">
        <v>0</v>
      </c>
      <c r="AB175" s="417">
        <v>0</v>
      </c>
      <c r="AC175" s="417">
        <v>0</v>
      </c>
      <c r="AD175" s="417">
        <v>0</v>
      </c>
      <c r="AE175" s="417">
        <f t="shared" si="234"/>
        <v>0</v>
      </c>
      <c r="AF175" s="417">
        <f t="shared" si="235"/>
        <v>0</v>
      </c>
      <c r="AG175" s="417">
        <f t="shared" si="236"/>
        <v>0</v>
      </c>
      <c r="AH175" s="417">
        <v>0</v>
      </c>
      <c r="AI175" s="417">
        <v>0</v>
      </c>
      <c r="AJ175" s="417">
        <v>0</v>
      </c>
      <c r="AK175" s="417">
        <v>0</v>
      </c>
      <c r="AL175" s="417">
        <v>0</v>
      </c>
      <c r="AM175" s="417">
        <f t="shared" si="237"/>
        <v>0</v>
      </c>
      <c r="AN175" s="417">
        <f t="shared" si="238"/>
        <v>0</v>
      </c>
      <c r="AO175" s="417">
        <f t="shared" si="239"/>
        <v>0</v>
      </c>
      <c r="AP175" s="417">
        <f t="shared" si="240"/>
        <v>0</v>
      </c>
      <c r="AQ175" s="417">
        <f t="shared" si="241"/>
        <v>0</v>
      </c>
      <c r="AR175" s="417">
        <f t="shared" si="242"/>
        <v>0</v>
      </c>
      <c r="AS175" s="68">
        <f t="shared" si="243"/>
        <v>0</v>
      </c>
      <c r="AT175" s="68">
        <f t="shared" si="244"/>
        <v>0</v>
      </c>
      <c r="AU175" s="417">
        <v>0</v>
      </c>
      <c r="AV175" s="417">
        <v>0</v>
      </c>
      <c r="AW175" s="417">
        <v>0</v>
      </c>
      <c r="AX175" s="417">
        <f t="shared" si="245"/>
        <v>0</v>
      </c>
      <c r="AY175" s="417">
        <f t="shared" si="246"/>
        <v>0</v>
      </c>
      <c r="AZ175" s="418">
        <v>0</v>
      </c>
      <c r="BA175" s="418">
        <v>0</v>
      </c>
      <c r="BB175" s="418">
        <v>0</v>
      </c>
      <c r="BC175" s="418">
        <v>0</v>
      </c>
      <c r="BD175" s="418">
        <v>0</v>
      </c>
      <c r="BE175" s="418">
        <v>0</v>
      </c>
      <c r="BF175" s="418">
        <v>0</v>
      </c>
      <c r="BG175" s="418">
        <v>0</v>
      </c>
      <c r="BH175" s="418">
        <v>0</v>
      </c>
      <c r="BI175" s="418">
        <f t="shared" si="247"/>
        <v>0</v>
      </c>
      <c r="BJ175" s="418">
        <f t="shared" si="248"/>
        <v>0</v>
      </c>
      <c r="BK175" s="420">
        <f t="shared" si="249"/>
        <v>0</v>
      </c>
      <c r="BL175" s="772">
        <f>I175+AY175</f>
        <v>411702</v>
      </c>
      <c r="BM175" s="417">
        <f>J175+AG175</f>
        <v>305123</v>
      </c>
      <c r="BN175" s="417">
        <f t="shared" si="281"/>
        <v>293032</v>
      </c>
      <c r="BO175" s="417">
        <f t="shared" si="281"/>
        <v>12091</v>
      </c>
      <c r="BP175" s="417">
        <f>M175+AO175</f>
        <v>0</v>
      </c>
      <c r="BQ175" s="417">
        <f t="shared" si="282"/>
        <v>0</v>
      </c>
      <c r="BR175" s="417">
        <f t="shared" si="282"/>
        <v>0</v>
      </c>
      <c r="BS175" s="417">
        <f t="shared" si="283"/>
        <v>103132</v>
      </c>
      <c r="BT175" s="417">
        <f t="shared" si="283"/>
        <v>3051</v>
      </c>
      <c r="BU175" s="417">
        <f>R175+AX175</f>
        <v>396</v>
      </c>
      <c r="BV175" s="418">
        <f>S175+BK175</f>
        <v>0.63</v>
      </c>
      <c r="BW175" s="418">
        <f t="shared" si="284"/>
        <v>0.57999999999999996</v>
      </c>
      <c r="BX175" s="420">
        <f t="shared" si="284"/>
        <v>0.05</v>
      </c>
      <c r="BY175" s="419"/>
      <c r="BZ175" s="414"/>
      <c r="CA175" s="414"/>
      <c r="CB175" s="414"/>
      <c r="CC175" s="414"/>
      <c r="CD175" s="422"/>
      <c r="CE175" s="419">
        <f t="shared" si="254"/>
        <v>0</v>
      </c>
      <c r="CF175" s="414">
        <v>0</v>
      </c>
      <c r="CG175" s="414">
        <v>0</v>
      </c>
      <c r="CH175" s="414">
        <v>0</v>
      </c>
      <c r="CI175" s="414">
        <v>0</v>
      </c>
      <c r="CJ175" s="509">
        <v>0</v>
      </c>
    </row>
    <row r="176" spans="1:88" ht="14.1" customHeight="1">
      <c r="A176" s="72">
        <v>38</v>
      </c>
      <c r="B176" s="69">
        <v>2307</v>
      </c>
      <c r="C176" s="70">
        <v>600079911</v>
      </c>
      <c r="D176" s="69">
        <v>72743212</v>
      </c>
      <c r="E176" s="71" t="s">
        <v>612</v>
      </c>
      <c r="F176" s="72"/>
      <c r="G176" s="71"/>
      <c r="H176" s="73"/>
      <c r="I176" s="516">
        <v>51794254</v>
      </c>
      <c r="J176" s="74">
        <v>37593959</v>
      </c>
      <c r="K176" s="74">
        <v>34433741</v>
      </c>
      <c r="L176" s="74">
        <v>3160218</v>
      </c>
      <c r="M176" s="74">
        <v>203000</v>
      </c>
      <c r="N176" s="74">
        <v>171000</v>
      </c>
      <c r="O176" s="74">
        <v>32000</v>
      </c>
      <c r="P176" s="74">
        <v>12775372</v>
      </c>
      <c r="Q176" s="74">
        <v>375939</v>
      </c>
      <c r="R176" s="74">
        <v>845984</v>
      </c>
      <c r="S176" s="75">
        <v>62.599299999999999</v>
      </c>
      <c r="T176" s="75">
        <v>52.765000000000001</v>
      </c>
      <c r="U176" s="653">
        <v>9.8343000000000007</v>
      </c>
      <c r="V176" s="516">
        <f t="shared" ref="V176:BX176" si="285">SUM(V171:V175)</f>
        <v>61252</v>
      </c>
      <c r="W176" s="74">
        <f t="shared" si="285"/>
        <v>32000</v>
      </c>
      <c r="X176" s="74">
        <f t="shared" si="285"/>
        <v>-314666</v>
      </c>
      <c r="Y176" s="74">
        <f t="shared" si="285"/>
        <v>0</v>
      </c>
      <c r="Z176" s="74">
        <f t="shared" si="285"/>
        <v>0</v>
      </c>
      <c r="AA176" s="74">
        <f t="shared" si="285"/>
        <v>0</v>
      </c>
      <c r="AB176" s="74">
        <f t="shared" si="285"/>
        <v>0</v>
      </c>
      <c r="AC176" s="74">
        <f t="shared" si="285"/>
        <v>0</v>
      </c>
      <c r="AD176" s="74">
        <f t="shared" si="285"/>
        <v>0</v>
      </c>
      <c r="AE176" s="74">
        <f t="shared" si="285"/>
        <v>-253414</v>
      </c>
      <c r="AF176" s="74">
        <f t="shared" si="285"/>
        <v>32000</v>
      </c>
      <c r="AG176" s="74">
        <f t="shared" si="285"/>
        <v>-221414</v>
      </c>
      <c r="AH176" s="74">
        <f t="shared" si="285"/>
        <v>-61252</v>
      </c>
      <c r="AI176" s="74">
        <f t="shared" si="285"/>
        <v>-32000</v>
      </c>
      <c r="AJ176" s="74">
        <f t="shared" si="285"/>
        <v>0</v>
      </c>
      <c r="AK176" s="74">
        <f t="shared" si="285"/>
        <v>0</v>
      </c>
      <c r="AL176" s="74">
        <f t="shared" si="285"/>
        <v>0</v>
      </c>
      <c r="AM176" s="74">
        <f t="shared" si="285"/>
        <v>-61252</v>
      </c>
      <c r="AN176" s="74">
        <f t="shared" si="285"/>
        <v>-32000</v>
      </c>
      <c r="AO176" s="74">
        <f t="shared" si="285"/>
        <v>-93252</v>
      </c>
      <c r="AP176" s="74">
        <f t="shared" si="285"/>
        <v>-314666</v>
      </c>
      <c r="AQ176" s="74">
        <f t="shared" si="285"/>
        <v>0</v>
      </c>
      <c r="AR176" s="74">
        <f t="shared" si="285"/>
        <v>-314666</v>
      </c>
      <c r="AS176" s="74">
        <f t="shared" si="285"/>
        <v>-106357</v>
      </c>
      <c r="AT176" s="74">
        <f t="shared" si="285"/>
        <v>-2214</v>
      </c>
      <c r="AU176" s="74">
        <f t="shared" si="285"/>
        <v>6000</v>
      </c>
      <c r="AV176" s="74">
        <f t="shared" si="285"/>
        <v>0</v>
      </c>
      <c r="AW176" s="74">
        <f t="shared" si="285"/>
        <v>0</v>
      </c>
      <c r="AX176" s="74">
        <f t="shared" si="285"/>
        <v>6000</v>
      </c>
      <c r="AY176" s="74">
        <f t="shared" si="285"/>
        <v>-417237</v>
      </c>
      <c r="AZ176" s="75">
        <f t="shared" si="285"/>
        <v>0.05</v>
      </c>
      <c r="BA176" s="75">
        <f t="shared" si="285"/>
        <v>0.1</v>
      </c>
      <c r="BB176" s="75">
        <f t="shared" si="285"/>
        <v>-0.79</v>
      </c>
      <c r="BC176" s="75">
        <f t="shared" si="285"/>
        <v>0</v>
      </c>
      <c r="BD176" s="75">
        <f t="shared" si="285"/>
        <v>0</v>
      </c>
      <c r="BE176" s="75">
        <f t="shared" si="285"/>
        <v>0</v>
      </c>
      <c r="BF176" s="75">
        <f t="shared" si="285"/>
        <v>0</v>
      </c>
      <c r="BG176" s="75">
        <f t="shared" si="285"/>
        <v>0</v>
      </c>
      <c r="BH176" s="75">
        <f t="shared" si="285"/>
        <v>0</v>
      </c>
      <c r="BI176" s="75">
        <f t="shared" si="285"/>
        <v>-0.74</v>
      </c>
      <c r="BJ176" s="75">
        <f t="shared" si="285"/>
        <v>0.1</v>
      </c>
      <c r="BK176" s="76">
        <f t="shared" si="285"/>
        <v>-0.64</v>
      </c>
      <c r="BL176" s="781">
        <f t="shared" si="285"/>
        <v>51377017</v>
      </c>
      <c r="BM176" s="74">
        <f t="shared" si="285"/>
        <v>37372545</v>
      </c>
      <c r="BN176" s="74">
        <f t="shared" si="285"/>
        <v>34180327</v>
      </c>
      <c r="BO176" s="74">
        <f t="shared" si="285"/>
        <v>3192218</v>
      </c>
      <c r="BP176" s="74">
        <f t="shared" si="285"/>
        <v>109748</v>
      </c>
      <c r="BQ176" s="74">
        <f t="shared" si="285"/>
        <v>109748</v>
      </c>
      <c r="BR176" s="74">
        <f t="shared" si="285"/>
        <v>0</v>
      </c>
      <c r="BS176" s="74">
        <f t="shared" si="285"/>
        <v>12669015</v>
      </c>
      <c r="BT176" s="74">
        <f t="shared" si="285"/>
        <v>373725</v>
      </c>
      <c r="BU176" s="74">
        <f t="shared" si="285"/>
        <v>851984</v>
      </c>
      <c r="BV176" s="75">
        <f t="shared" si="285"/>
        <v>61.959299999999999</v>
      </c>
      <c r="BW176" s="75">
        <f t="shared" si="285"/>
        <v>52.024999999999999</v>
      </c>
      <c r="BX176" s="76">
        <f t="shared" si="285"/>
        <v>9.9343000000000004</v>
      </c>
      <c r="BY176" s="791">
        <f t="shared" ref="BY176:CJ176" si="286">SUM(BY171:BY175)</f>
        <v>304109</v>
      </c>
      <c r="BZ176" s="679">
        <f t="shared" si="286"/>
        <v>225600</v>
      </c>
      <c r="CA176" s="679">
        <f t="shared" si="286"/>
        <v>0</v>
      </c>
      <c r="CB176" s="679">
        <f t="shared" si="286"/>
        <v>76253</v>
      </c>
      <c r="CC176" s="679">
        <f t="shared" si="286"/>
        <v>2256</v>
      </c>
      <c r="CD176" s="947">
        <f t="shared" si="286"/>
        <v>0.4</v>
      </c>
      <c r="CE176" s="956">
        <f t="shared" si="286"/>
        <v>1525519</v>
      </c>
      <c r="CF176" s="953">
        <f t="shared" si="286"/>
        <v>986999</v>
      </c>
      <c r="CG176" s="953">
        <f t="shared" si="286"/>
        <v>333606</v>
      </c>
      <c r="CH176" s="953">
        <f t="shared" si="286"/>
        <v>9870</v>
      </c>
      <c r="CI176" s="953">
        <f t="shared" si="286"/>
        <v>195044</v>
      </c>
      <c r="CJ176" s="877">
        <f t="shared" si="286"/>
        <v>3.0442999999999998</v>
      </c>
    </row>
    <row r="177" spans="1:90" ht="14.1" customHeight="1">
      <c r="A177" s="66">
        <v>39</v>
      </c>
      <c r="B177" s="63">
        <v>2478</v>
      </c>
      <c r="C177" s="64">
        <v>600079929</v>
      </c>
      <c r="D177" s="63">
        <v>72743379</v>
      </c>
      <c r="E177" s="65" t="s">
        <v>613</v>
      </c>
      <c r="F177" s="66">
        <v>3113</v>
      </c>
      <c r="G177" s="65" t="s">
        <v>293</v>
      </c>
      <c r="H177" s="67" t="s">
        <v>271</v>
      </c>
      <c r="I177" s="419">
        <v>41004191</v>
      </c>
      <c r="J177" s="414">
        <v>29573533</v>
      </c>
      <c r="K177" s="414">
        <v>26815449</v>
      </c>
      <c r="L177" s="414">
        <v>2758084</v>
      </c>
      <c r="M177" s="414">
        <v>325779</v>
      </c>
      <c r="N177" s="414">
        <v>323779</v>
      </c>
      <c r="O177" s="414">
        <v>2000</v>
      </c>
      <c r="P177" s="595">
        <v>10105968</v>
      </c>
      <c r="Q177" s="595">
        <v>295736</v>
      </c>
      <c r="R177" s="414">
        <v>703175</v>
      </c>
      <c r="S177" s="415">
        <v>47.112700000000004</v>
      </c>
      <c r="T177" s="415">
        <v>38.768000000000001</v>
      </c>
      <c r="U177" s="422">
        <v>8.3446999999999996</v>
      </c>
      <c r="V177" s="423">
        <f t="shared" si="232"/>
        <v>153258</v>
      </c>
      <c r="W177" s="417">
        <f t="shared" si="233"/>
        <v>-9000</v>
      </c>
      <c r="X177" s="417">
        <v>0</v>
      </c>
      <c r="Y177" s="417">
        <v>79440</v>
      </c>
      <c r="Z177" s="417">
        <v>193838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si="234"/>
        <v>426536</v>
      </c>
      <c r="AF177" s="417">
        <f t="shared" si="235"/>
        <v>-9000</v>
      </c>
      <c r="AG177" s="417">
        <f t="shared" si="236"/>
        <v>417536</v>
      </c>
      <c r="AH177" s="417">
        <v>-153258</v>
      </c>
      <c r="AI177" s="417">
        <v>9000</v>
      </c>
      <c r="AJ177" s="417">
        <v>0</v>
      </c>
      <c r="AK177" s="417">
        <v>0</v>
      </c>
      <c r="AL177" s="417">
        <v>0</v>
      </c>
      <c r="AM177" s="417">
        <f t="shared" si="237"/>
        <v>-153258</v>
      </c>
      <c r="AN177" s="417">
        <f t="shared" si="238"/>
        <v>9000</v>
      </c>
      <c r="AO177" s="417">
        <f t="shared" si="239"/>
        <v>-144258</v>
      </c>
      <c r="AP177" s="417">
        <f t="shared" si="240"/>
        <v>273278</v>
      </c>
      <c r="AQ177" s="417">
        <f t="shared" si="241"/>
        <v>0</v>
      </c>
      <c r="AR177" s="417">
        <f t="shared" si="242"/>
        <v>273278</v>
      </c>
      <c r="AS177" s="68">
        <f t="shared" si="243"/>
        <v>92368</v>
      </c>
      <c r="AT177" s="68">
        <f t="shared" si="244"/>
        <v>4175</v>
      </c>
      <c r="AU177" s="417">
        <v>0</v>
      </c>
      <c r="AV177" s="417">
        <v>0</v>
      </c>
      <c r="AW177" s="417">
        <v>0</v>
      </c>
      <c r="AX177" s="417">
        <f t="shared" si="245"/>
        <v>0</v>
      </c>
      <c r="AY177" s="417">
        <f t="shared" si="246"/>
        <v>369821</v>
      </c>
      <c r="AZ177" s="418">
        <v>0.21</v>
      </c>
      <c r="BA177" s="418">
        <v>-0.03</v>
      </c>
      <c r="BB177" s="418">
        <v>0</v>
      </c>
      <c r="BC177" s="418">
        <v>0.4</v>
      </c>
      <c r="BD177" s="418">
        <v>0</v>
      </c>
      <c r="BE177" s="418">
        <v>0.11</v>
      </c>
      <c r="BF177" s="418">
        <v>0</v>
      </c>
      <c r="BG177" s="418">
        <v>0</v>
      </c>
      <c r="BH177" s="418">
        <v>0</v>
      </c>
      <c r="BI177" s="418">
        <f t="shared" si="247"/>
        <v>0.72</v>
      </c>
      <c r="BJ177" s="418">
        <f t="shared" si="248"/>
        <v>-0.03</v>
      </c>
      <c r="BK177" s="420">
        <f t="shared" si="249"/>
        <v>0.69</v>
      </c>
      <c r="BL177" s="772">
        <f>I177+AY177</f>
        <v>41374012</v>
      </c>
      <c r="BM177" s="417">
        <f>J177+AG177</f>
        <v>29991069</v>
      </c>
      <c r="BN177" s="417">
        <f t="shared" ref="BN177:BO181" si="287">K177+AE177</f>
        <v>27241985</v>
      </c>
      <c r="BO177" s="417">
        <f t="shared" si="287"/>
        <v>2749084</v>
      </c>
      <c r="BP177" s="417">
        <f>M177+AO177</f>
        <v>181521</v>
      </c>
      <c r="BQ177" s="417">
        <f t="shared" ref="BQ177:BR181" si="288">N177+AM177</f>
        <v>170521</v>
      </c>
      <c r="BR177" s="417">
        <f t="shared" si="288"/>
        <v>11000</v>
      </c>
      <c r="BS177" s="417">
        <f t="shared" ref="BS177:BT181" si="289">P177+AS177</f>
        <v>10198336</v>
      </c>
      <c r="BT177" s="417">
        <f t="shared" si="289"/>
        <v>299911</v>
      </c>
      <c r="BU177" s="417">
        <f>R177+AX177</f>
        <v>703175</v>
      </c>
      <c r="BV177" s="418">
        <f>S177+BK177</f>
        <v>47.802700000000002</v>
      </c>
      <c r="BW177" s="418">
        <f t="shared" ref="BW177:BX181" si="290">T177+BI177</f>
        <v>39.488</v>
      </c>
      <c r="BX177" s="420">
        <f t="shared" si="290"/>
        <v>8.3147000000000002</v>
      </c>
      <c r="BY177" s="419">
        <v>760272</v>
      </c>
      <c r="BZ177" s="414">
        <v>564000</v>
      </c>
      <c r="CA177" s="414">
        <v>0</v>
      </c>
      <c r="CB177" s="414">
        <v>190632</v>
      </c>
      <c r="CC177" s="414">
        <v>5640</v>
      </c>
      <c r="CD177" s="422">
        <v>1</v>
      </c>
      <c r="CE177" s="419">
        <f t="shared" si="254"/>
        <v>1356781</v>
      </c>
      <c r="CF177" s="414">
        <v>885967</v>
      </c>
      <c r="CG177" s="414">
        <v>299457</v>
      </c>
      <c r="CH177" s="414">
        <v>8860</v>
      </c>
      <c r="CI177" s="414">
        <v>162497</v>
      </c>
      <c r="CJ177" s="509">
        <v>2.6787999999999998</v>
      </c>
    </row>
    <row r="178" spans="1:90" ht="14.1" customHeight="1">
      <c r="A178" s="66">
        <v>39</v>
      </c>
      <c r="B178" s="63">
        <v>2478</v>
      </c>
      <c r="C178" s="64">
        <v>600079929</v>
      </c>
      <c r="D178" s="63">
        <v>72743379</v>
      </c>
      <c r="E178" s="65" t="s">
        <v>613</v>
      </c>
      <c r="F178" s="66">
        <v>3113</v>
      </c>
      <c r="G178" s="77" t="s">
        <v>291</v>
      </c>
      <c r="H178" s="67" t="s">
        <v>272</v>
      </c>
      <c r="I178" s="419">
        <v>6555062</v>
      </c>
      <c r="J178" s="414">
        <v>4855758</v>
      </c>
      <c r="K178" s="414">
        <v>4855758</v>
      </c>
      <c r="L178" s="414">
        <v>0</v>
      </c>
      <c r="M178" s="414">
        <v>0</v>
      </c>
      <c r="N178" s="414">
        <v>0</v>
      </c>
      <c r="O178" s="414">
        <v>0</v>
      </c>
      <c r="P178" s="595">
        <v>1641246</v>
      </c>
      <c r="Q178" s="595">
        <v>48558</v>
      </c>
      <c r="R178" s="414">
        <v>9500</v>
      </c>
      <c r="S178" s="415">
        <v>12.799999999999999</v>
      </c>
      <c r="T178" s="416">
        <v>12.799999999999999</v>
      </c>
      <c r="U178" s="422">
        <v>0</v>
      </c>
      <c r="V178" s="423">
        <f t="shared" si="232"/>
        <v>0</v>
      </c>
      <c r="W178" s="417">
        <f t="shared" si="233"/>
        <v>0</v>
      </c>
      <c r="X178" s="417">
        <f>-52180+61800</f>
        <v>9620</v>
      </c>
      <c r="Y178" s="417">
        <v>0</v>
      </c>
      <c r="Z178" s="417">
        <v>0</v>
      </c>
      <c r="AA178" s="417">
        <v>0</v>
      </c>
      <c r="AB178" s="417">
        <v>0</v>
      </c>
      <c r="AC178" s="417">
        <v>0</v>
      </c>
      <c r="AD178" s="417">
        <v>0</v>
      </c>
      <c r="AE178" s="417">
        <f t="shared" si="234"/>
        <v>9620</v>
      </c>
      <c r="AF178" s="417">
        <f t="shared" si="235"/>
        <v>0</v>
      </c>
      <c r="AG178" s="417">
        <f t="shared" si="236"/>
        <v>9620</v>
      </c>
      <c r="AH178" s="417">
        <v>0</v>
      </c>
      <c r="AI178" s="417">
        <v>0</v>
      </c>
      <c r="AJ178" s="417">
        <v>0</v>
      </c>
      <c r="AK178" s="417">
        <v>0</v>
      </c>
      <c r="AL178" s="417">
        <v>0</v>
      </c>
      <c r="AM178" s="417">
        <f t="shared" si="237"/>
        <v>0</v>
      </c>
      <c r="AN178" s="417">
        <f t="shared" si="238"/>
        <v>0</v>
      </c>
      <c r="AO178" s="417">
        <f t="shared" si="239"/>
        <v>0</v>
      </c>
      <c r="AP178" s="417">
        <f t="shared" si="240"/>
        <v>9620</v>
      </c>
      <c r="AQ178" s="417">
        <f t="shared" si="241"/>
        <v>0</v>
      </c>
      <c r="AR178" s="417">
        <f t="shared" si="242"/>
        <v>9620</v>
      </c>
      <c r="AS178" s="68">
        <f t="shared" si="243"/>
        <v>3252</v>
      </c>
      <c r="AT178" s="68">
        <f t="shared" si="244"/>
        <v>96</v>
      </c>
      <c r="AU178" s="417">
        <v>0</v>
      </c>
      <c r="AV178" s="417">
        <v>0</v>
      </c>
      <c r="AW178" s="417">
        <v>0</v>
      </c>
      <c r="AX178" s="417">
        <f t="shared" si="245"/>
        <v>0</v>
      </c>
      <c r="AY178" s="417">
        <f t="shared" si="246"/>
        <v>12968</v>
      </c>
      <c r="AZ178" s="418">
        <v>0</v>
      </c>
      <c r="BA178" s="418">
        <v>0</v>
      </c>
      <c r="BB178" s="418">
        <f>-0.07+0.17</f>
        <v>0.1</v>
      </c>
      <c r="BC178" s="418">
        <v>0</v>
      </c>
      <c r="BD178" s="418">
        <v>0</v>
      </c>
      <c r="BE178" s="418">
        <v>0</v>
      </c>
      <c r="BF178" s="418">
        <v>0</v>
      </c>
      <c r="BG178" s="418">
        <v>0</v>
      </c>
      <c r="BH178" s="418">
        <v>0</v>
      </c>
      <c r="BI178" s="418">
        <f t="shared" si="247"/>
        <v>0.1</v>
      </c>
      <c r="BJ178" s="418">
        <f t="shared" si="248"/>
        <v>0</v>
      </c>
      <c r="BK178" s="420">
        <f t="shared" si="249"/>
        <v>0.1</v>
      </c>
      <c r="BL178" s="772">
        <f>I178+AY178</f>
        <v>6568030</v>
      </c>
      <c r="BM178" s="417">
        <f>J178+AG178</f>
        <v>4865378</v>
      </c>
      <c r="BN178" s="417">
        <f t="shared" si="287"/>
        <v>4865378</v>
      </c>
      <c r="BO178" s="417">
        <f t="shared" si="287"/>
        <v>0</v>
      </c>
      <c r="BP178" s="417">
        <f>M178+AO178</f>
        <v>0</v>
      </c>
      <c r="BQ178" s="417">
        <f t="shared" si="288"/>
        <v>0</v>
      </c>
      <c r="BR178" s="417">
        <f t="shared" si="288"/>
        <v>0</v>
      </c>
      <c r="BS178" s="417">
        <f t="shared" si="289"/>
        <v>1644498</v>
      </c>
      <c r="BT178" s="417">
        <f t="shared" si="289"/>
        <v>48654</v>
      </c>
      <c r="BU178" s="417">
        <f>R178+AX178</f>
        <v>9500</v>
      </c>
      <c r="BV178" s="418">
        <f>S178+BK178</f>
        <v>12.899999999999999</v>
      </c>
      <c r="BW178" s="418">
        <f t="shared" si="290"/>
        <v>12.899999999999999</v>
      </c>
      <c r="BX178" s="420">
        <f t="shared" si="290"/>
        <v>0</v>
      </c>
      <c r="BY178" s="419"/>
      <c r="BZ178" s="414"/>
      <c r="CA178" s="414"/>
      <c r="CB178" s="414"/>
      <c r="CC178" s="414"/>
      <c r="CD178" s="422"/>
      <c r="CE178" s="419">
        <f t="shared" si="254"/>
        <v>0</v>
      </c>
      <c r="CF178" s="414">
        <v>0</v>
      </c>
      <c r="CG178" s="414">
        <v>0</v>
      </c>
      <c r="CH178" s="414">
        <v>0</v>
      </c>
      <c r="CI178" s="414">
        <v>0</v>
      </c>
      <c r="CJ178" s="509">
        <v>0</v>
      </c>
    </row>
    <row r="179" spans="1:90" ht="14.1" customHeight="1">
      <c r="A179" s="66">
        <v>39</v>
      </c>
      <c r="B179" s="63">
        <v>2478</v>
      </c>
      <c r="C179" s="64">
        <v>600079929</v>
      </c>
      <c r="D179" s="63">
        <v>72743379</v>
      </c>
      <c r="E179" s="65" t="s">
        <v>613</v>
      </c>
      <c r="F179" s="66">
        <v>3141</v>
      </c>
      <c r="G179" s="65" t="s">
        <v>294</v>
      </c>
      <c r="H179" s="67" t="s">
        <v>272</v>
      </c>
      <c r="I179" s="419">
        <v>3150457</v>
      </c>
      <c r="J179" s="414">
        <v>2315833</v>
      </c>
      <c r="K179" s="414">
        <v>0</v>
      </c>
      <c r="L179" s="744">
        <v>2315833</v>
      </c>
      <c r="M179" s="414">
        <v>0</v>
      </c>
      <c r="N179" s="204">
        <v>0</v>
      </c>
      <c r="O179" s="204">
        <v>0</v>
      </c>
      <c r="P179" s="595">
        <v>782752</v>
      </c>
      <c r="Q179" s="595">
        <v>23157</v>
      </c>
      <c r="R179" s="601">
        <v>28715</v>
      </c>
      <c r="S179" s="415">
        <v>6.9399999999999995</v>
      </c>
      <c r="T179" s="603">
        <v>0</v>
      </c>
      <c r="U179" s="731">
        <v>6.9399999999999995</v>
      </c>
      <c r="V179" s="423">
        <f t="shared" si="232"/>
        <v>0</v>
      </c>
      <c r="W179" s="417">
        <f t="shared" si="233"/>
        <v>0</v>
      </c>
      <c r="X179" s="417">
        <v>0</v>
      </c>
      <c r="Y179" s="417">
        <v>0</v>
      </c>
      <c r="Z179" s="417">
        <v>0</v>
      </c>
      <c r="AA179" s="417">
        <v>24928</v>
      </c>
      <c r="AB179" s="417">
        <v>0</v>
      </c>
      <c r="AC179" s="417">
        <v>0</v>
      </c>
      <c r="AD179" s="417">
        <v>0</v>
      </c>
      <c r="AE179" s="417">
        <f t="shared" si="234"/>
        <v>0</v>
      </c>
      <c r="AF179" s="417">
        <f t="shared" si="235"/>
        <v>24928</v>
      </c>
      <c r="AG179" s="417">
        <f t="shared" si="236"/>
        <v>24928</v>
      </c>
      <c r="AH179" s="417">
        <v>0</v>
      </c>
      <c r="AI179" s="417">
        <v>0</v>
      </c>
      <c r="AJ179" s="417">
        <v>0</v>
      </c>
      <c r="AK179" s="417">
        <v>0</v>
      </c>
      <c r="AL179" s="417">
        <v>0</v>
      </c>
      <c r="AM179" s="417">
        <f t="shared" si="237"/>
        <v>0</v>
      </c>
      <c r="AN179" s="417">
        <f t="shared" si="238"/>
        <v>0</v>
      </c>
      <c r="AO179" s="417">
        <f t="shared" si="239"/>
        <v>0</v>
      </c>
      <c r="AP179" s="417">
        <f t="shared" si="240"/>
        <v>0</v>
      </c>
      <c r="AQ179" s="417">
        <f t="shared" si="241"/>
        <v>24928</v>
      </c>
      <c r="AR179" s="417">
        <f t="shared" si="242"/>
        <v>24928</v>
      </c>
      <c r="AS179" s="68">
        <f t="shared" si="243"/>
        <v>8426</v>
      </c>
      <c r="AT179" s="68">
        <f t="shared" si="244"/>
        <v>249</v>
      </c>
      <c r="AU179" s="417">
        <v>0</v>
      </c>
      <c r="AV179" s="417">
        <v>0</v>
      </c>
      <c r="AW179" s="417">
        <v>0</v>
      </c>
      <c r="AX179" s="417">
        <f t="shared" si="245"/>
        <v>0</v>
      </c>
      <c r="AY179" s="417">
        <f t="shared" si="246"/>
        <v>33603</v>
      </c>
      <c r="AZ179" s="418">
        <v>0</v>
      </c>
      <c r="BA179" s="418">
        <v>0</v>
      </c>
      <c r="BB179" s="418">
        <v>0</v>
      </c>
      <c r="BC179" s="418">
        <v>0</v>
      </c>
      <c r="BD179" s="418">
        <v>0.08</v>
      </c>
      <c r="BE179" s="418">
        <v>0</v>
      </c>
      <c r="BF179" s="418">
        <v>0</v>
      </c>
      <c r="BG179" s="418">
        <v>0</v>
      </c>
      <c r="BH179" s="418">
        <v>0</v>
      </c>
      <c r="BI179" s="418">
        <f t="shared" si="247"/>
        <v>0</v>
      </c>
      <c r="BJ179" s="418">
        <f t="shared" si="248"/>
        <v>0.08</v>
      </c>
      <c r="BK179" s="420">
        <f t="shared" si="249"/>
        <v>0.08</v>
      </c>
      <c r="BL179" s="772">
        <f>I179+AY179</f>
        <v>3184060</v>
      </c>
      <c r="BM179" s="417">
        <f>J179+AG179</f>
        <v>2340761</v>
      </c>
      <c r="BN179" s="417">
        <f t="shared" si="287"/>
        <v>0</v>
      </c>
      <c r="BO179" s="417">
        <f t="shared" si="287"/>
        <v>2340761</v>
      </c>
      <c r="BP179" s="417">
        <f>M179+AO179</f>
        <v>0</v>
      </c>
      <c r="BQ179" s="417">
        <f t="shared" si="288"/>
        <v>0</v>
      </c>
      <c r="BR179" s="417">
        <f t="shared" si="288"/>
        <v>0</v>
      </c>
      <c r="BS179" s="417">
        <f t="shared" si="289"/>
        <v>791178</v>
      </c>
      <c r="BT179" s="417">
        <f t="shared" si="289"/>
        <v>23406</v>
      </c>
      <c r="BU179" s="417">
        <f>R179+AX179</f>
        <v>28715</v>
      </c>
      <c r="BV179" s="418">
        <f>S179+BK179</f>
        <v>7.02</v>
      </c>
      <c r="BW179" s="418">
        <f t="shared" si="290"/>
        <v>0</v>
      </c>
      <c r="BX179" s="420">
        <f t="shared" si="290"/>
        <v>7.02</v>
      </c>
      <c r="BY179" s="419"/>
      <c r="BZ179" s="414"/>
      <c r="CA179" s="414"/>
      <c r="CB179" s="414"/>
      <c r="CC179" s="414"/>
      <c r="CD179" s="422"/>
      <c r="CE179" s="419">
        <f t="shared" si="254"/>
        <v>0</v>
      </c>
      <c r="CF179" s="414">
        <v>0</v>
      </c>
      <c r="CG179" s="414">
        <v>0</v>
      </c>
      <c r="CH179" s="414">
        <v>0</v>
      </c>
      <c r="CI179" s="414">
        <v>0</v>
      </c>
      <c r="CJ179" s="509">
        <v>0</v>
      </c>
    </row>
    <row r="180" spans="1:90" ht="14.1" customHeight="1">
      <c r="A180" s="66">
        <v>39</v>
      </c>
      <c r="B180" s="63">
        <v>2478</v>
      </c>
      <c r="C180" s="64">
        <v>600079929</v>
      </c>
      <c r="D180" s="63">
        <v>72743379</v>
      </c>
      <c r="E180" s="65" t="s">
        <v>613</v>
      </c>
      <c r="F180" s="66">
        <v>3143</v>
      </c>
      <c r="G180" s="77" t="s">
        <v>595</v>
      </c>
      <c r="H180" s="67" t="s">
        <v>271</v>
      </c>
      <c r="I180" s="419">
        <v>5993259</v>
      </c>
      <c r="J180" s="414">
        <v>4439090</v>
      </c>
      <c r="K180" s="414">
        <v>4441090</v>
      </c>
      <c r="L180" s="414">
        <v>-2000</v>
      </c>
      <c r="M180" s="414">
        <v>7000</v>
      </c>
      <c r="N180" s="414">
        <v>5000</v>
      </c>
      <c r="O180" s="414">
        <v>2000</v>
      </c>
      <c r="P180" s="595">
        <v>1502778</v>
      </c>
      <c r="Q180" s="595">
        <v>44391</v>
      </c>
      <c r="R180" s="414">
        <v>0</v>
      </c>
      <c r="S180" s="415">
        <v>9.2677999999999994</v>
      </c>
      <c r="T180" s="415">
        <v>9.2677999999999994</v>
      </c>
      <c r="U180" s="422">
        <v>0</v>
      </c>
      <c r="V180" s="423">
        <f t="shared" si="232"/>
        <v>5000</v>
      </c>
      <c r="W180" s="417">
        <f t="shared" si="233"/>
        <v>2000</v>
      </c>
      <c r="X180" s="417">
        <v>0</v>
      </c>
      <c r="Y180" s="417">
        <v>0</v>
      </c>
      <c r="Z180" s="417">
        <v>71677</v>
      </c>
      <c r="AA180" s="417">
        <v>0</v>
      </c>
      <c r="AB180" s="417">
        <v>0</v>
      </c>
      <c r="AC180" s="417">
        <v>0</v>
      </c>
      <c r="AD180" s="417">
        <v>0</v>
      </c>
      <c r="AE180" s="417">
        <f t="shared" si="234"/>
        <v>76677</v>
      </c>
      <c r="AF180" s="417">
        <f t="shared" si="235"/>
        <v>2000</v>
      </c>
      <c r="AG180" s="417">
        <f t="shared" si="236"/>
        <v>78677</v>
      </c>
      <c r="AH180" s="417">
        <v>-5000</v>
      </c>
      <c r="AI180" s="417">
        <v>-2000</v>
      </c>
      <c r="AJ180" s="417">
        <v>0</v>
      </c>
      <c r="AK180" s="417">
        <v>0</v>
      </c>
      <c r="AL180" s="417">
        <v>0</v>
      </c>
      <c r="AM180" s="417">
        <f t="shared" si="237"/>
        <v>-5000</v>
      </c>
      <c r="AN180" s="417">
        <f t="shared" si="238"/>
        <v>-2000</v>
      </c>
      <c r="AO180" s="417">
        <f t="shared" si="239"/>
        <v>-7000</v>
      </c>
      <c r="AP180" s="417">
        <f t="shared" si="240"/>
        <v>71677</v>
      </c>
      <c r="AQ180" s="417">
        <f t="shared" si="241"/>
        <v>0</v>
      </c>
      <c r="AR180" s="417">
        <f t="shared" si="242"/>
        <v>71677</v>
      </c>
      <c r="AS180" s="68">
        <f t="shared" si="243"/>
        <v>24227</v>
      </c>
      <c r="AT180" s="68">
        <f t="shared" si="244"/>
        <v>787</v>
      </c>
      <c r="AU180" s="417">
        <v>0</v>
      </c>
      <c r="AV180" s="417">
        <v>0</v>
      </c>
      <c r="AW180" s="417">
        <v>0</v>
      </c>
      <c r="AX180" s="417">
        <f t="shared" si="245"/>
        <v>0</v>
      </c>
      <c r="AY180" s="417">
        <f t="shared" si="246"/>
        <v>96691</v>
      </c>
      <c r="AZ180" s="418">
        <v>0</v>
      </c>
      <c r="BA180" s="418">
        <v>0</v>
      </c>
      <c r="BB180" s="418">
        <v>0</v>
      </c>
      <c r="BC180" s="418">
        <v>0.17</v>
      </c>
      <c r="BD180" s="418">
        <v>0</v>
      </c>
      <c r="BE180" s="418">
        <v>0</v>
      </c>
      <c r="BF180" s="418">
        <v>0</v>
      </c>
      <c r="BG180" s="418">
        <v>0</v>
      </c>
      <c r="BH180" s="418">
        <v>0</v>
      </c>
      <c r="BI180" s="418">
        <f t="shared" si="247"/>
        <v>0.17</v>
      </c>
      <c r="BJ180" s="418">
        <f t="shared" si="248"/>
        <v>0</v>
      </c>
      <c r="BK180" s="420">
        <f t="shared" si="249"/>
        <v>0.17</v>
      </c>
      <c r="BL180" s="772">
        <f>I180+AY180</f>
        <v>6089950</v>
      </c>
      <c r="BM180" s="417">
        <f>J180+AG180</f>
        <v>4517767</v>
      </c>
      <c r="BN180" s="417">
        <f t="shared" si="287"/>
        <v>4517767</v>
      </c>
      <c r="BO180" s="417">
        <f t="shared" si="287"/>
        <v>0</v>
      </c>
      <c r="BP180" s="417">
        <f>M180+AO180</f>
        <v>0</v>
      </c>
      <c r="BQ180" s="417">
        <f t="shared" si="288"/>
        <v>0</v>
      </c>
      <c r="BR180" s="417">
        <f t="shared" si="288"/>
        <v>0</v>
      </c>
      <c r="BS180" s="417">
        <f t="shared" si="289"/>
        <v>1527005</v>
      </c>
      <c r="BT180" s="417">
        <f t="shared" si="289"/>
        <v>45178</v>
      </c>
      <c r="BU180" s="417">
        <f>R180+AX180</f>
        <v>0</v>
      </c>
      <c r="BV180" s="418">
        <f>S180+BK180</f>
        <v>9.4377999999999993</v>
      </c>
      <c r="BW180" s="418">
        <f t="shared" si="290"/>
        <v>9.4377999999999993</v>
      </c>
      <c r="BX180" s="420">
        <f t="shared" si="290"/>
        <v>0</v>
      </c>
      <c r="BY180" s="419"/>
      <c r="BZ180" s="414"/>
      <c r="CA180" s="414"/>
      <c r="CB180" s="414"/>
      <c r="CC180" s="414"/>
      <c r="CD180" s="422"/>
      <c r="CE180" s="419">
        <f t="shared" si="254"/>
        <v>0</v>
      </c>
      <c r="CF180" s="414">
        <v>0</v>
      </c>
      <c r="CG180" s="414">
        <v>0</v>
      </c>
      <c r="CH180" s="414">
        <v>0</v>
      </c>
      <c r="CI180" s="414">
        <v>0</v>
      </c>
      <c r="CJ180" s="509">
        <v>0</v>
      </c>
    </row>
    <row r="181" spans="1:90" ht="14.1" customHeight="1">
      <c r="A181" s="66">
        <v>39</v>
      </c>
      <c r="B181" s="63">
        <v>2478</v>
      </c>
      <c r="C181" s="64">
        <v>600079929</v>
      </c>
      <c r="D181" s="63">
        <v>72743379</v>
      </c>
      <c r="E181" s="65" t="s">
        <v>613</v>
      </c>
      <c r="F181" s="66">
        <v>3143</v>
      </c>
      <c r="G181" s="77" t="s">
        <v>596</v>
      </c>
      <c r="H181" s="67" t="s">
        <v>272</v>
      </c>
      <c r="I181" s="419">
        <v>189027</v>
      </c>
      <c r="J181" s="414">
        <v>135300</v>
      </c>
      <c r="K181" s="414">
        <v>0</v>
      </c>
      <c r="L181" s="601">
        <v>135300</v>
      </c>
      <c r="M181" s="414">
        <v>0</v>
      </c>
      <c r="N181" s="414">
        <v>0</v>
      </c>
      <c r="O181" s="414">
        <v>0</v>
      </c>
      <c r="P181" s="595">
        <v>45732</v>
      </c>
      <c r="Q181" s="595">
        <v>1353</v>
      </c>
      <c r="R181" s="601">
        <v>6642</v>
      </c>
      <c r="S181" s="415">
        <v>0.51170000000000004</v>
      </c>
      <c r="T181" s="603">
        <v>0</v>
      </c>
      <c r="U181" s="731">
        <v>0.51170000000000004</v>
      </c>
      <c r="V181" s="423">
        <f t="shared" si="232"/>
        <v>0</v>
      </c>
      <c r="W181" s="417">
        <f t="shared" si="233"/>
        <v>0</v>
      </c>
      <c r="X181" s="417">
        <v>0</v>
      </c>
      <c r="Y181" s="417">
        <v>0</v>
      </c>
      <c r="Z181" s="417">
        <v>0</v>
      </c>
      <c r="AA181" s="417">
        <v>0</v>
      </c>
      <c r="AB181" s="417">
        <v>0</v>
      </c>
      <c r="AC181" s="417">
        <v>0</v>
      </c>
      <c r="AD181" s="417">
        <v>0</v>
      </c>
      <c r="AE181" s="417">
        <f t="shared" si="234"/>
        <v>0</v>
      </c>
      <c r="AF181" s="417">
        <f t="shared" si="235"/>
        <v>0</v>
      </c>
      <c r="AG181" s="417">
        <f t="shared" si="236"/>
        <v>0</v>
      </c>
      <c r="AH181" s="417">
        <v>0</v>
      </c>
      <c r="AI181" s="417">
        <v>0</v>
      </c>
      <c r="AJ181" s="417">
        <v>0</v>
      </c>
      <c r="AK181" s="417">
        <v>0</v>
      </c>
      <c r="AL181" s="417">
        <v>0</v>
      </c>
      <c r="AM181" s="417">
        <f t="shared" si="237"/>
        <v>0</v>
      </c>
      <c r="AN181" s="417">
        <f t="shared" si="238"/>
        <v>0</v>
      </c>
      <c r="AO181" s="417">
        <f t="shared" si="239"/>
        <v>0</v>
      </c>
      <c r="AP181" s="417">
        <f t="shared" si="240"/>
        <v>0</v>
      </c>
      <c r="AQ181" s="417">
        <f t="shared" si="241"/>
        <v>0</v>
      </c>
      <c r="AR181" s="417">
        <f t="shared" si="242"/>
        <v>0</v>
      </c>
      <c r="AS181" s="68">
        <f t="shared" si="243"/>
        <v>0</v>
      </c>
      <c r="AT181" s="68">
        <f t="shared" si="244"/>
        <v>0</v>
      </c>
      <c r="AU181" s="417">
        <v>0</v>
      </c>
      <c r="AV181" s="417">
        <v>0</v>
      </c>
      <c r="AW181" s="417">
        <v>0</v>
      </c>
      <c r="AX181" s="417">
        <f t="shared" si="245"/>
        <v>0</v>
      </c>
      <c r="AY181" s="417">
        <f t="shared" si="246"/>
        <v>0</v>
      </c>
      <c r="AZ181" s="418">
        <v>0</v>
      </c>
      <c r="BA181" s="418">
        <v>0</v>
      </c>
      <c r="BB181" s="418">
        <v>0</v>
      </c>
      <c r="BC181" s="418">
        <v>0</v>
      </c>
      <c r="BD181" s="418">
        <v>0</v>
      </c>
      <c r="BE181" s="418">
        <v>0</v>
      </c>
      <c r="BF181" s="418">
        <v>0</v>
      </c>
      <c r="BG181" s="418">
        <v>0</v>
      </c>
      <c r="BH181" s="418">
        <v>0</v>
      </c>
      <c r="BI181" s="418">
        <f t="shared" si="247"/>
        <v>0</v>
      </c>
      <c r="BJ181" s="418">
        <f t="shared" si="248"/>
        <v>0</v>
      </c>
      <c r="BK181" s="420">
        <f t="shared" si="249"/>
        <v>0</v>
      </c>
      <c r="BL181" s="772">
        <f>I181+AY181</f>
        <v>189027</v>
      </c>
      <c r="BM181" s="417">
        <f>J181+AG181</f>
        <v>135300</v>
      </c>
      <c r="BN181" s="417">
        <f t="shared" si="287"/>
        <v>0</v>
      </c>
      <c r="BO181" s="417">
        <f t="shared" si="287"/>
        <v>135300</v>
      </c>
      <c r="BP181" s="417">
        <f>M181+AO181</f>
        <v>0</v>
      </c>
      <c r="BQ181" s="417">
        <f t="shared" si="288"/>
        <v>0</v>
      </c>
      <c r="BR181" s="417">
        <f t="shared" si="288"/>
        <v>0</v>
      </c>
      <c r="BS181" s="417">
        <f t="shared" si="289"/>
        <v>45732</v>
      </c>
      <c r="BT181" s="417">
        <f t="shared" si="289"/>
        <v>1353</v>
      </c>
      <c r="BU181" s="417">
        <f>R181+AX181</f>
        <v>6642</v>
      </c>
      <c r="BV181" s="418">
        <f>S181+BK181</f>
        <v>0.51170000000000004</v>
      </c>
      <c r="BW181" s="418">
        <f t="shared" si="290"/>
        <v>0</v>
      </c>
      <c r="BX181" s="420">
        <f t="shared" si="290"/>
        <v>0.51170000000000004</v>
      </c>
      <c r="BY181" s="419"/>
      <c r="BZ181" s="414"/>
      <c r="CA181" s="414"/>
      <c r="CB181" s="414"/>
      <c r="CC181" s="414"/>
      <c r="CD181" s="422"/>
      <c r="CE181" s="419">
        <f t="shared" si="254"/>
        <v>0</v>
      </c>
      <c r="CF181" s="414">
        <v>0</v>
      </c>
      <c r="CG181" s="414">
        <v>0</v>
      </c>
      <c r="CH181" s="414">
        <v>0</v>
      </c>
      <c r="CI181" s="414">
        <v>0</v>
      </c>
      <c r="CJ181" s="509">
        <v>0</v>
      </c>
    </row>
    <row r="182" spans="1:90" ht="14.1" customHeight="1">
      <c r="A182" s="72">
        <v>39</v>
      </c>
      <c r="B182" s="69">
        <v>2478</v>
      </c>
      <c r="C182" s="70">
        <v>600079929</v>
      </c>
      <c r="D182" s="69">
        <v>72743379</v>
      </c>
      <c r="E182" s="71" t="s">
        <v>614</v>
      </c>
      <c r="F182" s="72"/>
      <c r="G182" s="71"/>
      <c r="H182" s="73"/>
      <c r="I182" s="516">
        <v>56891996</v>
      </c>
      <c r="J182" s="74">
        <v>41319514</v>
      </c>
      <c r="K182" s="74">
        <v>36112297</v>
      </c>
      <c r="L182" s="74">
        <v>5207217</v>
      </c>
      <c r="M182" s="74">
        <v>332779</v>
      </c>
      <c r="N182" s="74">
        <v>328779</v>
      </c>
      <c r="O182" s="74">
        <v>4000</v>
      </c>
      <c r="P182" s="74">
        <v>14078476</v>
      </c>
      <c r="Q182" s="74">
        <v>413195</v>
      </c>
      <c r="R182" s="74">
        <v>748032</v>
      </c>
      <c r="S182" s="75">
        <v>76.632199999999997</v>
      </c>
      <c r="T182" s="75">
        <v>60.835799999999999</v>
      </c>
      <c r="U182" s="653">
        <v>15.796399999999998</v>
      </c>
      <c r="V182" s="516">
        <f t="shared" ref="V182:BX182" si="291">SUM(V177:V181)</f>
        <v>158258</v>
      </c>
      <c r="W182" s="74">
        <f t="shared" si="291"/>
        <v>-7000</v>
      </c>
      <c r="X182" s="74">
        <f t="shared" si="291"/>
        <v>9620</v>
      </c>
      <c r="Y182" s="74">
        <f t="shared" si="291"/>
        <v>79440</v>
      </c>
      <c r="Z182" s="74">
        <f t="shared" si="291"/>
        <v>265515</v>
      </c>
      <c r="AA182" s="74">
        <f t="shared" si="291"/>
        <v>24928</v>
      </c>
      <c r="AB182" s="74">
        <f t="shared" si="291"/>
        <v>0</v>
      </c>
      <c r="AC182" s="74">
        <f t="shared" si="291"/>
        <v>0</v>
      </c>
      <c r="AD182" s="74">
        <f t="shared" si="291"/>
        <v>0</v>
      </c>
      <c r="AE182" s="74">
        <f t="shared" si="291"/>
        <v>512833</v>
      </c>
      <c r="AF182" s="74">
        <f t="shared" si="291"/>
        <v>17928</v>
      </c>
      <c r="AG182" s="74">
        <f t="shared" si="291"/>
        <v>530761</v>
      </c>
      <c r="AH182" s="74">
        <f t="shared" si="291"/>
        <v>-158258</v>
      </c>
      <c r="AI182" s="74">
        <f t="shared" si="291"/>
        <v>7000</v>
      </c>
      <c r="AJ182" s="74">
        <f t="shared" si="291"/>
        <v>0</v>
      </c>
      <c r="AK182" s="74">
        <f t="shared" si="291"/>
        <v>0</v>
      </c>
      <c r="AL182" s="74">
        <f t="shared" si="291"/>
        <v>0</v>
      </c>
      <c r="AM182" s="74">
        <f t="shared" si="291"/>
        <v>-158258</v>
      </c>
      <c r="AN182" s="74">
        <f t="shared" si="291"/>
        <v>7000</v>
      </c>
      <c r="AO182" s="74">
        <f t="shared" si="291"/>
        <v>-151258</v>
      </c>
      <c r="AP182" s="74">
        <f t="shared" si="291"/>
        <v>354575</v>
      </c>
      <c r="AQ182" s="74">
        <f t="shared" si="291"/>
        <v>24928</v>
      </c>
      <c r="AR182" s="74">
        <f t="shared" si="291"/>
        <v>379503</v>
      </c>
      <c r="AS182" s="74">
        <f t="shared" si="291"/>
        <v>128273</v>
      </c>
      <c r="AT182" s="74">
        <f t="shared" si="291"/>
        <v>5307</v>
      </c>
      <c r="AU182" s="74">
        <f t="shared" si="291"/>
        <v>0</v>
      </c>
      <c r="AV182" s="74">
        <f t="shared" si="291"/>
        <v>0</v>
      </c>
      <c r="AW182" s="74">
        <f t="shared" si="291"/>
        <v>0</v>
      </c>
      <c r="AX182" s="74">
        <f t="shared" si="291"/>
        <v>0</v>
      </c>
      <c r="AY182" s="74">
        <f t="shared" si="291"/>
        <v>513083</v>
      </c>
      <c r="AZ182" s="75">
        <f t="shared" si="291"/>
        <v>0.21</v>
      </c>
      <c r="BA182" s="75">
        <f t="shared" si="291"/>
        <v>-0.03</v>
      </c>
      <c r="BB182" s="75">
        <f t="shared" si="291"/>
        <v>0.1</v>
      </c>
      <c r="BC182" s="75">
        <f t="shared" si="291"/>
        <v>0.57000000000000006</v>
      </c>
      <c r="BD182" s="75">
        <f t="shared" si="291"/>
        <v>0.08</v>
      </c>
      <c r="BE182" s="75">
        <f t="shared" si="291"/>
        <v>0.11</v>
      </c>
      <c r="BF182" s="75">
        <f t="shared" si="291"/>
        <v>0</v>
      </c>
      <c r="BG182" s="75">
        <f t="shared" si="291"/>
        <v>0</v>
      </c>
      <c r="BH182" s="75">
        <f t="shared" si="291"/>
        <v>0</v>
      </c>
      <c r="BI182" s="75">
        <f t="shared" si="291"/>
        <v>0.99</v>
      </c>
      <c r="BJ182" s="75">
        <f t="shared" si="291"/>
        <v>0.05</v>
      </c>
      <c r="BK182" s="76">
        <f t="shared" si="291"/>
        <v>1.0399999999999998</v>
      </c>
      <c r="BL182" s="781">
        <f t="shared" si="291"/>
        <v>57405079</v>
      </c>
      <c r="BM182" s="74">
        <f t="shared" si="291"/>
        <v>41850275</v>
      </c>
      <c r="BN182" s="74">
        <f t="shared" si="291"/>
        <v>36625130</v>
      </c>
      <c r="BO182" s="74">
        <f t="shared" si="291"/>
        <v>5225145</v>
      </c>
      <c r="BP182" s="74">
        <f t="shared" si="291"/>
        <v>181521</v>
      </c>
      <c r="BQ182" s="74">
        <f t="shared" si="291"/>
        <v>170521</v>
      </c>
      <c r="BR182" s="74">
        <f t="shared" si="291"/>
        <v>11000</v>
      </c>
      <c r="BS182" s="74">
        <f t="shared" si="291"/>
        <v>14206749</v>
      </c>
      <c r="BT182" s="74">
        <f t="shared" si="291"/>
        <v>418502</v>
      </c>
      <c r="BU182" s="74">
        <f t="shared" si="291"/>
        <v>748032</v>
      </c>
      <c r="BV182" s="75">
        <f t="shared" si="291"/>
        <v>77.672200000000004</v>
      </c>
      <c r="BW182" s="75">
        <f t="shared" si="291"/>
        <v>61.825800000000001</v>
      </c>
      <c r="BX182" s="76">
        <f t="shared" si="291"/>
        <v>15.846399999999999</v>
      </c>
      <c r="BY182" s="791">
        <f t="shared" ref="BY182:CJ182" si="292">SUM(BY177:BY181)</f>
        <v>760272</v>
      </c>
      <c r="BZ182" s="679">
        <f t="shared" si="292"/>
        <v>564000</v>
      </c>
      <c r="CA182" s="679">
        <f t="shared" si="292"/>
        <v>0</v>
      </c>
      <c r="CB182" s="679">
        <f t="shared" si="292"/>
        <v>190632</v>
      </c>
      <c r="CC182" s="679">
        <f t="shared" si="292"/>
        <v>5640</v>
      </c>
      <c r="CD182" s="947">
        <f t="shared" si="292"/>
        <v>1</v>
      </c>
      <c r="CE182" s="956">
        <f t="shared" si="292"/>
        <v>1356781</v>
      </c>
      <c r="CF182" s="953">
        <f t="shared" si="292"/>
        <v>885967</v>
      </c>
      <c r="CG182" s="953">
        <f t="shared" si="292"/>
        <v>299457</v>
      </c>
      <c r="CH182" s="953">
        <f t="shared" si="292"/>
        <v>8860</v>
      </c>
      <c r="CI182" s="953">
        <f t="shared" si="292"/>
        <v>162497</v>
      </c>
      <c r="CJ182" s="877">
        <f t="shared" si="292"/>
        <v>2.6787999999999998</v>
      </c>
    </row>
    <row r="183" spans="1:90" ht="14.1" customHeight="1">
      <c r="A183" s="66">
        <v>40</v>
      </c>
      <c r="B183" s="63">
        <v>2465</v>
      </c>
      <c r="C183" s="64">
        <v>650018273</v>
      </c>
      <c r="D183" s="63">
        <v>72741791</v>
      </c>
      <c r="E183" s="65" t="s">
        <v>615</v>
      </c>
      <c r="F183" s="66">
        <v>3111</v>
      </c>
      <c r="G183" s="65" t="s">
        <v>290</v>
      </c>
      <c r="H183" s="67" t="s">
        <v>271</v>
      </c>
      <c r="I183" s="419">
        <v>6735452</v>
      </c>
      <c r="J183" s="414">
        <v>4919994</v>
      </c>
      <c r="K183" s="414">
        <v>4577922</v>
      </c>
      <c r="L183" s="414">
        <v>342072</v>
      </c>
      <c r="M183" s="414">
        <v>50000</v>
      </c>
      <c r="N183" s="414">
        <v>0</v>
      </c>
      <c r="O183" s="414">
        <v>50000</v>
      </c>
      <c r="P183" s="595">
        <v>1679858</v>
      </c>
      <c r="Q183" s="595">
        <v>49200</v>
      </c>
      <c r="R183" s="414">
        <v>36400</v>
      </c>
      <c r="S183" s="415">
        <v>9.5062999999999995</v>
      </c>
      <c r="T183" s="415">
        <v>7.9355000000000002</v>
      </c>
      <c r="U183" s="422">
        <v>1.5708</v>
      </c>
      <c r="V183" s="423">
        <f t="shared" si="232"/>
        <v>0</v>
      </c>
      <c r="W183" s="417">
        <f t="shared" si="233"/>
        <v>0</v>
      </c>
      <c r="X183" s="417">
        <v>0</v>
      </c>
      <c r="Y183" s="417">
        <v>0</v>
      </c>
      <c r="Z183" s="417">
        <v>0</v>
      </c>
      <c r="AA183" s="417">
        <v>0</v>
      </c>
      <c r="AB183" s="417">
        <v>0</v>
      </c>
      <c r="AC183" s="417">
        <v>0</v>
      </c>
      <c r="AD183" s="417">
        <v>0</v>
      </c>
      <c r="AE183" s="417">
        <f t="shared" si="234"/>
        <v>0</v>
      </c>
      <c r="AF183" s="417">
        <f t="shared" si="235"/>
        <v>0</v>
      </c>
      <c r="AG183" s="417">
        <f t="shared" si="236"/>
        <v>0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237"/>
        <v>0</v>
      </c>
      <c r="AN183" s="417">
        <f t="shared" si="238"/>
        <v>0</v>
      </c>
      <c r="AO183" s="417">
        <f t="shared" si="239"/>
        <v>0</v>
      </c>
      <c r="AP183" s="417">
        <f t="shared" si="240"/>
        <v>0</v>
      </c>
      <c r="AQ183" s="417">
        <f t="shared" si="241"/>
        <v>0</v>
      </c>
      <c r="AR183" s="417">
        <f t="shared" si="242"/>
        <v>0</v>
      </c>
      <c r="AS183" s="68">
        <f t="shared" si="243"/>
        <v>0</v>
      </c>
      <c r="AT183" s="68">
        <f t="shared" si="244"/>
        <v>0</v>
      </c>
      <c r="AU183" s="417">
        <v>0</v>
      </c>
      <c r="AV183" s="417">
        <v>0</v>
      </c>
      <c r="AW183" s="417">
        <v>0</v>
      </c>
      <c r="AX183" s="417">
        <f t="shared" si="245"/>
        <v>0</v>
      </c>
      <c r="AY183" s="417">
        <f t="shared" si="246"/>
        <v>0</v>
      </c>
      <c r="AZ183" s="418">
        <v>0</v>
      </c>
      <c r="BA183" s="418">
        <v>0</v>
      </c>
      <c r="BB183" s="418">
        <v>0</v>
      </c>
      <c r="BC183" s="418">
        <v>0</v>
      </c>
      <c r="BD183" s="418">
        <v>0</v>
      </c>
      <c r="BE183" s="418">
        <v>0</v>
      </c>
      <c r="BF183" s="418">
        <v>0</v>
      </c>
      <c r="BG183" s="418">
        <v>0</v>
      </c>
      <c r="BH183" s="418">
        <v>0</v>
      </c>
      <c r="BI183" s="418">
        <f t="shared" si="247"/>
        <v>0</v>
      </c>
      <c r="BJ183" s="418">
        <f t="shared" si="248"/>
        <v>0</v>
      </c>
      <c r="BK183" s="420">
        <f t="shared" si="249"/>
        <v>0</v>
      </c>
      <c r="BL183" s="772">
        <f t="shared" ref="BL183:BL188" si="293">I183+AY183</f>
        <v>6735452</v>
      </c>
      <c r="BM183" s="417">
        <f t="shared" ref="BM183:BM188" si="294">J183+AG183</f>
        <v>4919994</v>
      </c>
      <c r="BN183" s="417">
        <f t="shared" ref="BN183:BO188" si="295">K183+AE183</f>
        <v>4577922</v>
      </c>
      <c r="BO183" s="417">
        <f t="shared" si="295"/>
        <v>342072</v>
      </c>
      <c r="BP183" s="417">
        <f t="shared" ref="BP183:BP188" si="296">M183+AO183</f>
        <v>50000</v>
      </c>
      <c r="BQ183" s="417">
        <f t="shared" ref="BQ183:BR188" si="297">N183+AM183</f>
        <v>0</v>
      </c>
      <c r="BR183" s="417">
        <f t="shared" si="297"/>
        <v>50000</v>
      </c>
      <c r="BS183" s="417">
        <f t="shared" ref="BS183:BT188" si="298">P183+AS183</f>
        <v>1679858</v>
      </c>
      <c r="BT183" s="417">
        <f t="shared" si="298"/>
        <v>49200</v>
      </c>
      <c r="BU183" s="417">
        <f t="shared" ref="BU183:BU188" si="299">R183+AX183</f>
        <v>36400</v>
      </c>
      <c r="BV183" s="418">
        <f t="shared" ref="BV183:BV188" si="300">S183+BK183</f>
        <v>9.5062999999999995</v>
      </c>
      <c r="BW183" s="418">
        <f t="shared" ref="BW183:BX188" si="301">T183+BI183</f>
        <v>7.9355000000000002</v>
      </c>
      <c r="BX183" s="420">
        <f t="shared" si="301"/>
        <v>1.5708</v>
      </c>
      <c r="BY183" s="419"/>
      <c r="BZ183" s="414"/>
      <c r="CA183" s="414"/>
      <c r="CB183" s="414"/>
      <c r="CC183" s="414"/>
      <c r="CD183" s="422"/>
      <c r="CE183" s="419">
        <f t="shared" si="254"/>
        <v>181681</v>
      </c>
      <c r="CF183" s="414">
        <v>125800</v>
      </c>
      <c r="CG183" s="414">
        <f>ROUND(CF183*33.8%,0)</f>
        <v>42520</v>
      </c>
      <c r="CH183" s="414">
        <f>ROUND(CF183*1%,0)</f>
        <v>1258</v>
      </c>
      <c r="CI183" s="414">
        <v>12103</v>
      </c>
      <c r="CJ183" s="509">
        <v>0.504</v>
      </c>
      <c r="CK183" s="53"/>
      <c r="CL183" s="53"/>
    </row>
    <row r="184" spans="1:90" ht="14.1" customHeight="1">
      <c r="A184" s="66">
        <v>40</v>
      </c>
      <c r="B184" s="63">
        <v>2465</v>
      </c>
      <c r="C184" s="64">
        <v>650018273</v>
      </c>
      <c r="D184" s="63">
        <v>72741791</v>
      </c>
      <c r="E184" s="65" t="s">
        <v>615</v>
      </c>
      <c r="F184" s="66">
        <v>3113</v>
      </c>
      <c r="G184" s="65" t="s">
        <v>293</v>
      </c>
      <c r="H184" s="67" t="s">
        <v>271</v>
      </c>
      <c r="I184" s="419">
        <v>21648015</v>
      </c>
      <c r="J184" s="414">
        <v>15672511</v>
      </c>
      <c r="K184" s="414">
        <v>13660501</v>
      </c>
      <c r="L184" s="414">
        <v>2012010</v>
      </c>
      <c r="M184" s="414">
        <v>120000</v>
      </c>
      <c r="N184" s="414">
        <v>70000</v>
      </c>
      <c r="O184" s="414">
        <v>50000</v>
      </c>
      <c r="P184" s="595">
        <v>5337869</v>
      </c>
      <c r="Q184" s="595">
        <v>156725</v>
      </c>
      <c r="R184" s="414">
        <v>360910</v>
      </c>
      <c r="S184" s="415">
        <v>26.606999999999999</v>
      </c>
      <c r="T184" s="415">
        <v>20.363299999999999</v>
      </c>
      <c r="U184" s="422">
        <v>6.2437000000000005</v>
      </c>
      <c r="V184" s="423">
        <f t="shared" si="232"/>
        <v>0</v>
      </c>
      <c r="W184" s="417">
        <f t="shared" si="233"/>
        <v>0</v>
      </c>
      <c r="X184" s="417">
        <v>0</v>
      </c>
      <c r="Y184" s="417">
        <v>0</v>
      </c>
      <c r="Z184" s="417">
        <v>0</v>
      </c>
      <c r="AA184" s="417">
        <v>0</v>
      </c>
      <c r="AB184" s="417">
        <v>0</v>
      </c>
      <c r="AC184" s="417">
        <v>0</v>
      </c>
      <c r="AD184" s="417">
        <v>0</v>
      </c>
      <c r="AE184" s="417">
        <f t="shared" si="234"/>
        <v>0</v>
      </c>
      <c r="AF184" s="417">
        <f t="shared" si="235"/>
        <v>0</v>
      </c>
      <c r="AG184" s="417">
        <f t="shared" si="236"/>
        <v>0</v>
      </c>
      <c r="AH184" s="417">
        <v>0</v>
      </c>
      <c r="AI184" s="417">
        <v>0</v>
      </c>
      <c r="AJ184" s="417">
        <v>0</v>
      </c>
      <c r="AK184" s="417">
        <v>0</v>
      </c>
      <c r="AL184" s="417">
        <v>0</v>
      </c>
      <c r="AM184" s="417">
        <f t="shared" si="237"/>
        <v>0</v>
      </c>
      <c r="AN184" s="417">
        <f t="shared" si="238"/>
        <v>0</v>
      </c>
      <c r="AO184" s="417">
        <f t="shared" si="239"/>
        <v>0</v>
      </c>
      <c r="AP184" s="417">
        <f t="shared" si="240"/>
        <v>0</v>
      </c>
      <c r="AQ184" s="417">
        <f t="shared" si="241"/>
        <v>0</v>
      </c>
      <c r="AR184" s="417">
        <f t="shared" si="242"/>
        <v>0</v>
      </c>
      <c r="AS184" s="68">
        <f t="shared" si="243"/>
        <v>0</v>
      </c>
      <c r="AT184" s="68">
        <f t="shared" si="244"/>
        <v>0</v>
      </c>
      <c r="AU184" s="417">
        <v>0</v>
      </c>
      <c r="AV184" s="417">
        <v>0</v>
      </c>
      <c r="AW184" s="417">
        <v>0</v>
      </c>
      <c r="AX184" s="417">
        <f t="shared" si="245"/>
        <v>0</v>
      </c>
      <c r="AY184" s="417">
        <f t="shared" si="246"/>
        <v>0</v>
      </c>
      <c r="AZ184" s="418">
        <v>0</v>
      </c>
      <c r="BA184" s="418">
        <v>0</v>
      </c>
      <c r="BB184" s="418">
        <v>0</v>
      </c>
      <c r="BC184" s="418">
        <v>0</v>
      </c>
      <c r="BD184" s="418">
        <v>0</v>
      </c>
      <c r="BE184" s="418">
        <v>0</v>
      </c>
      <c r="BF184" s="418">
        <v>0</v>
      </c>
      <c r="BG184" s="418">
        <v>0</v>
      </c>
      <c r="BH184" s="418">
        <v>0</v>
      </c>
      <c r="BI184" s="418">
        <f t="shared" si="247"/>
        <v>0</v>
      </c>
      <c r="BJ184" s="418">
        <f t="shared" si="248"/>
        <v>0</v>
      </c>
      <c r="BK184" s="420">
        <f t="shared" si="249"/>
        <v>0</v>
      </c>
      <c r="BL184" s="772">
        <f t="shared" si="293"/>
        <v>21648015</v>
      </c>
      <c r="BM184" s="417">
        <f t="shared" si="294"/>
        <v>15672511</v>
      </c>
      <c r="BN184" s="417">
        <f t="shared" si="295"/>
        <v>13660501</v>
      </c>
      <c r="BO184" s="417">
        <f t="shared" si="295"/>
        <v>2012010</v>
      </c>
      <c r="BP184" s="417">
        <f t="shared" si="296"/>
        <v>120000</v>
      </c>
      <c r="BQ184" s="417">
        <f t="shared" si="297"/>
        <v>70000</v>
      </c>
      <c r="BR184" s="417">
        <f t="shared" si="297"/>
        <v>50000</v>
      </c>
      <c r="BS184" s="417">
        <f t="shared" si="298"/>
        <v>5337869</v>
      </c>
      <c r="BT184" s="417">
        <f t="shared" si="298"/>
        <v>156725</v>
      </c>
      <c r="BU184" s="417">
        <f t="shared" si="299"/>
        <v>360910</v>
      </c>
      <c r="BV184" s="418">
        <f t="shared" si="300"/>
        <v>26.606999999999999</v>
      </c>
      <c r="BW184" s="418">
        <f t="shared" si="301"/>
        <v>20.363299999999999</v>
      </c>
      <c r="BX184" s="420">
        <f t="shared" si="301"/>
        <v>6.2437000000000005</v>
      </c>
      <c r="BY184" s="419"/>
      <c r="BZ184" s="414"/>
      <c r="CA184" s="414"/>
      <c r="CB184" s="414"/>
      <c r="CC184" s="414"/>
      <c r="CD184" s="422"/>
      <c r="CE184" s="419">
        <f t="shared" si="254"/>
        <v>983468</v>
      </c>
      <c r="CF184" s="414">
        <v>668209</v>
      </c>
      <c r="CG184" s="414">
        <v>225855</v>
      </c>
      <c r="CH184" s="414">
        <v>6682</v>
      </c>
      <c r="CI184" s="414">
        <v>82722</v>
      </c>
      <c r="CJ184" s="509">
        <v>2.004</v>
      </c>
      <c r="CK184" s="53"/>
      <c r="CL184" s="53"/>
    </row>
    <row r="185" spans="1:90" ht="14.1" customHeight="1">
      <c r="A185" s="66">
        <v>40</v>
      </c>
      <c r="B185" s="63">
        <v>2465</v>
      </c>
      <c r="C185" s="64">
        <v>650018273</v>
      </c>
      <c r="D185" s="63">
        <v>72741791</v>
      </c>
      <c r="E185" s="65" t="s">
        <v>615</v>
      </c>
      <c r="F185" s="66">
        <v>3113</v>
      </c>
      <c r="G185" s="77" t="s">
        <v>291</v>
      </c>
      <c r="H185" s="67" t="s">
        <v>272</v>
      </c>
      <c r="I185" s="419">
        <v>4681331</v>
      </c>
      <c r="J185" s="414">
        <v>3469088</v>
      </c>
      <c r="K185" s="414">
        <v>3469088</v>
      </c>
      <c r="L185" s="414">
        <v>0</v>
      </c>
      <c r="M185" s="414">
        <v>0</v>
      </c>
      <c r="N185" s="414">
        <v>0</v>
      </c>
      <c r="O185" s="414">
        <v>0</v>
      </c>
      <c r="P185" s="595">
        <v>1172552</v>
      </c>
      <c r="Q185" s="595">
        <v>34691</v>
      </c>
      <c r="R185" s="414">
        <v>5000</v>
      </c>
      <c r="S185" s="415">
        <v>9.19</v>
      </c>
      <c r="T185" s="416">
        <v>9.19</v>
      </c>
      <c r="U185" s="422">
        <v>0</v>
      </c>
      <c r="V185" s="423">
        <f t="shared" si="232"/>
        <v>0</v>
      </c>
      <c r="W185" s="417">
        <f t="shared" si="233"/>
        <v>0</v>
      </c>
      <c r="X185" s="417">
        <f>-6189+1395</f>
        <v>-4794</v>
      </c>
      <c r="Y185" s="417">
        <v>0</v>
      </c>
      <c r="Z185" s="417">
        <v>0</v>
      </c>
      <c r="AA185" s="417">
        <v>0</v>
      </c>
      <c r="AB185" s="417">
        <v>0</v>
      </c>
      <c r="AC185" s="417">
        <v>0</v>
      </c>
      <c r="AD185" s="417">
        <v>0</v>
      </c>
      <c r="AE185" s="417">
        <f t="shared" si="234"/>
        <v>-4794</v>
      </c>
      <c r="AF185" s="417">
        <f t="shared" si="235"/>
        <v>0</v>
      </c>
      <c r="AG185" s="417">
        <f t="shared" si="236"/>
        <v>-4794</v>
      </c>
      <c r="AH185" s="417">
        <v>0</v>
      </c>
      <c r="AI185" s="417">
        <v>0</v>
      </c>
      <c r="AJ185" s="417">
        <v>0</v>
      </c>
      <c r="AK185" s="417">
        <v>0</v>
      </c>
      <c r="AL185" s="417">
        <v>0</v>
      </c>
      <c r="AM185" s="417">
        <f t="shared" si="237"/>
        <v>0</v>
      </c>
      <c r="AN185" s="417">
        <f t="shared" si="238"/>
        <v>0</v>
      </c>
      <c r="AO185" s="417">
        <f t="shared" si="239"/>
        <v>0</v>
      </c>
      <c r="AP185" s="417">
        <f t="shared" si="240"/>
        <v>-4794</v>
      </c>
      <c r="AQ185" s="417">
        <f t="shared" si="241"/>
        <v>0</v>
      </c>
      <c r="AR185" s="417">
        <f t="shared" si="242"/>
        <v>-4794</v>
      </c>
      <c r="AS185" s="68">
        <f t="shared" si="243"/>
        <v>-1620</v>
      </c>
      <c r="AT185" s="68">
        <f t="shared" si="244"/>
        <v>-48</v>
      </c>
      <c r="AU185" s="417">
        <v>4250</v>
      </c>
      <c r="AV185" s="417">
        <v>0</v>
      </c>
      <c r="AW185" s="417">
        <v>0</v>
      </c>
      <c r="AX185" s="417">
        <f t="shared" si="245"/>
        <v>4250</v>
      </c>
      <c r="AY185" s="417">
        <f t="shared" si="246"/>
        <v>-2212</v>
      </c>
      <c r="AZ185" s="418">
        <v>0</v>
      </c>
      <c r="BA185" s="418">
        <v>0</v>
      </c>
      <c r="BB185" s="418">
        <v>-0.01</v>
      </c>
      <c r="BC185" s="418">
        <v>0</v>
      </c>
      <c r="BD185" s="418">
        <v>0</v>
      </c>
      <c r="BE185" s="418">
        <v>0</v>
      </c>
      <c r="BF185" s="418">
        <v>0</v>
      </c>
      <c r="BG185" s="418">
        <v>0</v>
      </c>
      <c r="BH185" s="418">
        <v>0</v>
      </c>
      <c r="BI185" s="418">
        <f t="shared" si="247"/>
        <v>-0.01</v>
      </c>
      <c r="BJ185" s="418">
        <f t="shared" si="248"/>
        <v>0</v>
      </c>
      <c r="BK185" s="420">
        <f t="shared" si="249"/>
        <v>-0.01</v>
      </c>
      <c r="BL185" s="772">
        <f t="shared" si="293"/>
        <v>4679119</v>
      </c>
      <c r="BM185" s="417">
        <f t="shared" si="294"/>
        <v>3464294</v>
      </c>
      <c r="BN185" s="417">
        <f t="shared" si="295"/>
        <v>3464294</v>
      </c>
      <c r="BO185" s="417">
        <f t="shared" si="295"/>
        <v>0</v>
      </c>
      <c r="BP185" s="417">
        <f t="shared" si="296"/>
        <v>0</v>
      </c>
      <c r="BQ185" s="417">
        <f t="shared" si="297"/>
        <v>0</v>
      </c>
      <c r="BR185" s="417">
        <f t="shared" si="297"/>
        <v>0</v>
      </c>
      <c r="BS185" s="417">
        <f t="shared" si="298"/>
        <v>1170932</v>
      </c>
      <c r="BT185" s="417">
        <f t="shared" si="298"/>
        <v>34643</v>
      </c>
      <c r="BU185" s="417">
        <f t="shared" si="299"/>
        <v>9250</v>
      </c>
      <c r="BV185" s="418">
        <f t="shared" si="300"/>
        <v>9.18</v>
      </c>
      <c r="BW185" s="418">
        <f t="shared" si="301"/>
        <v>9.18</v>
      </c>
      <c r="BX185" s="420">
        <f t="shared" si="301"/>
        <v>0</v>
      </c>
      <c r="BY185" s="419"/>
      <c r="BZ185" s="414"/>
      <c r="CA185" s="414"/>
      <c r="CB185" s="414"/>
      <c r="CC185" s="414"/>
      <c r="CD185" s="422"/>
      <c r="CE185" s="419">
        <f t="shared" si="254"/>
        <v>0</v>
      </c>
      <c r="CF185" s="414">
        <v>0</v>
      </c>
      <c r="CG185" s="414">
        <v>0</v>
      </c>
      <c r="CH185" s="414">
        <v>0</v>
      </c>
      <c r="CI185" s="414">
        <v>0</v>
      </c>
      <c r="CJ185" s="509">
        <v>0</v>
      </c>
      <c r="CK185" s="53"/>
      <c r="CL185" s="53"/>
    </row>
    <row r="186" spans="1:90" ht="14.1" customHeight="1">
      <c r="A186" s="66">
        <v>40</v>
      </c>
      <c r="B186" s="63">
        <v>2465</v>
      </c>
      <c r="C186" s="64">
        <v>650018273</v>
      </c>
      <c r="D186" s="63">
        <v>72741791</v>
      </c>
      <c r="E186" s="65" t="s">
        <v>615</v>
      </c>
      <c r="F186" s="66">
        <v>3141</v>
      </c>
      <c r="G186" s="65" t="s">
        <v>294</v>
      </c>
      <c r="H186" s="67" t="s">
        <v>272</v>
      </c>
      <c r="I186" s="419">
        <v>1856441</v>
      </c>
      <c r="J186" s="414">
        <v>1337777</v>
      </c>
      <c r="K186" s="414">
        <v>0</v>
      </c>
      <c r="L186" s="744">
        <v>1337777</v>
      </c>
      <c r="M186" s="414">
        <v>30000</v>
      </c>
      <c r="N186" s="204">
        <v>0</v>
      </c>
      <c r="O186" s="204">
        <v>30000</v>
      </c>
      <c r="P186" s="595">
        <v>462308</v>
      </c>
      <c r="Q186" s="595">
        <v>13378</v>
      </c>
      <c r="R186" s="601">
        <v>12978</v>
      </c>
      <c r="S186" s="415">
        <v>4.1032999999999999</v>
      </c>
      <c r="T186" s="603">
        <v>0</v>
      </c>
      <c r="U186" s="731">
        <v>4.1032999999999999</v>
      </c>
      <c r="V186" s="423">
        <f t="shared" si="232"/>
        <v>0</v>
      </c>
      <c r="W186" s="417">
        <f t="shared" si="233"/>
        <v>0</v>
      </c>
      <c r="X186" s="417">
        <v>0</v>
      </c>
      <c r="Y186" s="417">
        <v>0</v>
      </c>
      <c r="Z186" s="417">
        <v>0</v>
      </c>
      <c r="AA186" s="417">
        <v>-7127</v>
      </c>
      <c r="AB186" s="417">
        <v>0</v>
      </c>
      <c r="AC186" s="417">
        <v>0</v>
      </c>
      <c r="AD186" s="417">
        <v>0</v>
      </c>
      <c r="AE186" s="417">
        <f t="shared" si="234"/>
        <v>0</v>
      </c>
      <c r="AF186" s="417">
        <f t="shared" si="235"/>
        <v>-7127</v>
      </c>
      <c r="AG186" s="417">
        <f t="shared" si="236"/>
        <v>-7127</v>
      </c>
      <c r="AH186" s="417">
        <v>0</v>
      </c>
      <c r="AI186" s="417">
        <v>0</v>
      </c>
      <c r="AJ186" s="417">
        <v>0</v>
      </c>
      <c r="AK186" s="417">
        <v>0</v>
      </c>
      <c r="AL186" s="417">
        <v>0</v>
      </c>
      <c r="AM186" s="417">
        <f t="shared" si="237"/>
        <v>0</v>
      </c>
      <c r="AN186" s="417">
        <f t="shared" si="238"/>
        <v>0</v>
      </c>
      <c r="AO186" s="417">
        <f t="shared" si="239"/>
        <v>0</v>
      </c>
      <c r="AP186" s="417">
        <f t="shared" si="240"/>
        <v>0</v>
      </c>
      <c r="AQ186" s="417">
        <f t="shared" si="241"/>
        <v>-7127</v>
      </c>
      <c r="AR186" s="417">
        <f t="shared" si="242"/>
        <v>-7127</v>
      </c>
      <c r="AS186" s="68">
        <f t="shared" si="243"/>
        <v>-2409</v>
      </c>
      <c r="AT186" s="68">
        <f t="shared" si="244"/>
        <v>-71</v>
      </c>
      <c r="AU186" s="417">
        <v>0</v>
      </c>
      <c r="AV186" s="417">
        <v>0</v>
      </c>
      <c r="AW186" s="417">
        <v>0</v>
      </c>
      <c r="AX186" s="417">
        <f t="shared" si="245"/>
        <v>0</v>
      </c>
      <c r="AY186" s="417">
        <f t="shared" si="246"/>
        <v>-9607</v>
      </c>
      <c r="AZ186" s="418">
        <v>0</v>
      </c>
      <c r="BA186" s="418">
        <v>0</v>
      </c>
      <c r="BB186" s="418">
        <v>0</v>
      </c>
      <c r="BC186" s="418">
        <v>0</v>
      </c>
      <c r="BD186" s="418">
        <v>-0.03</v>
      </c>
      <c r="BE186" s="418">
        <v>0</v>
      </c>
      <c r="BF186" s="418">
        <v>0</v>
      </c>
      <c r="BG186" s="418">
        <v>0</v>
      </c>
      <c r="BH186" s="418">
        <v>0</v>
      </c>
      <c r="BI186" s="418">
        <f t="shared" si="247"/>
        <v>0</v>
      </c>
      <c r="BJ186" s="418">
        <f t="shared" si="248"/>
        <v>-0.03</v>
      </c>
      <c r="BK186" s="420">
        <f t="shared" si="249"/>
        <v>-0.03</v>
      </c>
      <c r="BL186" s="772">
        <f t="shared" si="293"/>
        <v>1846834</v>
      </c>
      <c r="BM186" s="417">
        <f t="shared" si="294"/>
        <v>1330650</v>
      </c>
      <c r="BN186" s="417">
        <f t="shared" si="295"/>
        <v>0</v>
      </c>
      <c r="BO186" s="417">
        <f t="shared" si="295"/>
        <v>1330650</v>
      </c>
      <c r="BP186" s="417">
        <f t="shared" si="296"/>
        <v>30000</v>
      </c>
      <c r="BQ186" s="417">
        <f t="shared" si="297"/>
        <v>0</v>
      </c>
      <c r="BR186" s="417">
        <f t="shared" si="297"/>
        <v>30000</v>
      </c>
      <c r="BS186" s="417">
        <f t="shared" si="298"/>
        <v>459899</v>
      </c>
      <c r="BT186" s="417">
        <f t="shared" si="298"/>
        <v>13307</v>
      </c>
      <c r="BU186" s="417">
        <f t="shared" si="299"/>
        <v>12978</v>
      </c>
      <c r="BV186" s="418">
        <f t="shared" si="300"/>
        <v>4.0732999999999997</v>
      </c>
      <c r="BW186" s="418">
        <f t="shared" si="301"/>
        <v>0</v>
      </c>
      <c r="BX186" s="420">
        <f t="shared" si="301"/>
        <v>4.0732999999999997</v>
      </c>
      <c r="BY186" s="419"/>
      <c r="BZ186" s="414"/>
      <c r="CA186" s="414"/>
      <c r="CB186" s="414"/>
      <c r="CC186" s="414"/>
      <c r="CD186" s="422"/>
      <c r="CE186" s="419">
        <f t="shared" si="254"/>
        <v>0</v>
      </c>
      <c r="CF186" s="414">
        <v>0</v>
      </c>
      <c r="CG186" s="414">
        <v>0</v>
      </c>
      <c r="CH186" s="414">
        <v>0</v>
      </c>
      <c r="CI186" s="414">
        <v>0</v>
      </c>
      <c r="CJ186" s="509">
        <v>0</v>
      </c>
      <c r="CK186" s="53"/>
      <c r="CL186" s="53"/>
    </row>
    <row r="187" spans="1:90" ht="14.1" customHeight="1">
      <c r="A187" s="66">
        <v>40</v>
      </c>
      <c r="B187" s="63">
        <v>2465</v>
      </c>
      <c r="C187" s="64">
        <v>650018273</v>
      </c>
      <c r="D187" s="63">
        <v>72741791</v>
      </c>
      <c r="E187" s="65" t="s">
        <v>615</v>
      </c>
      <c r="F187" s="66">
        <v>3143</v>
      </c>
      <c r="G187" s="77" t="s">
        <v>595</v>
      </c>
      <c r="H187" s="67" t="s">
        <v>271</v>
      </c>
      <c r="I187" s="419">
        <v>2161646</v>
      </c>
      <c r="J187" s="414">
        <v>1583744</v>
      </c>
      <c r="K187" s="414">
        <v>1583744</v>
      </c>
      <c r="L187" s="414">
        <v>0</v>
      </c>
      <c r="M187" s="414">
        <v>20000</v>
      </c>
      <c r="N187" s="414">
        <v>0</v>
      </c>
      <c r="O187" s="414">
        <v>20000</v>
      </c>
      <c r="P187" s="595">
        <v>542065</v>
      </c>
      <c r="Q187" s="595">
        <v>15837</v>
      </c>
      <c r="R187" s="414">
        <v>0</v>
      </c>
      <c r="S187" s="415">
        <v>3.3022999999999998</v>
      </c>
      <c r="T187" s="415">
        <v>3.3022999999999998</v>
      </c>
      <c r="U187" s="422">
        <v>0</v>
      </c>
      <c r="V187" s="423">
        <f t="shared" si="232"/>
        <v>0</v>
      </c>
      <c r="W187" s="417">
        <f t="shared" si="233"/>
        <v>0</v>
      </c>
      <c r="X187" s="417">
        <v>0</v>
      </c>
      <c r="Y187" s="417">
        <v>0</v>
      </c>
      <c r="Z187" s="417">
        <v>146160</v>
      </c>
      <c r="AA187" s="417">
        <v>0</v>
      </c>
      <c r="AB187" s="417">
        <v>0</v>
      </c>
      <c r="AC187" s="417">
        <v>0</v>
      </c>
      <c r="AD187" s="417">
        <v>0</v>
      </c>
      <c r="AE187" s="417">
        <f t="shared" si="234"/>
        <v>146160</v>
      </c>
      <c r="AF187" s="417">
        <f t="shared" si="235"/>
        <v>0</v>
      </c>
      <c r="AG187" s="417">
        <f t="shared" si="236"/>
        <v>146160</v>
      </c>
      <c r="AH187" s="417">
        <v>0</v>
      </c>
      <c r="AI187" s="417">
        <v>0</v>
      </c>
      <c r="AJ187" s="417">
        <v>0</v>
      </c>
      <c r="AK187" s="417">
        <v>0</v>
      </c>
      <c r="AL187" s="417">
        <v>0</v>
      </c>
      <c r="AM187" s="417">
        <f t="shared" si="237"/>
        <v>0</v>
      </c>
      <c r="AN187" s="417">
        <f t="shared" si="238"/>
        <v>0</v>
      </c>
      <c r="AO187" s="417">
        <f t="shared" si="239"/>
        <v>0</v>
      </c>
      <c r="AP187" s="417">
        <f t="shared" si="240"/>
        <v>146160</v>
      </c>
      <c r="AQ187" s="417">
        <f t="shared" si="241"/>
        <v>0</v>
      </c>
      <c r="AR187" s="417">
        <f t="shared" si="242"/>
        <v>146160</v>
      </c>
      <c r="AS187" s="68">
        <f t="shared" si="243"/>
        <v>49402</v>
      </c>
      <c r="AT187" s="68">
        <f t="shared" si="244"/>
        <v>1462</v>
      </c>
      <c r="AU187" s="417">
        <v>0</v>
      </c>
      <c r="AV187" s="417">
        <v>0</v>
      </c>
      <c r="AW187" s="417">
        <v>0</v>
      </c>
      <c r="AX187" s="417">
        <f t="shared" si="245"/>
        <v>0</v>
      </c>
      <c r="AY187" s="417">
        <f t="shared" si="246"/>
        <v>197024</v>
      </c>
      <c r="AZ187" s="418">
        <v>0</v>
      </c>
      <c r="BA187" s="418">
        <v>0</v>
      </c>
      <c r="BB187" s="418">
        <v>0</v>
      </c>
      <c r="BC187" s="418">
        <v>0.35</v>
      </c>
      <c r="BD187" s="418">
        <v>0</v>
      </c>
      <c r="BE187" s="418">
        <v>0</v>
      </c>
      <c r="BF187" s="418">
        <v>0</v>
      </c>
      <c r="BG187" s="418">
        <v>0</v>
      </c>
      <c r="BH187" s="418">
        <v>0</v>
      </c>
      <c r="BI187" s="418">
        <f t="shared" si="247"/>
        <v>0.35</v>
      </c>
      <c r="BJ187" s="418">
        <f t="shared" si="248"/>
        <v>0</v>
      </c>
      <c r="BK187" s="420">
        <f t="shared" si="249"/>
        <v>0.35</v>
      </c>
      <c r="BL187" s="772">
        <f t="shared" si="293"/>
        <v>2358670</v>
      </c>
      <c r="BM187" s="417">
        <f t="shared" si="294"/>
        <v>1729904</v>
      </c>
      <c r="BN187" s="417">
        <f t="shared" si="295"/>
        <v>1729904</v>
      </c>
      <c r="BO187" s="417">
        <f t="shared" si="295"/>
        <v>0</v>
      </c>
      <c r="BP187" s="417">
        <f t="shared" si="296"/>
        <v>20000</v>
      </c>
      <c r="BQ187" s="417">
        <f t="shared" si="297"/>
        <v>0</v>
      </c>
      <c r="BR187" s="417">
        <f t="shared" si="297"/>
        <v>20000</v>
      </c>
      <c r="BS187" s="417">
        <f t="shared" si="298"/>
        <v>591467</v>
      </c>
      <c r="BT187" s="417">
        <f t="shared" si="298"/>
        <v>17299</v>
      </c>
      <c r="BU187" s="417">
        <f t="shared" si="299"/>
        <v>0</v>
      </c>
      <c r="BV187" s="418">
        <f t="shared" si="300"/>
        <v>3.6522999999999999</v>
      </c>
      <c r="BW187" s="418">
        <f t="shared" si="301"/>
        <v>3.6522999999999999</v>
      </c>
      <c r="BX187" s="420">
        <f t="shared" si="301"/>
        <v>0</v>
      </c>
      <c r="BY187" s="419"/>
      <c r="BZ187" s="414"/>
      <c r="CA187" s="414"/>
      <c r="CB187" s="414"/>
      <c r="CC187" s="414"/>
      <c r="CD187" s="422"/>
      <c r="CE187" s="419">
        <f t="shared" si="254"/>
        <v>0</v>
      </c>
      <c r="CF187" s="414">
        <v>0</v>
      </c>
      <c r="CG187" s="414">
        <v>0</v>
      </c>
      <c r="CH187" s="414">
        <v>0</v>
      </c>
      <c r="CI187" s="414">
        <v>0</v>
      </c>
      <c r="CJ187" s="509">
        <v>0</v>
      </c>
      <c r="CK187" s="53"/>
      <c r="CL187" s="53"/>
    </row>
    <row r="188" spans="1:90" ht="14.1" customHeight="1">
      <c r="A188" s="66">
        <v>40</v>
      </c>
      <c r="B188" s="63">
        <v>2465</v>
      </c>
      <c r="C188" s="64">
        <v>650018273</v>
      </c>
      <c r="D188" s="63">
        <v>72741791</v>
      </c>
      <c r="E188" s="65" t="s">
        <v>615</v>
      </c>
      <c r="F188" s="66">
        <v>3143</v>
      </c>
      <c r="G188" s="77" t="s">
        <v>596</v>
      </c>
      <c r="H188" s="67" t="s">
        <v>272</v>
      </c>
      <c r="I188" s="419">
        <v>69156</v>
      </c>
      <c r="J188" s="414">
        <v>49500</v>
      </c>
      <c r="K188" s="414">
        <v>0</v>
      </c>
      <c r="L188" s="601">
        <v>49500</v>
      </c>
      <c r="M188" s="414">
        <v>0</v>
      </c>
      <c r="N188" s="414">
        <v>0</v>
      </c>
      <c r="O188" s="414">
        <v>0</v>
      </c>
      <c r="P188" s="595">
        <v>16731</v>
      </c>
      <c r="Q188" s="595">
        <v>495</v>
      </c>
      <c r="R188" s="601">
        <v>2430</v>
      </c>
      <c r="S188" s="415">
        <v>0.185</v>
      </c>
      <c r="T188" s="603">
        <v>0</v>
      </c>
      <c r="U188" s="731">
        <v>0.185</v>
      </c>
      <c r="V188" s="423">
        <f t="shared" si="232"/>
        <v>0</v>
      </c>
      <c r="W188" s="417">
        <f t="shared" si="233"/>
        <v>0</v>
      </c>
      <c r="X188" s="417">
        <v>0</v>
      </c>
      <c r="Y188" s="417">
        <v>0</v>
      </c>
      <c r="Z188" s="417">
        <v>0</v>
      </c>
      <c r="AA188" s="417">
        <v>0</v>
      </c>
      <c r="AB188" s="417">
        <v>0</v>
      </c>
      <c r="AC188" s="417">
        <v>0</v>
      </c>
      <c r="AD188" s="417">
        <v>0</v>
      </c>
      <c r="AE188" s="417">
        <f t="shared" si="234"/>
        <v>0</v>
      </c>
      <c r="AF188" s="417">
        <f t="shared" si="235"/>
        <v>0</v>
      </c>
      <c r="AG188" s="417">
        <f t="shared" si="236"/>
        <v>0</v>
      </c>
      <c r="AH188" s="417">
        <v>0</v>
      </c>
      <c r="AI188" s="417">
        <v>0</v>
      </c>
      <c r="AJ188" s="417">
        <v>0</v>
      </c>
      <c r="AK188" s="417">
        <v>0</v>
      </c>
      <c r="AL188" s="417">
        <v>0</v>
      </c>
      <c r="AM188" s="417">
        <f t="shared" si="237"/>
        <v>0</v>
      </c>
      <c r="AN188" s="417">
        <f t="shared" si="238"/>
        <v>0</v>
      </c>
      <c r="AO188" s="417">
        <f t="shared" si="239"/>
        <v>0</v>
      </c>
      <c r="AP188" s="417">
        <f t="shared" si="240"/>
        <v>0</v>
      </c>
      <c r="AQ188" s="417">
        <f t="shared" si="241"/>
        <v>0</v>
      </c>
      <c r="AR188" s="417">
        <f t="shared" si="242"/>
        <v>0</v>
      </c>
      <c r="AS188" s="68">
        <f t="shared" si="243"/>
        <v>0</v>
      </c>
      <c r="AT188" s="68">
        <f t="shared" si="244"/>
        <v>0</v>
      </c>
      <c r="AU188" s="417">
        <v>0</v>
      </c>
      <c r="AV188" s="417">
        <v>0</v>
      </c>
      <c r="AW188" s="417">
        <v>0</v>
      </c>
      <c r="AX188" s="417">
        <f t="shared" si="245"/>
        <v>0</v>
      </c>
      <c r="AY188" s="417">
        <f t="shared" si="246"/>
        <v>0</v>
      </c>
      <c r="AZ188" s="418">
        <v>0</v>
      </c>
      <c r="BA188" s="418">
        <v>0</v>
      </c>
      <c r="BB188" s="418">
        <v>0</v>
      </c>
      <c r="BC188" s="418">
        <v>0</v>
      </c>
      <c r="BD188" s="418">
        <v>0</v>
      </c>
      <c r="BE188" s="418">
        <v>0</v>
      </c>
      <c r="BF188" s="418">
        <v>0</v>
      </c>
      <c r="BG188" s="418">
        <v>0</v>
      </c>
      <c r="BH188" s="418">
        <v>0</v>
      </c>
      <c r="BI188" s="418">
        <f t="shared" si="247"/>
        <v>0</v>
      </c>
      <c r="BJ188" s="418">
        <f t="shared" si="248"/>
        <v>0</v>
      </c>
      <c r="BK188" s="420">
        <f t="shared" si="249"/>
        <v>0</v>
      </c>
      <c r="BL188" s="772">
        <f t="shared" si="293"/>
        <v>69156</v>
      </c>
      <c r="BM188" s="417">
        <f t="shared" si="294"/>
        <v>49500</v>
      </c>
      <c r="BN188" s="417">
        <f t="shared" si="295"/>
        <v>0</v>
      </c>
      <c r="BO188" s="417">
        <f t="shared" si="295"/>
        <v>49500</v>
      </c>
      <c r="BP188" s="417">
        <f t="shared" si="296"/>
        <v>0</v>
      </c>
      <c r="BQ188" s="417">
        <f t="shared" si="297"/>
        <v>0</v>
      </c>
      <c r="BR188" s="417">
        <f t="shared" si="297"/>
        <v>0</v>
      </c>
      <c r="BS188" s="417">
        <f t="shared" si="298"/>
        <v>16731</v>
      </c>
      <c r="BT188" s="417">
        <f t="shared" si="298"/>
        <v>495</v>
      </c>
      <c r="BU188" s="417">
        <f t="shared" si="299"/>
        <v>2430</v>
      </c>
      <c r="BV188" s="418">
        <f t="shared" si="300"/>
        <v>0.185</v>
      </c>
      <c r="BW188" s="418">
        <f t="shared" si="301"/>
        <v>0</v>
      </c>
      <c r="BX188" s="420">
        <f t="shared" si="301"/>
        <v>0.185</v>
      </c>
      <c r="BY188" s="419"/>
      <c r="BZ188" s="414"/>
      <c r="CA188" s="414"/>
      <c r="CB188" s="414"/>
      <c r="CC188" s="414"/>
      <c r="CD188" s="422"/>
      <c r="CE188" s="419">
        <f t="shared" si="254"/>
        <v>0</v>
      </c>
      <c r="CF188" s="414">
        <v>0</v>
      </c>
      <c r="CG188" s="414">
        <v>0</v>
      </c>
      <c r="CH188" s="414">
        <v>0</v>
      </c>
      <c r="CI188" s="414">
        <v>0</v>
      </c>
      <c r="CJ188" s="509">
        <v>0</v>
      </c>
      <c r="CK188" s="53"/>
      <c r="CL188" s="53"/>
    </row>
    <row r="189" spans="1:90" ht="14.1" customHeight="1">
      <c r="A189" s="72">
        <v>40</v>
      </c>
      <c r="B189" s="69">
        <v>2465</v>
      </c>
      <c r="C189" s="70">
        <v>650018273</v>
      </c>
      <c r="D189" s="69">
        <v>72741791</v>
      </c>
      <c r="E189" s="71" t="s">
        <v>616</v>
      </c>
      <c r="F189" s="72"/>
      <c r="G189" s="71"/>
      <c r="H189" s="73"/>
      <c r="I189" s="516">
        <v>37152041</v>
      </c>
      <c r="J189" s="74">
        <v>27032614</v>
      </c>
      <c r="K189" s="74">
        <v>23291255</v>
      </c>
      <c r="L189" s="74">
        <v>3741359</v>
      </c>
      <c r="M189" s="74">
        <v>220000</v>
      </c>
      <c r="N189" s="74">
        <v>70000</v>
      </c>
      <c r="O189" s="74">
        <v>150000</v>
      </c>
      <c r="P189" s="74">
        <v>9211383</v>
      </c>
      <c r="Q189" s="74">
        <v>270326</v>
      </c>
      <c r="R189" s="74">
        <v>417718</v>
      </c>
      <c r="S189" s="75">
        <v>52.893899999999995</v>
      </c>
      <c r="T189" s="75">
        <v>40.7911</v>
      </c>
      <c r="U189" s="653">
        <v>12.1028</v>
      </c>
      <c r="V189" s="516">
        <f t="shared" ref="V189:BX189" si="302">SUM(V183:V188)</f>
        <v>0</v>
      </c>
      <c r="W189" s="74">
        <f t="shared" si="302"/>
        <v>0</v>
      </c>
      <c r="X189" s="74">
        <f t="shared" si="302"/>
        <v>-4794</v>
      </c>
      <c r="Y189" s="74">
        <f t="shared" si="302"/>
        <v>0</v>
      </c>
      <c r="Z189" s="74">
        <f t="shared" si="302"/>
        <v>146160</v>
      </c>
      <c r="AA189" s="74">
        <f t="shared" si="302"/>
        <v>-7127</v>
      </c>
      <c r="AB189" s="74">
        <f t="shared" si="302"/>
        <v>0</v>
      </c>
      <c r="AC189" s="74">
        <f t="shared" si="302"/>
        <v>0</v>
      </c>
      <c r="AD189" s="74">
        <f t="shared" si="302"/>
        <v>0</v>
      </c>
      <c r="AE189" s="74">
        <f t="shared" si="302"/>
        <v>141366</v>
      </c>
      <c r="AF189" s="74">
        <f t="shared" si="302"/>
        <v>-7127</v>
      </c>
      <c r="AG189" s="74">
        <f t="shared" si="302"/>
        <v>134239</v>
      </c>
      <c r="AH189" s="74">
        <f t="shared" si="302"/>
        <v>0</v>
      </c>
      <c r="AI189" s="74">
        <f t="shared" si="302"/>
        <v>0</v>
      </c>
      <c r="AJ189" s="74">
        <f t="shared" si="302"/>
        <v>0</v>
      </c>
      <c r="AK189" s="74">
        <f t="shared" si="302"/>
        <v>0</v>
      </c>
      <c r="AL189" s="74">
        <f t="shared" si="302"/>
        <v>0</v>
      </c>
      <c r="AM189" s="74">
        <f t="shared" si="302"/>
        <v>0</v>
      </c>
      <c r="AN189" s="74">
        <f t="shared" si="302"/>
        <v>0</v>
      </c>
      <c r="AO189" s="74">
        <f t="shared" si="302"/>
        <v>0</v>
      </c>
      <c r="AP189" s="74">
        <f t="shared" si="302"/>
        <v>141366</v>
      </c>
      <c r="AQ189" s="74">
        <f t="shared" si="302"/>
        <v>-7127</v>
      </c>
      <c r="AR189" s="74">
        <f t="shared" si="302"/>
        <v>134239</v>
      </c>
      <c r="AS189" s="74">
        <f t="shared" si="302"/>
        <v>45373</v>
      </c>
      <c r="AT189" s="74">
        <f t="shared" si="302"/>
        <v>1343</v>
      </c>
      <c r="AU189" s="74">
        <f t="shared" si="302"/>
        <v>4250</v>
      </c>
      <c r="AV189" s="74">
        <f t="shared" si="302"/>
        <v>0</v>
      </c>
      <c r="AW189" s="74">
        <f t="shared" si="302"/>
        <v>0</v>
      </c>
      <c r="AX189" s="74">
        <f t="shared" si="302"/>
        <v>4250</v>
      </c>
      <c r="AY189" s="74">
        <f t="shared" si="302"/>
        <v>185205</v>
      </c>
      <c r="AZ189" s="75">
        <f t="shared" si="302"/>
        <v>0</v>
      </c>
      <c r="BA189" s="75">
        <f t="shared" si="302"/>
        <v>0</v>
      </c>
      <c r="BB189" s="75">
        <f t="shared" si="302"/>
        <v>-0.01</v>
      </c>
      <c r="BC189" s="75">
        <f t="shared" si="302"/>
        <v>0.35</v>
      </c>
      <c r="BD189" s="75">
        <f t="shared" si="302"/>
        <v>-0.03</v>
      </c>
      <c r="BE189" s="75">
        <f t="shared" si="302"/>
        <v>0</v>
      </c>
      <c r="BF189" s="75">
        <f t="shared" si="302"/>
        <v>0</v>
      </c>
      <c r="BG189" s="75">
        <f t="shared" si="302"/>
        <v>0</v>
      </c>
      <c r="BH189" s="75">
        <f t="shared" si="302"/>
        <v>0</v>
      </c>
      <c r="BI189" s="75">
        <f t="shared" si="302"/>
        <v>0.33999999999999997</v>
      </c>
      <c r="BJ189" s="75">
        <f t="shared" si="302"/>
        <v>-0.03</v>
      </c>
      <c r="BK189" s="76">
        <f t="shared" si="302"/>
        <v>0.31</v>
      </c>
      <c r="BL189" s="781">
        <f t="shared" si="302"/>
        <v>37337246</v>
      </c>
      <c r="BM189" s="74">
        <f t="shared" si="302"/>
        <v>27166853</v>
      </c>
      <c r="BN189" s="74">
        <f t="shared" si="302"/>
        <v>23432621</v>
      </c>
      <c r="BO189" s="74">
        <f t="shared" si="302"/>
        <v>3734232</v>
      </c>
      <c r="BP189" s="74">
        <f t="shared" si="302"/>
        <v>220000</v>
      </c>
      <c r="BQ189" s="74">
        <f t="shared" si="302"/>
        <v>70000</v>
      </c>
      <c r="BR189" s="74">
        <f t="shared" si="302"/>
        <v>150000</v>
      </c>
      <c r="BS189" s="74">
        <f t="shared" si="302"/>
        <v>9256756</v>
      </c>
      <c r="BT189" s="74">
        <f t="shared" si="302"/>
        <v>271669</v>
      </c>
      <c r="BU189" s="74">
        <f t="shared" si="302"/>
        <v>421968</v>
      </c>
      <c r="BV189" s="75">
        <f t="shared" si="302"/>
        <v>53.20389999999999</v>
      </c>
      <c r="BW189" s="75">
        <f t="shared" si="302"/>
        <v>41.131099999999996</v>
      </c>
      <c r="BX189" s="76">
        <f t="shared" si="302"/>
        <v>12.072800000000001</v>
      </c>
      <c r="BY189" s="791">
        <f t="shared" ref="BY189:CJ189" si="303">SUM(BY183:BY188)</f>
        <v>0</v>
      </c>
      <c r="BZ189" s="679">
        <f t="shared" si="303"/>
        <v>0</v>
      </c>
      <c r="CA189" s="679">
        <f t="shared" si="303"/>
        <v>0</v>
      </c>
      <c r="CB189" s="679">
        <f t="shared" si="303"/>
        <v>0</v>
      </c>
      <c r="CC189" s="679">
        <f t="shared" si="303"/>
        <v>0</v>
      </c>
      <c r="CD189" s="947">
        <f t="shared" si="303"/>
        <v>0</v>
      </c>
      <c r="CE189" s="956">
        <f t="shared" si="303"/>
        <v>1165149</v>
      </c>
      <c r="CF189" s="953">
        <f t="shared" si="303"/>
        <v>794009</v>
      </c>
      <c r="CG189" s="953">
        <f t="shared" si="303"/>
        <v>268375</v>
      </c>
      <c r="CH189" s="953">
        <f t="shared" si="303"/>
        <v>7940</v>
      </c>
      <c r="CI189" s="953">
        <f t="shared" si="303"/>
        <v>94825</v>
      </c>
      <c r="CJ189" s="877">
        <f t="shared" si="303"/>
        <v>2.508</v>
      </c>
      <c r="CK189" s="53"/>
      <c r="CL189" s="53"/>
    </row>
    <row r="190" spans="1:90" ht="14.1" customHeight="1">
      <c r="A190" s="66">
        <v>41</v>
      </c>
      <c r="B190" s="63">
        <v>2480</v>
      </c>
      <c r="C190" s="64">
        <v>600080293</v>
      </c>
      <c r="D190" s="63">
        <v>46744924</v>
      </c>
      <c r="E190" s="65" t="s">
        <v>617</v>
      </c>
      <c r="F190" s="66">
        <v>3113</v>
      </c>
      <c r="G190" s="65" t="s">
        <v>293</v>
      </c>
      <c r="H190" s="67" t="s">
        <v>271</v>
      </c>
      <c r="I190" s="419">
        <v>37541822</v>
      </c>
      <c r="J190" s="414">
        <v>27359279</v>
      </c>
      <c r="K190" s="414">
        <v>24982918</v>
      </c>
      <c r="L190" s="414">
        <v>2376361</v>
      </c>
      <c r="M190" s="414">
        <v>20000</v>
      </c>
      <c r="N190" s="414">
        <v>10000</v>
      </c>
      <c r="O190" s="414">
        <v>10000</v>
      </c>
      <c r="P190" s="595">
        <v>9254196</v>
      </c>
      <c r="Q190" s="595">
        <v>273592</v>
      </c>
      <c r="R190" s="414">
        <v>634755</v>
      </c>
      <c r="S190" s="415">
        <v>40.831499999999998</v>
      </c>
      <c r="T190" s="415">
        <v>33.635300000000001</v>
      </c>
      <c r="U190" s="422">
        <v>7.196200000000001</v>
      </c>
      <c r="V190" s="423">
        <f t="shared" si="232"/>
        <v>2000</v>
      </c>
      <c r="W190" s="417">
        <f t="shared" si="233"/>
        <v>-2000</v>
      </c>
      <c r="X190" s="417">
        <v>0</v>
      </c>
      <c r="Y190" s="417">
        <v>0</v>
      </c>
      <c r="Z190" s="417">
        <v>0</v>
      </c>
      <c r="AA190" s="417">
        <v>0</v>
      </c>
      <c r="AB190" s="417">
        <v>0</v>
      </c>
      <c r="AC190" s="417">
        <v>0</v>
      </c>
      <c r="AD190" s="417">
        <v>0</v>
      </c>
      <c r="AE190" s="417">
        <f t="shared" si="234"/>
        <v>2000</v>
      </c>
      <c r="AF190" s="417">
        <f t="shared" si="235"/>
        <v>-2000</v>
      </c>
      <c r="AG190" s="417">
        <f t="shared" si="236"/>
        <v>0</v>
      </c>
      <c r="AH190" s="417">
        <v>-2000</v>
      </c>
      <c r="AI190" s="417">
        <v>2000</v>
      </c>
      <c r="AJ190" s="417">
        <v>0</v>
      </c>
      <c r="AK190" s="417">
        <v>0</v>
      </c>
      <c r="AL190" s="417">
        <v>0</v>
      </c>
      <c r="AM190" s="417">
        <f t="shared" si="237"/>
        <v>-2000</v>
      </c>
      <c r="AN190" s="417">
        <f t="shared" si="238"/>
        <v>2000</v>
      </c>
      <c r="AO190" s="417">
        <f t="shared" si="239"/>
        <v>0</v>
      </c>
      <c r="AP190" s="417">
        <f t="shared" si="240"/>
        <v>0</v>
      </c>
      <c r="AQ190" s="417">
        <f t="shared" si="241"/>
        <v>0</v>
      </c>
      <c r="AR190" s="417">
        <f t="shared" si="242"/>
        <v>0</v>
      </c>
      <c r="AS190" s="68">
        <f t="shared" si="243"/>
        <v>0</v>
      </c>
      <c r="AT190" s="68">
        <f t="shared" si="244"/>
        <v>0</v>
      </c>
      <c r="AU190" s="417">
        <v>0</v>
      </c>
      <c r="AV190" s="417">
        <v>0</v>
      </c>
      <c r="AW190" s="417">
        <v>0</v>
      </c>
      <c r="AX190" s="417">
        <f t="shared" si="245"/>
        <v>0</v>
      </c>
      <c r="AY190" s="417">
        <f t="shared" si="246"/>
        <v>0</v>
      </c>
      <c r="AZ190" s="418">
        <v>0</v>
      </c>
      <c r="BA190" s="418">
        <v>-0.02</v>
      </c>
      <c r="BB190" s="418">
        <v>0</v>
      </c>
      <c r="BC190" s="418">
        <v>0</v>
      </c>
      <c r="BD190" s="418">
        <v>0</v>
      </c>
      <c r="BE190" s="418">
        <v>0</v>
      </c>
      <c r="BF190" s="418">
        <v>0</v>
      </c>
      <c r="BG190" s="418">
        <v>0</v>
      </c>
      <c r="BH190" s="418">
        <v>0</v>
      </c>
      <c r="BI190" s="418">
        <f t="shared" si="247"/>
        <v>0</v>
      </c>
      <c r="BJ190" s="418">
        <f t="shared" si="248"/>
        <v>-0.02</v>
      </c>
      <c r="BK190" s="420">
        <f t="shared" si="249"/>
        <v>-0.02</v>
      </c>
      <c r="BL190" s="772">
        <f t="shared" ref="BL190:BL195" si="304">I190+AY190</f>
        <v>37541822</v>
      </c>
      <c r="BM190" s="417">
        <f t="shared" ref="BM190:BM195" si="305">J190+AG190</f>
        <v>27359279</v>
      </c>
      <c r="BN190" s="417">
        <f t="shared" ref="BN190:BO195" si="306">K190+AE190</f>
        <v>24984918</v>
      </c>
      <c r="BO190" s="417">
        <f t="shared" si="306"/>
        <v>2374361</v>
      </c>
      <c r="BP190" s="417">
        <f t="shared" ref="BP190:BP195" si="307">M190+AO190</f>
        <v>20000</v>
      </c>
      <c r="BQ190" s="417">
        <f t="shared" ref="BQ190:BR195" si="308">N190+AM190</f>
        <v>8000</v>
      </c>
      <c r="BR190" s="417">
        <f t="shared" si="308"/>
        <v>12000</v>
      </c>
      <c r="BS190" s="417">
        <f t="shared" ref="BS190:BT195" si="309">P190+AS190</f>
        <v>9254196</v>
      </c>
      <c r="BT190" s="417">
        <f t="shared" si="309"/>
        <v>273592</v>
      </c>
      <c r="BU190" s="417">
        <f t="shared" ref="BU190:BU195" si="310">R190+AX190</f>
        <v>634755</v>
      </c>
      <c r="BV190" s="418">
        <f t="shared" ref="BV190:BV195" si="311">S190+BK190</f>
        <v>40.811499999999995</v>
      </c>
      <c r="BW190" s="418">
        <f t="shared" ref="BW190:BX195" si="312">T190+BI190</f>
        <v>33.635300000000001</v>
      </c>
      <c r="BX190" s="420">
        <f t="shared" si="312"/>
        <v>7.1762000000000015</v>
      </c>
      <c r="BY190" s="419">
        <v>836299</v>
      </c>
      <c r="BZ190" s="414">
        <v>620400</v>
      </c>
      <c r="CA190" s="414">
        <v>0</v>
      </c>
      <c r="CB190" s="414">
        <v>209695</v>
      </c>
      <c r="CC190" s="414">
        <v>6204</v>
      </c>
      <c r="CD190" s="422">
        <v>1.1000000000000001</v>
      </c>
      <c r="CE190" s="419">
        <f t="shared" si="254"/>
        <v>1177982</v>
      </c>
      <c r="CF190" s="414">
        <v>765917</v>
      </c>
      <c r="CG190" s="414">
        <v>258880</v>
      </c>
      <c r="CH190" s="414">
        <v>7659</v>
      </c>
      <c r="CI190" s="414">
        <v>145526</v>
      </c>
      <c r="CJ190" s="509">
        <v>2.3162000000000003</v>
      </c>
    </row>
    <row r="191" spans="1:90" ht="14.1" customHeight="1">
      <c r="A191" s="66">
        <v>41</v>
      </c>
      <c r="B191" s="63">
        <v>2480</v>
      </c>
      <c r="C191" s="64">
        <v>600080293</v>
      </c>
      <c r="D191" s="63">
        <v>46744924</v>
      </c>
      <c r="E191" s="65" t="s">
        <v>617</v>
      </c>
      <c r="F191" s="66">
        <v>3113</v>
      </c>
      <c r="G191" s="77" t="s">
        <v>291</v>
      </c>
      <c r="H191" s="67" t="s">
        <v>272</v>
      </c>
      <c r="I191" s="419">
        <v>2084665</v>
      </c>
      <c r="J191" s="414">
        <v>1546488</v>
      </c>
      <c r="K191" s="414">
        <v>1546488</v>
      </c>
      <c r="L191" s="414">
        <v>0</v>
      </c>
      <c r="M191" s="414">
        <v>0</v>
      </c>
      <c r="N191" s="414">
        <v>0</v>
      </c>
      <c r="O191" s="414">
        <v>0</v>
      </c>
      <c r="P191" s="595">
        <v>522713</v>
      </c>
      <c r="Q191" s="595">
        <v>15464</v>
      </c>
      <c r="R191" s="414">
        <v>0</v>
      </c>
      <c r="S191" s="415">
        <v>3.9499999999999997</v>
      </c>
      <c r="T191" s="416">
        <v>3.9499999999999997</v>
      </c>
      <c r="U191" s="422">
        <v>0</v>
      </c>
      <c r="V191" s="423">
        <f t="shared" si="232"/>
        <v>0</v>
      </c>
      <c r="W191" s="417">
        <f t="shared" si="233"/>
        <v>0</v>
      </c>
      <c r="X191" s="417">
        <f>6189-6189</f>
        <v>0</v>
      </c>
      <c r="Y191" s="417">
        <v>0</v>
      </c>
      <c r="Z191" s="417">
        <v>0</v>
      </c>
      <c r="AA191" s="417">
        <v>0</v>
      </c>
      <c r="AB191" s="417">
        <v>0</v>
      </c>
      <c r="AC191" s="417">
        <v>0</v>
      </c>
      <c r="AD191" s="417">
        <v>0</v>
      </c>
      <c r="AE191" s="417">
        <f t="shared" si="234"/>
        <v>0</v>
      </c>
      <c r="AF191" s="417">
        <f t="shared" si="235"/>
        <v>0</v>
      </c>
      <c r="AG191" s="417">
        <f t="shared" si="236"/>
        <v>0</v>
      </c>
      <c r="AH191" s="417">
        <v>0</v>
      </c>
      <c r="AI191" s="417">
        <v>0</v>
      </c>
      <c r="AJ191" s="417">
        <v>0</v>
      </c>
      <c r="AK191" s="417">
        <v>0</v>
      </c>
      <c r="AL191" s="417">
        <v>0</v>
      </c>
      <c r="AM191" s="417">
        <f t="shared" si="237"/>
        <v>0</v>
      </c>
      <c r="AN191" s="417">
        <f t="shared" si="238"/>
        <v>0</v>
      </c>
      <c r="AO191" s="417">
        <f t="shared" si="239"/>
        <v>0</v>
      </c>
      <c r="AP191" s="417">
        <f t="shared" si="240"/>
        <v>0</v>
      </c>
      <c r="AQ191" s="417">
        <f t="shared" si="241"/>
        <v>0</v>
      </c>
      <c r="AR191" s="417">
        <f t="shared" si="242"/>
        <v>0</v>
      </c>
      <c r="AS191" s="68">
        <f t="shared" si="243"/>
        <v>0</v>
      </c>
      <c r="AT191" s="68">
        <f t="shared" si="244"/>
        <v>0</v>
      </c>
      <c r="AU191" s="417">
        <v>0</v>
      </c>
      <c r="AV191" s="417">
        <v>0</v>
      </c>
      <c r="AW191" s="417">
        <v>0</v>
      </c>
      <c r="AX191" s="417">
        <f t="shared" si="245"/>
        <v>0</v>
      </c>
      <c r="AY191" s="417">
        <f t="shared" si="246"/>
        <v>0</v>
      </c>
      <c r="AZ191" s="418">
        <v>0</v>
      </c>
      <c r="BA191" s="418">
        <v>0</v>
      </c>
      <c r="BB191" s="418">
        <f>0.01-0.01</f>
        <v>0</v>
      </c>
      <c r="BC191" s="418">
        <v>0</v>
      </c>
      <c r="BD191" s="418">
        <v>0</v>
      </c>
      <c r="BE191" s="418">
        <v>0</v>
      </c>
      <c r="BF191" s="418">
        <v>0</v>
      </c>
      <c r="BG191" s="418">
        <v>0</v>
      </c>
      <c r="BH191" s="418">
        <v>0</v>
      </c>
      <c r="BI191" s="418">
        <f t="shared" si="247"/>
        <v>0</v>
      </c>
      <c r="BJ191" s="418">
        <f t="shared" si="248"/>
        <v>0</v>
      </c>
      <c r="BK191" s="420">
        <f t="shared" si="249"/>
        <v>0</v>
      </c>
      <c r="BL191" s="772">
        <f t="shared" si="304"/>
        <v>2084665</v>
      </c>
      <c r="BM191" s="417">
        <f t="shared" si="305"/>
        <v>1546488</v>
      </c>
      <c r="BN191" s="417">
        <f t="shared" si="306"/>
        <v>1546488</v>
      </c>
      <c r="BO191" s="417">
        <f t="shared" si="306"/>
        <v>0</v>
      </c>
      <c r="BP191" s="417">
        <f t="shared" si="307"/>
        <v>0</v>
      </c>
      <c r="BQ191" s="417">
        <f t="shared" si="308"/>
        <v>0</v>
      </c>
      <c r="BR191" s="417">
        <f t="shared" si="308"/>
        <v>0</v>
      </c>
      <c r="BS191" s="417">
        <f t="shared" si="309"/>
        <v>522713</v>
      </c>
      <c r="BT191" s="417">
        <f t="shared" si="309"/>
        <v>15464</v>
      </c>
      <c r="BU191" s="417">
        <f t="shared" si="310"/>
        <v>0</v>
      </c>
      <c r="BV191" s="418">
        <f t="shared" si="311"/>
        <v>3.9499999999999997</v>
      </c>
      <c r="BW191" s="418">
        <f t="shared" si="312"/>
        <v>3.9499999999999997</v>
      </c>
      <c r="BX191" s="420">
        <f t="shared" si="312"/>
        <v>0</v>
      </c>
      <c r="BY191" s="419"/>
      <c r="BZ191" s="414"/>
      <c r="CA191" s="414"/>
      <c r="CB191" s="414"/>
      <c r="CC191" s="414"/>
      <c r="CD191" s="422"/>
      <c r="CE191" s="419">
        <f t="shared" si="254"/>
        <v>0</v>
      </c>
      <c r="CF191" s="414">
        <v>0</v>
      </c>
      <c r="CG191" s="414">
        <v>0</v>
      </c>
      <c r="CH191" s="414">
        <v>0</v>
      </c>
      <c r="CI191" s="414">
        <v>0</v>
      </c>
      <c r="CJ191" s="509">
        <v>0</v>
      </c>
    </row>
    <row r="192" spans="1:90" ht="13.5" customHeight="1">
      <c r="A192" s="66">
        <v>41</v>
      </c>
      <c r="B192" s="63">
        <v>2480</v>
      </c>
      <c r="C192" s="64">
        <v>600080293</v>
      </c>
      <c r="D192" s="63">
        <v>46744924</v>
      </c>
      <c r="E192" s="65" t="s">
        <v>617</v>
      </c>
      <c r="F192" s="66">
        <v>3141</v>
      </c>
      <c r="G192" s="65" t="s">
        <v>294</v>
      </c>
      <c r="H192" s="67" t="s">
        <v>272</v>
      </c>
      <c r="I192" s="419">
        <v>3133286</v>
      </c>
      <c r="J192" s="414">
        <v>2305494</v>
      </c>
      <c r="K192" s="414">
        <v>0</v>
      </c>
      <c r="L192" s="744">
        <v>2305494</v>
      </c>
      <c r="M192" s="414">
        <v>0</v>
      </c>
      <c r="N192" s="204">
        <v>0</v>
      </c>
      <c r="O192" s="204">
        <v>0</v>
      </c>
      <c r="P192" s="595">
        <v>779257</v>
      </c>
      <c r="Q192" s="595">
        <v>23055</v>
      </c>
      <c r="R192" s="601">
        <v>25480</v>
      </c>
      <c r="S192" s="415">
        <v>6.9066999999999998</v>
      </c>
      <c r="T192" s="603">
        <v>0</v>
      </c>
      <c r="U192" s="731">
        <v>6.9066999999999998</v>
      </c>
      <c r="V192" s="423">
        <f t="shared" si="232"/>
        <v>0</v>
      </c>
      <c r="W192" s="417">
        <f t="shared" si="233"/>
        <v>0</v>
      </c>
      <c r="X192" s="417">
        <v>0</v>
      </c>
      <c r="Y192" s="417">
        <v>0</v>
      </c>
      <c r="Z192" s="417">
        <v>0</v>
      </c>
      <c r="AA192" s="417">
        <v>-7557</v>
      </c>
      <c r="AB192" s="417">
        <v>0</v>
      </c>
      <c r="AC192" s="417">
        <v>0</v>
      </c>
      <c r="AD192" s="417">
        <v>0</v>
      </c>
      <c r="AE192" s="417">
        <f t="shared" si="234"/>
        <v>0</v>
      </c>
      <c r="AF192" s="417">
        <f t="shared" si="235"/>
        <v>-7557</v>
      </c>
      <c r="AG192" s="417">
        <f t="shared" si="236"/>
        <v>-7557</v>
      </c>
      <c r="AH192" s="417">
        <v>0</v>
      </c>
      <c r="AI192" s="417">
        <v>0</v>
      </c>
      <c r="AJ192" s="417">
        <v>0</v>
      </c>
      <c r="AK192" s="417">
        <v>0</v>
      </c>
      <c r="AL192" s="417">
        <v>0</v>
      </c>
      <c r="AM192" s="417">
        <f t="shared" si="237"/>
        <v>0</v>
      </c>
      <c r="AN192" s="417">
        <f t="shared" si="238"/>
        <v>0</v>
      </c>
      <c r="AO192" s="417">
        <f t="shared" si="239"/>
        <v>0</v>
      </c>
      <c r="AP192" s="417">
        <f t="shared" si="240"/>
        <v>0</v>
      </c>
      <c r="AQ192" s="417">
        <f t="shared" si="241"/>
        <v>-7557</v>
      </c>
      <c r="AR192" s="417">
        <f t="shared" si="242"/>
        <v>-7557</v>
      </c>
      <c r="AS192" s="68">
        <f t="shared" si="243"/>
        <v>-2554</v>
      </c>
      <c r="AT192" s="68">
        <f t="shared" si="244"/>
        <v>-76</v>
      </c>
      <c r="AU192" s="417">
        <v>0</v>
      </c>
      <c r="AV192" s="417">
        <v>0</v>
      </c>
      <c r="AW192" s="417">
        <v>0</v>
      </c>
      <c r="AX192" s="417">
        <f t="shared" si="245"/>
        <v>0</v>
      </c>
      <c r="AY192" s="417">
        <f t="shared" si="246"/>
        <v>-10187</v>
      </c>
      <c r="AZ192" s="418">
        <v>0</v>
      </c>
      <c r="BA192" s="418">
        <v>0</v>
      </c>
      <c r="BB192" s="418">
        <v>0</v>
      </c>
      <c r="BC192" s="418">
        <v>0</v>
      </c>
      <c r="BD192" s="418">
        <v>-0.02</v>
      </c>
      <c r="BE192" s="418">
        <v>0</v>
      </c>
      <c r="BF192" s="418">
        <v>0</v>
      </c>
      <c r="BG192" s="418">
        <v>0</v>
      </c>
      <c r="BH192" s="418">
        <v>0</v>
      </c>
      <c r="BI192" s="418">
        <f t="shared" si="247"/>
        <v>0</v>
      </c>
      <c r="BJ192" s="418">
        <f t="shared" si="248"/>
        <v>-0.02</v>
      </c>
      <c r="BK192" s="420">
        <f t="shared" si="249"/>
        <v>-0.02</v>
      </c>
      <c r="BL192" s="772">
        <f t="shared" si="304"/>
        <v>3123099</v>
      </c>
      <c r="BM192" s="417">
        <f t="shared" si="305"/>
        <v>2297937</v>
      </c>
      <c r="BN192" s="417">
        <f t="shared" si="306"/>
        <v>0</v>
      </c>
      <c r="BO192" s="417">
        <f t="shared" si="306"/>
        <v>2297937</v>
      </c>
      <c r="BP192" s="417">
        <f t="shared" si="307"/>
        <v>0</v>
      </c>
      <c r="BQ192" s="417">
        <f t="shared" si="308"/>
        <v>0</v>
      </c>
      <c r="BR192" s="417">
        <f t="shared" si="308"/>
        <v>0</v>
      </c>
      <c r="BS192" s="417">
        <f t="shared" si="309"/>
        <v>776703</v>
      </c>
      <c r="BT192" s="417">
        <f t="shared" si="309"/>
        <v>22979</v>
      </c>
      <c r="BU192" s="417">
        <f t="shared" si="310"/>
        <v>25480</v>
      </c>
      <c r="BV192" s="418">
        <f t="shared" si="311"/>
        <v>6.8867000000000003</v>
      </c>
      <c r="BW192" s="418">
        <f t="shared" si="312"/>
        <v>0</v>
      </c>
      <c r="BX192" s="420">
        <f t="shared" si="312"/>
        <v>6.8867000000000003</v>
      </c>
      <c r="BY192" s="419"/>
      <c r="BZ192" s="414"/>
      <c r="CA192" s="414"/>
      <c r="CB192" s="414"/>
      <c r="CC192" s="414"/>
      <c r="CD192" s="422"/>
      <c r="CE192" s="419">
        <f t="shared" si="254"/>
        <v>0</v>
      </c>
      <c r="CF192" s="414">
        <v>0</v>
      </c>
      <c r="CG192" s="414">
        <v>0</v>
      </c>
      <c r="CH192" s="414">
        <v>0</v>
      </c>
      <c r="CI192" s="414">
        <v>0</v>
      </c>
      <c r="CJ192" s="509">
        <v>0</v>
      </c>
    </row>
    <row r="193" spans="1:88" ht="14.1" customHeight="1">
      <c r="A193" s="66">
        <v>41</v>
      </c>
      <c r="B193" s="63">
        <v>2480</v>
      </c>
      <c r="C193" s="64">
        <v>600080293</v>
      </c>
      <c r="D193" s="63">
        <v>46744924</v>
      </c>
      <c r="E193" s="65" t="s">
        <v>617</v>
      </c>
      <c r="F193" s="66">
        <v>3143</v>
      </c>
      <c r="G193" s="77" t="s">
        <v>595</v>
      </c>
      <c r="H193" s="67" t="s">
        <v>271</v>
      </c>
      <c r="I193" s="419">
        <v>3436035</v>
      </c>
      <c r="J193" s="414">
        <v>2548987</v>
      </c>
      <c r="K193" s="414">
        <v>2548987</v>
      </c>
      <c r="L193" s="414">
        <v>0</v>
      </c>
      <c r="M193" s="414">
        <v>0</v>
      </c>
      <c r="N193" s="414">
        <v>0</v>
      </c>
      <c r="O193" s="414">
        <v>0</v>
      </c>
      <c r="P193" s="595">
        <v>861558</v>
      </c>
      <c r="Q193" s="595">
        <v>25490</v>
      </c>
      <c r="R193" s="414">
        <v>0</v>
      </c>
      <c r="S193" s="415">
        <v>5.1100000000000003</v>
      </c>
      <c r="T193" s="415">
        <v>5.1100000000000003</v>
      </c>
      <c r="U193" s="422">
        <v>0</v>
      </c>
      <c r="V193" s="423">
        <f t="shared" si="232"/>
        <v>0</v>
      </c>
      <c r="W193" s="417">
        <f t="shared" si="233"/>
        <v>0</v>
      </c>
      <c r="X193" s="417">
        <v>0</v>
      </c>
      <c r="Y193" s="417">
        <v>0</v>
      </c>
      <c r="Z193" s="417">
        <v>0</v>
      </c>
      <c r="AA193" s="417">
        <v>0</v>
      </c>
      <c r="AB193" s="417">
        <v>0</v>
      </c>
      <c r="AC193" s="417">
        <v>0</v>
      </c>
      <c r="AD193" s="417">
        <v>0</v>
      </c>
      <c r="AE193" s="417">
        <f t="shared" si="234"/>
        <v>0</v>
      </c>
      <c r="AF193" s="417">
        <f t="shared" si="235"/>
        <v>0</v>
      </c>
      <c r="AG193" s="417">
        <f t="shared" si="236"/>
        <v>0</v>
      </c>
      <c r="AH193" s="417">
        <v>0</v>
      </c>
      <c r="AI193" s="417">
        <v>0</v>
      </c>
      <c r="AJ193" s="417">
        <v>0</v>
      </c>
      <c r="AK193" s="417">
        <v>0</v>
      </c>
      <c r="AL193" s="417">
        <v>0</v>
      </c>
      <c r="AM193" s="417">
        <f t="shared" si="237"/>
        <v>0</v>
      </c>
      <c r="AN193" s="417">
        <f t="shared" si="238"/>
        <v>0</v>
      </c>
      <c r="AO193" s="417">
        <f t="shared" si="239"/>
        <v>0</v>
      </c>
      <c r="AP193" s="417">
        <f t="shared" si="240"/>
        <v>0</v>
      </c>
      <c r="AQ193" s="417">
        <f t="shared" si="241"/>
        <v>0</v>
      </c>
      <c r="AR193" s="417">
        <f t="shared" si="242"/>
        <v>0</v>
      </c>
      <c r="AS193" s="68">
        <f t="shared" si="243"/>
        <v>0</v>
      </c>
      <c r="AT193" s="68">
        <f t="shared" si="244"/>
        <v>0</v>
      </c>
      <c r="AU193" s="417">
        <v>0</v>
      </c>
      <c r="AV193" s="417">
        <v>0</v>
      </c>
      <c r="AW193" s="417">
        <v>0</v>
      </c>
      <c r="AX193" s="417">
        <f t="shared" si="245"/>
        <v>0</v>
      </c>
      <c r="AY193" s="417">
        <f t="shared" si="246"/>
        <v>0</v>
      </c>
      <c r="AZ193" s="418">
        <v>0</v>
      </c>
      <c r="BA193" s="418">
        <v>0</v>
      </c>
      <c r="BB193" s="418">
        <v>0</v>
      </c>
      <c r="BC193" s="418">
        <v>0</v>
      </c>
      <c r="BD193" s="418">
        <v>0</v>
      </c>
      <c r="BE193" s="418">
        <v>0</v>
      </c>
      <c r="BF193" s="418">
        <v>0</v>
      </c>
      <c r="BG193" s="418">
        <v>0</v>
      </c>
      <c r="BH193" s="418">
        <v>0</v>
      </c>
      <c r="BI193" s="418">
        <f t="shared" si="247"/>
        <v>0</v>
      </c>
      <c r="BJ193" s="418">
        <f t="shared" si="248"/>
        <v>0</v>
      </c>
      <c r="BK193" s="420">
        <f t="shared" si="249"/>
        <v>0</v>
      </c>
      <c r="BL193" s="772">
        <f t="shared" si="304"/>
        <v>3436035</v>
      </c>
      <c r="BM193" s="417">
        <f t="shared" si="305"/>
        <v>2548987</v>
      </c>
      <c r="BN193" s="417">
        <f t="shared" si="306"/>
        <v>2548987</v>
      </c>
      <c r="BO193" s="417">
        <f t="shared" si="306"/>
        <v>0</v>
      </c>
      <c r="BP193" s="417">
        <f t="shared" si="307"/>
        <v>0</v>
      </c>
      <c r="BQ193" s="417">
        <f t="shared" si="308"/>
        <v>0</v>
      </c>
      <c r="BR193" s="417">
        <f t="shared" si="308"/>
        <v>0</v>
      </c>
      <c r="BS193" s="417">
        <f t="shared" si="309"/>
        <v>861558</v>
      </c>
      <c r="BT193" s="417">
        <f t="shared" si="309"/>
        <v>25490</v>
      </c>
      <c r="BU193" s="417">
        <f t="shared" si="310"/>
        <v>0</v>
      </c>
      <c r="BV193" s="418">
        <f t="shared" si="311"/>
        <v>5.1100000000000003</v>
      </c>
      <c r="BW193" s="418">
        <f t="shared" si="312"/>
        <v>5.1100000000000003</v>
      </c>
      <c r="BX193" s="420">
        <f t="shared" si="312"/>
        <v>0</v>
      </c>
      <c r="BY193" s="419"/>
      <c r="BZ193" s="414"/>
      <c r="CA193" s="414"/>
      <c r="CB193" s="414"/>
      <c r="CC193" s="414"/>
      <c r="CD193" s="422"/>
      <c r="CE193" s="419">
        <f t="shared" si="254"/>
        <v>0</v>
      </c>
      <c r="CF193" s="414">
        <v>0</v>
      </c>
      <c r="CG193" s="414">
        <v>0</v>
      </c>
      <c r="CH193" s="414">
        <v>0</v>
      </c>
      <c r="CI193" s="414">
        <v>0</v>
      </c>
      <c r="CJ193" s="509">
        <v>0</v>
      </c>
    </row>
    <row r="194" spans="1:88" ht="14.1" customHeight="1">
      <c r="A194" s="66">
        <v>41</v>
      </c>
      <c r="B194" s="63">
        <v>2480</v>
      </c>
      <c r="C194" s="64">
        <v>600080293</v>
      </c>
      <c r="D194" s="63">
        <v>46744924</v>
      </c>
      <c r="E194" s="65" t="s">
        <v>617</v>
      </c>
      <c r="F194" s="66">
        <v>3143</v>
      </c>
      <c r="G194" s="77" t="s">
        <v>596</v>
      </c>
      <c r="H194" s="67" t="s">
        <v>272</v>
      </c>
      <c r="I194" s="419">
        <v>124481</v>
      </c>
      <c r="J194" s="414">
        <v>89100</v>
      </c>
      <c r="K194" s="414">
        <v>0</v>
      </c>
      <c r="L194" s="601">
        <v>89100</v>
      </c>
      <c r="M194" s="414">
        <v>0</v>
      </c>
      <c r="N194" s="414">
        <v>0</v>
      </c>
      <c r="O194" s="414">
        <v>0</v>
      </c>
      <c r="P194" s="595">
        <v>30116</v>
      </c>
      <c r="Q194" s="595">
        <v>891</v>
      </c>
      <c r="R194" s="602">
        <v>4374</v>
      </c>
      <c r="S194" s="415">
        <v>0.33500000000000002</v>
      </c>
      <c r="T194" s="605">
        <v>0</v>
      </c>
      <c r="U194" s="731">
        <v>0.33500000000000002</v>
      </c>
      <c r="V194" s="423">
        <f t="shared" si="232"/>
        <v>0</v>
      </c>
      <c r="W194" s="417">
        <f t="shared" si="233"/>
        <v>0</v>
      </c>
      <c r="X194" s="417">
        <v>0</v>
      </c>
      <c r="Y194" s="417">
        <v>0</v>
      </c>
      <c r="Z194" s="417">
        <v>0</v>
      </c>
      <c r="AA194" s="417">
        <v>0</v>
      </c>
      <c r="AB194" s="417">
        <v>0</v>
      </c>
      <c r="AC194" s="417">
        <v>0</v>
      </c>
      <c r="AD194" s="417">
        <v>0</v>
      </c>
      <c r="AE194" s="417">
        <f t="shared" si="234"/>
        <v>0</v>
      </c>
      <c r="AF194" s="417">
        <f t="shared" si="235"/>
        <v>0</v>
      </c>
      <c r="AG194" s="417">
        <f t="shared" si="236"/>
        <v>0</v>
      </c>
      <c r="AH194" s="417">
        <v>0</v>
      </c>
      <c r="AI194" s="417">
        <v>0</v>
      </c>
      <c r="AJ194" s="417">
        <v>0</v>
      </c>
      <c r="AK194" s="417">
        <v>0</v>
      </c>
      <c r="AL194" s="417">
        <v>0</v>
      </c>
      <c r="AM194" s="417">
        <f t="shared" si="237"/>
        <v>0</v>
      </c>
      <c r="AN194" s="417">
        <f t="shared" si="238"/>
        <v>0</v>
      </c>
      <c r="AO194" s="417">
        <f t="shared" si="239"/>
        <v>0</v>
      </c>
      <c r="AP194" s="417">
        <f t="shared" si="240"/>
        <v>0</v>
      </c>
      <c r="AQ194" s="417">
        <f t="shared" si="241"/>
        <v>0</v>
      </c>
      <c r="AR194" s="417">
        <f t="shared" si="242"/>
        <v>0</v>
      </c>
      <c r="AS194" s="68">
        <f t="shared" si="243"/>
        <v>0</v>
      </c>
      <c r="AT194" s="68">
        <f t="shared" si="244"/>
        <v>0</v>
      </c>
      <c r="AU194" s="417">
        <v>0</v>
      </c>
      <c r="AV194" s="417">
        <v>0</v>
      </c>
      <c r="AW194" s="417">
        <v>0</v>
      </c>
      <c r="AX194" s="417">
        <f t="shared" si="245"/>
        <v>0</v>
      </c>
      <c r="AY194" s="417">
        <f t="shared" si="246"/>
        <v>0</v>
      </c>
      <c r="AZ194" s="418">
        <v>0</v>
      </c>
      <c r="BA194" s="418">
        <v>0</v>
      </c>
      <c r="BB194" s="418">
        <v>0</v>
      </c>
      <c r="BC194" s="418">
        <v>0</v>
      </c>
      <c r="BD194" s="418">
        <v>0</v>
      </c>
      <c r="BE194" s="418">
        <v>0</v>
      </c>
      <c r="BF194" s="418">
        <v>0</v>
      </c>
      <c r="BG194" s="418">
        <v>0</v>
      </c>
      <c r="BH194" s="418">
        <v>0</v>
      </c>
      <c r="BI194" s="418">
        <f t="shared" si="247"/>
        <v>0</v>
      </c>
      <c r="BJ194" s="418">
        <f t="shared" si="248"/>
        <v>0</v>
      </c>
      <c r="BK194" s="420">
        <f t="shared" si="249"/>
        <v>0</v>
      </c>
      <c r="BL194" s="772">
        <f t="shared" si="304"/>
        <v>124481</v>
      </c>
      <c r="BM194" s="417">
        <f t="shared" si="305"/>
        <v>89100</v>
      </c>
      <c r="BN194" s="417">
        <f t="shared" si="306"/>
        <v>0</v>
      </c>
      <c r="BO194" s="417">
        <f t="shared" si="306"/>
        <v>89100</v>
      </c>
      <c r="BP194" s="417">
        <f t="shared" si="307"/>
        <v>0</v>
      </c>
      <c r="BQ194" s="417">
        <f t="shared" si="308"/>
        <v>0</v>
      </c>
      <c r="BR194" s="417">
        <f t="shared" si="308"/>
        <v>0</v>
      </c>
      <c r="BS194" s="417">
        <f t="shared" si="309"/>
        <v>30116</v>
      </c>
      <c r="BT194" s="417">
        <f t="shared" si="309"/>
        <v>891</v>
      </c>
      <c r="BU194" s="417">
        <f t="shared" si="310"/>
        <v>4374</v>
      </c>
      <c r="BV194" s="418">
        <f t="shared" si="311"/>
        <v>0.33500000000000002</v>
      </c>
      <c r="BW194" s="418">
        <f t="shared" si="312"/>
        <v>0</v>
      </c>
      <c r="BX194" s="420">
        <f t="shared" si="312"/>
        <v>0.33500000000000002</v>
      </c>
      <c r="BY194" s="419"/>
      <c r="BZ194" s="414"/>
      <c r="CA194" s="414"/>
      <c r="CB194" s="414"/>
      <c r="CC194" s="414"/>
      <c r="CD194" s="422"/>
      <c r="CE194" s="419">
        <f t="shared" si="254"/>
        <v>0</v>
      </c>
      <c r="CF194" s="414">
        <v>0</v>
      </c>
      <c r="CG194" s="414">
        <v>0</v>
      </c>
      <c r="CH194" s="414">
        <v>0</v>
      </c>
      <c r="CI194" s="414">
        <v>0</v>
      </c>
      <c r="CJ194" s="509">
        <v>0</v>
      </c>
    </row>
    <row r="195" spans="1:88" ht="14.1" customHeight="1">
      <c r="A195" s="66">
        <v>41</v>
      </c>
      <c r="B195" s="63">
        <v>2480</v>
      </c>
      <c r="C195" s="64">
        <v>600080293</v>
      </c>
      <c r="D195" s="63">
        <v>46744924</v>
      </c>
      <c r="E195" s="65" t="s">
        <v>617</v>
      </c>
      <c r="F195" s="66">
        <v>3143</v>
      </c>
      <c r="G195" s="77" t="s">
        <v>296</v>
      </c>
      <c r="H195" s="67" t="s">
        <v>272</v>
      </c>
      <c r="I195" s="419">
        <v>1143126</v>
      </c>
      <c r="J195" s="414">
        <v>844064</v>
      </c>
      <c r="K195" s="414">
        <v>681264</v>
      </c>
      <c r="L195" s="414">
        <v>162800</v>
      </c>
      <c r="M195" s="414">
        <v>0</v>
      </c>
      <c r="N195" s="414">
        <v>0</v>
      </c>
      <c r="O195" s="414">
        <v>0</v>
      </c>
      <c r="P195" s="595">
        <v>285293</v>
      </c>
      <c r="Q195" s="595">
        <v>8441</v>
      </c>
      <c r="R195" s="414">
        <v>5328</v>
      </c>
      <c r="S195" s="415">
        <v>1.97</v>
      </c>
      <c r="T195" s="416">
        <v>1.35</v>
      </c>
      <c r="U195" s="422">
        <v>0.62</v>
      </c>
      <c r="V195" s="423">
        <f t="shared" si="232"/>
        <v>0</v>
      </c>
      <c r="W195" s="417">
        <f t="shared" si="233"/>
        <v>0</v>
      </c>
      <c r="X195" s="417">
        <v>0</v>
      </c>
      <c r="Y195" s="417">
        <v>0</v>
      </c>
      <c r="Z195" s="417">
        <v>0</v>
      </c>
      <c r="AA195" s="417">
        <v>0</v>
      </c>
      <c r="AB195" s="417">
        <v>0</v>
      </c>
      <c r="AC195" s="417">
        <v>0</v>
      </c>
      <c r="AD195" s="417">
        <v>0</v>
      </c>
      <c r="AE195" s="417">
        <f t="shared" si="234"/>
        <v>0</v>
      </c>
      <c r="AF195" s="417">
        <f t="shared" si="235"/>
        <v>0</v>
      </c>
      <c r="AG195" s="417">
        <f t="shared" si="236"/>
        <v>0</v>
      </c>
      <c r="AH195" s="417">
        <v>0</v>
      </c>
      <c r="AI195" s="417">
        <v>0</v>
      </c>
      <c r="AJ195" s="417">
        <v>0</v>
      </c>
      <c r="AK195" s="417">
        <v>0</v>
      </c>
      <c r="AL195" s="417">
        <v>0</v>
      </c>
      <c r="AM195" s="417">
        <f t="shared" si="237"/>
        <v>0</v>
      </c>
      <c r="AN195" s="417">
        <f t="shared" si="238"/>
        <v>0</v>
      </c>
      <c r="AO195" s="417">
        <f t="shared" si="239"/>
        <v>0</v>
      </c>
      <c r="AP195" s="417">
        <f t="shared" si="240"/>
        <v>0</v>
      </c>
      <c r="AQ195" s="417">
        <f t="shared" si="241"/>
        <v>0</v>
      </c>
      <c r="AR195" s="417">
        <f t="shared" si="242"/>
        <v>0</v>
      </c>
      <c r="AS195" s="68">
        <f t="shared" si="243"/>
        <v>0</v>
      </c>
      <c r="AT195" s="68">
        <f t="shared" si="244"/>
        <v>0</v>
      </c>
      <c r="AU195" s="417">
        <v>0</v>
      </c>
      <c r="AV195" s="417">
        <v>0</v>
      </c>
      <c r="AW195" s="417">
        <v>0</v>
      </c>
      <c r="AX195" s="417">
        <f t="shared" si="245"/>
        <v>0</v>
      </c>
      <c r="AY195" s="417">
        <f t="shared" si="246"/>
        <v>0</v>
      </c>
      <c r="AZ195" s="418">
        <v>0</v>
      </c>
      <c r="BA195" s="418">
        <v>0</v>
      </c>
      <c r="BB195" s="418">
        <v>0</v>
      </c>
      <c r="BC195" s="418">
        <v>0</v>
      </c>
      <c r="BD195" s="418">
        <v>0</v>
      </c>
      <c r="BE195" s="418">
        <v>0</v>
      </c>
      <c r="BF195" s="418">
        <v>0</v>
      </c>
      <c r="BG195" s="418">
        <v>0</v>
      </c>
      <c r="BH195" s="418">
        <v>0</v>
      </c>
      <c r="BI195" s="418">
        <f t="shared" si="247"/>
        <v>0</v>
      </c>
      <c r="BJ195" s="418">
        <f t="shared" si="248"/>
        <v>0</v>
      </c>
      <c r="BK195" s="420">
        <f t="shared" si="249"/>
        <v>0</v>
      </c>
      <c r="BL195" s="772">
        <f t="shared" si="304"/>
        <v>1143126</v>
      </c>
      <c r="BM195" s="417">
        <f t="shared" si="305"/>
        <v>844064</v>
      </c>
      <c r="BN195" s="417">
        <f t="shared" si="306"/>
        <v>681264</v>
      </c>
      <c r="BO195" s="417">
        <f t="shared" si="306"/>
        <v>162800</v>
      </c>
      <c r="BP195" s="417">
        <f t="shared" si="307"/>
        <v>0</v>
      </c>
      <c r="BQ195" s="417">
        <f t="shared" si="308"/>
        <v>0</v>
      </c>
      <c r="BR195" s="417">
        <f t="shared" si="308"/>
        <v>0</v>
      </c>
      <c r="BS195" s="417">
        <f t="shared" si="309"/>
        <v>285293</v>
      </c>
      <c r="BT195" s="417">
        <f t="shared" si="309"/>
        <v>8441</v>
      </c>
      <c r="BU195" s="417">
        <f t="shared" si="310"/>
        <v>5328</v>
      </c>
      <c r="BV195" s="418">
        <f t="shared" si="311"/>
        <v>1.97</v>
      </c>
      <c r="BW195" s="418">
        <f t="shared" si="312"/>
        <v>1.35</v>
      </c>
      <c r="BX195" s="420">
        <f t="shared" si="312"/>
        <v>0.62</v>
      </c>
      <c r="BY195" s="419"/>
      <c r="BZ195" s="414"/>
      <c r="CA195" s="414"/>
      <c r="CB195" s="414"/>
      <c r="CC195" s="414"/>
      <c r="CD195" s="422"/>
      <c r="CE195" s="419">
        <f t="shared" si="254"/>
        <v>0</v>
      </c>
      <c r="CF195" s="414">
        <v>0</v>
      </c>
      <c r="CG195" s="414">
        <v>0</v>
      </c>
      <c r="CH195" s="414">
        <v>0</v>
      </c>
      <c r="CI195" s="414">
        <v>0</v>
      </c>
      <c r="CJ195" s="509">
        <v>0</v>
      </c>
    </row>
    <row r="196" spans="1:88" ht="14.1" customHeight="1">
      <c r="A196" s="72">
        <v>41</v>
      </c>
      <c r="B196" s="69">
        <v>2480</v>
      </c>
      <c r="C196" s="70">
        <v>600080293</v>
      </c>
      <c r="D196" s="69">
        <v>46744924</v>
      </c>
      <c r="E196" s="71" t="s">
        <v>618</v>
      </c>
      <c r="F196" s="72"/>
      <c r="G196" s="71"/>
      <c r="H196" s="73"/>
      <c r="I196" s="516">
        <v>47463415</v>
      </c>
      <c r="J196" s="74">
        <v>34693412</v>
      </c>
      <c r="K196" s="74">
        <v>29759657</v>
      </c>
      <c r="L196" s="74">
        <v>4933755</v>
      </c>
      <c r="M196" s="74">
        <v>20000</v>
      </c>
      <c r="N196" s="74">
        <v>10000</v>
      </c>
      <c r="O196" s="74">
        <v>10000</v>
      </c>
      <c r="P196" s="74">
        <v>11733133</v>
      </c>
      <c r="Q196" s="74">
        <v>346933</v>
      </c>
      <c r="R196" s="74">
        <v>669937</v>
      </c>
      <c r="S196" s="75">
        <v>59.103200000000001</v>
      </c>
      <c r="T196" s="75">
        <v>44.045300000000005</v>
      </c>
      <c r="U196" s="653">
        <v>15.057900000000002</v>
      </c>
      <c r="V196" s="516">
        <f t="shared" ref="V196:BX196" si="313">SUM(V190:V195)</f>
        <v>2000</v>
      </c>
      <c r="W196" s="74">
        <f t="shared" si="313"/>
        <v>-2000</v>
      </c>
      <c r="X196" s="74">
        <f t="shared" si="313"/>
        <v>0</v>
      </c>
      <c r="Y196" s="74">
        <f t="shared" si="313"/>
        <v>0</v>
      </c>
      <c r="Z196" s="74">
        <f t="shared" si="313"/>
        <v>0</v>
      </c>
      <c r="AA196" s="74">
        <f t="shared" si="313"/>
        <v>-7557</v>
      </c>
      <c r="AB196" s="74">
        <f t="shared" si="313"/>
        <v>0</v>
      </c>
      <c r="AC196" s="74">
        <f t="shared" si="313"/>
        <v>0</v>
      </c>
      <c r="AD196" s="74">
        <f t="shared" si="313"/>
        <v>0</v>
      </c>
      <c r="AE196" s="74">
        <f t="shared" si="313"/>
        <v>2000</v>
      </c>
      <c r="AF196" s="74">
        <f t="shared" si="313"/>
        <v>-9557</v>
      </c>
      <c r="AG196" s="74">
        <f t="shared" si="313"/>
        <v>-7557</v>
      </c>
      <c r="AH196" s="74">
        <f t="shared" si="313"/>
        <v>-2000</v>
      </c>
      <c r="AI196" s="74">
        <f t="shared" si="313"/>
        <v>2000</v>
      </c>
      <c r="AJ196" s="74">
        <f t="shared" si="313"/>
        <v>0</v>
      </c>
      <c r="AK196" s="74">
        <f t="shared" si="313"/>
        <v>0</v>
      </c>
      <c r="AL196" s="74">
        <f t="shared" si="313"/>
        <v>0</v>
      </c>
      <c r="AM196" s="74">
        <f t="shared" si="313"/>
        <v>-2000</v>
      </c>
      <c r="AN196" s="74">
        <f t="shared" si="313"/>
        <v>2000</v>
      </c>
      <c r="AO196" s="74">
        <f t="shared" si="313"/>
        <v>0</v>
      </c>
      <c r="AP196" s="74">
        <f t="shared" si="313"/>
        <v>0</v>
      </c>
      <c r="AQ196" s="74">
        <f t="shared" si="313"/>
        <v>-7557</v>
      </c>
      <c r="AR196" s="74">
        <f t="shared" si="313"/>
        <v>-7557</v>
      </c>
      <c r="AS196" s="74">
        <f t="shared" si="313"/>
        <v>-2554</v>
      </c>
      <c r="AT196" s="74">
        <f t="shared" si="313"/>
        <v>-76</v>
      </c>
      <c r="AU196" s="74">
        <f t="shared" si="313"/>
        <v>0</v>
      </c>
      <c r="AV196" s="74">
        <f t="shared" si="313"/>
        <v>0</v>
      </c>
      <c r="AW196" s="74">
        <f t="shared" si="313"/>
        <v>0</v>
      </c>
      <c r="AX196" s="74">
        <f t="shared" si="313"/>
        <v>0</v>
      </c>
      <c r="AY196" s="74">
        <f t="shared" si="313"/>
        <v>-10187</v>
      </c>
      <c r="AZ196" s="75">
        <f t="shared" si="313"/>
        <v>0</v>
      </c>
      <c r="BA196" s="75">
        <f t="shared" si="313"/>
        <v>-0.02</v>
      </c>
      <c r="BB196" s="75">
        <f t="shared" si="313"/>
        <v>0</v>
      </c>
      <c r="BC196" s="75">
        <f t="shared" si="313"/>
        <v>0</v>
      </c>
      <c r="BD196" s="75">
        <f t="shared" si="313"/>
        <v>-0.02</v>
      </c>
      <c r="BE196" s="75">
        <f t="shared" si="313"/>
        <v>0</v>
      </c>
      <c r="BF196" s="75">
        <f t="shared" si="313"/>
        <v>0</v>
      </c>
      <c r="BG196" s="75">
        <f t="shared" si="313"/>
        <v>0</v>
      </c>
      <c r="BH196" s="75">
        <f t="shared" si="313"/>
        <v>0</v>
      </c>
      <c r="BI196" s="75">
        <f t="shared" si="313"/>
        <v>0</v>
      </c>
      <c r="BJ196" s="75">
        <f t="shared" si="313"/>
        <v>-0.04</v>
      </c>
      <c r="BK196" s="76">
        <f t="shared" si="313"/>
        <v>-0.04</v>
      </c>
      <c r="BL196" s="781">
        <f t="shared" si="313"/>
        <v>47453228</v>
      </c>
      <c r="BM196" s="74">
        <f t="shared" si="313"/>
        <v>34685855</v>
      </c>
      <c r="BN196" s="74">
        <f t="shared" si="313"/>
        <v>29761657</v>
      </c>
      <c r="BO196" s="74">
        <f t="shared" si="313"/>
        <v>4924198</v>
      </c>
      <c r="BP196" s="74">
        <f t="shared" si="313"/>
        <v>20000</v>
      </c>
      <c r="BQ196" s="74">
        <f t="shared" si="313"/>
        <v>8000</v>
      </c>
      <c r="BR196" s="74">
        <f t="shared" si="313"/>
        <v>12000</v>
      </c>
      <c r="BS196" s="74">
        <f t="shared" si="313"/>
        <v>11730579</v>
      </c>
      <c r="BT196" s="74">
        <f t="shared" si="313"/>
        <v>346857</v>
      </c>
      <c r="BU196" s="74">
        <f t="shared" si="313"/>
        <v>669937</v>
      </c>
      <c r="BV196" s="75">
        <f t="shared" si="313"/>
        <v>59.063199999999995</v>
      </c>
      <c r="BW196" s="75">
        <f t="shared" si="313"/>
        <v>44.045300000000005</v>
      </c>
      <c r="BX196" s="76">
        <f t="shared" si="313"/>
        <v>15.017900000000003</v>
      </c>
      <c r="BY196" s="791">
        <f t="shared" ref="BY196:CJ196" si="314">SUM(BY190:BY195)</f>
        <v>836299</v>
      </c>
      <c r="BZ196" s="679">
        <f t="shared" si="314"/>
        <v>620400</v>
      </c>
      <c r="CA196" s="679">
        <f t="shared" si="314"/>
        <v>0</v>
      </c>
      <c r="CB196" s="679">
        <f t="shared" si="314"/>
        <v>209695</v>
      </c>
      <c r="CC196" s="679">
        <f t="shared" si="314"/>
        <v>6204</v>
      </c>
      <c r="CD196" s="947">
        <f t="shared" si="314"/>
        <v>1.1000000000000001</v>
      </c>
      <c r="CE196" s="956">
        <f t="shared" si="314"/>
        <v>1177982</v>
      </c>
      <c r="CF196" s="953">
        <f t="shared" si="314"/>
        <v>765917</v>
      </c>
      <c r="CG196" s="953">
        <f t="shared" si="314"/>
        <v>258880</v>
      </c>
      <c r="CH196" s="953">
        <f t="shared" si="314"/>
        <v>7659</v>
      </c>
      <c r="CI196" s="953">
        <f t="shared" si="314"/>
        <v>145526</v>
      </c>
      <c r="CJ196" s="877">
        <f t="shared" si="314"/>
        <v>2.3162000000000003</v>
      </c>
    </row>
    <row r="197" spans="1:88" ht="14.1" customHeight="1">
      <c r="A197" s="66">
        <v>42</v>
      </c>
      <c r="B197" s="63">
        <v>2482</v>
      </c>
      <c r="C197" s="64">
        <v>600079945</v>
      </c>
      <c r="D197" s="63">
        <v>72741716</v>
      </c>
      <c r="E197" s="65" t="s">
        <v>619</v>
      </c>
      <c r="F197" s="66">
        <v>3113</v>
      </c>
      <c r="G197" s="65" t="s">
        <v>293</v>
      </c>
      <c r="H197" s="67" t="s">
        <v>271</v>
      </c>
      <c r="I197" s="419">
        <v>17721362</v>
      </c>
      <c r="J197" s="414">
        <v>12871926</v>
      </c>
      <c r="K197" s="414">
        <v>11544539</v>
      </c>
      <c r="L197" s="414">
        <v>1327387</v>
      </c>
      <c r="M197" s="414">
        <v>60000</v>
      </c>
      <c r="N197" s="414">
        <v>20000</v>
      </c>
      <c r="O197" s="414">
        <v>40000</v>
      </c>
      <c r="P197" s="595">
        <v>4370991</v>
      </c>
      <c r="Q197" s="595">
        <v>128720</v>
      </c>
      <c r="R197" s="414">
        <v>289725</v>
      </c>
      <c r="S197" s="415">
        <v>19.845499999999998</v>
      </c>
      <c r="T197" s="415">
        <v>15.969700000000001</v>
      </c>
      <c r="U197" s="422">
        <v>3.8757999999999999</v>
      </c>
      <c r="V197" s="423">
        <f t="shared" si="232"/>
        <v>0</v>
      </c>
      <c r="W197" s="417">
        <f t="shared" si="233"/>
        <v>-70000</v>
      </c>
      <c r="X197" s="417">
        <v>0</v>
      </c>
      <c r="Y197" s="417">
        <v>0</v>
      </c>
      <c r="Z197" s="417">
        <v>0</v>
      </c>
      <c r="AA197" s="417">
        <v>0</v>
      </c>
      <c r="AB197" s="417">
        <v>0</v>
      </c>
      <c r="AC197" s="417">
        <v>0</v>
      </c>
      <c r="AD197" s="417">
        <v>0</v>
      </c>
      <c r="AE197" s="417">
        <f t="shared" si="234"/>
        <v>0</v>
      </c>
      <c r="AF197" s="417">
        <f t="shared" si="235"/>
        <v>-70000</v>
      </c>
      <c r="AG197" s="417">
        <f t="shared" si="236"/>
        <v>-70000</v>
      </c>
      <c r="AH197" s="417">
        <v>0</v>
      </c>
      <c r="AI197" s="417">
        <v>70000</v>
      </c>
      <c r="AJ197" s="417">
        <v>0</v>
      </c>
      <c r="AK197" s="417">
        <v>0</v>
      </c>
      <c r="AL197" s="417">
        <v>0</v>
      </c>
      <c r="AM197" s="417">
        <f t="shared" si="237"/>
        <v>0</v>
      </c>
      <c r="AN197" s="417">
        <f t="shared" si="238"/>
        <v>70000</v>
      </c>
      <c r="AO197" s="417">
        <f t="shared" si="239"/>
        <v>70000</v>
      </c>
      <c r="AP197" s="417">
        <f t="shared" si="240"/>
        <v>0</v>
      </c>
      <c r="AQ197" s="417">
        <f t="shared" si="241"/>
        <v>0</v>
      </c>
      <c r="AR197" s="417">
        <f t="shared" si="242"/>
        <v>0</v>
      </c>
      <c r="AS197" s="68">
        <f t="shared" si="243"/>
        <v>0</v>
      </c>
      <c r="AT197" s="68">
        <f t="shared" si="244"/>
        <v>-700</v>
      </c>
      <c r="AU197" s="417">
        <v>0</v>
      </c>
      <c r="AV197" s="417">
        <v>0</v>
      </c>
      <c r="AW197" s="417">
        <v>0</v>
      </c>
      <c r="AX197" s="417">
        <f t="shared" si="245"/>
        <v>0</v>
      </c>
      <c r="AY197" s="417">
        <f t="shared" si="246"/>
        <v>-700</v>
      </c>
      <c r="AZ197" s="418">
        <v>0</v>
      </c>
      <c r="BA197" s="418">
        <v>-0.21</v>
      </c>
      <c r="BB197" s="418">
        <v>0</v>
      </c>
      <c r="BC197" s="418">
        <v>0</v>
      </c>
      <c r="BD197" s="418">
        <v>0</v>
      </c>
      <c r="BE197" s="418">
        <v>0</v>
      </c>
      <c r="BF197" s="418">
        <v>0</v>
      </c>
      <c r="BG197" s="418">
        <v>0</v>
      </c>
      <c r="BH197" s="418">
        <v>0</v>
      </c>
      <c r="BI197" s="418">
        <f t="shared" si="247"/>
        <v>0</v>
      </c>
      <c r="BJ197" s="418">
        <f t="shared" si="248"/>
        <v>-0.21</v>
      </c>
      <c r="BK197" s="420">
        <f t="shared" si="249"/>
        <v>-0.21</v>
      </c>
      <c r="BL197" s="772">
        <f>I197+AY197</f>
        <v>17720662</v>
      </c>
      <c r="BM197" s="417">
        <f>J197+AG197</f>
        <v>12801926</v>
      </c>
      <c r="BN197" s="417">
        <f t="shared" ref="BN197:BO201" si="315">K197+AE197</f>
        <v>11544539</v>
      </c>
      <c r="BO197" s="417">
        <f t="shared" si="315"/>
        <v>1257387</v>
      </c>
      <c r="BP197" s="417">
        <f>M197+AO197</f>
        <v>130000</v>
      </c>
      <c r="BQ197" s="417">
        <f t="shared" ref="BQ197:BR201" si="316">N197+AM197</f>
        <v>20000</v>
      </c>
      <c r="BR197" s="417">
        <f t="shared" si="316"/>
        <v>110000</v>
      </c>
      <c r="BS197" s="417">
        <f t="shared" ref="BS197:BT201" si="317">P197+AS197</f>
        <v>4370991</v>
      </c>
      <c r="BT197" s="417">
        <f t="shared" si="317"/>
        <v>128020</v>
      </c>
      <c r="BU197" s="417">
        <f>R197+AX197</f>
        <v>289725</v>
      </c>
      <c r="BV197" s="418">
        <f>S197+BK197</f>
        <v>19.635499999999997</v>
      </c>
      <c r="BW197" s="418">
        <f t="shared" ref="BW197:BX201" si="318">T197+BI197</f>
        <v>15.969700000000001</v>
      </c>
      <c r="BX197" s="420">
        <f t="shared" si="318"/>
        <v>3.6657999999999999</v>
      </c>
      <c r="BY197" s="419">
        <v>380136</v>
      </c>
      <c r="BZ197" s="414">
        <v>282000</v>
      </c>
      <c r="CA197" s="414">
        <v>0</v>
      </c>
      <c r="CB197" s="414">
        <v>95316</v>
      </c>
      <c r="CC197" s="414">
        <v>2820</v>
      </c>
      <c r="CD197" s="422">
        <v>0.5</v>
      </c>
      <c r="CE197" s="419">
        <f t="shared" si="254"/>
        <v>658043</v>
      </c>
      <c r="CF197" s="414">
        <v>438858</v>
      </c>
      <c r="CG197" s="414">
        <v>148334</v>
      </c>
      <c r="CH197" s="414">
        <v>4389</v>
      </c>
      <c r="CI197" s="414">
        <v>66462</v>
      </c>
      <c r="CJ197" s="509">
        <v>1.2825</v>
      </c>
    </row>
    <row r="198" spans="1:88" ht="14.1" customHeight="1">
      <c r="A198" s="66">
        <v>42</v>
      </c>
      <c r="B198" s="63">
        <v>2482</v>
      </c>
      <c r="C198" s="64">
        <v>600079945</v>
      </c>
      <c r="D198" s="63">
        <v>72741716</v>
      </c>
      <c r="E198" s="65" t="s">
        <v>619</v>
      </c>
      <c r="F198" s="66">
        <v>3113</v>
      </c>
      <c r="G198" s="77" t="s">
        <v>291</v>
      </c>
      <c r="H198" s="67" t="s">
        <v>272</v>
      </c>
      <c r="I198" s="419">
        <v>2612891</v>
      </c>
      <c r="J198" s="414">
        <v>1926477</v>
      </c>
      <c r="K198" s="414">
        <v>1926477</v>
      </c>
      <c r="L198" s="414">
        <v>0</v>
      </c>
      <c r="M198" s="414">
        <v>0</v>
      </c>
      <c r="N198" s="414">
        <v>0</v>
      </c>
      <c r="O198" s="414">
        <v>0</v>
      </c>
      <c r="P198" s="595">
        <v>651149</v>
      </c>
      <c r="Q198" s="595">
        <v>19265</v>
      </c>
      <c r="R198" s="414">
        <v>16000</v>
      </c>
      <c r="S198" s="415">
        <v>5.03</v>
      </c>
      <c r="T198" s="416">
        <v>5.03</v>
      </c>
      <c r="U198" s="422">
        <v>0</v>
      </c>
      <c r="V198" s="423">
        <f t="shared" si="232"/>
        <v>0</v>
      </c>
      <c r="W198" s="417">
        <f t="shared" si="233"/>
        <v>0</v>
      </c>
      <c r="X198" s="417">
        <f>6189+46350</f>
        <v>52539</v>
      </c>
      <c r="Y198" s="417">
        <v>0</v>
      </c>
      <c r="Z198" s="417">
        <v>0</v>
      </c>
      <c r="AA198" s="417">
        <v>0</v>
      </c>
      <c r="AB198" s="417">
        <v>0</v>
      </c>
      <c r="AC198" s="417">
        <v>0</v>
      </c>
      <c r="AD198" s="417">
        <v>0</v>
      </c>
      <c r="AE198" s="417">
        <f t="shared" si="234"/>
        <v>52539</v>
      </c>
      <c r="AF198" s="417">
        <f t="shared" si="235"/>
        <v>0</v>
      </c>
      <c r="AG198" s="417">
        <f t="shared" si="236"/>
        <v>52539</v>
      </c>
      <c r="AH198" s="417">
        <v>0</v>
      </c>
      <c r="AI198" s="417">
        <v>0</v>
      </c>
      <c r="AJ198" s="417">
        <v>0</v>
      </c>
      <c r="AK198" s="417">
        <v>0</v>
      </c>
      <c r="AL198" s="417">
        <v>0</v>
      </c>
      <c r="AM198" s="417">
        <f t="shared" si="237"/>
        <v>0</v>
      </c>
      <c r="AN198" s="417">
        <f t="shared" si="238"/>
        <v>0</v>
      </c>
      <c r="AO198" s="417">
        <f t="shared" si="239"/>
        <v>0</v>
      </c>
      <c r="AP198" s="417">
        <f t="shared" si="240"/>
        <v>52539</v>
      </c>
      <c r="AQ198" s="417">
        <f t="shared" si="241"/>
        <v>0</v>
      </c>
      <c r="AR198" s="417">
        <f t="shared" si="242"/>
        <v>52539</v>
      </c>
      <c r="AS198" s="68">
        <f t="shared" si="243"/>
        <v>17758</v>
      </c>
      <c r="AT198" s="68">
        <f t="shared" si="244"/>
        <v>525</v>
      </c>
      <c r="AU198" s="417">
        <v>0</v>
      </c>
      <c r="AV198" s="417">
        <v>0</v>
      </c>
      <c r="AW198" s="417">
        <v>0</v>
      </c>
      <c r="AX198" s="417">
        <f t="shared" si="245"/>
        <v>0</v>
      </c>
      <c r="AY198" s="417">
        <f t="shared" si="246"/>
        <v>70822</v>
      </c>
      <c r="AZ198" s="418">
        <v>0</v>
      </c>
      <c r="BA198" s="418">
        <v>0</v>
      </c>
      <c r="BB198" s="418">
        <f>0.01+0.13</f>
        <v>0.14000000000000001</v>
      </c>
      <c r="BC198" s="418">
        <v>0</v>
      </c>
      <c r="BD198" s="418">
        <v>0</v>
      </c>
      <c r="BE198" s="418">
        <v>0</v>
      </c>
      <c r="BF198" s="418">
        <v>0</v>
      </c>
      <c r="BG198" s="418">
        <v>0</v>
      </c>
      <c r="BH198" s="418">
        <v>0</v>
      </c>
      <c r="BI198" s="418">
        <f t="shared" si="247"/>
        <v>0.14000000000000001</v>
      </c>
      <c r="BJ198" s="418">
        <f t="shared" si="248"/>
        <v>0</v>
      </c>
      <c r="BK198" s="420">
        <f t="shared" si="249"/>
        <v>0.14000000000000001</v>
      </c>
      <c r="BL198" s="772">
        <f>I198+AY198</f>
        <v>2683713</v>
      </c>
      <c r="BM198" s="417">
        <f>J198+AG198</f>
        <v>1979016</v>
      </c>
      <c r="BN198" s="417">
        <f t="shared" si="315"/>
        <v>1979016</v>
      </c>
      <c r="BO198" s="417">
        <f t="shared" si="315"/>
        <v>0</v>
      </c>
      <c r="BP198" s="417">
        <f>M198+AO198</f>
        <v>0</v>
      </c>
      <c r="BQ198" s="417">
        <f t="shared" si="316"/>
        <v>0</v>
      </c>
      <c r="BR198" s="417">
        <f t="shared" si="316"/>
        <v>0</v>
      </c>
      <c r="BS198" s="417">
        <f t="shared" si="317"/>
        <v>668907</v>
      </c>
      <c r="BT198" s="417">
        <f t="shared" si="317"/>
        <v>19790</v>
      </c>
      <c r="BU198" s="417">
        <f>R198+AX198</f>
        <v>16000</v>
      </c>
      <c r="BV198" s="418">
        <f>S198+BK198</f>
        <v>5.17</v>
      </c>
      <c r="BW198" s="418">
        <f t="shared" si="318"/>
        <v>5.17</v>
      </c>
      <c r="BX198" s="420">
        <f t="shared" si="318"/>
        <v>0</v>
      </c>
      <c r="BY198" s="419"/>
      <c r="BZ198" s="414"/>
      <c r="CA198" s="414"/>
      <c r="CB198" s="414"/>
      <c r="CC198" s="414"/>
      <c r="CD198" s="422"/>
      <c r="CE198" s="419">
        <f t="shared" si="254"/>
        <v>0</v>
      </c>
      <c r="CF198" s="414">
        <v>0</v>
      </c>
      <c r="CG198" s="414">
        <v>0</v>
      </c>
      <c r="CH198" s="414">
        <v>0</v>
      </c>
      <c r="CI198" s="414">
        <v>0</v>
      </c>
      <c r="CJ198" s="509">
        <v>0</v>
      </c>
    </row>
    <row r="199" spans="1:88" ht="13.5" customHeight="1">
      <c r="A199" s="66">
        <v>42</v>
      </c>
      <c r="B199" s="63">
        <v>2482</v>
      </c>
      <c r="C199" s="64">
        <v>600079945</v>
      </c>
      <c r="D199" s="63">
        <v>72741716</v>
      </c>
      <c r="E199" s="65" t="s">
        <v>619</v>
      </c>
      <c r="F199" s="66">
        <v>3141</v>
      </c>
      <c r="G199" s="65" t="s">
        <v>294</v>
      </c>
      <c r="H199" s="67" t="s">
        <v>272</v>
      </c>
      <c r="I199" s="419">
        <v>1639916</v>
      </c>
      <c r="J199" s="414">
        <v>1208145</v>
      </c>
      <c r="K199" s="414">
        <v>0</v>
      </c>
      <c r="L199" s="744">
        <v>1208145</v>
      </c>
      <c r="M199" s="414">
        <v>0</v>
      </c>
      <c r="N199" s="204">
        <v>0</v>
      </c>
      <c r="O199" s="204">
        <v>0</v>
      </c>
      <c r="P199" s="595">
        <v>408353</v>
      </c>
      <c r="Q199" s="595">
        <v>12082</v>
      </c>
      <c r="R199" s="601">
        <v>11336</v>
      </c>
      <c r="S199" s="415">
        <v>3.6233</v>
      </c>
      <c r="T199" s="603">
        <v>0</v>
      </c>
      <c r="U199" s="731">
        <v>3.6233</v>
      </c>
      <c r="V199" s="423">
        <f t="shared" si="232"/>
        <v>0</v>
      </c>
      <c r="W199" s="417">
        <f t="shared" si="233"/>
        <v>0</v>
      </c>
      <c r="X199" s="417">
        <v>0</v>
      </c>
      <c r="Y199" s="417">
        <v>0</v>
      </c>
      <c r="Z199" s="417">
        <v>0</v>
      </c>
      <c r="AA199" s="417">
        <v>-16141</v>
      </c>
      <c r="AB199" s="417">
        <v>0</v>
      </c>
      <c r="AC199" s="417">
        <v>0</v>
      </c>
      <c r="AD199" s="417">
        <v>0</v>
      </c>
      <c r="AE199" s="417">
        <f t="shared" si="234"/>
        <v>0</v>
      </c>
      <c r="AF199" s="417">
        <f t="shared" si="235"/>
        <v>-16141</v>
      </c>
      <c r="AG199" s="417">
        <f t="shared" si="236"/>
        <v>-16141</v>
      </c>
      <c r="AH199" s="417">
        <v>0</v>
      </c>
      <c r="AI199" s="417">
        <v>0</v>
      </c>
      <c r="AJ199" s="417">
        <v>0</v>
      </c>
      <c r="AK199" s="417">
        <v>0</v>
      </c>
      <c r="AL199" s="417">
        <v>0</v>
      </c>
      <c r="AM199" s="417">
        <f t="shared" si="237"/>
        <v>0</v>
      </c>
      <c r="AN199" s="417">
        <f t="shared" si="238"/>
        <v>0</v>
      </c>
      <c r="AO199" s="417">
        <f t="shared" si="239"/>
        <v>0</v>
      </c>
      <c r="AP199" s="417">
        <f t="shared" si="240"/>
        <v>0</v>
      </c>
      <c r="AQ199" s="417">
        <f t="shared" si="241"/>
        <v>-16141</v>
      </c>
      <c r="AR199" s="417">
        <f t="shared" si="242"/>
        <v>-16141</v>
      </c>
      <c r="AS199" s="68">
        <f t="shared" si="243"/>
        <v>-5456</v>
      </c>
      <c r="AT199" s="68">
        <f t="shared" si="244"/>
        <v>-161</v>
      </c>
      <c r="AU199" s="417">
        <v>0</v>
      </c>
      <c r="AV199" s="417">
        <v>0</v>
      </c>
      <c r="AW199" s="417">
        <v>0</v>
      </c>
      <c r="AX199" s="417">
        <f t="shared" si="245"/>
        <v>0</v>
      </c>
      <c r="AY199" s="417">
        <f t="shared" si="246"/>
        <v>-21758</v>
      </c>
      <c r="AZ199" s="418">
        <v>0</v>
      </c>
      <c r="BA199" s="418">
        <v>0</v>
      </c>
      <c r="BB199" s="418">
        <v>0</v>
      </c>
      <c r="BC199" s="418">
        <v>0</v>
      </c>
      <c r="BD199" s="418">
        <v>-0.05</v>
      </c>
      <c r="BE199" s="418">
        <v>0</v>
      </c>
      <c r="BF199" s="418">
        <v>0</v>
      </c>
      <c r="BG199" s="418">
        <v>0</v>
      </c>
      <c r="BH199" s="418">
        <v>0</v>
      </c>
      <c r="BI199" s="418">
        <f t="shared" si="247"/>
        <v>0</v>
      </c>
      <c r="BJ199" s="418">
        <f t="shared" si="248"/>
        <v>-0.05</v>
      </c>
      <c r="BK199" s="420">
        <f t="shared" si="249"/>
        <v>-0.05</v>
      </c>
      <c r="BL199" s="772">
        <f>I199+AY199</f>
        <v>1618158</v>
      </c>
      <c r="BM199" s="417">
        <f>J199+AG199</f>
        <v>1192004</v>
      </c>
      <c r="BN199" s="417">
        <f t="shared" si="315"/>
        <v>0</v>
      </c>
      <c r="BO199" s="417">
        <f t="shared" si="315"/>
        <v>1192004</v>
      </c>
      <c r="BP199" s="417">
        <f>M199+AO199</f>
        <v>0</v>
      </c>
      <c r="BQ199" s="417">
        <f t="shared" si="316"/>
        <v>0</v>
      </c>
      <c r="BR199" s="417">
        <f t="shared" si="316"/>
        <v>0</v>
      </c>
      <c r="BS199" s="417">
        <f t="shared" si="317"/>
        <v>402897</v>
      </c>
      <c r="BT199" s="417">
        <f t="shared" si="317"/>
        <v>11921</v>
      </c>
      <c r="BU199" s="417">
        <f>R199+AX199</f>
        <v>11336</v>
      </c>
      <c r="BV199" s="418">
        <f>S199+BK199</f>
        <v>3.5733000000000001</v>
      </c>
      <c r="BW199" s="418">
        <f t="shared" si="318"/>
        <v>0</v>
      </c>
      <c r="BX199" s="420">
        <f t="shared" si="318"/>
        <v>3.5733000000000001</v>
      </c>
      <c r="BY199" s="419"/>
      <c r="BZ199" s="414"/>
      <c r="CA199" s="414"/>
      <c r="CB199" s="414"/>
      <c r="CC199" s="414"/>
      <c r="CD199" s="422"/>
      <c r="CE199" s="419">
        <f t="shared" si="254"/>
        <v>0</v>
      </c>
      <c r="CF199" s="414">
        <v>0</v>
      </c>
      <c r="CG199" s="414">
        <v>0</v>
      </c>
      <c r="CH199" s="414">
        <v>0</v>
      </c>
      <c r="CI199" s="414">
        <v>0</v>
      </c>
      <c r="CJ199" s="509">
        <v>0</v>
      </c>
    </row>
    <row r="200" spans="1:88" ht="14.1" customHeight="1">
      <c r="A200" s="66">
        <v>42</v>
      </c>
      <c r="B200" s="63">
        <v>2482</v>
      </c>
      <c r="C200" s="64">
        <v>600079945</v>
      </c>
      <c r="D200" s="63">
        <v>72741716</v>
      </c>
      <c r="E200" s="65" t="s">
        <v>619</v>
      </c>
      <c r="F200" s="66">
        <v>3143</v>
      </c>
      <c r="G200" s="77" t="s">
        <v>595</v>
      </c>
      <c r="H200" s="67" t="s">
        <v>271</v>
      </c>
      <c r="I200" s="419">
        <v>1663307</v>
      </c>
      <c r="J200" s="414">
        <v>1233907</v>
      </c>
      <c r="K200" s="414">
        <v>1233907</v>
      </c>
      <c r="L200" s="414">
        <v>0</v>
      </c>
      <c r="M200" s="414">
        <v>0</v>
      </c>
      <c r="N200" s="414">
        <v>0</v>
      </c>
      <c r="O200" s="414">
        <v>0</v>
      </c>
      <c r="P200" s="595">
        <v>417061</v>
      </c>
      <c r="Q200" s="595">
        <v>12339</v>
      </c>
      <c r="R200" s="414">
        <v>0</v>
      </c>
      <c r="S200" s="415">
        <v>2.4464000000000001</v>
      </c>
      <c r="T200" s="415">
        <v>2.4464000000000001</v>
      </c>
      <c r="U200" s="422">
        <v>0</v>
      </c>
      <c r="V200" s="423">
        <f t="shared" si="232"/>
        <v>0</v>
      </c>
      <c r="W200" s="417">
        <f t="shared" si="233"/>
        <v>0</v>
      </c>
      <c r="X200" s="417">
        <v>0</v>
      </c>
      <c r="Y200" s="417">
        <v>0</v>
      </c>
      <c r="Z200" s="417">
        <v>0</v>
      </c>
      <c r="AA200" s="417">
        <v>0</v>
      </c>
      <c r="AB200" s="417">
        <v>0</v>
      </c>
      <c r="AC200" s="417">
        <v>0</v>
      </c>
      <c r="AD200" s="417">
        <v>0</v>
      </c>
      <c r="AE200" s="417">
        <f t="shared" si="234"/>
        <v>0</v>
      </c>
      <c r="AF200" s="417">
        <f t="shared" si="235"/>
        <v>0</v>
      </c>
      <c r="AG200" s="417">
        <f t="shared" si="236"/>
        <v>0</v>
      </c>
      <c r="AH200" s="417">
        <v>0</v>
      </c>
      <c r="AI200" s="417">
        <v>0</v>
      </c>
      <c r="AJ200" s="417">
        <v>0</v>
      </c>
      <c r="AK200" s="417">
        <v>0</v>
      </c>
      <c r="AL200" s="417">
        <v>0</v>
      </c>
      <c r="AM200" s="417">
        <f t="shared" si="237"/>
        <v>0</v>
      </c>
      <c r="AN200" s="417">
        <f t="shared" si="238"/>
        <v>0</v>
      </c>
      <c r="AO200" s="417">
        <f t="shared" si="239"/>
        <v>0</v>
      </c>
      <c r="AP200" s="417">
        <f t="shared" si="240"/>
        <v>0</v>
      </c>
      <c r="AQ200" s="417">
        <f t="shared" si="241"/>
        <v>0</v>
      </c>
      <c r="AR200" s="417">
        <f t="shared" si="242"/>
        <v>0</v>
      </c>
      <c r="AS200" s="68">
        <f t="shared" si="243"/>
        <v>0</v>
      </c>
      <c r="AT200" s="68">
        <f t="shared" si="244"/>
        <v>0</v>
      </c>
      <c r="AU200" s="417">
        <v>0</v>
      </c>
      <c r="AV200" s="417">
        <v>0</v>
      </c>
      <c r="AW200" s="417">
        <v>0</v>
      </c>
      <c r="AX200" s="417">
        <f t="shared" si="245"/>
        <v>0</v>
      </c>
      <c r="AY200" s="417">
        <f t="shared" si="246"/>
        <v>0</v>
      </c>
      <c r="AZ200" s="418">
        <v>0</v>
      </c>
      <c r="BA200" s="418">
        <v>0</v>
      </c>
      <c r="BB200" s="418">
        <v>0</v>
      </c>
      <c r="BC200" s="418">
        <v>0</v>
      </c>
      <c r="BD200" s="418">
        <v>0</v>
      </c>
      <c r="BE200" s="418">
        <v>0</v>
      </c>
      <c r="BF200" s="418">
        <v>0</v>
      </c>
      <c r="BG200" s="418">
        <v>0</v>
      </c>
      <c r="BH200" s="418">
        <v>0</v>
      </c>
      <c r="BI200" s="418">
        <f t="shared" si="247"/>
        <v>0</v>
      </c>
      <c r="BJ200" s="418">
        <f t="shared" si="248"/>
        <v>0</v>
      </c>
      <c r="BK200" s="420">
        <f t="shared" si="249"/>
        <v>0</v>
      </c>
      <c r="BL200" s="772">
        <f>I200+AY200</f>
        <v>1663307</v>
      </c>
      <c r="BM200" s="417">
        <f>J200+AG200</f>
        <v>1233907</v>
      </c>
      <c r="BN200" s="417">
        <f t="shared" si="315"/>
        <v>1233907</v>
      </c>
      <c r="BO200" s="417">
        <f t="shared" si="315"/>
        <v>0</v>
      </c>
      <c r="BP200" s="417">
        <f>M200+AO200</f>
        <v>0</v>
      </c>
      <c r="BQ200" s="417">
        <f t="shared" si="316"/>
        <v>0</v>
      </c>
      <c r="BR200" s="417">
        <f t="shared" si="316"/>
        <v>0</v>
      </c>
      <c r="BS200" s="417">
        <f t="shared" si="317"/>
        <v>417061</v>
      </c>
      <c r="BT200" s="417">
        <f t="shared" si="317"/>
        <v>12339</v>
      </c>
      <c r="BU200" s="417">
        <f>R200+AX200</f>
        <v>0</v>
      </c>
      <c r="BV200" s="418">
        <f>S200+BK200</f>
        <v>2.4464000000000001</v>
      </c>
      <c r="BW200" s="418">
        <f t="shared" si="318"/>
        <v>2.4464000000000001</v>
      </c>
      <c r="BX200" s="420">
        <f t="shared" si="318"/>
        <v>0</v>
      </c>
      <c r="BY200" s="419"/>
      <c r="BZ200" s="414"/>
      <c r="CA200" s="414"/>
      <c r="CB200" s="414"/>
      <c r="CC200" s="414"/>
      <c r="CD200" s="422"/>
      <c r="CE200" s="419">
        <f t="shared" si="254"/>
        <v>0</v>
      </c>
      <c r="CF200" s="414">
        <v>0</v>
      </c>
      <c r="CG200" s="414">
        <v>0</v>
      </c>
      <c r="CH200" s="414">
        <v>0</v>
      </c>
      <c r="CI200" s="414">
        <v>0</v>
      </c>
      <c r="CJ200" s="509">
        <v>0</v>
      </c>
    </row>
    <row r="201" spans="1:88" ht="14.1" customHeight="1">
      <c r="A201" s="66">
        <v>42</v>
      </c>
      <c r="B201" s="63">
        <v>2482</v>
      </c>
      <c r="C201" s="64">
        <v>600079945</v>
      </c>
      <c r="D201" s="63">
        <v>72741716</v>
      </c>
      <c r="E201" s="65" t="s">
        <v>619</v>
      </c>
      <c r="F201" s="66">
        <v>3143</v>
      </c>
      <c r="G201" s="77" t="s">
        <v>596</v>
      </c>
      <c r="H201" s="67" t="s">
        <v>272</v>
      </c>
      <c r="I201" s="419">
        <v>46104</v>
      </c>
      <c r="J201" s="414">
        <v>33000</v>
      </c>
      <c r="K201" s="414">
        <v>0</v>
      </c>
      <c r="L201" s="601">
        <v>33000</v>
      </c>
      <c r="M201" s="414">
        <v>0</v>
      </c>
      <c r="N201" s="414">
        <v>0</v>
      </c>
      <c r="O201" s="414">
        <v>0</v>
      </c>
      <c r="P201" s="595">
        <v>11154</v>
      </c>
      <c r="Q201" s="595">
        <v>330</v>
      </c>
      <c r="R201" s="602">
        <v>1620</v>
      </c>
      <c r="S201" s="415">
        <v>0.12329999999999999</v>
      </c>
      <c r="T201" s="605">
        <v>0</v>
      </c>
      <c r="U201" s="731">
        <v>0.12329999999999999</v>
      </c>
      <c r="V201" s="423">
        <f t="shared" si="232"/>
        <v>0</v>
      </c>
      <c r="W201" s="417">
        <f t="shared" si="233"/>
        <v>0</v>
      </c>
      <c r="X201" s="417">
        <v>0</v>
      </c>
      <c r="Y201" s="417">
        <v>0</v>
      </c>
      <c r="Z201" s="417">
        <v>0</v>
      </c>
      <c r="AA201" s="417">
        <v>0</v>
      </c>
      <c r="AB201" s="417">
        <v>0</v>
      </c>
      <c r="AC201" s="417">
        <v>0</v>
      </c>
      <c r="AD201" s="417">
        <v>0</v>
      </c>
      <c r="AE201" s="417">
        <f t="shared" si="234"/>
        <v>0</v>
      </c>
      <c r="AF201" s="417">
        <f t="shared" si="235"/>
        <v>0</v>
      </c>
      <c r="AG201" s="417">
        <f t="shared" si="236"/>
        <v>0</v>
      </c>
      <c r="AH201" s="417">
        <v>0</v>
      </c>
      <c r="AI201" s="417">
        <v>0</v>
      </c>
      <c r="AJ201" s="417">
        <v>0</v>
      </c>
      <c r="AK201" s="417">
        <v>0</v>
      </c>
      <c r="AL201" s="417">
        <v>0</v>
      </c>
      <c r="AM201" s="417">
        <f t="shared" si="237"/>
        <v>0</v>
      </c>
      <c r="AN201" s="417">
        <f t="shared" si="238"/>
        <v>0</v>
      </c>
      <c r="AO201" s="417">
        <f t="shared" si="239"/>
        <v>0</v>
      </c>
      <c r="AP201" s="417">
        <f t="shared" si="240"/>
        <v>0</v>
      </c>
      <c r="AQ201" s="417">
        <f t="shared" si="241"/>
        <v>0</v>
      </c>
      <c r="AR201" s="417">
        <f t="shared" si="242"/>
        <v>0</v>
      </c>
      <c r="AS201" s="68">
        <f t="shared" si="243"/>
        <v>0</v>
      </c>
      <c r="AT201" s="68">
        <f t="shared" si="244"/>
        <v>0</v>
      </c>
      <c r="AU201" s="417">
        <v>0</v>
      </c>
      <c r="AV201" s="417">
        <v>0</v>
      </c>
      <c r="AW201" s="417">
        <v>0</v>
      </c>
      <c r="AX201" s="417">
        <f t="shared" si="245"/>
        <v>0</v>
      </c>
      <c r="AY201" s="417">
        <f t="shared" si="246"/>
        <v>0</v>
      </c>
      <c r="AZ201" s="418">
        <v>0</v>
      </c>
      <c r="BA201" s="418">
        <v>0</v>
      </c>
      <c r="BB201" s="418">
        <v>0</v>
      </c>
      <c r="BC201" s="418">
        <v>0</v>
      </c>
      <c r="BD201" s="418">
        <v>0</v>
      </c>
      <c r="BE201" s="418">
        <v>0</v>
      </c>
      <c r="BF201" s="418">
        <v>0</v>
      </c>
      <c r="BG201" s="418">
        <v>0</v>
      </c>
      <c r="BH201" s="418">
        <v>0</v>
      </c>
      <c r="BI201" s="418">
        <f t="shared" si="247"/>
        <v>0</v>
      </c>
      <c r="BJ201" s="418">
        <f t="shared" si="248"/>
        <v>0</v>
      </c>
      <c r="BK201" s="420">
        <f t="shared" si="249"/>
        <v>0</v>
      </c>
      <c r="BL201" s="772">
        <f>I201+AY201</f>
        <v>46104</v>
      </c>
      <c r="BM201" s="417">
        <f>J201+AG201</f>
        <v>33000</v>
      </c>
      <c r="BN201" s="417">
        <f t="shared" si="315"/>
        <v>0</v>
      </c>
      <c r="BO201" s="417">
        <f t="shared" si="315"/>
        <v>33000</v>
      </c>
      <c r="BP201" s="417">
        <f>M201+AO201</f>
        <v>0</v>
      </c>
      <c r="BQ201" s="417">
        <f t="shared" si="316"/>
        <v>0</v>
      </c>
      <c r="BR201" s="417">
        <f t="shared" si="316"/>
        <v>0</v>
      </c>
      <c r="BS201" s="417">
        <f t="shared" si="317"/>
        <v>11154</v>
      </c>
      <c r="BT201" s="417">
        <f t="shared" si="317"/>
        <v>330</v>
      </c>
      <c r="BU201" s="417">
        <f>R201+AX201</f>
        <v>1620</v>
      </c>
      <c r="BV201" s="418">
        <f>S201+BK201</f>
        <v>0.12329999999999999</v>
      </c>
      <c r="BW201" s="418">
        <f t="shared" si="318"/>
        <v>0</v>
      </c>
      <c r="BX201" s="420">
        <f t="shared" si="318"/>
        <v>0.12329999999999999</v>
      </c>
      <c r="BY201" s="419"/>
      <c r="BZ201" s="414"/>
      <c r="CA201" s="414"/>
      <c r="CB201" s="414"/>
      <c r="CC201" s="414"/>
      <c r="CD201" s="422"/>
      <c r="CE201" s="419">
        <f t="shared" si="254"/>
        <v>0</v>
      </c>
      <c r="CF201" s="414">
        <v>0</v>
      </c>
      <c r="CG201" s="414">
        <v>0</v>
      </c>
      <c r="CH201" s="414">
        <v>0</v>
      </c>
      <c r="CI201" s="414">
        <v>0</v>
      </c>
      <c r="CJ201" s="509">
        <v>0</v>
      </c>
    </row>
    <row r="202" spans="1:88" ht="14.1" customHeight="1">
      <c r="A202" s="72">
        <v>42</v>
      </c>
      <c r="B202" s="69">
        <v>2482</v>
      </c>
      <c r="C202" s="70">
        <v>600079945</v>
      </c>
      <c r="D202" s="69">
        <v>72741716</v>
      </c>
      <c r="E202" s="71" t="s">
        <v>620</v>
      </c>
      <c r="F202" s="72"/>
      <c r="G202" s="71"/>
      <c r="H202" s="73"/>
      <c r="I202" s="516">
        <v>23683580</v>
      </c>
      <c r="J202" s="74">
        <v>17273455</v>
      </c>
      <c r="K202" s="74">
        <v>14704923</v>
      </c>
      <c r="L202" s="74">
        <v>2568532</v>
      </c>
      <c r="M202" s="74">
        <v>60000</v>
      </c>
      <c r="N202" s="74">
        <v>20000</v>
      </c>
      <c r="O202" s="74">
        <v>40000</v>
      </c>
      <c r="P202" s="74">
        <v>5858708</v>
      </c>
      <c r="Q202" s="74">
        <v>172736</v>
      </c>
      <c r="R202" s="74">
        <v>318681</v>
      </c>
      <c r="S202" s="75">
        <v>31.0685</v>
      </c>
      <c r="T202" s="75">
        <v>23.446100000000001</v>
      </c>
      <c r="U202" s="653">
        <v>7.6224000000000007</v>
      </c>
      <c r="V202" s="516">
        <f t="shared" ref="V202:BX202" si="319">SUM(V197:V201)</f>
        <v>0</v>
      </c>
      <c r="W202" s="74">
        <f t="shared" si="319"/>
        <v>-70000</v>
      </c>
      <c r="X202" s="74">
        <f t="shared" si="319"/>
        <v>52539</v>
      </c>
      <c r="Y202" s="74">
        <f t="shared" si="319"/>
        <v>0</v>
      </c>
      <c r="Z202" s="74">
        <f t="shared" si="319"/>
        <v>0</v>
      </c>
      <c r="AA202" s="74">
        <f t="shared" si="319"/>
        <v>-16141</v>
      </c>
      <c r="AB202" s="74">
        <f t="shared" si="319"/>
        <v>0</v>
      </c>
      <c r="AC202" s="74">
        <f t="shared" si="319"/>
        <v>0</v>
      </c>
      <c r="AD202" s="74">
        <f t="shared" si="319"/>
        <v>0</v>
      </c>
      <c r="AE202" s="74">
        <f t="shared" si="319"/>
        <v>52539</v>
      </c>
      <c r="AF202" s="74">
        <f t="shared" si="319"/>
        <v>-86141</v>
      </c>
      <c r="AG202" s="74">
        <f t="shared" si="319"/>
        <v>-33602</v>
      </c>
      <c r="AH202" s="74">
        <f t="shared" si="319"/>
        <v>0</v>
      </c>
      <c r="AI202" s="74">
        <f t="shared" si="319"/>
        <v>70000</v>
      </c>
      <c r="AJ202" s="74">
        <f t="shared" si="319"/>
        <v>0</v>
      </c>
      <c r="AK202" s="74">
        <f t="shared" si="319"/>
        <v>0</v>
      </c>
      <c r="AL202" s="74">
        <f t="shared" si="319"/>
        <v>0</v>
      </c>
      <c r="AM202" s="74">
        <f t="shared" si="319"/>
        <v>0</v>
      </c>
      <c r="AN202" s="74">
        <f t="shared" si="319"/>
        <v>70000</v>
      </c>
      <c r="AO202" s="74">
        <f t="shared" si="319"/>
        <v>70000</v>
      </c>
      <c r="AP202" s="74">
        <f t="shared" si="319"/>
        <v>52539</v>
      </c>
      <c r="AQ202" s="74">
        <f t="shared" si="319"/>
        <v>-16141</v>
      </c>
      <c r="AR202" s="74">
        <f t="shared" si="319"/>
        <v>36398</v>
      </c>
      <c r="AS202" s="74">
        <f t="shared" si="319"/>
        <v>12302</v>
      </c>
      <c r="AT202" s="74">
        <f t="shared" si="319"/>
        <v>-336</v>
      </c>
      <c r="AU202" s="74">
        <f t="shared" si="319"/>
        <v>0</v>
      </c>
      <c r="AV202" s="74">
        <f t="shared" si="319"/>
        <v>0</v>
      </c>
      <c r="AW202" s="74">
        <f t="shared" si="319"/>
        <v>0</v>
      </c>
      <c r="AX202" s="74">
        <f t="shared" si="319"/>
        <v>0</v>
      </c>
      <c r="AY202" s="74">
        <f t="shared" si="319"/>
        <v>48364</v>
      </c>
      <c r="AZ202" s="75">
        <f t="shared" si="319"/>
        <v>0</v>
      </c>
      <c r="BA202" s="75">
        <f t="shared" si="319"/>
        <v>-0.21</v>
      </c>
      <c r="BB202" s="75">
        <f t="shared" si="319"/>
        <v>0.14000000000000001</v>
      </c>
      <c r="BC202" s="75">
        <f t="shared" si="319"/>
        <v>0</v>
      </c>
      <c r="BD202" s="75">
        <f t="shared" si="319"/>
        <v>-0.05</v>
      </c>
      <c r="BE202" s="75">
        <f t="shared" si="319"/>
        <v>0</v>
      </c>
      <c r="BF202" s="75">
        <f t="shared" si="319"/>
        <v>0</v>
      </c>
      <c r="BG202" s="75">
        <f t="shared" si="319"/>
        <v>0</v>
      </c>
      <c r="BH202" s="75">
        <f t="shared" si="319"/>
        <v>0</v>
      </c>
      <c r="BI202" s="75">
        <f t="shared" si="319"/>
        <v>0.14000000000000001</v>
      </c>
      <c r="BJ202" s="75">
        <f t="shared" si="319"/>
        <v>-0.26</v>
      </c>
      <c r="BK202" s="76">
        <f t="shared" si="319"/>
        <v>-0.11999999999999998</v>
      </c>
      <c r="BL202" s="781">
        <f t="shared" si="319"/>
        <v>23731944</v>
      </c>
      <c r="BM202" s="74">
        <f t="shared" si="319"/>
        <v>17239853</v>
      </c>
      <c r="BN202" s="74">
        <f t="shared" si="319"/>
        <v>14757462</v>
      </c>
      <c r="BO202" s="74">
        <f t="shared" si="319"/>
        <v>2482391</v>
      </c>
      <c r="BP202" s="74">
        <f t="shared" si="319"/>
        <v>130000</v>
      </c>
      <c r="BQ202" s="74">
        <f t="shared" si="319"/>
        <v>20000</v>
      </c>
      <c r="BR202" s="74">
        <f t="shared" si="319"/>
        <v>110000</v>
      </c>
      <c r="BS202" s="74">
        <f t="shared" si="319"/>
        <v>5871010</v>
      </c>
      <c r="BT202" s="74">
        <f t="shared" si="319"/>
        <v>172400</v>
      </c>
      <c r="BU202" s="74">
        <f t="shared" si="319"/>
        <v>318681</v>
      </c>
      <c r="BV202" s="75">
        <f t="shared" si="319"/>
        <v>30.948499999999996</v>
      </c>
      <c r="BW202" s="75">
        <f t="shared" si="319"/>
        <v>23.586100000000002</v>
      </c>
      <c r="BX202" s="76">
        <f t="shared" si="319"/>
        <v>7.3624000000000009</v>
      </c>
      <c r="BY202" s="791">
        <f t="shared" ref="BY202:CJ202" si="320">SUM(BY197:BY201)</f>
        <v>380136</v>
      </c>
      <c r="BZ202" s="679">
        <f t="shared" si="320"/>
        <v>282000</v>
      </c>
      <c r="CA202" s="679">
        <f t="shared" si="320"/>
        <v>0</v>
      </c>
      <c r="CB202" s="679">
        <f t="shared" si="320"/>
        <v>95316</v>
      </c>
      <c r="CC202" s="679">
        <f t="shared" si="320"/>
        <v>2820</v>
      </c>
      <c r="CD202" s="947">
        <f t="shared" si="320"/>
        <v>0.5</v>
      </c>
      <c r="CE202" s="956">
        <f t="shared" si="320"/>
        <v>658043</v>
      </c>
      <c r="CF202" s="953">
        <f t="shared" si="320"/>
        <v>438858</v>
      </c>
      <c r="CG202" s="953">
        <f t="shared" si="320"/>
        <v>148334</v>
      </c>
      <c r="CH202" s="953">
        <f t="shared" si="320"/>
        <v>4389</v>
      </c>
      <c r="CI202" s="953">
        <f t="shared" si="320"/>
        <v>66462</v>
      </c>
      <c r="CJ202" s="877">
        <f t="shared" si="320"/>
        <v>1.2825</v>
      </c>
    </row>
    <row r="203" spans="1:88" ht="14.1" customHeight="1">
      <c r="A203" s="66">
        <v>43</v>
      </c>
      <c r="B203" s="63">
        <v>2328</v>
      </c>
      <c r="C203" s="64">
        <v>691006041</v>
      </c>
      <c r="D203" s="63">
        <v>71294988</v>
      </c>
      <c r="E203" s="65" t="s">
        <v>621</v>
      </c>
      <c r="F203" s="66">
        <v>3113</v>
      </c>
      <c r="G203" s="65" t="s">
        <v>293</v>
      </c>
      <c r="H203" s="67" t="s">
        <v>271</v>
      </c>
      <c r="I203" s="419">
        <v>30649742</v>
      </c>
      <c r="J203" s="414">
        <v>22249541</v>
      </c>
      <c r="K203" s="414">
        <v>19963777</v>
      </c>
      <c r="L203" s="414">
        <v>2285764</v>
      </c>
      <c r="M203" s="414">
        <v>70000</v>
      </c>
      <c r="N203" s="414">
        <v>60000</v>
      </c>
      <c r="O203" s="414">
        <v>10000</v>
      </c>
      <c r="P203" s="595">
        <v>7544005</v>
      </c>
      <c r="Q203" s="595">
        <v>222496</v>
      </c>
      <c r="R203" s="414">
        <v>563700</v>
      </c>
      <c r="S203" s="415">
        <v>34.551600000000001</v>
      </c>
      <c r="T203" s="415">
        <v>27.6599</v>
      </c>
      <c r="U203" s="422">
        <v>6.891700000000001</v>
      </c>
      <c r="V203" s="423">
        <f t="shared" si="232"/>
        <v>4500</v>
      </c>
      <c r="W203" s="417">
        <f t="shared" si="233"/>
        <v>-114800</v>
      </c>
      <c r="X203" s="417">
        <v>0</v>
      </c>
      <c r="Y203" s="417">
        <v>0</v>
      </c>
      <c r="Z203" s="417">
        <v>135129</v>
      </c>
      <c r="AA203" s="417">
        <v>0</v>
      </c>
      <c r="AB203" s="417">
        <v>0</v>
      </c>
      <c r="AC203" s="417">
        <v>0</v>
      </c>
      <c r="AD203" s="417">
        <v>0</v>
      </c>
      <c r="AE203" s="417">
        <f t="shared" si="234"/>
        <v>139629</v>
      </c>
      <c r="AF203" s="417">
        <f t="shared" si="235"/>
        <v>-114800</v>
      </c>
      <c r="AG203" s="417">
        <f t="shared" si="236"/>
        <v>24829</v>
      </c>
      <c r="AH203" s="417">
        <v>-4500</v>
      </c>
      <c r="AI203" s="417">
        <v>114800</v>
      </c>
      <c r="AJ203" s="417">
        <v>0</v>
      </c>
      <c r="AK203" s="417">
        <v>0</v>
      </c>
      <c r="AL203" s="417">
        <v>0</v>
      </c>
      <c r="AM203" s="417">
        <f t="shared" si="237"/>
        <v>-4500</v>
      </c>
      <c r="AN203" s="417">
        <f t="shared" si="238"/>
        <v>114800</v>
      </c>
      <c r="AO203" s="417">
        <f t="shared" si="239"/>
        <v>110300</v>
      </c>
      <c r="AP203" s="417">
        <f t="shared" si="240"/>
        <v>135129</v>
      </c>
      <c r="AQ203" s="417">
        <f t="shared" si="241"/>
        <v>0</v>
      </c>
      <c r="AR203" s="417">
        <f t="shared" si="242"/>
        <v>135129</v>
      </c>
      <c r="AS203" s="68">
        <f t="shared" si="243"/>
        <v>45674</v>
      </c>
      <c r="AT203" s="68">
        <f t="shared" si="244"/>
        <v>248</v>
      </c>
      <c r="AU203" s="417">
        <v>0</v>
      </c>
      <c r="AV203" s="417">
        <v>0</v>
      </c>
      <c r="AW203" s="417">
        <v>0</v>
      </c>
      <c r="AX203" s="417">
        <f t="shared" si="245"/>
        <v>0</v>
      </c>
      <c r="AY203" s="417">
        <f t="shared" si="246"/>
        <v>181051</v>
      </c>
      <c r="AZ203" s="418">
        <v>0.01</v>
      </c>
      <c r="BA203" s="418">
        <v>-0.35</v>
      </c>
      <c r="BB203" s="418">
        <v>0</v>
      </c>
      <c r="BC203" s="418">
        <v>0.27</v>
      </c>
      <c r="BD203" s="418">
        <v>0</v>
      </c>
      <c r="BE203" s="418">
        <v>0</v>
      </c>
      <c r="BF203" s="418">
        <v>0</v>
      </c>
      <c r="BG203" s="418">
        <v>0</v>
      </c>
      <c r="BH203" s="418">
        <v>0</v>
      </c>
      <c r="BI203" s="418">
        <f t="shared" si="247"/>
        <v>0.28000000000000003</v>
      </c>
      <c r="BJ203" s="418">
        <f t="shared" si="248"/>
        <v>-0.35</v>
      </c>
      <c r="BK203" s="420">
        <f t="shared" si="249"/>
        <v>-6.9999999999999951E-2</v>
      </c>
      <c r="BL203" s="772">
        <f>I203+AY203</f>
        <v>30830793</v>
      </c>
      <c r="BM203" s="417">
        <f>J203+AG203</f>
        <v>22274370</v>
      </c>
      <c r="BN203" s="417">
        <f t="shared" ref="BN203:BO207" si="321">K203+AE203</f>
        <v>20103406</v>
      </c>
      <c r="BO203" s="417">
        <f t="shared" si="321"/>
        <v>2170964</v>
      </c>
      <c r="BP203" s="417">
        <f>M203+AO203</f>
        <v>180300</v>
      </c>
      <c r="BQ203" s="417">
        <f t="shared" ref="BQ203:BR207" si="322">N203+AM203</f>
        <v>55500</v>
      </c>
      <c r="BR203" s="417">
        <f t="shared" si="322"/>
        <v>124800</v>
      </c>
      <c r="BS203" s="417">
        <f t="shared" ref="BS203:BT207" si="323">P203+AS203</f>
        <v>7589679</v>
      </c>
      <c r="BT203" s="417">
        <f t="shared" si="323"/>
        <v>222744</v>
      </c>
      <c r="BU203" s="417">
        <f>R203+AX203</f>
        <v>563700</v>
      </c>
      <c r="BV203" s="418">
        <f>S203+BK203</f>
        <v>34.4816</v>
      </c>
      <c r="BW203" s="418">
        <f t="shared" ref="BW203:BX207" si="324">T203+BI203</f>
        <v>27.939900000000002</v>
      </c>
      <c r="BX203" s="420">
        <f t="shared" si="324"/>
        <v>6.5417000000000014</v>
      </c>
      <c r="BY203" s="419"/>
      <c r="BZ203" s="414"/>
      <c r="CA203" s="414"/>
      <c r="CB203" s="414"/>
      <c r="CC203" s="414"/>
      <c r="CD203" s="422"/>
      <c r="CE203" s="419">
        <f t="shared" si="254"/>
        <v>1121182</v>
      </c>
      <c r="CF203" s="414">
        <v>736851</v>
      </c>
      <c r="CG203" s="414">
        <v>249056</v>
      </c>
      <c r="CH203" s="414">
        <v>7369</v>
      </c>
      <c r="CI203" s="414">
        <v>127906</v>
      </c>
      <c r="CJ203" s="509">
        <v>2.2217000000000002</v>
      </c>
    </row>
    <row r="204" spans="1:88" ht="14.1" customHeight="1">
      <c r="A204" s="66">
        <v>43</v>
      </c>
      <c r="B204" s="63">
        <v>2328</v>
      </c>
      <c r="C204" s="64">
        <v>691006041</v>
      </c>
      <c r="D204" s="63">
        <v>71294988</v>
      </c>
      <c r="E204" s="65" t="s">
        <v>621</v>
      </c>
      <c r="F204" s="66">
        <v>3113</v>
      </c>
      <c r="G204" s="77" t="s">
        <v>291</v>
      </c>
      <c r="H204" s="67" t="s">
        <v>272</v>
      </c>
      <c r="I204" s="419">
        <v>3069740</v>
      </c>
      <c r="J204" s="414">
        <v>2270579</v>
      </c>
      <c r="K204" s="414">
        <v>2270579</v>
      </c>
      <c r="L204" s="414">
        <v>0</v>
      </c>
      <c r="M204" s="414">
        <v>0</v>
      </c>
      <c r="N204" s="414">
        <v>0</v>
      </c>
      <c r="O204" s="414">
        <v>0</v>
      </c>
      <c r="P204" s="595">
        <v>767456</v>
      </c>
      <c r="Q204" s="595">
        <v>22705</v>
      </c>
      <c r="R204" s="414">
        <v>9000</v>
      </c>
      <c r="S204" s="415">
        <v>6.11</v>
      </c>
      <c r="T204" s="416">
        <v>6.11</v>
      </c>
      <c r="U204" s="422">
        <v>0</v>
      </c>
      <c r="V204" s="423">
        <f t="shared" si="232"/>
        <v>0</v>
      </c>
      <c r="W204" s="417">
        <f t="shared" si="233"/>
        <v>0</v>
      </c>
      <c r="X204" s="417">
        <v>208576</v>
      </c>
      <c r="Y204" s="417">
        <v>0</v>
      </c>
      <c r="Z204" s="417">
        <v>0</v>
      </c>
      <c r="AA204" s="417">
        <v>0</v>
      </c>
      <c r="AB204" s="417">
        <v>0</v>
      </c>
      <c r="AC204" s="417">
        <v>0</v>
      </c>
      <c r="AD204" s="417">
        <v>0</v>
      </c>
      <c r="AE204" s="417">
        <f t="shared" si="234"/>
        <v>208576</v>
      </c>
      <c r="AF204" s="417">
        <f t="shared" si="235"/>
        <v>0</v>
      </c>
      <c r="AG204" s="417">
        <f t="shared" si="236"/>
        <v>208576</v>
      </c>
      <c r="AH204" s="417">
        <v>0</v>
      </c>
      <c r="AI204" s="417">
        <v>0</v>
      </c>
      <c r="AJ204" s="417">
        <v>0</v>
      </c>
      <c r="AK204" s="417">
        <v>0</v>
      </c>
      <c r="AL204" s="417">
        <v>0</v>
      </c>
      <c r="AM204" s="417">
        <f t="shared" si="237"/>
        <v>0</v>
      </c>
      <c r="AN204" s="417">
        <f t="shared" si="238"/>
        <v>0</v>
      </c>
      <c r="AO204" s="417">
        <f t="shared" si="239"/>
        <v>0</v>
      </c>
      <c r="AP204" s="417">
        <f t="shared" si="240"/>
        <v>208576</v>
      </c>
      <c r="AQ204" s="417">
        <f t="shared" si="241"/>
        <v>0</v>
      </c>
      <c r="AR204" s="417">
        <f t="shared" si="242"/>
        <v>208576</v>
      </c>
      <c r="AS204" s="68">
        <f t="shared" si="243"/>
        <v>70499</v>
      </c>
      <c r="AT204" s="68">
        <f t="shared" si="244"/>
        <v>2086</v>
      </c>
      <c r="AU204" s="417">
        <f>2750+4750</f>
        <v>7500</v>
      </c>
      <c r="AV204" s="417">
        <v>0</v>
      </c>
      <c r="AW204" s="417">
        <v>0</v>
      </c>
      <c r="AX204" s="417">
        <f t="shared" si="245"/>
        <v>7500</v>
      </c>
      <c r="AY204" s="417">
        <f t="shared" si="246"/>
        <v>288661</v>
      </c>
      <c r="AZ204" s="418">
        <v>0</v>
      </c>
      <c r="BA204" s="418">
        <v>0</v>
      </c>
      <c r="BB204" s="418">
        <v>0.56000000000000005</v>
      </c>
      <c r="BC204" s="418">
        <v>0</v>
      </c>
      <c r="BD204" s="418">
        <v>0</v>
      </c>
      <c r="BE204" s="418">
        <v>0</v>
      </c>
      <c r="BF204" s="418">
        <v>0</v>
      </c>
      <c r="BG204" s="418">
        <v>0</v>
      </c>
      <c r="BH204" s="418">
        <v>0</v>
      </c>
      <c r="BI204" s="418">
        <f t="shared" si="247"/>
        <v>0.56000000000000005</v>
      </c>
      <c r="BJ204" s="418">
        <f t="shared" si="248"/>
        <v>0</v>
      </c>
      <c r="BK204" s="420">
        <f t="shared" si="249"/>
        <v>0.56000000000000005</v>
      </c>
      <c r="BL204" s="772">
        <f>I204+AY204</f>
        <v>3358401</v>
      </c>
      <c r="BM204" s="417">
        <f>J204+AG204</f>
        <v>2479155</v>
      </c>
      <c r="BN204" s="417">
        <f t="shared" si="321"/>
        <v>2479155</v>
      </c>
      <c r="BO204" s="417">
        <f t="shared" si="321"/>
        <v>0</v>
      </c>
      <c r="BP204" s="417">
        <f>M204+AO204</f>
        <v>0</v>
      </c>
      <c r="BQ204" s="417">
        <f t="shared" si="322"/>
        <v>0</v>
      </c>
      <c r="BR204" s="417">
        <f t="shared" si="322"/>
        <v>0</v>
      </c>
      <c r="BS204" s="417">
        <f t="shared" si="323"/>
        <v>837955</v>
      </c>
      <c r="BT204" s="417">
        <f t="shared" si="323"/>
        <v>24791</v>
      </c>
      <c r="BU204" s="417">
        <f>R204+AX204</f>
        <v>16500</v>
      </c>
      <c r="BV204" s="418">
        <f>S204+BK204</f>
        <v>6.67</v>
      </c>
      <c r="BW204" s="418">
        <f t="shared" si="324"/>
        <v>6.67</v>
      </c>
      <c r="BX204" s="420">
        <f t="shared" si="324"/>
        <v>0</v>
      </c>
      <c r="BY204" s="419"/>
      <c r="BZ204" s="414"/>
      <c r="CA204" s="414"/>
      <c r="CB204" s="414"/>
      <c r="CC204" s="414"/>
      <c r="CD204" s="422"/>
      <c r="CE204" s="419">
        <f t="shared" si="254"/>
        <v>0</v>
      </c>
      <c r="CF204" s="414">
        <v>0</v>
      </c>
      <c r="CG204" s="414">
        <v>0</v>
      </c>
      <c r="CH204" s="414">
        <v>0</v>
      </c>
      <c r="CI204" s="414">
        <v>0</v>
      </c>
      <c r="CJ204" s="509">
        <v>0</v>
      </c>
    </row>
    <row r="205" spans="1:88" ht="13.5" customHeight="1">
      <c r="A205" s="66">
        <v>43</v>
      </c>
      <c r="B205" s="63">
        <v>2328</v>
      </c>
      <c r="C205" s="64">
        <v>691006041</v>
      </c>
      <c r="D205" s="63">
        <v>71294988</v>
      </c>
      <c r="E205" s="65" t="s">
        <v>621</v>
      </c>
      <c r="F205" s="66">
        <v>3141</v>
      </c>
      <c r="G205" s="65" t="s">
        <v>294</v>
      </c>
      <c r="H205" s="67" t="s">
        <v>272</v>
      </c>
      <c r="I205" s="419">
        <v>2667336</v>
      </c>
      <c r="J205" s="414">
        <v>1963267</v>
      </c>
      <c r="K205" s="414">
        <v>0</v>
      </c>
      <c r="L205" s="744">
        <v>1963267</v>
      </c>
      <c r="M205" s="414">
        <v>0</v>
      </c>
      <c r="N205" s="204">
        <v>0</v>
      </c>
      <c r="O205" s="204">
        <v>0</v>
      </c>
      <c r="P205" s="595">
        <v>663584</v>
      </c>
      <c r="Q205" s="595">
        <v>19633</v>
      </c>
      <c r="R205" s="601">
        <v>20852</v>
      </c>
      <c r="S205" s="415">
        <v>5.8866999999999994</v>
      </c>
      <c r="T205" s="603">
        <v>0</v>
      </c>
      <c r="U205" s="731">
        <v>5.8866999999999994</v>
      </c>
      <c r="V205" s="423">
        <f t="shared" si="232"/>
        <v>0</v>
      </c>
      <c r="W205" s="417">
        <f t="shared" si="233"/>
        <v>0</v>
      </c>
      <c r="X205" s="417">
        <v>0</v>
      </c>
      <c r="Y205" s="417">
        <v>0</v>
      </c>
      <c r="Z205" s="417">
        <v>0</v>
      </c>
      <c r="AA205" s="417">
        <v>-10477</v>
      </c>
      <c r="AB205" s="417">
        <v>0</v>
      </c>
      <c r="AC205" s="417">
        <v>0</v>
      </c>
      <c r="AD205" s="417">
        <v>0</v>
      </c>
      <c r="AE205" s="417">
        <f t="shared" si="234"/>
        <v>0</v>
      </c>
      <c r="AF205" s="417">
        <f t="shared" si="235"/>
        <v>-10477</v>
      </c>
      <c r="AG205" s="417">
        <f t="shared" si="236"/>
        <v>-10477</v>
      </c>
      <c r="AH205" s="417">
        <v>0</v>
      </c>
      <c r="AI205" s="417">
        <v>0</v>
      </c>
      <c r="AJ205" s="417">
        <v>0</v>
      </c>
      <c r="AK205" s="417">
        <v>0</v>
      </c>
      <c r="AL205" s="417">
        <v>0</v>
      </c>
      <c r="AM205" s="417">
        <f t="shared" si="237"/>
        <v>0</v>
      </c>
      <c r="AN205" s="417">
        <f t="shared" si="238"/>
        <v>0</v>
      </c>
      <c r="AO205" s="417">
        <f t="shared" si="239"/>
        <v>0</v>
      </c>
      <c r="AP205" s="417">
        <f t="shared" si="240"/>
        <v>0</v>
      </c>
      <c r="AQ205" s="417">
        <f t="shared" si="241"/>
        <v>-10477</v>
      </c>
      <c r="AR205" s="417">
        <f t="shared" si="242"/>
        <v>-10477</v>
      </c>
      <c r="AS205" s="68">
        <f t="shared" si="243"/>
        <v>-3541</v>
      </c>
      <c r="AT205" s="68">
        <f t="shared" si="244"/>
        <v>-105</v>
      </c>
      <c r="AU205" s="417">
        <v>0</v>
      </c>
      <c r="AV205" s="417">
        <v>0</v>
      </c>
      <c r="AW205" s="417">
        <v>0</v>
      </c>
      <c r="AX205" s="417">
        <f t="shared" si="245"/>
        <v>0</v>
      </c>
      <c r="AY205" s="417">
        <f t="shared" si="246"/>
        <v>-14123</v>
      </c>
      <c r="AZ205" s="418">
        <v>0</v>
      </c>
      <c r="BA205" s="418">
        <v>0</v>
      </c>
      <c r="BB205" s="418">
        <v>0</v>
      </c>
      <c r="BC205" s="418">
        <v>0</v>
      </c>
      <c r="BD205" s="418">
        <v>-0.03</v>
      </c>
      <c r="BE205" s="418">
        <v>0</v>
      </c>
      <c r="BF205" s="418">
        <v>0</v>
      </c>
      <c r="BG205" s="418">
        <v>0</v>
      </c>
      <c r="BH205" s="418">
        <v>0</v>
      </c>
      <c r="BI205" s="418">
        <f t="shared" si="247"/>
        <v>0</v>
      </c>
      <c r="BJ205" s="418">
        <f t="shared" si="248"/>
        <v>-0.03</v>
      </c>
      <c r="BK205" s="420">
        <f t="shared" si="249"/>
        <v>-0.03</v>
      </c>
      <c r="BL205" s="772">
        <f>I205+AY205</f>
        <v>2653213</v>
      </c>
      <c r="BM205" s="417">
        <f>J205+AG205</f>
        <v>1952790</v>
      </c>
      <c r="BN205" s="417">
        <f t="shared" si="321"/>
        <v>0</v>
      </c>
      <c r="BO205" s="417">
        <f t="shared" si="321"/>
        <v>1952790</v>
      </c>
      <c r="BP205" s="417">
        <f>M205+AO205</f>
        <v>0</v>
      </c>
      <c r="BQ205" s="417">
        <f t="shared" si="322"/>
        <v>0</v>
      </c>
      <c r="BR205" s="417">
        <f t="shared" si="322"/>
        <v>0</v>
      </c>
      <c r="BS205" s="417">
        <f t="shared" si="323"/>
        <v>660043</v>
      </c>
      <c r="BT205" s="417">
        <f t="shared" si="323"/>
        <v>19528</v>
      </c>
      <c r="BU205" s="417">
        <f>R205+AX205</f>
        <v>20852</v>
      </c>
      <c r="BV205" s="418">
        <f>S205+BK205</f>
        <v>5.8566999999999991</v>
      </c>
      <c r="BW205" s="418">
        <f t="shared" si="324"/>
        <v>0</v>
      </c>
      <c r="BX205" s="420">
        <f t="shared" si="324"/>
        <v>5.8566999999999991</v>
      </c>
      <c r="BY205" s="419"/>
      <c r="BZ205" s="414"/>
      <c r="CA205" s="414"/>
      <c r="CB205" s="414"/>
      <c r="CC205" s="414"/>
      <c r="CD205" s="422"/>
      <c r="CE205" s="419">
        <f t="shared" si="254"/>
        <v>0</v>
      </c>
      <c r="CF205" s="414">
        <v>0</v>
      </c>
      <c r="CG205" s="414">
        <v>0</v>
      </c>
      <c r="CH205" s="414">
        <v>0</v>
      </c>
      <c r="CI205" s="414">
        <v>0</v>
      </c>
      <c r="CJ205" s="509">
        <v>0</v>
      </c>
    </row>
    <row r="206" spans="1:88" ht="14.1" customHeight="1">
      <c r="A206" s="66">
        <v>43</v>
      </c>
      <c r="B206" s="63">
        <v>2328</v>
      </c>
      <c r="C206" s="64">
        <v>691006041</v>
      </c>
      <c r="D206" s="63">
        <v>71294988</v>
      </c>
      <c r="E206" s="65" t="s">
        <v>621</v>
      </c>
      <c r="F206" s="66">
        <v>3143</v>
      </c>
      <c r="G206" s="77" t="s">
        <v>595</v>
      </c>
      <c r="H206" s="67" t="s">
        <v>271</v>
      </c>
      <c r="I206" s="419">
        <v>3394736</v>
      </c>
      <c r="J206" s="414">
        <v>2464783</v>
      </c>
      <c r="K206" s="414">
        <v>2464783</v>
      </c>
      <c r="L206" s="414">
        <v>0</v>
      </c>
      <c r="M206" s="414">
        <v>72209</v>
      </c>
      <c r="N206" s="414">
        <v>72209</v>
      </c>
      <c r="O206" s="414">
        <v>0</v>
      </c>
      <c r="P206" s="595">
        <v>833096</v>
      </c>
      <c r="Q206" s="595">
        <v>24648</v>
      </c>
      <c r="R206" s="414">
        <v>0</v>
      </c>
      <c r="S206" s="415">
        <v>4.8</v>
      </c>
      <c r="T206" s="415">
        <v>4.8</v>
      </c>
      <c r="U206" s="422">
        <v>0</v>
      </c>
      <c r="V206" s="423">
        <f t="shared" ref="V206:V269" si="325">AH206*-1</f>
        <v>0</v>
      </c>
      <c r="W206" s="417">
        <f t="shared" ref="W206:W269" si="326">AI206*-1</f>
        <v>0</v>
      </c>
      <c r="X206" s="417">
        <v>0</v>
      </c>
      <c r="Y206" s="417">
        <v>0</v>
      </c>
      <c r="Z206" s="417">
        <v>0</v>
      </c>
      <c r="AA206" s="417">
        <v>0</v>
      </c>
      <c r="AB206" s="417">
        <v>0</v>
      </c>
      <c r="AC206" s="417">
        <v>0</v>
      </c>
      <c r="AD206" s="417">
        <v>0</v>
      </c>
      <c r="AE206" s="417">
        <f t="shared" ref="AE206:AE269" si="327">V206+X206+Y206+Z206+AC206</f>
        <v>0</v>
      </c>
      <c r="AF206" s="417">
        <f t="shared" ref="AF206:AF269" si="328">W206+AA206+AD206+AB206</f>
        <v>0</v>
      </c>
      <c r="AG206" s="417">
        <f t="shared" ref="AG206:AG269" si="329">SUM(AE206:AF206)</f>
        <v>0</v>
      </c>
      <c r="AH206" s="417">
        <v>0</v>
      </c>
      <c r="AI206" s="417">
        <v>0</v>
      </c>
      <c r="AJ206" s="417">
        <v>0</v>
      </c>
      <c r="AK206" s="417">
        <v>45751</v>
      </c>
      <c r="AL206" s="417">
        <v>0</v>
      </c>
      <c r="AM206" s="417">
        <f t="shared" ref="AM206:AM269" si="330">AH206+AJ206+AK206</f>
        <v>45751</v>
      </c>
      <c r="AN206" s="417">
        <f t="shared" ref="AN206:AN269" si="331">AI206+AL206</f>
        <v>0</v>
      </c>
      <c r="AO206" s="417">
        <f t="shared" ref="AO206:AO269" si="332">SUM(AM206:AN206)</f>
        <v>45751</v>
      </c>
      <c r="AP206" s="417">
        <f t="shared" ref="AP206:AP269" si="333">AE206+AM206</f>
        <v>45751</v>
      </c>
      <c r="AQ206" s="417">
        <f t="shared" ref="AQ206:AQ269" si="334">AF206+AN206</f>
        <v>0</v>
      </c>
      <c r="AR206" s="417">
        <f t="shared" ref="AR206:AR269" si="335">SUM(AP206:AQ206)</f>
        <v>45751</v>
      </c>
      <c r="AS206" s="68">
        <f t="shared" ref="AS206:AS269" si="336">ROUND((AG206+AH206+AI206+AJ206)*33.8%,0)</f>
        <v>0</v>
      </c>
      <c r="AT206" s="68">
        <f t="shared" ref="AT206:AT269" si="337">ROUND(AG206*1%,0)</f>
        <v>0</v>
      </c>
      <c r="AU206" s="417">
        <v>0</v>
      </c>
      <c r="AV206" s="417">
        <v>0</v>
      </c>
      <c r="AW206" s="417">
        <v>0</v>
      </c>
      <c r="AX206" s="417">
        <f t="shared" ref="AX206:AX269" si="338">SUM(AU206:AW206)</f>
        <v>0</v>
      </c>
      <c r="AY206" s="417">
        <f t="shared" ref="AY206:AY269" si="339">AR206+AS206+AT206+AX206</f>
        <v>45751</v>
      </c>
      <c r="AZ206" s="418">
        <v>0</v>
      </c>
      <c r="BA206" s="418">
        <v>0</v>
      </c>
      <c r="BB206" s="418">
        <v>0</v>
      </c>
      <c r="BC206" s="418">
        <v>0</v>
      </c>
      <c r="BD206" s="418">
        <v>0</v>
      </c>
      <c r="BE206" s="418">
        <v>0</v>
      </c>
      <c r="BF206" s="418">
        <v>0</v>
      </c>
      <c r="BG206" s="418">
        <v>0</v>
      </c>
      <c r="BH206" s="418">
        <v>0</v>
      </c>
      <c r="BI206" s="418">
        <f t="shared" ref="BI206:BI269" si="340">AZ206+BB206+BC206+BE206+BG206</f>
        <v>0</v>
      </c>
      <c r="BJ206" s="418">
        <f t="shared" ref="BJ206:BJ269" si="341">BA206+BD206+BH206+BF206</f>
        <v>0</v>
      </c>
      <c r="BK206" s="420">
        <f t="shared" ref="BK206:BK269" si="342">SUM(BI206:BJ206)</f>
        <v>0</v>
      </c>
      <c r="BL206" s="772">
        <f>I206+AY206</f>
        <v>3440487</v>
      </c>
      <c r="BM206" s="417">
        <f>J206+AG206</f>
        <v>2464783</v>
      </c>
      <c r="BN206" s="417">
        <f t="shared" si="321"/>
        <v>2464783</v>
      </c>
      <c r="BO206" s="417">
        <f t="shared" si="321"/>
        <v>0</v>
      </c>
      <c r="BP206" s="417">
        <f>M206+AO206</f>
        <v>117960</v>
      </c>
      <c r="BQ206" s="417">
        <f t="shared" si="322"/>
        <v>117960</v>
      </c>
      <c r="BR206" s="417">
        <f t="shared" si="322"/>
        <v>0</v>
      </c>
      <c r="BS206" s="417">
        <f t="shared" si="323"/>
        <v>833096</v>
      </c>
      <c r="BT206" s="417">
        <f t="shared" si="323"/>
        <v>24648</v>
      </c>
      <c r="BU206" s="417">
        <f>R206+AX206</f>
        <v>0</v>
      </c>
      <c r="BV206" s="418">
        <f>S206+BK206</f>
        <v>4.8</v>
      </c>
      <c r="BW206" s="418">
        <f t="shared" si="324"/>
        <v>4.8</v>
      </c>
      <c r="BX206" s="420">
        <f t="shared" si="324"/>
        <v>0</v>
      </c>
      <c r="BY206" s="419"/>
      <c r="BZ206" s="414"/>
      <c r="CA206" s="414"/>
      <c r="CB206" s="414"/>
      <c r="CC206" s="414"/>
      <c r="CD206" s="422"/>
      <c r="CE206" s="419">
        <f t="shared" ref="CE206:CE269" si="343">SUM(CF206:CI206)</f>
        <v>0</v>
      </c>
      <c r="CF206" s="414">
        <v>0</v>
      </c>
      <c r="CG206" s="414">
        <v>0</v>
      </c>
      <c r="CH206" s="414">
        <v>0</v>
      </c>
      <c r="CI206" s="414">
        <v>0</v>
      </c>
      <c r="CJ206" s="509">
        <v>0</v>
      </c>
    </row>
    <row r="207" spans="1:88" ht="14.1" customHeight="1">
      <c r="A207" s="66">
        <v>43</v>
      </c>
      <c r="B207" s="63">
        <v>2328</v>
      </c>
      <c r="C207" s="64">
        <v>691006041</v>
      </c>
      <c r="D207" s="63">
        <v>71294988</v>
      </c>
      <c r="E207" s="65" t="s">
        <v>621</v>
      </c>
      <c r="F207" s="66">
        <v>3143</v>
      </c>
      <c r="G207" s="77" t="s">
        <v>596</v>
      </c>
      <c r="H207" s="67" t="s">
        <v>272</v>
      </c>
      <c r="I207" s="419">
        <v>111418</v>
      </c>
      <c r="J207" s="414">
        <v>79750</v>
      </c>
      <c r="K207" s="414">
        <v>0</v>
      </c>
      <c r="L207" s="601">
        <v>79750</v>
      </c>
      <c r="M207" s="414">
        <v>0</v>
      </c>
      <c r="N207" s="414">
        <v>0</v>
      </c>
      <c r="O207" s="414">
        <v>0</v>
      </c>
      <c r="P207" s="595">
        <v>26955</v>
      </c>
      <c r="Q207" s="595">
        <v>798</v>
      </c>
      <c r="R207" s="602">
        <v>3915</v>
      </c>
      <c r="S207" s="415">
        <v>0.3014</v>
      </c>
      <c r="T207" s="605">
        <v>0</v>
      </c>
      <c r="U207" s="731">
        <v>0.3014</v>
      </c>
      <c r="V207" s="423">
        <f t="shared" si="325"/>
        <v>0</v>
      </c>
      <c r="W207" s="417">
        <f t="shared" si="326"/>
        <v>0</v>
      </c>
      <c r="X207" s="417">
        <v>0</v>
      </c>
      <c r="Y207" s="417">
        <v>0</v>
      </c>
      <c r="Z207" s="417">
        <v>0</v>
      </c>
      <c r="AA207" s="417">
        <v>0</v>
      </c>
      <c r="AB207" s="417">
        <v>0</v>
      </c>
      <c r="AC207" s="417">
        <v>0</v>
      </c>
      <c r="AD207" s="417">
        <v>0</v>
      </c>
      <c r="AE207" s="417">
        <f t="shared" si="327"/>
        <v>0</v>
      </c>
      <c r="AF207" s="417">
        <f t="shared" si="328"/>
        <v>0</v>
      </c>
      <c r="AG207" s="417">
        <f t="shared" si="329"/>
        <v>0</v>
      </c>
      <c r="AH207" s="417">
        <v>0</v>
      </c>
      <c r="AI207" s="417">
        <v>0</v>
      </c>
      <c r="AJ207" s="417">
        <v>0</v>
      </c>
      <c r="AK207" s="417">
        <v>0</v>
      </c>
      <c r="AL207" s="417">
        <v>0</v>
      </c>
      <c r="AM207" s="417">
        <f t="shared" si="330"/>
        <v>0</v>
      </c>
      <c r="AN207" s="417">
        <f t="shared" si="331"/>
        <v>0</v>
      </c>
      <c r="AO207" s="417">
        <f t="shared" si="332"/>
        <v>0</v>
      </c>
      <c r="AP207" s="417">
        <f t="shared" si="333"/>
        <v>0</v>
      </c>
      <c r="AQ207" s="417">
        <f t="shared" si="334"/>
        <v>0</v>
      </c>
      <c r="AR207" s="417">
        <f t="shared" si="335"/>
        <v>0</v>
      </c>
      <c r="AS207" s="68">
        <f t="shared" si="336"/>
        <v>0</v>
      </c>
      <c r="AT207" s="68">
        <f t="shared" si="337"/>
        <v>0</v>
      </c>
      <c r="AU207" s="417">
        <v>0</v>
      </c>
      <c r="AV207" s="417">
        <v>0</v>
      </c>
      <c r="AW207" s="417">
        <v>0</v>
      </c>
      <c r="AX207" s="417">
        <f t="shared" si="338"/>
        <v>0</v>
      </c>
      <c r="AY207" s="417">
        <f t="shared" si="339"/>
        <v>0</v>
      </c>
      <c r="AZ207" s="418">
        <v>0</v>
      </c>
      <c r="BA207" s="418">
        <v>0</v>
      </c>
      <c r="BB207" s="418">
        <v>0</v>
      </c>
      <c r="BC207" s="418">
        <v>0</v>
      </c>
      <c r="BD207" s="418">
        <v>0</v>
      </c>
      <c r="BE207" s="418">
        <v>0</v>
      </c>
      <c r="BF207" s="418">
        <v>0</v>
      </c>
      <c r="BG207" s="418">
        <v>0</v>
      </c>
      <c r="BH207" s="418">
        <v>0</v>
      </c>
      <c r="BI207" s="418">
        <f t="shared" si="340"/>
        <v>0</v>
      </c>
      <c r="BJ207" s="418">
        <f t="shared" si="341"/>
        <v>0</v>
      </c>
      <c r="BK207" s="420">
        <f t="shared" si="342"/>
        <v>0</v>
      </c>
      <c r="BL207" s="772">
        <f>I207+AY207</f>
        <v>111418</v>
      </c>
      <c r="BM207" s="417">
        <f>J207+AG207</f>
        <v>79750</v>
      </c>
      <c r="BN207" s="417">
        <f t="shared" si="321"/>
        <v>0</v>
      </c>
      <c r="BO207" s="417">
        <f t="shared" si="321"/>
        <v>79750</v>
      </c>
      <c r="BP207" s="417">
        <f>M207+AO207</f>
        <v>0</v>
      </c>
      <c r="BQ207" s="417">
        <f t="shared" si="322"/>
        <v>0</v>
      </c>
      <c r="BR207" s="417">
        <f t="shared" si="322"/>
        <v>0</v>
      </c>
      <c r="BS207" s="417">
        <f t="shared" si="323"/>
        <v>26955</v>
      </c>
      <c r="BT207" s="417">
        <f t="shared" si="323"/>
        <v>798</v>
      </c>
      <c r="BU207" s="417">
        <f>R207+AX207</f>
        <v>3915</v>
      </c>
      <c r="BV207" s="418">
        <f>S207+BK207</f>
        <v>0.3014</v>
      </c>
      <c r="BW207" s="418">
        <f t="shared" si="324"/>
        <v>0</v>
      </c>
      <c r="BX207" s="420">
        <f t="shared" si="324"/>
        <v>0.3014</v>
      </c>
      <c r="BY207" s="419"/>
      <c r="BZ207" s="414"/>
      <c r="CA207" s="414"/>
      <c r="CB207" s="414"/>
      <c r="CC207" s="414"/>
      <c r="CD207" s="422"/>
      <c r="CE207" s="419">
        <f t="shared" si="343"/>
        <v>0</v>
      </c>
      <c r="CF207" s="414">
        <v>0</v>
      </c>
      <c r="CG207" s="414">
        <v>0</v>
      </c>
      <c r="CH207" s="414">
        <v>0</v>
      </c>
      <c r="CI207" s="414">
        <v>0</v>
      </c>
      <c r="CJ207" s="509">
        <v>0</v>
      </c>
    </row>
    <row r="208" spans="1:88" ht="14.1" customHeight="1">
      <c r="A208" s="72">
        <v>43</v>
      </c>
      <c r="B208" s="69">
        <v>2328</v>
      </c>
      <c r="C208" s="70">
        <v>691006041</v>
      </c>
      <c r="D208" s="69">
        <v>71294988</v>
      </c>
      <c r="E208" s="71" t="s">
        <v>622</v>
      </c>
      <c r="F208" s="72"/>
      <c r="G208" s="71"/>
      <c r="H208" s="73"/>
      <c r="I208" s="516">
        <v>39892972</v>
      </c>
      <c r="J208" s="74">
        <v>29027920</v>
      </c>
      <c r="K208" s="74">
        <v>24699139</v>
      </c>
      <c r="L208" s="74">
        <v>4328781</v>
      </c>
      <c r="M208" s="74">
        <v>142209</v>
      </c>
      <c r="N208" s="74">
        <v>132209</v>
      </c>
      <c r="O208" s="74">
        <v>10000</v>
      </c>
      <c r="P208" s="74">
        <v>9835096</v>
      </c>
      <c r="Q208" s="74">
        <v>290280</v>
      </c>
      <c r="R208" s="74">
        <v>597467</v>
      </c>
      <c r="S208" s="75">
        <v>51.649699999999996</v>
      </c>
      <c r="T208" s="75">
        <v>38.569899999999997</v>
      </c>
      <c r="U208" s="653">
        <v>13.079800000000001</v>
      </c>
      <c r="V208" s="516">
        <f t="shared" ref="V208:BX208" si="344">SUM(V203:V207)</f>
        <v>4500</v>
      </c>
      <c r="W208" s="74">
        <f t="shared" si="344"/>
        <v>-114800</v>
      </c>
      <c r="X208" s="74">
        <f t="shared" si="344"/>
        <v>208576</v>
      </c>
      <c r="Y208" s="74">
        <f t="shared" si="344"/>
        <v>0</v>
      </c>
      <c r="Z208" s="74">
        <f t="shared" si="344"/>
        <v>135129</v>
      </c>
      <c r="AA208" s="74">
        <f t="shared" si="344"/>
        <v>-10477</v>
      </c>
      <c r="AB208" s="74">
        <f t="shared" si="344"/>
        <v>0</v>
      </c>
      <c r="AC208" s="74">
        <f t="shared" si="344"/>
        <v>0</v>
      </c>
      <c r="AD208" s="74">
        <f t="shared" si="344"/>
        <v>0</v>
      </c>
      <c r="AE208" s="74">
        <f t="shared" si="344"/>
        <v>348205</v>
      </c>
      <c r="AF208" s="74">
        <f t="shared" si="344"/>
        <v>-125277</v>
      </c>
      <c r="AG208" s="74">
        <f t="shared" si="344"/>
        <v>222928</v>
      </c>
      <c r="AH208" s="74">
        <f t="shared" si="344"/>
        <v>-4500</v>
      </c>
      <c r="AI208" s="74">
        <f t="shared" si="344"/>
        <v>114800</v>
      </c>
      <c r="AJ208" s="74">
        <f t="shared" si="344"/>
        <v>0</v>
      </c>
      <c r="AK208" s="74">
        <f t="shared" si="344"/>
        <v>45751</v>
      </c>
      <c r="AL208" s="74">
        <f t="shared" si="344"/>
        <v>0</v>
      </c>
      <c r="AM208" s="74">
        <f t="shared" si="344"/>
        <v>41251</v>
      </c>
      <c r="AN208" s="74">
        <f t="shared" si="344"/>
        <v>114800</v>
      </c>
      <c r="AO208" s="74">
        <f t="shared" si="344"/>
        <v>156051</v>
      </c>
      <c r="AP208" s="74">
        <f t="shared" si="344"/>
        <v>389456</v>
      </c>
      <c r="AQ208" s="74">
        <f t="shared" si="344"/>
        <v>-10477</v>
      </c>
      <c r="AR208" s="74">
        <f t="shared" si="344"/>
        <v>378979</v>
      </c>
      <c r="AS208" s="74">
        <f t="shared" si="344"/>
        <v>112632</v>
      </c>
      <c r="AT208" s="74">
        <f t="shared" si="344"/>
        <v>2229</v>
      </c>
      <c r="AU208" s="74">
        <f t="shared" si="344"/>
        <v>7500</v>
      </c>
      <c r="AV208" s="74">
        <f t="shared" si="344"/>
        <v>0</v>
      </c>
      <c r="AW208" s="74">
        <f t="shared" si="344"/>
        <v>0</v>
      </c>
      <c r="AX208" s="74">
        <f t="shared" si="344"/>
        <v>7500</v>
      </c>
      <c r="AY208" s="74">
        <f t="shared" si="344"/>
        <v>501340</v>
      </c>
      <c r="AZ208" s="75">
        <f t="shared" si="344"/>
        <v>0.01</v>
      </c>
      <c r="BA208" s="75">
        <f t="shared" si="344"/>
        <v>-0.35</v>
      </c>
      <c r="BB208" s="75">
        <f t="shared" si="344"/>
        <v>0.56000000000000005</v>
      </c>
      <c r="BC208" s="75">
        <f t="shared" si="344"/>
        <v>0.27</v>
      </c>
      <c r="BD208" s="75">
        <f t="shared" si="344"/>
        <v>-0.03</v>
      </c>
      <c r="BE208" s="75">
        <f t="shared" si="344"/>
        <v>0</v>
      </c>
      <c r="BF208" s="75">
        <f t="shared" si="344"/>
        <v>0</v>
      </c>
      <c r="BG208" s="75">
        <f t="shared" si="344"/>
        <v>0</v>
      </c>
      <c r="BH208" s="75">
        <f t="shared" si="344"/>
        <v>0</v>
      </c>
      <c r="BI208" s="75">
        <f t="shared" si="344"/>
        <v>0.84000000000000008</v>
      </c>
      <c r="BJ208" s="75">
        <f t="shared" si="344"/>
        <v>-0.38</v>
      </c>
      <c r="BK208" s="76">
        <f t="shared" si="344"/>
        <v>0.46000000000000008</v>
      </c>
      <c r="BL208" s="781">
        <f t="shared" si="344"/>
        <v>40394312</v>
      </c>
      <c r="BM208" s="74">
        <f t="shared" si="344"/>
        <v>29250848</v>
      </c>
      <c r="BN208" s="74">
        <f t="shared" si="344"/>
        <v>25047344</v>
      </c>
      <c r="BO208" s="74">
        <f t="shared" si="344"/>
        <v>4203504</v>
      </c>
      <c r="BP208" s="74">
        <f t="shared" si="344"/>
        <v>298260</v>
      </c>
      <c r="BQ208" s="74">
        <f t="shared" si="344"/>
        <v>173460</v>
      </c>
      <c r="BR208" s="74">
        <f t="shared" si="344"/>
        <v>124800</v>
      </c>
      <c r="BS208" s="74">
        <f t="shared" si="344"/>
        <v>9947728</v>
      </c>
      <c r="BT208" s="74">
        <f t="shared" si="344"/>
        <v>292509</v>
      </c>
      <c r="BU208" s="74">
        <f t="shared" si="344"/>
        <v>604967</v>
      </c>
      <c r="BV208" s="75">
        <f t="shared" si="344"/>
        <v>52.109699999999997</v>
      </c>
      <c r="BW208" s="75">
        <f t="shared" si="344"/>
        <v>39.4099</v>
      </c>
      <c r="BX208" s="76">
        <f t="shared" si="344"/>
        <v>12.6998</v>
      </c>
      <c r="BY208" s="791">
        <f t="shared" ref="BY208:CJ208" si="345">SUM(BY203:BY207)</f>
        <v>0</v>
      </c>
      <c r="BZ208" s="679">
        <f t="shared" si="345"/>
        <v>0</v>
      </c>
      <c r="CA208" s="679">
        <f t="shared" si="345"/>
        <v>0</v>
      </c>
      <c r="CB208" s="679">
        <f t="shared" si="345"/>
        <v>0</v>
      </c>
      <c r="CC208" s="679">
        <f t="shared" si="345"/>
        <v>0</v>
      </c>
      <c r="CD208" s="947">
        <f t="shared" si="345"/>
        <v>0</v>
      </c>
      <c r="CE208" s="956">
        <f t="shared" si="345"/>
        <v>1121182</v>
      </c>
      <c r="CF208" s="953">
        <f t="shared" si="345"/>
        <v>736851</v>
      </c>
      <c r="CG208" s="953">
        <f t="shared" si="345"/>
        <v>249056</v>
      </c>
      <c r="CH208" s="953">
        <f t="shared" si="345"/>
        <v>7369</v>
      </c>
      <c r="CI208" s="953">
        <f t="shared" si="345"/>
        <v>127906</v>
      </c>
      <c r="CJ208" s="877">
        <f t="shared" si="345"/>
        <v>2.2217000000000002</v>
      </c>
    </row>
    <row r="209" spans="1:88" ht="14.1" customHeight="1">
      <c r="A209" s="66">
        <v>44</v>
      </c>
      <c r="B209" s="63">
        <v>2486</v>
      </c>
      <c r="C209" s="64">
        <v>600079970</v>
      </c>
      <c r="D209" s="63">
        <v>46744908</v>
      </c>
      <c r="E209" s="65" t="s">
        <v>623</v>
      </c>
      <c r="F209" s="66">
        <v>3113</v>
      </c>
      <c r="G209" s="65" t="s">
        <v>293</v>
      </c>
      <c r="H209" s="67" t="s">
        <v>271</v>
      </c>
      <c r="I209" s="419">
        <v>20378961</v>
      </c>
      <c r="J209" s="414">
        <v>14621908</v>
      </c>
      <c r="K209" s="414">
        <v>13053496</v>
      </c>
      <c r="L209" s="414">
        <v>1568412</v>
      </c>
      <c r="M209" s="414">
        <v>230000</v>
      </c>
      <c r="N209" s="414">
        <v>215000</v>
      </c>
      <c r="O209" s="414">
        <v>15000</v>
      </c>
      <c r="P209" s="595">
        <v>5019944</v>
      </c>
      <c r="Q209" s="595">
        <v>146219</v>
      </c>
      <c r="R209" s="414">
        <v>360890</v>
      </c>
      <c r="S209" s="415">
        <v>22.980799999999999</v>
      </c>
      <c r="T209" s="415">
        <v>18.425999999999998</v>
      </c>
      <c r="U209" s="422">
        <v>4.5548000000000002</v>
      </c>
      <c r="V209" s="423">
        <f t="shared" si="325"/>
        <v>-40000</v>
      </c>
      <c r="W209" s="417">
        <f t="shared" si="326"/>
        <v>0</v>
      </c>
      <c r="X209" s="417">
        <v>0</v>
      </c>
      <c r="Y209" s="417">
        <v>29790</v>
      </c>
      <c r="Z209" s="417">
        <v>0</v>
      </c>
      <c r="AA209" s="417">
        <v>0</v>
      </c>
      <c r="AB209" s="417">
        <v>0</v>
      </c>
      <c r="AC209" s="417">
        <v>0</v>
      </c>
      <c r="AD209" s="417">
        <v>0</v>
      </c>
      <c r="AE209" s="417">
        <f t="shared" si="327"/>
        <v>-10210</v>
      </c>
      <c r="AF209" s="417">
        <f t="shared" si="328"/>
        <v>0</v>
      </c>
      <c r="AG209" s="417">
        <f t="shared" si="329"/>
        <v>-10210</v>
      </c>
      <c r="AH209" s="417">
        <v>40000</v>
      </c>
      <c r="AI209" s="417">
        <v>0</v>
      </c>
      <c r="AJ209" s="417">
        <v>0</v>
      </c>
      <c r="AK209" s="417">
        <v>0</v>
      </c>
      <c r="AL209" s="417">
        <v>0</v>
      </c>
      <c r="AM209" s="417">
        <f t="shared" si="330"/>
        <v>40000</v>
      </c>
      <c r="AN209" s="417">
        <f t="shared" si="331"/>
        <v>0</v>
      </c>
      <c r="AO209" s="417">
        <f t="shared" si="332"/>
        <v>40000</v>
      </c>
      <c r="AP209" s="417">
        <f t="shared" si="333"/>
        <v>29790</v>
      </c>
      <c r="AQ209" s="417">
        <f t="shared" si="334"/>
        <v>0</v>
      </c>
      <c r="AR209" s="417">
        <f t="shared" si="335"/>
        <v>29790</v>
      </c>
      <c r="AS209" s="68">
        <f t="shared" si="336"/>
        <v>10069</v>
      </c>
      <c r="AT209" s="68">
        <f t="shared" si="337"/>
        <v>-102</v>
      </c>
      <c r="AU209" s="417">
        <v>0</v>
      </c>
      <c r="AV209" s="417">
        <v>0</v>
      </c>
      <c r="AW209" s="417">
        <v>0</v>
      </c>
      <c r="AX209" s="417">
        <f t="shared" si="338"/>
        <v>0</v>
      </c>
      <c r="AY209" s="417">
        <f t="shared" si="339"/>
        <v>39757</v>
      </c>
      <c r="AZ209" s="418">
        <v>-0.06</v>
      </c>
      <c r="BA209" s="418">
        <v>0</v>
      </c>
      <c r="BB209" s="418">
        <v>0</v>
      </c>
      <c r="BC209" s="418">
        <v>0</v>
      </c>
      <c r="BD209" s="418">
        <v>0</v>
      </c>
      <c r="BE209" s="418">
        <v>0.04</v>
      </c>
      <c r="BF209" s="418">
        <v>0</v>
      </c>
      <c r="BG209" s="418">
        <v>0</v>
      </c>
      <c r="BH209" s="418">
        <v>0</v>
      </c>
      <c r="BI209" s="418">
        <f t="shared" si="340"/>
        <v>-1.9999999999999997E-2</v>
      </c>
      <c r="BJ209" s="418">
        <f t="shared" si="341"/>
        <v>0</v>
      </c>
      <c r="BK209" s="420">
        <f t="shared" si="342"/>
        <v>-1.9999999999999997E-2</v>
      </c>
      <c r="BL209" s="772">
        <f t="shared" ref="BL209:BL214" si="346">I209+AY209</f>
        <v>20418718</v>
      </c>
      <c r="BM209" s="417">
        <f t="shared" ref="BM209:BM214" si="347">J209+AG209</f>
        <v>14611698</v>
      </c>
      <c r="BN209" s="417">
        <f t="shared" ref="BN209:BO214" si="348">K209+AE209</f>
        <v>13043286</v>
      </c>
      <c r="BO209" s="417">
        <f t="shared" si="348"/>
        <v>1568412</v>
      </c>
      <c r="BP209" s="417">
        <f t="shared" ref="BP209:BP214" si="349">M209+AO209</f>
        <v>270000</v>
      </c>
      <c r="BQ209" s="417">
        <f t="shared" ref="BQ209:BR214" si="350">N209+AM209</f>
        <v>255000</v>
      </c>
      <c r="BR209" s="417">
        <f t="shared" si="350"/>
        <v>15000</v>
      </c>
      <c r="BS209" s="417">
        <f t="shared" ref="BS209:BT214" si="351">P209+AS209</f>
        <v>5030013</v>
      </c>
      <c r="BT209" s="417">
        <f t="shared" si="351"/>
        <v>146117</v>
      </c>
      <c r="BU209" s="417">
        <f t="shared" ref="BU209:BU214" si="352">R209+AX209</f>
        <v>360890</v>
      </c>
      <c r="BV209" s="418">
        <f t="shared" ref="BV209:BV214" si="353">S209+BK209</f>
        <v>22.960799999999999</v>
      </c>
      <c r="BW209" s="418">
        <f t="shared" ref="BW209:BX214" si="354">T209+BI209</f>
        <v>18.405999999999999</v>
      </c>
      <c r="BX209" s="420">
        <f t="shared" si="354"/>
        <v>4.5548000000000002</v>
      </c>
      <c r="BY209" s="419"/>
      <c r="BZ209" s="414"/>
      <c r="CA209" s="414"/>
      <c r="CB209" s="414"/>
      <c r="CC209" s="414"/>
      <c r="CD209" s="422"/>
      <c r="CE209" s="419">
        <f t="shared" si="343"/>
        <v>765465</v>
      </c>
      <c r="CF209" s="414">
        <v>508228</v>
      </c>
      <c r="CG209" s="414">
        <v>171781</v>
      </c>
      <c r="CH209" s="414">
        <v>5082</v>
      </c>
      <c r="CI209" s="414">
        <v>80374</v>
      </c>
      <c r="CJ209" s="509">
        <v>1.4685000000000001</v>
      </c>
    </row>
    <row r="210" spans="1:88" ht="14.1" customHeight="1">
      <c r="A210" s="66">
        <v>44</v>
      </c>
      <c r="B210" s="63">
        <v>2486</v>
      </c>
      <c r="C210" s="64">
        <v>600079970</v>
      </c>
      <c r="D210" s="63">
        <v>46744908</v>
      </c>
      <c r="E210" s="65" t="s">
        <v>623</v>
      </c>
      <c r="F210" s="66">
        <v>3113</v>
      </c>
      <c r="G210" s="77" t="s">
        <v>291</v>
      </c>
      <c r="H210" s="67" t="s">
        <v>272</v>
      </c>
      <c r="I210" s="419">
        <v>1877780</v>
      </c>
      <c r="J210" s="414">
        <v>1390638</v>
      </c>
      <c r="K210" s="414">
        <v>1390638</v>
      </c>
      <c r="L210" s="414">
        <v>0</v>
      </c>
      <c r="M210" s="414">
        <v>0</v>
      </c>
      <c r="N210" s="414">
        <v>0</v>
      </c>
      <c r="O210" s="414">
        <v>0</v>
      </c>
      <c r="P210" s="595">
        <v>470036</v>
      </c>
      <c r="Q210" s="595">
        <v>13906</v>
      </c>
      <c r="R210" s="414">
        <v>3200</v>
      </c>
      <c r="S210" s="415">
        <v>3.69</v>
      </c>
      <c r="T210" s="416">
        <v>3.69</v>
      </c>
      <c r="U210" s="422">
        <v>0</v>
      </c>
      <c r="V210" s="423">
        <f t="shared" si="325"/>
        <v>0</v>
      </c>
      <c r="W210" s="417">
        <f t="shared" si="326"/>
        <v>0</v>
      </c>
      <c r="X210" s="417">
        <v>0</v>
      </c>
      <c r="Y210" s="417">
        <v>0</v>
      </c>
      <c r="Z210" s="417">
        <v>0</v>
      </c>
      <c r="AA210" s="417">
        <v>0</v>
      </c>
      <c r="AB210" s="417">
        <v>0</v>
      </c>
      <c r="AC210" s="417">
        <v>0</v>
      </c>
      <c r="AD210" s="417">
        <v>0</v>
      </c>
      <c r="AE210" s="417">
        <f t="shared" si="327"/>
        <v>0</v>
      </c>
      <c r="AF210" s="417">
        <f t="shared" si="328"/>
        <v>0</v>
      </c>
      <c r="AG210" s="417">
        <f t="shared" si="329"/>
        <v>0</v>
      </c>
      <c r="AH210" s="417">
        <v>0</v>
      </c>
      <c r="AI210" s="417">
        <v>0</v>
      </c>
      <c r="AJ210" s="417">
        <v>0</v>
      </c>
      <c r="AK210" s="417">
        <v>0</v>
      </c>
      <c r="AL210" s="417">
        <v>0</v>
      </c>
      <c r="AM210" s="417">
        <f t="shared" si="330"/>
        <v>0</v>
      </c>
      <c r="AN210" s="417">
        <f t="shared" si="331"/>
        <v>0</v>
      </c>
      <c r="AO210" s="417">
        <f t="shared" si="332"/>
        <v>0</v>
      </c>
      <c r="AP210" s="417">
        <f t="shared" si="333"/>
        <v>0</v>
      </c>
      <c r="AQ210" s="417">
        <f t="shared" si="334"/>
        <v>0</v>
      </c>
      <c r="AR210" s="417">
        <f t="shared" si="335"/>
        <v>0</v>
      </c>
      <c r="AS210" s="68">
        <f t="shared" si="336"/>
        <v>0</v>
      </c>
      <c r="AT210" s="68">
        <f t="shared" si="337"/>
        <v>0</v>
      </c>
      <c r="AU210" s="417">
        <v>0</v>
      </c>
      <c r="AV210" s="417">
        <v>0</v>
      </c>
      <c r="AW210" s="417">
        <v>0</v>
      </c>
      <c r="AX210" s="417">
        <f t="shared" si="338"/>
        <v>0</v>
      </c>
      <c r="AY210" s="417">
        <f t="shared" si="339"/>
        <v>0</v>
      </c>
      <c r="AZ210" s="418">
        <v>0</v>
      </c>
      <c r="BA210" s="418">
        <v>0</v>
      </c>
      <c r="BB210" s="418">
        <v>0</v>
      </c>
      <c r="BC210" s="418">
        <v>0</v>
      </c>
      <c r="BD210" s="418">
        <v>0</v>
      </c>
      <c r="BE210" s="418">
        <v>0</v>
      </c>
      <c r="BF210" s="418">
        <v>0</v>
      </c>
      <c r="BG210" s="418">
        <v>0</v>
      </c>
      <c r="BH210" s="418">
        <v>0</v>
      </c>
      <c r="BI210" s="418">
        <f t="shared" si="340"/>
        <v>0</v>
      </c>
      <c r="BJ210" s="418">
        <f t="shared" si="341"/>
        <v>0</v>
      </c>
      <c r="BK210" s="420">
        <f t="shared" si="342"/>
        <v>0</v>
      </c>
      <c r="BL210" s="772">
        <f t="shared" si="346"/>
        <v>1877780</v>
      </c>
      <c r="BM210" s="417">
        <f t="shared" si="347"/>
        <v>1390638</v>
      </c>
      <c r="BN210" s="417">
        <f t="shared" si="348"/>
        <v>1390638</v>
      </c>
      <c r="BO210" s="417">
        <f t="shared" si="348"/>
        <v>0</v>
      </c>
      <c r="BP210" s="417">
        <f t="shared" si="349"/>
        <v>0</v>
      </c>
      <c r="BQ210" s="417">
        <f t="shared" si="350"/>
        <v>0</v>
      </c>
      <c r="BR210" s="417">
        <f t="shared" si="350"/>
        <v>0</v>
      </c>
      <c r="BS210" s="417">
        <f t="shared" si="351"/>
        <v>470036</v>
      </c>
      <c r="BT210" s="417">
        <f t="shared" si="351"/>
        <v>13906</v>
      </c>
      <c r="BU210" s="417">
        <f t="shared" si="352"/>
        <v>3200</v>
      </c>
      <c r="BV210" s="418">
        <f t="shared" si="353"/>
        <v>3.69</v>
      </c>
      <c r="BW210" s="418">
        <f t="shared" si="354"/>
        <v>3.69</v>
      </c>
      <c r="BX210" s="420">
        <f t="shared" si="354"/>
        <v>0</v>
      </c>
      <c r="BY210" s="419"/>
      <c r="BZ210" s="414"/>
      <c r="CA210" s="414"/>
      <c r="CB210" s="414"/>
      <c r="CC210" s="414"/>
      <c r="CD210" s="422"/>
      <c r="CE210" s="419">
        <f t="shared" si="343"/>
        <v>0</v>
      </c>
      <c r="CF210" s="414">
        <v>0</v>
      </c>
      <c r="CG210" s="414">
        <v>0</v>
      </c>
      <c r="CH210" s="414">
        <v>0</v>
      </c>
      <c r="CI210" s="414">
        <v>0</v>
      </c>
      <c r="CJ210" s="509">
        <v>0</v>
      </c>
    </row>
    <row r="211" spans="1:88" ht="14.1" customHeight="1">
      <c r="A211" s="66">
        <v>44</v>
      </c>
      <c r="B211" s="63">
        <v>2486</v>
      </c>
      <c r="C211" s="64">
        <v>600079970</v>
      </c>
      <c r="D211" s="63">
        <v>46744908</v>
      </c>
      <c r="E211" s="65" t="s">
        <v>623</v>
      </c>
      <c r="F211" s="66">
        <v>3141</v>
      </c>
      <c r="G211" s="65" t="s">
        <v>294</v>
      </c>
      <c r="H211" s="67" t="s">
        <v>272</v>
      </c>
      <c r="I211" s="419">
        <v>778584</v>
      </c>
      <c r="J211" s="414">
        <v>552933</v>
      </c>
      <c r="K211" s="414">
        <v>0</v>
      </c>
      <c r="L211" s="744">
        <v>552933</v>
      </c>
      <c r="M211" s="414">
        <v>18000</v>
      </c>
      <c r="N211" s="204">
        <v>0</v>
      </c>
      <c r="O211" s="204">
        <v>18000</v>
      </c>
      <c r="P211" s="595">
        <v>192975</v>
      </c>
      <c r="Q211" s="595">
        <v>5530</v>
      </c>
      <c r="R211" s="601">
        <v>9146</v>
      </c>
      <c r="S211" s="415">
        <v>1.71</v>
      </c>
      <c r="T211" s="603">
        <v>0</v>
      </c>
      <c r="U211" s="731">
        <v>1.71</v>
      </c>
      <c r="V211" s="423">
        <f t="shared" si="325"/>
        <v>0</v>
      </c>
      <c r="W211" s="417">
        <f t="shared" si="326"/>
        <v>8000</v>
      </c>
      <c r="X211" s="417">
        <v>0</v>
      </c>
      <c r="Y211" s="417">
        <v>0</v>
      </c>
      <c r="Z211" s="417">
        <v>0</v>
      </c>
      <c r="AA211" s="417">
        <v>1125</v>
      </c>
      <c r="AB211" s="417">
        <v>0</v>
      </c>
      <c r="AC211" s="417">
        <v>0</v>
      </c>
      <c r="AD211" s="417">
        <v>0</v>
      </c>
      <c r="AE211" s="417">
        <f t="shared" si="327"/>
        <v>0</v>
      </c>
      <c r="AF211" s="417">
        <f t="shared" si="328"/>
        <v>9125</v>
      </c>
      <c r="AG211" s="417">
        <f t="shared" si="329"/>
        <v>9125</v>
      </c>
      <c r="AH211" s="417">
        <v>0</v>
      </c>
      <c r="AI211" s="417">
        <v>-8000</v>
      </c>
      <c r="AJ211" s="417">
        <v>0</v>
      </c>
      <c r="AK211" s="417">
        <v>0</v>
      </c>
      <c r="AL211" s="417">
        <v>0</v>
      </c>
      <c r="AM211" s="417">
        <f t="shared" si="330"/>
        <v>0</v>
      </c>
      <c r="AN211" s="417">
        <f t="shared" si="331"/>
        <v>-8000</v>
      </c>
      <c r="AO211" s="417">
        <f t="shared" si="332"/>
        <v>-8000</v>
      </c>
      <c r="AP211" s="417">
        <f t="shared" si="333"/>
        <v>0</v>
      </c>
      <c r="AQ211" s="417">
        <f t="shared" si="334"/>
        <v>1125</v>
      </c>
      <c r="AR211" s="417">
        <f t="shared" si="335"/>
        <v>1125</v>
      </c>
      <c r="AS211" s="68">
        <f t="shared" si="336"/>
        <v>380</v>
      </c>
      <c r="AT211" s="68">
        <f t="shared" si="337"/>
        <v>91</v>
      </c>
      <c r="AU211" s="417">
        <v>0</v>
      </c>
      <c r="AV211" s="417">
        <v>0</v>
      </c>
      <c r="AW211" s="417">
        <v>0</v>
      </c>
      <c r="AX211" s="417">
        <f t="shared" si="338"/>
        <v>0</v>
      </c>
      <c r="AY211" s="417">
        <f t="shared" si="339"/>
        <v>1596</v>
      </c>
      <c r="AZ211" s="418">
        <v>0</v>
      </c>
      <c r="BA211" s="418">
        <v>0</v>
      </c>
      <c r="BB211" s="418">
        <v>0</v>
      </c>
      <c r="BC211" s="418">
        <v>0</v>
      </c>
      <c r="BD211" s="418">
        <v>0</v>
      </c>
      <c r="BE211" s="418">
        <v>0</v>
      </c>
      <c r="BF211" s="418">
        <v>0</v>
      </c>
      <c r="BG211" s="418">
        <v>0</v>
      </c>
      <c r="BH211" s="418">
        <v>0</v>
      </c>
      <c r="BI211" s="418">
        <f t="shared" si="340"/>
        <v>0</v>
      </c>
      <c r="BJ211" s="418">
        <f t="shared" si="341"/>
        <v>0</v>
      </c>
      <c r="BK211" s="420">
        <f t="shared" si="342"/>
        <v>0</v>
      </c>
      <c r="BL211" s="772">
        <f t="shared" si="346"/>
        <v>780180</v>
      </c>
      <c r="BM211" s="417">
        <f t="shared" si="347"/>
        <v>562058</v>
      </c>
      <c r="BN211" s="417">
        <f t="shared" si="348"/>
        <v>0</v>
      </c>
      <c r="BO211" s="417">
        <f t="shared" si="348"/>
        <v>562058</v>
      </c>
      <c r="BP211" s="417">
        <f t="shared" si="349"/>
        <v>10000</v>
      </c>
      <c r="BQ211" s="417">
        <f t="shared" si="350"/>
        <v>0</v>
      </c>
      <c r="BR211" s="417">
        <f t="shared" si="350"/>
        <v>10000</v>
      </c>
      <c r="BS211" s="417">
        <f t="shared" si="351"/>
        <v>193355</v>
      </c>
      <c r="BT211" s="417">
        <f t="shared" si="351"/>
        <v>5621</v>
      </c>
      <c r="BU211" s="417">
        <f t="shared" si="352"/>
        <v>9146</v>
      </c>
      <c r="BV211" s="418">
        <f t="shared" si="353"/>
        <v>1.71</v>
      </c>
      <c r="BW211" s="418">
        <f t="shared" si="354"/>
        <v>0</v>
      </c>
      <c r="BX211" s="420">
        <f t="shared" si="354"/>
        <v>1.71</v>
      </c>
      <c r="BY211" s="419"/>
      <c r="BZ211" s="414"/>
      <c r="CA211" s="414"/>
      <c r="CB211" s="414"/>
      <c r="CC211" s="414"/>
      <c r="CD211" s="422"/>
      <c r="CE211" s="419">
        <f t="shared" si="343"/>
        <v>0</v>
      </c>
      <c r="CF211" s="414">
        <v>0</v>
      </c>
      <c r="CG211" s="414">
        <v>0</v>
      </c>
      <c r="CH211" s="414">
        <v>0</v>
      </c>
      <c r="CI211" s="414">
        <v>0</v>
      </c>
      <c r="CJ211" s="509">
        <v>0</v>
      </c>
    </row>
    <row r="212" spans="1:88" ht="14.1" customHeight="1">
      <c r="A212" s="66">
        <v>44</v>
      </c>
      <c r="B212" s="63">
        <v>2486</v>
      </c>
      <c r="C212" s="64">
        <v>600079970</v>
      </c>
      <c r="D212" s="63">
        <v>46744908</v>
      </c>
      <c r="E212" s="65" t="s">
        <v>623</v>
      </c>
      <c r="F212" s="66">
        <v>3143</v>
      </c>
      <c r="G212" s="77" t="s">
        <v>595</v>
      </c>
      <c r="H212" s="67" t="s">
        <v>271</v>
      </c>
      <c r="I212" s="419">
        <v>1797741</v>
      </c>
      <c r="J212" s="414">
        <v>1306836</v>
      </c>
      <c r="K212" s="414">
        <v>1306836</v>
      </c>
      <c r="L212" s="414">
        <v>0</v>
      </c>
      <c r="M212" s="414">
        <v>27000</v>
      </c>
      <c r="N212" s="414">
        <v>27000</v>
      </c>
      <c r="O212" s="414">
        <v>0</v>
      </c>
      <c r="P212" s="595">
        <v>450837</v>
      </c>
      <c r="Q212" s="595">
        <v>13068</v>
      </c>
      <c r="R212" s="414">
        <v>0</v>
      </c>
      <c r="S212" s="415">
        <v>2.48</v>
      </c>
      <c r="T212" s="415">
        <v>2.48</v>
      </c>
      <c r="U212" s="422">
        <v>0</v>
      </c>
      <c r="V212" s="423">
        <f t="shared" si="325"/>
        <v>7000</v>
      </c>
      <c r="W212" s="417">
        <f t="shared" si="326"/>
        <v>0</v>
      </c>
      <c r="X212" s="417">
        <v>0</v>
      </c>
      <c r="Y212" s="417">
        <v>0</v>
      </c>
      <c r="Z212" s="417">
        <v>70308</v>
      </c>
      <c r="AA212" s="417">
        <v>0</v>
      </c>
      <c r="AB212" s="417">
        <v>0</v>
      </c>
      <c r="AC212" s="417">
        <v>0</v>
      </c>
      <c r="AD212" s="417">
        <v>0</v>
      </c>
      <c r="AE212" s="417">
        <f t="shared" si="327"/>
        <v>77308</v>
      </c>
      <c r="AF212" s="417">
        <f t="shared" si="328"/>
        <v>0</v>
      </c>
      <c r="AG212" s="417">
        <f t="shared" si="329"/>
        <v>77308</v>
      </c>
      <c r="AH212" s="417">
        <v>-7000</v>
      </c>
      <c r="AI212" s="417">
        <v>0</v>
      </c>
      <c r="AJ212" s="417">
        <v>0</v>
      </c>
      <c r="AK212" s="417">
        <v>0</v>
      </c>
      <c r="AL212" s="417">
        <v>0</v>
      </c>
      <c r="AM212" s="417">
        <f t="shared" si="330"/>
        <v>-7000</v>
      </c>
      <c r="AN212" s="417">
        <f t="shared" si="331"/>
        <v>0</v>
      </c>
      <c r="AO212" s="417">
        <f t="shared" si="332"/>
        <v>-7000</v>
      </c>
      <c r="AP212" s="417">
        <f t="shared" si="333"/>
        <v>70308</v>
      </c>
      <c r="AQ212" s="417">
        <f t="shared" si="334"/>
        <v>0</v>
      </c>
      <c r="AR212" s="417">
        <f t="shared" si="335"/>
        <v>70308</v>
      </c>
      <c r="AS212" s="68">
        <f t="shared" si="336"/>
        <v>23764</v>
      </c>
      <c r="AT212" s="68">
        <f t="shared" si="337"/>
        <v>773</v>
      </c>
      <c r="AU212" s="417">
        <v>0</v>
      </c>
      <c r="AV212" s="417">
        <v>0</v>
      </c>
      <c r="AW212" s="417">
        <v>0</v>
      </c>
      <c r="AX212" s="417">
        <f t="shared" si="338"/>
        <v>0</v>
      </c>
      <c r="AY212" s="417">
        <f t="shared" si="339"/>
        <v>94845</v>
      </c>
      <c r="AZ212" s="418">
        <v>0.02</v>
      </c>
      <c r="BA212" s="418">
        <v>0</v>
      </c>
      <c r="BB212" s="418">
        <v>0</v>
      </c>
      <c r="BC212" s="418">
        <v>0.15</v>
      </c>
      <c r="BD212" s="418">
        <v>0</v>
      </c>
      <c r="BE212" s="418">
        <v>0</v>
      </c>
      <c r="BF212" s="418">
        <v>0</v>
      </c>
      <c r="BG212" s="418">
        <v>0</v>
      </c>
      <c r="BH212" s="418">
        <v>0</v>
      </c>
      <c r="BI212" s="418">
        <f t="shared" si="340"/>
        <v>0.16999999999999998</v>
      </c>
      <c r="BJ212" s="418">
        <f t="shared" si="341"/>
        <v>0</v>
      </c>
      <c r="BK212" s="420">
        <f t="shared" si="342"/>
        <v>0.16999999999999998</v>
      </c>
      <c r="BL212" s="772">
        <f t="shared" si="346"/>
        <v>1892586</v>
      </c>
      <c r="BM212" s="417">
        <f t="shared" si="347"/>
        <v>1384144</v>
      </c>
      <c r="BN212" s="417">
        <f t="shared" si="348"/>
        <v>1384144</v>
      </c>
      <c r="BO212" s="417">
        <f t="shared" si="348"/>
        <v>0</v>
      </c>
      <c r="BP212" s="417">
        <f t="shared" si="349"/>
        <v>20000</v>
      </c>
      <c r="BQ212" s="417">
        <f t="shared" si="350"/>
        <v>20000</v>
      </c>
      <c r="BR212" s="417">
        <f t="shared" si="350"/>
        <v>0</v>
      </c>
      <c r="BS212" s="417">
        <f t="shared" si="351"/>
        <v>474601</v>
      </c>
      <c r="BT212" s="417">
        <f t="shared" si="351"/>
        <v>13841</v>
      </c>
      <c r="BU212" s="417">
        <f t="shared" si="352"/>
        <v>0</v>
      </c>
      <c r="BV212" s="418">
        <f t="shared" si="353"/>
        <v>2.65</v>
      </c>
      <c r="BW212" s="418">
        <f t="shared" si="354"/>
        <v>2.65</v>
      </c>
      <c r="BX212" s="420">
        <f t="shared" si="354"/>
        <v>0</v>
      </c>
      <c r="BY212" s="419"/>
      <c r="BZ212" s="414"/>
      <c r="CA212" s="414"/>
      <c r="CB212" s="414"/>
      <c r="CC212" s="414"/>
      <c r="CD212" s="422"/>
      <c r="CE212" s="419">
        <f t="shared" si="343"/>
        <v>0</v>
      </c>
      <c r="CF212" s="414">
        <v>0</v>
      </c>
      <c r="CG212" s="414">
        <v>0</v>
      </c>
      <c r="CH212" s="414">
        <v>0</v>
      </c>
      <c r="CI212" s="414">
        <v>0</v>
      </c>
      <c r="CJ212" s="509">
        <v>0</v>
      </c>
    </row>
    <row r="213" spans="1:88" ht="14.1" customHeight="1">
      <c r="A213" s="66">
        <v>44</v>
      </c>
      <c r="B213" s="63">
        <v>2486</v>
      </c>
      <c r="C213" s="64">
        <v>600079970</v>
      </c>
      <c r="D213" s="63">
        <v>46744908</v>
      </c>
      <c r="E213" s="65" t="s">
        <v>623</v>
      </c>
      <c r="F213" s="66">
        <v>3143</v>
      </c>
      <c r="G213" s="77" t="s">
        <v>596</v>
      </c>
      <c r="H213" s="67" t="s">
        <v>272</v>
      </c>
      <c r="I213" s="419">
        <v>55325</v>
      </c>
      <c r="J213" s="414">
        <v>39600</v>
      </c>
      <c r="K213" s="414">
        <v>0</v>
      </c>
      <c r="L213" s="601">
        <v>39600</v>
      </c>
      <c r="M213" s="414">
        <v>0</v>
      </c>
      <c r="N213" s="414">
        <v>0</v>
      </c>
      <c r="O213" s="414">
        <v>0</v>
      </c>
      <c r="P213" s="595">
        <v>13385</v>
      </c>
      <c r="Q213" s="595">
        <v>396</v>
      </c>
      <c r="R213" s="602">
        <v>1944</v>
      </c>
      <c r="S213" s="415">
        <v>0.15000000000000002</v>
      </c>
      <c r="T213" s="605">
        <v>0</v>
      </c>
      <c r="U213" s="731">
        <v>0.15000000000000002</v>
      </c>
      <c r="V213" s="423">
        <f t="shared" si="325"/>
        <v>0</v>
      </c>
      <c r="W213" s="417">
        <f t="shared" si="326"/>
        <v>0</v>
      </c>
      <c r="X213" s="417">
        <v>0</v>
      </c>
      <c r="Y213" s="417">
        <v>0</v>
      </c>
      <c r="Z213" s="417">
        <v>0</v>
      </c>
      <c r="AA213" s="417">
        <v>0</v>
      </c>
      <c r="AB213" s="417">
        <v>0</v>
      </c>
      <c r="AC213" s="417">
        <v>0</v>
      </c>
      <c r="AD213" s="417">
        <v>0</v>
      </c>
      <c r="AE213" s="417">
        <f t="shared" si="327"/>
        <v>0</v>
      </c>
      <c r="AF213" s="417">
        <f t="shared" si="328"/>
        <v>0</v>
      </c>
      <c r="AG213" s="417">
        <f t="shared" si="329"/>
        <v>0</v>
      </c>
      <c r="AH213" s="417">
        <v>0</v>
      </c>
      <c r="AI213" s="417">
        <v>0</v>
      </c>
      <c r="AJ213" s="417">
        <v>0</v>
      </c>
      <c r="AK213" s="417">
        <v>0</v>
      </c>
      <c r="AL213" s="417">
        <v>0</v>
      </c>
      <c r="AM213" s="417">
        <f t="shared" si="330"/>
        <v>0</v>
      </c>
      <c r="AN213" s="417">
        <f t="shared" si="331"/>
        <v>0</v>
      </c>
      <c r="AO213" s="417">
        <f t="shared" si="332"/>
        <v>0</v>
      </c>
      <c r="AP213" s="417">
        <f t="shared" si="333"/>
        <v>0</v>
      </c>
      <c r="AQ213" s="417">
        <f t="shared" si="334"/>
        <v>0</v>
      </c>
      <c r="AR213" s="417">
        <f t="shared" si="335"/>
        <v>0</v>
      </c>
      <c r="AS213" s="68">
        <f t="shared" si="336"/>
        <v>0</v>
      </c>
      <c r="AT213" s="68">
        <f t="shared" si="337"/>
        <v>0</v>
      </c>
      <c r="AU213" s="417">
        <v>0</v>
      </c>
      <c r="AV213" s="417">
        <v>0</v>
      </c>
      <c r="AW213" s="417">
        <v>0</v>
      </c>
      <c r="AX213" s="417">
        <f t="shared" si="338"/>
        <v>0</v>
      </c>
      <c r="AY213" s="417">
        <f t="shared" si="339"/>
        <v>0</v>
      </c>
      <c r="AZ213" s="418">
        <v>0</v>
      </c>
      <c r="BA213" s="418">
        <v>0</v>
      </c>
      <c r="BB213" s="418">
        <v>0</v>
      </c>
      <c r="BC213" s="418">
        <v>0</v>
      </c>
      <c r="BD213" s="418">
        <v>0</v>
      </c>
      <c r="BE213" s="418">
        <v>0</v>
      </c>
      <c r="BF213" s="418">
        <v>0</v>
      </c>
      <c r="BG213" s="418">
        <v>0</v>
      </c>
      <c r="BH213" s="418">
        <v>0</v>
      </c>
      <c r="BI213" s="418">
        <f t="shared" si="340"/>
        <v>0</v>
      </c>
      <c r="BJ213" s="418">
        <f t="shared" si="341"/>
        <v>0</v>
      </c>
      <c r="BK213" s="420">
        <f t="shared" si="342"/>
        <v>0</v>
      </c>
      <c r="BL213" s="772">
        <f t="shared" si="346"/>
        <v>55325</v>
      </c>
      <c r="BM213" s="417">
        <f t="shared" si="347"/>
        <v>39600</v>
      </c>
      <c r="BN213" s="417">
        <f t="shared" si="348"/>
        <v>0</v>
      </c>
      <c r="BO213" s="417">
        <f t="shared" si="348"/>
        <v>39600</v>
      </c>
      <c r="BP213" s="417">
        <f t="shared" si="349"/>
        <v>0</v>
      </c>
      <c r="BQ213" s="417">
        <f t="shared" si="350"/>
        <v>0</v>
      </c>
      <c r="BR213" s="417">
        <f t="shared" si="350"/>
        <v>0</v>
      </c>
      <c r="BS213" s="417">
        <f t="shared" si="351"/>
        <v>13385</v>
      </c>
      <c r="BT213" s="417">
        <f t="shared" si="351"/>
        <v>396</v>
      </c>
      <c r="BU213" s="417">
        <f t="shared" si="352"/>
        <v>1944</v>
      </c>
      <c r="BV213" s="418">
        <f t="shared" si="353"/>
        <v>0.15000000000000002</v>
      </c>
      <c r="BW213" s="418">
        <f t="shared" si="354"/>
        <v>0</v>
      </c>
      <c r="BX213" s="420">
        <f t="shared" si="354"/>
        <v>0.15000000000000002</v>
      </c>
      <c r="BY213" s="419"/>
      <c r="BZ213" s="414"/>
      <c r="CA213" s="414"/>
      <c r="CB213" s="414"/>
      <c r="CC213" s="414"/>
      <c r="CD213" s="422"/>
      <c r="CE213" s="419">
        <f t="shared" si="343"/>
        <v>0</v>
      </c>
      <c r="CF213" s="414">
        <v>0</v>
      </c>
      <c r="CG213" s="414">
        <v>0</v>
      </c>
      <c r="CH213" s="414">
        <v>0</v>
      </c>
      <c r="CI213" s="414">
        <v>0</v>
      </c>
      <c r="CJ213" s="509">
        <v>0</v>
      </c>
    </row>
    <row r="214" spans="1:88" ht="14.1" customHeight="1">
      <c r="A214" s="66">
        <v>44</v>
      </c>
      <c r="B214" s="63">
        <v>2486</v>
      </c>
      <c r="C214" s="64">
        <v>600079970</v>
      </c>
      <c r="D214" s="63">
        <v>46744908</v>
      </c>
      <c r="E214" s="65" t="s">
        <v>623</v>
      </c>
      <c r="F214" s="66">
        <v>3233</v>
      </c>
      <c r="G214" s="65" t="s">
        <v>297</v>
      </c>
      <c r="H214" s="67" t="s">
        <v>272</v>
      </c>
      <c r="I214" s="419">
        <v>499078</v>
      </c>
      <c r="J214" s="414">
        <v>270702</v>
      </c>
      <c r="K214" s="414">
        <v>202467</v>
      </c>
      <c r="L214" s="414">
        <v>68235</v>
      </c>
      <c r="M214" s="414">
        <v>100000</v>
      </c>
      <c r="N214" s="414">
        <v>100000</v>
      </c>
      <c r="O214" s="414">
        <v>0</v>
      </c>
      <c r="P214" s="595">
        <v>125297</v>
      </c>
      <c r="Q214" s="595">
        <v>2708</v>
      </c>
      <c r="R214" s="414">
        <v>371</v>
      </c>
      <c r="S214" s="415">
        <v>0.59000000000000008</v>
      </c>
      <c r="T214" s="416">
        <v>0.37000000000000005</v>
      </c>
      <c r="U214" s="422">
        <v>0.22</v>
      </c>
      <c r="V214" s="423">
        <f t="shared" si="325"/>
        <v>-10000</v>
      </c>
      <c r="W214" s="417">
        <f t="shared" si="326"/>
        <v>0</v>
      </c>
      <c r="X214" s="417">
        <v>0</v>
      </c>
      <c r="Y214" s="417">
        <v>0</v>
      </c>
      <c r="Z214" s="417">
        <v>0</v>
      </c>
      <c r="AA214" s="417">
        <v>0</v>
      </c>
      <c r="AB214" s="417">
        <v>0</v>
      </c>
      <c r="AC214" s="417">
        <v>0</v>
      </c>
      <c r="AD214" s="417">
        <v>0</v>
      </c>
      <c r="AE214" s="417">
        <f t="shared" si="327"/>
        <v>-10000</v>
      </c>
      <c r="AF214" s="417">
        <f t="shared" si="328"/>
        <v>0</v>
      </c>
      <c r="AG214" s="417">
        <f t="shared" si="329"/>
        <v>-10000</v>
      </c>
      <c r="AH214" s="417">
        <v>10000</v>
      </c>
      <c r="AI214" s="417">
        <v>0</v>
      </c>
      <c r="AJ214" s="417">
        <v>0</v>
      </c>
      <c r="AK214" s="417">
        <v>0</v>
      </c>
      <c r="AL214" s="417">
        <v>0</v>
      </c>
      <c r="AM214" s="417">
        <f t="shared" si="330"/>
        <v>10000</v>
      </c>
      <c r="AN214" s="417">
        <f t="shared" si="331"/>
        <v>0</v>
      </c>
      <c r="AO214" s="417">
        <f t="shared" si="332"/>
        <v>10000</v>
      </c>
      <c r="AP214" s="417">
        <f t="shared" si="333"/>
        <v>0</v>
      </c>
      <c r="AQ214" s="417">
        <f t="shared" si="334"/>
        <v>0</v>
      </c>
      <c r="AR214" s="417">
        <f t="shared" si="335"/>
        <v>0</v>
      </c>
      <c r="AS214" s="68">
        <f t="shared" si="336"/>
        <v>0</v>
      </c>
      <c r="AT214" s="68">
        <f t="shared" si="337"/>
        <v>-100</v>
      </c>
      <c r="AU214" s="417">
        <v>0</v>
      </c>
      <c r="AV214" s="417">
        <v>0</v>
      </c>
      <c r="AW214" s="417">
        <v>0</v>
      </c>
      <c r="AX214" s="417">
        <f t="shared" si="338"/>
        <v>0</v>
      </c>
      <c r="AY214" s="417">
        <f t="shared" si="339"/>
        <v>-100</v>
      </c>
      <c r="AZ214" s="418">
        <v>-0.02</v>
      </c>
      <c r="BA214" s="418">
        <v>0</v>
      </c>
      <c r="BB214" s="418">
        <v>0</v>
      </c>
      <c r="BC214" s="418">
        <v>0</v>
      </c>
      <c r="BD214" s="418">
        <v>0</v>
      </c>
      <c r="BE214" s="418">
        <v>0</v>
      </c>
      <c r="BF214" s="418">
        <v>0</v>
      </c>
      <c r="BG214" s="418">
        <v>0</v>
      </c>
      <c r="BH214" s="418">
        <v>0</v>
      </c>
      <c r="BI214" s="418">
        <f t="shared" si="340"/>
        <v>-0.02</v>
      </c>
      <c r="BJ214" s="418">
        <f t="shared" si="341"/>
        <v>0</v>
      </c>
      <c r="BK214" s="420">
        <f t="shared" si="342"/>
        <v>-0.02</v>
      </c>
      <c r="BL214" s="772">
        <f t="shared" si="346"/>
        <v>498978</v>
      </c>
      <c r="BM214" s="417">
        <f t="shared" si="347"/>
        <v>260702</v>
      </c>
      <c r="BN214" s="417">
        <f t="shared" si="348"/>
        <v>192467</v>
      </c>
      <c r="BO214" s="417">
        <f t="shared" si="348"/>
        <v>68235</v>
      </c>
      <c r="BP214" s="417">
        <f t="shared" si="349"/>
        <v>110000</v>
      </c>
      <c r="BQ214" s="417">
        <f t="shared" si="350"/>
        <v>110000</v>
      </c>
      <c r="BR214" s="417">
        <f t="shared" si="350"/>
        <v>0</v>
      </c>
      <c r="BS214" s="417">
        <f t="shared" si="351"/>
        <v>125297</v>
      </c>
      <c r="BT214" s="417">
        <f t="shared" si="351"/>
        <v>2608</v>
      </c>
      <c r="BU214" s="417">
        <f t="shared" si="352"/>
        <v>371</v>
      </c>
      <c r="BV214" s="418">
        <f t="shared" si="353"/>
        <v>0.57000000000000006</v>
      </c>
      <c r="BW214" s="418">
        <f t="shared" si="354"/>
        <v>0.35000000000000003</v>
      </c>
      <c r="BX214" s="420">
        <f t="shared" si="354"/>
        <v>0.22</v>
      </c>
      <c r="BY214" s="419"/>
      <c r="BZ214" s="414"/>
      <c r="CA214" s="414"/>
      <c r="CB214" s="414"/>
      <c r="CC214" s="414"/>
      <c r="CD214" s="422"/>
      <c r="CE214" s="419">
        <f t="shared" si="343"/>
        <v>0</v>
      </c>
      <c r="CF214" s="414">
        <v>0</v>
      </c>
      <c r="CG214" s="414">
        <v>0</v>
      </c>
      <c r="CH214" s="414">
        <v>0</v>
      </c>
      <c r="CI214" s="414">
        <v>0</v>
      </c>
      <c r="CJ214" s="509">
        <v>0</v>
      </c>
    </row>
    <row r="215" spans="1:88" ht="14.1" customHeight="1">
      <c r="A215" s="72">
        <v>44</v>
      </c>
      <c r="B215" s="69">
        <v>2486</v>
      </c>
      <c r="C215" s="70">
        <v>600079970</v>
      </c>
      <c r="D215" s="69">
        <v>46744908</v>
      </c>
      <c r="E215" s="71" t="s">
        <v>624</v>
      </c>
      <c r="F215" s="72"/>
      <c r="G215" s="71"/>
      <c r="H215" s="73"/>
      <c r="I215" s="516">
        <v>25387469</v>
      </c>
      <c r="J215" s="74">
        <v>18182617</v>
      </c>
      <c r="K215" s="74">
        <v>15953437</v>
      </c>
      <c r="L215" s="74">
        <v>2229180</v>
      </c>
      <c r="M215" s="74">
        <v>375000</v>
      </c>
      <c r="N215" s="74">
        <v>342000</v>
      </c>
      <c r="O215" s="74">
        <v>33000</v>
      </c>
      <c r="P215" s="74">
        <v>6272474</v>
      </c>
      <c r="Q215" s="74">
        <v>181827</v>
      </c>
      <c r="R215" s="74">
        <v>375551</v>
      </c>
      <c r="S215" s="75">
        <v>31.6008</v>
      </c>
      <c r="T215" s="75">
        <v>24.966000000000001</v>
      </c>
      <c r="U215" s="653">
        <v>6.6348000000000003</v>
      </c>
      <c r="V215" s="516">
        <f t="shared" ref="V215:BX215" si="355">SUM(V209:V214)</f>
        <v>-43000</v>
      </c>
      <c r="W215" s="74">
        <f t="shared" si="355"/>
        <v>8000</v>
      </c>
      <c r="X215" s="74">
        <f t="shared" si="355"/>
        <v>0</v>
      </c>
      <c r="Y215" s="74">
        <f t="shared" si="355"/>
        <v>29790</v>
      </c>
      <c r="Z215" s="74">
        <f t="shared" si="355"/>
        <v>70308</v>
      </c>
      <c r="AA215" s="74">
        <f t="shared" si="355"/>
        <v>1125</v>
      </c>
      <c r="AB215" s="74">
        <f t="shared" si="355"/>
        <v>0</v>
      </c>
      <c r="AC215" s="74">
        <f t="shared" si="355"/>
        <v>0</v>
      </c>
      <c r="AD215" s="74">
        <f t="shared" si="355"/>
        <v>0</v>
      </c>
      <c r="AE215" s="74">
        <f t="shared" si="355"/>
        <v>57098</v>
      </c>
      <c r="AF215" s="74">
        <f t="shared" si="355"/>
        <v>9125</v>
      </c>
      <c r="AG215" s="74">
        <f t="shared" si="355"/>
        <v>66223</v>
      </c>
      <c r="AH215" s="74">
        <f t="shared" si="355"/>
        <v>43000</v>
      </c>
      <c r="AI215" s="74">
        <f t="shared" si="355"/>
        <v>-8000</v>
      </c>
      <c r="AJ215" s="74">
        <f t="shared" si="355"/>
        <v>0</v>
      </c>
      <c r="AK215" s="74">
        <f t="shared" si="355"/>
        <v>0</v>
      </c>
      <c r="AL215" s="74">
        <f t="shared" si="355"/>
        <v>0</v>
      </c>
      <c r="AM215" s="74">
        <f t="shared" si="355"/>
        <v>43000</v>
      </c>
      <c r="AN215" s="74">
        <f t="shared" si="355"/>
        <v>-8000</v>
      </c>
      <c r="AO215" s="74">
        <f t="shared" si="355"/>
        <v>35000</v>
      </c>
      <c r="AP215" s="74">
        <f t="shared" si="355"/>
        <v>100098</v>
      </c>
      <c r="AQ215" s="74">
        <f t="shared" si="355"/>
        <v>1125</v>
      </c>
      <c r="AR215" s="74">
        <f t="shared" si="355"/>
        <v>101223</v>
      </c>
      <c r="AS215" s="74">
        <f t="shared" si="355"/>
        <v>34213</v>
      </c>
      <c r="AT215" s="74">
        <f t="shared" si="355"/>
        <v>662</v>
      </c>
      <c r="AU215" s="74">
        <f t="shared" si="355"/>
        <v>0</v>
      </c>
      <c r="AV215" s="74">
        <f t="shared" si="355"/>
        <v>0</v>
      </c>
      <c r="AW215" s="74">
        <f t="shared" si="355"/>
        <v>0</v>
      </c>
      <c r="AX215" s="74">
        <f t="shared" si="355"/>
        <v>0</v>
      </c>
      <c r="AY215" s="74">
        <f t="shared" si="355"/>
        <v>136098</v>
      </c>
      <c r="AZ215" s="75">
        <f t="shared" si="355"/>
        <v>-0.06</v>
      </c>
      <c r="BA215" s="75">
        <f t="shared" si="355"/>
        <v>0</v>
      </c>
      <c r="BB215" s="75">
        <f t="shared" si="355"/>
        <v>0</v>
      </c>
      <c r="BC215" s="75">
        <f t="shared" si="355"/>
        <v>0.15</v>
      </c>
      <c r="BD215" s="75">
        <f t="shared" si="355"/>
        <v>0</v>
      </c>
      <c r="BE215" s="75">
        <f t="shared" si="355"/>
        <v>0.04</v>
      </c>
      <c r="BF215" s="75">
        <f t="shared" si="355"/>
        <v>0</v>
      </c>
      <c r="BG215" s="75">
        <f t="shared" si="355"/>
        <v>0</v>
      </c>
      <c r="BH215" s="75">
        <f t="shared" si="355"/>
        <v>0</v>
      </c>
      <c r="BI215" s="75">
        <f t="shared" si="355"/>
        <v>0.13</v>
      </c>
      <c r="BJ215" s="75">
        <f t="shared" si="355"/>
        <v>0</v>
      </c>
      <c r="BK215" s="76">
        <f t="shared" si="355"/>
        <v>0.13</v>
      </c>
      <c r="BL215" s="781">
        <f t="shared" si="355"/>
        <v>25523567</v>
      </c>
      <c r="BM215" s="74">
        <f t="shared" si="355"/>
        <v>18248840</v>
      </c>
      <c r="BN215" s="74">
        <f t="shared" si="355"/>
        <v>16010535</v>
      </c>
      <c r="BO215" s="74">
        <f t="shared" si="355"/>
        <v>2238305</v>
      </c>
      <c r="BP215" s="74">
        <f t="shared" si="355"/>
        <v>410000</v>
      </c>
      <c r="BQ215" s="74">
        <f t="shared" si="355"/>
        <v>385000</v>
      </c>
      <c r="BR215" s="74">
        <f t="shared" si="355"/>
        <v>25000</v>
      </c>
      <c r="BS215" s="74">
        <f t="shared" si="355"/>
        <v>6306687</v>
      </c>
      <c r="BT215" s="74">
        <f t="shared" si="355"/>
        <v>182489</v>
      </c>
      <c r="BU215" s="74">
        <f t="shared" si="355"/>
        <v>375551</v>
      </c>
      <c r="BV215" s="75">
        <f t="shared" si="355"/>
        <v>31.730799999999999</v>
      </c>
      <c r="BW215" s="75">
        <f t="shared" si="355"/>
        <v>25.096</v>
      </c>
      <c r="BX215" s="76">
        <f t="shared" si="355"/>
        <v>6.6348000000000003</v>
      </c>
      <c r="BY215" s="791">
        <f t="shared" ref="BY215:CJ215" si="356">SUM(BY209:BY214)</f>
        <v>0</v>
      </c>
      <c r="BZ215" s="679">
        <f t="shared" si="356"/>
        <v>0</v>
      </c>
      <c r="CA215" s="679">
        <f t="shared" si="356"/>
        <v>0</v>
      </c>
      <c r="CB215" s="679">
        <f t="shared" si="356"/>
        <v>0</v>
      </c>
      <c r="CC215" s="679">
        <f t="shared" si="356"/>
        <v>0</v>
      </c>
      <c r="CD215" s="947">
        <f t="shared" si="356"/>
        <v>0</v>
      </c>
      <c r="CE215" s="956">
        <f t="shared" si="356"/>
        <v>765465</v>
      </c>
      <c r="CF215" s="953">
        <f t="shared" si="356"/>
        <v>508228</v>
      </c>
      <c r="CG215" s="953">
        <f t="shared" si="356"/>
        <v>171781</v>
      </c>
      <c r="CH215" s="953">
        <f t="shared" si="356"/>
        <v>5082</v>
      </c>
      <c r="CI215" s="953">
        <f t="shared" si="356"/>
        <v>80374</v>
      </c>
      <c r="CJ215" s="877">
        <f t="shared" si="356"/>
        <v>1.4685000000000001</v>
      </c>
    </row>
    <row r="216" spans="1:88" ht="14.1" customHeight="1">
      <c r="A216" s="66">
        <v>45</v>
      </c>
      <c r="B216" s="63">
        <v>2487</v>
      </c>
      <c r="C216" s="64">
        <v>600079996</v>
      </c>
      <c r="D216" s="63">
        <v>68974639</v>
      </c>
      <c r="E216" s="65" t="s">
        <v>625</v>
      </c>
      <c r="F216" s="66">
        <v>3113</v>
      </c>
      <c r="G216" s="65" t="s">
        <v>293</v>
      </c>
      <c r="H216" s="67" t="s">
        <v>271</v>
      </c>
      <c r="I216" s="419">
        <v>30147756</v>
      </c>
      <c r="J216" s="414">
        <v>21921777</v>
      </c>
      <c r="K216" s="414">
        <v>19822511</v>
      </c>
      <c r="L216" s="414">
        <v>2099266</v>
      </c>
      <c r="M216" s="414">
        <v>60000</v>
      </c>
      <c r="N216" s="414">
        <v>50000</v>
      </c>
      <c r="O216" s="414">
        <v>10000</v>
      </c>
      <c r="P216" s="595">
        <v>7429841</v>
      </c>
      <c r="Q216" s="595">
        <v>219218</v>
      </c>
      <c r="R216" s="414">
        <v>516920</v>
      </c>
      <c r="S216" s="415">
        <v>34.681599999999996</v>
      </c>
      <c r="T216" s="415">
        <v>28.497299999999999</v>
      </c>
      <c r="U216" s="422">
        <v>6.1843000000000004</v>
      </c>
      <c r="V216" s="423">
        <f t="shared" si="325"/>
        <v>0</v>
      </c>
      <c r="W216" s="417">
        <f t="shared" si="326"/>
        <v>0</v>
      </c>
      <c r="X216" s="417">
        <v>0</v>
      </c>
      <c r="Y216" s="417">
        <v>0</v>
      </c>
      <c r="Z216" s="417">
        <v>0</v>
      </c>
      <c r="AA216" s="417">
        <v>0</v>
      </c>
      <c r="AB216" s="417">
        <v>0</v>
      </c>
      <c r="AC216" s="417">
        <v>0</v>
      </c>
      <c r="AD216" s="417">
        <v>0</v>
      </c>
      <c r="AE216" s="417">
        <f t="shared" si="327"/>
        <v>0</v>
      </c>
      <c r="AF216" s="417">
        <f t="shared" si="328"/>
        <v>0</v>
      </c>
      <c r="AG216" s="417">
        <f t="shared" si="329"/>
        <v>0</v>
      </c>
      <c r="AH216" s="417">
        <v>0</v>
      </c>
      <c r="AI216" s="417">
        <v>0</v>
      </c>
      <c r="AJ216" s="417">
        <v>0</v>
      </c>
      <c r="AK216" s="417">
        <v>0</v>
      </c>
      <c r="AL216" s="417">
        <v>0</v>
      </c>
      <c r="AM216" s="417">
        <f t="shared" si="330"/>
        <v>0</v>
      </c>
      <c r="AN216" s="417">
        <f t="shared" si="331"/>
        <v>0</v>
      </c>
      <c r="AO216" s="417">
        <f t="shared" si="332"/>
        <v>0</v>
      </c>
      <c r="AP216" s="417">
        <f t="shared" si="333"/>
        <v>0</v>
      </c>
      <c r="AQ216" s="417">
        <f t="shared" si="334"/>
        <v>0</v>
      </c>
      <c r="AR216" s="417">
        <f t="shared" si="335"/>
        <v>0</v>
      </c>
      <c r="AS216" s="68">
        <f t="shared" si="336"/>
        <v>0</v>
      </c>
      <c r="AT216" s="68">
        <f t="shared" si="337"/>
        <v>0</v>
      </c>
      <c r="AU216" s="417">
        <v>0</v>
      </c>
      <c r="AV216" s="417">
        <v>0</v>
      </c>
      <c r="AW216" s="417">
        <v>0</v>
      </c>
      <c r="AX216" s="417">
        <f t="shared" si="338"/>
        <v>0</v>
      </c>
      <c r="AY216" s="417">
        <f t="shared" si="339"/>
        <v>0</v>
      </c>
      <c r="AZ216" s="418">
        <v>0</v>
      </c>
      <c r="BA216" s="418">
        <v>0</v>
      </c>
      <c r="BB216" s="418">
        <v>0</v>
      </c>
      <c r="BC216" s="418">
        <v>0</v>
      </c>
      <c r="BD216" s="418">
        <v>0</v>
      </c>
      <c r="BE216" s="418">
        <v>0</v>
      </c>
      <c r="BF216" s="418">
        <v>0</v>
      </c>
      <c r="BG216" s="418">
        <v>0</v>
      </c>
      <c r="BH216" s="418">
        <v>0</v>
      </c>
      <c r="BI216" s="418">
        <f t="shared" si="340"/>
        <v>0</v>
      </c>
      <c r="BJ216" s="418">
        <f t="shared" si="341"/>
        <v>0</v>
      </c>
      <c r="BK216" s="420">
        <f t="shared" si="342"/>
        <v>0</v>
      </c>
      <c r="BL216" s="772">
        <f>I216+AY216</f>
        <v>30147756</v>
      </c>
      <c r="BM216" s="417">
        <f>J216+AG216</f>
        <v>21921777</v>
      </c>
      <c r="BN216" s="417">
        <f t="shared" ref="BN216:BO220" si="357">K216+AE216</f>
        <v>19822511</v>
      </c>
      <c r="BO216" s="417">
        <f t="shared" si="357"/>
        <v>2099266</v>
      </c>
      <c r="BP216" s="417">
        <f>M216+AO216</f>
        <v>60000</v>
      </c>
      <c r="BQ216" s="417">
        <f t="shared" ref="BQ216:BR220" si="358">N216+AM216</f>
        <v>50000</v>
      </c>
      <c r="BR216" s="417">
        <f t="shared" si="358"/>
        <v>10000</v>
      </c>
      <c r="BS216" s="417">
        <f t="shared" ref="BS216:BT220" si="359">P216+AS216</f>
        <v>7429841</v>
      </c>
      <c r="BT216" s="417">
        <f t="shared" si="359"/>
        <v>219218</v>
      </c>
      <c r="BU216" s="417">
        <f>R216+AX216</f>
        <v>516920</v>
      </c>
      <c r="BV216" s="418">
        <f>S216+BK216</f>
        <v>34.681599999999996</v>
      </c>
      <c r="BW216" s="418">
        <f t="shared" ref="BW216:BX220" si="360">T216+BI216</f>
        <v>28.497299999999999</v>
      </c>
      <c r="BX216" s="420">
        <f t="shared" si="360"/>
        <v>6.1843000000000004</v>
      </c>
      <c r="BY216" s="419">
        <v>608218</v>
      </c>
      <c r="BZ216" s="414">
        <v>451200</v>
      </c>
      <c r="CA216" s="414">
        <v>0</v>
      </c>
      <c r="CB216" s="414">
        <v>152506</v>
      </c>
      <c r="CC216" s="414">
        <v>4512</v>
      </c>
      <c r="CD216" s="422">
        <v>0.8</v>
      </c>
      <c r="CE216" s="419">
        <f t="shared" si="343"/>
        <v>1032227</v>
      </c>
      <c r="CF216" s="414">
        <v>677055</v>
      </c>
      <c r="CG216" s="414">
        <v>228845</v>
      </c>
      <c r="CH216" s="414">
        <v>6771</v>
      </c>
      <c r="CI216" s="414">
        <v>119556</v>
      </c>
      <c r="CJ216" s="509">
        <v>1.9948999999999999</v>
      </c>
    </row>
    <row r="217" spans="1:88" ht="14.1" customHeight="1">
      <c r="A217" s="66">
        <v>45</v>
      </c>
      <c r="B217" s="63">
        <v>2487</v>
      </c>
      <c r="C217" s="64">
        <v>600079996</v>
      </c>
      <c r="D217" s="63">
        <v>68974639</v>
      </c>
      <c r="E217" s="65" t="s">
        <v>625</v>
      </c>
      <c r="F217" s="66">
        <v>3113</v>
      </c>
      <c r="G217" s="77" t="s">
        <v>291</v>
      </c>
      <c r="H217" s="67" t="s">
        <v>272</v>
      </c>
      <c r="I217" s="419">
        <v>2475714</v>
      </c>
      <c r="J217" s="414">
        <v>1836583</v>
      </c>
      <c r="K217" s="414">
        <v>1836583</v>
      </c>
      <c r="L217" s="414">
        <v>0</v>
      </c>
      <c r="M217" s="414">
        <v>0</v>
      </c>
      <c r="N217" s="414">
        <v>0</v>
      </c>
      <c r="O217" s="414">
        <v>0</v>
      </c>
      <c r="P217" s="595">
        <v>620765</v>
      </c>
      <c r="Q217" s="595">
        <v>18366</v>
      </c>
      <c r="R217" s="414">
        <v>0</v>
      </c>
      <c r="S217" s="415">
        <v>4.92</v>
      </c>
      <c r="T217" s="416">
        <v>4.92</v>
      </c>
      <c r="U217" s="422">
        <v>0</v>
      </c>
      <c r="V217" s="423">
        <f t="shared" si="325"/>
        <v>0</v>
      </c>
      <c r="W217" s="417">
        <f t="shared" si="326"/>
        <v>0</v>
      </c>
      <c r="X217" s="417">
        <f>-46350-8252</f>
        <v>-54602</v>
      </c>
      <c r="Y217" s="417">
        <v>0</v>
      </c>
      <c r="Z217" s="417">
        <v>0</v>
      </c>
      <c r="AA217" s="417">
        <v>0</v>
      </c>
      <c r="AB217" s="417">
        <v>0</v>
      </c>
      <c r="AC217" s="417">
        <v>0</v>
      </c>
      <c r="AD217" s="417">
        <v>0</v>
      </c>
      <c r="AE217" s="417">
        <f t="shared" si="327"/>
        <v>-54602</v>
      </c>
      <c r="AF217" s="417">
        <f t="shared" si="328"/>
        <v>0</v>
      </c>
      <c r="AG217" s="417">
        <f t="shared" si="329"/>
        <v>-54602</v>
      </c>
      <c r="AH217" s="417">
        <v>0</v>
      </c>
      <c r="AI217" s="417">
        <v>0</v>
      </c>
      <c r="AJ217" s="417">
        <v>0</v>
      </c>
      <c r="AK217" s="417">
        <v>0</v>
      </c>
      <c r="AL217" s="417">
        <v>0</v>
      </c>
      <c r="AM217" s="417">
        <f t="shared" si="330"/>
        <v>0</v>
      </c>
      <c r="AN217" s="417">
        <f t="shared" si="331"/>
        <v>0</v>
      </c>
      <c r="AO217" s="417">
        <f t="shared" si="332"/>
        <v>0</v>
      </c>
      <c r="AP217" s="417">
        <f t="shared" si="333"/>
        <v>-54602</v>
      </c>
      <c r="AQ217" s="417">
        <f t="shared" si="334"/>
        <v>0</v>
      </c>
      <c r="AR217" s="417">
        <f t="shared" si="335"/>
        <v>-54602</v>
      </c>
      <c r="AS217" s="68">
        <f t="shared" si="336"/>
        <v>-18455</v>
      </c>
      <c r="AT217" s="68">
        <f t="shared" si="337"/>
        <v>-546</v>
      </c>
      <c r="AU217" s="417">
        <v>0</v>
      </c>
      <c r="AV217" s="417">
        <v>0</v>
      </c>
      <c r="AW217" s="417">
        <v>0</v>
      </c>
      <c r="AX217" s="417">
        <f t="shared" si="338"/>
        <v>0</v>
      </c>
      <c r="AY217" s="417">
        <f t="shared" si="339"/>
        <v>-73603</v>
      </c>
      <c r="AZ217" s="418">
        <v>0</v>
      </c>
      <c r="BA217" s="418">
        <v>0</v>
      </c>
      <c r="BB217" s="418">
        <f>-0.12-0.02</f>
        <v>-0.13999999999999999</v>
      </c>
      <c r="BC217" s="418">
        <v>0</v>
      </c>
      <c r="BD217" s="418">
        <v>0</v>
      </c>
      <c r="BE217" s="418">
        <v>0</v>
      </c>
      <c r="BF217" s="418">
        <v>0</v>
      </c>
      <c r="BG217" s="418">
        <v>0</v>
      </c>
      <c r="BH217" s="418">
        <v>0</v>
      </c>
      <c r="BI217" s="418">
        <f t="shared" si="340"/>
        <v>-0.13999999999999999</v>
      </c>
      <c r="BJ217" s="418">
        <f t="shared" si="341"/>
        <v>0</v>
      </c>
      <c r="BK217" s="420">
        <f t="shared" si="342"/>
        <v>-0.13999999999999999</v>
      </c>
      <c r="BL217" s="772">
        <f>I217+AY217</f>
        <v>2402111</v>
      </c>
      <c r="BM217" s="417">
        <f>J217+AG217</f>
        <v>1781981</v>
      </c>
      <c r="BN217" s="417">
        <f t="shared" si="357"/>
        <v>1781981</v>
      </c>
      <c r="BO217" s="417">
        <f t="shared" si="357"/>
        <v>0</v>
      </c>
      <c r="BP217" s="417">
        <f>M217+AO217</f>
        <v>0</v>
      </c>
      <c r="BQ217" s="417">
        <f t="shared" si="358"/>
        <v>0</v>
      </c>
      <c r="BR217" s="417">
        <f t="shared" si="358"/>
        <v>0</v>
      </c>
      <c r="BS217" s="417">
        <f t="shared" si="359"/>
        <v>602310</v>
      </c>
      <c r="BT217" s="417">
        <f t="shared" si="359"/>
        <v>17820</v>
      </c>
      <c r="BU217" s="417">
        <f>R217+AX217</f>
        <v>0</v>
      </c>
      <c r="BV217" s="418">
        <f>S217+BK217</f>
        <v>4.78</v>
      </c>
      <c r="BW217" s="418">
        <f t="shared" si="360"/>
        <v>4.78</v>
      </c>
      <c r="BX217" s="420">
        <f t="shared" si="360"/>
        <v>0</v>
      </c>
      <c r="BY217" s="419"/>
      <c r="BZ217" s="414"/>
      <c r="CA217" s="414"/>
      <c r="CB217" s="414"/>
      <c r="CC217" s="414"/>
      <c r="CD217" s="422"/>
      <c r="CE217" s="419">
        <f t="shared" si="343"/>
        <v>0</v>
      </c>
      <c r="CF217" s="414">
        <v>0</v>
      </c>
      <c r="CG217" s="414">
        <v>0</v>
      </c>
      <c r="CH217" s="414">
        <v>0</v>
      </c>
      <c r="CI217" s="414">
        <v>0</v>
      </c>
      <c r="CJ217" s="509">
        <v>0</v>
      </c>
    </row>
    <row r="218" spans="1:88" ht="14.1" customHeight="1">
      <c r="A218" s="66">
        <v>45</v>
      </c>
      <c r="B218" s="63">
        <v>2487</v>
      </c>
      <c r="C218" s="64">
        <v>600079996</v>
      </c>
      <c r="D218" s="63">
        <v>68974639</v>
      </c>
      <c r="E218" s="65" t="s">
        <v>625</v>
      </c>
      <c r="F218" s="66">
        <v>3141</v>
      </c>
      <c r="G218" s="65" t="s">
        <v>294</v>
      </c>
      <c r="H218" s="67" t="s">
        <v>272</v>
      </c>
      <c r="I218" s="419">
        <v>3627757</v>
      </c>
      <c r="J218" s="414">
        <v>2658606</v>
      </c>
      <c r="K218" s="414">
        <v>0</v>
      </c>
      <c r="L218" s="744">
        <v>2658606</v>
      </c>
      <c r="M218" s="414">
        <v>10000</v>
      </c>
      <c r="N218" s="204">
        <v>0</v>
      </c>
      <c r="O218" s="204">
        <v>10000</v>
      </c>
      <c r="P218" s="595">
        <v>901989</v>
      </c>
      <c r="Q218" s="595">
        <v>26586</v>
      </c>
      <c r="R218" s="601">
        <v>30576</v>
      </c>
      <c r="S218" s="415">
        <v>8.0032999999999994</v>
      </c>
      <c r="T218" s="603">
        <v>0</v>
      </c>
      <c r="U218" s="731">
        <v>8.0032999999999994</v>
      </c>
      <c r="V218" s="423">
        <f t="shared" si="325"/>
        <v>0</v>
      </c>
      <c r="W218" s="417">
        <f t="shared" si="326"/>
        <v>0</v>
      </c>
      <c r="X218" s="417">
        <v>0</v>
      </c>
      <c r="Y218" s="417">
        <v>0</v>
      </c>
      <c r="Z218" s="417">
        <v>0</v>
      </c>
      <c r="AA218" s="417">
        <v>0</v>
      </c>
      <c r="AB218" s="417">
        <v>0</v>
      </c>
      <c r="AC218" s="417">
        <v>0</v>
      </c>
      <c r="AD218" s="417">
        <v>0</v>
      </c>
      <c r="AE218" s="417">
        <f t="shared" si="327"/>
        <v>0</v>
      </c>
      <c r="AF218" s="417">
        <f t="shared" si="328"/>
        <v>0</v>
      </c>
      <c r="AG218" s="417">
        <f t="shared" si="329"/>
        <v>0</v>
      </c>
      <c r="AH218" s="417">
        <v>0</v>
      </c>
      <c r="AI218" s="417">
        <v>0</v>
      </c>
      <c r="AJ218" s="417">
        <v>0</v>
      </c>
      <c r="AK218" s="417">
        <v>0</v>
      </c>
      <c r="AL218" s="417">
        <v>0</v>
      </c>
      <c r="AM218" s="417">
        <f t="shared" si="330"/>
        <v>0</v>
      </c>
      <c r="AN218" s="417">
        <f t="shared" si="331"/>
        <v>0</v>
      </c>
      <c r="AO218" s="417">
        <f t="shared" si="332"/>
        <v>0</v>
      </c>
      <c r="AP218" s="417">
        <f t="shared" si="333"/>
        <v>0</v>
      </c>
      <c r="AQ218" s="417">
        <f t="shared" si="334"/>
        <v>0</v>
      </c>
      <c r="AR218" s="417">
        <f t="shared" si="335"/>
        <v>0</v>
      </c>
      <c r="AS218" s="68">
        <f t="shared" si="336"/>
        <v>0</v>
      </c>
      <c r="AT218" s="68">
        <f t="shared" si="337"/>
        <v>0</v>
      </c>
      <c r="AU218" s="417">
        <v>0</v>
      </c>
      <c r="AV218" s="417">
        <v>0</v>
      </c>
      <c r="AW218" s="417">
        <v>0</v>
      </c>
      <c r="AX218" s="417">
        <f t="shared" si="338"/>
        <v>0</v>
      </c>
      <c r="AY218" s="417">
        <f t="shared" si="339"/>
        <v>0</v>
      </c>
      <c r="AZ218" s="418">
        <v>0</v>
      </c>
      <c r="BA218" s="418">
        <v>0</v>
      </c>
      <c r="BB218" s="418">
        <v>0</v>
      </c>
      <c r="BC218" s="418">
        <v>0</v>
      </c>
      <c r="BD218" s="418">
        <v>0</v>
      </c>
      <c r="BE218" s="418">
        <v>0</v>
      </c>
      <c r="BF218" s="418">
        <v>0</v>
      </c>
      <c r="BG218" s="418">
        <v>0</v>
      </c>
      <c r="BH218" s="418">
        <v>0</v>
      </c>
      <c r="BI218" s="418">
        <f t="shared" si="340"/>
        <v>0</v>
      </c>
      <c r="BJ218" s="418">
        <f t="shared" si="341"/>
        <v>0</v>
      </c>
      <c r="BK218" s="420">
        <f t="shared" si="342"/>
        <v>0</v>
      </c>
      <c r="BL218" s="772">
        <f>I218+AY218</f>
        <v>3627757</v>
      </c>
      <c r="BM218" s="417">
        <f>J218+AG218</f>
        <v>2658606</v>
      </c>
      <c r="BN218" s="417">
        <f t="shared" si="357"/>
        <v>0</v>
      </c>
      <c r="BO218" s="417">
        <f t="shared" si="357"/>
        <v>2658606</v>
      </c>
      <c r="BP218" s="417">
        <f>M218+AO218</f>
        <v>10000</v>
      </c>
      <c r="BQ218" s="417">
        <f t="shared" si="358"/>
        <v>0</v>
      </c>
      <c r="BR218" s="417">
        <f t="shared" si="358"/>
        <v>10000</v>
      </c>
      <c r="BS218" s="417">
        <f t="shared" si="359"/>
        <v>901989</v>
      </c>
      <c r="BT218" s="417">
        <f t="shared" si="359"/>
        <v>26586</v>
      </c>
      <c r="BU218" s="417">
        <f>R218+AX218</f>
        <v>30576</v>
      </c>
      <c r="BV218" s="418">
        <f>S218+BK218</f>
        <v>8.0032999999999994</v>
      </c>
      <c r="BW218" s="418">
        <f t="shared" si="360"/>
        <v>0</v>
      </c>
      <c r="BX218" s="420">
        <f t="shared" si="360"/>
        <v>8.0032999999999994</v>
      </c>
      <c r="BY218" s="419"/>
      <c r="BZ218" s="414"/>
      <c r="CA218" s="414"/>
      <c r="CB218" s="414"/>
      <c r="CC218" s="414"/>
      <c r="CD218" s="422"/>
      <c r="CE218" s="419">
        <f t="shared" si="343"/>
        <v>0</v>
      </c>
      <c r="CF218" s="414">
        <v>0</v>
      </c>
      <c r="CG218" s="414">
        <v>0</v>
      </c>
      <c r="CH218" s="414">
        <v>0</v>
      </c>
      <c r="CI218" s="414">
        <v>0</v>
      </c>
      <c r="CJ218" s="509">
        <v>0</v>
      </c>
    </row>
    <row r="219" spans="1:88" ht="14.1" customHeight="1">
      <c r="A219" s="66">
        <v>45</v>
      </c>
      <c r="B219" s="63">
        <v>2487</v>
      </c>
      <c r="C219" s="64">
        <v>600079996</v>
      </c>
      <c r="D219" s="63">
        <v>68974639</v>
      </c>
      <c r="E219" s="65" t="s">
        <v>625</v>
      </c>
      <c r="F219" s="66">
        <v>3143</v>
      </c>
      <c r="G219" s="77" t="s">
        <v>595</v>
      </c>
      <c r="H219" s="67" t="s">
        <v>271</v>
      </c>
      <c r="I219" s="419">
        <v>2393122</v>
      </c>
      <c r="J219" s="414">
        <v>1775313</v>
      </c>
      <c r="K219" s="414">
        <v>1775313</v>
      </c>
      <c r="L219" s="414">
        <v>0</v>
      </c>
      <c r="M219" s="414">
        <v>0</v>
      </c>
      <c r="N219" s="414">
        <v>0</v>
      </c>
      <c r="O219" s="414">
        <v>0</v>
      </c>
      <c r="P219" s="595">
        <v>600056</v>
      </c>
      <c r="Q219" s="595">
        <v>17753</v>
      </c>
      <c r="R219" s="414">
        <v>0</v>
      </c>
      <c r="S219" s="415">
        <v>3.5</v>
      </c>
      <c r="T219" s="415">
        <v>3.5</v>
      </c>
      <c r="U219" s="422">
        <v>0</v>
      </c>
      <c r="V219" s="423">
        <f t="shared" si="325"/>
        <v>0</v>
      </c>
      <c r="W219" s="417">
        <f t="shared" si="326"/>
        <v>0</v>
      </c>
      <c r="X219" s="417">
        <v>0</v>
      </c>
      <c r="Y219" s="417">
        <v>0</v>
      </c>
      <c r="Z219" s="417">
        <v>0</v>
      </c>
      <c r="AA219" s="417">
        <v>0</v>
      </c>
      <c r="AB219" s="417">
        <v>0</v>
      </c>
      <c r="AC219" s="417">
        <v>0</v>
      </c>
      <c r="AD219" s="417">
        <v>0</v>
      </c>
      <c r="AE219" s="417">
        <f t="shared" si="327"/>
        <v>0</v>
      </c>
      <c r="AF219" s="417">
        <f t="shared" si="328"/>
        <v>0</v>
      </c>
      <c r="AG219" s="417">
        <f t="shared" si="329"/>
        <v>0</v>
      </c>
      <c r="AH219" s="417">
        <v>0</v>
      </c>
      <c r="AI219" s="417">
        <v>0</v>
      </c>
      <c r="AJ219" s="417">
        <v>0</v>
      </c>
      <c r="AK219" s="417">
        <v>0</v>
      </c>
      <c r="AL219" s="417">
        <v>0</v>
      </c>
      <c r="AM219" s="417">
        <f t="shared" si="330"/>
        <v>0</v>
      </c>
      <c r="AN219" s="417">
        <f t="shared" si="331"/>
        <v>0</v>
      </c>
      <c r="AO219" s="417">
        <f t="shared" si="332"/>
        <v>0</v>
      </c>
      <c r="AP219" s="417">
        <f t="shared" si="333"/>
        <v>0</v>
      </c>
      <c r="AQ219" s="417">
        <f t="shared" si="334"/>
        <v>0</v>
      </c>
      <c r="AR219" s="417">
        <f t="shared" si="335"/>
        <v>0</v>
      </c>
      <c r="AS219" s="68">
        <f t="shared" si="336"/>
        <v>0</v>
      </c>
      <c r="AT219" s="68">
        <f t="shared" si="337"/>
        <v>0</v>
      </c>
      <c r="AU219" s="417">
        <v>0</v>
      </c>
      <c r="AV219" s="417">
        <v>0</v>
      </c>
      <c r="AW219" s="417">
        <v>0</v>
      </c>
      <c r="AX219" s="417">
        <f t="shared" si="338"/>
        <v>0</v>
      </c>
      <c r="AY219" s="417">
        <f t="shared" si="339"/>
        <v>0</v>
      </c>
      <c r="AZ219" s="418">
        <v>0</v>
      </c>
      <c r="BA219" s="418">
        <v>0</v>
      </c>
      <c r="BB219" s="418">
        <v>0</v>
      </c>
      <c r="BC219" s="418">
        <v>0</v>
      </c>
      <c r="BD219" s="418">
        <v>0</v>
      </c>
      <c r="BE219" s="418">
        <v>0</v>
      </c>
      <c r="BF219" s="418">
        <v>0</v>
      </c>
      <c r="BG219" s="418">
        <v>0</v>
      </c>
      <c r="BH219" s="418">
        <v>0</v>
      </c>
      <c r="BI219" s="418">
        <f t="shared" si="340"/>
        <v>0</v>
      </c>
      <c r="BJ219" s="418">
        <f t="shared" si="341"/>
        <v>0</v>
      </c>
      <c r="BK219" s="420">
        <f t="shared" si="342"/>
        <v>0</v>
      </c>
      <c r="BL219" s="772">
        <f>I219+AY219</f>
        <v>2393122</v>
      </c>
      <c r="BM219" s="417">
        <f>J219+AG219</f>
        <v>1775313</v>
      </c>
      <c r="BN219" s="417">
        <f t="shared" si="357"/>
        <v>1775313</v>
      </c>
      <c r="BO219" s="417">
        <f t="shared" si="357"/>
        <v>0</v>
      </c>
      <c r="BP219" s="417">
        <f>M219+AO219</f>
        <v>0</v>
      </c>
      <c r="BQ219" s="417">
        <f t="shared" si="358"/>
        <v>0</v>
      </c>
      <c r="BR219" s="417">
        <f t="shared" si="358"/>
        <v>0</v>
      </c>
      <c r="BS219" s="417">
        <f t="shared" si="359"/>
        <v>600056</v>
      </c>
      <c r="BT219" s="417">
        <f t="shared" si="359"/>
        <v>17753</v>
      </c>
      <c r="BU219" s="417">
        <f>R219+AX219</f>
        <v>0</v>
      </c>
      <c r="BV219" s="418">
        <f>S219+BK219</f>
        <v>3.5</v>
      </c>
      <c r="BW219" s="418">
        <f t="shared" si="360"/>
        <v>3.5</v>
      </c>
      <c r="BX219" s="420">
        <f t="shared" si="360"/>
        <v>0</v>
      </c>
      <c r="BY219" s="419"/>
      <c r="BZ219" s="414"/>
      <c r="CA219" s="414"/>
      <c r="CB219" s="414"/>
      <c r="CC219" s="414"/>
      <c r="CD219" s="422"/>
      <c r="CE219" s="419">
        <f t="shared" si="343"/>
        <v>0</v>
      </c>
      <c r="CF219" s="414">
        <v>0</v>
      </c>
      <c r="CG219" s="414">
        <v>0</v>
      </c>
      <c r="CH219" s="414">
        <v>0</v>
      </c>
      <c r="CI219" s="414">
        <v>0</v>
      </c>
      <c r="CJ219" s="509">
        <v>0</v>
      </c>
    </row>
    <row r="220" spans="1:88" ht="14.1" customHeight="1">
      <c r="A220" s="66">
        <v>45</v>
      </c>
      <c r="B220" s="63">
        <v>2487</v>
      </c>
      <c r="C220" s="64">
        <v>600079996</v>
      </c>
      <c r="D220" s="63">
        <v>68974639</v>
      </c>
      <c r="E220" s="65" t="s">
        <v>625</v>
      </c>
      <c r="F220" s="66">
        <v>3143</v>
      </c>
      <c r="G220" s="77" t="s">
        <v>596</v>
      </c>
      <c r="H220" s="67" t="s">
        <v>272</v>
      </c>
      <c r="I220" s="419">
        <v>84524</v>
      </c>
      <c r="J220" s="414">
        <v>60500</v>
      </c>
      <c r="K220" s="414">
        <v>0</v>
      </c>
      <c r="L220" s="601">
        <v>60500</v>
      </c>
      <c r="M220" s="414">
        <v>0</v>
      </c>
      <c r="N220" s="414">
        <v>0</v>
      </c>
      <c r="O220" s="414">
        <v>0</v>
      </c>
      <c r="P220" s="595">
        <v>20449</v>
      </c>
      <c r="Q220" s="595">
        <v>605</v>
      </c>
      <c r="R220" s="602">
        <v>2970</v>
      </c>
      <c r="S220" s="415">
        <v>0.23280000000000001</v>
      </c>
      <c r="T220" s="605">
        <v>0</v>
      </c>
      <c r="U220" s="731">
        <v>0.23280000000000001</v>
      </c>
      <c r="V220" s="423">
        <f t="shared" si="325"/>
        <v>0</v>
      </c>
      <c r="W220" s="417">
        <f t="shared" si="326"/>
        <v>0</v>
      </c>
      <c r="X220" s="417">
        <v>0</v>
      </c>
      <c r="Y220" s="417">
        <v>0</v>
      </c>
      <c r="Z220" s="417">
        <v>0</v>
      </c>
      <c r="AA220" s="417">
        <v>0</v>
      </c>
      <c r="AB220" s="417">
        <v>0</v>
      </c>
      <c r="AC220" s="417">
        <v>0</v>
      </c>
      <c r="AD220" s="417">
        <v>0</v>
      </c>
      <c r="AE220" s="417">
        <f t="shared" si="327"/>
        <v>0</v>
      </c>
      <c r="AF220" s="417">
        <f t="shared" si="328"/>
        <v>0</v>
      </c>
      <c r="AG220" s="417">
        <f t="shared" si="329"/>
        <v>0</v>
      </c>
      <c r="AH220" s="417">
        <v>0</v>
      </c>
      <c r="AI220" s="417">
        <v>0</v>
      </c>
      <c r="AJ220" s="417">
        <v>0</v>
      </c>
      <c r="AK220" s="417">
        <v>0</v>
      </c>
      <c r="AL220" s="417">
        <v>0</v>
      </c>
      <c r="AM220" s="417">
        <f t="shared" si="330"/>
        <v>0</v>
      </c>
      <c r="AN220" s="417">
        <f t="shared" si="331"/>
        <v>0</v>
      </c>
      <c r="AO220" s="417">
        <f t="shared" si="332"/>
        <v>0</v>
      </c>
      <c r="AP220" s="417">
        <f t="shared" si="333"/>
        <v>0</v>
      </c>
      <c r="AQ220" s="417">
        <f t="shared" si="334"/>
        <v>0</v>
      </c>
      <c r="AR220" s="417">
        <f t="shared" si="335"/>
        <v>0</v>
      </c>
      <c r="AS220" s="68">
        <f t="shared" si="336"/>
        <v>0</v>
      </c>
      <c r="AT220" s="68">
        <f t="shared" si="337"/>
        <v>0</v>
      </c>
      <c r="AU220" s="417">
        <v>0</v>
      </c>
      <c r="AV220" s="417">
        <v>0</v>
      </c>
      <c r="AW220" s="417">
        <v>0</v>
      </c>
      <c r="AX220" s="417">
        <f t="shared" si="338"/>
        <v>0</v>
      </c>
      <c r="AY220" s="417">
        <f t="shared" si="339"/>
        <v>0</v>
      </c>
      <c r="AZ220" s="418">
        <v>0</v>
      </c>
      <c r="BA220" s="418">
        <v>0</v>
      </c>
      <c r="BB220" s="418">
        <v>0</v>
      </c>
      <c r="BC220" s="418">
        <v>0</v>
      </c>
      <c r="BD220" s="418">
        <v>0</v>
      </c>
      <c r="BE220" s="418">
        <v>0</v>
      </c>
      <c r="BF220" s="418">
        <v>0</v>
      </c>
      <c r="BG220" s="418">
        <v>0</v>
      </c>
      <c r="BH220" s="418">
        <v>0</v>
      </c>
      <c r="BI220" s="418">
        <f t="shared" si="340"/>
        <v>0</v>
      </c>
      <c r="BJ220" s="418">
        <f t="shared" si="341"/>
        <v>0</v>
      </c>
      <c r="BK220" s="420">
        <f t="shared" si="342"/>
        <v>0</v>
      </c>
      <c r="BL220" s="772">
        <f>I220+AY220</f>
        <v>84524</v>
      </c>
      <c r="BM220" s="417">
        <f>J220+AG220</f>
        <v>60500</v>
      </c>
      <c r="BN220" s="417">
        <f t="shared" si="357"/>
        <v>0</v>
      </c>
      <c r="BO220" s="417">
        <f t="shared" si="357"/>
        <v>60500</v>
      </c>
      <c r="BP220" s="417">
        <f>M220+AO220</f>
        <v>0</v>
      </c>
      <c r="BQ220" s="417">
        <f t="shared" si="358"/>
        <v>0</v>
      </c>
      <c r="BR220" s="417">
        <f t="shared" si="358"/>
        <v>0</v>
      </c>
      <c r="BS220" s="417">
        <f t="shared" si="359"/>
        <v>20449</v>
      </c>
      <c r="BT220" s="417">
        <f t="shared" si="359"/>
        <v>605</v>
      </c>
      <c r="BU220" s="417">
        <f>R220+AX220</f>
        <v>2970</v>
      </c>
      <c r="BV220" s="418">
        <f>S220+BK220</f>
        <v>0.23280000000000001</v>
      </c>
      <c r="BW220" s="418">
        <f t="shared" si="360"/>
        <v>0</v>
      </c>
      <c r="BX220" s="420">
        <f t="shared" si="360"/>
        <v>0.23280000000000001</v>
      </c>
      <c r="BY220" s="419"/>
      <c r="BZ220" s="414"/>
      <c r="CA220" s="414"/>
      <c r="CB220" s="414"/>
      <c r="CC220" s="414"/>
      <c r="CD220" s="422"/>
      <c r="CE220" s="419">
        <f t="shared" si="343"/>
        <v>0</v>
      </c>
      <c r="CF220" s="414">
        <v>0</v>
      </c>
      <c r="CG220" s="414">
        <v>0</v>
      </c>
      <c r="CH220" s="414">
        <v>0</v>
      </c>
      <c r="CI220" s="414">
        <v>0</v>
      </c>
      <c r="CJ220" s="509">
        <v>0</v>
      </c>
    </row>
    <row r="221" spans="1:88" ht="14.1" customHeight="1">
      <c r="A221" s="72">
        <v>45</v>
      </c>
      <c r="B221" s="69">
        <v>2487</v>
      </c>
      <c r="C221" s="70">
        <v>600079996</v>
      </c>
      <c r="D221" s="69">
        <v>68974639</v>
      </c>
      <c r="E221" s="71" t="s">
        <v>626</v>
      </c>
      <c r="F221" s="72"/>
      <c r="G221" s="71"/>
      <c r="H221" s="73"/>
      <c r="I221" s="516">
        <v>38728873</v>
      </c>
      <c r="J221" s="74">
        <v>28252779</v>
      </c>
      <c r="K221" s="74">
        <v>23434407</v>
      </c>
      <c r="L221" s="74">
        <v>4818372</v>
      </c>
      <c r="M221" s="74">
        <v>70000</v>
      </c>
      <c r="N221" s="74">
        <v>50000</v>
      </c>
      <c r="O221" s="74">
        <v>20000</v>
      </c>
      <c r="P221" s="74">
        <v>9573100</v>
      </c>
      <c r="Q221" s="74">
        <v>282528</v>
      </c>
      <c r="R221" s="74">
        <v>550466</v>
      </c>
      <c r="S221" s="75">
        <v>51.337699999999998</v>
      </c>
      <c r="T221" s="75">
        <v>36.917299999999997</v>
      </c>
      <c r="U221" s="653">
        <v>14.420399999999999</v>
      </c>
      <c r="V221" s="516">
        <f t="shared" ref="V221:BX221" si="361">SUM(V216:V220)</f>
        <v>0</v>
      </c>
      <c r="W221" s="74">
        <f t="shared" si="361"/>
        <v>0</v>
      </c>
      <c r="X221" s="74">
        <f t="shared" si="361"/>
        <v>-54602</v>
      </c>
      <c r="Y221" s="74">
        <f t="shared" si="361"/>
        <v>0</v>
      </c>
      <c r="Z221" s="74">
        <f t="shared" si="361"/>
        <v>0</v>
      </c>
      <c r="AA221" s="74">
        <f t="shared" si="361"/>
        <v>0</v>
      </c>
      <c r="AB221" s="74">
        <f t="shared" si="361"/>
        <v>0</v>
      </c>
      <c r="AC221" s="74">
        <f t="shared" si="361"/>
        <v>0</v>
      </c>
      <c r="AD221" s="74">
        <f t="shared" si="361"/>
        <v>0</v>
      </c>
      <c r="AE221" s="74">
        <f t="shared" si="361"/>
        <v>-54602</v>
      </c>
      <c r="AF221" s="74">
        <f t="shared" si="361"/>
        <v>0</v>
      </c>
      <c r="AG221" s="74">
        <f t="shared" si="361"/>
        <v>-54602</v>
      </c>
      <c r="AH221" s="74">
        <f t="shared" si="361"/>
        <v>0</v>
      </c>
      <c r="AI221" s="74">
        <f t="shared" si="361"/>
        <v>0</v>
      </c>
      <c r="AJ221" s="74">
        <f t="shared" si="361"/>
        <v>0</v>
      </c>
      <c r="AK221" s="74">
        <f t="shared" si="361"/>
        <v>0</v>
      </c>
      <c r="AL221" s="74">
        <f t="shared" si="361"/>
        <v>0</v>
      </c>
      <c r="AM221" s="74">
        <f t="shared" si="361"/>
        <v>0</v>
      </c>
      <c r="AN221" s="74">
        <f t="shared" si="361"/>
        <v>0</v>
      </c>
      <c r="AO221" s="74">
        <f t="shared" si="361"/>
        <v>0</v>
      </c>
      <c r="AP221" s="74">
        <f t="shared" si="361"/>
        <v>-54602</v>
      </c>
      <c r="AQ221" s="74">
        <f t="shared" si="361"/>
        <v>0</v>
      </c>
      <c r="AR221" s="74">
        <f t="shared" si="361"/>
        <v>-54602</v>
      </c>
      <c r="AS221" s="74">
        <f t="shared" si="361"/>
        <v>-18455</v>
      </c>
      <c r="AT221" s="74">
        <f t="shared" si="361"/>
        <v>-546</v>
      </c>
      <c r="AU221" s="74">
        <f t="shared" si="361"/>
        <v>0</v>
      </c>
      <c r="AV221" s="74">
        <f t="shared" si="361"/>
        <v>0</v>
      </c>
      <c r="AW221" s="74">
        <f t="shared" si="361"/>
        <v>0</v>
      </c>
      <c r="AX221" s="74">
        <f t="shared" si="361"/>
        <v>0</v>
      </c>
      <c r="AY221" s="74">
        <f t="shared" si="361"/>
        <v>-73603</v>
      </c>
      <c r="AZ221" s="75">
        <f t="shared" si="361"/>
        <v>0</v>
      </c>
      <c r="BA221" s="75">
        <f t="shared" si="361"/>
        <v>0</v>
      </c>
      <c r="BB221" s="75">
        <f t="shared" si="361"/>
        <v>-0.13999999999999999</v>
      </c>
      <c r="BC221" s="75">
        <f t="shared" si="361"/>
        <v>0</v>
      </c>
      <c r="BD221" s="75">
        <f t="shared" si="361"/>
        <v>0</v>
      </c>
      <c r="BE221" s="75">
        <f t="shared" si="361"/>
        <v>0</v>
      </c>
      <c r="BF221" s="75">
        <f t="shared" si="361"/>
        <v>0</v>
      </c>
      <c r="BG221" s="75">
        <f t="shared" si="361"/>
        <v>0</v>
      </c>
      <c r="BH221" s="75">
        <f t="shared" si="361"/>
        <v>0</v>
      </c>
      <c r="BI221" s="75">
        <f t="shared" si="361"/>
        <v>-0.13999999999999999</v>
      </c>
      <c r="BJ221" s="75">
        <f t="shared" si="361"/>
        <v>0</v>
      </c>
      <c r="BK221" s="76">
        <f t="shared" si="361"/>
        <v>-0.13999999999999999</v>
      </c>
      <c r="BL221" s="781">
        <f t="shared" si="361"/>
        <v>38655270</v>
      </c>
      <c r="BM221" s="74">
        <f t="shared" si="361"/>
        <v>28198177</v>
      </c>
      <c r="BN221" s="74">
        <f t="shared" si="361"/>
        <v>23379805</v>
      </c>
      <c r="BO221" s="74">
        <f t="shared" si="361"/>
        <v>4818372</v>
      </c>
      <c r="BP221" s="74">
        <f t="shared" si="361"/>
        <v>70000</v>
      </c>
      <c r="BQ221" s="74">
        <f t="shared" si="361"/>
        <v>50000</v>
      </c>
      <c r="BR221" s="74">
        <f t="shared" si="361"/>
        <v>20000</v>
      </c>
      <c r="BS221" s="74">
        <f t="shared" si="361"/>
        <v>9554645</v>
      </c>
      <c r="BT221" s="74">
        <f t="shared" si="361"/>
        <v>281982</v>
      </c>
      <c r="BU221" s="74">
        <f t="shared" si="361"/>
        <v>550466</v>
      </c>
      <c r="BV221" s="75">
        <f t="shared" si="361"/>
        <v>51.197699999999998</v>
      </c>
      <c r="BW221" s="75">
        <f t="shared" si="361"/>
        <v>36.777299999999997</v>
      </c>
      <c r="BX221" s="76">
        <f t="shared" si="361"/>
        <v>14.420399999999999</v>
      </c>
      <c r="BY221" s="791">
        <f t="shared" ref="BY221:CJ221" si="362">SUM(BY216:BY220)</f>
        <v>608218</v>
      </c>
      <c r="BZ221" s="679">
        <f t="shared" si="362"/>
        <v>451200</v>
      </c>
      <c r="CA221" s="679">
        <f t="shared" si="362"/>
        <v>0</v>
      </c>
      <c r="CB221" s="679">
        <f t="shared" si="362"/>
        <v>152506</v>
      </c>
      <c r="CC221" s="679">
        <f t="shared" si="362"/>
        <v>4512</v>
      </c>
      <c r="CD221" s="947">
        <f t="shared" si="362"/>
        <v>0.8</v>
      </c>
      <c r="CE221" s="956">
        <f t="shared" si="362"/>
        <v>1032227</v>
      </c>
      <c r="CF221" s="953">
        <f t="shared" si="362"/>
        <v>677055</v>
      </c>
      <c r="CG221" s="953">
        <f t="shared" si="362"/>
        <v>228845</v>
      </c>
      <c r="CH221" s="953">
        <f t="shared" si="362"/>
        <v>6771</v>
      </c>
      <c r="CI221" s="953">
        <f t="shared" si="362"/>
        <v>119556</v>
      </c>
      <c r="CJ221" s="877">
        <f t="shared" si="362"/>
        <v>1.9948999999999999</v>
      </c>
    </row>
    <row r="222" spans="1:88" ht="14.1" customHeight="1">
      <c r="A222" s="66">
        <v>46</v>
      </c>
      <c r="B222" s="63">
        <v>2488</v>
      </c>
      <c r="C222" s="64">
        <v>600079902</v>
      </c>
      <c r="D222" s="63">
        <v>70884978</v>
      </c>
      <c r="E222" s="65" t="s">
        <v>627</v>
      </c>
      <c r="F222" s="66">
        <v>3113</v>
      </c>
      <c r="G222" s="65" t="s">
        <v>293</v>
      </c>
      <c r="H222" s="67" t="s">
        <v>271</v>
      </c>
      <c r="I222" s="419">
        <v>25668052</v>
      </c>
      <c r="J222" s="414">
        <v>18626900</v>
      </c>
      <c r="K222" s="414">
        <v>16763754</v>
      </c>
      <c r="L222" s="414">
        <v>1863146</v>
      </c>
      <c r="M222" s="414">
        <v>100000</v>
      </c>
      <c r="N222" s="414">
        <v>50000</v>
      </c>
      <c r="O222" s="414">
        <v>50000</v>
      </c>
      <c r="P222" s="595">
        <v>6329693</v>
      </c>
      <c r="Q222" s="595">
        <v>186269</v>
      </c>
      <c r="R222" s="414">
        <v>425190</v>
      </c>
      <c r="S222" s="415">
        <v>29.5181</v>
      </c>
      <c r="T222" s="415">
        <v>23.823700000000002</v>
      </c>
      <c r="U222" s="422">
        <v>5.6943999999999999</v>
      </c>
      <c r="V222" s="423">
        <f t="shared" si="325"/>
        <v>30000</v>
      </c>
      <c r="W222" s="417">
        <f t="shared" si="326"/>
        <v>-50000</v>
      </c>
      <c r="X222" s="417">
        <v>0</v>
      </c>
      <c r="Y222" s="417">
        <v>63552</v>
      </c>
      <c r="Z222" s="417">
        <v>0</v>
      </c>
      <c r="AA222" s="417">
        <v>0</v>
      </c>
      <c r="AB222" s="417">
        <v>0</v>
      </c>
      <c r="AC222" s="417">
        <v>0</v>
      </c>
      <c r="AD222" s="417">
        <v>0</v>
      </c>
      <c r="AE222" s="417">
        <f t="shared" si="327"/>
        <v>93552</v>
      </c>
      <c r="AF222" s="417">
        <f t="shared" si="328"/>
        <v>-50000</v>
      </c>
      <c r="AG222" s="417">
        <f t="shared" si="329"/>
        <v>43552</v>
      </c>
      <c r="AH222" s="417">
        <v>-30000</v>
      </c>
      <c r="AI222" s="417">
        <v>50000</v>
      </c>
      <c r="AJ222" s="417">
        <v>0</v>
      </c>
      <c r="AK222" s="417">
        <v>0</v>
      </c>
      <c r="AL222" s="417">
        <v>0</v>
      </c>
      <c r="AM222" s="417">
        <f t="shared" si="330"/>
        <v>-30000</v>
      </c>
      <c r="AN222" s="417">
        <f t="shared" si="331"/>
        <v>50000</v>
      </c>
      <c r="AO222" s="417">
        <f t="shared" si="332"/>
        <v>20000</v>
      </c>
      <c r="AP222" s="417">
        <f t="shared" si="333"/>
        <v>63552</v>
      </c>
      <c r="AQ222" s="417">
        <f t="shared" si="334"/>
        <v>0</v>
      </c>
      <c r="AR222" s="417">
        <f t="shared" si="335"/>
        <v>63552</v>
      </c>
      <c r="AS222" s="68">
        <f t="shared" si="336"/>
        <v>21481</v>
      </c>
      <c r="AT222" s="68">
        <f t="shared" si="337"/>
        <v>436</v>
      </c>
      <c r="AU222" s="417">
        <v>0</v>
      </c>
      <c r="AV222" s="417">
        <v>0</v>
      </c>
      <c r="AW222" s="417">
        <v>0</v>
      </c>
      <c r="AX222" s="417">
        <f t="shared" si="338"/>
        <v>0</v>
      </c>
      <c r="AY222" s="417">
        <f t="shared" si="339"/>
        <v>85469</v>
      </c>
      <c r="AZ222" s="418">
        <v>0.06</v>
      </c>
      <c r="BA222" s="418">
        <v>-0.15</v>
      </c>
      <c r="BB222" s="418">
        <v>0</v>
      </c>
      <c r="BC222" s="418">
        <v>0</v>
      </c>
      <c r="BD222" s="418">
        <v>0</v>
      </c>
      <c r="BE222" s="418">
        <v>0.09</v>
      </c>
      <c r="BF222" s="418">
        <v>0</v>
      </c>
      <c r="BG222" s="418">
        <v>0</v>
      </c>
      <c r="BH222" s="418">
        <v>0</v>
      </c>
      <c r="BI222" s="418">
        <f t="shared" si="340"/>
        <v>0.15</v>
      </c>
      <c r="BJ222" s="418">
        <f t="shared" si="341"/>
        <v>-0.15</v>
      </c>
      <c r="BK222" s="420">
        <f t="shared" si="342"/>
        <v>0</v>
      </c>
      <c r="BL222" s="772">
        <f>I222+AY222</f>
        <v>25753521</v>
      </c>
      <c r="BM222" s="417">
        <f>J222+AG222</f>
        <v>18670452</v>
      </c>
      <c r="BN222" s="417">
        <f t="shared" ref="BN222:BO226" si="363">K222+AE222</f>
        <v>16857306</v>
      </c>
      <c r="BO222" s="417">
        <f t="shared" si="363"/>
        <v>1813146</v>
      </c>
      <c r="BP222" s="417">
        <f>M222+AO222</f>
        <v>120000</v>
      </c>
      <c r="BQ222" s="417">
        <f t="shared" ref="BQ222:BR226" si="364">N222+AM222</f>
        <v>20000</v>
      </c>
      <c r="BR222" s="417">
        <f t="shared" si="364"/>
        <v>100000</v>
      </c>
      <c r="BS222" s="417">
        <f t="shared" ref="BS222:BT226" si="365">P222+AS222</f>
        <v>6351174</v>
      </c>
      <c r="BT222" s="417">
        <f t="shared" si="365"/>
        <v>186705</v>
      </c>
      <c r="BU222" s="417">
        <f>R222+AX222</f>
        <v>425190</v>
      </c>
      <c r="BV222" s="418">
        <f>S222+BK222</f>
        <v>29.5181</v>
      </c>
      <c r="BW222" s="418">
        <f t="shared" ref="BW222:BX226" si="366">T222+BI222</f>
        <v>23.973700000000001</v>
      </c>
      <c r="BX222" s="420">
        <f t="shared" si="366"/>
        <v>5.5443999999999996</v>
      </c>
      <c r="BY222" s="419">
        <v>608218</v>
      </c>
      <c r="BZ222" s="414">
        <v>451200</v>
      </c>
      <c r="CA222" s="414">
        <v>0</v>
      </c>
      <c r="CB222" s="414">
        <v>152506</v>
      </c>
      <c r="CC222" s="414">
        <v>4512</v>
      </c>
      <c r="CD222" s="422">
        <v>0.8</v>
      </c>
      <c r="CE222" s="419">
        <f t="shared" si="343"/>
        <v>931631</v>
      </c>
      <c r="CF222" s="414">
        <v>614020</v>
      </c>
      <c r="CG222" s="414">
        <v>207539</v>
      </c>
      <c r="CH222" s="414">
        <v>6140</v>
      </c>
      <c r="CI222" s="414">
        <v>103932</v>
      </c>
      <c r="CJ222" s="509">
        <v>1.8277000000000001</v>
      </c>
    </row>
    <row r="223" spans="1:88" ht="14.1" customHeight="1">
      <c r="A223" s="66">
        <v>46</v>
      </c>
      <c r="B223" s="63">
        <v>2488</v>
      </c>
      <c r="C223" s="64">
        <v>600079902</v>
      </c>
      <c r="D223" s="63">
        <v>70884978</v>
      </c>
      <c r="E223" s="65" t="s">
        <v>627</v>
      </c>
      <c r="F223" s="66">
        <v>3113</v>
      </c>
      <c r="G223" s="77" t="s">
        <v>291</v>
      </c>
      <c r="H223" s="67" t="s">
        <v>272</v>
      </c>
      <c r="I223" s="419">
        <v>4105193</v>
      </c>
      <c r="J223" s="414">
        <v>3040574</v>
      </c>
      <c r="K223" s="414">
        <v>3040574</v>
      </c>
      <c r="L223" s="414">
        <v>0</v>
      </c>
      <c r="M223" s="414">
        <v>0</v>
      </c>
      <c r="N223" s="414">
        <v>0</v>
      </c>
      <c r="O223" s="414">
        <v>0</v>
      </c>
      <c r="P223" s="595">
        <v>1027714</v>
      </c>
      <c r="Q223" s="595">
        <v>30405</v>
      </c>
      <c r="R223" s="414">
        <v>6500</v>
      </c>
      <c r="S223" s="415">
        <v>8.379999999999999</v>
      </c>
      <c r="T223" s="416">
        <v>8.379999999999999</v>
      </c>
      <c r="U223" s="422">
        <v>0</v>
      </c>
      <c r="V223" s="423">
        <f t="shared" si="325"/>
        <v>0</v>
      </c>
      <c r="W223" s="417">
        <f t="shared" si="326"/>
        <v>0</v>
      </c>
      <c r="X223" s="417">
        <f>30946-46350</f>
        <v>-15404</v>
      </c>
      <c r="Y223" s="417">
        <v>0</v>
      </c>
      <c r="Z223" s="417">
        <v>0</v>
      </c>
      <c r="AA223" s="417">
        <v>0</v>
      </c>
      <c r="AB223" s="417">
        <v>0</v>
      </c>
      <c r="AC223" s="417">
        <v>0</v>
      </c>
      <c r="AD223" s="417">
        <v>0</v>
      </c>
      <c r="AE223" s="417">
        <f t="shared" si="327"/>
        <v>-15404</v>
      </c>
      <c r="AF223" s="417">
        <f t="shared" si="328"/>
        <v>0</v>
      </c>
      <c r="AG223" s="417">
        <f t="shared" si="329"/>
        <v>-15404</v>
      </c>
      <c r="AH223" s="417">
        <v>0</v>
      </c>
      <c r="AI223" s="417">
        <v>0</v>
      </c>
      <c r="AJ223" s="417">
        <v>0</v>
      </c>
      <c r="AK223" s="417">
        <v>0</v>
      </c>
      <c r="AL223" s="417">
        <v>0</v>
      </c>
      <c r="AM223" s="417">
        <f t="shared" si="330"/>
        <v>0</v>
      </c>
      <c r="AN223" s="417">
        <f t="shared" si="331"/>
        <v>0</v>
      </c>
      <c r="AO223" s="417">
        <f t="shared" si="332"/>
        <v>0</v>
      </c>
      <c r="AP223" s="417">
        <f t="shared" si="333"/>
        <v>-15404</v>
      </c>
      <c r="AQ223" s="417">
        <f t="shared" si="334"/>
        <v>0</v>
      </c>
      <c r="AR223" s="417">
        <f t="shared" si="335"/>
        <v>-15404</v>
      </c>
      <c r="AS223" s="68">
        <f t="shared" si="336"/>
        <v>-5207</v>
      </c>
      <c r="AT223" s="68">
        <f t="shared" si="337"/>
        <v>-154</v>
      </c>
      <c r="AU223" s="417">
        <v>0</v>
      </c>
      <c r="AV223" s="417">
        <v>0</v>
      </c>
      <c r="AW223" s="417">
        <v>0</v>
      </c>
      <c r="AX223" s="417">
        <f t="shared" si="338"/>
        <v>0</v>
      </c>
      <c r="AY223" s="417">
        <f t="shared" si="339"/>
        <v>-20765</v>
      </c>
      <c r="AZ223" s="418">
        <v>0</v>
      </c>
      <c r="BA223" s="418">
        <v>0</v>
      </c>
      <c r="BB223" s="418">
        <f>0.07-0.13</f>
        <v>-0.06</v>
      </c>
      <c r="BC223" s="418">
        <v>0</v>
      </c>
      <c r="BD223" s="418">
        <v>0</v>
      </c>
      <c r="BE223" s="418">
        <v>0</v>
      </c>
      <c r="BF223" s="418">
        <v>0</v>
      </c>
      <c r="BG223" s="418">
        <v>0</v>
      </c>
      <c r="BH223" s="418">
        <v>0</v>
      </c>
      <c r="BI223" s="418">
        <f t="shared" si="340"/>
        <v>-0.06</v>
      </c>
      <c r="BJ223" s="418">
        <f t="shared" si="341"/>
        <v>0</v>
      </c>
      <c r="BK223" s="420">
        <f t="shared" si="342"/>
        <v>-0.06</v>
      </c>
      <c r="BL223" s="772">
        <f>I223+AY223</f>
        <v>4084428</v>
      </c>
      <c r="BM223" s="417">
        <f>J223+AG223</f>
        <v>3025170</v>
      </c>
      <c r="BN223" s="417">
        <f t="shared" si="363"/>
        <v>3025170</v>
      </c>
      <c r="BO223" s="417">
        <f t="shared" si="363"/>
        <v>0</v>
      </c>
      <c r="BP223" s="417">
        <f>M223+AO223</f>
        <v>0</v>
      </c>
      <c r="BQ223" s="417">
        <f t="shared" si="364"/>
        <v>0</v>
      </c>
      <c r="BR223" s="417">
        <f t="shared" si="364"/>
        <v>0</v>
      </c>
      <c r="BS223" s="417">
        <f t="shared" si="365"/>
        <v>1022507</v>
      </c>
      <c r="BT223" s="417">
        <f t="shared" si="365"/>
        <v>30251</v>
      </c>
      <c r="BU223" s="417">
        <f>R223+AX223</f>
        <v>6500</v>
      </c>
      <c r="BV223" s="418">
        <f>S223+BK223</f>
        <v>8.3199999999999985</v>
      </c>
      <c r="BW223" s="418">
        <f t="shared" si="366"/>
        <v>8.3199999999999985</v>
      </c>
      <c r="BX223" s="420">
        <f t="shared" si="366"/>
        <v>0</v>
      </c>
      <c r="BY223" s="419"/>
      <c r="BZ223" s="414"/>
      <c r="CA223" s="414"/>
      <c r="CB223" s="414"/>
      <c r="CC223" s="414"/>
      <c r="CD223" s="422"/>
      <c r="CE223" s="419">
        <f t="shared" si="343"/>
        <v>0</v>
      </c>
      <c r="CF223" s="414">
        <v>0</v>
      </c>
      <c r="CG223" s="414">
        <v>0</v>
      </c>
      <c r="CH223" s="414">
        <v>0</v>
      </c>
      <c r="CI223" s="414">
        <v>0</v>
      </c>
      <c r="CJ223" s="509">
        <v>0</v>
      </c>
    </row>
    <row r="224" spans="1:88" ht="14.1" customHeight="1">
      <c r="A224" s="66">
        <v>46</v>
      </c>
      <c r="B224" s="63">
        <v>2488</v>
      </c>
      <c r="C224" s="64">
        <v>600079902</v>
      </c>
      <c r="D224" s="63">
        <v>70884978</v>
      </c>
      <c r="E224" s="65" t="s">
        <v>627</v>
      </c>
      <c r="F224" s="66">
        <v>3141</v>
      </c>
      <c r="G224" s="65" t="s">
        <v>294</v>
      </c>
      <c r="H224" s="67" t="s">
        <v>272</v>
      </c>
      <c r="I224" s="419">
        <v>316508</v>
      </c>
      <c r="J224" s="414">
        <v>233660</v>
      </c>
      <c r="K224" s="414">
        <v>0</v>
      </c>
      <c r="L224" s="744">
        <v>233660</v>
      </c>
      <c r="M224" s="414">
        <v>0</v>
      </c>
      <c r="N224" s="204">
        <v>0</v>
      </c>
      <c r="O224" s="204">
        <v>0</v>
      </c>
      <c r="P224" s="595">
        <v>78977</v>
      </c>
      <c r="Q224" s="595">
        <v>2337</v>
      </c>
      <c r="R224" s="601">
        <v>1534</v>
      </c>
      <c r="S224" s="415">
        <v>0.7</v>
      </c>
      <c r="T224" s="603">
        <v>0</v>
      </c>
      <c r="U224" s="731">
        <v>0.7</v>
      </c>
      <c r="V224" s="423">
        <f t="shared" si="325"/>
        <v>0</v>
      </c>
      <c r="W224" s="417">
        <f t="shared" si="326"/>
        <v>-10000</v>
      </c>
      <c r="X224" s="417">
        <v>0</v>
      </c>
      <c r="Y224" s="417">
        <v>0</v>
      </c>
      <c r="Z224" s="417">
        <v>0</v>
      </c>
      <c r="AA224" s="417">
        <v>436006</v>
      </c>
      <c r="AB224" s="417">
        <v>0</v>
      </c>
      <c r="AC224" s="417">
        <v>0</v>
      </c>
      <c r="AD224" s="417">
        <v>0</v>
      </c>
      <c r="AE224" s="417">
        <f t="shared" si="327"/>
        <v>0</v>
      </c>
      <c r="AF224" s="417">
        <f t="shared" si="328"/>
        <v>426006</v>
      </c>
      <c r="AG224" s="417">
        <f t="shared" si="329"/>
        <v>426006</v>
      </c>
      <c r="AH224" s="417">
        <v>0</v>
      </c>
      <c r="AI224" s="417">
        <v>10000</v>
      </c>
      <c r="AJ224" s="417">
        <v>0</v>
      </c>
      <c r="AK224" s="417">
        <v>0</v>
      </c>
      <c r="AL224" s="417">
        <v>0</v>
      </c>
      <c r="AM224" s="417">
        <f t="shared" si="330"/>
        <v>0</v>
      </c>
      <c r="AN224" s="417">
        <f t="shared" si="331"/>
        <v>10000</v>
      </c>
      <c r="AO224" s="417">
        <f t="shared" si="332"/>
        <v>10000</v>
      </c>
      <c r="AP224" s="417">
        <f t="shared" si="333"/>
        <v>0</v>
      </c>
      <c r="AQ224" s="417">
        <f t="shared" si="334"/>
        <v>436006</v>
      </c>
      <c r="AR224" s="417">
        <f t="shared" si="335"/>
        <v>436006</v>
      </c>
      <c r="AS224" s="68">
        <f t="shared" si="336"/>
        <v>147370</v>
      </c>
      <c r="AT224" s="68">
        <f t="shared" si="337"/>
        <v>4260</v>
      </c>
      <c r="AU224" s="417">
        <v>0</v>
      </c>
      <c r="AV224" s="417">
        <v>0</v>
      </c>
      <c r="AW224" s="417">
        <v>0</v>
      </c>
      <c r="AX224" s="417">
        <f t="shared" si="338"/>
        <v>0</v>
      </c>
      <c r="AY224" s="417">
        <f t="shared" si="339"/>
        <v>587636</v>
      </c>
      <c r="AZ224" s="418">
        <v>0</v>
      </c>
      <c r="BA224" s="418">
        <v>0</v>
      </c>
      <c r="BB224" s="418">
        <v>0</v>
      </c>
      <c r="BC224" s="418">
        <v>0</v>
      </c>
      <c r="BD224" s="418">
        <v>1.31</v>
      </c>
      <c r="BE224" s="418">
        <v>0</v>
      </c>
      <c r="BF224" s="418">
        <v>0</v>
      </c>
      <c r="BG224" s="418">
        <v>0</v>
      </c>
      <c r="BH224" s="418">
        <v>0</v>
      </c>
      <c r="BI224" s="418">
        <f t="shared" si="340"/>
        <v>0</v>
      </c>
      <c r="BJ224" s="418">
        <f t="shared" si="341"/>
        <v>1.31</v>
      </c>
      <c r="BK224" s="420">
        <f t="shared" si="342"/>
        <v>1.31</v>
      </c>
      <c r="BL224" s="772">
        <f>I224+AY224</f>
        <v>904144</v>
      </c>
      <c r="BM224" s="417">
        <f>J224+AG224</f>
        <v>659666</v>
      </c>
      <c r="BN224" s="417">
        <f t="shared" si="363"/>
        <v>0</v>
      </c>
      <c r="BO224" s="417">
        <f t="shared" si="363"/>
        <v>659666</v>
      </c>
      <c r="BP224" s="417">
        <f>M224+AO224</f>
        <v>10000</v>
      </c>
      <c r="BQ224" s="417">
        <f t="shared" si="364"/>
        <v>0</v>
      </c>
      <c r="BR224" s="417">
        <f t="shared" si="364"/>
        <v>10000</v>
      </c>
      <c r="BS224" s="417">
        <f t="shared" si="365"/>
        <v>226347</v>
      </c>
      <c r="BT224" s="417">
        <f t="shared" si="365"/>
        <v>6597</v>
      </c>
      <c r="BU224" s="417">
        <f>R224+AX224</f>
        <v>1534</v>
      </c>
      <c r="BV224" s="418">
        <f>S224+BK224</f>
        <v>2.0099999999999998</v>
      </c>
      <c r="BW224" s="418">
        <f t="shared" si="366"/>
        <v>0</v>
      </c>
      <c r="BX224" s="420">
        <f t="shared" si="366"/>
        <v>2.0099999999999998</v>
      </c>
      <c r="BY224" s="419"/>
      <c r="BZ224" s="414"/>
      <c r="CA224" s="414"/>
      <c r="CB224" s="414"/>
      <c r="CC224" s="414"/>
      <c r="CD224" s="422"/>
      <c r="CE224" s="419">
        <f t="shared" si="343"/>
        <v>0</v>
      </c>
      <c r="CF224" s="414">
        <v>0</v>
      </c>
      <c r="CG224" s="414">
        <v>0</v>
      </c>
      <c r="CH224" s="414">
        <v>0</v>
      </c>
      <c r="CI224" s="414">
        <v>0</v>
      </c>
      <c r="CJ224" s="509">
        <v>0</v>
      </c>
    </row>
    <row r="225" spans="1:88" ht="14.1" customHeight="1">
      <c r="A225" s="66">
        <v>46</v>
      </c>
      <c r="B225" s="63">
        <v>2488</v>
      </c>
      <c r="C225" s="64">
        <v>600079902</v>
      </c>
      <c r="D225" s="63">
        <v>70884978</v>
      </c>
      <c r="E225" s="65" t="s">
        <v>627</v>
      </c>
      <c r="F225" s="66">
        <v>3143</v>
      </c>
      <c r="G225" s="77" t="s">
        <v>595</v>
      </c>
      <c r="H225" s="67" t="s">
        <v>271</v>
      </c>
      <c r="I225" s="419">
        <v>2621985</v>
      </c>
      <c r="J225" s="414">
        <v>1945093</v>
      </c>
      <c r="K225" s="414">
        <v>1945093</v>
      </c>
      <c r="L225" s="414">
        <v>0</v>
      </c>
      <c r="M225" s="414">
        <v>0</v>
      </c>
      <c r="N225" s="414">
        <v>0</v>
      </c>
      <c r="O225" s="414">
        <v>0</v>
      </c>
      <c r="P225" s="595">
        <v>657441</v>
      </c>
      <c r="Q225" s="595">
        <v>19451</v>
      </c>
      <c r="R225" s="414">
        <v>0</v>
      </c>
      <c r="S225" s="415">
        <v>3.875</v>
      </c>
      <c r="T225" s="415">
        <v>3.875</v>
      </c>
      <c r="U225" s="422">
        <v>0</v>
      </c>
      <c r="V225" s="423">
        <f t="shared" si="325"/>
        <v>0</v>
      </c>
      <c r="W225" s="417">
        <f t="shared" si="326"/>
        <v>0</v>
      </c>
      <c r="X225" s="417">
        <v>0</v>
      </c>
      <c r="Y225" s="417">
        <v>0</v>
      </c>
      <c r="Z225" s="417">
        <v>0</v>
      </c>
      <c r="AA225" s="417">
        <v>0</v>
      </c>
      <c r="AB225" s="417">
        <v>0</v>
      </c>
      <c r="AC225" s="417">
        <v>0</v>
      </c>
      <c r="AD225" s="417">
        <v>0</v>
      </c>
      <c r="AE225" s="417">
        <f t="shared" si="327"/>
        <v>0</v>
      </c>
      <c r="AF225" s="417">
        <f t="shared" si="328"/>
        <v>0</v>
      </c>
      <c r="AG225" s="417">
        <f t="shared" si="329"/>
        <v>0</v>
      </c>
      <c r="AH225" s="417">
        <v>0</v>
      </c>
      <c r="AI225" s="417">
        <v>0</v>
      </c>
      <c r="AJ225" s="417">
        <v>0</v>
      </c>
      <c r="AK225" s="417">
        <v>0</v>
      </c>
      <c r="AL225" s="417">
        <v>0</v>
      </c>
      <c r="AM225" s="417">
        <f t="shared" si="330"/>
        <v>0</v>
      </c>
      <c r="AN225" s="417">
        <f t="shared" si="331"/>
        <v>0</v>
      </c>
      <c r="AO225" s="417">
        <f t="shared" si="332"/>
        <v>0</v>
      </c>
      <c r="AP225" s="417">
        <f t="shared" si="333"/>
        <v>0</v>
      </c>
      <c r="AQ225" s="417">
        <f t="shared" si="334"/>
        <v>0</v>
      </c>
      <c r="AR225" s="417">
        <f t="shared" si="335"/>
        <v>0</v>
      </c>
      <c r="AS225" s="68">
        <f t="shared" si="336"/>
        <v>0</v>
      </c>
      <c r="AT225" s="68">
        <f t="shared" si="337"/>
        <v>0</v>
      </c>
      <c r="AU225" s="417">
        <v>0</v>
      </c>
      <c r="AV225" s="417">
        <v>0</v>
      </c>
      <c r="AW225" s="417">
        <v>0</v>
      </c>
      <c r="AX225" s="417">
        <f t="shared" si="338"/>
        <v>0</v>
      </c>
      <c r="AY225" s="417">
        <f t="shared" si="339"/>
        <v>0</v>
      </c>
      <c r="AZ225" s="418">
        <v>0</v>
      </c>
      <c r="BA225" s="418">
        <v>0</v>
      </c>
      <c r="BB225" s="418">
        <v>0</v>
      </c>
      <c r="BC225" s="418">
        <v>0</v>
      </c>
      <c r="BD225" s="418">
        <v>0</v>
      </c>
      <c r="BE225" s="418">
        <v>0</v>
      </c>
      <c r="BF225" s="418">
        <v>0</v>
      </c>
      <c r="BG225" s="418">
        <v>0</v>
      </c>
      <c r="BH225" s="418">
        <v>0</v>
      </c>
      <c r="BI225" s="418">
        <f t="shared" si="340"/>
        <v>0</v>
      </c>
      <c r="BJ225" s="418">
        <f t="shared" si="341"/>
        <v>0</v>
      </c>
      <c r="BK225" s="420">
        <f t="shared" si="342"/>
        <v>0</v>
      </c>
      <c r="BL225" s="772">
        <f>I225+AY225</f>
        <v>2621985</v>
      </c>
      <c r="BM225" s="417">
        <f>J225+AG225</f>
        <v>1945093</v>
      </c>
      <c r="BN225" s="417">
        <f t="shared" si="363"/>
        <v>1945093</v>
      </c>
      <c r="BO225" s="417">
        <f t="shared" si="363"/>
        <v>0</v>
      </c>
      <c r="BP225" s="417">
        <f>M225+AO225</f>
        <v>0</v>
      </c>
      <c r="BQ225" s="417">
        <f t="shared" si="364"/>
        <v>0</v>
      </c>
      <c r="BR225" s="417">
        <f t="shared" si="364"/>
        <v>0</v>
      </c>
      <c r="BS225" s="417">
        <f t="shared" si="365"/>
        <v>657441</v>
      </c>
      <c r="BT225" s="417">
        <f t="shared" si="365"/>
        <v>19451</v>
      </c>
      <c r="BU225" s="417">
        <f>R225+AX225</f>
        <v>0</v>
      </c>
      <c r="BV225" s="418">
        <f>S225+BK225</f>
        <v>3.875</v>
      </c>
      <c r="BW225" s="418">
        <f t="shared" si="366"/>
        <v>3.875</v>
      </c>
      <c r="BX225" s="420">
        <f t="shared" si="366"/>
        <v>0</v>
      </c>
      <c r="BY225" s="419"/>
      <c r="BZ225" s="414"/>
      <c r="CA225" s="414"/>
      <c r="CB225" s="414"/>
      <c r="CC225" s="414"/>
      <c r="CD225" s="422"/>
      <c r="CE225" s="419">
        <f t="shared" si="343"/>
        <v>0</v>
      </c>
      <c r="CF225" s="414">
        <v>0</v>
      </c>
      <c r="CG225" s="414">
        <v>0</v>
      </c>
      <c r="CH225" s="414">
        <v>0</v>
      </c>
      <c r="CI225" s="414">
        <v>0</v>
      </c>
      <c r="CJ225" s="509">
        <v>0</v>
      </c>
    </row>
    <row r="226" spans="1:88" ht="14.1" customHeight="1">
      <c r="A226" s="66">
        <v>46</v>
      </c>
      <c r="B226" s="63">
        <v>2488</v>
      </c>
      <c r="C226" s="64">
        <v>600079902</v>
      </c>
      <c r="D226" s="63">
        <v>70884978</v>
      </c>
      <c r="E226" s="65" t="s">
        <v>627</v>
      </c>
      <c r="F226" s="66">
        <v>3143</v>
      </c>
      <c r="G226" s="77" t="s">
        <v>596</v>
      </c>
      <c r="H226" s="67" t="s">
        <v>272</v>
      </c>
      <c r="I226" s="419">
        <v>95282</v>
      </c>
      <c r="J226" s="414">
        <v>68200</v>
      </c>
      <c r="K226" s="414">
        <v>0</v>
      </c>
      <c r="L226" s="601">
        <v>68200</v>
      </c>
      <c r="M226" s="414">
        <v>0</v>
      </c>
      <c r="N226" s="414">
        <v>0</v>
      </c>
      <c r="O226" s="414">
        <v>0</v>
      </c>
      <c r="P226" s="595">
        <v>23052</v>
      </c>
      <c r="Q226" s="595">
        <v>682</v>
      </c>
      <c r="R226" s="602">
        <v>3348</v>
      </c>
      <c r="S226" s="415">
        <v>0.26219999999999999</v>
      </c>
      <c r="T226" s="605">
        <v>0</v>
      </c>
      <c r="U226" s="731">
        <v>0.26219999999999999</v>
      </c>
      <c r="V226" s="423">
        <f t="shared" si="325"/>
        <v>0</v>
      </c>
      <c r="W226" s="417">
        <f t="shared" si="326"/>
        <v>0</v>
      </c>
      <c r="X226" s="417">
        <v>0</v>
      </c>
      <c r="Y226" s="417">
        <v>0</v>
      </c>
      <c r="Z226" s="417">
        <v>0</v>
      </c>
      <c r="AA226" s="417">
        <v>0</v>
      </c>
      <c r="AB226" s="417">
        <v>0</v>
      </c>
      <c r="AC226" s="417">
        <v>0</v>
      </c>
      <c r="AD226" s="417">
        <v>0</v>
      </c>
      <c r="AE226" s="417">
        <f t="shared" si="327"/>
        <v>0</v>
      </c>
      <c r="AF226" s="417">
        <f t="shared" si="328"/>
        <v>0</v>
      </c>
      <c r="AG226" s="417">
        <f t="shared" si="329"/>
        <v>0</v>
      </c>
      <c r="AH226" s="417">
        <v>0</v>
      </c>
      <c r="AI226" s="417">
        <v>0</v>
      </c>
      <c r="AJ226" s="417">
        <v>0</v>
      </c>
      <c r="AK226" s="417">
        <v>0</v>
      </c>
      <c r="AL226" s="417">
        <v>0</v>
      </c>
      <c r="AM226" s="417">
        <f t="shared" si="330"/>
        <v>0</v>
      </c>
      <c r="AN226" s="417">
        <f t="shared" si="331"/>
        <v>0</v>
      </c>
      <c r="AO226" s="417">
        <f t="shared" si="332"/>
        <v>0</v>
      </c>
      <c r="AP226" s="417">
        <f t="shared" si="333"/>
        <v>0</v>
      </c>
      <c r="AQ226" s="417">
        <f t="shared" si="334"/>
        <v>0</v>
      </c>
      <c r="AR226" s="417">
        <f t="shared" si="335"/>
        <v>0</v>
      </c>
      <c r="AS226" s="68">
        <f t="shared" si="336"/>
        <v>0</v>
      </c>
      <c r="AT226" s="68">
        <f t="shared" si="337"/>
        <v>0</v>
      </c>
      <c r="AU226" s="417">
        <v>0</v>
      </c>
      <c r="AV226" s="417">
        <v>0</v>
      </c>
      <c r="AW226" s="417">
        <v>0</v>
      </c>
      <c r="AX226" s="417">
        <f t="shared" si="338"/>
        <v>0</v>
      </c>
      <c r="AY226" s="417">
        <f t="shared" si="339"/>
        <v>0</v>
      </c>
      <c r="AZ226" s="418">
        <v>0</v>
      </c>
      <c r="BA226" s="418">
        <v>0</v>
      </c>
      <c r="BB226" s="418">
        <v>0</v>
      </c>
      <c r="BC226" s="418">
        <v>0</v>
      </c>
      <c r="BD226" s="418">
        <v>0</v>
      </c>
      <c r="BE226" s="418">
        <v>0</v>
      </c>
      <c r="BF226" s="418">
        <v>0</v>
      </c>
      <c r="BG226" s="418">
        <v>0</v>
      </c>
      <c r="BH226" s="418">
        <v>0</v>
      </c>
      <c r="BI226" s="418">
        <f t="shared" si="340"/>
        <v>0</v>
      </c>
      <c r="BJ226" s="418">
        <f t="shared" si="341"/>
        <v>0</v>
      </c>
      <c r="BK226" s="420">
        <f t="shared" si="342"/>
        <v>0</v>
      </c>
      <c r="BL226" s="772">
        <f>I226+AY226</f>
        <v>95282</v>
      </c>
      <c r="BM226" s="417">
        <f>J226+AG226</f>
        <v>68200</v>
      </c>
      <c r="BN226" s="417">
        <f t="shared" si="363"/>
        <v>0</v>
      </c>
      <c r="BO226" s="417">
        <f t="shared" si="363"/>
        <v>68200</v>
      </c>
      <c r="BP226" s="417">
        <f>M226+AO226</f>
        <v>0</v>
      </c>
      <c r="BQ226" s="417">
        <f t="shared" si="364"/>
        <v>0</v>
      </c>
      <c r="BR226" s="417">
        <f t="shared" si="364"/>
        <v>0</v>
      </c>
      <c r="BS226" s="417">
        <f t="shared" si="365"/>
        <v>23052</v>
      </c>
      <c r="BT226" s="417">
        <f t="shared" si="365"/>
        <v>682</v>
      </c>
      <c r="BU226" s="417">
        <f>R226+AX226</f>
        <v>3348</v>
      </c>
      <c r="BV226" s="418">
        <f>S226+BK226</f>
        <v>0.26219999999999999</v>
      </c>
      <c r="BW226" s="418">
        <f t="shared" si="366"/>
        <v>0</v>
      </c>
      <c r="BX226" s="420">
        <f t="shared" si="366"/>
        <v>0.26219999999999999</v>
      </c>
      <c r="BY226" s="419"/>
      <c r="BZ226" s="414"/>
      <c r="CA226" s="414"/>
      <c r="CB226" s="414"/>
      <c r="CC226" s="414"/>
      <c r="CD226" s="422"/>
      <c r="CE226" s="419">
        <f t="shared" si="343"/>
        <v>0</v>
      </c>
      <c r="CF226" s="414">
        <v>0</v>
      </c>
      <c r="CG226" s="414">
        <v>0</v>
      </c>
      <c r="CH226" s="414">
        <v>0</v>
      </c>
      <c r="CI226" s="414">
        <v>0</v>
      </c>
      <c r="CJ226" s="509">
        <v>0</v>
      </c>
    </row>
    <row r="227" spans="1:88" ht="14.1" customHeight="1">
      <c r="A227" s="72">
        <v>46</v>
      </c>
      <c r="B227" s="69">
        <v>2488</v>
      </c>
      <c r="C227" s="70">
        <v>600079902</v>
      </c>
      <c r="D227" s="69">
        <v>70884978</v>
      </c>
      <c r="E227" s="71" t="s">
        <v>628</v>
      </c>
      <c r="F227" s="72"/>
      <c r="G227" s="71"/>
      <c r="H227" s="73"/>
      <c r="I227" s="516">
        <v>32807020</v>
      </c>
      <c r="J227" s="74">
        <v>23914427</v>
      </c>
      <c r="K227" s="74">
        <v>21749421</v>
      </c>
      <c r="L227" s="74">
        <v>2165006</v>
      </c>
      <c r="M227" s="74">
        <v>100000</v>
      </c>
      <c r="N227" s="74">
        <v>50000</v>
      </c>
      <c r="O227" s="74">
        <v>50000</v>
      </c>
      <c r="P227" s="74">
        <v>8116877</v>
      </c>
      <c r="Q227" s="74">
        <v>239144</v>
      </c>
      <c r="R227" s="74">
        <v>436572</v>
      </c>
      <c r="S227" s="75">
        <v>42.735300000000002</v>
      </c>
      <c r="T227" s="75">
        <v>36.078699999999998</v>
      </c>
      <c r="U227" s="653">
        <v>6.6566000000000001</v>
      </c>
      <c r="V227" s="516">
        <f t="shared" ref="V227:BX227" si="367">SUM(V222:V226)</f>
        <v>30000</v>
      </c>
      <c r="W227" s="74">
        <f t="shared" si="367"/>
        <v>-60000</v>
      </c>
      <c r="X227" s="74">
        <f t="shared" si="367"/>
        <v>-15404</v>
      </c>
      <c r="Y227" s="74">
        <f t="shared" si="367"/>
        <v>63552</v>
      </c>
      <c r="Z227" s="74">
        <f t="shared" si="367"/>
        <v>0</v>
      </c>
      <c r="AA227" s="74">
        <f t="shared" si="367"/>
        <v>436006</v>
      </c>
      <c r="AB227" s="74">
        <f t="shared" si="367"/>
        <v>0</v>
      </c>
      <c r="AC227" s="74">
        <f t="shared" si="367"/>
        <v>0</v>
      </c>
      <c r="AD227" s="74">
        <f t="shared" si="367"/>
        <v>0</v>
      </c>
      <c r="AE227" s="74">
        <f t="shared" si="367"/>
        <v>78148</v>
      </c>
      <c r="AF227" s="74">
        <f t="shared" si="367"/>
        <v>376006</v>
      </c>
      <c r="AG227" s="74">
        <f t="shared" si="367"/>
        <v>454154</v>
      </c>
      <c r="AH227" s="74">
        <f t="shared" si="367"/>
        <v>-30000</v>
      </c>
      <c r="AI227" s="74">
        <f t="shared" si="367"/>
        <v>60000</v>
      </c>
      <c r="AJ227" s="74">
        <f t="shared" si="367"/>
        <v>0</v>
      </c>
      <c r="AK227" s="74">
        <f t="shared" si="367"/>
        <v>0</v>
      </c>
      <c r="AL227" s="74">
        <f t="shared" si="367"/>
        <v>0</v>
      </c>
      <c r="AM227" s="74">
        <f t="shared" si="367"/>
        <v>-30000</v>
      </c>
      <c r="AN227" s="74">
        <f t="shared" si="367"/>
        <v>60000</v>
      </c>
      <c r="AO227" s="74">
        <f t="shared" si="367"/>
        <v>30000</v>
      </c>
      <c r="AP227" s="74">
        <f t="shared" si="367"/>
        <v>48148</v>
      </c>
      <c r="AQ227" s="74">
        <f t="shared" si="367"/>
        <v>436006</v>
      </c>
      <c r="AR227" s="74">
        <f t="shared" si="367"/>
        <v>484154</v>
      </c>
      <c r="AS227" s="74">
        <f t="shared" si="367"/>
        <v>163644</v>
      </c>
      <c r="AT227" s="74">
        <f t="shared" si="367"/>
        <v>4542</v>
      </c>
      <c r="AU227" s="74">
        <f t="shared" si="367"/>
        <v>0</v>
      </c>
      <c r="AV227" s="74">
        <f t="shared" si="367"/>
        <v>0</v>
      </c>
      <c r="AW227" s="74">
        <f t="shared" si="367"/>
        <v>0</v>
      </c>
      <c r="AX227" s="74">
        <f t="shared" si="367"/>
        <v>0</v>
      </c>
      <c r="AY227" s="74">
        <f t="shared" si="367"/>
        <v>652340</v>
      </c>
      <c r="AZ227" s="75">
        <f t="shared" si="367"/>
        <v>0.06</v>
      </c>
      <c r="BA227" s="75">
        <f t="shared" si="367"/>
        <v>-0.15</v>
      </c>
      <c r="BB227" s="75">
        <f t="shared" si="367"/>
        <v>-0.06</v>
      </c>
      <c r="BC227" s="75">
        <f t="shared" si="367"/>
        <v>0</v>
      </c>
      <c r="BD227" s="75">
        <f t="shared" si="367"/>
        <v>1.31</v>
      </c>
      <c r="BE227" s="75">
        <f t="shared" si="367"/>
        <v>0.09</v>
      </c>
      <c r="BF227" s="75">
        <f t="shared" si="367"/>
        <v>0</v>
      </c>
      <c r="BG227" s="75">
        <f t="shared" si="367"/>
        <v>0</v>
      </c>
      <c r="BH227" s="75">
        <f t="shared" si="367"/>
        <v>0</v>
      </c>
      <c r="BI227" s="75">
        <f t="shared" si="367"/>
        <v>0.09</v>
      </c>
      <c r="BJ227" s="75">
        <f t="shared" si="367"/>
        <v>1.1600000000000001</v>
      </c>
      <c r="BK227" s="76">
        <f t="shared" si="367"/>
        <v>1.25</v>
      </c>
      <c r="BL227" s="781">
        <f t="shared" si="367"/>
        <v>33459360</v>
      </c>
      <c r="BM227" s="74">
        <f t="shared" si="367"/>
        <v>24368581</v>
      </c>
      <c r="BN227" s="74">
        <f t="shared" si="367"/>
        <v>21827569</v>
      </c>
      <c r="BO227" s="74">
        <f t="shared" si="367"/>
        <v>2541012</v>
      </c>
      <c r="BP227" s="74">
        <f t="shared" si="367"/>
        <v>130000</v>
      </c>
      <c r="BQ227" s="74">
        <f t="shared" si="367"/>
        <v>20000</v>
      </c>
      <c r="BR227" s="74">
        <f t="shared" si="367"/>
        <v>110000</v>
      </c>
      <c r="BS227" s="74">
        <f t="shared" si="367"/>
        <v>8280521</v>
      </c>
      <c r="BT227" s="74">
        <f t="shared" si="367"/>
        <v>243686</v>
      </c>
      <c r="BU227" s="74">
        <f t="shared" si="367"/>
        <v>436572</v>
      </c>
      <c r="BV227" s="75">
        <f t="shared" si="367"/>
        <v>43.985299999999995</v>
      </c>
      <c r="BW227" s="75">
        <f t="shared" si="367"/>
        <v>36.168700000000001</v>
      </c>
      <c r="BX227" s="76">
        <f t="shared" si="367"/>
        <v>7.8165999999999993</v>
      </c>
      <c r="BY227" s="791">
        <f t="shared" ref="BY227:CJ227" si="368">SUM(BY222:BY226)</f>
        <v>608218</v>
      </c>
      <c r="BZ227" s="679">
        <f t="shared" si="368"/>
        <v>451200</v>
      </c>
      <c r="CA227" s="679">
        <f t="shared" si="368"/>
        <v>0</v>
      </c>
      <c r="CB227" s="679">
        <f t="shared" si="368"/>
        <v>152506</v>
      </c>
      <c r="CC227" s="679">
        <f t="shared" si="368"/>
        <v>4512</v>
      </c>
      <c r="CD227" s="947">
        <f t="shared" si="368"/>
        <v>0.8</v>
      </c>
      <c r="CE227" s="956">
        <f t="shared" si="368"/>
        <v>931631</v>
      </c>
      <c r="CF227" s="953">
        <f t="shared" si="368"/>
        <v>614020</v>
      </c>
      <c r="CG227" s="953">
        <f t="shared" si="368"/>
        <v>207539</v>
      </c>
      <c r="CH227" s="953">
        <f t="shared" si="368"/>
        <v>6140</v>
      </c>
      <c r="CI227" s="953">
        <f t="shared" si="368"/>
        <v>103932</v>
      </c>
      <c r="CJ227" s="877">
        <f t="shared" si="368"/>
        <v>1.8277000000000001</v>
      </c>
    </row>
    <row r="228" spans="1:88" ht="14.1" customHeight="1">
      <c r="A228" s="66">
        <v>47</v>
      </c>
      <c r="B228" s="63">
        <v>2472</v>
      </c>
      <c r="C228" s="64">
        <v>600080277</v>
      </c>
      <c r="D228" s="63">
        <v>72743131</v>
      </c>
      <c r="E228" s="65" t="s">
        <v>629</v>
      </c>
      <c r="F228" s="66">
        <v>3113</v>
      </c>
      <c r="G228" s="65" t="s">
        <v>293</v>
      </c>
      <c r="H228" s="67" t="s">
        <v>271</v>
      </c>
      <c r="I228" s="419">
        <v>28725155</v>
      </c>
      <c r="J228" s="414">
        <v>20945785</v>
      </c>
      <c r="K228" s="414">
        <v>18638810</v>
      </c>
      <c r="L228" s="414">
        <v>2306975</v>
      </c>
      <c r="M228" s="414">
        <v>75000</v>
      </c>
      <c r="N228" s="414">
        <v>60000</v>
      </c>
      <c r="O228" s="414">
        <v>15000</v>
      </c>
      <c r="P228" s="595">
        <v>7105026</v>
      </c>
      <c r="Q228" s="595">
        <v>209459</v>
      </c>
      <c r="R228" s="414">
        <v>389885</v>
      </c>
      <c r="S228" s="415">
        <v>33.7834</v>
      </c>
      <c r="T228" s="415">
        <v>26.803599999999999</v>
      </c>
      <c r="U228" s="422">
        <v>6.9798000000000009</v>
      </c>
      <c r="V228" s="423">
        <f t="shared" si="325"/>
        <v>0</v>
      </c>
      <c r="W228" s="417">
        <f t="shared" si="326"/>
        <v>0</v>
      </c>
      <c r="X228" s="417">
        <v>0</v>
      </c>
      <c r="Y228" s="417">
        <v>39720</v>
      </c>
      <c r="Z228" s="417">
        <v>0</v>
      </c>
      <c r="AA228" s="417">
        <v>0</v>
      </c>
      <c r="AB228" s="417">
        <v>0</v>
      </c>
      <c r="AC228" s="417">
        <v>0</v>
      </c>
      <c r="AD228" s="417">
        <v>0</v>
      </c>
      <c r="AE228" s="417">
        <f t="shared" si="327"/>
        <v>39720</v>
      </c>
      <c r="AF228" s="417">
        <f t="shared" si="328"/>
        <v>0</v>
      </c>
      <c r="AG228" s="417">
        <f t="shared" si="329"/>
        <v>39720</v>
      </c>
      <c r="AH228" s="417">
        <v>0</v>
      </c>
      <c r="AI228" s="417">
        <v>0</v>
      </c>
      <c r="AJ228" s="417">
        <v>0</v>
      </c>
      <c r="AK228" s="417">
        <v>0</v>
      </c>
      <c r="AL228" s="417">
        <v>0</v>
      </c>
      <c r="AM228" s="417">
        <f t="shared" si="330"/>
        <v>0</v>
      </c>
      <c r="AN228" s="417">
        <f t="shared" si="331"/>
        <v>0</v>
      </c>
      <c r="AO228" s="417">
        <f t="shared" si="332"/>
        <v>0</v>
      </c>
      <c r="AP228" s="417">
        <f t="shared" si="333"/>
        <v>39720</v>
      </c>
      <c r="AQ228" s="417">
        <f t="shared" si="334"/>
        <v>0</v>
      </c>
      <c r="AR228" s="417">
        <f t="shared" si="335"/>
        <v>39720</v>
      </c>
      <c r="AS228" s="68">
        <f t="shared" si="336"/>
        <v>13425</v>
      </c>
      <c r="AT228" s="68">
        <f t="shared" si="337"/>
        <v>397</v>
      </c>
      <c r="AU228" s="417">
        <v>0</v>
      </c>
      <c r="AV228" s="417">
        <v>0</v>
      </c>
      <c r="AW228" s="417">
        <v>0</v>
      </c>
      <c r="AX228" s="417">
        <f t="shared" si="338"/>
        <v>0</v>
      </c>
      <c r="AY228" s="417">
        <f t="shared" si="339"/>
        <v>53542</v>
      </c>
      <c r="AZ228" s="418">
        <v>0</v>
      </c>
      <c r="BA228" s="418">
        <v>0</v>
      </c>
      <c r="BB228" s="418">
        <v>0</v>
      </c>
      <c r="BC228" s="418">
        <v>0</v>
      </c>
      <c r="BD228" s="418">
        <v>0</v>
      </c>
      <c r="BE228" s="418">
        <v>0.06</v>
      </c>
      <c r="BF228" s="418">
        <v>0</v>
      </c>
      <c r="BG228" s="418">
        <v>0</v>
      </c>
      <c r="BH228" s="418">
        <v>0</v>
      </c>
      <c r="BI228" s="418">
        <f t="shared" si="340"/>
        <v>0.06</v>
      </c>
      <c r="BJ228" s="418">
        <f t="shared" si="341"/>
        <v>0</v>
      </c>
      <c r="BK228" s="420">
        <f t="shared" si="342"/>
        <v>0.06</v>
      </c>
      <c r="BL228" s="772">
        <f>I228+AY228</f>
        <v>28778697</v>
      </c>
      <c r="BM228" s="417">
        <f>J228+AG228</f>
        <v>20985505</v>
      </c>
      <c r="BN228" s="417">
        <f t="shared" ref="BN228:BO232" si="369">K228+AE228</f>
        <v>18678530</v>
      </c>
      <c r="BO228" s="417">
        <f t="shared" si="369"/>
        <v>2306975</v>
      </c>
      <c r="BP228" s="417">
        <f>M228+AO228</f>
        <v>75000</v>
      </c>
      <c r="BQ228" s="417">
        <f t="shared" ref="BQ228:BR232" si="370">N228+AM228</f>
        <v>60000</v>
      </c>
      <c r="BR228" s="417">
        <f t="shared" si="370"/>
        <v>15000</v>
      </c>
      <c r="BS228" s="417">
        <f t="shared" ref="BS228:BT232" si="371">P228+AS228</f>
        <v>7118451</v>
      </c>
      <c r="BT228" s="417">
        <f t="shared" si="371"/>
        <v>209856</v>
      </c>
      <c r="BU228" s="417">
        <f>R228+AX228</f>
        <v>389885</v>
      </c>
      <c r="BV228" s="418">
        <f>S228+BK228</f>
        <v>33.843400000000003</v>
      </c>
      <c r="BW228" s="418">
        <f t="shared" ref="BW228:BX232" si="372">T228+BI228</f>
        <v>26.863599999999998</v>
      </c>
      <c r="BX228" s="420">
        <f t="shared" si="372"/>
        <v>6.9798000000000009</v>
      </c>
      <c r="BY228" s="419">
        <v>380136</v>
      </c>
      <c r="BZ228" s="414">
        <v>282000</v>
      </c>
      <c r="CA228" s="414">
        <v>0</v>
      </c>
      <c r="CB228" s="414">
        <v>95316</v>
      </c>
      <c r="CC228" s="414">
        <v>2820</v>
      </c>
      <c r="CD228" s="422">
        <v>0.5</v>
      </c>
      <c r="CE228" s="419">
        <f t="shared" si="343"/>
        <v>1104849</v>
      </c>
      <c r="CF228" s="414">
        <v>745188</v>
      </c>
      <c r="CG228" s="414">
        <v>251874</v>
      </c>
      <c r="CH228" s="414">
        <v>7452</v>
      </c>
      <c r="CI228" s="414">
        <v>100335</v>
      </c>
      <c r="CJ228" s="509">
        <v>2.2465000000000002</v>
      </c>
    </row>
    <row r="229" spans="1:88" ht="14.1" customHeight="1">
      <c r="A229" s="66">
        <v>47</v>
      </c>
      <c r="B229" s="63">
        <v>2472</v>
      </c>
      <c r="C229" s="64">
        <v>600080277</v>
      </c>
      <c r="D229" s="63">
        <v>72743131</v>
      </c>
      <c r="E229" s="65" t="s">
        <v>629</v>
      </c>
      <c r="F229" s="66">
        <v>3113</v>
      </c>
      <c r="G229" s="77" t="s">
        <v>291</v>
      </c>
      <c r="H229" s="67" t="s">
        <v>272</v>
      </c>
      <c r="I229" s="419">
        <v>4285902</v>
      </c>
      <c r="J229" s="414">
        <v>3179452</v>
      </c>
      <c r="K229" s="414">
        <v>3179452</v>
      </c>
      <c r="L229" s="414">
        <v>0</v>
      </c>
      <c r="M229" s="414">
        <v>0</v>
      </c>
      <c r="N229" s="414">
        <v>0</v>
      </c>
      <c r="O229" s="414">
        <v>0</v>
      </c>
      <c r="P229" s="595">
        <v>1074655</v>
      </c>
      <c r="Q229" s="595">
        <v>31795</v>
      </c>
      <c r="R229" s="414">
        <v>0</v>
      </c>
      <c r="S229" s="415">
        <v>8.19</v>
      </c>
      <c r="T229" s="416">
        <v>8.19</v>
      </c>
      <c r="U229" s="422">
        <v>0</v>
      </c>
      <c r="V229" s="423">
        <f t="shared" si="325"/>
        <v>0</v>
      </c>
      <c r="W229" s="417">
        <f t="shared" si="326"/>
        <v>0</v>
      </c>
      <c r="X229" s="417">
        <f>-177892-76196</f>
        <v>-254088</v>
      </c>
      <c r="Y229" s="417">
        <v>0</v>
      </c>
      <c r="Z229" s="417">
        <v>0</v>
      </c>
      <c r="AA229" s="417">
        <v>0</v>
      </c>
      <c r="AB229" s="417">
        <v>0</v>
      </c>
      <c r="AC229" s="417">
        <v>0</v>
      </c>
      <c r="AD229" s="417">
        <v>0</v>
      </c>
      <c r="AE229" s="417">
        <f t="shared" si="327"/>
        <v>-254088</v>
      </c>
      <c r="AF229" s="417">
        <f t="shared" si="328"/>
        <v>0</v>
      </c>
      <c r="AG229" s="417">
        <f t="shared" si="329"/>
        <v>-254088</v>
      </c>
      <c r="AH229" s="417">
        <v>0</v>
      </c>
      <c r="AI229" s="417">
        <v>0</v>
      </c>
      <c r="AJ229" s="417">
        <v>0</v>
      </c>
      <c r="AK229" s="417">
        <v>0</v>
      </c>
      <c r="AL229" s="417">
        <v>0</v>
      </c>
      <c r="AM229" s="417">
        <f t="shared" si="330"/>
        <v>0</v>
      </c>
      <c r="AN229" s="417">
        <f t="shared" si="331"/>
        <v>0</v>
      </c>
      <c r="AO229" s="417">
        <f t="shared" si="332"/>
        <v>0</v>
      </c>
      <c r="AP229" s="417">
        <f t="shared" si="333"/>
        <v>-254088</v>
      </c>
      <c r="AQ229" s="417">
        <f t="shared" si="334"/>
        <v>0</v>
      </c>
      <c r="AR229" s="417">
        <f t="shared" si="335"/>
        <v>-254088</v>
      </c>
      <c r="AS229" s="68">
        <f t="shared" si="336"/>
        <v>-85882</v>
      </c>
      <c r="AT229" s="68">
        <f t="shared" si="337"/>
        <v>-2541</v>
      </c>
      <c r="AU229" s="417">
        <v>4500</v>
      </c>
      <c r="AV229" s="417">
        <v>0</v>
      </c>
      <c r="AW229" s="417">
        <v>0</v>
      </c>
      <c r="AX229" s="417">
        <f t="shared" si="338"/>
        <v>4500</v>
      </c>
      <c r="AY229" s="417">
        <f t="shared" si="339"/>
        <v>-338011</v>
      </c>
      <c r="AZ229" s="418">
        <v>0</v>
      </c>
      <c r="BA229" s="418">
        <v>0</v>
      </c>
      <c r="BB229" s="418">
        <f>-0.37-0.21</f>
        <v>-0.57999999999999996</v>
      </c>
      <c r="BC229" s="418">
        <v>0</v>
      </c>
      <c r="BD229" s="418">
        <v>0</v>
      </c>
      <c r="BE229" s="418">
        <v>0</v>
      </c>
      <c r="BF229" s="418">
        <v>0</v>
      </c>
      <c r="BG229" s="418">
        <v>0</v>
      </c>
      <c r="BH229" s="418">
        <v>0</v>
      </c>
      <c r="BI229" s="418">
        <f t="shared" si="340"/>
        <v>-0.57999999999999996</v>
      </c>
      <c r="BJ229" s="418">
        <f t="shared" si="341"/>
        <v>0</v>
      </c>
      <c r="BK229" s="420">
        <f t="shared" si="342"/>
        <v>-0.57999999999999996</v>
      </c>
      <c r="BL229" s="772">
        <f>I229+AY229</f>
        <v>3947891</v>
      </c>
      <c r="BM229" s="417">
        <f>J229+AG229</f>
        <v>2925364</v>
      </c>
      <c r="BN229" s="417">
        <f t="shared" si="369"/>
        <v>2925364</v>
      </c>
      <c r="BO229" s="417">
        <f t="shared" si="369"/>
        <v>0</v>
      </c>
      <c r="BP229" s="417">
        <f>M229+AO229</f>
        <v>0</v>
      </c>
      <c r="BQ229" s="417">
        <f t="shared" si="370"/>
        <v>0</v>
      </c>
      <c r="BR229" s="417">
        <f t="shared" si="370"/>
        <v>0</v>
      </c>
      <c r="BS229" s="417">
        <f t="shared" si="371"/>
        <v>988773</v>
      </c>
      <c r="BT229" s="417">
        <f t="shared" si="371"/>
        <v>29254</v>
      </c>
      <c r="BU229" s="417">
        <f>R229+AX229</f>
        <v>4500</v>
      </c>
      <c r="BV229" s="418">
        <f>S229+BK229</f>
        <v>7.6099999999999994</v>
      </c>
      <c r="BW229" s="418">
        <f t="shared" si="372"/>
        <v>7.6099999999999994</v>
      </c>
      <c r="BX229" s="420">
        <f t="shared" si="372"/>
        <v>0</v>
      </c>
      <c r="BY229" s="419"/>
      <c r="BZ229" s="414"/>
      <c r="CA229" s="414"/>
      <c r="CB229" s="414"/>
      <c r="CC229" s="414"/>
      <c r="CD229" s="422"/>
      <c r="CE229" s="419">
        <f t="shared" si="343"/>
        <v>0</v>
      </c>
      <c r="CF229" s="414">
        <v>0</v>
      </c>
      <c r="CG229" s="414">
        <v>0</v>
      </c>
      <c r="CH229" s="414">
        <v>0</v>
      </c>
      <c r="CI229" s="414">
        <v>0</v>
      </c>
      <c r="CJ229" s="509">
        <v>0</v>
      </c>
    </row>
    <row r="230" spans="1:88" ht="14.1" customHeight="1">
      <c r="A230" s="66">
        <v>47</v>
      </c>
      <c r="B230" s="63">
        <v>2472</v>
      </c>
      <c r="C230" s="64">
        <v>600080277</v>
      </c>
      <c r="D230" s="63">
        <v>72743131</v>
      </c>
      <c r="E230" s="65" t="s">
        <v>629</v>
      </c>
      <c r="F230" s="66">
        <v>3141</v>
      </c>
      <c r="G230" s="65" t="s">
        <v>294</v>
      </c>
      <c r="H230" s="67" t="s">
        <v>272</v>
      </c>
      <c r="I230" s="419">
        <v>293964</v>
      </c>
      <c r="J230" s="414">
        <v>217148</v>
      </c>
      <c r="K230" s="414">
        <v>0</v>
      </c>
      <c r="L230" s="744">
        <v>217148</v>
      </c>
      <c r="M230" s="414">
        <v>0</v>
      </c>
      <c r="N230" s="204">
        <v>0</v>
      </c>
      <c r="O230" s="204">
        <v>0</v>
      </c>
      <c r="P230" s="595">
        <v>73396</v>
      </c>
      <c r="Q230" s="595">
        <v>2172</v>
      </c>
      <c r="R230" s="601">
        <v>1248</v>
      </c>
      <c r="S230" s="415">
        <v>0.65329999999999999</v>
      </c>
      <c r="T230" s="603">
        <v>0</v>
      </c>
      <c r="U230" s="731">
        <v>0.65329999999999999</v>
      </c>
      <c r="V230" s="423">
        <f t="shared" si="325"/>
        <v>0</v>
      </c>
      <c r="W230" s="417">
        <f t="shared" si="326"/>
        <v>0</v>
      </c>
      <c r="X230" s="417">
        <v>0</v>
      </c>
      <c r="Y230" s="417">
        <v>0</v>
      </c>
      <c r="Z230" s="417">
        <v>0</v>
      </c>
      <c r="AA230" s="417">
        <v>330332</v>
      </c>
      <c r="AB230" s="417">
        <v>0</v>
      </c>
      <c r="AC230" s="417">
        <v>0</v>
      </c>
      <c r="AD230" s="417">
        <v>0</v>
      </c>
      <c r="AE230" s="417">
        <f t="shared" si="327"/>
        <v>0</v>
      </c>
      <c r="AF230" s="417">
        <f t="shared" si="328"/>
        <v>330332</v>
      </c>
      <c r="AG230" s="417">
        <f t="shared" si="329"/>
        <v>330332</v>
      </c>
      <c r="AH230" s="417">
        <v>0</v>
      </c>
      <c r="AI230" s="417">
        <v>0</v>
      </c>
      <c r="AJ230" s="417">
        <v>0</v>
      </c>
      <c r="AK230" s="417">
        <v>0</v>
      </c>
      <c r="AL230" s="417">
        <v>0</v>
      </c>
      <c r="AM230" s="417">
        <f t="shared" si="330"/>
        <v>0</v>
      </c>
      <c r="AN230" s="417">
        <f t="shared" si="331"/>
        <v>0</v>
      </c>
      <c r="AO230" s="417">
        <f t="shared" si="332"/>
        <v>0</v>
      </c>
      <c r="AP230" s="417">
        <f t="shared" si="333"/>
        <v>0</v>
      </c>
      <c r="AQ230" s="417">
        <f t="shared" si="334"/>
        <v>330332</v>
      </c>
      <c r="AR230" s="417">
        <f t="shared" si="335"/>
        <v>330332</v>
      </c>
      <c r="AS230" s="68">
        <f t="shared" si="336"/>
        <v>111652</v>
      </c>
      <c r="AT230" s="68">
        <f t="shared" si="337"/>
        <v>3303</v>
      </c>
      <c r="AU230" s="417">
        <v>0</v>
      </c>
      <c r="AV230" s="417">
        <v>0</v>
      </c>
      <c r="AW230" s="417">
        <v>0</v>
      </c>
      <c r="AX230" s="417">
        <f t="shared" si="338"/>
        <v>0</v>
      </c>
      <c r="AY230" s="417">
        <f t="shared" si="339"/>
        <v>445287</v>
      </c>
      <c r="AZ230" s="418">
        <v>0</v>
      </c>
      <c r="BA230" s="418">
        <v>0</v>
      </c>
      <c r="BB230" s="418">
        <v>0</v>
      </c>
      <c r="BC230" s="418">
        <v>0</v>
      </c>
      <c r="BD230" s="418">
        <v>0.99</v>
      </c>
      <c r="BE230" s="418">
        <v>0</v>
      </c>
      <c r="BF230" s="418">
        <v>0</v>
      </c>
      <c r="BG230" s="418">
        <v>0</v>
      </c>
      <c r="BH230" s="418">
        <v>0</v>
      </c>
      <c r="BI230" s="418">
        <f t="shared" si="340"/>
        <v>0</v>
      </c>
      <c r="BJ230" s="418">
        <f t="shared" si="341"/>
        <v>0.99</v>
      </c>
      <c r="BK230" s="420">
        <f t="shared" si="342"/>
        <v>0.99</v>
      </c>
      <c r="BL230" s="772">
        <f>I230+AY230</f>
        <v>739251</v>
      </c>
      <c r="BM230" s="417">
        <f>J230+AG230</f>
        <v>547480</v>
      </c>
      <c r="BN230" s="417">
        <f t="shared" si="369"/>
        <v>0</v>
      </c>
      <c r="BO230" s="417">
        <f t="shared" si="369"/>
        <v>547480</v>
      </c>
      <c r="BP230" s="417">
        <f>M230+AO230</f>
        <v>0</v>
      </c>
      <c r="BQ230" s="417">
        <f t="shared" si="370"/>
        <v>0</v>
      </c>
      <c r="BR230" s="417">
        <f t="shared" si="370"/>
        <v>0</v>
      </c>
      <c r="BS230" s="417">
        <f t="shared" si="371"/>
        <v>185048</v>
      </c>
      <c r="BT230" s="417">
        <f t="shared" si="371"/>
        <v>5475</v>
      </c>
      <c r="BU230" s="417">
        <f>R230+AX230</f>
        <v>1248</v>
      </c>
      <c r="BV230" s="418">
        <f>S230+BK230</f>
        <v>1.6433</v>
      </c>
      <c r="BW230" s="418">
        <f t="shared" si="372"/>
        <v>0</v>
      </c>
      <c r="BX230" s="420">
        <f t="shared" si="372"/>
        <v>1.6433</v>
      </c>
      <c r="BY230" s="419"/>
      <c r="BZ230" s="414"/>
      <c r="CA230" s="414"/>
      <c r="CB230" s="414"/>
      <c r="CC230" s="414"/>
      <c r="CD230" s="422"/>
      <c r="CE230" s="419">
        <f t="shared" si="343"/>
        <v>0</v>
      </c>
      <c r="CF230" s="414">
        <v>0</v>
      </c>
      <c r="CG230" s="414">
        <v>0</v>
      </c>
      <c r="CH230" s="414">
        <v>0</v>
      </c>
      <c r="CI230" s="414">
        <v>0</v>
      </c>
      <c r="CJ230" s="509">
        <v>0</v>
      </c>
    </row>
    <row r="231" spans="1:88" ht="14.1" customHeight="1">
      <c r="A231" s="66">
        <v>47</v>
      </c>
      <c r="B231" s="63">
        <v>2472</v>
      </c>
      <c r="C231" s="64">
        <v>600080277</v>
      </c>
      <c r="D231" s="63">
        <v>72743131</v>
      </c>
      <c r="E231" s="65" t="s">
        <v>629</v>
      </c>
      <c r="F231" s="66">
        <v>3143</v>
      </c>
      <c r="G231" s="77" t="s">
        <v>595</v>
      </c>
      <c r="H231" s="67" t="s">
        <v>271</v>
      </c>
      <c r="I231" s="419">
        <v>2476147</v>
      </c>
      <c r="J231" s="414">
        <v>1831942</v>
      </c>
      <c r="K231" s="414">
        <v>1831942</v>
      </c>
      <c r="L231" s="414">
        <v>0</v>
      </c>
      <c r="M231" s="414">
        <v>5000</v>
      </c>
      <c r="N231" s="414">
        <v>5000</v>
      </c>
      <c r="O231" s="414">
        <v>0</v>
      </c>
      <c r="P231" s="595">
        <v>620886</v>
      </c>
      <c r="Q231" s="595">
        <v>18319</v>
      </c>
      <c r="R231" s="414">
        <v>0</v>
      </c>
      <c r="S231" s="415">
        <v>3.5811999999999999</v>
      </c>
      <c r="T231" s="415">
        <v>3.5811999999999999</v>
      </c>
      <c r="U231" s="422">
        <v>0</v>
      </c>
      <c r="V231" s="423">
        <f t="shared" si="325"/>
        <v>0</v>
      </c>
      <c r="W231" s="417">
        <f t="shared" si="326"/>
        <v>0</v>
      </c>
      <c r="X231" s="417">
        <v>0</v>
      </c>
      <c r="Y231" s="417">
        <v>0</v>
      </c>
      <c r="Z231" s="417">
        <v>0</v>
      </c>
      <c r="AA231" s="417">
        <v>0</v>
      </c>
      <c r="AB231" s="417">
        <v>0</v>
      </c>
      <c r="AC231" s="417">
        <v>0</v>
      </c>
      <c r="AD231" s="417">
        <v>0</v>
      </c>
      <c r="AE231" s="417">
        <f t="shared" si="327"/>
        <v>0</v>
      </c>
      <c r="AF231" s="417">
        <f t="shared" si="328"/>
        <v>0</v>
      </c>
      <c r="AG231" s="417">
        <f t="shared" si="329"/>
        <v>0</v>
      </c>
      <c r="AH231" s="417">
        <v>0</v>
      </c>
      <c r="AI231" s="417">
        <v>0</v>
      </c>
      <c r="AJ231" s="417">
        <v>0</v>
      </c>
      <c r="AK231" s="417">
        <v>0</v>
      </c>
      <c r="AL231" s="417">
        <v>0</v>
      </c>
      <c r="AM231" s="417">
        <f t="shared" si="330"/>
        <v>0</v>
      </c>
      <c r="AN231" s="417">
        <f t="shared" si="331"/>
        <v>0</v>
      </c>
      <c r="AO231" s="417">
        <f t="shared" si="332"/>
        <v>0</v>
      </c>
      <c r="AP231" s="417">
        <f t="shared" si="333"/>
        <v>0</v>
      </c>
      <c r="AQ231" s="417">
        <f t="shared" si="334"/>
        <v>0</v>
      </c>
      <c r="AR231" s="417">
        <f t="shared" si="335"/>
        <v>0</v>
      </c>
      <c r="AS231" s="68">
        <f t="shared" si="336"/>
        <v>0</v>
      </c>
      <c r="AT231" s="68">
        <f t="shared" si="337"/>
        <v>0</v>
      </c>
      <c r="AU231" s="417">
        <v>0</v>
      </c>
      <c r="AV231" s="417">
        <v>0</v>
      </c>
      <c r="AW231" s="417">
        <v>0</v>
      </c>
      <c r="AX231" s="417">
        <f t="shared" si="338"/>
        <v>0</v>
      </c>
      <c r="AY231" s="417">
        <f t="shared" si="339"/>
        <v>0</v>
      </c>
      <c r="AZ231" s="418">
        <v>0</v>
      </c>
      <c r="BA231" s="418">
        <v>0</v>
      </c>
      <c r="BB231" s="418">
        <v>0</v>
      </c>
      <c r="BC231" s="418">
        <v>0</v>
      </c>
      <c r="BD231" s="418">
        <v>0</v>
      </c>
      <c r="BE231" s="418">
        <v>0</v>
      </c>
      <c r="BF231" s="418">
        <v>0</v>
      </c>
      <c r="BG231" s="418">
        <v>0</v>
      </c>
      <c r="BH231" s="418">
        <v>0</v>
      </c>
      <c r="BI231" s="418">
        <f t="shared" si="340"/>
        <v>0</v>
      </c>
      <c r="BJ231" s="418">
        <f t="shared" si="341"/>
        <v>0</v>
      </c>
      <c r="BK231" s="420">
        <f t="shared" si="342"/>
        <v>0</v>
      </c>
      <c r="BL231" s="772">
        <f>I231+AY231</f>
        <v>2476147</v>
      </c>
      <c r="BM231" s="417">
        <f>J231+AG231</f>
        <v>1831942</v>
      </c>
      <c r="BN231" s="417">
        <f t="shared" si="369"/>
        <v>1831942</v>
      </c>
      <c r="BO231" s="417">
        <f t="shared" si="369"/>
        <v>0</v>
      </c>
      <c r="BP231" s="417">
        <f>M231+AO231</f>
        <v>5000</v>
      </c>
      <c r="BQ231" s="417">
        <f t="shared" si="370"/>
        <v>5000</v>
      </c>
      <c r="BR231" s="417">
        <f t="shared" si="370"/>
        <v>0</v>
      </c>
      <c r="BS231" s="417">
        <f t="shared" si="371"/>
        <v>620886</v>
      </c>
      <c r="BT231" s="417">
        <f t="shared" si="371"/>
        <v>18319</v>
      </c>
      <c r="BU231" s="417">
        <f>R231+AX231</f>
        <v>0</v>
      </c>
      <c r="BV231" s="418">
        <f>S231+BK231</f>
        <v>3.5811999999999999</v>
      </c>
      <c r="BW231" s="418">
        <f t="shared" si="372"/>
        <v>3.5811999999999999</v>
      </c>
      <c r="BX231" s="420">
        <f t="shared" si="372"/>
        <v>0</v>
      </c>
      <c r="BY231" s="419"/>
      <c r="BZ231" s="414"/>
      <c r="CA231" s="414"/>
      <c r="CB231" s="414"/>
      <c r="CC231" s="414"/>
      <c r="CD231" s="422"/>
      <c r="CE231" s="419">
        <f t="shared" si="343"/>
        <v>0</v>
      </c>
      <c r="CF231" s="414">
        <v>0</v>
      </c>
      <c r="CG231" s="414">
        <v>0</v>
      </c>
      <c r="CH231" s="414">
        <v>0</v>
      </c>
      <c r="CI231" s="414">
        <v>0</v>
      </c>
      <c r="CJ231" s="509">
        <v>0</v>
      </c>
    </row>
    <row r="232" spans="1:88" ht="14.1" customHeight="1">
      <c r="A232" s="66">
        <v>47</v>
      </c>
      <c r="B232" s="63">
        <v>2472</v>
      </c>
      <c r="C232" s="64">
        <v>600080277</v>
      </c>
      <c r="D232" s="63">
        <v>72743131</v>
      </c>
      <c r="E232" s="65" t="s">
        <v>629</v>
      </c>
      <c r="F232" s="66">
        <v>3143</v>
      </c>
      <c r="G232" s="77" t="s">
        <v>596</v>
      </c>
      <c r="H232" s="67" t="s">
        <v>272</v>
      </c>
      <c r="I232" s="419">
        <v>59166</v>
      </c>
      <c r="J232" s="414">
        <v>42350</v>
      </c>
      <c r="K232" s="414">
        <v>0</v>
      </c>
      <c r="L232" s="601">
        <v>42350</v>
      </c>
      <c r="M232" s="414">
        <v>0</v>
      </c>
      <c r="N232" s="414">
        <v>0</v>
      </c>
      <c r="O232" s="414">
        <v>0</v>
      </c>
      <c r="P232" s="595">
        <v>14314</v>
      </c>
      <c r="Q232" s="595">
        <v>423</v>
      </c>
      <c r="R232" s="601">
        <v>2079</v>
      </c>
      <c r="S232" s="415">
        <v>0.15699999999999997</v>
      </c>
      <c r="T232" s="603">
        <v>0</v>
      </c>
      <c r="U232" s="731">
        <v>0.15699999999999997</v>
      </c>
      <c r="V232" s="423">
        <f t="shared" si="325"/>
        <v>0</v>
      </c>
      <c r="W232" s="417">
        <f t="shared" si="326"/>
        <v>0</v>
      </c>
      <c r="X232" s="417">
        <v>0</v>
      </c>
      <c r="Y232" s="417">
        <v>0</v>
      </c>
      <c r="Z232" s="417">
        <v>0</v>
      </c>
      <c r="AA232" s="417">
        <v>0</v>
      </c>
      <c r="AB232" s="417">
        <v>0</v>
      </c>
      <c r="AC232" s="417">
        <v>0</v>
      </c>
      <c r="AD232" s="417">
        <v>0</v>
      </c>
      <c r="AE232" s="417">
        <f t="shared" si="327"/>
        <v>0</v>
      </c>
      <c r="AF232" s="417">
        <f t="shared" si="328"/>
        <v>0</v>
      </c>
      <c r="AG232" s="417">
        <f t="shared" si="329"/>
        <v>0</v>
      </c>
      <c r="AH232" s="417">
        <v>0</v>
      </c>
      <c r="AI232" s="417">
        <v>0</v>
      </c>
      <c r="AJ232" s="417">
        <v>0</v>
      </c>
      <c r="AK232" s="417">
        <v>0</v>
      </c>
      <c r="AL232" s="417">
        <v>0</v>
      </c>
      <c r="AM232" s="417">
        <f t="shared" si="330"/>
        <v>0</v>
      </c>
      <c r="AN232" s="417">
        <f t="shared" si="331"/>
        <v>0</v>
      </c>
      <c r="AO232" s="417">
        <f t="shared" si="332"/>
        <v>0</v>
      </c>
      <c r="AP232" s="417">
        <f t="shared" si="333"/>
        <v>0</v>
      </c>
      <c r="AQ232" s="417">
        <f t="shared" si="334"/>
        <v>0</v>
      </c>
      <c r="AR232" s="417">
        <f t="shared" si="335"/>
        <v>0</v>
      </c>
      <c r="AS232" s="68">
        <f t="shared" si="336"/>
        <v>0</v>
      </c>
      <c r="AT232" s="68">
        <f t="shared" si="337"/>
        <v>0</v>
      </c>
      <c r="AU232" s="417">
        <v>0</v>
      </c>
      <c r="AV232" s="417">
        <v>0</v>
      </c>
      <c r="AW232" s="417">
        <v>0</v>
      </c>
      <c r="AX232" s="417">
        <f t="shared" si="338"/>
        <v>0</v>
      </c>
      <c r="AY232" s="417">
        <f t="shared" si="339"/>
        <v>0</v>
      </c>
      <c r="AZ232" s="418">
        <v>0</v>
      </c>
      <c r="BA232" s="418">
        <v>0</v>
      </c>
      <c r="BB232" s="418">
        <v>0</v>
      </c>
      <c r="BC232" s="418">
        <v>0</v>
      </c>
      <c r="BD232" s="418">
        <v>0</v>
      </c>
      <c r="BE232" s="418">
        <v>0</v>
      </c>
      <c r="BF232" s="418">
        <v>0</v>
      </c>
      <c r="BG232" s="418">
        <v>0</v>
      </c>
      <c r="BH232" s="418">
        <v>0</v>
      </c>
      <c r="BI232" s="418">
        <f t="shared" si="340"/>
        <v>0</v>
      </c>
      <c r="BJ232" s="418">
        <f t="shared" si="341"/>
        <v>0</v>
      </c>
      <c r="BK232" s="420">
        <f t="shared" si="342"/>
        <v>0</v>
      </c>
      <c r="BL232" s="772">
        <f>I232+AY232</f>
        <v>59166</v>
      </c>
      <c r="BM232" s="417">
        <f>J232+AG232</f>
        <v>42350</v>
      </c>
      <c r="BN232" s="417">
        <f t="shared" si="369"/>
        <v>0</v>
      </c>
      <c r="BO232" s="417">
        <f t="shared" si="369"/>
        <v>42350</v>
      </c>
      <c r="BP232" s="417">
        <f>M232+AO232</f>
        <v>0</v>
      </c>
      <c r="BQ232" s="417">
        <f t="shared" si="370"/>
        <v>0</v>
      </c>
      <c r="BR232" s="417">
        <f t="shared" si="370"/>
        <v>0</v>
      </c>
      <c r="BS232" s="417">
        <f t="shared" si="371"/>
        <v>14314</v>
      </c>
      <c r="BT232" s="417">
        <f t="shared" si="371"/>
        <v>423</v>
      </c>
      <c r="BU232" s="417">
        <f>R232+AX232</f>
        <v>2079</v>
      </c>
      <c r="BV232" s="418">
        <f>S232+BK232</f>
        <v>0.15699999999999997</v>
      </c>
      <c r="BW232" s="418">
        <f t="shared" si="372"/>
        <v>0</v>
      </c>
      <c r="BX232" s="420">
        <f t="shared" si="372"/>
        <v>0.15699999999999997</v>
      </c>
      <c r="BY232" s="419"/>
      <c r="BZ232" s="414"/>
      <c r="CA232" s="414"/>
      <c r="CB232" s="414"/>
      <c r="CC232" s="414"/>
      <c r="CD232" s="422"/>
      <c r="CE232" s="419">
        <f t="shared" si="343"/>
        <v>0</v>
      </c>
      <c r="CF232" s="414">
        <v>0</v>
      </c>
      <c r="CG232" s="414">
        <v>0</v>
      </c>
      <c r="CH232" s="414">
        <v>0</v>
      </c>
      <c r="CI232" s="414">
        <v>0</v>
      </c>
      <c r="CJ232" s="509">
        <v>0</v>
      </c>
    </row>
    <row r="233" spans="1:88" ht="14.1" customHeight="1">
      <c r="A233" s="72">
        <v>47</v>
      </c>
      <c r="B233" s="69">
        <v>2472</v>
      </c>
      <c r="C233" s="70">
        <v>600080277</v>
      </c>
      <c r="D233" s="69">
        <v>72743131</v>
      </c>
      <c r="E233" s="71" t="s">
        <v>630</v>
      </c>
      <c r="F233" s="72"/>
      <c r="G233" s="71"/>
      <c r="H233" s="73"/>
      <c r="I233" s="516">
        <v>35840334</v>
      </c>
      <c r="J233" s="74">
        <v>26216677</v>
      </c>
      <c r="K233" s="74">
        <v>23650204</v>
      </c>
      <c r="L233" s="74">
        <v>2566473</v>
      </c>
      <c r="M233" s="74">
        <v>80000</v>
      </c>
      <c r="N233" s="74">
        <v>65000</v>
      </c>
      <c r="O233" s="74">
        <v>15000</v>
      </c>
      <c r="P233" s="74">
        <v>8888277</v>
      </c>
      <c r="Q233" s="74">
        <v>262168</v>
      </c>
      <c r="R233" s="74">
        <v>393212</v>
      </c>
      <c r="S233" s="75">
        <v>46.364899999999999</v>
      </c>
      <c r="T233" s="75">
        <v>38.574800000000003</v>
      </c>
      <c r="U233" s="653">
        <v>7.7901000000000007</v>
      </c>
      <c r="V233" s="516">
        <f t="shared" ref="V233:BX233" si="373">SUM(V228:V232)</f>
        <v>0</v>
      </c>
      <c r="W233" s="74">
        <f t="shared" si="373"/>
        <v>0</v>
      </c>
      <c r="X233" s="74">
        <f t="shared" si="373"/>
        <v>-254088</v>
      </c>
      <c r="Y233" s="74">
        <f t="shared" si="373"/>
        <v>39720</v>
      </c>
      <c r="Z233" s="74">
        <f t="shared" si="373"/>
        <v>0</v>
      </c>
      <c r="AA233" s="74">
        <f t="shared" si="373"/>
        <v>330332</v>
      </c>
      <c r="AB233" s="74">
        <f t="shared" si="373"/>
        <v>0</v>
      </c>
      <c r="AC233" s="74">
        <f t="shared" si="373"/>
        <v>0</v>
      </c>
      <c r="AD233" s="74">
        <f t="shared" si="373"/>
        <v>0</v>
      </c>
      <c r="AE233" s="74">
        <f t="shared" si="373"/>
        <v>-214368</v>
      </c>
      <c r="AF233" s="74">
        <f t="shared" si="373"/>
        <v>330332</v>
      </c>
      <c r="AG233" s="74">
        <f t="shared" si="373"/>
        <v>115964</v>
      </c>
      <c r="AH233" s="74">
        <f t="shared" si="373"/>
        <v>0</v>
      </c>
      <c r="AI233" s="74">
        <f t="shared" si="373"/>
        <v>0</v>
      </c>
      <c r="AJ233" s="74">
        <f t="shared" si="373"/>
        <v>0</v>
      </c>
      <c r="AK233" s="74">
        <f t="shared" si="373"/>
        <v>0</v>
      </c>
      <c r="AL233" s="74">
        <f t="shared" si="373"/>
        <v>0</v>
      </c>
      <c r="AM233" s="74">
        <f t="shared" si="373"/>
        <v>0</v>
      </c>
      <c r="AN233" s="74">
        <f t="shared" si="373"/>
        <v>0</v>
      </c>
      <c r="AO233" s="74">
        <f t="shared" si="373"/>
        <v>0</v>
      </c>
      <c r="AP233" s="74">
        <f t="shared" si="373"/>
        <v>-214368</v>
      </c>
      <c r="AQ233" s="74">
        <f t="shared" si="373"/>
        <v>330332</v>
      </c>
      <c r="AR233" s="74">
        <f t="shared" si="373"/>
        <v>115964</v>
      </c>
      <c r="AS233" s="74">
        <f t="shared" si="373"/>
        <v>39195</v>
      </c>
      <c r="AT233" s="74">
        <f t="shared" si="373"/>
        <v>1159</v>
      </c>
      <c r="AU233" s="74">
        <f t="shared" si="373"/>
        <v>4500</v>
      </c>
      <c r="AV233" s="74">
        <f t="shared" si="373"/>
        <v>0</v>
      </c>
      <c r="AW233" s="74">
        <f t="shared" si="373"/>
        <v>0</v>
      </c>
      <c r="AX233" s="74">
        <f t="shared" si="373"/>
        <v>4500</v>
      </c>
      <c r="AY233" s="74">
        <f t="shared" si="373"/>
        <v>160818</v>
      </c>
      <c r="AZ233" s="75">
        <f t="shared" si="373"/>
        <v>0</v>
      </c>
      <c r="BA233" s="75">
        <f t="shared" si="373"/>
        <v>0</v>
      </c>
      <c r="BB233" s="75">
        <f t="shared" si="373"/>
        <v>-0.57999999999999996</v>
      </c>
      <c r="BC233" s="75">
        <f t="shared" si="373"/>
        <v>0</v>
      </c>
      <c r="BD233" s="75">
        <f t="shared" si="373"/>
        <v>0.99</v>
      </c>
      <c r="BE233" s="75">
        <f t="shared" si="373"/>
        <v>0.06</v>
      </c>
      <c r="BF233" s="75">
        <f t="shared" si="373"/>
        <v>0</v>
      </c>
      <c r="BG233" s="75">
        <f t="shared" si="373"/>
        <v>0</v>
      </c>
      <c r="BH233" s="75">
        <f t="shared" si="373"/>
        <v>0</v>
      </c>
      <c r="BI233" s="75">
        <f t="shared" si="373"/>
        <v>-0.52</v>
      </c>
      <c r="BJ233" s="75">
        <f t="shared" si="373"/>
        <v>0.99</v>
      </c>
      <c r="BK233" s="76">
        <f t="shared" si="373"/>
        <v>0.47</v>
      </c>
      <c r="BL233" s="781">
        <f t="shared" si="373"/>
        <v>36001152</v>
      </c>
      <c r="BM233" s="74">
        <f t="shared" si="373"/>
        <v>26332641</v>
      </c>
      <c r="BN233" s="74">
        <f t="shared" si="373"/>
        <v>23435836</v>
      </c>
      <c r="BO233" s="74">
        <f t="shared" si="373"/>
        <v>2896805</v>
      </c>
      <c r="BP233" s="74">
        <f t="shared" si="373"/>
        <v>80000</v>
      </c>
      <c r="BQ233" s="74">
        <f t="shared" si="373"/>
        <v>65000</v>
      </c>
      <c r="BR233" s="74">
        <f t="shared" si="373"/>
        <v>15000</v>
      </c>
      <c r="BS233" s="74">
        <f t="shared" si="373"/>
        <v>8927472</v>
      </c>
      <c r="BT233" s="74">
        <f t="shared" si="373"/>
        <v>263327</v>
      </c>
      <c r="BU233" s="74">
        <f t="shared" si="373"/>
        <v>397712</v>
      </c>
      <c r="BV233" s="75">
        <f t="shared" si="373"/>
        <v>46.834899999999998</v>
      </c>
      <c r="BW233" s="75">
        <f t="shared" si="373"/>
        <v>38.0548</v>
      </c>
      <c r="BX233" s="76">
        <f t="shared" si="373"/>
        <v>8.7801000000000009</v>
      </c>
      <c r="BY233" s="791">
        <f t="shared" ref="BY233:CJ233" si="374">SUM(BY228:BY232)</f>
        <v>380136</v>
      </c>
      <c r="BZ233" s="679">
        <f t="shared" si="374"/>
        <v>282000</v>
      </c>
      <c r="CA233" s="679">
        <f t="shared" si="374"/>
        <v>0</v>
      </c>
      <c r="CB233" s="679">
        <f t="shared" si="374"/>
        <v>95316</v>
      </c>
      <c r="CC233" s="679">
        <f t="shared" si="374"/>
        <v>2820</v>
      </c>
      <c r="CD233" s="947">
        <f t="shared" si="374"/>
        <v>0.5</v>
      </c>
      <c r="CE233" s="956">
        <f t="shared" si="374"/>
        <v>1104849</v>
      </c>
      <c r="CF233" s="953">
        <f t="shared" si="374"/>
        <v>745188</v>
      </c>
      <c r="CG233" s="953">
        <f t="shared" si="374"/>
        <v>251874</v>
      </c>
      <c r="CH233" s="953">
        <f t="shared" si="374"/>
        <v>7452</v>
      </c>
      <c r="CI233" s="953">
        <f t="shared" si="374"/>
        <v>100335</v>
      </c>
      <c r="CJ233" s="877">
        <f t="shared" si="374"/>
        <v>2.2465000000000002</v>
      </c>
    </row>
    <row r="234" spans="1:88" ht="14.1" customHeight="1">
      <c r="A234" s="66">
        <v>48</v>
      </c>
      <c r="B234" s="63">
        <v>2489</v>
      </c>
      <c r="C234" s="64">
        <v>600080188</v>
      </c>
      <c r="D234" s="63">
        <v>64040402</v>
      </c>
      <c r="E234" s="65" t="s">
        <v>631</v>
      </c>
      <c r="F234" s="66">
        <v>3113</v>
      </c>
      <c r="G234" s="65" t="s">
        <v>293</v>
      </c>
      <c r="H234" s="67" t="s">
        <v>271</v>
      </c>
      <c r="I234" s="419">
        <v>36087572</v>
      </c>
      <c r="J234" s="414">
        <v>26219334</v>
      </c>
      <c r="K234" s="414">
        <v>23763824</v>
      </c>
      <c r="L234" s="414">
        <v>2455510</v>
      </c>
      <c r="M234" s="414">
        <v>75000</v>
      </c>
      <c r="N234" s="414">
        <v>35000</v>
      </c>
      <c r="O234" s="414">
        <v>40000</v>
      </c>
      <c r="P234" s="595">
        <v>8887485</v>
      </c>
      <c r="Q234" s="595">
        <v>262193</v>
      </c>
      <c r="R234" s="414">
        <v>643560</v>
      </c>
      <c r="S234" s="415">
        <v>39.897799999999997</v>
      </c>
      <c r="T234" s="415">
        <v>32.408899999999996</v>
      </c>
      <c r="U234" s="422">
        <v>7.488900000000001</v>
      </c>
      <c r="V234" s="423">
        <f t="shared" si="325"/>
        <v>2000</v>
      </c>
      <c r="W234" s="417">
        <f t="shared" si="326"/>
        <v>-80000</v>
      </c>
      <c r="X234" s="417">
        <v>0</v>
      </c>
      <c r="Y234" s="417">
        <v>14564</v>
      </c>
      <c r="Z234" s="417">
        <v>0</v>
      </c>
      <c r="AA234" s="417">
        <v>0</v>
      </c>
      <c r="AB234" s="417">
        <v>0</v>
      </c>
      <c r="AC234" s="417">
        <v>0</v>
      </c>
      <c r="AD234" s="417">
        <v>0</v>
      </c>
      <c r="AE234" s="417">
        <f t="shared" si="327"/>
        <v>16564</v>
      </c>
      <c r="AF234" s="417">
        <f t="shared" si="328"/>
        <v>-80000</v>
      </c>
      <c r="AG234" s="417">
        <f t="shared" si="329"/>
        <v>-63436</v>
      </c>
      <c r="AH234" s="417">
        <v>-2000</v>
      </c>
      <c r="AI234" s="417">
        <v>80000</v>
      </c>
      <c r="AJ234" s="417">
        <v>0</v>
      </c>
      <c r="AK234" s="417">
        <v>0</v>
      </c>
      <c r="AL234" s="417">
        <v>0</v>
      </c>
      <c r="AM234" s="417">
        <f t="shared" si="330"/>
        <v>-2000</v>
      </c>
      <c r="AN234" s="417">
        <f t="shared" si="331"/>
        <v>80000</v>
      </c>
      <c r="AO234" s="417">
        <f t="shared" si="332"/>
        <v>78000</v>
      </c>
      <c r="AP234" s="417">
        <f t="shared" si="333"/>
        <v>14564</v>
      </c>
      <c r="AQ234" s="417">
        <f t="shared" si="334"/>
        <v>0</v>
      </c>
      <c r="AR234" s="417">
        <f t="shared" si="335"/>
        <v>14564</v>
      </c>
      <c r="AS234" s="68">
        <f t="shared" si="336"/>
        <v>4923</v>
      </c>
      <c r="AT234" s="68">
        <f t="shared" si="337"/>
        <v>-634</v>
      </c>
      <c r="AU234" s="417">
        <v>0</v>
      </c>
      <c r="AV234" s="417">
        <v>0</v>
      </c>
      <c r="AW234" s="417">
        <v>0</v>
      </c>
      <c r="AX234" s="417">
        <f t="shared" si="338"/>
        <v>0</v>
      </c>
      <c r="AY234" s="417">
        <f t="shared" si="339"/>
        <v>18853</v>
      </c>
      <c r="AZ234" s="418">
        <v>0</v>
      </c>
      <c r="BA234" s="418">
        <v>-0.24</v>
      </c>
      <c r="BB234" s="418">
        <v>0</v>
      </c>
      <c r="BC234" s="418">
        <v>0</v>
      </c>
      <c r="BD234" s="418">
        <v>0</v>
      </c>
      <c r="BE234" s="418">
        <v>0.02</v>
      </c>
      <c r="BF234" s="418">
        <v>0</v>
      </c>
      <c r="BG234" s="418">
        <v>0</v>
      </c>
      <c r="BH234" s="418">
        <v>0</v>
      </c>
      <c r="BI234" s="418">
        <f t="shared" si="340"/>
        <v>0.02</v>
      </c>
      <c r="BJ234" s="418">
        <f t="shared" si="341"/>
        <v>-0.24</v>
      </c>
      <c r="BK234" s="420">
        <f t="shared" si="342"/>
        <v>-0.22</v>
      </c>
      <c r="BL234" s="772">
        <f>I234+AY234</f>
        <v>36106425</v>
      </c>
      <c r="BM234" s="417">
        <f>J234+AG234</f>
        <v>26155898</v>
      </c>
      <c r="BN234" s="417">
        <f t="shared" ref="BN234:BO238" si="375">K234+AE234</f>
        <v>23780388</v>
      </c>
      <c r="BO234" s="417">
        <f t="shared" si="375"/>
        <v>2375510</v>
      </c>
      <c r="BP234" s="417">
        <f>M234+AO234</f>
        <v>153000</v>
      </c>
      <c r="BQ234" s="417">
        <f t="shared" ref="BQ234:BR238" si="376">N234+AM234</f>
        <v>33000</v>
      </c>
      <c r="BR234" s="417">
        <f t="shared" si="376"/>
        <v>120000</v>
      </c>
      <c r="BS234" s="417">
        <f t="shared" ref="BS234:BT238" si="377">P234+AS234</f>
        <v>8892408</v>
      </c>
      <c r="BT234" s="417">
        <f t="shared" si="377"/>
        <v>261559</v>
      </c>
      <c r="BU234" s="417">
        <f>R234+AX234</f>
        <v>643560</v>
      </c>
      <c r="BV234" s="418">
        <f>S234+BK234</f>
        <v>39.677799999999998</v>
      </c>
      <c r="BW234" s="418">
        <f t="shared" ref="BW234:BX238" si="378">T234+BI234</f>
        <v>32.428899999999999</v>
      </c>
      <c r="BX234" s="420">
        <f t="shared" si="378"/>
        <v>7.2489000000000008</v>
      </c>
      <c r="BY234" s="419">
        <v>380136</v>
      </c>
      <c r="BZ234" s="414">
        <v>282000</v>
      </c>
      <c r="CA234" s="414">
        <v>0</v>
      </c>
      <c r="CB234" s="414">
        <v>95316</v>
      </c>
      <c r="CC234" s="414">
        <v>2820</v>
      </c>
      <c r="CD234" s="422">
        <v>0.5</v>
      </c>
      <c r="CE234" s="419">
        <f t="shared" si="343"/>
        <v>1229998</v>
      </c>
      <c r="CF234" s="414">
        <v>800938</v>
      </c>
      <c r="CG234" s="414">
        <v>270717</v>
      </c>
      <c r="CH234" s="414">
        <v>8009</v>
      </c>
      <c r="CI234" s="414">
        <v>150334</v>
      </c>
      <c r="CJ234" s="509">
        <v>2.4422000000000001</v>
      </c>
    </row>
    <row r="235" spans="1:88" ht="14.1" customHeight="1">
      <c r="A235" s="66">
        <v>48</v>
      </c>
      <c r="B235" s="63">
        <v>2489</v>
      </c>
      <c r="C235" s="64">
        <v>600080188</v>
      </c>
      <c r="D235" s="63">
        <v>64040402</v>
      </c>
      <c r="E235" s="65" t="s">
        <v>631</v>
      </c>
      <c r="F235" s="66">
        <v>3113</v>
      </c>
      <c r="G235" s="77" t="s">
        <v>291</v>
      </c>
      <c r="H235" s="67" t="s">
        <v>272</v>
      </c>
      <c r="I235" s="419">
        <v>3048862</v>
      </c>
      <c r="J235" s="414">
        <v>2256945</v>
      </c>
      <c r="K235" s="414">
        <v>2256945</v>
      </c>
      <c r="L235" s="414">
        <v>0</v>
      </c>
      <c r="M235" s="414">
        <v>0</v>
      </c>
      <c r="N235" s="414">
        <v>0</v>
      </c>
      <c r="O235" s="414">
        <v>0</v>
      </c>
      <c r="P235" s="595">
        <v>762848</v>
      </c>
      <c r="Q235" s="595">
        <v>22569</v>
      </c>
      <c r="R235" s="414">
        <v>6500</v>
      </c>
      <c r="S235" s="415">
        <v>6.1400000000000006</v>
      </c>
      <c r="T235" s="416">
        <v>6.1400000000000006</v>
      </c>
      <c r="U235" s="422">
        <v>0</v>
      </c>
      <c r="V235" s="423">
        <f t="shared" si="325"/>
        <v>0</v>
      </c>
      <c r="W235" s="417">
        <f t="shared" si="326"/>
        <v>0</v>
      </c>
      <c r="X235" s="417">
        <f>-47417+16471</f>
        <v>-30946</v>
      </c>
      <c r="Y235" s="417">
        <v>0</v>
      </c>
      <c r="Z235" s="417">
        <v>0</v>
      </c>
      <c r="AA235" s="417">
        <v>0</v>
      </c>
      <c r="AB235" s="417">
        <v>0</v>
      </c>
      <c r="AC235" s="417">
        <v>0</v>
      </c>
      <c r="AD235" s="417">
        <v>0</v>
      </c>
      <c r="AE235" s="417">
        <f t="shared" si="327"/>
        <v>-30946</v>
      </c>
      <c r="AF235" s="417">
        <f t="shared" si="328"/>
        <v>0</v>
      </c>
      <c r="AG235" s="417">
        <f t="shared" si="329"/>
        <v>-30946</v>
      </c>
      <c r="AH235" s="417">
        <v>0</v>
      </c>
      <c r="AI235" s="417">
        <v>0</v>
      </c>
      <c r="AJ235" s="417">
        <v>0</v>
      </c>
      <c r="AK235" s="417">
        <v>0</v>
      </c>
      <c r="AL235" s="417">
        <v>0</v>
      </c>
      <c r="AM235" s="417">
        <f t="shared" si="330"/>
        <v>0</v>
      </c>
      <c r="AN235" s="417">
        <f t="shared" si="331"/>
        <v>0</v>
      </c>
      <c r="AO235" s="417">
        <f t="shared" si="332"/>
        <v>0</v>
      </c>
      <c r="AP235" s="417">
        <f t="shared" si="333"/>
        <v>-30946</v>
      </c>
      <c r="AQ235" s="417">
        <f t="shared" si="334"/>
        <v>0</v>
      </c>
      <c r="AR235" s="417">
        <f t="shared" si="335"/>
        <v>-30946</v>
      </c>
      <c r="AS235" s="68">
        <f t="shared" si="336"/>
        <v>-10460</v>
      </c>
      <c r="AT235" s="68">
        <f t="shared" si="337"/>
        <v>-309</v>
      </c>
      <c r="AU235" s="417">
        <v>0</v>
      </c>
      <c r="AV235" s="417">
        <v>0</v>
      </c>
      <c r="AW235" s="417">
        <v>0</v>
      </c>
      <c r="AX235" s="417">
        <f t="shared" si="338"/>
        <v>0</v>
      </c>
      <c r="AY235" s="417">
        <f t="shared" si="339"/>
        <v>-41715</v>
      </c>
      <c r="AZ235" s="418">
        <v>0</v>
      </c>
      <c r="BA235" s="418">
        <v>0</v>
      </c>
      <c r="BB235" s="418">
        <f>-0.13+0.07</f>
        <v>-0.06</v>
      </c>
      <c r="BC235" s="418">
        <v>0</v>
      </c>
      <c r="BD235" s="418">
        <v>0</v>
      </c>
      <c r="BE235" s="418">
        <v>0</v>
      </c>
      <c r="BF235" s="418">
        <v>0</v>
      </c>
      <c r="BG235" s="418">
        <v>0</v>
      </c>
      <c r="BH235" s="418">
        <v>0</v>
      </c>
      <c r="BI235" s="418">
        <f t="shared" si="340"/>
        <v>-0.06</v>
      </c>
      <c r="BJ235" s="418">
        <f t="shared" si="341"/>
        <v>0</v>
      </c>
      <c r="BK235" s="420">
        <f t="shared" si="342"/>
        <v>-0.06</v>
      </c>
      <c r="BL235" s="772">
        <f>I235+AY235</f>
        <v>3007147</v>
      </c>
      <c r="BM235" s="417">
        <f>J235+AG235</f>
        <v>2225999</v>
      </c>
      <c r="BN235" s="417">
        <f t="shared" si="375"/>
        <v>2225999</v>
      </c>
      <c r="BO235" s="417">
        <f t="shared" si="375"/>
        <v>0</v>
      </c>
      <c r="BP235" s="417">
        <f>M235+AO235</f>
        <v>0</v>
      </c>
      <c r="BQ235" s="417">
        <f t="shared" si="376"/>
        <v>0</v>
      </c>
      <c r="BR235" s="417">
        <f t="shared" si="376"/>
        <v>0</v>
      </c>
      <c r="BS235" s="417">
        <f t="shared" si="377"/>
        <v>752388</v>
      </c>
      <c r="BT235" s="417">
        <f t="shared" si="377"/>
        <v>22260</v>
      </c>
      <c r="BU235" s="417">
        <f>R235+AX235</f>
        <v>6500</v>
      </c>
      <c r="BV235" s="418">
        <f>S235+BK235</f>
        <v>6.080000000000001</v>
      </c>
      <c r="BW235" s="418">
        <f t="shared" si="378"/>
        <v>6.080000000000001</v>
      </c>
      <c r="BX235" s="420">
        <f t="shared" si="378"/>
        <v>0</v>
      </c>
      <c r="BY235" s="419"/>
      <c r="BZ235" s="414"/>
      <c r="CA235" s="414"/>
      <c r="CB235" s="414"/>
      <c r="CC235" s="414"/>
      <c r="CD235" s="422"/>
      <c r="CE235" s="419">
        <f t="shared" si="343"/>
        <v>0</v>
      </c>
      <c r="CF235" s="414">
        <v>0</v>
      </c>
      <c r="CG235" s="414">
        <v>0</v>
      </c>
      <c r="CH235" s="414">
        <v>0</v>
      </c>
      <c r="CI235" s="414">
        <v>0</v>
      </c>
      <c r="CJ235" s="509">
        <v>0</v>
      </c>
    </row>
    <row r="236" spans="1:88" ht="14.1" customHeight="1">
      <c r="A236" s="66">
        <v>48</v>
      </c>
      <c r="B236" s="63">
        <v>2489</v>
      </c>
      <c r="C236" s="64">
        <v>600080188</v>
      </c>
      <c r="D236" s="63">
        <v>64040402</v>
      </c>
      <c r="E236" s="65" t="s">
        <v>631</v>
      </c>
      <c r="F236" s="66">
        <v>3141</v>
      </c>
      <c r="G236" s="65" t="s">
        <v>294</v>
      </c>
      <c r="H236" s="67" t="s">
        <v>272</v>
      </c>
      <c r="I236" s="419">
        <v>2957349</v>
      </c>
      <c r="J236" s="414">
        <v>2176289</v>
      </c>
      <c r="K236" s="414">
        <v>0</v>
      </c>
      <c r="L236" s="744">
        <v>2176289</v>
      </c>
      <c r="M236" s="414">
        <v>0</v>
      </c>
      <c r="N236" s="204">
        <v>0</v>
      </c>
      <c r="O236" s="204">
        <v>0</v>
      </c>
      <c r="P236" s="595">
        <v>735585</v>
      </c>
      <c r="Q236" s="595">
        <v>21763</v>
      </c>
      <c r="R236" s="601">
        <v>23712</v>
      </c>
      <c r="S236" s="415">
        <v>6.5333000000000006</v>
      </c>
      <c r="T236" s="603">
        <v>0</v>
      </c>
      <c r="U236" s="731">
        <v>6.5333000000000006</v>
      </c>
      <c r="V236" s="423">
        <f t="shared" si="325"/>
        <v>0</v>
      </c>
      <c r="W236" s="417">
        <f t="shared" si="326"/>
        <v>0</v>
      </c>
      <c r="X236" s="417">
        <v>0</v>
      </c>
      <c r="Y236" s="417">
        <v>0</v>
      </c>
      <c r="Z236" s="417">
        <v>0</v>
      </c>
      <c r="AA236" s="417">
        <v>-1276</v>
      </c>
      <c r="AB236" s="417">
        <v>0</v>
      </c>
      <c r="AC236" s="417">
        <v>0</v>
      </c>
      <c r="AD236" s="417">
        <v>0</v>
      </c>
      <c r="AE236" s="417">
        <f t="shared" si="327"/>
        <v>0</v>
      </c>
      <c r="AF236" s="417">
        <f t="shared" si="328"/>
        <v>-1276</v>
      </c>
      <c r="AG236" s="417">
        <f t="shared" si="329"/>
        <v>-1276</v>
      </c>
      <c r="AH236" s="417">
        <v>0</v>
      </c>
      <c r="AI236" s="417">
        <v>0</v>
      </c>
      <c r="AJ236" s="417">
        <v>0</v>
      </c>
      <c r="AK236" s="417">
        <v>0</v>
      </c>
      <c r="AL236" s="417">
        <v>0</v>
      </c>
      <c r="AM236" s="417">
        <f t="shared" si="330"/>
        <v>0</v>
      </c>
      <c r="AN236" s="417">
        <f t="shared" si="331"/>
        <v>0</v>
      </c>
      <c r="AO236" s="417">
        <f t="shared" si="332"/>
        <v>0</v>
      </c>
      <c r="AP236" s="417">
        <f t="shared" si="333"/>
        <v>0</v>
      </c>
      <c r="AQ236" s="417">
        <f t="shared" si="334"/>
        <v>-1276</v>
      </c>
      <c r="AR236" s="417">
        <f t="shared" si="335"/>
        <v>-1276</v>
      </c>
      <c r="AS236" s="68">
        <f t="shared" si="336"/>
        <v>-431</v>
      </c>
      <c r="AT236" s="68">
        <f t="shared" si="337"/>
        <v>-13</v>
      </c>
      <c r="AU236" s="417">
        <v>0</v>
      </c>
      <c r="AV236" s="417">
        <v>0</v>
      </c>
      <c r="AW236" s="417">
        <v>0</v>
      </c>
      <c r="AX236" s="417">
        <f t="shared" si="338"/>
        <v>0</v>
      </c>
      <c r="AY236" s="417">
        <f t="shared" si="339"/>
        <v>-1720</v>
      </c>
      <c r="AZ236" s="418">
        <v>0</v>
      </c>
      <c r="BA236" s="418">
        <v>0</v>
      </c>
      <c r="BB236" s="418">
        <v>0</v>
      </c>
      <c r="BC236" s="418">
        <v>0</v>
      </c>
      <c r="BD236" s="418">
        <v>-0.01</v>
      </c>
      <c r="BE236" s="418">
        <v>0</v>
      </c>
      <c r="BF236" s="418">
        <v>0</v>
      </c>
      <c r="BG236" s="418">
        <v>0</v>
      </c>
      <c r="BH236" s="418">
        <v>0</v>
      </c>
      <c r="BI236" s="418">
        <f t="shared" si="340"/>
        <v>0</v>
      </c>
      <c r="BJ236" s="418">
        <f t="shared" si="341"/>
        <v>-0.01</v>
      </c>
      <c r="BK236" s="420">
        <f t="shared" si="342"/>
        <v>-0.01</v>
      </c>
      <c r="BL236" s="772">
        <f>I236+AY236</f>
        <v>2955629</v>
      </c>
      <c r="BM236" s="417">
        <f>J236+AG236</f>
        <v>2175013</v>
      </c>
      <c r="BN236" s="417">
        <f t="shared" si="375"/>
        <v>0</v>
      </c>
      <c r="BO236" s="417">
        <f t="shared" si="375"/>
        <v>2175013</v>
      </c>
      <c r="BP236" s="417">
        <f>M236+AO236</f>
        <v>0</v>
      </c>
      <c r="BQ236" s="417">
        <f t="shared" si="376"/>
        <v>0</v>
      </c>
      <c r="BR236" s="417">
        <f t="shared" si="376"/>
        <v>0</v>
      </c>
      <c r="BS236" s="417">
        <f t="shared" si="377"/>
        <v>735154</v>
      </c>
      <c r="BT236" s="417">
        <f t="shared" si="377"/>
        <v>21750</v>
      </c>
      <c r="BU236" s="417">
        <f>R236+AX236</f>
        <v>23712</v>
      </c>
      <c r="BV236" s="418">
        <f>S236+BK236</f>
        <v>6.5233000000000008</v>
      </c>
      <c r="BW236" s="418">
        <f t="shared" si="378"/>
        <v>0</v>
      </c>
      <c r="BX236" s="420">
        <f t="shared" si="378"/>
        <v>6.5233000000000008</v>
      </c>
      <c r="BY236" s="419"/>
      <c r="BZ236" s="414"/>
      <c r="CA236" s="414"/>
      <c r="CB236" s="414"/>
      <c r="CC236" s="414"/>
      <c r="CD236" s="422"/>
      <c r="CE236" s="419">
        <f t="shared" si="343"/>
        <v>0</v>
      </c>
      <c r="CF236" s="414">
        <v>0</v>
      </c>
      <c r="CG236" s="414">
        <v>0</v>
      </c>
      <c r="CH236" s="414">
        <v>0</v>
      </c>
      <c r="CI236" s="414">
        <v>0</v>
      </c>
      <c r="CJ236" s="509">
        <v>0</v>
      </c>
    </row>
    <row r="237" spans="1:88" ht="14.1" customHeight="1">
      <c r="A237" s="66">
        <v>48</v>
      </c>
      <c r="B237" s="63">
        <v>2489</v>
      </c>
      <c r="C237" s="64">
        <v>600080188</v>
      </c>
      <c r="D237" s="63">
        <v>64040402</v>
      </c>
      <c r="E237" s="65" t="s">
        <v>631</v>
      </c>
      <c r="F237" s="66">
        <v>3143</v>
      </c>
      <c r="G237" s="77" t="s">
        <v>595</v>
      </c>
      <c r="H237" s="67" t="s">
        <v>271</v>
      </c>
      <c r="I237" s="419">
        <v>3258293</v>
      </c>
      <c r="J237" s="414">
        <v>2412168</v>
      </c>
      <c r="K237" s="414">
        <v>2412168</v>
      </c>
      <c r="L237" s="414">
        <v>0</v>
      </c>
      <c r="M237" s="414">
        <v>5000</v>
      </c>
      <c r="N237" s="414">
        <v>5000</v>
      </c>
      <c r="O237" s="414">
        <v>0</v>
      </c>
      <c r="P237" s="595">
        <v>817003</v>
      </c>
      <c r="Q237" s="595">
        <v>24122</v>
      </c>
      <c r="R237" s="414">
        <v>0</v>
      </c>
      <c r="S237" s="415">
        <v>4.6566000000000001</v>
      </c>
      <c r="T237" s="415">
        <v>4.6566000000000001</v>
      </c>
      <c r="U237" s="422">
        <v>0</v>
      </c>
      <c r="V237" s="423">
        <f t="shared" si="325"/>
        <v>5000</v>
      </c>
      <c r="W237" s="417">
        <f t="shared" si="326"/>
        <v>0</v>
      </c>
      <c r="X237" s="417">
        <v>0</v>
      </c>
      <c r="Y237" s="417">
        <v>0</v>
      </c>
      <c r="Z237" s="417">
        <v>0</v>
      </c>
      <c r="AA237" s="417">
        <v>0</v>
      </c>
      <c r="AB237" s="417">
        <v>0</v>
      </c>
      <c r="AC237" s="417">
        <v>0</v>
      </c>
      <c r="AD237" s="417">
        <v>0</v>
      </c>
      <c r="AE237" s="417">
        <f t="shared" si="327"/>
        <v>5000</v>
      </c>
      <c r="AF237" s="417">
        <f t="shared" si="328"/>
        <v>0</v>
      </c>
      <c r="AG237" s="417">
        <f t="shared" si="329"/>
        <v>5000</v>
      </c>
      <c r="AH237" s="417">
        <v>-5000</v>
      </c>
      <c r="AI237" s="417">
        <v>0</v>
      </c>
      <c r="AJ237" s="417">
        <v>0</v>
      </c>
      <c r="AK237" s="417">
        <v>0</v>
      </c>
      <c r="AL237" s="417">
        <v>0</v>
      </c>
      <c r="AM237" s="417">
        <f t="shared" si="330"/>
        <v>-5000</v>
      </c>
      <c r="AN237" s="417">
        <f t="shared" si="331"/>
        <v>0</v>
      </c>
      <c r="AO237" s="417">
        <f t="shared" si="332"/>
        <v>-5000</v>
      </c>
      <c r="AP237" s="417">
        <f t="shared" si="333"/>
        <v>0</v>
      </c>
      <c r="AQ237" s="417">
        <f t="shared" si="334"/>
        <v>0</v>
      </c>
      <c r="AR237" s="417">
        <f t="shared" si="335"/>
        <v>0</v>
      </c>
      <c r="AS237" s="68">
        <f t="shared" si="336"/>
        <v>0</v>
      </c>
      <c r="AT237" s="68">
        <f t="shared" si="337"/>
        <v>50</v>
      </c>
      <c r="AU237" s="417">
        <v>0</v>
      </c>
      <c r="AV237" s="417">
        <v>0</v>
      </c>
      <c r="AW237" s="417">
        <v>0</v>
      </c>
      <c r="AX237" s="417">
        <f t="shared" si="338"/>
        <v>0</v>
      </c>
      <c r="AY237" s="417">
        <f t="shared" si="339"/>
        <v>50</v>
      </c>
      <c r="AZ237" s="418">
        <v>0.01</v>
      </c>
      <c r="BA237" s="418">
        <v>0</v>
      </c>
      <c r="BB237" s="418">
        <v>0</v>
      </c>
      <c r="BC237" s="418">
        <v>0</v>
      </c>
      <c r="BD237" s="418">
        <v>0</v>
      </c>
      <c r="BE237" s="418">
        <v>0</v>
      </c>
      <c r="BF237" s="418">
        <v>0</v>
      </c>
      <c r="BG237" s="418">
        <v>0</v>
      </c>
      <c r="BH237" s="418">
        <v>0</v>
      </c>
      <c r="BI237" s="418">
        <f t="shared" si="340"/>
        <v>0.01</v>
      </c>
      <c r="BJ237" s="418">
        <f t="shared" si="341"/>
        <v>0</v>
      </c>
      <c r="BK237" s="420">
        <f t="shared" si="342"/>
        <v>0.01</v>
      </c>
      <c r="BL237" s="772">
        <f>I237+AY237</f>
        <v>3258343</v>
      </c>
      <c r="BM237" s="417">
        <f>J237+AG237</f>
        <v>2417168</v>
      </c>
      <c r="BN237" s="417">
        <f t="shared" si="375"/>
        <v>2417168</v>
      </c>
      <c r="BO237" s="417">
        <f t="shared" si="375"/>
        <v>0</v>
      </c>
      <c r="BP237" s="417">
        <f>M237+AO237</f>
        <v>0</v>
      </c>
      <c r="BQ237" s="417">
        <f t="shared" si="376"/>
        <v>0</v>
      </c>
      <c r="BR237" s="417">
        <f t="shared" si="376"/>
        <v>0</v>
      </c>
      <c r="BS237" s="417">
        <f t="shared" si="377"/>
        <v>817003</v>
      </c>
      <c r="BT237" s="417">
        <f t="shared" si="377"/>
        <v>24172</v>
      </c>
      <c r="BU237" s="417">
        <f>R237+AX237</f>
        <v>0</v>
      </c>
      <c r="BV237" s="418">
        <f>S237+BK237</f>
        <v>4.6665999999999999</v>
      </c>
      <c r="BW237" s="418">
        <f t="shared" si="378"/>
        <v>4.6665999999999999</v>
      </c>
      <c r="BX237" s="420">
        <f t="shared" si="378"/>
        <v>0</v>
      </c>
      <c r="BY237" s="419"/>
      <c r="BZ237" s="414"/>
      <c r="CA237" s="414"/>
      <c r="CB237" s="414"/>
      <c r="CC237" s="414"/>
      <c r="CD237" s="422"/>
      <c r="CE237" s="419">
        <f t="shared" si="343"/>
        <v>0</v>
      </c>
      <c r="CF237" s="414">
        <v>0</v>
      </c>
      <c r="CG237" s="414">
        <v>0</v>
      </c>
      <c r="CH237" s="414">
        <v>0</v>
      </c>
      <c r="CI237" s="414">
        <v>0</v>
      </c>
      <c r="CJ237" s="509">
        <v>0</v>
      </c>
    </row>
    <row r="238" spans="1:88" ht="14.1" customHeight="1">
      <c r="A238" s="66">
        <v>48</v>
      </c>
      <c r="B238" s="63">
        <v>2489</v>
      </c>
      <c r="C238" s="64">
        <v>600080188</v>
      </c>
      <c r="D238" s="63">
        <v>64040402</v>
      </c>
      <c r="E238" s="65" t="s">
        <v>631</v>
      </c>
      <c r="F238" s="66">
        <v>3143</v>
      </c>
      <c r="G238" s="77" t="s">
        <v>596</v>
      </c>
      <c r="H238" s="67" t="s">
        <v>272</v>
      </c>
      <c r="I238" s="419">
        <v>138312</v>
      </c>
      <c r="J238" s="414">
        <v>99000</v>
      </c>
      <c r="K238" s="414">
        <v>0</v>
      </c>
      <c r="L238" s="601">
        <v>99000</v>
      </c>
      <c r="M238" s="414">
        <v>0</v>
      </c>
      <c r="N238" s="414">
        <v>0</v>
      </c>
      <c r="O238" s="414">
        <v>0</v>
      </c>
      <c r="P238" s="595">
        <v>33462</v>
      </c>
      <c r="Q238" s="595">
        <v>990</v>
      </c>
      <c r="R238" s="601">
        <v>4860</v>
      </c>
      <c r="S238" s="415">
        <v>0.38</v>
      </c>
      <c r="T238" s="603">
        <v>0</v>
      </c>
      <c r="U238" s="731">
        <v>0.38</v>
      </c>
      <c r="V238" s="423">
        <f t="shared" si="325"/>
        <v>0</v>
      </c>
      <c r="W238" s="417">
        <f t="shared" si="326"/>
        <v>0</v>
      </c>
      <c r="X238" s="417">
        <v>0</v>
      </c>
      <c r="Y238" s="417">
        <v>0</v>
      </c>
      <c r="Z238" s="417">
        <v>0</v>
      </c>
      <c r="AA238" s="417">
        <v>0</v>
      </c>
      <c r="AB238" s="417">
        <v>0</v>
      </c>
      <c r="AC238" s="417">
        <v>0</v>
      </c>
      <c r="AD238" s="417">
        <v>0</v>
      </c>
      <c r="AE238" s="417">
        <f t="shared" si="327"/>
        <v>0</v>
      </c>
      <c r="AF238" s="417">
        <f t="shared" si="328"/>
        <v>0</v>
      </c>
      <c r="AG238" s="417">
        <f t="shared" si="329"/>
        <v>0</v>
      </c>
      <c r="AH238" s="417">
        <v>0</v>
      </c>
      <c r="AI238" s="417">
        <v>0</v>
      </c>
      <c r="AJ238" s="417">
        <v>0</v>
      </c>
      <c r="AK238" s="417">
        <v>0</v>
      </c>
      <c r="AL238" s="417">
        <v>0</v>
      </c>
      <c r="AM238" s="417">
        <f t="shared" si="330"/>
        <v>0</v>
      </c>
      <c r="AN238" s="417">
        <f t="shared" si="331"/>
        <v>0</v>
      </c>
      <c r="AO238" s="417">
        <f t="shared" si="332"/>
        <v>0</v>
      </c>
      <c r="AP238" s="417">
        <f t="shared" si="333"/>
        <v>0</v>
      </c>
      <c r="AQ238" s="417">
        <f t="shared" si="334"/>
        <v>0</v>
      </c>
      <c r="AR238" s="417">
        <f t="shared" si="335"/>
        <v>0</v>
      </c>
      <c r="AS238" s="68">
        <f t="shared" si="336"/>
        <v>0</v>
      </c>
      <c r="AT238" s="68">
        <f t="shared" si="337"/>
        <v>0</v>
      </c>
      <c r="AU238" s="417">
        <v>0</v>
      </c>
      <c r="AV238" s="417">
        <v>0</v>
      </c>
      <c r="AW238" s="417">
        <v>0</v>
      </c>
      <c r="AX238" s="417">
        <f t="shared" si="338"/>
        <v>0</v>
      </c>
      <c r="AY238" s="417">
        <f t="shared" si="339"/>
        <v>0</v>
      </c>
      <c r="AZ238" s="418">
        <v>0</v>
      </c>
      <c r="BA238" s="418">
        <v>0</v>
      </c>
      <c r="BB238" s="418">
        <v>0</v>
      </c>
      <c r="BC238" s="418">
        <v>0</v>
      </c>
      <c r="BD238" s="418">
        <v>0</v>
      </c>
      <c r="BE238" s="418">
        <v>0</v>
      </c>
      <c r="BF238" s="418">
        <v>0</v>
      </c>
      <c r="BG238" s="418">
        <v>0</v>
      </c>
      <c r="BH238" s="418">
        <v>0</v>
      </c>
      <c r="BI238" s="418">
        <f t="shared" si="340"/>
        <v>0</v>
      </c>
      <c r="BJ238" s="418">
        <f t="shared" si="341"/>
        <v>0</v>
      </c>
      <c r="BK238" s="420">
        <f t="shared" si="342"/>
        <v>0</v>
      </c>
      <c r="BL238" s="772">
        <f>I238+AY238</f>
        <v>138312</v>
      </c>
      <c r="BM238" s="417">
        <f>J238+AG238</f>
        <v>99000</v>
      </c>
      <c r="BN238" s="417">
        <f t="shared" si="375"/>
        <v>0</v>
      </c>
      <c r="BO238" s="417">
        <f t="shared" si="375"/>
        <v>99000</v>
      </c>
      <c r="BP238" s="417">
        <f>M238+AO238</f>
        <v>0</v>
      </c>
      <c r="BQ238" s="417">
        <f t="shared" si="376"/>
        <v>0</v>
      </c>
      <c r="BR238" s="417">
        <f t="shared" si="376"/>
        <v>0</v>
      </c>
      <c r="BS238" s="417">
        <f t="shared" si="377"/>
        <v>33462</v>
      </c>
      <c r="BT238" s="417">
        <f t="shared" si="377"/>
        <v>990</v>
      </c>
      <c r="BU238" s="417">
        <f>R238+AX238</f>
        <v>4860</v>
      </c>
      <c r="BV238" s="418">
        <f>S238+BK238</f>
        <v>0.38</v>
      </c>
      <c r="BW238" s="418">
        <f t="shared" si="378"/>
        <v>0</v>
      </c>
      <c r="BX238" s="420">
        <f t="shared" si="378"/>
        <v>0.38</v>
      </c>
      <c r="BY238" s="419"/>
      <c r="BZ238" s="414"/>
      <c r="CA238" s="414"/>
      <c r="CB238" s="414"/>
      <c r="CC238" s="414"/>
      <c r="CD238" s="422"/>
      <c r="CE238" s="419">
        <f t="shared" si="343"/>
        <v>0</v>
      </c>
      <c r="CF238" s="414">
        <v>0</v>
      </c>
      <c r="CG238" s="414">
        <v>0</v>
      </c>
      <c r="CH238" s="414">
        <v>0</v>
      </c>
      <c r="CI238" s="414">
        <v>0</v>
      </c>
      <c r="CJ238" s="509">
        <v>0</v>
      </c>
    </row>
    <row r="239" spans="1:88" ht="14.1" customHeight="1">
      <c r="A239" s="72">
        <v>48</v>
      </c>
      <c r="B239" s="69">
        <v>2489</v>
      </c>
      <c r="C239" s="70">
        <v>600080188</v>
      </c>
      <c r="D239" s="69">
        <v>64040402</v>
      </c>
      <c r="E239" s="71" t="s">
        <v>632</v>
      </c>
      <c r="F239" s="72"/>
      <c r="G239" s="71"/>
      <c r="H239" s="73"/>
      <c r="I239" s="516">
        <v>45490388</v>
      </c>
      <c r="J239" s="74">
        <v>33163736</v>
      </c>
      <c r="K239" s="74">
        <v>28432937</v>
      </c>
      <c r="L239" s="74">
        <v>4730799</v>
      </c>
      <c r="M239" s="74">
        <v>80000</v>
      </c>
      <c r="N239" s="74">
        <v>40000</v>
      </c>
      <c r="O239" s="74">
        <v>40000</v>
      </c>
      <c r="P239" s="74">
        <v>11236383</v>
      </c>
      <c r="Q239" s="74">
        <v>331637</v>
      </c>
      <c r="R239" s="74">
        <v>678632</v>
      </c>
      <c r="S239" s="75">
        <v>57.607700000000001</v>
      </c>
      <c r="T239" s="75">
        <v>43.205499999999994</v>
      </c>
      <c r="U239" s="653">
        <v>14.402200000000002</v>
      </c>
      <c r="V239" s="516">
        <f t="shared" ref="V239:BX239" si="379">SUM(V234:V238)</f>
        <v>7000</v>
      </c>
      <c r="W239" s="74">
        <f t="shared" si="379"/>
        <v>-80000</v>
      </c>
      <c r="X239" s="74">
        <f t="shared" si="379"/>
        <v>-30946</v>
      </c>
      <c r="Y239" s="74">
        <f t="shared" si="379"/>
        <v>14564</v>
      </c>
      <c r="Z239" s="74">
        <f t="shared" si="379"/>
        <v>0</v>
      </c>
      <c r="AA239" s="74">
        <f t="shared" si="379"/>
        <v>-1276</v>
      </c>
      <c r="AB239" s="74">
        <f t="shared" si="379"/>
        <v>0</v>
      </c>
      <c r="AC239" s="74">
        <f t="shared" si="379"/>
        <v>0</v>
      </c>
      <c r="AD239" s="74">
        <f t="shared" si="379"/>
        <v>0</v>
      </c>
      <c r="AE239" s="74">
        <f t="shared" si="379"/>
        <v>-9382</v>
      </c>
      <c r="AF239" s="74">
        <f t="shared" si="379"/>
        <v>-81276</v>
      </c>
      <c r="AG239" s="74">
        <f t="shared" si="379"/>
        <v>-90658</v>
      </c>
      <c r="AH239" s="74">
        <f t="shared" si="379"/>
        <v>-7000</v>
      </c>
      <c r="AI239" s="74">
        <f t="shared" si="379"/>
        <v>80000</v>
      </c>
      <c r="AJ239" s="74">
        <f t="shared" si="379"/>
        <v>0</v>
      </c>
      <c r="AK239" s="74">
        <f t="shared" si="379"/>
        <v>0</v>
      </c>
      <c r="AL239" s="74">
        <f t="shared" si="379"/>
        <v>0</v>
      </c>
      <c r="AM239" s="74">
        <f t="shared" si="379"/>
        <v>-7000</v>
      </c>
      <c r="AN239" s="74">
        <f t="shared" si="379"/>
        <v>80000</v>
      </c>
      <c r="AO239" s="74">
        <f t="shared" si="379"/>
        <v>73000</v>
      </c>
      <c r="AP239" s="74">
        <f t="shared" si="379"/>
        <v>-16382</v>
      </c>
      <c r="AQ239" s="74">
        <f t="shared" si="379"/>
        <v>-1276</v>
      </c>
      <c r="AR239" s="74">
        <f t="shared" si="379"/>
        <v>-17658</v>
      </c>
      <c r="AS239" s="74">
        <f t="shared" si="379"/>
        <v>-5968</v>
      </c>
      <c r="AT239" s="74">
        <f t="shared" si="379"/>
        <v>-906</v>
      </c>
      <c r="AU239" s="74">
        <f t="shared" si="379"/>
        <v>0</v>
      </c>
      <c r="AV239" s="74">
        <f t="shared" si="379"/>
        <v>0</v>
      </c>
      <c r="AW239" s="74">
        <f t="shared" si="379"/>
        <v>0</v>
      </c>
      <c r="AX239" s="74">
        <f t="shared" si="379"/>
        <v>0</v>
      </c>
      <c r="AY239" s="74">
        <f t="shared" si="379"/>
        <v>-24532</v>
      </c>
      <c r="AZ239" s="75">
        <f t="shared" si="379"/>
        <v>0.01</v>
      </c>
      <c r="BA239" s="75">
        <f t="shared" si="379"/>
        <v>-0.24</v>
      </c>
      <c r="BB239" s="75">
        <f t="shared" si="379"/>
        <v>-0.06</v>
      </c>
      <c r="BC239" s="75">
        <f t="shared" si="379"/>
        <v>0</v>
      </c>
      <c r="BD239" s="75">
        <f t="shared" si="379"/>
        <v>-0.01</v>
      </c>
      <c r="BE239" s="75">
        <f t="shared" si="379"/>
        <v>0.02</v>
      </c>
      <c r="BF239" s="75">
        <f t="shared" si="379"/>
        <v>0</v>
      </c>
      <c r="BG239" s="75">
        <f t="shared" si="379"/>
        <v>0</v>
      </c>
      <c r="BH239" s="75">
        <f t="shared" si="379"/>
        <v>0</v>
      </c>
      <c r="BI239" s="75">
        <f t="shared" si="379"/>
        <v>-2.9999999999999992E-2</v>
      </c>
      <c r="BJ239" s="75">
        <f t="shared" si="379"/>
        <v>-0.25</v>
      </c>
      <c r="BK239" s="76">
        <f t="shared" si="379"/>
        <v>-0.28000000000000003</v>
      </c>
      <c r="BL239" s="781">
        <f t="shared" si="379"/>
        <v>45465856</v>
      </c>
      <c r="BM239" s="74">
        <f t="shared" si="379"/>
        <v>33073078</v>
      </c>
      <c r="BN239" s="74">
        <f t="shared" si="379"/>
        <v>28423555</v>
      </c>
      <c r="BO239" s="74">
        <f t="shared" si="379"/>
        <v>4649523</v>
      </c>
      <c r="BP239" s="74">
        <f t="shared" si="379"/>
        <v>153000</v>
      </c>
      <c r="BQ239" s="74">
        <f t="shared" si="379"/>
        <v>33000</v>
      </c>
      <c r="BR239" s="74">
        <f t="shared" si="379"/>
        <v>120000</v>
      </c>
      <c r="BS239" s="74">
        <f t="shared" si="379"/>
        <v>11230415</v>
      </c>
      <c r="BT239" s="74">
        <f t="shared" si="379"/>
        <v>330731</v>
      </c>
      <c r="BU239" s="74">
        <f t="shared" si="379"/>
        <v>678632</v>
      </c>
      <c r="BV239" s="75">
        <f t="shared" si="379"/>
        <v>57.3277</v>
      </c>
      <c r="BW239" s="75">
        <f t="shared" si="379"/>
        <v>43.1755</v>
      </c>
      <c r="BX239" s="76">
        <f t="shared" si="379"/>
        <v>14.152200000000002</v>
      </c>
      <c r="BY239" s="791">
        <f t="shared" ref="BY239:CJ239" si="380">SUM(BY234:BY238)</f>
        <v>380136</v>
      </c>
      <c r="BZ239" s="679">
        <f t="shared" si="380"/>
        <v>282000</v>
      </c>
      <c r="CA239" s="679">
        <f t="shared" si="380"/>
        <v>0</v>
      </c>
      <c r="CB239" s="679">
        <f t="shared" si="380"/>
        <v>95316</v>
      </c>
      <c r="CC239" s="679">
        <f t="shared" si="380"/>
        <v>2820</v>
      </c>
      <c r="CD239" s="947">
        <f t="shared" si="380"/>
        <v>0.5</v>
      </c>
      <c r="CE239" s="956">
        <f t="shared" si="380"/>
        <v>1229998</v>
      </c>
      <c r="CF239" s="953">
        <f t="shared" si="380"/>
        <v>800938</v>
      </c>
      <c r="CG239" s="953">
        <f t="shared" si="380"/>
        <v>270717</v>
      </c>
      <c r="CH239" s="953">
        <f t="shared" si="380"/>
        <v>8009</v>
      </c>
      <c r="CI239" s="953">
        <f t="shared" si="380"/>
        <v>150334</v>
      </c>
      <c r="CJ239" s="877">
        <f t="shared" si="380"/>
        <v>2.4422000000000001</v>
      </c>
    </row>
    <row r="240" spans="1:88" ht="14.1" customHeight="1">
      <c r="A240" s="66">
        <v>49</v>
      </c>
      <c r="B240" s="63">
        <v>2473</v>
      </c>
      <c r="C240" s="64">
        <v>600080285</v>
      </c>
      <c r="D240" s="63">
        <v>65642376</v>
      </c>
      <c r="E240" s="65" t="s">
        <v>633</v>
      </c>
      <c r="F240" s="66">
        <v>3113</v>
      </c>
      <c r="G240" s="65" t="s">
        <v>293</v>
      </c>
      <c r="H240" s="67" t="s">
        <v>271</v>
      </c>
      <c r="I240" s="419">
        <v>45636510</v>
      </c>
      <c r="J240" s="414">
        <v>32851631</v>
      </c>
      <c r="K240" s="414">
        <v>30067161</v>
      </c>
      <c r="L240" s="414">
        <v>2784470</v>
      </c>
      <c r="M240" s="414">
        <v>420000</v>
      </c>
      <c r="N240" s="414">
        <v>300000</v>
      </c>
      <c r="O240" s="414">
        <v>120000</v>
      </c>
      <c r="P240" s="595">
        <v>11245812</v>
      </c>
      <c r="Q240" s="595">
        <v>328517</v>
      </c>
      <c r="R240" s="414">
        <v>790550</v>
      </c>
      <c r="S240" s="415">
        <v>51.863799999999998</v>
      </c>
      <c r="T240" s="415">
        <v>43.407899999999998</v>
      </c>
      <c r="U240" s="422">
        <v>8.4558999999999997</v>
      </c>
      <c r="V240" s="423">
        <f t="shared" si="325"/>
        <v>0</v>
      </c>
      <c r="W240" s="417">
        <f t="shared" si="326"/>
        <v>0</v>
      </c>
      <c r="X240" s="417">
        <v>0</v>
      </c>
      <c r="Y240" s="417">
        <v>0</v>
      </c>
      <c r="Z240" s="417">
        <v>75805</v>
      </c>
      <c r="AA240" s="417">
        <v>0</v>
      </c>
      <c r="AB240" s="417">
        <v>0</v>
      </c>
      <c r="AC240" s="417">
        <v>0</v>
      </c>
      <c r="AD240" s="417">
        <v>0</v>
      </c>
      <c r="AE240" s="417">
        <f t="shared" si="327"/>
        <v>75805</v>
      </c>
      <c r="AF240" s="417">
        <f t="shared" si="328"/>
        <v>0</v>
      </c>
      <c r="AG240" s="417">
        <f t="shared" si="329"/>
        <v>75805</v>
      </c>
      <c r="AH240" s="417">
        <v>0</v>
      </c>
      <c r="AI240" s="417">
        <v>0</v>
      </c>
      <c r="AJ240" s="417">
        <v>0</v>
      </c>
      <c r="AK240" s="417">
        <v>0</v>
      </c>
      <c r="AL240" s="417">
        <v>0</v>
      </c>
      <c r="AM240" s="417">
        <f t="shared" si="330"/>
        <v>0</v>
      </c>
      <c r="AN240" s="417">
        <f t="shared" si="331"/>
        <v>0</v>
      </c>
      <c r="AO240" s="417">
        <f t="shared" si="332"/>
        <v>0</v>
      </c>
      <c r="AP240" s="417">
        <f t="shared" si="333"/>
        <v>75805</v>
      </c>
      <c r="AQ240" s="417">
        <f t="shared" si="334"/>
        <v>0</v>
      </c>
      <c r="AR240" s="417">
        <f t="shared" si="335"/>
        <v>75805</v>
      </c>
      <c r="AS240" s="68">
        <f t="shared" si="336"/>
        <v>25622</v>
      </c>
      <c r="AT240" s="68">
        <f t="shared" si="337"/>
        <v>758</v>
      </c>
      <c r="AU240" s="417">
        <v>0</v>
      </c>
      <c r="AV240" s="417">
        <v>0</v>
      </c>
      <c r="AW240" s="417">
        <v>0</v>
      </c>
      <c r="AX240" s="417">
        <f t="shared" si="338"/>
        <v>0</v>
      </c>
      <c r="AY240" s="417">
        <f t="shared" si="339"/>
        <v>102185</v>
      </c>
      <c r="AZ240" s="418">
        <v>0</v>
      </c>
      <c r="BA240" s="418">
        <v>0</v>
      </c>
      <c r="BB240" s="418">
        <v>0</v>
      </c>
      <c r="BC240" s="418">
        <v>0.15</v>
      </c>
      <c r="BD240" s="418">
        <v>0</v>
      </c>
      <c r="BE240" s="418">
        <v>0</v>
      </c>
      <c r="BF240" s="418">
        <v>0</v>
      </c>
      <c r="BG240" s="418">
        <v>0</v>
      </c>
      <c r="BH240" s="418">
        <v>0</v>
      </c>
      <c r="BI240" s="418">
        <f t="shared" si="340"/>
        <v>0.15</v>
      </c>
      <c r="BJ240" s="418">
        <f t="shared" si="341"/>
        <v>0</v>
      </c>
      <c r="BK240" s="420">
        <f t="shared" si="342"/>
        <v>0.15</v>
      </c>
      <c r="BL240" s="772">
        <f>I240+AY240</f>
        <v>45738695</v>
      </c>
      <c r="BM240" s="417">
        <f>J240+AG240</f>
        <v>32927436</v>
      </c>
      <c r="BN240" s="417">
        <f t="shared" ref="BN240:BO244" si="381">K240+AE240</f>
        <v>30142966</v>
      </c>
      <c r="BO240" s="417">
        <f t="shared" si="381"/>
        <v>2784470</v>
      </c>
      <c r="BP240" s="417">
        <f>M240+AO240</f>
        <v>420000</v>
      </c>
      <c r="BQ240" s="417">
        <f t="shared" ref="BQ240:BR244" si="382">N240+AM240</f>
        <v>300000</v>
      </c>
      <c r="BR240" s="417">
        <f t="shared" si="382"/>
        <v>120000</v>
      </c>
      <c r="BS240" s="417">
        <f t="shared" ref="BS240:BT244" si="383">P240+AS240</f>
        <v>11271434</v>
      </c>
      <c r="BT240" s="417">
        <f t="shared" si="383"/>
        <v>329275</v>
      </c>
      <c r="BU240" s="417">
        <f>R240+AX240</f>
        <v>790550</v>
      </c>
      <c r="BV240" s="418">
        <f>S240+BK240</f>
        <v>52.013799999999996</v>
      </c>
      <c r="BW240" s="418">
        <f t="shared" ref="BW240:BX244" si="384">T240+BI240</f>
        <v>43.557899999999997</v>
      </c>
      <c r="BX240" s="420">
        <f t="shared" si="384"/>
        <v>8.4558999999999997</v>
      </c>
      <c r="BY240" s="419">
        <v>760272</v>
      </c>
      <c r="BZ240" s="414">
        <v>564000</v>
      </c>
      <c r="CA240" s="414">
        <v>0</v>
      </c>
      <c r="CB240" s="414">
        <v>190632</v>
      </c>
      <c r="CC240" s="414">
        <v>5640</v>
      </c>
      <c r="CD240" s="422">
        <v>1</v>
      </c>
      <c r="CE240" s="419">
        <f t="shared" si="343"/>
        <v>1438595</v>
      </c>
      <c r="CF240" s="414">
        <v>932326</v>
      </c>
      <c r="CG240" s="414">
        <v>315126</v>
      </c>
      <c r="CH240" s="414">
        <v>9323</v>
      </c>
      <c r="CI240" s="414">
        <v>181820</v>
      </c>
      <c r="CJ240" s="509">
        <v>2.8300999999999998</v>
      </c>
    </row>
    <row r="241" spans="1:88" ht="14.1" customHeight="1">
      <c r="A241" s="66">
        <v>49</v>
      </c>
      <c r="B241" s="63">
        <v>2473</v>
      </c>
      <c r="C241" s="64">
        <v>600080285</v>
      </c>
      <c r="D241" s="63">
        <v>65642376</v>
      </c>
      <c r="E241" s="65" t="s">
        <v>633</v>
      </c>
      <c r="F241" s="66">
        <v>3113</v>
      </c>
      <c r="G241" s="77" t="s">
        <v>291</v>
      </c>
      <c r="H241" s="67" t="s">
        <v>272</v>
      </c>
      <c r="I241" s="419">
        <v>10543891</v>
      </c>
      <c r="J241" s="414">
        <v>7821506</v>
      </c>
      <c r="K241" s="414">
        <v>7821506</v>
      </c>
      <c r="L241" s="414">
        <v>0</v>
      </c>
      <c r="M241" s="414">
        <v>0</v>
      </c>
      <c r="N241" s="414">
        <v>0</v>
      </c>
      <c r="O241" s="414">
        <v>0</v>
      </c>
      <c r="P241" s="595">
        <v>2643669</v>
      </c>
      <c r="Q241" s="595">
        <v>78216</v>
      </c>
      <c r="R241" s="414">
        <v>500</v>
      </c>
      <c r="S241" s="415">
        <v>20.77</v>
      </c>
      <c r="T241" s="416">
        <v>20.77</v>
      </c>
      <c r="U241" s="422">
        <v>0</v>
      </c>
      <c r="V241" s="423">
        <f t="shared" si="325"/>
        <v>0</v>
      </c>
      <c r="W241" s="417">
        <f t="shared" si="326"/>
        <v>0</v>
      </c>
      <c r="X241" s="417">
        <v>36052</v>
      </c>
      <c r="Y241" s="417">
        <v>0</v>
      </c>
      <c r="Z241" s="417">
        <v>0</v>
      </c>
      <c r="AA241" s="417">
        <v>0</v>
      </c>
      <c r="AB241" s="417">
        <v>0</v>
      </c>
      <c r="AC241" s="417">
        <v>0</v>
      </c>
      <c r="AD241" s="417">
        <v>0</v>
      </c>
      <c r="AE241" s="417">
        <f t="shared" si="327"/>
        <v>36052</v>
      </c>
      <c r="AF241" s="417">
        <f t="shared" si="328"/>
        <v>0</v>
      </c>
      <c r="AG241" s="417">
        <f t="shared" si="329"/>
        <v>36052</v>
      </c>
      <c r="AH241" s="417">
        <v>0</v>
      </c>
      <c r="AI241" s="417">
        <v>0</v>
      </c>
      <c r="AJ241" s="417">
        <v>0</v>
      </c>
      <c r="AK241" s="417">
        <v>0</v>
      </c>
      <c r="AL241" s="417">
        <v>0</v>
      </c>
      <c r="AM241" s="417">
        <f t="shared" si="330"/>
        <v>0</v>
      </c>
      <c r="AN241" s="417">
        <f t="shared" si="331"/>
        <v>0</v>
      </c>
      <c r="AO241" s="417">
        <f t="shared" si="332"/>
        <v>0</v>
      </c>
      <c r="AP241" s="417">
        <f t="shared" si="333"/>
        <v>36052</v>
      </c>
      <c r="AQ241" s="417">
        <f t="shared" si="334"/>
        <v>0</v>
      </c>
      <c r="AR241" s="417">
        <f t="shared" si="335"/>
        <v>36052</v>
      </c>
      <c r="AS241" s="68">
        <f t="shared" si="336"/>
        <v>12186</v>
      </c>
      <c r="AT241" s="68">
        <f t="shared" si="337"/>
        <v>361</v>
      </c>
      <c r="AU241" s="417">
        <v>2750</v>
      </c>
      <c r="AV241" s="417">
        <v>0</v>
      </c>
      <c r="AW241" s="417">
        <v>0</v>
      </c>
      <c r="AX241" s="417">
        <f t="shared" si="338"/>
        <v>2750</v>
      </c>
      <c r="AY241" s="417">
        <f t="shared" si="339"/>
        <v>51349</v>
      </c>
      <c r="AZ241" s="418">
        <v>0</v>
      </c>
      <c r="BA241" s="418">
        <v>0</v>
      </c>
      <c r="BB241" s="418">
        <v>0.09</v>
      </c>
      <c r="BC241" s="418">
        <v>0</v>
      </c>
      <c r="BD241" s="418">
        <v>0</v>
      </c>
      <c r="BE241" s="418">
        <v>0</v>
      </c>
      <c r="BF241" s="418">
        <v>0</v>
      </c>
      <c r="BG241" s="418">
        <v>0</v>
      </c>
      <c r="BH241" s="418">
        <v>0</v>
      </c>
      <c r="BI241" s="418">
        <f t="shared" si="340"/>
        <v>0.09</v>
      </c>
      <c r="BJ241" s="418">
        <f t="shared" si="341"/>
        <v>0</v>
      </c>
      <c r="BK241" s="420">
        <f t="shared" si="342"/>
        <v>0.09</v>
      </c>
      <c r="BL241" s="772">
        <f>I241+AY241</f>
        <v>10595240</v>
      </c>
      <c r="BM241" s="417">
        <f>J241+AG241</f>
        <v>7857558</v>
      </c>
      <c r="BN241" s="417">
        <f t="shared" si="381"/>
        <v>7857558</v>
      </c>
      <c r="BO241" s="417">
        <f t="shared" si="381"/>
        <v>0</v>
      </c>
      <c r="BP241" s="417">
        <f>M241+AO241</f>
        <v>0</v>
      </c>
      <c r="BQ241" s="417">
        <f t="shared" si="382"/>
        <v>0</v>
      </c>
      <c r="BR241" s="417">
        <f t="shared" si="382"/>
        <v>0</v>
      </c>
      <c r="BS241" s="417">
        <f t="shared" si="383"/>
        <v>2655855</v>
      </c>
      <c r="BT241" s="417">
        <f t="shared" si="383"/>
        <v>78577</v>
      </c>
      <c r="BU241" s="417">
        <f>R241+AX241</f>
        <v>3250</v>
      </c>
      <c r="BV241" s="418">
        <f>S241+BK241</f>
        <v>20.86</v>
      </c>
      <c r="BW241" s="418">
        <f t="shared" si="384"/>
        <v>20.86</v>
      </c>
      <c r="BX241" s="420">
        <f t="shared" si="384"/>
        <v>0</v>
      </c>
      <c r="BY241" s="419"/>
      <c r="BZ241" s="414"/>
      <c r="CA241" s="414"/>
      <c r="CB241" s="414"/>
      <c r="CC241" s="414"/>
      <c r="CD241" s="422"/>
      <c r="CE241" s="419">
        <f t="shared" si="343"/>
        <v>0</v>
      </c>
      <c r="CF241" s="414">
        <v>0</v>
      </c>
      <c r="CG241" s="414">
        <v>0</v>
      </c>
      <c r="CH241" s="414">
        <v>0</v>
      </c>
      <c r="CI241" s="414">
        <v>0</v>
      </c>
      <c r="CJ241" s="509">
        <v>0</v>
      </c>
    </row>
    <row r="242" spans="1:88" ht="14.1" customHeight="1">
      <c r="A242" s="66">
        <v>49</v>
      </c>
      <c r="B242" s="63">
        <v>2473</v>
      </c>
      <c r="C242" s="64">
        <v>600080285</v>
      </c>
      <c r="D242" s="63">
        <v>65642376</v>
      </c>
      <c r="E242" s="65" t="s">
        <v>633</v>
      </c>
      <c r="F242" s="66">
        <v>3141</v>
      </c>
      <c r="G242" s="65" t="s">
        <v>294</v>
      </c>
      <c r="H242" s="67" t="s">
        <v>272</v>
      </c>
      <c r="I242" s="419">
        <v>1359629</v>
      </c>
      <c r="J242" s="414">
        <v>971697</v>
      </c>
      <c r="K242" s="414">
        <v>0</v>
      </c>
      <c r="L242" s="744">
        <v>971697</v>
      </c>
      <c r="M242" s="414">
        <v>32000</v>
      </c>
      <c r="N242" s="204">
        <v>0</v>
      </c>
      <c r="O242" s="204">
        <v>32000</v>
      </c>
      <c r="P242" s="595">
        <v>328433</v>
      </c>
      <c r="Q242" s="595">
        <v>9717</v>
      </c>
      <c r="R242" s="601">
        <v>17782</v>
      </c>
      <c r="S242" s="415">
        <v>2.91</v>
      </c>
      <c r="T242" s="603">
        <v>0</v>
      </c>
      <c r="U242" s="731">
        <v>2.91</v>
      </c>
      <c r="V242" s="423">
        <f t="shared" si="325"/>
        <v>0</v>
      </c>
      <c r="W242" s="417">
        <f t="shared" si="326"/>
        <v>0</v>
      </c>
      <c r="X242" s="417">
        <v>0</v>
      </c>
      <c r="Y242" s="417">
        <v>0</v>
      </c>
      <c r="Z242" s="417">
        <v>0</v>
      </c>
      <c r="AA242" s="417">
        <v>-13484</v>
      </c>
      <c r="AB242" s="417">
        <v>0</v>
      </c>
      <c r="AC242" s="417">
        <v>0</v>
      </c>
      <c r="AD242" s="417">
        <v>0</v>
      </c>
      <c r="AE242" s="417">
        <f t="shared" si="327"/>
        <v>0</v>
      </c>
      <c r="AF242" s="417">
        <f t="shared" si="328"/>
        <v>-13484</v>
      </c>
      <c r="AG242" s="417">
        <f t="shared" si="329"/>
        <v>-13484</v>
      </c>
      <c r="AH242" s="417">
        <v>0</v>
      </c>
      <c r="AI242" s="417">
        <v>0</v>
      </c>
      <c r="AJ242" s="417">
        <v>0</v>
      </c>
      <c r="AK242" s="417">
        <v>0</v>
      </c>
      <c r="AL242" s="417">
        <v>0</v>
      </c>
      <c r="AM242" s="417">
        <f t="shared" si="330"/>
        <v>0</v>
      </c>
      <c r="AN242" s="417">
        <f t="shared" si="331"/>
        <v>0</v>
      </c>
      <c r="AO242" s="417">
        <f t="shared" si="332"/>
        <v>0</v>
      </c>
      <c r="AP242" s="417">
        <f t="shared" si="333"/>
        <v>0</v>
      </c>
      <c r="AQ242" s="417">
        <f t="shared" si="334"/>
        <v>-13484</v>
      </c>
      <c r="AR242" s="417">
        <f t="shared" si="335"/>
        <v>-13484</v>
      </c>
      <c r="AS242" s="68">
        <f t="shared" si="336"/>
        <v>-4558</v>
      </c>
      <c r="AT242" s="68">
        <f t="shared" si="337"/>
        <v>-135</v>
      </c>
      <c r="AU242" s="417">
        <v>0</v>
      </c>
      <c r="AV242" s="417">
        <v>0</v>
      </c>
      <c r="AW242" s="417">
        <v>0</v>
      </c>
      <c r="AX242" s="417">
        <f t="shared" si="338"/>
        <v>0</v>
      </c>
      <c r="AY242" s="417">
        <f t="shared" si="339"/>
        <v>-18177</v>
      </c>
      <c r="AZ242" s="418">
        <v>0</v>
      </c>
      <c r="BA242" s="418">
        <v>0</v>
      </c>
      <c r="BB242" s="418">
        <v>0</v>
      </c>
      <c r="BC242" s="418">
        <v>0</v>
      </c>
      <c r="BD242" s="418">
        <v>-0.04</v>
      </c>
      <c r="BE242" s="418">
        <v>0</v>
      </c>
      <c r="BF242" s="418">
        <v>0</v>
      </c>
      <c r="BG242" s="418">
        <v>0</v>
      </c>
      <c r="BH242" s="418">
        <v>0</v>
      </c>
      <c r="BI242" s="418">
        <f t="shared" si="340"/>
        <v>0</v>
      </c>
      <c r="BJ242" s="418">
        <f t="shared" si="341"/>
        <v>-0.04</v>
      </c>
      <c r="BK242" s="420">
        <f t="shared" si="342"/>
        <v>-0.04</v>
      </c>
      <c r="BL242" s="772">
        <f>I242+AY242</f>
        <v>1341452</v>
      </c>
      <c r="BM242" s="417">
        <f>J242+AG242</f>
        <v>958213</v>
      </c>
      <c r="BN242" s="417">
        <f t="shared" si="381"/>
        <v>0</v>
      </c>
      <c r="BO242" s="417">
        <f t="shared" si="381"/>
        <v>958213</v>
      </c>
      <c r="BP242" s="417">
        <f>M242+AO242</f>
        <v>32000</v>
      </c>
      <c r="BQ242" s="417">
        <f t="shared" si="382"/>
        <v>0</v>
      </c>
      <c r="BR242" s="417">
        <f t="shared" si="382"/>
        <v>32000</v>
      </c>
      <c r="BS242" s="417">
        <f t="shared" si="383"/>
        <v>323875</v>
      </c>
      <c r="BT242" s="417">
        <f t="shared" si="383"/>
        <v>9582</v>
      </c>
      <c r="BU242" s="417">
        <f>R242+AX242</f>
        <v>17782</v>
      </c>
      <c r="BV242" s="418">
        <f>S242+BK242</f>
        <v>2.87</v>
      </c>
      <c r="BW242" s="418">
        <f t="shared" si="384"/>
        <v>0</v>
      </c>
      <c r="BX242" s="420">
        <f t="shared" si="384"/>
        <v>2.87</v>
      </c>
      <c r="BY242" s="419"/>
      <c r="BZ242" s="414"/>
      <c r="CA242" s="414"/>
      <c r="CB242" s="414"/>
      <c r="CC242" s="414"/>
      <c r="CD242" s="422"/>
      <c r="CE242" s="419">
        <f t="shared" si="343"/>
        <v>0</v>
      </c>
      <c r="CF242" s="414">
        <v>0</v>
      </c>
      <c r="CG242" s="414">
        <v>0</v>
      </c>
      <c r="CH242" s="414">
        <v>0</v>
      </c>
      <c r="CI242" s="414">
        <v>0</v>
      </c>
      <c r="CJ242" s="509">
        <v>0</v>
      </c>
    </row>
    <row r="243" spans="1:88" ht="14.1" customHeight="1">
      <c r="A243" s="66">
        <v>49</v>
      </c>
      <c r="B243" s="63">
        <v>2473</v>
      </c>
      <c r="C243" s="64">
        <v>600080285</v>
      </c>
      <c r="D243" s="63">
        <v>65642376</v>
      </c>
      <c r="E243" s="65" t="s">
        <v>633</v>
      </c>
      <c r="F243" s="66">
        <v>3143</v>
      </c>
      <c r="G243" s="77" t="s">
        <v>595</v>
      </c>
      <c r="H243" s="67" t="s">
        <v>271</v>
      </c>
      <c r="I243" s="419">
        <v>4933565</v>
      </c>
      <c r="J243" s="414">
        <v>3659915</v>
      </c>
      <c r="K243" s="414">
        <v>3659915</v>
      </c>
      <c r="L243" s="414">
        <v>0</v>
      </c>
      <c r="M243" s="414">
        <v>0</v>
      </c>
      <c r="N243" s="414">
        <v>0</v>
      </c>
      <c r="O243" s="414">
        <v>0</v>
      </c>
      <c r="P243" s="595">
        <v>1237051</v>
      </c>
      <c r="Q243" s="595">
        <v>36599</v>
      </c>
      <c r="R243" s="414">
        <v>0</v>
      </c>
      <c r="S243" s="415">
        <v>7.4417</v>
      </c>
      <c r="T243" s="415">
        <v>7.4417</v>
      </c>
      <c r="U243" s="422">
        <v>0</v>
      </c>
      <c r="V243" s="423">
        <f t="shared" si="325"/>
        <v>0</v>
      </c>
      <c r="W243" s="417">
        <f t="shared" si="326"/>
        <v>0</v>
      </c>
      <c r="X243" s="417">
        <v>0</v>
      </c>
      <c r="Y243" s="417">
        <v>0</v>
      </c>
      <c r="Z243" s="417">
        <v>0</v>
      </c>
      <c r="AA243" s="417">
        <v>0</v>
      </c>
      <c r="AB243" s="417">
        <v>0</v>
      </c>
      <c r="AC243" s="417">
        <v>0</v>
      </c>
      <c r="AD243" s="417">
        <v>0</v>
      </c>
      <c r="AE243" s="417">
        <f t="shared" si="327"/>
        <v>0</v>
      </c>
      <c r="AF243" s="417">
        <f t="shared" si="328"/>
        <v>0</v>
      </c>
      <c r="AG243" s="417">
        <f t="shared" si="329"/>
        <v>0</v>
      </c>
      <c r="AH243" s="417">
        <v>0</v>
      </c>
      <c r="AI243" s="417">
        <v>0</v>
      </c>
      <c r="AJ243" s="417">
        <v>0</v>
      </c>
      <c r="AK243" s="417">
        <v>0</v>
      </c>
      <c r="AL243" s="417">
        <v>0</v>
      </c>
      <c r="AM243" s="417">
        <f t="shared" si="330"/>
        <v>0</v>
      </c>
      <c r="AN243" s="417">
        <f t="shared" si="331"/>
        <v>0</v>
      </c>
      <c r="AO243" s="417">
        <f t="shared" si="332"/>
        <v>0</v>
      </c>
      <c r="AP243" s="417">
        <f t="shared" si="333"/>
        <v>0</v>
      </c>
      <c r="AQ243" s="417">
        <f t="shared" si="334"/>
        <v>0</v>
      </c>
      <c r="AR243" s="417">
        <f t="shared" si="335"/>
        <v>0</v>
      </c>
      <c r="AS243" s="68">
        <f t="shared" si="336"/>
        <v>0</v>
      </c>
      <c r="AT243" s="68">
        <f t="shared" si="337"/>
        <v>0</v>
      </c>
      <c r="AU243" s="417">
        <v>0</v>
      </c>
      <c r="AV243" s="417">
        <v>0</v>
      </c>
      <c r="AW243" s="417">
        <v>0</v>
      </c>
      <c r="AX243" s="417">
        <f t="shared" si="338"/>
        <v>0</v>
      </c>
      <c r="AY243" s="417">
        <f t="shared" si="339"/>
        <v>0</v>
      </c>
      <c r="AZ243" s="418">
        <v>0</v>
      </c>
      <c r="BA243" s="418">
        <v>0</v>
      </c>
      <c r="BB243" s="418">
        <v>0</v>
      </c>
      <c r="BC243" s="418">
        <v>0</v>
      </c>
      <c r="BD243" s="418">
        <v>0</v>
      </c>
      <c r="BE243" s="418">
        <v>0</v>
      </c>
      <c r="BF243" s="418">
        <v>0</v>
      </c>
      <c r="BG243" s="418">
        <v>0</v>
      </c>
      <c r="BH243" s="418">
        <v>0</v>
      </c>
      <c r="BI243" s="418">
        <f t="shared" si="340"/>
        <v>0</v>
      </c>
      <c r="BJ243" s="418">
        <f t="shared" si="341"/>
        <v>0</v>
      </c>
      <c r="BK243" s="420">
        <f t="shared" si="342"/>
        <v>0</v>
      </c>
      <c r="BL243" s="772">
        <f>I243+AY243</f>
        <v>4933565</v>
      </c>
      <c r="BM243" s="417">
        <f>J243+AG243</f>
        <v>3659915</v>
      </c>
      <c r="BN243" s="417">
        <f t="shared" si="381"/>
        <v>3659915</v>
      </c>
      <c r="BO243" s="417">
        <f t="shared" si="381"/>
        <v>0</v>
      </c>
      <c r="BP243" s="417">
        <f>M243+AO243</f>
        <v>0</v>
      </c>
      <c r="BQ243" s="417">
        <f t="shared" si="382"/>
        <v>0</v>
      </c>
      <c r="BR243" s="417">
        <f t="shared" si="382"/>
        <v>0</v>
      </c>
      <c r="BS243" s="417">
        <f t="shared" si="383"/>
        <v>1237051</v>
      </c>
      <c r="BT243" s="417">
        <f t="shared" si="383"/>
        <v>36599</v>
      </c>
      <c r="BU243" s="417">
        <f>R243+AX243</f>
        <v>0</v>
      </c>
      <c r="BV243" s="418">
        <f>S243+BK243</f>
        <v>7.4417</v>
      </c>
      <c r="BW243" s="418">
        <f t="shared" si="384"/>
        <v>7.4417</v>
      </c>
      <c r="BX243" s="420">
        <f t="shared" si="384"/>
        <v>0</v>
      </c>
      <c r="BY243" s="419"/>
      <c r="BZ243" s="414"/>
      <c r="CA243" s="414"/>
      <c r="CB243" s="414"/>
      <c r="CC243" s="414"/>
      <c r="CD243" s="422"/>
      <c r="CE243" s="419">
        <f t="shared" si="343"/>
        <v>0</v>
      </c>
      <c r="CF243" s="414">
        <v>0</v>
      </c>
      <c r="CG243" s="414">
        <v>0</v>
      </c>
      <c r="CH243" s="414">
        <v>0</v>
      </c>
      <c r="CI243" s="414">
        <v>0</v>
      </c>
      <c r="CJ243" s="509">
        <v>0</v>
      </c>
    </row>
    <row r="244" spans="1:88" ht="14.1" customHeight="1">
      <c r="A244" s="66">
        <v>49</v>
      </c>
      <c r="B244" s="63">
        <v>2473</v>
      </c>
      <c r="C244" s="64">
        <v>600080285</v>
      </c>
      <c r="D244" s="63">
        <v>65642376</v>
      </c>
      <c r="E244" s="65" t="s">
        <v>633</v>
      </c>
      <c r="F244" s="66">
        <v>3143</v>
      </c>
      <c r="G244" s="77" t="s">
        <v>596</v>
      </c>
      <c r="H244" s="67" t="s">
        <v>272</v>
      </c>
      <c r="I244" s="419">
        <v>192100</v>
      </c>
      <c r="J244" s="414">
        <v>137500</v>
      </c>
      <c r="K244" s="414">
        <v>0</v>
      </c>
      <c r="L244" s="601">
        <v>137500</v>
      </c>
      <c r="M244" s="414">
        <v>0</v>
      </c>
      <c r="N244" s="414">
        <v>0</v>
      </c>
      <c r="O244" s="414">
        <v>0</v>
      </c>
      <c r="P244" s="595">
        <v>46475</v>
      </c>
      <c r="Q244" s="595">
        <v>1375</v>
      </c>
      <c r="R244" s="602">
        <v>6750</v>
      </c>
      <c r="S244" s="415">
        <v>0.51719999999999999</v>
      </c>
      <c r="T244" s="605">
        <v>0</v>
      </c>
      <c r="U244" s="731">
        <v>0.51719999999999999</v>
      </c>
      <c r="V244" s="423">
        <f t="shared" si="325"/>
        <v>0</v>
      </c>
      <c r="W244" s="417">
        <f t="shared" si="326"/>
        <v>0</v>
      </c>
      <c r="X244" s="417">
        <v>0</v>
      </c>
      <c r="Y244" s="417">
        <v>0</v>
      </c>
      <c r="Z244" s="417">
        <v>0</v>
      </c>
      <c r="AA244" s="417">
        <v>0</v>
      </c>
      <c r="AB244" s="417">
        <v>0</v>
      </c>
      <c r="AC244" s="417">
        <v>0</v>
      </c>
      <c r="AD244" s="417">
        <v>0</v>
      </c>
      <c r="AE244" s="417">
        <f t="shared" si="327"/>
        <v>0</v>
      </c>
      <c r="AF244" s="417">
        <f t="shared" si="328"/>
        <v>0</v>
      </c>
      <c r="AG244" s="417">
        <f t="shared" si="329"/>
        <v>0</v>
      </c>
      <c r="AH244" s="417">
        <v>0</v>
      </c>
      <c r="AI244" s="417">
        <v>0</v>
      </c>
      <c r="AJ244" s="417">
        <v>0</v>
      </c>
      <c r="AK244" s="417">
        <v>0</v>
      </c>
      <c r="AL244" s="417">
        <v>0</v>
      </c>
      <c r="AM244" s="417">
        <f t="shared" si="330"/>
        <v>0</v>
      </c>
      <c r="AN244" s="417">
        <f t="shared" si="331"/>
        <v>0</v>
      </c>
      <c r="AO244" s="417">
        <f t="shared" si="332"/>
        <v>0</v>
      </c>
      <c r="AP244" s="417">
        <f t="shared" si="333"/>
        <v>0</v>
      </c>
      <c r="AQ244" s="417">
        <f t="shared" si="334"/>
        <v>0</v>
      </c>
      <c r="AR244" s="417">
        <f t="shared" si="335"/>
        <v>0</v>
      </c>
      <c r="AS244" s="68">
        <f t="shared" si="336"/>
        <v>0</v>
      </c>
      <c r="AT244" s="68">
        <f t="shared" si="337"/>
        <v>0</v>
      </c>
      <c r="AU244" s="417">
        <v>0</v>
      </c>
      <c r="AV244" s="417">
        <v>0</v>
      </c>
      <c r="AW244" s="417">
        <v>0</v>
      </c>
      <c r="AX244" s="417">
        <f t="shared" si="338"/>
        <v>0</v>
      </c>
      <c r="AY244" s="417">
        <f t="shared" si="339"/>
        <v>0</v>
      </c>
      <c r="AZ244" s="418">
        <v>0</v>
      </c>
      <c r="BA244" s="418">
        <v>0</v>
      </c>
      <c r="BB244" s="418">
        <v>0</v>
      </c>
      <c r="BC244" s="418">
        <v>0</v>
      </c>
      <c r="BD244" s="418">
        <v>0</v>
      </c>
      <c r="BE244" s="418">
        <v>0</v>
      </c>
      <c r="BF244" s="418">
        <v>0</v>
      </c>
      <c r="BG244" s="418">
        <v>0</v>
      </c>
      <c r="BH244" s="418">
        <v>0</v>
      </c>
      <c r="BI244" s="418">
        <f t="shared" si="340"/>
        <v>0</v>
      </c>
      <c r="BJ244" s="418">
        <f t="shared" si="341"/>
        <v>0</v>
      </c>
      <c r="BK244" s="420">
        <f t="shared" si="342"/>
        <v>0</v>
      </c>
      <c r="BL244" s="772">
        <f>I244+AY244</f>
        <v>192100</v>
      </c>
      <c r="BM244" s="417">
        <f>J244+AG244</f>
        <v>137500</v>
      </c>
      <c r="BN244" s="417">
        <f t="shared" si="381"/>
        <v>0</v>
      </c>
      <c r="BO244" s="417">
        <f t="shared" si="381"/>
        <v>137500</v>
      </c>
      <c r="BP244" s="417">
        <f>M244+AO244</f>
        <v>0</v>
      </c>
      <c r="BQ244" s="417">
        <f t="shared" si="382"/>
        <v>0</v>
      </c>
      <c r="BR244" s="417">
        <f t="shared" si="382"/>
        <v>0</v>
      </c>
      <c r="BS244" s="417">
        <f t="shared" si="383"/>
        <v>46475</v>
      </c>
      <c r="BT244" s="417">
        <f t="shared" si="383"/>
        <v>1375</v>
      </c>
      <c r="BU244" s="417">
        <f>R244+AX244</f>
        <v>6750</v>
      </c>
      <c r="BV244" s="418">
        <f>S244+BK244</f>
        <v>0.51719999999999999</v>
      </c>
      <c r="BW244" s="418">
        <f t="shared" si="384"/>
        <v>0</v>
      </c>
      <c r="BX244" s="420">
        <f t="shared" si="384"/>
        <v>0.51719999999999999</v>
      </c>
      <c r="BY244" s="419"/>
      <c r="BZ244" s="414"/>
      <c r="CA244" s="414"/>
      <c r="CB244" s="414"/>
      <c r="CC244" s="414"/>
      <c r="CD244" s="422"/>
      <c r="CE244" s="419">
        <f t="shared" si="343"/>
        <v>0</v>
      </c>
      <c r="CF244" s="414">
        <v>0</v>
      </c>
      <c r="CG244" s="414">
        <v>0</v>
      </c>
      <c r="CH244" s="414">
        <v>0</v>
      </c>
      <c r="CI244" s="414">
        <v>0</v>
      </c>
      <c r="CJ244" s="509">
        <v>0</v>
      </c>
    </row>
    <row r="245" spans="1:88" ht="14.1" customHeight="1">
      <c r="A245" s="72">
        <v>49</v>
      </c>
      <c r="B245" s="69">
        <v>2473</v>
      </c>
      <c r="C245" s="70">
        <v>600080285</v>
      </c>
      <c r="D245" s="69">
        <v>65642376</v>
      </c>
      <c r="E245" s="71" t="s">
        <v>634</v>
      </c>
      <c r="F245" s="72"/>
      <c r="G245" s="71"/>
      <c r="H245" s="73"/>
      <c r="I245" s="516">
        <v>62665695</v>
      </c>
      <c r="J245" s="74">
        <v>45442249</v>
      </c>
      <c r="K245" s="74">
        <v>41548582</v>
      </c>
      <c r="L245" s="74">
        <v>3893667</v>
      </c>
      <c r="M245" s="74">
        <v>452000</v>
      </c>
      <c r="N245" s="74">
        <v>300000</v>
      </c>
      <c r="O245" s="74">
        <v>152000</v>
      </c>
      <c r="P245" s="74">
        <v>15501440</v>
      </c>
      <c r="Q245" s="74">
        <v>454424</v>
      </c>
      <c r="R245" s="74">
        <v>815582</v>
      </c>
      <c r="S245" s="75">
        <v>83.50269999999999</v>
      </c>
      <c r="T245" s="75">
        <v>71.619599999999991</v>
      </c>
      <c r="U245" s="653">
        <v>11.883100000000001</v>
      </c>
      <c r="V245" s="516">
        <f t="shared" ref="V245:BX245" si="385">SUM(V240:V244)</f>
        <v>0</v>
      </c>
      <c r="W245" s="74">
        <f t="shared" si="385"/>
        <v>0</v>
      </c>
      <c r="X245" s="74">
        <f t="shared" si="385"/>
        <v>36052</v>
      </c>
      <c r="Y245" s="74">
        <f t="shared" si="385"/>
        <v>0</v>
      </c>
      <c r="Z245" s="74">
        <f t="shared" si="385"/>
        <v>75805</v>
      </c>
      <c r="AA245" s="74">
        <f t="shared" si="385"/>
        <v>-13484</v>
      </c>
      <c r="AB245" s="74">
        <f t="shared" si="385"/>
        <v>0</v>
      </c>
      <c r="AC245" s="74">
        <f t="shared" si="385"/>
        <v>0</v>
      </c>
      <c r="AD245" s="74">
        <f t="shared" si="385"/>
        <v>0</v>
      </c>
      <c r="AE245" s="74">
        <f t="shared" si="385"/>
        <v>111857</v>
      </c>
      <c r="AF245" s="74">
        <f t="shared" si="385"/>
        <v>-13484</v>
      </c>
      <c r="AG245" s="74">
        <f t="shared" si="385"/>
        <v>98373</v>
      </c>
      <c r="AH245" s="74">
        <f t="shared" si="385"/>
        <v>0</v>
      </c>
      <c r="AI245" s="74">
        <f t="shared" si="385"/>
        <v>0</v>
      </c>
      <c r="AJ245" s="74">
        <f t="shared" si="385"/>
        <v>0</v>
      </c>
      <c r="AK245" s="74">
        <f t="shared" si="385"/>
        <v>0</v>
      </c>
      <c r="AL245" s="74">
        <f t="shared" si="385"/>
        <v>0</v>
      </c>
      <c r="AM245" s="74">
        <f t="shared" si="385"/>
        <v>0</v>
      </c>
      <c r="AN245" s="74">
        <f t="shared" si="385"/>
        <v>0</v>
      </c>
      <c r="AO245" s="74">
        <f t="shared" si="385"/>
        <v>0</v>
      </c>
      <c r="AP245" s="74">
        <f t="shared" si="385"/>
        <v>111857</v>
      </c>
      <c r="AQ245" s="74">
        <f t="shared" si="385"/>
        <v>-13484</v>
      </c>
      <c r="AR245" s="74">
        <f t="shared" si="385"/>
        <v>98373</v>
      </c>
      <c r="AS245" s="74">
        <f t="shared" si="385"/>
        <v>33250</v>
      </c>
      <c r="AT245" s="74">
        <f t="shared" si="385"/>
        <v>984</v>
      </c>
      <c r="AU245" s="74">
        <f t="shared" si="385"/>
        <v>2750</v>
      </c>
      <c r="AV245" s="74">
        <f t="shared" si="385"/>
        <v>0</v>
      </c>
      <c r="AW245" s="74">
        <f t="shared" si="385"/>
        <v>0</v>
      </c>
      <c r="AX245" s="74">
        <f t="shared" si="385"/>
        <v>2750</v>
      </c>
      <c r="AY245" s="74">
        <f t="shared" si="385"/>
        <v>135357</v>
      </c>
      <c r="AZ245" s="75">
        <f t="shared" si="385"/>
        <v>0</v>
      </c>
      <c r="BA245" s="75">
        <f t="shared" si="385"/>
        <v>0</v>
      </c>
      <c r="BB245" s="75">
        <f t="shared" si="385"/>
        <v>0.09</v>
      </c>
      <c r="BC245" s="75">
        <f t="shared" si="385"/>
        <v>0.15</v>
      </c>
      <c r="BD245" s="75">
        <f t="shared" si="385"/>
        <v>-0.04</v>
      </c>
      <c r="BE245" s="75">
        <f t="shared" si="385"/>
        <v>0</v>
      </c>
      <c r="BF245" s="75">
        <f t="shared" si="385"/>
        <v>0</v>
      </c>
      <c r="BG245" s="75">
        <f t="shared" si="385"/>
        <v>0</v>
      </c>
      <c r="BH245" s="75">
        <f t="shared" si="385"/>
        <v>0</v>
      </c>
      <c r="BI245" s="75">
        <f t="shared" si="385"/>
        <v>0.24</v>
      </c>
      <c r="BJ245" s="75">
        <f t="shared" si="385"/>
        <v>-0.04</v>
      </c>
      <c r="BK245" s="76">
        <f t="shared" si="385"/>
        <v>0.19999999999999998</v>
      </c>
      <c r="BL245" s="781">
        <f t="shared" si="385"/>
        <v>62801052</v>
      </c>
      <c r="BM245" s="74">
        <f t="shared" si="385"/>
        <v>45540622</v>
      </c>
      <c r="BN245" s="74">
        <f t="shared" si="385"/>
        <v>41660439</v>
      </c>
      <c r="BO245" s="74">
        <f t="shared" si="385"/>
        <v>3880183</v>
      </c>
      <c r="BP245" s="74">
        <f t="shared" si="385"/>
        <v>452000</v>
      </c>
      <c r="BQ245" s="74">
        <f t="shared" si="385"/>
        <v>300000</v>
      </c>
      <c r="BR245" s="74">
        <f t="shared" si="385"/>
        <v>152000</v>
      </c>
      <c r="BS245" s="74">
        <f t="shared" si="385"/>
        <v>15534690</v>
      </c>
      <c r="BT245" s="74">
        <f t="shared" si="385"/>
        <v>455408</v>
      </c>
      <c r="BU245" s="74">
        <f t="shared" si="385"/>
        <v>818332</v>
      </c>
      <c r="BV245" s="75">
        <f t="shared" si="385"/>
        <v>83.702699999999993</v>
      </c>
      <c r="BW245" s="75">
        <f t="shared" si="385"/>
        <v>71.8596</v>
      </c>
      <c r="BX245" s="76">
        <f t="shared" si="385"/>
        <v>11.843100000000002</v>
      </c>
      <c r="BY245" s="791">
        <f t="shared" ref="BY245:CJ245" si="386">SUM(BY240:BY244)</f>
        <v>760272</v>
      </c>
      <c r="BZ245" s="679">
        <f t="shared" si="386"/>
        <v>564000</v>
      </c>
      <c r="CA245" s="679">
        <f t="shared" si="386"/>
        <v>0</v>
      </c>
      <c r="CB245" s="679">
        <f t="shared" si="386"/>
        <v>190632</v>
      </c>
      <c r="CC245" s="679">
        <f t="shared" si="386"/>
        <v>5640</v>
      </c>
      <c r="CD245" s="947">
        <f t="shared" si="386"/>
        <v>1</v>
      </c>
      <c r="CE245" s="956">
        <f t="shared" si="386"/>
        <v>1438595</v>
      </c>
      <c r="CF245" s="953">
        <f t="shared" si="386"/>
        <v>932326</v>
      </c>
      <c r="CG245" s="953">
        <f t="shared" si="386"/>
        <v>315126</v>
      </c>
      <c r="CH245" s="953">
        <f t="shared" si="386"/>
        <v>9323</v>
      </c>
      <c r="CI245" s="953">
        <f t="shared" si="386"/>
        <v>181820</v>
      </c>
      <c r="CJ245" s="877">
        <f t="shared" si="386"/>
        <v>2.8300999999999998</v>
      </c>
    </row>
    <row r="246" spans="1:88" ht="14.1" customHeight="1">
      <c r="A246" s="66">
        <v>50</v>
      </c>
      <c r="B246" s="63">
        <v>2490</v>
      </c>
      <c r="C246" s="64">
        <v>600080005</v>
      </c>
      <c r="D246" s="63">
        <v>46746757</v>
      </c>
      <c r="E246" s="65" t="s">
        <v>635</v>
      </c>
      <c r="F246" s="66">
        <v>3113</v>
      </c>
      <c r="G246" s="65" t="s">
        <v>293</v>
      </c>
      <c r="H246" s="67" t="s">
        <v>271</v>
      </c>
      <c r="I246" s="419">
        <v>28220029</v>
      </c>
      <c r="J246" s="414">
        <v>20522065</v>
      </c>
      <c r="K246" s="414">
        <v>18513076</v>
      </c>
      <c r="L246" s="414">
        <v>2008989</v>
      </c>
      <c r="M246" s="414">
        <v>60000</v>
      </c>
      <c r="N246" s="414">
        <v>40000</v>
      </c>
      <c r="O246" s="414">
        <v>20000</v>
      </c>
      <c r="P246" s="595">
        <v>6956738</v>
      </c>
      <c r="Q246" s="595">
        <v>205221</v>
      </c>
      <c r="R246" s="414">
        <v>476005</v>
      </c>
      <c r="S246" s="415">
        <v>32.540900000000001</v>
      </c>
      <c r="T246" s="415">
        <v>26.6419</v>
      </c>
      <c r="U246" s="422">
        <v>5.899</v>
      </c>
      <c r="V246" s="423">
        <f t="shared" si="325"/>
        <v>0</v>
      </c>
      <c r="W246" s="417">
        <f t="shared" si="326"/>
        <v>0</v>
      </c>
      <c r="X246" s="417">
        <v>0</v>
      </c>
      <c r="Y246" s="417">
        <v>42368</v>
      </c>
      <c r="Z246" s="417">
        <v>-29840</v>
      </c>
      <c r="AA246" s="417">
        <v>0</v>
      </c>
      <c r="AB246" s="417">
        <v>0</v>
      </c>
      <c r="AC246" s="417">
        <v>0</v>
      </c>
      <c r="AD246" s="417">
        <v>0</v>
      </c>
      <c r="AE246" s="417">
        <f t="shared" si="327"/>
        <v>12528</v>
      </c>
      <c r="AF246" s="417">
        <f t="shared" si="328"/>
        <v>0</v>
      </c>
      <c r="AG246" s="417">
        <f t="shared" si="329"/>
        <v>12528</v>
      </c>
      <c r="AH246" s="417">
        <v>0</v>
      </c>
      <c r="AI246" s="417">
        <v>0</v>
      </c>
      <c r="AJ246" s="417">
        <v>0</v>
      </c>
      <c r="AK246" s="417">
        <v>0</v>
      </c>
      <c r="AL246" s="417">
        <v>0</v>
      </c>
      <c r="AM246" s="417">
        <f t="shared" si="330"/>
        <v>0</v>
      </c>
      <c r="AN246" s="417">
        <f t="shared" si="331"/>
        <v>0</v>
      </c>
      <c r="AO246" s="417">
        <f t="shared" si="332"/>
        <v>0</v>
      </c>
      <c r="AP246" s="417">
        <f t="shared" si="333"/>
        <v>12528</v>
      </c>
      <c r="AQ246" s="417">
        <f t="shared" si="334"/>
        <v>0</v>
      </c>
      <c r="AR246" s="417">
        <f t="shared" si="335"/>
        <v>12528</v>
      </c>
      <c r="AS246" s="68">
        <f t="shared" si="336"/>
        <v>4234</v>
      </c>
      <c r="AT246" s="68">
        <f t="shared" si="337"/>
        <v>125</v>
      </c>
      <c r="AU246" s="417">
        <v>0</v>
      </c>
      <c r="AV246" s="417">
        <v>0</v>
      </c>
      <c r="AW246" s="417">
        <v>0</v>
      </c>
      <c r="AX246" s="417">
        <f t="shared" si="338"/>
        <v>0</v>
      </c>
      <c r="AY246" s="417">
        <f t="shared" si="339"/>
        <v>16887</v>
      </c>
      <c r="AZ246" s="418">
        <v>0</v>
      </c>
      <c r="BA246" s="418">
        <v>0</v>
      </c>
      <c r="BB246" s="418">
        <v>0</v>
      </c>
      <c r="BC246" s="418">
        <v>-0.06</v>
      </c>
      <c r="BD246" s="418">
        <v>0</v>
      </c>
      <c r="BE246" s="418">
        <v>0.06</v>
      </c>
      <c r="BF246" s="418">
        <v>0</v>
      </c>
      <c r="BG246" s="418">
        <v>0</v>
      </c>
      <c r="BH246" s="418">
        <v>0</v>
      </c>
      <c r="BI246" s="418">
        <f t="shared" si="340"/>
        <v>0</v>
      </c>
      <c r="BJ246" s="418">
        <f t="shared" si="341"/>
        <v>0</v>
      </c>
      <c r="BK246" s="420">
        <f t="shared" si="342"/>
        <v>0</v>
      </c>
      <c r="BL246" s="772">
        <f>I246+AY246</f>
        <v>28236916</v>
      </c>
      <c r="BM246" s="417">
        <f>J246+AG246</f>
        <v>20534593</v>
      </c>
      <c r="BN246" s="417">
        <f t="shared" ref="BN246:BO250" si="387">K246+AE246</f>
        <v>18525604</v>
      </c>
      <c r="BO246" s="417">
        <f t="shared" si="387"/>
        <v>2008989</v>
      </c>
      <c r="BP246" s="417">
        <f>M246+AO246</f>
        <v>60000</v>
      </c>
      <c r="BQ246" s="417">
        <f t="shared" ref="BQ246:BR250" si="388">N246+AM246</f>
        <v>40000</v>
      </c>
      <c r="BR246" s="417">
        <f t="shared" si="388"/>
        <v>20000</v>
      </c>
      <c r="BS246" s="417">
        <f t="shared" ref="BS246:BT250" si="389">P246+AS246</f>
        <v>6960972</v>
      </c>
      <c r="BT246" s="417">
        <f t="shared" si="389"/>
        <v>205346</v>
      </c>
      <c r="BU246" s="417">
        <f>R246+AX246</f>
        <v>476005</v>
      </c>
      <c r="BV246" s="418">
        <f>S246+BK246</f>
        <v>32.540900000000001</v>
      </c>
      <c r="BW246" s="418">
        <f t="shared" ref="BW246:BX250" si="390">T246+BI246</f>
        <v>26.6419</v>
      </c>
      <c r="BX246" s="420">
        <f t="shared" si="390"/>
        <v>5.899</v>
      </c>
      <c r="BY246" s="419"/>
      <c r="BZ246" s="414"/>
      <c r="CA246" s="414"/>
      <c r="CB246" s="414"/>
      <c r="CC246" s="414"/>
      <c r="CD246" s="422"/>
      <c r="CE246" s="419">
        <f t="shared" si="343"/>
        <v>995048</v>
      </c>
      <c r="CF246" s="414">
        <v>651270</v>
      </c>
      <c r="CG246" s="414">
        <v>220129</v>
      </c>
      <c r="CH246" s="414">
        <v>6513</v>
      </c>
      <c r="CI246" s="414">
        <v>117136</v>
      </c>
      <c r="CJ246" s="509">
        <v>1.9129</v>
      </c>
    </row>
    <row r="247" spans="1:88" ht="14.1" customHeight="1">
      <c r="A247" s="66">
        <v>50</v>
      </c>
      <c r="B247" s="63">
        <v>2490</v>
      </c>
      <c r="C247" s="64">
        <v>600080005</v>
      </c>
      <c r="D247" s="63">
        <v>46746757</v>
      </c>
      <c r="E247" s="65" t="s">
        <v>635</v>
      </c>
      <c r="F247" s="66">
        <v>3113</v>
      </c>
      <c r="G247" s="77" t="s">
        <v>291</v>
      </c>
      <c r="H247" s="67" t="s">
        <v>272</v>
      </c>
      <c r="I247" s="419">
        <v>2217677</v>
      </c>
      <c r="J247" s="414">
        <v>1637001</v>
      </c>
      <c r="K247" s="414">
        <v>1637001</v>
      </c>
      <c r="L247" s="414">
        <v>0</v>
      </c>
      <c r="M247" s="414">
        <v>0</v>
      </c>
      <c r="N247" s="414">
        <v>0</v>
      </c>
      <c r="O247" s="414">
        <v>0</v>
      </c>
      <c r="P247" s="595">
        <v>553306</v>
      </c>
      <c r="Q247" s="595">
        <v>16370</v>
      </c>
      <c r="R247" s="414">
        <v>11000</v>
      </c>
      <c r="S247" s="415">
        <v>4.2800000000000011</v>
      </c>
      <c r="T247" s="416">
        <v>4.2800000000000011</v>
      </c>
      <c r="U247" s="422">
        <v>0</v>
      </c>
      <c r="V247" s="423">
        <f t="shared" si="325"/>
        <v>0</v>
      </c>
      <c r="W247" s="417">
        <f t="shared" si="326"/>
        <v>0</v>
      </c>
      <c r="X247" s="417">
        <v>28670</v>
      </c>
      <c r="Y247" s="417">
        <v>0</v>
      </c>
      <c r="Z247" s="417">
        <v>0</v>
      </c>
      <c r="AA247" s="417">
        <v>0</v>
      </c>
      <c r="AB247" s="417">
        <v>0</v>
      </c>
      <c r="AC247" s="417">
        <v>0</v>
      </c>
      <c r="AD247" s="417">
        <v>0</v>
      </c>
      <c r="AE247" s="417">
        <f t="shared" si="327"/>
        <v>28670</v>
      </c>
      <c r="AF247" s="417">
        <f t="shared" si="328"/>
        <v>0</v>
      </c>
      <c r="AG247" s="417">
        <f t="shared" si="329"/>
        <v>28670</v>
      </c>
      <c r="AH247" s="417">
        <v>0</v>
      </c>
      <c r="AI247" s="417">
        <v>0</v>
      </c>
      <c r="AJ247" s="417">
        <v>0</v>
      </c>
      <c r="AK247" s="417">
        <v>0</v>
      </c>
      <c r="AL247" s="417">
        <v>0</v>
      </c>
      <c r="AM247" s="417">
        <f t="shared" si="330"/>
        <v>0</v>
      </c>
      <c r="AN247" s="417">
        <f t="shared" si="331"/>
        <v>0</v>
      </c>
      <c r="AO247" s="417">
        <f t="shared" si="332"/>
        <v>0</v>
      </c>
      <c r="AP247" s="417">
        <f t="shared" si="333"/>
        <v>28670</v>
      </c>
      <c r="AQ247" s="417">
        <f t="shared" si="334"/>
        <v>0</v>
      </c>
      <c r="AR247" s="417">
        <f t="shared" si="335"/>
        <v>28670</v>
      </c>
      <c r="AS247" s="68">
        <f t="shared" si="336"/>
        <v>9690</v>
      </c>
      <c r="AT247" s="68">
        <f t="shared" si="337"/>
        <v>287</v>
      </c>
      <c r="AU247" s="417">
        <v>2500</v>
      </c>
      <c r="AV247" s="417">
        <v>0</v>
      </c>
      <c r="AW247" s="417">
        <v>0</v>
      </c>
      <c r="AX247" s="417">
        <f t="shared" si="338"/>
        <v>2500</v>
      </c>
      <c r="AY247" s="417">
        <f t="shared" si="339"/>
        <v>41147</v>
      </c>
      <c r="AZ247" s="418">
        <v>0</v>
      </c>
      <c r="BA247" s="418">
        <v>0</v>
      </c>
      <c r="BB247" s="418">
        <v>0.03</v>
      </c>
      <c r="BC247" s="418">
        <v>0</v>
      </c>
      <c r="BD247" s="418">
        <v>0</v>
      </c>
      <c r="BE247" s="418">
        <v>0</v>
      </c>
      <c r="BF247" s="418">
        <v>0</v>
      </c>
      <c r="BG247" s="418">
        <v>0</v>
      </c>
      <c r="BH247" s="418">
        <v>0</v>
      </c>
      <c r="BI247" s="418">
        <f t="shared" si="340"/>
        <v>0.03</v>
      </c>
      <c r="BJ247" s="418">
        <f t="shared" si="341"/>
        <v>0</v>
      </c>
      <c r="BK247" s="420">
        <f t="shared" si="342"/>
        <v>0.03</v>
      </c>
      <c r="BL247" s="772">
        <f>I247+AY247</f>
        <v>2258824</v>
      </c>
      <c r="BM247" s="417">
        <f>J247+AG247</f>
        <v>1665671</v>
      </c>
      <c r="BN247" s="417">
        <f t="shared" si="387"/>
        <v>1665671</v>
      </c>
      <c r="BO247" s="417">
        <f t="shared" si="387"/>
        <v>0</v>
      </c>
      <c r="BP247" s="417">
        <f>M247+AO247</f>
        <v>0</v>
      </c>
      <c r="BQ247" s="417">
        <f t="shared" si="388"/>
        <v>0</v>
      </c>
      <c r="BR247" s="417">
        <f t="shared" si="388"/>
        <v>0</v>
      </c>
      <c r="BS247" s="417">
        <f t="shared" si="389"/>
        <v>562996</v>
      </c>
      <c r="BT247" s="417">
        <f t="shared" si="389"/>
        <v>16657</v>
      </c>
      <c r="BU247" s="417">
        <f>R247+AX247</f>
        <v>13500</v>
      </c>
      <c r="BV247" s="418">
        <f>S247+BK247</f>
        <v>4.3100000000000014</v>
      </c>
      <c r="BW247" s="418">
        <f t="shared" si="390"/>
        <v>4.3100000000000014</v>
      </c>
      <c r="BX247" s="420">
        <f t="shared" si="390"/>
        <v>0</v>
      </c>
      <c r="BY247" s="419"/>
      <c r="BZ247" s="414"/>
      <c r="CA247" s="414"/>
      <c r="CB247" s="414"/>
      <c r="CC247" s="414"/>
      <c r="CD247" s="422"/>
      <c r="CE247" s="419">
        <f t="shared" si="343"/>
        <v>0</v>
      </c>
      <c r="CF247" s="414">
        <v>0</v>
      </c>
      <c r="CG247" s="414">
        <v>0</v>
      </c>
      <c r="CH247" s="414">
        <v>0</v>
      </c>
      <c r="CI247" s="414">
        <v>0</v>
      </c>
      <c r="CJ247" s="509">
        <v>0</v>
      </c>
    </row>
    <row r="248" spans="1:88" ht="14.1" customHeight="1">
      <c r="A248" s="66">
        <v>50</v>
      </c>
      <c r="B248" s="63">
        <v>2490</v>
      </c>
      <c r="C248" s="64">
        <v>600080005</v>
      </c>
      <c r="D248" s="63">
        <v>46746757</v>
      </c>
      <c r="E248" s="65" t="s">
        <v>635</v>
      </c>
      <c r="F248" s="66">
        <v>3141</v>
      </c>
      <c r="G248" s="65" t="s">
        <v>294</v>
      </c>
      <c r="H248" s="67" t="s">
        <v>272</v>
      </c>
      <c r="I248" s="419">
        <v>2057770</v>
      </c>
      <c r="J248" s="414">
        <v>1515349</v>
      </c>
      <c r="K248" s="414">
        <v>0</v>
      </c>
      <c r="L248" s="744">
        <v>1515349</v>
      </c>
      <c r="M248" s="414">
        <v>0</v>
      </c>
      <c r="N248" s="204">
        <v>0</v>
      </c>
      <c r="O248" s="204">
        <v>0</v>
      </c>
      <c r="P248" s="595">
        <v>512188</v>
      </c>
      <c r="Q248" s="595">
        <v>15153</v>
      </c>
      <c r="R248" s="601">
        <v>15080</v>
      </c>
      <c r="S248" s="415">
        <v>4.5366999999999997</v>
      </c>
      <c r="T248" s="603">
        <v>0</v>
      </c>
      <c r="U248" s="731">
        <v>4.5366999999999997</v>
      </c>
      <c r="V248" s="423">
        <f t="shared" si="325"/>
        <v>0</v>
      </c>
      <c r="W248" s="417">
        <f t="shared" si="326"/>
        <v>0</v>
      </c>
      <c r="X248" s="417">
        <v>0</v>
      </c>
      <c r="Y248" s="417">
        <v>0</v>
      </c>
      <c r="Z248" s="417">
        <v>0</v>
      </c>
      <c r="AA248" s="417">
        <v>-30745</v>
      </c>
      <c r="AB248" s="417">
        <v>0</v>
      </c>
      <c r="AC248" s="417">
        <v>0</v>
      </c>
      <c r="AD248" s="417">
        <v>0</v>
      </c>
      <c r="AE248" s="417">
        <f t="shared" si="327"/>
        <v>0</v>
      </c>
      <c r="AF248" s="417">
        <f t="shared" si="328"/>
        <v>-30745</v>
      </c>
      <c r="AG248" s="417">
        <f t="shared" si="329"/>
        <v>-30745</v>
      </c>
      <c r="AH248" s="417">
        <v>0</v>
      </c>
      <c r="AI248" s="417">
        <v>0</v>
      </c>
      <c r="AJ248" s="417">
        <v>0</v>
      </c>
      <c r="AK248" s="417">
        <v>0</v>
      </c>
      <c r="AL248" s="417">
        <v>0</v>
      </c>
      <c r="AM248" s="417">
        <f t="shared" si="330"/>
        <v>0</v>
      </c>
      <c r="AN248" s="417">
        <f t="shared" si="331"/>
        <v>0</v>
      </c>
      <c r="AO248" s="417">
        <f t="shared" si="332"/>
        <v>0</v>
      </c>
      <c r="AP248" s="417">
        <f t="shared" si="333"/>
        <v>0</v>
      </c>
      <c r="AQ248" s="417">
        <f t="shared" si="334"/>
        <v>-30745</v>
      </c>
      <c r="AR248" s="417">
        <f t="shared" si="335"/>
        <v>-30745</v>
      </c>
      <c r="AS248" s="68">
        <f t="shared" si="336"/>
        <v>-10392</v>
      </c>
      <c r="AT248" s="68">
        <f t="shared" si="337"/>
        <v>-307</v>
      </c>
      <c r="AU248" s="417">
        <v>0</v>
      </c>
      <c r="AV248" s="417">
        <v>0</v>
      </c>
      <c r="AW248" s="417">
        <v>0</v>
      </c>
      <c r="AX248" s="417">
        <f t="shared" si="338"/>
        <v>0</v>
      </c>
      <c r="AY248" s="417">
        <f t="shared" si="339"/>
        <v>-41444</v>
      </c>
      <c r="AZ248" s="418">
        <v>0</v>
      </c>
      <c r="BA248" s="418">
        <v>0</v>
      </c>
      <c r="BB248" s="418">
        <v>0</v>
      </c>
      <c r="BC248" s="418">
        <v>0</v>
      </c>
      <c r="BD248" s="418">
        <v>-0.09</v>
      </c>
      <c r="BE248" s="418">
        <v>0</v>
      </c>
      <c r="BF248" s="418">
        <v>0</v>
      </c>
      <c r="BG248" s="418">
        <v>0</v>
      </c>
      <c r="BH248" s="418">
        <v>0</v>
      </c>
      <c r="BI248" s="418">
        <f t="shared" si="340"/>
        <v>0</v>
      </c>
      <c r="BJ248" s="418">
        <f t="shared" si="341"/>
        <v>-0.09</v>
      </c>
      <c r="BK248" s="420">
        <f t="shared" si="342"/>
        <v>-0.09</v>
      </c>
      <c r="BL248" s="772">
        <f>I248+AY248</f>
        <v>2016326</v>
      </c>
      <c r="BM248" s="417">
        <f>J248+AG248</f>
        <v>1484604</v>
      </c>
      <c r="BN248" s="417">
        <f t="shared" si="387"/>
        <v>0</v>
      </c>
      <c r="BO248" s="417">
        <f t="shared" si="387"/>
        <v>1484604</v>
      </c>
      <c r="BP248" s="417">
        <f>M248+AO248</f>
        <v>0</v>
      </c>
      <c r="BQ248" s="417">
        <f t="shared" si="388"/>
        <v>0</v>
      </c>
      <c r="BR248" s="417">
        <f t="shared" si="388"/>
        <v>0</v>
      </c>
      <c r="BS248" s="417">
        <f t="shared" si="389"/>
        <v>501796</v>
      </c>
      <c r="BT248" s="417">
        <f t="shared" si="389"/>
        <v>14846</v>
      </c>
      <c r="BU248" s="417">
        <f>R248+AX248</f>
        <v>15080</v>
      </c>
      <c r="BV248" s="418">
        <f>S248+BK248</f>
        <v>4.4466999999999999</v>
      </c>
      <c r="BW248" s="418">
        <f t="shared" si="390"/>
        <v>0</v>
      </c>
      <c r="BX248" s="420">
        <f t="shared" si="390"/>
        <v>4.4466999999999999</v>
      </c>
      <c r="BY248" s="419"/>
      <c r="BZ248" s="414"/>
      <c r="CA248" s="414"/>
      <c r="CB248" s="414"/>
      <c r="CC248" s="414"/>
      <c r="CD248" s="422"/>
      <c r="CE248" s="419">
        <f t="shared" si="343"/>
        <v>0</v>
      </c>
      <c r="CF248" s="414">
        <v>0</v>
      </c>
      <c r="CG248" s="414">
        <v>0</v>
      </c>
      <c r="CH248" s="414">
        <v>0</v>
      </c>
      <c r="CI248" s="414">
        <v>0</v>
      </c>
      <c r="CJ248" s="509">
        <v>0</v>
      </c>
    </row>
    <row r="249" spans="1:88" ht="14.1" customHeight="1">
      <c r="A249" s="66">
        <v>50</v>
      </c>
      <c r="B249" s="63">
        <v>2490</v>
      </c>
      <c r="C249" s="64">
        <v>600080005</v>
      </c>
      <c r="D249" s="63">
        <v>46746757</v>
      </c>
      <c r="E249" s="65" t="s">
        <v>635</v>
      </c>
      <c r="F249" s="66">
        <v>3143</v>
      </c>
      <c r="G249" s="77" t="s">
        <v>595</v>
      </c>
      <c r="H249" s="67" t="s">
        <v>271</v>
      </c>
      <c r="I249" s="419">
        <v>2570725</v>
      </c>
      <c r="J249" s="414">
        <v>1907066</v>
      </c>
      <c r="K249" s="414">
        <v>1907066</v>
      </c>
      <c r="L249" s="414">
        <v>0</v>
      </c>
      <c r="M249" s="414">
        <v>0</v>
      </c>
      <c r="N249" s="414">
        <v>0</v>
      </c>
      <c r="O249" s="414">
        <v>0</v>
      </c>
      <c r="P249" s="595">
        <v>644588</v>
      </c>
      <c r="Q249" s="595">
        <v>19071</v>
      </c>
      <c r="R249" s="414">
        <v>0</v>
      </c>
      <c r="S249" s="415">
        <v>3.65</v>
      </c>
      <c r="T249" s="415">
        <v>3.65</v>
      </c>
      <c r="U249" s="422">
        <v>0</v>
      </c>
      <c r="V249" s="423">
        <f t="shared" si="325"/>
        <v>0</v>
      </c>
      <c r="W249" s="417">
        <f t="shared" si="326"/>
        <v>0</v>
      </c>
      <c r="X249" s="417">
        <v>0</v>
      </c>
      <c r="Y249" s="417">
        <v>0</v>
      </c>
      <c r="Z249" s="417">
        <v>82921</v>
      </c>
      <c r="AA249" s="417">
        <v>0</v>
      </c>
      <c r="AB249" s="417">
        <v>0</v>
      </c>
      <c r="AC249" s="417">
        <v>0</v>
      </c>
      <c r="AD249" s="417">
        <v>0</v>
      </c>
      <c r="AE249" s="417">
        <f t="shared" si="327"/>
        <v>82921</v>
      </c>
      <c r="AF249" s="417">
        <f t="shared" si="328"/>
        <v>0</v>
      </c>
      <c r="AG249" s="417">
        <f t="shared" si="329"/>
        <v>82921</v>
      </c>
      <c r="AH249" s="417">
        <v>0</v>
      </c>
      <c r="AI249" s="417">
        <v>0</v>
      </c>
      <c r="AJ249" s="417">
        <v>0</v>
      </c>
      <c r="AK249" s="417">
        <v>0</v>
      </c>
      <c r="AL249" s="417">
        <v>0</v>
      </c>
      <c r="AM249" s="417">
        <f t="shared" si="330"/>
        <v>0</v>
      </c>
      <c r="AN249" s="417">
        <f t="shared" si="331"/>
        <v>0</v>
      </c>
      <c r="AO249" s="417">
        <f t="shared" si="332"/>
        <v>0</v>
      </c>
      <c r="AP249" s="417">
        <f t="shared" si="333"/>
        <v>82921</v>
      </c>
      <c r="AQ249" s="417">
        <f t="shared" si="334"/>
        <v>0</v>
      </c>
      <c r="AR249" s="417">
        <f t="shared" si="335"/>
        <v>82921</v>
      </c>
      <c r="AS249" s="68">
        <f t="shared" si="336"/>
        <v>28027</v>
      </c>
      <c r="AT249" s="68">
        <f t="shared" si="337"/>
        <v>829</v>
      </c>
      <c r="AU249" s="417">
        <v>0</v>
      </c>
      <c r="AV249" s="417">
        <v>0</v>
      </c>
      <c r="AW249" s="417">
        <v>0</v>
      </c>
      <c r="AX249" s="417">
        <f t="shared" si="338"/>
        <v>0</v>
      </c>
      <c r="AY249" s="417">
        <f t="shared" si="339"/>
        <v>111777</v>
      </c>
      <c r="AZ249" s="418">
        <v>0</v>
      </c>
      <c r="BA249" s="418">
        <v>0</v>
      </c>
      <c r="BB249" s="418">
        <v>0</v>
      </c>
      <c r="BC249" s="418">
        <v>0.19</v>
      </c>
      <c r="BD249" s="418">
        <v>0</v>
      </c>
      <c r="BE249" s="418">
        <v>0</v>
      </c>
      <c r="BF249" s="418">
        <v>0</v>
      </c>
      <c r="BG249" s="418">
        <v>0</v>
      </c>
      <c r="BH249" s="418">
        <v>0</v>
      </c>
      <c r="BI249" s="418">
        <f t="shared" si="340"/>
        <v>0.19</v>
      </c>
      <c r="BJ249" s="418">
        <f t="shared" si="341"/>
        <v>0</v>
      </c>
      <c r="BK249" s="420">
        <f t="shared" si="342"/>
        <v>0.19</v>
      </c>
      <c r="BL249" s="772">
        <f>I249+AY249</f>
        <v>2682502</v>
      </c>
      <c r="BM249" s="417">
        <f>J249+AG249</f>
        <v>1989987</v>
      </c>
      <c r="BN249" s="417">
        <f t="shared" si="387"/>
        <v>1989987</v>
      </c>
      <c r="BO249" s="417">
        <f t="shared" si="387"/>
        <v>0</v>
      </c>
      <c r="BP249" s="417">
        <f>M249+AO249</f>
        <v>0</v>
      </c>
      <c r="BQ249" s="417">
        <f t="shared" si="388"/>
        <v>0</v>
      </c>
      <c r="BR249" s="417">
        <f t="shared" si="388"/>
        <v>0</v>
      </c>
      <c r="BS249" s="417">
        <f t="shared" si="389"/>
        <v>672615</v>
      </c>
      <c r="BT249" s="417">
        <f t="shared" si="389"/>
        <v>19900</v>
      </c>
      <c r="BU249" s="417">
        <f>R249+AX249</f>
        <v>0</v>
      </c>
      <c r="BV249" s="418">
        <f>S249+BK249</f>
        <v>3.84</v>
      </c>
      <c r="BW249" s="418">
        <f t="shared" si="390"/>
        <v>3.84</v>
      </c>
      <c r="BX249" s="420">
        <f t="shared" si="390"/>
        <v>0</v>
      </c>
      <c r="BY249" s="419"/>
      <c r="BZ249" s="414"/>
      <c r="CA249" s="414"/>
      <c r="CB249" s="414"/>
      <c r="CC249" s="414"/>
      <c r="CD249" s="422"/>
      <c r="CE249" s="419">
        <f t="shared" si="343"/>
        <v>0</v>
      </c>
      <c r="CF249" s="414">
        <v>0</v>
      </c>
      <c r="CG249" s="414">
        <v>0</v>
      </c>
      <c r="CH249" s="414">
        <v>0</v>
      </c>
      <c r="CI249" s="414">
        <v>0</v>
      </c>
      <c r="CJ249" s="509">
        <v>0</v>
      </c>
    </row>
    <row r="250" spans="1:88" ht="14.1" customHeight="1">
      <c r="A250" s="66">
        <v>50</v>
      </c>
      <c r="B250" s="63">
        <v>2490</v>
      </c>
      <c r="C250" s="64">
        <v>600080005</v>
      </c>
      <c r="D250" s="63">
        <v>46746757</v>
      </c>
      <c r="E250" s="65" t="s">
        <v>635</v>
      </c>
      <c r="F250" s="66">
        <v>3143</v>
      </c>
      <c r="G250" s="77" t="s">
        <v>596</v>
      </c>
      <c r="H250" s="67" t="s">
        <v>272</v>
      </c>
      <c r="I250" s="419">
        <v>92208</v>
      </c>
      <c r="J250" s="414">
        <v>66000</v>
      </c>
      <c r="K250" s="414">
        <v>0</v>
      </c>
      <c r="L250" s="601">
        <v>66000</v>
      </c>
      <c r="M250" s="414">
        <v>0</v>
      </c>
      <c r="N250" s="414">
        <v>0</v>
      </c>
      <c r="O250" s="414">
        <v>0</v>
      </c>
      <c r="P250" s="595">
        <v>22308</v>
      </c>
      <c r="Q250" s="595">
        <v>660</v>
      </c>
      <c r="R250" s="602">
        <v>3240</v>
      </c>
      <c r="S250" s="415">
        <v>0.24669999999999997</v>
      </c>
      <c r="T250" s="605">
        <v>0</v>
      </c>
      <c r="U250" s="731">
        <v>0.24669999999999997</v>
      </c>
      <c r="V250" s="423">
        <f t="shared" si="325"/>
        <v>0</v>
      </c>
      <c r="W250" s="417">
        <f t="shared" si="326"/>
        <v>0</v>
      </c>
      <c r="X250" s="417">
        <v>0</v>
      </c>
      <c r="Y250" s="417">
        <v>0</v>
      </c>
      <c r="Z250" s="417">
        <v>0</v>
      </c>
      <c r="AA250" s="417">
        <v>0</v>
      </c>
      <c r="AB250" s="417">
        <v>0</v>
      </c>
      <c r="AC250" s="417">
        <v>0</v>
      </c>
      <c r="AD250" s="417">
        <v>0</v>
      </c>
      <c r="AE250" s="417">
        <f t="shared" si="327"/>
        <v>0</v>
      </c>
      <c r="AF250" s="417">
        <f t="shared" si="328"/>
        <v>0</v>
      </c>
      <c r="AG250" s="417">
        <f t="shared" si="329"/>
        <v>0</v>
      </c>
      <c r="AH250" s="417">
        <v>0</v>
      </c>
      <c r="AI250" s="417">
        <v>0</v>
      </c>
      <c r="AJ250" s="417">
        <v>0</v>
      </c>
      <c r="AK250" s="417">
        <v>0</v>
      </c>
      <c r="AL250" s="417">
        <v>0</v>
      </c>
      <c r="AM250" s="417">
        <f t="shared" si="330"/>
        <v>0</v>
      </c>
      <c r="AN250" s="417">
        <f t="shared" si="331"/>
        <v>0</v>
      </c>
      <c r="AO250" s="417">
        <f t="shared" si="332"/>
        <v>0</v>
      </c>
      <c r="AP250" s="417">
        <f t="shared" si="333"/>
        <v>0</v>
      </c>
      <c r="AQ250" s="417">
        <f t="shared" si="334"/>
        <v>0</v>
      </c>
      <c r="AR250" s="417">
        <f t="shared" si="335"/>
        <v>0</v>
      </c>
      <c r="AS250" s="68">
        <f t="shared" si="336"/>
        <v>0</v>
      </c>
      <c r="AT250" s="68">
        <f t="shared" si="337"/>
        <v>0</v>
      </c>
      <c r="AU250" s="417">
        <v>0</v>
      </c>
      <c r="AV250" s="417">
        <v>0</v>
      </c>
      <c r="AW250" s="417">
        <v>0</v>
      </c>
      <c r="AX250" s="417">
        <f t="shared" si="338"/>
        <v>0</v>
      </c>
      <c r="AY250" s="417">
        <f t="shared" si="339"/>
        <v>0</v>
      </c>
      <c r="AZ250" s="418">
        <v>0</v>
      </c>
      <c r="BA250" s="418">
        <v>0</v>
      </c>
      <c r="BB250" s="418">
        <v>0</v>
      </c>
      <c r="BC250" s="418">
        <v>0</v>
      </c>
      <c r="BD250" s="418">
        <v>0</v>
      </c>
      <c r="BE250" s="418">
        <v>0</v>
      </c>
      <c r="BF250" s="418">
        <v>0</v>
      </c>
      <c r="BG250" s="418">
        <v>0</v>
      </c>
      <c r="BH250" s="418">
        <v>0</v>
      </c>
      <c r="BI250" s="418">
        <f t="shared" si="340"/>
        <v>0</v>
      </c>
      <c r="BJ250" s="418">
        <f t="shared" si="341"/>
        <v>0</v>
      </c>
      <c r="BK250" s="420">
        <f t="shared" si="342"/>
        <v>0</v>
      </c>
      <c r="BL250" s="772">
        <f>I250+AY250</f>
        <v>92208</v>
      </c>
      <c r="BM250" s="417">
        <f>J250+AG250</f>
        <v>66000</v>
      </c>
      <c r="BN250" s="417">
        <f t="shared" si="387"/>
        <v>0</v>
      </c>
      <c r="BO250" s="417">
        <f t="shared" si="387"/>
        <v>66000</v>
      </c>
      <c r="BP250" s="417">
        <f>M250+AO250</f>
        <v>0</v>
      </c>
      <c r="BQ250" s="417">
        <f t="shared" si="388"/>
        <v>0</v>
      </c>
      <c r="BR250" s="417">
        <f t="shared" si="388"/>
        <v>0</v>
      </c>
      <c r="BS250" s="417">
        <f t="shared" si="389"/>
        <v>22308</v>
      </c>
      <c r="BT250" s="417">
        <f t="shared" si="389"/>
        <v>660</v>
      </c>
      <c r="BU250" s="417">
        <f>R250+AX250</f>
        <v>3240</v>
      </c>
      <c r="BV250" s="418">
        <f>S250+BK250</f>
        <v>0.24669999999999997</v>
      </c>
      <c r="BW250" s="418">
        <f t="shared" si="390"/>
        <v>0</v>
      </c>
      <c r="BX250" s="420">
        <f t="shared" si="390"/>
        <v>0.24669999999999997</v>
      </c>
      <c r="BY250" s="419"/>
      <c r="BZ250" s="414"/>
      <c r="CA250" s="414"/>
      <c r="CB250" s="414"/>
      <c r="CC250" s="414"/>
      <c r="CD250" s="422"/>
      <c r="CE250" s="419">
        <f t="shared" si="343"/>
        <v>0</v>
      </c>
      <c r="CF250" s="414">
        <v>0</v>
      </c>
      <c r="CG250" s="414">
        <v>0</v>
      </c>
      <c r="CH250" s="414">
        <v>0</v>
      </c>
      <c r="CI250" s="414">
        <v>0</v>
      </c>
      <c r="CJ250" s="509">
        <v>0</v>
      </c>
    </row>
    <row r="251" spans="1:88" ht="14.1" customHeight="1">
      <c r="A251" s="72">
        <v>50</v>
      </c>
      <c r="B251" s="69">
        <v>2490</v>
      </c>
      <c r="C251" s="70">
        <v>600080005</v>
      </c>
      <c r="D251" s="69">
        <v>46746757</v>
      </c>
      <c r="E251" s="71" t="s">
        <v>636</v>
      </c>
      <c r="F251" s="72"/>
      <c r="G251" s="71"/>
      <c r="H251" s="73"/>
      <c r="I251" s="516">
        <v>35158409</v>
      </c>
      <c r="J251" s="74">
        <v>25647481</v>
      </c>
      <c r="K251" s="74">
        <v>22057143</v>
      </c>
      <c r="L251" s="74">
        <v>3590338</v>
      </c>
      <c r="M251" s="74">
        <v>60000</v>
      </c>
      <c r="N251" s="74">
        <v>40000</v>
      </c>
      <c r="O251" s="74">
        <v>20000</v>
      </c>
      <c r="P251" s="74">
        <v>8689128</v>
      </c>
      <c r="Q251" s="74">
        <v>256475</v>
      </c>
      <c r="R251" s="74">
        <v>505325</v>
      </c>
      <c r="S251" s="75">
        <v>45.254300000000001</v>
      </c>
      <c r="T251" s="75">
        <v>34.571899999999999</v>
      </c>
      <c r="U251" s="653">
        <v>10.682400000000001</v>
      </c>
      <c r="V251" s="516">
        <f t="shared" ref="V251:BX251" si="391">SUM(V246:V250)</f>
        <v>0</v>
      </c>
      <c r="W251" s="74">
        <f t="shared" si="391"/>
        <v>0</v>
      </c>
      <c r="X251" s="74">
        <f t="shared" si="391"/>
        <v>28670</v>
      </c>
      <c r="Y251" s="74">
        <f t="shared" si="391"/>
        <v>42368</v>
      </c>
      <c r="Z251" s="74">
        <f t="shared" si="391"/>
        <v>53081</v>
      </c>
      <c r="AA251" s="74">
        <f t="shared" si="391"/>
        <v>-30745</v>
      </c>
      <c r="AB251" s="74">
        <f t="shared" si="391"/>
        <v>0</v>
      </c>
      <c r="AC251" s="74">
        <f t="shared" si="391"/>
        <v>0</v>
      </c>
      <c r="AD251" s="74">
        <f t="shared" si="391"/>
        <v>0</v>
      </c>
      <c r="AE251" s="74">
        <f t="shared" si="391"/>
        <v>124119</v>
      </c>
      <c r="AF251" s="74">
        <f t="shared" si="391"/>
        <v>-30745</v>
      </c>
      <c r="AG251" s="74">
        <f t="shared" si="391"/>
        <v>93374</v>
      </c>
      <c r="AH251" s="74">
        <f t="shared" si="391"/>
        <v>0</v>
      </c>
      <c r="AI251" s="74">
        <f t="shared" si="391"/>
        <v>0</v>
      </c>
      <c r="AJ251" s="74">
        <f t="shared" si="391"/>
        <v>0</v>
      </c>
      <c r="AK251" s="74">
        <f t="shared" si="391"/>
        <v>0</v>
      </c>
      <c r="AL251" s="74">
        <f t="shared" si="391"/>
        <v>0</v>
      </c>
      <c r="AM251" s="74">
        <f t="shared" si="391"/>
        <v>0</v>
      </c>
      <c r="AN251" s="74">
        <f t="shared" si="391"/>
        <v>0</v>
      </c>
      <c r="AO251" s="74">
        <f t="shared" si="391"/>
        <v>0</v>
      </c>
      <c r="AP251" s="74">
        <f t="shared" si="391"/>
        <v>124119</v>
      </c>
      <c r="AQ251" s="74">
        <f t="shared" si="391"/>
        <v>-30745</v>
      </c>
      <c r="AR251" s="74">
        <f t="shared" si="391"/>
        <v>93374</v>
      </c>
      <c r="AS251" s="74">
        <f t="shared" si="391"/>
        <v>31559</v>
      </c>
      <c r="AT251" s="74">
        <f t="shared" si="391"/>
        <v>934</v>
      </c>
      <c r="AU251" s="74">
        <f t="shared" si="391"/>
        <v>2500</v>
      </c>
      <c r="AV251" s="74">
        <f t="shared" si="391"/>
        <v>0</v>
      </c>
      <c r="AW251" s="74">
        <f t="shared" si="391"/>
        <v>0</v>
      </c>
      <c r="AX251" s="74">
        <f t="shared" si="391"/>
        <v>2500</v>
      </c>
      <c r="AY251" s="74">
        <f t="shared" si="391"/>
        <v>128367</v>
      </c>
      <c r="AZ251" s="75">
        <f t="shared" si="391"/>
        <v>0</v>
      </c>
      <c r="BA251" s="75">
        <f t="shared" si="391"/>
        <v>0</v>
      </c>
      <c r="BB251" s="75">
        <f t="shared" si="391"/>
        <v>0.03</v>
      </c>
      <c r="BC251" s="75">
        <f t="shared" si="391"/>
        <v>0.13</v>
      </c>
      <c r="BD251" s="75">
        <f t="shared" si="391"/>
        <v>-0.09</v>
      </c>
      <c r="BE251" s="75">
        <f t="shared" si="391"/>
        <v>0.06</v>
      </c>
      <c r="BF251" s="75">
        <f t="shared" si="391"/>
        <v>0</v>
      </c>
      <c r="BG251" s="75">
        <f t="shared" si="391"/>
        <v>0</v>
      </c>
      <c r="BH251" s="75">
        <f t="shared" si="391"/>
        <v>0</v>
      </c>
      <c r="BI251" s="75">
        <f t="shared" si="391"/>
        <v>0.22</v>
      </c>
      <c r="BJ251" s="75">
        <f t="shared" si="391"/>
        <v>-0.09</v>
      </c>
      <c r="BK251" s="76">
        <f t="shared" si="391"/>
        <v>0.13</v>
      </c>
      <c r="BL251" s="781">
        <f t="shared" si="391"/>
        <v>35286776</v>
      </c>
      <c r="BM251" s="74">
        <f t="shared" si="391"/>
        <v>25740855</v>
      </c>
      <c r="BN251" s="74">
        <f t="shared" si="391"/>
        <v>22181262</v>
      </c>
      <c r="BO251" s="74">
        <f t="shared" si="391"/>
        <v>3559593</v>
      </c>
      <c r="BP251" s="74">
        <f t="shared" si="391"/>
        <v>60000</v>
      </c>
      <c r="BQ251" s="74">
        <f t="shared" si="391"/>
        <v>40000</v>
      </c>
      <c r="BR251" s="74">
        <f t="shared" si="391"/>
        <v>20000</v>
      </c>
      <c r="BS251" s="74">
        <f t="shared" si="391"/>
        <v>8720687</v>
      </c>
      <c r="BT251" s="74">
        <f t="shared" si="391"/>
        <v>257409</v>
      </c>
      <c r="BU251" s="74">
        <f t="shared" si="391"/>
        <v>507825</v>
      </c>
      <c r="BV251" s="75">
        <f t="shared" si="391"/>
        <v>45.384300000000003</v>
      </c>
      <c r="BW251" s="75">
        <f t="shared" si="391"/>
        <v>34.791899999999998</v>
      </c>
      <c r="BX251" s="76">
        <f t="shared" si="391"/>
        <v>10.592400000000001</v>
      </c>
      <c r="BY251" s="791">
        <f t="shared" ref="BY251:CJ251" si="392">SUM(BY246:BY250)</f>
        <v>0</v>
      </c>
      <c r="BZ251" s="679">
        <f t="shared" si="392"/>
        <v>0</v>
      </c>
      <c r="CA251" s="679">
        <f t="shared" si="392"/>
        <v>0</v>
      </c>
      <c r="CB251" s="679">
        <f t="shared" si="392"/>
        <v>0</v>
      </c>
      <c r="CC251" s="679">
        <f t="shared" si="392"/>
        <v>0</v>
      </c>
      <c r="CD251" s="947">
        <f t="shared" si="392"/>
        <v>0</v>
      </c>
      <c r="CE251" s="956">
        <f t="shared" si="392"/>
        <v>995048</v>
      </c>
      <c r="CF251" s="953">
        <f t="shared" si="392"/>
        <v>651270</v>
      </c>
      <c r="CG251" s="953">
        <f t="shared" si="392"/>
        <v>220129</v>
      </c>
      <c r="CH251" s="953">
        <f t="shared" si="392"/>
        <v>6513</v>
      </c>
      <c r="CI251" s="953">
        <f t="shared" si="392"/>
        <v>117136</v>
      </c>
      <c r="CJ251" s="877">
        <f t="shared" si="392"/>
        <v>1.9129</v>
      </c>
    </row>
    <row r="252" spans="1:88" ht="14.1" customHeight="1">
      <c r="A252" s="66">
        <v>51</v>
      </c>
      <c r="B252" s="63">
        <v>2310</v>
      </c>
      <c r="C252" s="64">
        <v>600080412</v>
      </c>
      <c r="D252" s="63">
        <v>72742038</v>
      </c>
      <c r="E252" s="65" t="s">
        <v>637</v>
      </c>
      <c r="F252" s="66">
        <v>3114</v>
      </c>
      <c r="G252" s="165" t="s">
        <v>525</v>
      </c>
      <c r="H252" s="67" t="s">
        <v>271</v>
      </c>
      <c r="I252" s="419">
        <v>30343729</v>
      </c>
      <c r="J252" s="414">
        <v>22220228</v>
      </c>
      <c r="K252" s="414">
        <v>19889970</v>
      </c>
      <c r="L252" s="414">
        <v>2330258</v>
      </c>
      <c r="M252" s="414">
        <v>74000</v>
      </c>
      <c r="N252" s="414">
        <v>0</v>
      </c>
      <c r="O252" s="414">
        <v>74000</v>
      </c>
      <c r="P252" s="595">
        <v>7535449</v>
      </c>
      <c r="Q252" s="595">
        <v>222202</v>
      </c>
      <c r="R252" s="414">
        <v>291850</v>
      </c>
      <c r="S252" s="415">
        <v>33.420299999999997</v>
      </c>
      <c r="T252" s="415">
        <v>26.454499999999999</v>
      </c>
      <c r="U252" s="422">
        <v>6.9657999999999998</v>
      </c>
      <c r="V252" s="423">
        <f t="shared" si="325"/>
        <v>0</v>
      </c>
      <c r="W252" s="417">
        <f t="shared" si="326"/>
        <v>-47000</v>
      </c>
      <c r="X252" s="417">
        <v>0</v>
      </c>
      <c r="Y252" s="417">
        <v>0</v>
      </c>
      <c r="Z252" s="417">
        <v>-233365</v>
      </c>
      <c r="AA252" s="417">
        <v>0</v>
      </c>
      <c r="AB252" s="417">
        <v>0</v>
      </c>
      <c r="AC252" s="417">
        <v>0</v>
      </c>
      <c r="AD252" s="417">
        <v>0</v>
      </c>
      <c r="AE252" s="417">
        <f t="shared" si="327"/>
        <v>-233365</v>
      </c>
      <c r="AF252" s="417">
        <f t="shared" si="328"/>
        <v>-47000</v>
      </c>
      <c r="AG252" s="417">
        <f t="shared" si="329"/>
        <v>-280365</v>
      </c>
      <c r="AH252" s="417">
        <v>0</v>
      </c>
      <c r="AI252" s="417">
        <v>47000</v>
      </c>
      <c r="AJ252" s="417">
        <v>0</v>
      </c>
      <c r="AK252" s="417">
        <v>0</v>
      </c>
      <c r="AL252" s="417">
        <v>0</v>
      </c>
      <c r="AM252" s="417">
        <f t="shared" si="330"/>
        <v>0</v>
      </c>
      <c r="AN252" s="417">
        <f t="shared" si="331"/>
        <v>47000</v>
      </c>
      <c r="AO252" s="417">
        <f t="shared" si="332"/>
        <v>47000</v>
      </c>
      <c r="AP252" s="417">
        <f t="shared" si="333"/>
        <v>-233365</v>
      </c>
      <c r="AQ252" s="417">
        <f t="shared" si="334"/>
        <v>0</v>
      </c>
      <c r="AR252" s="417">
        <f t="shared" si="335"/>
        <v>-233365</v>
      </c>
      <c r="AS252" s="68">
        <f t="shared" si="336"/>
        <v>-78877</v>
      </c>
      <c r="AT252" s="68">
        <f t="shared" si="337"/>
        <v>-2804</v>
      </c>
      <c r="AU252" s="417">
        <v>0</v>
      </c>
      <c r="AV252" s="417">
        <v>0</v>
      </c>
      <c r="AW252" s="417">
        <v>0</v>
      </c>
      <c r="AX252" s="417">
        <f t="shared" si="338"/>
        <v>0</v>
      </c>
      <c r="AY252" s="417">
        <f t="shared" si="339"/>
        <v>-315046</v>
      </c>
      <c r="AZ252" s="418">
        <v>0</v>
      </c>
      <c r="BA252" s="418">
        <v>-0.14000000000000001</v>
      </c>
      <c r="BB252" s="418">
        <v>0</v>
      </c>
      <c r="BC252" s="418">
        <v>-0.45</v>
      </c>
      <c r="BD252" s="418">
        <v>0</v>
      </c>
      <c r="BE252" s="418">
        <v>0</v>
      </c>
      <c r="BF252" s="418">
        <v>0</v>
      </c>
      <c r="BG252" s="418">
        <v>0</v>
      </c>
      <c r="BH252" s="418">
        <v>0</v>
      </c>
      <c r="BI252" s="418">
        <f t="shared" si="340"/>
        <v>-0.45</v>
      </c>
      <c r="BJ252" s="418">
        <f t="shared" si="341"/>
        <v>-0.14000000000000001</v>
      </c>
      <c r="BK252" s="420">
        <f t="shared" si="342"/>
        <v>-0.59000000000000008</v>
      </c>
      <c r="BL252" s="772">
        <f t="shared" ref="BL252:BL257" si="393">I252+AY252</f>
        <v>30028683</v>
      </c>
      <c r="BM252" s="417">
        <f t="shared" ref="BM252:BM257" si="394">J252+AG252</f>
        <v>21939863</v>
      </c>
      <c r="BN252" s="417">
        <f t="shared" ref="BN252:BO257" si="395">K252+AE252</f>
        <v>19656605</v>
      </c>
      <c r="BO252" s="417">
        <f t="shared" si="395"/>
        <v>2283258</v>
      </c>
      <c r="BP252" s="417">
        <f t="shared" ref="BP252:BP257" si="396">M252+AO252</f>
        <v>121000</v>
      </c>
      <c r="BQ252" s="417">
        <f t="shared" ref="BQ252:BR257" si="397">N252+AM252</f>
        <v>0</v>
      </c>
      <c r="BR252" s="417">
        <f t="shared" si="397"/>
        <v>121000</v>
      </c>
      <c r="BS252" s="417">
        <f t="shared" ref="BS252:BT257" si="398">P252+AS252</f>
        <v>7456572</v>
      </c>
      <c r="BT252" s="417">
        <f t="shared" si="398"/>
        <v>219398</v>
      </c>
      <c r="BU252" s="417">
        <f t="shared" ref="BU252:BU257" si="399">R252+AX252</f>
        <v>291850</v>
      </c>
      <c r="BV252" s="418">
        <f t="shared" ref="BV252:BV257" si="400">S252+BK252</f>
        <v>32.830299999999994</v>
      </c>
      <c r="BW252" s="418">
        <f t="shared" ref="BW252:BX257" si="401">T252+BI252</f>
        <v>26.0045</v>
      </c>
      <c r="BX252" s="420">
        <f t="shared" si="401"/>
        <v>6.8258000000000001</v>
      </c>
      <c r="BY252" s="419"/>
      <c r="BZ252" s="414"/>
      <c r="CA252" s="414"/>
      <c r="CB252" s="414"/>
      <c r="CC252" s="414"/>
      <c r="CD252" s="422"/>
      <c r="CE252" s="419">
        <f t="shared" si="343"/>
        <v>1121161</v>
      </c>
      <c r="CF252" s="414">
        <v>771486</v>
      </c>
      <c r="CG252" s="414">
        <v>260762</v>
      </c>
      <c r="CH252" s="414">
        <v>7715</v>
      </c>
      <c r="CI252" s="414">
        <v>81198</v>
      </c>
      <c r="CJ252" s="509">
        <v>2.3058000000000001</v>
      </c>
    </row>
    <row r="253" spans="1:88" ht="14.1" customHeight="1">
      <c r="A253" s="66">
        <v>51</v>
      </c>
      <c r="B253" s="63">
        <v>2310</v>
      </c>
      <c r="C253" s="64">
        <v>600080412</v>
      </c>
      <c r="D253" s="63">
        <v>72742038</v>
      </c>
      <c r="E253" s="65" t="s">
        <v>637</v>
      </c>
      <c r="F253" s="66">
        <v>3114</v>
      </c>
      <c r="G253" s="43" t="s">
        <v>292</v>
      </c>
      <c r="H253" s="67" t="s">
        <v>271</v>
      </c>
      <c r="I253" s="419">
        <v>12047873</v>
      </c>
      <c r="J253" s="414">
        <v>8937591</v>
      </c>
      <c r="K253" s="414">
        <v>8937591</v>
      </c>
      <c r="L253" s="414">
        <v>0</v>
      </c>
      <c r="M253" s="414">
        <v>0</v>
      </c>
      <c r="N253" s="414">
        <v>0</v>
      </c>
      <c r="O253" s="414">
        <v>0</v>
      </c>
      <c r="P253" s="595">
        <v>3020906</v>
      </c>
      <c r="Q253" s="595">
        <v>89376</v>
      </c>
      <c r="R253" s="414">
        <v>0</v>
      </c>
      <c r="S253" s="415">
        <v>22.6113</v>
      </c>
      <c r="T253" s="415">
        <v>22.6113</v>
      </c>
      <c r="U253" s="422">
        <v>0</v>
      </c>
      <c r="V253" s="423">
        <f t="shared" si="325"/>
        <v>0</v>
      </c>
      <c r="W253" s="417">
        <f t="shared" si="326"/>
        <v>0</v>
      </c>
      <c r="X253" s="417">
        <v>0</v>
      </c>
      <c r="Y253" s="417">
        <v>0</v>
      </c>
      <c r="Z253" s="417">
        <v>-43479</v>
      </c>
      <c r="AA253" s="417">
        <v>0</v>
      </c>
      <c r="AB253" s="417">
        <v>0</v>
      </c>
      <c r="AC253" s="417">
        <v>0</v>
      </c>
      <c r="AD253" s="417">
        <v>0</v>
      </c>
      <c r="AE253" s="417">
        <f t="shared" si="327"/>
        <v>-43479</v>
      </c>
      <c r="AF253" s="417">
        <f t="shared" si="328"/>
        <v>0</v>
      </c>
      <c r="AG253" s="417">
        <f t="shared" si="329"/>
        <v>-43479</v>
      </c>
      <c r="AH253" s="417">
        <v>0</v>
      </c>
      <c r="AI253" s="417">
        <v>0</v>
      </c>
      <c r="AJ253" s="417">
        <v>0</v>
      </c>
      <c r="AK253" s="417">
        <v>0</v>
      </c>
      <c r="AL253" s="417">
        <v>0</v>
      </c>
      <c r="AM253" s="417">
        <f t="shared" si="330"/>
        <v>0</v>
      </c>
      <c r="AN253" s="417">
        <f t="shared" si="331"/>
        <v>0</v>
      </c>
      <c r="AO253" s="417">
        <f t="shared" si="332"/>
        <v>0</v>
      </c>
      <c r="AP253" s="417">
        <f t="shared" si="333"/>
        <v>-43479</v>
      </c>
      <c r="AQ253" s="417">
        <f t="shared" si="334"/>
        <v>0</v>
      </c>
      <c r="AR253" s="417">
        <f t="shared" si="335"/>
        <v>-43479</v>
      </c>
      <c r="AS253" s="68">
        <f t="shared" si="336"/>
        <v>-14696</v>
      </c>
      <c r="AT253" s="68">
        <f t="shared" si="337"/>
        <v>-435</v>
      </c>
      <c r="AU253" s="417">
        <v>0</v>
      </c>
      <c r="AV253" s="417">
        <v>0</v>
      </c>
      <c r="AW253" s="417">
        <v>0</v>
      </c>
      <c r="AX253" s="417">
        <f t="shared" si="338"/>
        <v>0</v>
      </c>
      <c r="AY253" s="417">
        <f t="shared" si="339"/>
        <v>-58610</v>
      </c>
      <c r="AZ253" s="418">
        <v>0</v>
      </c>
      <c r="BA253" s="418">
        <v>0</v>
      </c>
      <c r="BB253" s="418">
        <v>0</v>
      </c>
      <c r="BC253" s="418">
        <v>-0.11</v>
      </c>
      <c r="BD253" s="418">
        <v>0</v>
      </c>
      <c r="BE253" s="418">
        <v>0</v>
      </c>
      <c r="BF253" s="418">
        <v>0</v>
      </c>
      <c r="BG253" s="418">
        <v>0</v>
      </c>
      <c r="BH253" s="418">
        <v>0</v>
      </c>
      <c r="BI253" s="418">
        <f t="shared" si="340"/>
        <v>-0.11</v>
      </c>
      <c r="BJ253" s="418">
        <f t="shared" si="341"/>
        <v>0</v>
      </c>
      <c r="BK253" s="420">
        <f t="shared" si="342"/>
        <v>-0.11</v>
      </c>
      <c r="BL253" s="772">
        <f t="shared" si="393"/>
        <v>11989263</v>
      </c>
      <c r="BM253" s="417">
        <f t="shared" si="394"/>
        <v>8894112</v>
      </c>
      <c r="BN253" s="417">
        <f t="shared" si="395"/>
        <v>8894112</v>
      </c>
      <c r="BO253" s="417">
        <f t="shared" si="395"/>
        <v>0</v>
      </c>
      <c r="BP253" s="417">
        <f t="shared" si="396"/>
        <v>0</v>
      </c>
      <c r="BQ253" s="417">
        <f t="shared" si="397"/>
        <v>0</v>
      </c>
      <c r="BR253" s="417">
        <f t="shared" si="397"/>
        <v>0</v>
      </c>
      <c r="BS253" s="417">
        <f t="shared" si="398"/>
        <v>3006210</v>
      </c>
      <c r="BT253" s="417">
        <f t="shared" si="398"/>
        <v>88941</v>
      </c>
      <c r="BU253" s="417">
        <f t="shared" si="399"/>
        <v>0</v>
      </c>
      <c r="BV253" s="418">
        <f t="shared" si="400"/>
        <v>22.501300000000001</v>
      </c>
      <c r="BW253" s="418">
        <f t="shared" si="401"/>
        <v>22.501300000000001</v>
      </c>
      <c r="BX253" s="420">
        <f t="shared" si="401"/>
        <v>0</v>
      </c>
      <c r="BY253" s="419"/>
      <c r="BZ253" s="414"/>
      <c r="CA253" s="414"/>
      <c r="CB253" s="414"/>
      <c r="CC253" s="414"/>
      <c r="CD253" s="422"/>
      <c r="CE253" s="419">
        <f t="shared" si="343"/>
        <v>0</v>
      </c>
      <c r="CF253" s="414">
        <v>0</v>
      </c>
      <c r="CG253" s="414">
        <v>0</v>
      </c>
      <c r="CH253" s="414">
        <v>0</v>
      </c>
      <c r="CI253" s="414">
        <v>0</v>
      </c>
      <c r="CJ253" s="509">
        <v>0</v>
      </c>
    </row>
    <row r="254" spans="1:88" ht="14.1" customHeight="1">
      <c r="A254" s="66">
        <v>51</v>
      </c>
      <c r="B254" s="63">
        <v>2310</v>
      </c>
      <c r="C254" s="64">
        <v>600080412</v>
      </c>
      <c r="D254" s="63">
        <v>72742038</v>
      </c>
      <c r="E254" s="65" t="s">
        <v>637</v>
      </c>
      <c r="F254" s="66">
        <v>3114</v>
      </c>
      <c r="G254" s="77" t="s">
        <v>291</v>
      </c>
      <c r="H254" s="67" t="s">
        <v>272</v>
      </c>
      <c r="I254" s="419">
        <v>0</v>
      </c>
      <c r="J254" s="414">
        <v>0</v>
      </c>
      <c r="K254" s="414">
        <v>0</v>
      </c>
      <c r="L254" s="414">
        <v>0</v>
      </c>
      <c r="M254" s="414">
        <v>0</v>
      </c>
      <c r="N254" s="414">
        <v>0</v>
      </c>
      <c r="O254" s="414">
        <v>0</v>
      </c>
      <c r="P254" s="595">
        <v>0</v>
      </c>
      <c r="Q254" s="595">
        <v>0</v>
      </c>
      <c r="R254" s="414">
        <v>0</v>
      </c>
      <c r="S254" s="415">
        <v>0</v>
      </c>
      <c r="T254" s="416">
        <v>0</v>
      </c>
      <c r="U254" s="422">
        <v>0</v>
      </c>
      <c r="V254" s="423">
        <f t="shared" si="325"/>
        <v>0</v>
      </c>
      <c r="W254" s="417">
        <f t="shared" si="326"/>
        <v>0</v>
      </c>
      <c r="X254" s="417">
        <v>0</v>
      </c>
      <c r="Y254" s="417">
        <v>0</v>
      </c>
      <c r="Z254" s="417">
        <v>0</v>
      </c>
      <c r="AA254" s="417">
        <v>0</v>
      </c>
      <c r="AB254" s="417">
        <v>0</v>
      </c>
      <c r="AC254" s="417">
        <v>0</v>
      </c>
      <c r="AD254" s="417">
        <v>0</v>
      </c>
      <c r="AE254" s="417">
        <f t="shared" si="327"/>
        <v>0</v>
      </c>
      <c r="AF254" s="417">
        <f t="shared" si="328"/>
        <v>0</v>
      </c>
      <c r="AG254" s="417">
        <f t="shared" si="329"/>
        <v>0</v>
      </c>
      <c r="AH254" s="417">
        <v>0</v>
      </c>
      <c r="AI254" s="417">
        <v>0</v>
      </c>
      <c r="AJ254" s="417">
        <v>0</v>
      </c>
      <c r="AK254" s="417">
        <v>0</v>
      </c>
      <c r="AL254" s="417">
        <v>0</v>
      </c>
      <c r="AM254" s="417">
        <f t="shared" si="330"/>
        <v>0</v>
      </c>
      <c r="AN254" s="417">
        <f t="shared" si="331"/>
        <v>0</v>
      </c>
      <c r="AO254" s="417">
        <f t="shared" si="332"/>
        <v>0</v>
      </c>
      <c r="AP254" s="417">
        <f t="shared" si="333"/>
        <v>0</v>
      </c>
      <c r="AQ254" s="417">
        <f t="shared" si="334"/>
        <v>0</v>
      </c>
      <c r="AR254" s="417">
        <f t="shared" si="335"/>
        <v>0</v>
      </c>
      <c r="AS254" s="68">
        <f t="shared" si="336"/>
        <v>0</v>
      </c>
      <c r="AT254" s="68">
        <f t="shared" si="337"/>
        <v>0</v>
      </c>
      <c r="AU254" s="417">
        <v>0</v>
      </c>
      <c r="AV254" s="417">
        <v>0</v>
      </c>
      <c r="AW254" s="417">
        <v>0</v>
      </c>
      <c r="AX254" s="417">
        <f t="shared" si="338"/>
        <v>0</v>
      </c>
      <c r="AY254" s="417">
        <f t="shared" si="339"/>
        <v>0</v>
      </c>
      <c r="AZ254" s="418">
        <v>0</v>
      </c>
      <c r="BA254" s="418">
        <v>0</v>
      </c>
      <c r="BB254" s="418">
        <v>0</v>
      </c>
      <c r="BC254" s="418">
        <v>0</v>
      </c>
      <c r="BD254" s="418">
        <v>0</v>
      </c>
      <c r="BE254" s="418">
        <v>0</v>
      </c>
      <c r="BF254" s="418">
        <v>0</v>
      </c>
      <c r="BG254" s="418">
        <v>0</v>
      </c>
      <c r="BH254" s="418">
        <v>0</v>
      </c>
      <c r="BI254" s="418">
        <f t="shared" si="340"/>
        <v>0</v>
      </c>
      <c r="BJ254" s="418">
        <f t="shared" si="341"/>
        <v>0</v>
      </c>
      <c r="BK254" s="420">
        <f t="shared" si="342"/>
        <v>0</v>
      </c>
      <c r="BL254" s="772">
        <f t="shared" si="393"/>
        <v>0</v>
      </c>
      <c r="BM254" s="417">
        <f t="shared" si="394"/>
        <v>0</v>
      </c>
      <c r="BN254" s="417">
        <f t="shared" si="395"/>
        <v>0</v>
      </c>
      <c r="BO254" s="417">
        <f t="shared" si="395"/>
        <v>0</v>
      </c>
      <c r="BP254" s="417">
        <f t="shared" si="396"/>
        <v>0</v>
      </c>
      <c r="BQ254" s="417">
        <f t="shared" si="397"/>
        <v>0</v>
      </c>
      <c r="BR254" s="417">
        <f t="shared" si="397"/>
        <v>0</v>
      </c>
      <c r="BS254" s="417">
        <f t="shared" si="398"/>
        <v>0</v>
      </c>
      <c r="BT254" s="417">
        <f t="shared" si="398"/>
        <v>0</v>
      </c>
      <c r="BU254" s="417">
        <f t="shared" si="399"/>
        <v>0</v>
      </c>
      <c r="BV254" s="418">
        <f t="shared" si="400"/>
        <v>0</v>
      </c>
      <c r="BW254" s="418">
        <f t="shared" si="401"/>
        <v>0</v>
      </c>
      <c r="BX254" s="420">
        <f t="shared" si="401"/>
        <v>0</v>
      </c>
      <c r="BY254" s="419"/>
      <c r="BZ254" s="414"/>
      <c r="CA254" s="414"/>
      <c r="CB254" s="414"/>
      <c r="CC254" s="414"/>
      <c r="CD254" s="422"/>
      <c r="CE254" s="419">
        <f t="shared" si="343"/>
        <v>0</v>
      </c>
      <c r="CF254" s="414">
        <v>0</v>
      </c>
      <c r="CG254" s="414">
        <v>0</v>
      </c>
      <c r="CH254" s="414">
        <v>0</v>
      </c>
      <c r="CI254" s="414">
        <v>0</v>
      </c>
      <c r="CJ254" s="509">
        <v>0</v>
      </c>
    </row>
    <row r="255" spans="1:88" ht="14.1" customHeight="1">
      <c r="A255" s="66">
        <v>51</v>
      </c>
      <c r="B255" s="63">
        <v>2310</v>
      </c>
      <c r="C255" s="64">
        <v>600080412</v>
      </c>
      <c r="D255" s="63">
        <v>72742038</v>
      </c>
      <c r="E255" s="65" t="s">
        <v>637</v>
      </c>
      <c r="F255" s="66">
        <v>3141</v>
      </c>
      <c r="G255" s="65" t="s">
        <v>294</v>
      </c>
      <c r="H255" s="67" t="s">
        <v>272</v>
      </c>
      <c r="I255" s="419">
        <v>419586</v>
      </c>
      <c r="J255" s="414">
        <v>308794</v>
      </c>
      <c r="K255" s="414">
        <v>0</v>
      </c>
      <c r="L255" s="744">
        <v>308794</v>
      </c>
      <c r="M255" s="414">
        <v>0</v>
      </c>
      <c r="N255" s="601">
        <v>0</v>
      </c>
      <c r="O255" s="601">
        <v>0</v>
      </c>
      <c r="P255" s="595">
        <v>104372</v>
      </c>
      <c r="Q255" s="595">
        <v>3088</v>
      </c>
      <c r="R255" s="601">
        <v>3332</v>
      </c>
      <c r="S255" s="415">
        <v>0.92999999999999994</v>
      </c>
      <c r="T255" s="603">
        <v>0</v>
      </c>
      <c r="U255" s="731">
        <v>0.92999999999999994</v>
      </c>
      <c r="V255" s="423">
        <f t="shared" si="325"/>
        <v>0</v>
      </c>
      <c r="W255" s="417">
        <f t="shared" si="326"/>
        <v>0</v>
      </c>
      <c r="X255" s="417">
        <v>0</v>
      </c>
      <c r="Y255" s="417">
        <v>0</v>
      </c>
      <c r="Z255" s="417">
        <v>0</v>
      </c>
      <c r="AA255" s="417">
        <v>-3143</v>
      </c>
      <c r="AB255" s="417">
        <v>0</v>
      </c>
      <c r="AC255" s="417">
        <v>0</v>
      </c>
      <c r="AD255" s="417">
        <v>0</v>
      </c>
      <c r="AE255" s="417">
        <f t="shared" si="327"/>
        <v>0</v>
      </c>
      <c r="AF255" s="417">
        <f t="shared" si="328"/>
        <v>-3143</v>
      </c>
      <c r="AG255" s="417">
        <f t="shared" si="329"/>
        <v>-3143</v>
      </c>
      <c r="AH255" s="417">
        <v>0</v>
      </c>
      <c r="AI255" s="417">
        <v>0</v>
      </c>
      <c r="AJ255" s="417">
        <v>0</v>
      </c>
      <c r="AK255" s="417">
        <v>0</v>
      </c>
      <c r="AL255" s="417">
        <v>0</v>
      </c>
      <c r="AM255" s="417">
        <f t="shared" si="330"/>
        <v>0</v>
      </c>
      <c r="AN255" s="417">
        <f t="shared" si="331"/>
        <v>0</v>
      </c>
      <c r="AO255" s="417">
        <f t="shared" si="332"/>
        <v>0</v>
      </c>
      <c r="AP255" s="417">
        <f t="shared" si="333"/>
        <v>0</v>
      </c>
      <c r="AQ255" s="417">
        <f t="shared" si="334"/>
        <v>-3143</v>
      </c>
      <c r="AR255" s="417">
        <f t="shared" si="335"/>
        <v>-3143</v>
      </c>
      <c r="AS255" s="68">
        <f t="shared" si="336"/>
        <v>-1062</v>
      </c>
      <c r="AT255" s="68">
        <f t="shared" si="337"/>
        <v>-31</v>
      </c>
      <c r="AU255" s="417">
        <v>0</v>
      </c>
      <c r="AV255" s="417">
        <v>0</v>
      </c>
      <c r="AW255" s="417">
        <v>0</v>
      </c>
      <c r="AX255" s="417">
        <f t="shared" si="338"/>
        <v>0</v>
      </c>
      <c r="AY255" s="417">
        <f t="shared" si="339"/>
        <v>-4236</v>
      </c>
      <c r="AZ255" s="418">
        <v>0</v>
      </c>
      <c r="BA255" s="418">
        <v>0</v>
      </c>
      <c r="BB255" s="418">
        <v>0</v>
      </c>
      <c r="BC255" s="418">
        <v>0</v>
      </c>
      <c r="BD255" s="418">
        <v>-0.01</v>
      </c>
      <c r="BE255" s="418">
        <v>0</v>
      </c>
      <c r="BF255" s="418">
        <v>0</v>
      </c>
      <c r="BG255" s="418">
        <v>0</v>
      </c>
      <c r="BH255" s="418">
        <v>0</v>
      </c>
      <c r="BI255" s="418">
        <f t="shared" si="340"/>
        <v>0</v>
      </c>
      <c r="BJ255" s="418">
        <f t="shared" si="341"/>
        <v>-0.01</v>
      </c>
      <c r="BK255" s="420">
        <f t="shared" si="342"/>
        <v>-0.01</v>
      </c>
      <c r="BL255" s="772">
        <f t="shared" si="393"/>
        <v>415350</v>
      </c>
      <c r="BM255" s="417">
        <f t="shared" si="394"/>
        <v>305651</v>
      </c>
      <c r="BN255" s="417">
        <f t="shared" si="395"/>
        <v>0</v>
      </c>
      <c r="BO255" s="417">
        <f t="shared" si="395"/>
        <v>305651</v>
      </c>
      <c r="BP255" s="417">
        <f t="shared" si="396"/>
        <v>0</v>
      </c>
      <c r="BQ255" s="417">
        <f t="shared" si="397"/>
        <v>0</v>
      </c>
      <c r="BR255" s="417">
        <f t="shared" si="397"/>
        <v>0</v>
      </c>
      <c r="BS255" s="417">
        <f t="shared" si="398"/>
        <v>103310</v>
      </c>
      <c r="BT255" s="417">
        <f t="shared" si="398"/>
        <v>3057</v>
      </c>
      <c r="BU255" s="417">
        <f t="shared" si="399"/>
        <v>3332</v>
      </c>
      <c r="BV255" s="418">
        <f t="shared" si="400"/>
        <v>0.91999999999999993</v>
      </c>
      <c r="BW255" s="418">
        <f t="shared" si="401"/>
        <v>0</v>
      </c>
      <c r="BX255" s="420">
        <f t="shared" si="401"/>
        <v>0.91999999999999993</v>
      </c>
      <c r="BY255" s="419"/>
      <c r="BZ255" s="414"/>
      <c r="CA255" s="414"/>
      <c r="CB255" s="414"/>
      <c r="CC255" s="414"/>
      <c r="CD255" s="422"/>
      <c r="CE255" s="419">
        <f t="shared" si="343"/>
        <v>0</v>
      </c>
      <c r="CF255" s="414">
        <v>0</v>
      </c>
      <c r="CG255" s="414">
        <v>0</v>
      </c>
      <c r="CH255" s="414">
        <v>0</v>
      </c>
      <c r="CI255" s="414">
        <v>0</v>
      </c>
      <c r="CJ255" s="509">
        <v>0</v>
      </c>
    </row>
    <row r="256" spans="1:88" ht="14.1" customHeight="1">
      <c r="A256" s="66">
        <v>51</v>
      </c>
      <c r="B256" s="63">
        <v>2310</v>
      </c>
      <c r="C256" s="64">
        <v>600080412</v>
      </c>
      <c r="D256" s="63">
        <v>72742038</v>
      </c>
      <c r="E256" s="65" t="s">
        <v>637</v>
      </c>
      <c r="F256" s="66">
        <v>3143</v>
      </c>
      <c r="G256" s="77" t="s">
        <v>595</v>
      </c>
      <c r="H256" s="67" t="s">
        <v>271</v>
      </c>
      <c r="I256" s="419">
        <v>2312440</v>
      </c>
      <c r="J256" s="414">
        <v>1715460</v>
      </c>
      <c r="K256" s="414">
        <v>1715460</v>
      </c>
      <c r="L256" s="414">
        <v>0</v>
      </c>
      <c r="M256" s="414">
        <v>0</v>
      </c>
      <c r="N256" s="414">
        <v>0</v>
      </c>
      <c r="O256" s="414">
        <v>0</v>
      </c>
      <c r="P256" s="595">
        <v>579825</v>
      </c>
      <c r="Q256" s="595">
        <v>17155</v>
      </c>
      <c r="R256" s="414">
        <v>0</v>
      </c>
      <c r="S256" s="415">
        <v>3.5</v>
      </c>
      <c r="T256" s="415">
        <v>3.5</v>
      </c>
      <c r="U256" s="422">
        <v>0</v>
      </c>
      <c r="V256" s="423">
        <f t="shared" si="325"/>
        <v>0</v>
      </c>
      <c r="W256" s="417">
        <f t="shared" si="326"/>
        <v>0</v>
      </c>
      <c r="X256" s="417">
        <v>0</v>
      </c>
      <c r="Y256" s="417">
        <v>0</v>
      </c>
      <c r="Z256" s="417">
        <v>0</v>
      </c>
      <c r="AA256" s="417">
        <v>0</v>
      </c>
      <c r="AB256" s="417">
        <v>0</v>
      </c>
      <c r="AC256" s="417">
        <v>0</v>
      </c>
      <c r="AD256" s="417">
        <v>0</v>
      </c>
      <c r="AE256" s="417">
        <f t="shared" si="327"/>
        <v>0</v>
      </c>
      <c r="AF256" s="417">
        <f t="shared" si="328"/>
        <v>0</v>
      </c>
      <c r="AG256" s="417">
        <f t="shared" si="329"/>
        <v>0</v>
      </c>
      <c r="AH256" s="417">
        <v>0</v>
      </c>
      <c r="AI256" s="417">
        <v>0</v>
      </c>
      <c r="AJ256" s="417">
        <v>0</v>
      </c>
      <c r="AK256" s="417">
        <v>0</v>
      </c>
      <c r="AL256" s="417">
        <v>0</v>
      </c>
      <c r="AM256" s="417">
        <f t="shared" si="330"/>
        <v>0</v>
      </c>
      <c r="AN256" s="417">
        <f t="shared" si="331"/>
        <v>0</v>
      </c>
      <c r="AO256" s="417">
        <f t="shared" si="332"/>
        <v>0</v>
      </c>
      <c r="AP256" s="417">
        <f t="shared" si="333"/>
        <v>0</v>
      </c>
      <c r="AQ256" s="417">
        <f t="shared" si="334"/>
        <v>0</v>
      </c>
      <c r="AR256" s="417">
        <f t="shared" si="335"/>
        <v>0</v>
      </c>
      <c r="AS256" s="68">
        <f t="shared" si="336"/>
        <v>0</v>
      </c>
      <c r="AT256" s="68">
        <f t="shared" si="337"/>
        <v>0</v>
      </c>
      <c r="AU256" s="417">
        <v>0</v>
      </c>
      <c r="AV256" s="417">
        <v>0</v>
      </c>
      <c r="AW256" s="417">
        <v>0</v>
      </c>
      <c r="AX256" s="417">
        <f t="shared" si="338"/>
        <v>0</v>
      </c>
      <c r="AY256" s="417">
        <f t="shared" si="339"/>
        <v>0</v>
      </c>
      <c r="AZ256" s="418">
        <v>0</v>
      </c>
      <c r="BA256" s="418">
        <v>0</v>
      </c>
      <c r="BB256" s="418">
        <v>0</v>
      </c>
      <c r="BC256" s="418">
        <v>0</v>
      </c>
      <c r="BD256" s="418">
        <v>0</v>
      </c>
      <c r="BE256" s="418">
        <v>0</v>
      </c>
      <c r="BF256" s="418">
        <v>0</v>
      </c>
      <c r="BG256" s="418">
        <v>0</v>
      </c>
      <c r="BH256" s="418">
        <v>0</v>
      </c>
      <c r="BI256" s="418">
        <f t="shared" si="340"/>
        <v>0</v>
      </c>
      <c r="BJ256" s="418">
        <f t="shared" si="341"/>
        <v>0</v>
      </c>
      <c r="BK256" s="420">
        <f t="shared" si="342"/>
        <v>0</v>
      </c>
      <c r="BL256" s="772">
        <f t="shared" si="393"/>
        <v>2312440</v>
      </c>
      <c r="BM256" s="417">
        <f t="shared" si="394"/>
        <v>1715460</v>
      </c>
      <c r="BN256" s="417">
        <f t="shared" si="395"/>
        <v>1715460</v>
      </c>
      <c r="BO256" s="417">
        <f t="shared" si="395"/>
        <v>0</v>
      </c>
      <c r="BP256" s="417">
        <f t="shared" si="396"/>
        <v>0</v>
      </c>
      <c r="BQ256" s="417">
        <f t="shared" si="397"/>
        <v>0</v>
      </c>
      <c r="BR256" s="417">
        <f t="shared" si="397"/>
        <v>0</v>
      </c>
      <c r="BS256" s="417">
        <f t="shared" si="398"/>
        <v>579825</v>
      </c>
      <c r="BT256" s="417">
        <f t="shared" si="398"/>
        <v>17155</v>
      </c>
      <c r="BU256" s="417">
        <f t="shared" si="399"/>
        <v>0</v>
      </c>
      <c r="BV256" s="418">
        <f t="shared" si="400"/>
        <v>3.5</v>
      </c>
      <c r="BW256" s="418">
        <f t="shared" si="401"/>
        <v>3.5</v>
      </c>
      <c r="BX256" s="420">
        <f t="shared" si="401"/>
        <v>0</v>
      </c>
      <c r="BY256" s="419"/>
      <c r="BZ256" s="414"/>
      <c r="CA256" s="414"/>
      <c r="CB256" s="414"/>
      <c r="CC256" s="414"/>
      <c r="CD256" s="422"/>
      <c r="CE256" s="419">
        <f t="shared" si="343"/>
        <v>0</v>
      </c>
      <c r="CF256" s="414">
        <v>0</v>
      </c>
      <c r="CG256" s="414">
        <v>0</v>
      </c>
      <c r="CH256" s="414">
        <v>0</v>
      </c>
      <c r="CI256" s="414">
        <v>0</v>
      </c>
      <c r="CJ256" s="509">
        <v>0</v>
      </c>
    </row>
    <row r="257" spans="1:88" ht="14.1" customHeight="1">
      <c r="A257" s="66">
        <v>51</v>
      </c>
      <c r="B257" s="63">
        <v>2310</v>
      </c>
      <c r="C257" s="64">
        <v>600080412</v>
      </c>
      <c r="D257" s="63">
        <v>72742038</v>
      </c>
      <c r="E257" s="65" t="s">
        <v>637</v>
      </c>
      <c r="F257" s="66">
        <v>3143</v>
      </c>
      <c r="G257" s="77" t="s">
        <v>596</v>
      </c>
      <c r="H257" s="67" t="s">
        <v>272</v>
      </c>
      <c r="I257" s="419">
        <v>39189</v>
      </c>
      <c r="J257" s="414">
        <v>28050</v>
      </c>
      <c r="K257" s="414">
        <v>0</v>
      </c>
      <c r="L257" s="601">
        <v>28050</v>
      </c>
      <c r="M257" s="414">
        <v>0</v>
      </c>
      <c r="N257" s="414">
        <v>0</v>
      </c>
      <c r="O257" s="414">
        <v>0</v>
      </c>
      <c r="P257" s="595">
        <v>9481</v>
      </c>
      <c r="Q257" s="595">
        <v>281</v>
      </c>
      <c r="R257" s="602">
        <v>1377</v>
      </c>
      <c r="S257" s="415">
        <v>0.11080000000000001</v>
      </c>
      <c r="T257" s="605">
        <v>0</v>
      </c>
      <c r="U257" s="731">
        <v>0.11080000000000001</v>
      </c>
      <c r="V257" s="423">
        <f t="shared" si="325"/>
        <v>0</v>
      </c>
      <c r="W257" s="417">
        <f t="shared" si="326"/>
        <v>0</v>
      </c>
      <c r="X257" s="417">
        <v>0</v>
      </c>
      <c r="Y257" s="417">
        <v>0</v>
      </c>
      <c r="Z257" s="417">
        <v>0</v>
      </c>
      <c r="AA257" s="417">
        <v>0</v>
      </c>
      <c r="AB257" s="417">
        <v>0</v>
      </c>
      <c r="AC257" s="417">
        <v>0</v>
      </c>
      <c r="AD257" s="417">
        <v>0</v>
      </c>
      <c r="AE257" s="417">
        <f t="shared" si="327"/>
        <v>0</v>
      </c>
      <c r="AF257" s="417">
        <f t="shared" si="328"/>
        <v>0</v>
      </c>
      <c r="AG257" s="417">
        <f t="shared" si="329"/>
        <v>0</v>
      </c>
      <c r="AH257" s="417">
        <v>0</v>
      </c>
      <c r="AI257" s="417">
        <v>0</v>
      </c>
      <c r="AJ257" s="417">
        <v>0</v>
      </c>
      <c r="AK257" s="417">
        <v>0</v>
      </c>
      <c r="AL257" s="417">
        <v>0</v>
      </c>
      <c r="AM257" s="417">
        <f t="shared" si="330"/>
        <v>0</v>
      </c>
      <c r="AN257" s="417">
        <f t="shared" si="331"/>
        <v>0</v>
      </c>
      <c r="AO257" s="417">
        <f t="shared" si="332"/>
        <v>0</v>
      </c>
      <c r="AP257" s="417">
        <f t="shared" si="333"/>
        <v>0</v>
      </c>
      <c r="AQ257" s="417">
        <f t="shared" si="334"/>
        <v>0</v>
      </c>
      <c r="AR257" s="417">
        <f t="shared" si="335"/>
        <v>0</v>
      </c>
      <c r="AS257" s="68">
        <f t="shared" si="336"/>
        <v>0</v>
      </c>
      <c r="AT257" s="68">
        <f t="shared" si="337"/>
        <v>0</v>
      </c>
      <c r="AU257" s="417">
        <v>0</v>
      </c>
      <c r="AV257" s="417">
        <v>0</v>
      </c>
      <c r="AW257" s="417">
        <v>0</v>
      </c>
      <c r="AX257" s="417">
        <f t="shared" si="338"/>
        <v>0</v>
      </c>
      <c r="AY257" s="417">
        <f t="shared" si="339"/>
        <v>0</v>
      </c>
      <c r="AZ257" s="418">
        <v>0</v>
      </c>
      <c r="BA257" s="418">
        <v>0</v>
      </c>
      <c r="BB257" s="418">
        <v>0</v>
      </c>
      <c r="BC257" s="418">
        <v>0</v>
      </c>
      <c r="BD257" s="418">
        <v>0</v>
      </c>
      <c r="BE257" s="418">
        <v>0</v>
      </c>
      <c r="BF257" s="418">
        <v>0</v>
      </c>
      <c r="BG257" s="418">
        <v>0</v>
      </c>
      <c r="BH257" s="418">
        <v>0</v>
      </c>
      <c r="BI257" s="418">
        <f t="shared" si="340"/>
        <v>0</v>
      </c>
      <c r="BJ257" s="418">
        <f t="shared" si="341"/>
        <v>0</v>
      </c>
      <c r="BK257" s="420">
        <f t="shared" si="342"/>
        <v>0</v>
      </c>
      <c r="BL257" s="772">
        <f t="shared" si="393"/>
        <v>39189</v>
      </c>
      <c r="BM257" s="417">
        <f t="shared" si="394"/>
        <v>28050</v>
      </c>
      <c r="BN257" s="417">
        <f t="shared" si="395"/>
        <v>0</v>
      </c>
      <c r="BO257" s="417">
        <f t="shared" si="395"/>
        <v>28050</v>
      </c>
      <c r="BP257" s="417">
        <f t="shared" si="396"/>
        <v>0</v>
      </c>
      <c r="BQ257" s="417">
        <f t="shared" si="397"/>
        <v>0</v>
      </c>
      <c r="BR257" s="417">
        <f t="shared" si="397"/>
        <v>0</v>
      </c>
      <c r="BS257" s="417">
        <f t="shared" si="398"/>
        <v>9481</v>
      </c>
      <c r="BT257" s="417">
        <f t="shared" si="398"/>
        <v>281</v>
      </c>
      <c r="BU257" s="417">
        <f t="shared" si="399"/>
        <v>1377</v>
      </c>
      <c r="BV257" s="418">
        <f t="shared" si="400"/>
        <v>0.11080000000000001</v>
      </c>
      <c r="BW257" s="418">
        <f t="shared" si="401"/>
        <v>0</v>
      </c>
      <c r="BX257" s="420">
        <f t="shared" si="401"/>
        <v>0.11080000000000001</v>
      </c>
      <c r="BY257" s="419"/>
      <c r="BZ257" s="414"/>
      <c r="CA257" s="414"/>
      <c r="CB257" s="414"/>
      <c r="CC257" s="414"/>
      <c r="CD257" s="422"/>
      <c r="CE257" s="419">
        <f t="shared" si="343"/>
        <v>0</v>
      </c>
      <c r="CF257" s="414">
        <v>0</v>
      </c>
      <c r="CG257" s="414">
        <v>0</v>
      </c>
      <c r="CH257" s="414">
        <v>0</v>
      </c>
      <c r="CI257" s="414">
        <v>0</v>
      </c>
      <c r="CJ257" s="509">
        <v>0</v>
      </c>
    </row>
    <row r="258" spans="1:88" ht="14.1" customHeight="1">
      <c r="A258" s="72">
        <v>51</v>
      </c>
      <c r="B258" s="69">
        <v>2310</v>
      </c>
      <c r="C258" s="70">
        <v>600080412</v>
      </c>
      <c r="D258" s="69">
        <v>72742038</v>
      </c>
      <c r="E258" s="71" t="s">
        <v>638</v>
      </c>
      <c r="F258" s="72"/>
      <c r="G258" s="71"/>
      <c r="H258" s="73"/>
      <c r="I258" s="516">
        <v>45162817</v>
      </c>
      <c r="J258" s="74">
        <v>33210123</v>
      </c>
      <c r="K258" s="74">
        <v>30543021</v>
      </c>
      <c r="L258" s="74">
        <v>2667102</v>
      </c>
      <c r="M258" s="74">
        <v>74000</v>
      </c>
      <c r="N258" s="74">
        <v>0</v>
      </c>
      <c r="O258" s="74">
        <v>74000</v>
      </c>
      <c r="P258" s="74">
        <v>11250033</v>
      </c>
      <c r="Q258" s="74">
        <v>332102</v>
      </c>
      <c r="R258" s="74">
        <v>296559</v>
      </c>
      <c r="S258" s="75">
        <v>60.572399999999995</v>
      </c>
      <c r="T258" s="75">
        <v>52.565799999999996</v>
      </c>
      <c r="U258" s="653">
        <v>8.0065999999999988</v>
      </c>
      <c r="V258" s="516">
        <f t="shared" ref="V258:BX258" si="402">SUM(V252:V257)</f>
        <v>0</v>
      </c>
      <c r="W258" s="74">
        <f t="shared" si="402"/>
        <v>-47000</v>
      </c>
      <c r="X258" s="74">
        <f t="shared" si="402"/>
        <v>0</v>
      </c>
      <c r="Y258" s="74">
        <f t="shared" si="402"/>
        <v>0</v>
      </c>
      <c r="Z258" s="74">
        <f t="shared" si="402"/>
        <v>-276844</v>
      </c>
      <c r="AA258" s="74">
        <f t="shared" si="402"/>
        <v>-3143</v>
      </c>
      <c r="AB258" s="74">
        <f t="shared" si="402"/>
        <v>0</v>
      </c>
      <c r="AC258" s="74">
        <f t="shared" si="402"/>
        <v>0</v>
      </c>
      <c r="AD258" s="74">
        <f t="shared" si="402"/>
        <v>0</v>
      </c>
      <c r="AE258" s="74">
        <f t="shared" si="402"/>
        <v>-276844</v>
      </c>
      <c r="AF258" s="74">
        <f t="shared" si="402"/>
        <v>-50143</v>
      </c>
      <c r="AG258" s="74">
        <f t="shared" si="402"/>
        <v>-326987</v>
      </c>
      <c r="AH258" s="74">
        <f t="shared" si="402"/>
        <v>0</v>
      </c>
      <c r="AI258" s="74">
        <f t="shared" si="402"/>
        <v>47000</v>
      </c>
      <c r="AJ258" s="74">
        <f t="shared" si="402"/>
        <v>0</v>
      </c>
      <c r="AK258" s="74">
        <f t="shared" si="402"/>
        <v>0</v>
      </c>
      <c r="AL258" s="74">
        <f t="shared" si="402"/>
        <v>0</v>
      </c>
      <c r="AM258" s="74">
        <f t="shared" si="402"/>
        <v>0</v>
      </c>
      <c r="AN258" s="74">
        <f t="shared" si="402"/>
        <v>47000</v>
      </c>
      <c r="AO258" s="74">
        <f t="shared" si="402"/>
        <v>47000</v>
      </c>
      <c r="AP258" s="74">
        <f t="shared" si="402"/>
        <v>-276844</v>
      </c>
      <c r="AQ258" s="74">
        <f t="shared" si="402"/>
        <v>-3143</v>
      </c>
      <c r="AR258" s="74">
        <f t="shared" si="402"/>
        <v>-279987</v>
      </c>
      <c r="AS258" s="74">
        <f t="shared" si="402"/>
        <v>-94635</v>
      </c>
      <c r="AT258" s="74">
        <f t="shared" si="402"/>
        <v>-3270</v>
      </c>
      <c r="AU258" s="74">
        <f t="shared" si="402"/>
        <v>0</v>
      </c>
      <c r="AV258" s="74">
        <f t="shared" si="402"/>
        <v>0</v>
      </c>
      <c r="AW258" s="74">
        <f t="shared" si="402"/>
        <v>0</v>
      </c>
      <c r="AX258" s="74">
        <f t="shared" si="402"/>
        <v>0</v>
      </c>
      <c r="AY258" s="74">
        <f t="shared" si="402"/>
        <v>-377892</v>
      </c>
      <c r="AZ258" s="75">
        <f t="shared" si="402"/>
        <v>0</v>
      </c>
      <c r="BA258" s="75">
        <f t="shared" si="402"/>
        <v>-0.14000000000000001</v>
      </c>
      <c r="BB258" s="75">
        <f t="shared" si="402"/>
        <v>0</v>
      </c>
      <c r="BC258" s="75">
        <f t="shared" si="402"/>
        <v>-0.56000000000000005</v>
      </c>
      <c r="BD258" s="75">
        <f t="shared" si="402"/>
        <v>-0.01</v>
      </c>
      <c r="BE258" s="75">
        <f t="shared" si="402"/>
        <v>0</v>
      </c>
      <c r="BF258" s="75">
        <f t="shared" si="402"/>
        <v>0</v>
      </c>
      <c r="BG258" s="75">
        <f t="shared" si="402"/>
        <v>0</v>
      </c>
      <c r="BH258" s="75">
        <f t="shared" si="402"/>
        <v>0</v>
      </c>
      <c r="BI258" s="75">
        <f t="shared" si="402"/>
        <v>-0.56000000000000005</v>
      </c>
      <c r="BJ258" s="75">
        <f t="shared" si="402"/>
        <v>-0.15000000000000002</v>
      </c>
      <c r="BK258" s="76">
        <f t="shared" si="402"/>
        <v>-0.71000000000000008</v>
      </c>
      <c r="BL258" s="781">
        <f t="shared" si="402"/>
        <v>44784925</v>
      </c>
      <c r="BM258" s="74">
        <f t="shared" si="402"/>
        <v>32883136</v>
      </c>
      <c r="BN258" s="74">
        <f t="shared" si="402"/>
        <v>30266177</v>
      </c>
      <c r="BO258" s="74">
        <f t="shared" si="402"/>
        <v>2616959</v>
      </c>
      <c r="BP258" s="74">
        <f t="shared" si="402"/>
        <v>121000</v>
      </c>
      <c r="BQ258" s="74">
        <f t="shared" si="402"/>
        <v>0</v>
      </c>
      <c r="BR258" s="74">
        <f t="shared" si="402"/>
        <v>121000</v>
      </c>
      <c r="BS258" s="74">
        <f t="shared" si="402"/>
        <v>11155398</v>
      </c>
      <c r="BT258" s="74">
        <f t="shared" si="402"/>
        <v>328832</v>
      </c>
      <c r="BU258" s="74">
        <f t="shared" si="402"/>
        <v>296559</v>
      </c>
      <c r="BV258" s="75">
        <f t="shared" si="402"/>
        <v>59.862399999999994</v>
      </c>
      <c r="BW258" s="75">
        <f t="shared" si="402"/>
        <v>52.005800000000001</v>
      </c>
      <c r="BX258" s="76">
        <f t="shared" si="402"/>
        <v>7.8566000000000003</v>
      </c>
      <c r="BY258" s="791">
        <f t="shared" ref="BY258:CJ258" si="403">SUM(BY252:BY257)</f>
        <v>0</v>
      </c>
      <c r="BZ258" s="679">
        <f t="shared" si="403"/>
        <v>0</v>
      </c>
      <c r="CA258" s="679">
        <f t="shared" si="403"/>
        <v>0</v>
      </c>
      <c r="CB258" s="679">
        <f t="shared" si="403"/>
        <v>0</v>
      </c>
      <c r="CC258" s="679">
        <f t="shared" si="403"/>
        <v>0</v>
      </c>
      <c r="CD258" s="947">
        <f t="shared" si="403"/>
        <v>0</v>
      </c>
      <c r="CE258" s="956">
        <f t="shared" si="403"/>
        <v>1121161</v>
      </c>
      <c r="CF258" s="953">
        <f t="shared" si="403"/>
        <v>771486</v>
      </c>
      <c r="CG258" s="953">
        <f t="shared" si="403"/>
        <v>260762</v>
      </c>
      <c r="CH258" s="953">
        <f t="shared" si="403"/>
        <v>7715</v>
      </c>
      <c r="CI258" s="953">
        <f t="shared" si="403"/>
        <v>81198</v>
      </c>
      <c r="CJ258" s="877">
        <f t="shared" si="403"/>
        <v>2.3058000000000001</v>
      </c>
    </row>
    <row r="259" spans="1:88" ht="14.1" customHeight="1">
      <c r="A259" s="66">
        <v>52</v>
      </c>
      <c r="B259" s="63">
        <v>2313</v>
      </c>
      <c r="C259" s="64">
        <v>600080323</v>
      </c>
      <c r="D259" s="63">
        <v>64040445</v>
      </c>
      <c r="E259" s="65" t="s">
        <v>639</v>
      </c>
      <c r="F259" s="66">
        <v>3231</v>
      </c>
      <c r="G259" s="65" t="s">
        <v>295</v>
      </c>
      <c r="H259" s="67" t="s">
        <v>271</v>
      </c>
      <c r="I259" s="419">
        <v>59756040</v>
      </c>
      <c r="J259" s="414">
        <v>44223854</v>
      </c>
      <c r="K259" s="414">
        <v>41843381</v>
      </c>
      <c r="L259" s="414">
        <v>2380473</v>
      </c>
      <c r="M259" s="414">
        <v>20000</v>
      </c>
      <c r="N259" s="414">
        <v>20000</v>
      </c>
      <c r="O259" s="414">
        <v>0</v>
      </c>
      <c r="P259" s="595">
        <v>14954423</v>
      </c>
      <c r="Q259" s="595">
        <v>442238</v>
      </c>
      <c r="R259" s="414">
        <v>115525</v>
      </c>
      <c r="S259" s="415">
        <v>72.844300000000004</v>
      </c>
      <c r="T259" s="415">
        <v>66.17</v>
      </c>
      <c r="U259" s="422">
        <v>6.6743000000000006</v>
      </c>
      <c r="V259" s="423">
        <f t="shared" si="325"/>
        <v>-10000</v>
      </c>
      <c r="W259" s="417">
        <f t="shared" si="326"/>
        <v>0</v>
      </c>
      <c r="X259" s="417">
        <v>0</v>
      </c>
      <c r="Y259" s="417">
        <v>0</v>
      </c>
      <c r="Z259" s="417">
        <v>0</v>
      </c>
      <c r="AA259" s="417">
        <v>0</v>
      </c>
      <c r="AB259" s="417">
        <v>0</v>
      </c>
      <c r="AC259" s="417">
        <v>0</v>
      </c>
      <c r="AD259" s="417">
        <v>0</v>
      </c>
      <c r="AE259" s="417">
        <f t="shared" si="327"/>
        <v>-10000</v>
      </c>
      <c r="AF259" s="417">
        <f t="shared" si="328"/>
        <v>0</v>
      </c>
      <c r="AG259" s="417">
        <f t="shared" si="329"/>
        <v>-10000</v>
      </c>
      <c r="AH259" s="417">
        <v>10000</v>
      </c>
      <c r="AI259" s="417">
        <v>0</v>
      </c>
      <c r="AJ259" s="417">
        <v>0</v>
      </c>
      <c r="AK259" s="417">
        <v>0</v>
      </c>
      <c r="AL259" s="417">
        <v>0</v>
      </c>
      <c r="AM259" s="417">
        <f t="shared" si="330"/>
        <v>10000</v>
      </c>
      <c r="AN259" s="417">
        <f t="shared" si="331"/>
        <v>0</v>
      </c>
      <c r="AO259" s="417">
        <f t="shared" si="332"/>
        <v>10000</v>
      </c>
      <c r="AP259" s="417">
        <f t="shared" si="333"/>
        <v>0</v>
      </c>
      <c r="AQ259" s="417">
        <f t="shared" si="334"/>
        <v>0</v>
      </c>
      <c r="AR259" s="417">
        <f t="shared" si="335"/>
        <v>0</v>
      </c>
      <c r="AS259" s="68">
        <f t="shared" si="336"/>
        <v>0</v>
      </c>
      <c r="AT259" s="68">
        <f t="shared" si="337"/>
        <v>-100</v>
      </c>
      <c r="AU259" s="417">
        <v>0</v>
      </c>
      <c r="AV259" s="417">
        <v>0</v>
      </c>
      <c r="AW259" s="417">
        <v>0</v>
      </c>
      <c r="AX259" s="417">
        <f t="shared" si="338"/>
        <v>0</v>
      </c>
      <c r="AY259" s="417">
        <f t="shared" si="339"/>
        <v>-100</v>
      </c>
      <c r="AZ259" s="418">
        <v>-0.02</v>
      </c>
      <c r="BA259" s="418">
        <v>0</v>
      </c>
      <c r="BB259" s="418">
        <v>0</v>
      </c>
      <c r="BC259" s="418">
        <v>0</v>
      </c>
      <c r="BD259" s="418">
        <v>0</v>
      </c>
      <c r="BE259" s="418">
        <v>0</v>
      </c>
      <c r="BF259" s="418">
        <v>0</v>
      </c>
      <c r="BG259" s="418">
        <v>0</v>
      </c>
      <c r="BH259" s="418">
        <v>0</v>
      </c>
      <c r="BI259" s="418">
        <f t="shared" si="340"/>
        <v>-0.02</v>
      </c>
      <c r="BJ259" s="418">
        <f t="shared" si="341"/>
        <v>0</v>
      </c>
      <c r="BK259" s="420">
        <f t="shared" si="342"/>
        <v>-0.02</v>
      </c>
      <c r="BL259" s="772">
        <f>I259+AY259</f>
        <v>59755940</v>
      </c>
      <c r="BM259" s="417">
        <f>J259+AG259</f>
        <v>44213854</v>
      </c>
      <c r="BN259" s="417">
        <f>K259+AE259</f>
        <v>41833381</v>
      </c>
      <c r="BO259" s="417">
        <f>L259+AF259</f>
        <v>2380473</v>
      </c>
      <c r="BP259" s="417">
        <f>M259+AO259</f>
        <v>30000</v>
      </c>
      <c r="BQ259" s="417">
        <f>N259+AM259</f>
        <v>30000</v>
      </c>
      <c r="BR259" s="417">
        <f>O259+AN259</f>
        <v>0</v>
      </c>
      <c r="BS259" s="417">
        <f>P259+AS259</f>
        <v>14954423</v>
      </c>
      <c r="BT259" s="417">
        <f>Q259+AT259</f>
        <v>442138</v>
      </c>
      <c r="BU259" s="417">
        <f>R259+AX259</f>
        <v>115525</v>
      </c>
      <c r="BV259" s="418">
        <f>S259+BK259</f>
        <v>72.824300000000008</v>
      </c>
      <c r="BW259" s="418">
        <f>T259+BI259</f>
        <v>66.150000000000006</v>
      </c>
      <c r="BX259" s="420">
        <f>U259+BJ259</f>
        <v>6.6743000000000006</v>
      </c>
      <c r="BY259" s="419"/>
      <c r="BZ259" s="414"/>
      <c r="CA259" s="414"/>
      <c r="CB259" s="414"/>
      <c r="CC259" s="414"/>
      <c r="CD259" s="422"/>
      <c r="CE259" s="419">
        <f t="shared" si="343"/>
        <v>1092428</v>
      </c>
      <c r="CF259" s="414">
        <v>782310</v>
      </c>
      <c r="CG259" s="414">
        <v>264421</v>
      </c>
      <c r="CH259" s="414">
        <v>7823</v>
      </c>
      <c r="CI259" s="414">
        <v>37874</v>
      </c>
      <c r="CJ259" s="509">
        <v>2.1943000000000001</v>
      </c>
    </row>
    <row r="260" spans="1:88" ht="14.1" customHeight="1">
      <c r="A260" s="72">
        <v>52</v>
      </c>
      <c r="B260" s="69">
        <v>2313</v>
      </c>
      <c r="C260" s="70">
        <v>600080323</v>
      </c>
      <c r="D260" s="69">
        <v>64040445</v>
      </c>
      <c r="E260" s="71" t="s">
        <v>640</v>
      </c>
      <c r="F260" s="72"/>
      <c r="G260" s="71"/>
      <c r="H260" s="73"/>
      <c r="I260" s="517">
        <v>59756040</v>
      </c>
      <c r="J260" s="78">
        <v>44223854</v>
      </c>
      <c r="K260" s="78">
        <v>41843381</v>
      </c>
      <c r="L260" s="78">
        <v>2380473</v>
      </c>
      <c r="M260" s="78">
        <v>20000</v>
      </c>
      <c r="N260" s="78">
        <v>20000</v>
      </c>
      <c r="O260" s="78">
        <v>0</v>
      </c>
      <c r="P260" s="78">
        <v>14954423</v>
      </c>
      <c r="Q260" s="78">
        <v>442238</v>
      </c>
      <c r="R260" s="78">
        <v>115525</v>
      </c>
      <c r="S260" s="79">
        <v>72.844300000000004</v>
      </c>
      <c r="T260" s="79">
        <v>66.17</v>
      </c>
      <c r="U260" s="654">
        <v>6.6743000000000006</v>
      </c>
      <c r="V260" s="517">
        <f t="shared" ref="V260:BX260" si="404">SUM(V259)</f>
        <v>-10000</v>
      </c>
      <c r="W260" s="78">
        <f t="shared" si="404"/>
        <v>0</v>
      </c>
      <c r="X260" s="78">
        <f t="shared" si="404"/>
        <v>0</v>
      </c>
      <c r="Y260" s="78">
        <f t="shared" si="404"/>
        <v>0</v>
      </c>
      <c r="Z260" s="78">
        <f t="shared" si="404"/>
        <v>0</v>
      </c>
      <c r="AA260" s="78">
        <f t="shared" si="404"/>
        <v>0</v>
      </c>
      <c r="AB260" s="78">
        <f t="shared" si="404"/>
        <v>0</v>
      </c>
      <c r="AC260" s="78">
        <f t="shared" si="404"/>
        <v>0</v>
      </c>
      <c r="AD260" s="78">
        <f t="shared" si="404"/>
        <v>0</v>
      </c>
      <c r="AE260" s="78">
        <f t="shared" si="404"/>
        <v>-10000</v>
      </c>
      <c r="AF260" s="78">
        <f t="shared" si="404"/>
        <v>0</v>
      </c>
      <c r="AG260" s="78">
        <f t="shared" si="404"/>
        <v>-10000</v>
      </c>
      <c r="AH260" s="78">
        <f t="shared" si="404"/>
        <v>10000</v>
      </c>
      <c r="AI260" s="78">
        <f t="shared" si="404"/>
        <v>0</v>
      </c>
      <c r="AJ260" s="78">
        <f t="shared" si="404"/>
        <v>0</v>
      </c>
      <c r="AK260" s="78">
        <f t="shared" si="404"/>
        <v>0</v>
      </c>
      <c r="AL260" s="78">
        <f t="shared" si="404"/>
        <v>0</v>
      </c>
      <c r="AM260" s="78">
        <f t="shared" si="404"/>
        <v>10000</v>
      </c>
      <c r="AN260" s="78">
        <f t="shared" si="404"/>
        <v>0</v>
      </c>
      <c r="AO260" s="78">
        <f t="shared" si="404"/>
        <v>10000</v>
      </c>
      <c r="AP260" s="78">
        <f t="shared" si="404"/>
        <v>0</v>
      </c>
      <c r="AQ260" s="78">
        <f t="shared" si="404"/>
        <v>0</v>
      </c>
      <c r="AR260" s="78">
        <f t="shared" si="404"/>
        <v>0</v>
      </c>
      <c r="AS260" s="78">
        <f t="shared" si="404"/>
        <v>0</v>
      </c>
      <c r="AT260" s="78">
        <f t="shared" si="404"/>
        <v>-100</v>
      </c>
      <c r="AU260" s="78">
        <f t="shared" si="404"/>
        <v>0</v>
      </c>
      <c r="AV260" s="78">
        <f t="shared" si="404"/>
        <v>0</v>
      </c>
      <c r="AW260" s="78">
        <f t="shared" si="404"/>
        <v>0</v>
      </c>
      <c r="AX260" s="78">
        <f t="shared" si="404"/>
        <v>0</v>
      </c>
      <c r="AY260" s="78">
        <f t="shared" si="404"/>
        <v>-100</v>
      </c>
      <c r="AZ260" s="79">
        <f t="shared" si="404"/>
        <v>-0.02</v>
      </c>
      <c r="BA260" s="79">
        <f t="shared" si="404"/>
        <v>0</v>
      </c>
      <c r="BB260" s="79">
        <f t="shared" si="404"/>
        <v>0</v>
      </c>
      <c r="BC260" s="79">
        <f t="shared" si="404"/>
        <v>0</v>
      </c>
      <c r="BD260" s="79">
        <f t="shared" si="404"/>
        <v>0</v>
      </c>
      <c r="BE260" s="79">
        <f t="shared" si="404"/>
        <v>0</v>
      </c>
      <c r="BF260" s="79">
        <f t="shared" si="404"/>
        <v>0</v>
      </c>
      <c r="BG260" s="79">
        <f t="shared" si="404"/>
        <v>0</v>
      </c>
      <c r="BH260" s="79">
        <f t="shared" si="404"/>
        <v>0</v>
      </c>
      <c r="BI260" s="79">
        <f t="shared" si="404"/>
        <v>-0.02</v>
      </c>
      <c r="BJ260" s="79">
        <f t="shared" si="404"/>
        <v>0</v>
      </c>
      <c r="BK260" s="80">
        <f t="shared" si="404"/>
        <v>-0.02</v>
      </c>
      <c r="BL260" s="782">
        <f t="shared" si="404"/>
        <v>59755940</v>
      </c>
      <c r="BM260" s="78">
        <f t="shared" si="404"/>
        <v>44213854</v>
      </c>
      <c r="BN260" s="78">
        <f t="shared" si="404"/>
        <v>41833381</v>
      </c>
      <c r="BO260" s="78">
        <f t="shared" si="404"/>
        <v>2380473</v>
      </c>
      <c r="BP260" s="78">
        <f t="shared" si="404"/>
        <v>30000</v>
      </c>
      <c r="BQ260" s="78">
        <f t="shared" si="404"/>
        <v>30000</v>
      </c>
      <c r="BR260" s="78">
        <f t="shared" si="404"/>
        <v>0</v>
      </c>
      <c r="BS260" s="78">
        <f t="shared" si="404"/>
        <v>14954423</v>
      </c>
      <c r="BT260" s="78">
        <f t="shared" si="404"/>
        <v>442138</v>
      </c>
      <c r="BU260" s="78">
        <f t="shared" si="404"/>
        <v>115525</v>
      </c>
      <c r="BV260" s="79">
        <f t="shared" si="404"/>
        <v>72.824300000000008</v>
      </c>
      <c r="BW260" s="79">
        <f t="shared" si="404"/>
        <v>66.150000000000006</v>
      </c>
      <c r="BX260" s="80">
        <f t="shared" si="404"/>
        <v>6.6743000000000006</v>
      </c>
      <c r="BY260" s="792">
        <f t="shared" ref="BY260:CJ260" si="405">SUM(BY259)</f>
        <v>0</v>
      </c>
      <c r="BZ260" s="680">
        <f t="shared" si="405"/>
        <v>0</v>
      </c>
      <c r="CA260" s="680">
        <f t="shared" si="405"/>
        <v>0</v>
      </c>
      <c r="CB260" s="680">
        <f t="shared" si="405"/>
        <v>0</v>
      </c>
      <c r="CC260" s="680">
        <f t="shared" si="405"/>
        <v>0</v>
      </c>
      <c r="CD260" s="948">
        <f t="shared" si="405"/>
        <v>0</v>
      </c>
      <c r="CE260" s="957">
        <f t="shared" si="405"/>
        <v>1092428</v>
      </c>
      <c r="CF260" s="954">
        <f t="shared" si="405"/>
        <v>782310</v>
      </c>
      <c r="CG260" s="954">
        <f t="shared" si="405"/>
        <v>264421</v>
      </c>
      <c r="CH260" s="954">
        <f t="shared" si="405"/>
        <v>7823</v>
      </c>
      <c r="CI260" s="954">
        <f t="shared" si="405"/>
        <v>37874</v>
      </c>
      <c r="CJ260" s="878">
        <f t="shared" si="405"/>
        <v>2.1943000000000001</v>
      </c>
    </row>
    <row r="261" spans="1:88" ht="14.1" customHeight="1">
      <c r="A261" s="66">
        <v>53</v>
      </c>
      <c r="B261" s="63">
        <v>2431</v>
      </c>
      <c r="C261" s="64">
        <v>600079228</v>
      </c>
      <c r="D261" s="63">
        <v>46746234</v>
      </c>
      <c r="E261" s="65" t="s">
        <v>641</v>
      </c>
      <c r="F261" s="66">
        <v>3111</v>
      </c>
      <c r="G261" s="65" t="s">
        <v>290</v>
      </c>
      <c r="H261" s="67" t="s">
        <v>271</v>
      </c>
      <c r="I261" s="419">
        <v>8020639</v>
      </c>
      <c r="J261" s="414">
        <v>5922135</v>
      </c>
      <c r="K261" s="414">
        <v>5229770</v>
      </c>
      <c r="L261" s="414">
        <v>692365</v>
      </c>
      <c r="M261" s="414">
        <v>0</v>
      </c>
      <c r="N261" s="414">
        <v>0</v>
      </c>
      <c r="O261" s="414">
        <v>0</v>
      </c>
      <c r="P261" s="595">
        <v>2001682</v>
      </c>
      <c r="Q261" s="595">
        <v>59222</v>
      </c>
      <c r="R261" s="414">
        <v>37600</v>
      </c>
      <c r="S261" s="415">
        <v>10.807599999999999</v>
      </c>
      <c r="T261" s="415">
        <v>8.4514999999999993</v>
      </c>
      <c r="U261" s="422">
        <v>2.3560999999999996</v>
      </c>
      <c r="V261" s="423">
        <f t="shared" si="325"/>
        <v>0</v>
      </c>
      <c r="W261" s="417">
        <f t="shared" si="326"/>
        <v>0</v>
      </c>
      <c r="X261" s="417">
        <v>0</v>
      </c>
      <c r="Y261" s="417">
        <v>0</v>
      </c>
      <c r="Z261" s="417">
        <v>0</v>
      </c>
      <c r="AA261" s="417">
        <v>0</v>
      </c>
      <c r="AB261" s="417">
        <v>0</v>
      </c>
      <c r="AC261" s="417">
        <v>0</v>
      </c>
      <c r="AD261" s="417">
        <v>0</v>
      </c>
      <c r="AE261" s="417">
        <f t="shared" si="327"/>
        <v>0</v>
      </c>
      <c r="AF261" s="417">
        <f t="shared" si="328"/>
        <v>0</v>
      </c>
      <c r="AG261" s="417">
        <f t="shared" si="329"/>
        <v>0</v>
      </c>
      <c r="AH261" s="417">
        <v>0</v>
      </c>
      <c r="AI261" s="417">
        <v>0</v>
      </c>
      <c r="AJ261" s="417">
        <v>0</v>
      </c>
      <c r="AK261" s="417">
        <v>0</v>
      </c>
      <c r="AL261" s="417">
        <v>0</v>
      </c>
      <c r="AM261" s="417">
        <f t="shared" si="330"/>
        <v>0</v>
      </c>
      <c r="AN261" s="417">
        <f t="shared" si="331"/>
        <v>0</v>
      </c>
      <c r="AO261" s="417">
        <f t="shared" si="332"/>
        <v>0</v>
      </c>
      <c r="AP261" s="417">
        <f t="shared" si="333"/>
        <v>0</v>
      </c>
      <c r="AQ261" s="417">
        <f t="shared" si="334"/>
        <v>0</v>
      </c>
      <c r="AR261" s="417">
        <f t="shared" si="335"/>
        <v>0</v>
      </c>
      <c r="AS261" s="68">
        <f t="shared" si="336"/>
        <v>0</v>
      </c>
      <c r="AT261" s="68">
        <f t="shared" si="337"/>
        <v>0</v>
      </c>
      <c r="AU261" s="417">
        <v>0</v>
      </c>
      <c r="AV261" s="417">
        <v>0</v>
      </c>
      <c r="AW261" s="417">
        <v>0</v>
      </c>
      <c r="AX261" s="417">
        <f t="shared" si="338"/>
        <v>0</v>
      </c>
      <c r="AY261" s="417">
        <f t="shared" si="339"/>
        <v>0</v>
      </c>
      <c r="AZ261" s="418">
        <v>0</v>
      </c>
      <c r="BA261" s="418">
        <v>0</v>
      </c>
      <c r="BB261" s="418">
        <v>0</v>
      </c>
      <c r="BC261" s="418">
        <v>0</v>
      </c>
      <c r="BD261" s="418">
        <v>0</v>
      </c>
      <c r="BE261" s="418">
        <v>0</v>
      </c>
      <c r="BF261" s="418">
        <v>0</v>
      </c>
      <c r="BG261" s="418">
        <v>0</v>
      </c>
      <c r="BH261" s="418">
        <v>0</v>
      </c>
      <c r="BI261" s="418">
        <f t="shared" si="340"/>
        <v>0</v>
      </c>
      <c r="BJ261" s="418">
        <f t="shared" si="341"/>
        <v>0</v>
      </c>
      <c r="BK261" s="420">
        <f t="shared" si="342"/>
        <v>0</v>
      </c>
      <c r="BL261" s="772">
        <f>I261+AY261</f>
        <v>8020639</v>
      </c>
      <c r="BM261" s="417">
        <f>J261+AG261</f>
        <v>5922135</v>
      </c>
      <c r="BN261" s="417">
        <f t="shared" ref="BN261:BO263" si="406">K261+AE261</f>
        <v>5229770</v>
      </c>
      <c r="BO261" s="417">
        <f t="shared" si="406"/>
        <v>692365</v>
      </c>
      <c r="BP261" s="417">
        <f>M261+AO261</f>
        <v>0</v>
      </c>
      <c r="BQ261" s="417">
        <f t="shared" ref="BQ261:BR263" si="407">N261+AM261</f>
        <v>0</v>
      </c>
      <c r="BR261" s="417">
        <f t="shared" si="407"/>
        <v>0</v>
      </c>
      <c r="BS261" s="417">
        <f t="shared" ref="BS261:BT263" si="408">P261+AS261</f>
        <v>2001682</v>
      </c>
      <c r="BT261" s="417">
        <f t="shared" si="408"/>
        <v>59222</v>
      </c>
      <c r="BU261" s="417">
        <f>R261+AX261</f>
        <v>37600</v>
      </c>
      <c r="BV261" s="418">
        <f>S261+BK261</f>
        <v>10.807599999999999</v>
      </c>
      <c r="BW261" s="418">
        <f t="shared" ref="BW261:BX263" si="409">T261+BI261</f>
        <v>8.4514999999999993</v>
      </c>
      <c r="BX261" s="420">
        <f t="shared" si="409"/>
        <v>2.3560999999999996</v>
      </c>
      <c r="BY261" s="419"/>
      <c r="BZ261" s="414"/>
      <c r="CA261" s="414"/>
      <c r="CB261" s="414"/>
      <c r="CC261" s="414"/>
      <c r="CD261" s="422"/>
      <c r="CE261" s="419">
        <f t="shared" si="343"/>
        <v>311978</v>
      </c>
      <c r="CF261" s="414">
        <v>222163</v>
      </c>
      <c r="CG261" s="414">
        <v>75091</v>
      </c>
      <c r="CH261" s="414">
        <v>2222</v>
      </c>
      <c r="CI261" s="414">
        <v>12502</v>
      </c>
      <c r="CJ261" s="509">
        <v>0.75600000000000001</v>
      </c>
    </row>
    <row r="262" spans="1:88" ht="14.1" customHeight="1">
      <c r="A262" s="66">
        <v>53</v>
      </c>
      <c r="B262" s="63">
        <v>2431</v>
      </c>
      <c r="C262" s="64">
        <v>600079228</v>
      </c>
      <c r="D262" s="63">
        <v>46746234</v>
      </c>
      <c r="E262" s="65" t="s">
        <v>641</v>
      </c>
      <c r="F262" s="66">
        <v>3111</v>
      </c>
      <c r="G262" s="77" t="s">
        <v>291</v>
      </c>
      <c r="H262" s="67" t="s">
        <v>272</v>
      </c>
      <c r="I262" s="419">
        <v>2000</v>
      </c>
      <c r="J262" s="414">
        <v>0</v>
      </c>
      <c r="K262" s="414">
        <v>0</v>
      </c>
      <c r="L262" s="414">
        <v>0</v>
      </c>
      <c r="M262" s="414">
        <v>0</v>
      </c>
      <c r="N262" s="414">
        <v>0</v>
      </c>
      <c r="O262" s="414">
        <v>0</v>
      </c>
      <c r="P262" s="595">
        <v>0</v>
      </c>
      <c r="Q262" s="595">
        <v>0</v>
      </c>
      <c r="R262" s="414">
        <v>2000</v>
      </c>
      <c r="S262" s="415">
        <v>0</v>
      </c>
      <c r="T262" s="416">
        <v>0</v>
      </c>
      <c r="U262" s="422">
        <v>0</v>
      </c>
      <c r="V262" s="423">
        <f t="shared" si="325"/>
        <v>0</v>
      </c>
      <c r="W262" s="417">
        <f t="shared" si="326"/>
        <v>0</v>
      </c>
      <c r="X262" s="417">
        <v>39484</v>
      </c>
      <c r="Y262" s="417">
        <v>0</v>
      </c>
      <c r="Z262" s="417">
        <v>0</v>
      </c>
      <c r="AA262" s="417">
        <v>0</v>
      </c>
      <c r="AB262" s="417">
        <v>0</v>
      </c>
      <c r="AC262" s="417">
        <v>0</v>
      </c>
      <c r="AD262" s="417">
        <v>0</v>
      </c>
      <c r="AE262" s="417">
        <f t="shared" si="327"/>
        <v>39484</v>
      </c>
      <c r="AF262" s="417">
        <f t="shared" si="328"/>
        <v>0</v>
      </c>
      <c r="AG262" s="417">
        <f t="shared" si="329"/>
        <v>39484</v>
      </c>
      <c r="AH262" s="417">
        <v>0</v>
      </c>
      <c r="AI262" s="417">
        <v>0</v>
      </c>
      <c r="AJ262" s="417">
        <v>0</v>
      </c>
      <c r="AK262" s="417">
        <v>0</v>
      </c>
      <c r="AL262" s="417">
        <v>0</v>
      </c>
      <c r="AM262" s="417">
        <f t="shared" si="330"/>
        <v>0</v>
      </c>
      <c r="AN262" s="417">
        <f t="shared" si="331"/>
        <v>0</v>
      </c>
      <c r="AO262" s="417">
        <f t="shared" si="332"/>
        <v>0</v>
      </c>
      <c r="AP262" s="417">
        <f t="shared" si="333"/>
        <v>39484</v>
      </c>
      <c r="AQ262" s="417">
        <f t="shared" si="334"/>
        <v>0</v>
      </c>
      <c r="AR262" s="417">
        <f t="shared" si="335"/>
        <v>39484</v>
      </c>
      <c r="AS262" s="68">
        <f t="shared" si="336"/>
        <v>13346</v>
      </c>
      <c r="AT262" s="68">
        <f t="shared" si="337"/>
        <v>395</v>
      </c>
      <c r="AU262" s="417">
        <v>2750</v>
      </c>
      <c r="AV262" s="417">
        <v>0</v>
      </c>
      <c r="AW262" s="417">
        <v>0</v>
      </c>
      <c r="AX262" s="417">
        <f t="shared" si="338"/>
        <v>2750</v>
      </c>
      <c r="AY262" s="417">
        <f t="shared" si="339"/>
        <v>55975</v>
      </c>
      <c r="AZ262" s="418">
        <v>0</v>
      </c>
      <c r="BA262" s="418">
        <v>0</v>
      </c>
      <c r="BB262" s="418">
        <v>0.11</v>
      </c>
      <c r="BC262" s="418">
        <v>0</v>
      </c>
      <c r="BD262" s="418">
        <v>0</v>
      </c>
      <c r="BE262" s="418">
        <v>0</v>
      </c>
      <c r="BF262" s="418">
        <v>0</v>
      </c>
      <c r="BG262" s="418">
        <v>0</v>
      </c>
      <c r="BH262" s="418">
        <v>0</v>
      </c>
      <c r="BI262" s="418">
        <f t="shared" si="340"/>
        <v>0.11</v>
      </c>
      <c r="BJ262" s="418">
        <f t="shared" si="341"/>
        <v>0</v>
      </c>
      <c r="BK262" s="420">
        <f t="shared" si="342"/>
        <v>0.11</v>
      </c>
      <c r="BL262" s="772">
        <f>I262+AY262</f>
        <v>57975</v>
      </c>
      <c r="BM262" s="417">
        <f>J262+AG262</f>
        <v>39484</v>
      </c>
      <c r="BN262" s="417">
        <f t="shared" si="406"/>
        <v>39484</v>
      </c>
      <c r="BO262" s="417">
        <f t="shared" si="406"/>
        <v>0</v>
      </c>
      <c r="BP262" s="417">
        <f>M262+AO262</f>
        <v>0</v>
      </c>
      <c r="BQ262" s="417">
        <f t="shared" si="407"/>
        <v>0</v>
      </c>
      <c r="BR262" s="417">
        <f t="shared" si="407"/>
        <v>0</v>
      </c>
      <c r="BS262" s="417">
        <f t="shared" si="408"/>
        <v>13346</v>
      </c>
      <c r="BT262" s="417">
        <f t="shared" si="408"/>
        <v>395</v>
      </c>
      <c r="BU262" s="417">
        <f>R262+AX262</f>
        <v>4750</v>
      </c>
      <c r="BV262" s="418">
        <f>S262+BK262</f>
        <v>0.11</v>
      </c>
      <c r="BW262" s="418">
        <f t="shared" si="409"/>
        <v>0.11</v>
      </c>
      <c r="BX262" s="420">
        <f t="shared" si="409"/>
        <v>0</v>
      </c>
      <c r="BY262" s="419"/>
      <c r="BZ262" s="414"/>
      <c r="CA262" s="414"/>
      <c r="CB262" s="414"/>
      <c r="CC262" s="414"/>
      <c r="CD262" s="422"/>
      <c r="CE262" s="419">
        <f t="shared" si="343"/>
        <v>0</v>
      </c>
      <c r="CF262" s="414">
        <v>0</v>
      </c>
      <c r="CG262" s="414">
        <v>0</v>
      </c>
      <c r="CH262" s="414">
        <v>0</v>
      </c>
      <c r="CI262" s="414">
        <v>0</v>
      </c>
      <c r="CJ262" s="509">
        <v>0</v>
      </c>
    </row>
    <row r="263" spans="1:88" ht="14.1" customHeight="1">
      <c r="A263" s="66">
        <v>53</v>
      </c>
      <c r="B263" s="63">
        <v>2431</v>
      </c>
      <c r="C263" s="64">
        <v>600079228</v>
      </c>
      <c r="D263" s="63">
        <v>46746234</v>
      </c>
      <c r="E263" s="65" t="s">
        <v>641</v>
      </c>
      <c r="F263" s="66">
        <v>3141</v>
      </c>
      <c r="G263" s="65" t="s">
        <v>294</v>
      </c>
      <c r="H263" s="67" t="s">
        <v>272</v>
      </c>
      <c r="I263" s="419">
        <v>1070062</v>
      </c>
      <c r="J263" s="414">
        <v>790188</v>
      </c>
      <c r="K263" s="414">
        <v>0</v>
      </c>
      <c r="L263" s="744">
        <v>790188</v>
      </c>
      <c r="M263" s="414">
        <v>0</v>
      </c>
      <c r="N263" s="204">
        <v>0</v>
      </c>
      <c r="O263" s="204">
        <v>0</v>
      </c>
      <c r="P263" s="595">
        <v>267084</v>
      </c>
      <c r="Q263" s="595">
        <v>7902</v>
      </c>
      <c r="R263" s="601">
        <v>4888</v>
      </c>
      <c r="S263" s="415">
        <v>2.37</v>
      </c>
      <c r="T263" s="603">
        <v>0</v>
      </c>
      <c r="U263" s="731">
        <v>2.37</v>
      </c>
      <c r="V263" s="423">
        <f t="shared" si="325"/>
        <v>0</v>
      </c>
      <c r="W263" s="417">
        <f t="shared" si="326"/>
        <v>0</v>
      </c>
      <c r="X263" s="417">
        <v>0</v>
      </c>
      <c r="Y263" s="417">
        <v>0</v>
      </c>
      <c r="Z263" s="417">
        <v>0</v>
      </c>
      <c r="AA263" s="417">
        <v>7946</v>
      </c>
      <c r="AB263" s="417">
        <v>0</v>
      </c>
      <c r="AC263" s="417">
        <v>0</v>
      </c>
      <c r="AD263" s="417">
        <v>-81402</v>
      </c>
      <c r="AE263" s="417">
        <f t="shared" si="327"/>
        <v>0</v>
      </c>
      <c r="AF263" s="417">
        <f t="shared" si="328"/>
        <v>-73456</v>
      </c>
      <c r="AG263" s="417">
        <f t="shared" si="329"/>
        <v>-73456</v>
      </c>
      <c r="AH263" s="417">
        <v>0</v>
      </c>
      <c r="AI263" s="417">
        <v>0</v>
      </c>
      <c r="AJ263" s="417">
        <v>0</v>
      </c>
      <c r="AK263" s="417">
        <v>0</v>
      </c>
      <c r="AL263" s="417">
        <v>0</v>
      </c>
      <c r="AM263" s="417">
        <f t="shared" si="330"/>
        <v>0</v>
      </c>
      <c r="AN263" s="417">
        <f t="shared" si="331"/>
        <v>0</v>
      </c>
      <c r="AO263" s="417">
        <f t="shared" si="332"/>
        <v>0</v>
      </c>
      <c r="AP263" s="417">
        <f t="shared" si="333"/>
        <v>0</v>
      </c>
      <c r="AQ263" s="417">
        <f t="shared" si="334"/>
        <v>-73456</v>
      </c>
      <c r="AR263" s="417">
        <f t="shared" si="335"/>
        <v>-73456</v>
      </c>
      <c r="AS263" s="68">
        <f t="shared" si="336"/>
        <v>-24828</v>
      </c>
      <c r="AT263" s="68">
        <f t="shared" si="337"/>
        <v>-735</v>
      </c>
      <c r="AU263" s="417">
        <v>0</v>
      </c>
      <c r="AV263" s="417">
        <v>0</v>
      </c>
      <c r="AW263" s="417">
        <v>0</v>
      </c>
      <c r="AX263" s="417">
        <f t="shared" si="338"/>
        <v>0</v>
      </c>
      <c r="AY263" s="417">
        <f t="shared" si="339"/>
        <v>-99019</v>
      </c>
      <c r="AZ263" s="418">
        <v>0</v>
      </c>
      <c r="BA263" s="418">
        <v>0</v>
      </c>
      <c r="BB263" s="418">
        <v>0</v>
      </c>
      <c r="BC263" s="418">
        <v>0</v>
      </c>
      <c r="BD263" s="418">
        <v>0.02</v>
      </c>
      <c r="BE263" s="418">
        <v>0</v>
      </c>
      <c r="BF263" s="418">
        <v>0</v>
      </c>
      <c r="BG263" s="418">
        <v>0</v>
      </c>
      <c r="BH263" s="418">
        <v>-0.25</v>
      </c>
      <c r="BI263" s="418">
        <f t="shared" si="340"/>
        <v>0</v>
      </c>
      <c r="BJ263" s="418">
        <f t="shared" si="341"/>
        <v>-0.23</v>
      </c>
      <c r="BK263" s="420">
        <f t="shared" si="342"/>
        <v>-0.23</v>
      </c>
      <c r="BL263" s="772">
        <f>I263+AY263</f>
        <v>971043</v>
      </c>
      <c r="BM263" s="417">
        <f>J263+AG263</f>
        <v>716732</v>
      </c>
      <c r="BN263" s="417">
        <f t="shared" si="406"/>
        <v>0</v>
      </c>
      <c r="BO263" s="417">
        <f t="shared" si="406"/>
        <v>716732</v>
      </c>
      <c r="BP263" s="417">
        <f>M263+AO263</f>
        <v>0</v>
      </c>
      <c r="BQ263" s="417">
        <f t="shared" si="407"/>
        <v>0</v>
      </c>
      <c r="BR263" s="417">
        <f t="shared" si="407"/>
        <v>0</v>
      </c>
      <c r="BS263" s="417">
        <f t="shared" si="408"/>
        <v>242256</v>
      </c>
      <c r="BT263" s="417">
        <f t="shared" si="408"/>
        <v>7167</v>
      </c>
      <c r="BU263" s="417">
        <f>R263+AX263</f>
        <v>4888</v>
      </c>
      <c r="BV263" s="418">
        <f>S263+BK263</f>
        <v>2.14</v>
      </c>
      <c r="BW263" s="418">
        <f t="shared" si="409"/>
        <v>0</v>
      </c>
      <c r="BX263" s="420">
        <f t="shared" si="409"/>
        <v>2.14</v>
      </c>
      <c r="BY263" s="419"/>
      <c r="BZ263" s="414"/>
      <c r="CA263" s="414"/>
      <c r="CB263" s="414"/>
      <c r="CC263" s="414"/>
      <c r="CD263" s="422"/>
      <c r="CE263" s="419">
        <f t="shared" si="343"/>
        <v>0</v>
      </c>
      <c r="CF263" s="414">
        <v>0</v>
      </c>
      <c r="CG263" s="414">
        <v>0</v>
      </c>
      <c r="CH263" s="414">
        <v>0</v>
      </c>
      <c r="CI263" s="414">
        <v>0</v>
      </c>
      <c r="CJ263" s="509">
        <v>0</v>
      </c>
    </row>
    <row r="264" spans="1:88" ht="14.1" customHeight="1">
      <c r="A264" s="72">
        <v>53</v>
      </c>
      <c r="B264" s="69">
        <v>2431</v>
      </c>
      <c r="C264" s="70">
        <v>600079228</v>
      </c>
      <c r="D264" s="69">
        <v>46746234</v>
      </c>
      <c r="E264" s="71" t="s">
        <v>642</v>
      </c>
      <c r="F264" s="72"/>
      <c r="G264" s="71"/>
      <c r="H264" s="73"/>
      <c r="I264" s="516">
        <v>9092701</v>
      </c>
      <c r="J264" s="74">
        <v>6712323</v>
      </c>
      <c r="K264" s="74">
        <v>5229770</v>
      </c>
      <c r="L264" s="74">
        <v>1482553</v>
      </c>
      <c r="M264" s="74">
        <v>0</v>
      </c>
      <c r="N264" s="74">
        <v>0</v>
      </c>
      <c r="O264" s="74">
        <v>0</v>
      </c>
      <c r="P264" s="74">
        <v>2268766</v>
      </c>
      <c r="Q264" s="74">
        <v>67124</v>
      </c>
      <c r="R264" s="74">
        <v>44488</v>
      </c>
      <c r="S264" s="75">
        <v>13.177599999999998</v>
      </c>
      <c r="T264" s="75">
        <v>8.4514999999999993</v>
      </c>
      <c r="U264" s="653">
        <v>4.7260999999999997</v>
      </c>
      <c r="V264" s="516">
        <f t="shared" ref="V264:BX264" si="410">SUM(V261:V263)</f>
        <v>0</v>
      </c>
      <c r="W264" s="74">
        <f t="shared" si="410"/>
        <v>0</v>
      </c>
      <c r="X264" s="74">
        <f t="shared" si="410"/>
        <v>39484</v>
      </c>
      <c r="Y264" s="74">
        <f t="shared" si="410"/>
        <v>0</v>
      </c>
      <c r="Z264" s="74">
        <f t="shared" si="410"/>
        <v>0</v>
      </c>
      <c r="AA264" s="74">
        <f t="shared" si="410"/>
        <v>7946</v>
      </c>
      <c r="AB264" s="74">
        <f t="shared" si="410"/>
        <v>0</v>
      </c>
      <c r="AC264" s="74">
        <f t="shared" si="410"/>
        <v>0</v>
      </c>
      <c r="AD264" s="74">
        <f t="shared" si="410"/>
        <v>-81402</v>
      </c>
      <c r="AE264" s="74">
        <f t="shared" si="410"/>
        <v>39484</v>
      </c>
      <c r="AF264" s="74">
        <f t="shared" si="410"/>
        <v>-73456</v>
      </c>
      <c r="AG264" s="74">
        <f t="shared" si="410"/>
        <v>-33972</v>
      </c>
      <c r="AH264" s="74">
        <f t="shared" si="410"/>
        <v>0</v>
      </c>
      <c r="AI264" s="74">
        <f t="shared" si="410"/>
        <v>0</v>
      </c>
      <c r="AJ264" s="74">
        <f t="shared" si="410"/>
        <v>0</v>
      </c>
      <c r="AK264" s="74">
        <f t="shared" si="410"/>
        <v>0</v>
      </c>
      <c r="AL264" s="74">
        <f t="shared" si="410"/>
        <v>0</v>
      </c>
      <c r="AM264" s="74">
        <f t="shared" si="410"/>
        <v>0</v>
      </c>
      <c r="AN264" s="74">
        <f t="shared" si="410"/>
        <v>0</v>
      </c>
      <c r="AO264" s="74">
        <f t="shared" si="410"/>
        <v>0</v>
      </c>
      <c r="AP264" s="74">
        <f t="shared" si="410"/>
        <v>39484</v>
      </c>
      <c r="AQ264" s="74">
        <f t="shared" si="410"/>
        <v>-73456</v>
      </c>
      <c r="AR264" s="74">
        <f t="shared" si="410"/>
        <v>-33972</v>
      </c>
      <c r="AS264" s="74">
        <f t="shared" si="410"/>
        <v>-11482</v>
      </c>
      <c r="AT264" s="74">
        <f t="shared" si="410"/>
        <v>-340</v>
      </c>
      <c r="AU264" s="74">
        <f t="shared" si="410"/>
        <v>2750</v>
      </c>
      <c r="AV264" s="74">
        <f t="shared" si="410"/>
        <v>0</v>
      </c>
      <c r="AW264" s="74">
        <f t="shared" si="410"/>
        <v>0</v>
      </c>
      <c r="AX264" s="74">
        <f t="shared" si="410"/>
        <v>2750</v>
      </c>
      <c r="AY264" s="74">
        <f t="shared" si="410"/>
        <v>-43044</v>
      </c>
      <c r="AZ264" s="75">
        <f t="shared" si="410"/>
        <v>0</v>
      </c>
      <c r="BA264" s="75">
        <f t="shared" si="410"/>
        <v>0</v>
      </c>
      <c r="BB264" s="75">
        <f t="shared" si="410"/>
        <v>0.11</v>
      </c>
      <c r="BC264" s="75">
        <f t="shared" si="410"/>
        <v>0</v>
      </c>
      <c r="BD264" s="75">
        <f t="shared" si="410"/>
        <v>0.02</v>
      </c>
      <c r="BE264" s="75">
        <f t="shared" si="410"/>
        <v>0</v>
      </c>
      <c r="BF264" s="75">
        <f t="shared" si="410"/>
        <v>0</v>
      </c>
      <c r="BG264" s="75">
        <f t="shared" si="410"/>
        <v>0</v>
      </c>
      <c r="BH264" s="75">
        <f t="shared" si="410"/>
        <v>-0.25</v>
      </c>
      <c r="BI264" s="75">
        <f t="shared" si="410"/>
        <v>0.11</v>
      </c>
      <c r="BJ264" s="75">
        <f t="shared" si="410"/>
        <v>-0.23</v>
      </c>
      <c r="BK264" s="76">
        <f t="shared" si="410"/>
        <v>-0.12000000000000001</v>
      </c>
      <c r="BL264" s="781">
        <f t="shared" si="410"/>
        <v>9049657</v>
      </c>
      <c r="BM264" s="74">
        <f t="shared" si="410"/>
        <v>6678351</v>
      </c>
      <c r="BN264" s="74">
        <f t="shared" si="410"/>
        <v>5269254</v>
      </c>
      <c r="BO264" s="74">
        <f t="shared" si="410"/>
        <v>1409097</v>
      </c>
      <c r="BP264" s="74">
        <f t="shared" si="410"/>
        <v>0</v>
      </c>
      <c r="BQ264" s="74">
        <f t="shared" si="410"/>
        <v>0</v>
      </c>
      <c r="BR264" s="74">
        <f t="shared" si="410"/>
        <v>0</v>
      </c>
      <c r="BS264" s="74">
        <f t="shared" si="410"/>
        <v>2257284</v>
      </c>
      <c r="BT264" s="74">
        <f t="shared" si="410"/>
        <v>66784</v>
      </c>
      <c r="BU264" s="74">
        <f t="shared" si="410"/>
        <v>47238</v>
      </c>
      <c r="BV264" s="75">
        <f t="shared" si="410"/>
        <v>13.057599999999999</v>
      </c>
      <c r="BW264" s="75">
        <f t="shared" si="410"/>
        <v>8.5614999999999988</v>
      </c>
      <c r="BX264" s="76">
        <f t="shared" si="410"/>
        <v>4.4961000000000002</v>
      </c>
      <c r="BY264" s="791">
        <f t="shared" ref="BY264:CJ264" si="411">SUM(BY261:BY263)</f>
        <v>0</v>
      </c>
      <c r="BZ264" s="679">
        <f t="shared" si="411"/>
        <v>0</v>
      </c>
      <c r="CA264" s="679">
        <f t="shared" si="411"/>
        <v>0</v>
      </c>
      <c r="CB264" s="679">
        <f t="shared" si="411"/>
        <v>0</v>
      </c>
      <c r="CC264" s="679">
        <f t="shared" si="411"/>
        <v>0</v>
      </c>
      <c r="CD264" s="947">
        <f t="shared" si="411"/>
        <v>0</v>
      </c>
      <c r="CE264" s="956">
        <f t="shared" si="411"/>
        <v>311978</v>
      </c>
      <c r="CF264" s="953">
        <f t="shared" si="411"/>
        <v>222163</v>
      </c>
      <c r="CG264" s="953">
        <f t="shared" si="411"/>
        <v>75091</v>
      </c>
      <c r="CH264" s="953">
        <f t="shared" si="411"/>
        <v>2222</v>
      </c>
      <c r="CI264" s="953">
        <f t="shared" si="411"/>
        <v>12502</v>
      </c>
      <c r="CJ264" s="877">
        <f t="shared" si="411"/>
        <v>0.75600000000000001</v>
      </c>
    </row>
    <row r="265" spans="1:88" ht="11.25" customHeight="1">
      <c r="A265" s="66">
        <v>54</v>
      </c>
      <c r="B265" s="63">
        <v>2434</v>
      </c>
      <c r="C265" s="64">
        <v>600079317</v>
      </c>
      <c r="D265" s="63">
        <v>46746480</v>
      </c>
      <c r="E265" s="65" t="s">
        <v>643</v>
      </c>
      <c r="F265" s="66">
        <v>3111</v>
      </c>
      <c r="G265" s="65" t="s">
        <v>290</v>
      </c>
      <c r="H265" s="67" t="s">
        <v>271</v>
      </c>
      <c r="I265" s="419">
        <v>14904755</v>
      </c>
      <c r="J265" s="414">
        <v>11003230</v>
      </c>
      <c r="K265" s="414">
        <v>9381107</v>
      </c>
      <c r="L265" s="414">
        <v>1622123</v>
      </c>
      <c r="M265" s="414">
        <v>0</v>
      </c>
      <c r="N265" s="414">
        <v>0</v>
      </c>
      <c r="O265" s="414">
        <v>0</v>
      </c>
      <c r="P265" s="595">
        <v>3719092</v>
      </c>
      <c r="Q265" s="595">
        <v>110033</v>
      </c>
      <c r="R265" s="414">
        <v>72400</v>
      </c>
      <c r="S265" s="415">
        <v>21.654799999999998</v>
      </c>
      <c r="T265" s="415">
        <v>16</v>
      </c>
      <c r="U265" s="422">
        <v>5.6547999999999998</v>
      </c>
      <c r="V265" s="423">
        <f t="shared" si="325"/>
        <v>-24700</v>
      </c>
      <c r="W265" s="417">
        <f t="shared" si="326"/>
        <v>0</v>
      </c>
      <c r="X265" s="417">
        <v>0</v>
      </c>
      <c r="Y265" s="417">
        <v>0</v>
      </c>
      <c r="Z265" s="417">
        <v>0</v>
      </c>
      <c r="AA265" s="417">
        <v>0</v>
      </c>
      <c r="AB265" s="417">
        <v>0</v>
      </c>
      <c r="AC265" s="417">
        <v>0</v>
      </c>
      <c r="AD265" s="417">
        <v>0</v>
      </c>
      <c r="AE265" s="417">
        <f t="shared" si="327"/>
        <v>-24700</v>
      </c>
      <c r="AF265" s="417">
        <f t="shared" si="328"/>
        <v>0</v>
      </c>
      <c r="AG265" s="417">
        <f t="shared" si="329"/>
        <v>-24700</v>
      </c>
      <c r="AH265" s="417">
        <v>24700</v>
      </c>
      <c r="AI265" s="417">
        <v>0</v>
      </c>
      <c r="AJ265" s="417">
        <v>0</v>
      </c>
      <c r="AK265" s="417">
        <v>0</v>
      </c>
      <c r="AL265" s="417">
        <v>0</v>
      </c>
      <c r="AM265" s="417">
        <f t="shared" si="330"/>
        <v>24700</v>
      </c>
      <c r="AN265" s="417">
        <f t="shared" si="331"/>
        <v>0</v>
      </c>
      <c r="AO265" s="417">
        <f t="shared" si="332"/>
        <v>24700</v>
      </c>
      <c r="AP265" s="417">
        <f t="shared" si="333"/>
        <v>0</v>
      </c>
      <c r="AQ265" s="417">
        <f t="shared" si="334"/>
        <v>0</v>
      </c>
      <c r="AR265" s="417">
        <f t="shared" si="335"/>
        <v>0</v>
      </c>
      <c r="AS265" s="68">
        <f t="shared" si="336"/>
        <v>0</v>
      </c>
      <c r="AT265" s="68">
        <f t="shared" si="337"/>
        <v>-247</v>
      </c>
      <c r="AU265" s="417">
        <v>0</v>
      </c>
      <c r="AV265" s="417">
        <v>0</v>
      </c>
      <c r="AW265" s="417">
        <v>0</v>
      </c>
      <c r="AX265" s="417">
        <f t="shared" si="338"/>
        <v>0</v>
      </c>
      <c r="AY265" s="417">
        <f t="shared" si="339"/>
        <v>-247</v>
      </c>
      <c r="AZ265" s="418">
        <v>0</v>
      </c>
      <c r="BA265" s="418">
        <v>0</v>
      </c>
      <c r="BB265" s="418">
        <v>0</v>
      </c>
      <c r="BC265" s="418">
        <v>0</v>
      </c>
      <c r="BD265" s="418">
        <v>0</v>
      </c>
      <c r="BE265" s="418">
        <v>0</v>
      </c>
      <c r="BF265" s="418">
        <v>0</v>
      </c>
      <c r="BG265" s="418">
        <v>0</v>
      </c>
      <c r="BH265" s="418">
        <v>0</v>
      </c>
      <c r="BI265" s="418">
        <f t="shared" si="340"/>
        <v>0</v>
      </c>
      <c r="BJ265" s="418">
        <f t="shared" si="341"/>
        <v>0</v>
      </c>
      <c r="BK265" s="420">
        <f t="shared" si="342"/>
        <v>0</v>
      </c>
      <c r="BL265" s="772">
        <f>I265+AY265</f>
        <v>14904508</v>
      </c>
      <c r="BM265" s="417">
        <f>J265+AG265</f>
        <v>10978530</v>
      </c>
      <c r="BN265" s="417">
        <f t="shared" ref="BN265:BO267" si="412">K265+AE265</f>
        <v>9356407</v>
      </c>
      <c r="BO265" s="417">
        <f t="shared" si="412"/>
        <v>1622123</v>
      </c>
      <c r="BP265" s="417">
        <f>M265+AO265</f>
        <v>24700</v>
      </c>
      <c r="BQ265" s="417">
        <f t="shared" ref="BQ265:BR267" si="413">N265+AM265</f>
        <v>24700</v>
      </c>
      <c r="BR265" s="417">
        <f t="shared" si="413"/>
        <v>0</v>
      </c>
      <c r="BS265" s="417">
        <f t="shared" ref="BS265:BT267" si="414">P265+AS265</f>
        <v>3719092</v>
      </c>
      <c r="BT265" s="417">
        <f t="shared" si="414"/>
        <v>109786</v>
      </c>
      <c r="BU265" s="417">
        <f>R265+AX265</f>
        <v>72400</v>
      </c>
      <c r="BV265" s="418">
        <f>S265+BK265</f>
        <v>21.654799999999998</v>
      </c>
      <c r="BW265" s="418">
        <f t="shared" ref="BW265:BX267" si="415">T265+BI265</f>
        <v>16</v>
      </c>
      <c r="BX265" s="420">
        <f t="shared" si="415"/>
        <v>5.6547999999999998</v>
      </c>
      <c r="BY265" s="419"/>
      <c r="BZ265" s="414"/>
      <c r="CA265" s="414"/>
      <c r="CB265" s="414"/>
      <c r="CC265" s="414"/>
      <c r="CD265" s="422"/>
      <c r="CE265" s="419">
        <f t="shared" si="343"/>
        <v>725680</v>
      </c>
      <c r="CF265" s="414">
        <v>520480</v>
      </c>
      <c r="CG265" s="414">
        <v>175922</v>
      </c>
      <c r="CH265" s="414">
        <v>5205</v>
      </c>
      <c r="CI265" s="414">
        <v>24073</v>
      </c>
      <c r="CJ265" s="509">
        <v>1.8144</v>
      </c>
    </row>
    <row r="266" spans="1:88" ht="14.1" customHeight="1">
      <c r="A266" s="66">
        <v>54</v>
      </c>
      <c r="B266" s="63">
        <v>2434</v>
      </c>
      <c r="C266" s="64">
        <v>600079317</v>
      </c>
      <c r="D266" s="63">
        <v>46746480</v>
      </c>
      <c r="E266" s="65" t="s">
        <v>643</v>
      </c>
      <c r="F266" s="66">
        <v>3111</v>
      </c>
      <c r="G266" s="77" t="s">
        <v>291</v>
      </c>
      <c r="H266" s="67" t="s">
        <v>272</v>
      </c>
      <c r="I266" s="419">
        <v>1301253</v>
      </c>
      <c r="J266" s="414">
        <v>957903</v>
      </c>
      <c r="K266" s="414">
        <v>957903</v>
      </c>
      <c r="L266" s="414">
        <v>0</v>
      </c>
      <c r="M266" s="414">
        <v>0</v>
      </c>
      <c r="N266" s="414">
        <v>0</v>
      </c>
      <c r="O266" s="414">
        <v>0</v>
      </c>
      <c r="P266" s="595">
        <v>323771</v>
      </c>
      <c r="Q266" s="595">
        <v>9579</v>
      </c>
      <c r="R266" s="414">
        <v>10000</v>
      </c>
      <c r="S266" s="415">
        <v>2.59</v>
      </c>
      <c r="T266" s="416">
        <v>2.59</v>
      </c>
      <c r="U266" s="422">
        <v>0</v>
      </c>
      <c r="V266" s="423">
        <f t="shared" si="325"/>
        <v>0</v>
      </c>
      <c r="W266" s="417">
        <f t="shared" si="326"/>
        <v>0</v>
      </c>
      <c r="X266" s="417">
        <v>0</v>
      </c>
      <c r="Y266" s="417">
        <v>0</v>
      </c>
      <c r="Z266" s="417">
        <v>0</v>
      </c>
      <c r="AA266" s="417">
        <v>0</v>
      </c>
      <c r="AB266" s="417">
        <v>0</v>
      </c>
      <c r="AC266" s="417">
        <v>0</v>
      </c>
      <c r="AD266" s="417">
        <v>0</v>
      </c>
      <c r="AE266" s="417">
        <f t="shared" si="327"/>
        <v>0</v>
      </c>
      <c r="AF266" s="417">
        <f t="shared" si="328"/>
        <v>0</v>
      </c>
      <c r="AG266" s="417">
        <f t="shared" si="329"/>
        <v>0</v>
      </c>
      <c r="AH266" s="417">
        <v>0</v>
      </c>
      <c r="AI266" s="417">
        <v>0</v>
      </c>
      <c r="AJ266" s="417">
        <v>0</v>
      </c>
      <c r="AK266" s="417">
        <v>0</v>
      </c>
      <c r="AL266" s="417">
        <v>0</v>
      </c>
      <c r="AM266" s="417">
        <f t="shared" si="330"/>
        <v>0</v>
      </c>
      <c r="AN266" s="417">
        <f t="shared" si="331"/>
        <v>0</v>
      </c>
      <c r="AO266" s="417">
        <f t="shared" si="332"/>
        <v>0</v>
      </c>
      <c r="AP266" s="417">
        <f t="shared" si="333"/>
        <v>0</v>
      </c>
      <c r="AQ266" s="417">
        <f t="shared" si="334"/>
        <v>0</v>
      </c>
      <c r="AR266" s="417">
        <f t="shared" si="335"/>
        <v>0</v>
      </c>
      <c r="AS266" s="68">
        <f t="shared" si="336"/>
        <v>0</v>
      </c>
      <c r="AT266" s="68">
        <f t="shared" si="337"/>
        <v>0</v>
      </c>
      <c r="AU266" s="417">
        <v>0</v>
      </c>
      <c r="AV266" s="417">
        <v>0</v>
      </c>
      <c r="AW266" s="417">
        <v>0</v>
      </c>
      <c r="AX266" s="417">
        <f t="shared" si="338"/>
        <v>0</v>
      </c>
      <c r="AY266" s="417">
        <f t="shared" si="339"/>
        <v>0</v>
      </c>
      <c r="AZ266" s="418">
        <v>0</v>
      </c>
      <c r="BA266" s="418">
        <v>0</v>
      </c>
      <c r="BB266" s="418">
        <v>0</v>
      </c>
      <c r="BC266" s="418">
        <v>0</v>
      </c>
      <c r="BD266" s="418">
        <v>0</v>
      </c>
      <c r="BE266" s="418">
        <v>0</v>
      </c>
      <c r="BF266" s="418">
        <v>0</v>
      </c>
      <c r="BG266" s="418">
        <v>0</v>
      </c>
      <c r="BH266" s="418">
        <v>0</v>
      </c>
      <c r="BI266" s="418">
        <f t="shared" si="340"/>
        <v>0</v>
      </c>
      <c r="BJ266" s="418">
        <f t="shared" si="341"/>
        <v>0</v>
      </c>
      <c r="BK266" s="420">
        <f t="shared" si="342"/>
        <v>0</v>
      </c>
      <c r="BL266" s="772">
        <f>I266+AY266</f>
        <v>1301253</v>
      </c>
      <c r="BM266" s="417">
        <f>J266+AG266</f>
        <v>957903</v>
      </c>
      <c r="BN266" s="417">
        <f t="shared" si="412"/>
        <v>957903</v>
      </c>
      <c r="BO266" s="417">
        <f t="shared" si="412"/>
        <v>0</v>
      </c>
      <c r="BP266" s="417">
        <f>M266+AO266</f>
        <v>0</v>
      </c>
      <c r="BQ266" s="417">
        <f t="shared" si="413"/>
        <v>0</v>
      </c>
      <c r="BR266" s="417">
        <f t="shared" si="413"/>
        <v>0</v>
      </c>
      <c r="BS266" s="417">
        <f t="shared" si="414"/>
        <v>323771</v>
      </c>
      <c r="BT266" s="417">
        <f t="shared" si="414"/>
        <v>9579</v>
      </c>
      <c r="BU266" s="417">
        <f>R266+AX266</f>
        <v>10000</v>
      </c>
      <c r="BV266" s="418">
        <f>S266+BK266</f>
        <v>2.59</v>
      </c>
      <c r="BW266" s="418">
        <f t="shared" si="415"/>
        <v>2.59</v>
      </c>
      <c r="BX266" s="420">
        <f t="shared" si="415"/>
        <v>0</v>
      </c>
      <c r="BY266" s="419"/>
      <c r="BZ266" s="414"/>
      <c r="CA266" s="414"/>
      <c r="CB266" s="414"/>
      <c r="CC266" s="414"/>
      <c r="CD266" s="422"/>
      <c r="CE266" s="419">
        <f t="shared" si="343"/>
        <v>0</v>
      </c>
      <c r="CF266" s="414">
        <v>0</v>
      </c>
      <c r="CG266" s="414">
        <v>0</v>
      </c>
      <c r="CH266" s="414">
        <v>0</v>
      </c>
      <c r="CI266" s="414">
        <v>0</v>
      </c>
      <c r="CJ266" s="509">
        <v>0</v>
      </c>
    </row>
    <row r="267" spans="1:88" ht="14.1" customHeight="1">
      <c r="A267" s="66">
        <v>54</v>
      </c>
      <c r="B267" s="63">
        <v>2434</v>
      </c>
      <c r="C267" s="64">
        <v>600079317</v>
      </c>
      <c r="D267" s="63">
        <v>46746480</v>
      </c>
      <c r="E267" s="65" t="s">
        <v>643</v>
      </c>
      <c r="F267" s="66">
        <v>3141</v>
      </c>
      <c r="G267" s="65" t="s">
        <v>294</v>
      </c>
      <c r="H267" s="67" t="s">
        <v>272</v>
      </c>
      <c r="I267" s="419">
        <v>2142940</v>
      </c>
      <c r="J267" s="414">
        <v>1583386</v>
      </c>
      <c r="K267" s="414">
        <v>0</v>
      </c>
      <c r="L267" s="744">
        <v>1583386</v>
      </c>
      <c r="M267" s="414">
        <v>0</v>
      </c>
      <c r="N267" s="204">
        <v>0</v>
      </c>
      <c r="O267" s="204">
        <v>0</v>
      </c>
      <c r="P267" s="595">
        <v>535184</v>
      </c>
      <c r="Q267" s="595">
        <v>15834</v>
      </c>
      <c r="R267" s="601">
        <v>8536</v>
      </c>
      <c r="S267" s="415">
        <v>4.7466999999999997</v>
      </c>
      <c r="T267" s="603">
        <v>0</v>
      </c>
      <c r="U267" s="731">
        <v>4.7466999999999997</v>
      </c>
      <c r="V267" s="423">
        <f t="shared" si="325"/>
        <v>0</v>
      </c>
      <c r="W267" s="417">
        <f t="shared" si="326"/>
        <v>0</v>
      </c>
      <c r="X267" s="417">
        <v>0</v>
      </c>
      <c r="Y267" s="417">
        <v>0</v>
      </c>
      <c r="Z267" s="417">
        <v>0</v>
      </c>
      <c r="AA267" s="417">
        <v>11983</v>
      </c>
      <c r="AB267" s="417">
        <v>0</v>
      </c>
      <c r="AC267" s="417">
        <v>0</v>
      </c>
      <c r="AD267" s="417">
        <v>0</v>
      </c>
      <c r="AE267" s="417">
        <f t="shared" si="327"/>
        <v>0</v>
      </c>
      <c r="AF267" s="417">
        <f t="shared" si="328"/>
        <v>11983</v>
      </c>
      <c r="AG267" s="417">
        <f t="shared" si="329"/>
        <v>11983</v>
      </c>
      <c r="AH267" s="417">
        <v>0</v>
      </c>
      <c r="AI267" s="417">
        <v>0</v>
      </c>
      <c r="AJ267" s="417">
        <v>0</v>
      </c>
      <c r="AK267" s="417">
        <v>0</v>
      </c>
      <c r="AL267" s="417">
        <v>0</v>
      </c>
      <c r="AM267" s="417">
        <f t="shared" si="330"/>
        <v>0</v>
      </c>
      <c r="AN267" s="417">
        <f t="shared" si="331"/>
        <v>0</v>
      </c>
      <c r="AO267" s="417">
        <f t="shared" si="332"/>
        <v>0</v>
      </c>
      <c r="AP267" s="417">
        <f t="shared" si="333"/>
        <v>0</v>
      </c>
      <c r="AQ267" s="417">
        <f t="shared" si="334"/>
        <v>11983</v>
      </c>
      <c r="AR267" s="417">
        <f t="shared" si="335"/>
        <v>11983</v>
      </c>
      <c r="AS267" s="68">
        <f t="shared" si="336"/>
        <v>4050</v>
      </c>
      <c r="AT267" s="68">
        <f t="shared" si="337"/>
        <v>120</v>
      </c>
      <c r="AU267" s="417">
        <v>0</v>
      </c>
      <c r="AV267" s="417">
        <v>0</v>
      </c>
      <c r="AW267" s="417">
        <v>0</v>
      </c>
      <c r="AX267" s="417">
        <f t="shared" si="338"/>
        <v>0</v>
      </c>
      <c r="AY267" s="417">
        <f t="shared" si="339"/>
        <v>16153</v>
      </c>
      <c r="AZ267" s="418">
        <v>0</v>
      </c>
      <c r="BA267" s="418">
        <v>0</v>
      </c>
      <c r="BB267" s="418">
        <v>0</v>
      </c>
      <c r="BC267" s="418">
        <v>0</v>
      </c>
      <c r="BD267" s="418">
        <v>0.03</v>
      </c>
      <c r="BE267" s="418">
        <v>0</v>
      </c>
      <c r="BF267" s="418">
        <v>0</v>
      </c>
      <c r="BG267" s="418">
        <v>0</v>
      </c>
      <c r="BH267" s="418">
        <v>0</v>
      </c>
      <c r="BI267" s="418">
        <f t="shared" si="340"/>
        <v>0</v>
      </c>
      <c r="BJ267" s="418">
        <f t="shared" si="341"/>
        <v>0.03</v>
      </c>
      <c r="BK267" s="420">
        <f t="shared" si="342"/>
        <v>0.03</v>
      </c>
      <c r="BL267" s="772">
        <f>I267+AY267</f>
        <v>2159093</v>
      </c>
      <c r="BM267" s="417">
        <f>J267+AG267</f>
        <v>1595369</v>
      </c>
      <c r="BN267" s="417">
        <f t="shared" si="412"/>
        <v>0</v>
      </c>
      <c r="BO267" s="417">
        <f t="shared" si="412"/>
        <v>1595369</v>
      </c>
      <c r="BP267" s="417">
        <f>M267+AO267</f>
        <v>0</v>
      </c>
      <c r="BQ267" s="417">
        <f t="shared" si="413"/>
        <v>0</v>
      </c>
      <c r="BR267" s="417">
        <f t="shared" si="413"/>
        <v>0</v>
      </c>
      <c r="BS267" s="417">
        <f t="shared" si="414"/>
        <v>539234</v>
      </c>
      <c r="BT267" s="417">
        <f t="shared" si="414"/>
        <v>15954</v>
      </c>
      <c r="BU267" s="417">
        <f>R267+AX267</f>
        <v>8536</v>
      </c>
      <c r="BV267" s="418">
        <f>S267+BK267</f>
        <v>4.7766999999999999</v>
      </c>
      <c r="BW267" s="418">
        <f t="shared" si="415"/>
        <v>0</v>
      </c>
      <c r="BX267" s="420">
        <f t="shared" si="415"/>
        <v>4.7766999999999999</v>
      </c>
      <c r="BY267" s="419"/>
      <c r="BZ267" s="414"/>
      <c r="CA267" s="414"/>
      <c r="CB267" s="414"/>
      <c r="CC267" s="414"/>
      <c r="CD267" s="422"/>
      <c r="CE267" s="419">
        <f t="shared" si="343"/>
        <v>0</v>
      </c>
      <c r="CF267" s="414">
        <v>0</v>
      </c>
      <c r="CG267" s="414">
        <v>0</v>
      </c>
      <c r="CH267" s="414">
        <v>0</v>
      </c>
      <c r="CI267" s="414">
        <v>0</v>
      </c>
      <c r="CJ267" s="509">
        <v>0</v>
      </c>
    </row>
    <row r="268" spans="1:88" ht="14.1" customHeight="1">
      <c r="A268" s="72">
        <v>54</v>
      </c>
      <c r="B268" s="69">
        <v>2434</v>
      </c>
      <c r="C268" s="70">
        <v>600079317</v>
      </c>
      <c r="D268" s="69">
        <v>46746480</v>
      </c>
      <c r="E268" s="71" t="s">
        <v>644</v>
      </c>
      <c r="F268" s="72"/>
      <c r="G268" s="71"/>
      <c r="H268" s="73"/>
      <c r="I268" s="516">
        <v>18348948</v>
      </c>
      <c r="J268" s="74">
        <v>13544519</v>
      </c>
      <c r="K268" s="74">
        <v>10339010</v>
      </c>
      <c r="L268" s="74">
        <v>3205509</v>
      </c>
      <c r="M268" s="74">
        <v>0</v>
      </c>
      <c r="N268" s="74">
        <v>0</v>
      </c>
      <c r="O268" s="74">
        <v>0</v>
      </c>
      <c r="P268" s="74">
        <v>4578047</v>
      </c>
      <c r="Q268" s="74">
        <v>135446</v>
      </c>
      <c r="R268" s="74">
        <v>90936</v>
      </c>
      <c r="S268" s="75">
        <v>28.991499999999998</v>
      </c>
      <c r="T268" s="75">
        <v>18.59</v>
      </c>
      <c r="U268" s="653">
        <v>10.401499999999999</v>
      </c>
      <c r="V268" s="516">
        <f t="shared" ref="V268:BX268" si="416">SUM(V265:V267)</f>
        <v>-24700</v>
      </c>
      <c r="W268" s="74">
        <f t="shared" si="416"/>
        <v>0</v>
      </c>
      <c r="X268" s="74">
        <f t="shared" si="416"/>
        <v>0</v>
      </c>
      <c r="Y268" s="74">
        <f t="shared" si="416"/>
        <v>0</v>
      </c>
      <c r="Z268" s="74">
        <f t="shared" si="416"/>
        <v>0</v>
      </c>
      <c r="AA268" s="74">
        <f t="shared" si="416"/>
        <v>11983</v>
      </c>
      <c r="AB268" s="74">
        <f t="shared" si="416"/>
        <v>0</v>
      </c>
      <c r="AC268" s="74">
        <f t="shared" si="416"/>
        <v>0</v>
      </c>
      <c r="AD268" s="74">
        <f t="shared" si="416"/>
        <v>0</v>
      </c>
      <c r="AE268" s="74">
        <f t="shared" si="416"/>
        <v>-24700</v>
      </c>
      <c r="AF268" s="74">
        <f t="shared" si="416"/>
        <v>11983</v>
      </c>
      <c r="AG268" s="74">
        <f t="shared" si="416"/>
        <v>-12717</v>
      </c>
      <c r="AH268" s="74">
        <f t="shared" si="416"/>
        <v>24700</v>
      </c>
      <c r="AI268" s="74">
        <f t="shared" si="416"/>
        <v>0</v>
      </c>
      <c r="AJ268" s="74">
        <f t="shared" si="416"/>
        <v>0</v>
      </c>
      <c r="AK268" s="74">
        <f t="shared" si="416"/>
        <v>0</v>
      </c>
      <c r="AL268" s="74">
        <f t="shared" si="416"/>
        <v>0</v>
      </c>
      <c r="AM268" s="74">
        <f t="shared" si="416"/>
        <v>24700</v>
      </c>
      <c r="AN268" s="74">
        <f t="shared" si="416"/>
        <v>0</v>
      </c>
      <c r="AO268" s="74">
        <f t="shared" si="416"/>
        <v>24700</v>
      </c>
      <c r="AP268" s="74">
        <f t="shared" si="416"/>
        <v>0</v>
      </c>
      <c r="AQ268" s="74">
        <f t="shared" si="416"/>
        <v>11983</v>
      </c>
      <c r="AR268" s="74">
        <f t="shared" si="416"/>
        <v>11983</v>
      </c>
      <c r="AS268" s="74">
        <f t="shared" si="416"/>
        <v>4050</v>
      </c>
      <c r="AT268" s="74">
        <f t="shared" si="416"/>
        <v>-127</v>
      </c>
      <c r="AU268" s="74">
        <f t="shared" si="416"/>
        <v>0</v>
      </c>
      <c r="AV268" s="74">
        <f t="shared" si="416"/>
        <v>0</v>
      </c>
      <c r="AW268" s="74">
        <f t="shared" si="416"/>
        <v>0</v>
      </c>
      <c r="AX268" s="74">
        <f t="shared" si="416"/>
        <v>0</v>
      </c>
      <c r="AY268" s="74">
        <f t="shared" si="416"/>
        <v>15906</v>
      </c>
      <c r="AZ268" s="75">
        <f t="shared" si="416"/>
        <v>0</v>
      </c>
      <c r="BA268" s="75">
        <f t="shared" si="416"/>
        <v>0</v>
      </c>
      <c r="BB268" s="75">
        <f t="shared" si="416"/>
        <v>0</v>
      </c>
      <c r="BC268" s="75">
        <f t="shared" si="416"/>
        <v>0</v>
      </c>
      <c r="BD268" s="75">
        <f t="shared" si="416"/>
        <v>0.03</v>
      </c>
      <c r="BE268" s="75">
        <f t="shared" si="416"/>
        <v>0</v>
      </c>
      <c r="BF268" s="75">
        <f t="shared" si="416"/>
        <v>0</v>
      </c>
      <c r="BG268" s="75">
        <f t="shared" si="416"/>
        <v>0</v>
      </c>
      <c r="BH268" s="75">
        <f t="shared" si="416"/>
        <v>0</v>
      </c>
      <c r="BI268" s="75">
        <f t="shared" si="416"/>
        <v>0</v>
      </c>
      <c r="BJ268" s="75">
        <f t="shared" si="416"/>
        <v>0.03</v>
      </c>
      <c r="BK268" s="76">
        <f t="shared" si="416"/>
        <v>0.03</v>
      </c>
      <c r="BL268" s="781">
        <f t="shared" si="416"/>
        <v>18364854</v>
      </c>
      <c r="BM268" s="74">
        <f t="shared" si="416"/>
        <v>13531802</v>
      </c>
      <c r="BN268" s="74">
        <f t="shared" si="416"/>
        <v>10314310</v>
      </c>
      <c r="BO268" s="74">
        <f t="shared" si="416"/>
        <v>3217492</v>
      </c>
      <c r="BP268" s="74">
        <f t="shared" si="416"/>
        <v>24700</v>
      </c>
      <c r="BQ268" s="74">
        <f t="shared" si="416"/>
        <v>24700</v>
      </c>
      <c r="BR268" s="74">
        <f t="shared" si="416"/>
        <v>0</v>
      </c>
      <c r="BS268" s="74">
        <f t="shared" si="416"/>
        <v>4582097</v>
      </c>
      <c r="BT268" s="74">
        <f t="shared" si="416"/>
        <v>135319</v>
      </c>
      <c r="BU268" s="74">
        <f t="shared" si="416"/>
        <v>90936</v>
      </c>
      <c r="BV268" s="75">
        <f t="shared" si="416"/>
        <v>29.021499999999996</v>
      </c>
      <c r="BW268" s="75">
        <f t="shared" si="416"/>
        <v>18.59</v>
      </c>
      <c r="BX268" s="76">
        <f t="shared" si="416"/>
        <v>10.4315</v>
      </c>
      <c r="BY268" s="791">
        <f t="shared" ref="BY268:CJ268" si="417">SUM(BY265:BY267)</f>
        <v>0</v>
      </c>
      <c r="BZ268" s="679">
        <f t="shared" si="417"/>
        <v>0</v>
      </c>
      <c r="CA268" s="679">
        <f t="shared" si="417"/>
        <v>0</v>
      </c>
      <c r="CB268" s="679">
        <f t="shared" si="417"/>
        <v>0</v>
      </c>
      <c r="CC268" s="679">
        <f t="shared" si="417"/>
        <v>0</v>
      </c>
      <c r="CD268" s="947">
        <f t="shared" si="417"/>
        <v>0</v>
      </c>
      <c r="CE268" s="956">
        <f t="shared" si="417"/>
        <v>725680</v>
      </c>
      <c r="CF268" s="953">
        <f t="shared" si="417"/>
        <v>520480</v>
      </c>
      <c r="CG268" s="953">
        <f t="shared" si="417"/>
        <v>175922</v>
      </c>
      <c r="CH268" s="953">
        <f t="shared" si="417"/>
        <v>5205</v>
      </c>
      <c r="CI268" s="953">
        <f t="shared" si="417"/>
        <v>24073</v>
      </c>
      <c r="CJ268" s="877">
        <f t="shared" si="417"/>
        <v>1.8144</v>
      </c>
    </row>
    <row r="269" spans="1:88" ht="14.1" customHeight="1">
      <c r="A269" s="66">
        <v>55</v>
      </c>
      <c r="B269" s="63">
        <v>2484</v>
      </c>
      <c r="C269" s="64">
        <v>600079864</v>
      </c>
      <c r="D269" s="63">
        <v>46746145</v>
      </c>
      <c r="E269" s="65" t="s">
        <v>645</v>
      </c>
      <c r="F269" s="66">
        <v>3113</v>
      </c>
      <c r="G269" s="65" t="s">
        <v>293</v>
      </c>
      <c r="H269" s="67" t="s">
        <v>271</v>
      </c>
      <c r="I269" s="419">
        <v>51009080</v>
      </c>
      <c r="J269" s="414">
        <v>36413147</v>
      </c>
      <c r="K269" s="414">
        <v>33100383</v>
      </c>
      <c r="L269" s="414">
        <v>3312764</v>
      </c>
      <c r="M269" s="414">
        <v>704000</v>
      </c>
      <c r="N269" s="414">
        <v>664000</v>
      </c>
      <c r="O269" s="414">
        <v>40000</v>
      </c>
      <c r="P269" s="595">
        <v>12545596</v>
      </c>
      <c r="Q269" s="595">
        <v>364132</v>
      </c>
      <c r="R269" s="414">
        <v>982205</v>
      </c>
      <c r="S269" s="415">
        <v>56.750499999999995</v>
      </c>
      <c r="T269" s="415">
        <v>46.551499999999997</v>
      </c>
      <c r="U269" s="422">
        <v>10.199000000000002</v>
      </c>
      <c r="V269" s="423">
        <f t="shared" si="325"/>
        <v>0</v>
      </c>
      <c r="W269" s="417">
        <f t="shared" si="326"/>
        <v>0</v>
      </c>
      <c r="X269" s="417">
        <v>0</v>
      </c>
      <c r="Y269" s="417">
        <v>0</v>
      </c>
      <c r="Z269" s="417">
        <v>-54386</v>
      </c>
      <c r="AA269" s="417">
        <v>0</v>
      </c>
      <c r="AB269" s="417">
        <v>0</v>
      </c>
      <c r="AC269" s="417">
        <v>0</v>
      </c>
      <c r="AD269" s="417">
        <v>0</v>
      </c>
      <c r="AE269" s="417">
        <f t="shared" si="327"/>
        <v>-54386</v>
      </c>
      <c r="AF269" s="417">
        <f t="shared" si="328"/>
        <v>0</v>
      </c>
      <c r="AG269" s="417">
        <f t="shared" si="329"/>
        <v>-54386</v>
      </c>
      <c r="AH269" s="417">
        <v>0</v>
      </c>
      <c r="AI269" s="417">
        <v>0</v>
      </c>
      <c r="AJ269" s="417">
        <v>0</v>
      </c>
      <c r="AK269" s="417">
        <v>0</v>
      </c>
      <c r="AL269" s="417">
        <v>0</v>
      </c>
      <c r="AM269" s="417">
        <f t="shared" si="330"/>
        <v>0</v>
      </c>
      <c r="AN269" s="417">
        <f t="shared" si="331"/>
        <v>0</v>
      </c>
      <c r="AO269" s="417">
        <f t="shared" si="332"/>
        <v>0</v>
      </c>
      <c r="AP269" s="417">
        <f t="shared" si="333"/>
        <v>-54386</v>
      </c>
      <c r="AQ269" s="417">
        <f t="shared" si="334"/>
        <v>0</v>
      </c>
      <c r="AR269" s="417">
        <f t="shared" si="335"/>
        <v>-54386</v>
      </c>
      <c r="AS269" s="68">
        <f t="shared" si="336"/>
        <v>-18382</v>
      </c>
      <c r="AT269" s="68">
        <f t="shared" si="337"/>
        <v>-544</v>
      </c>
      <c r="AU269" s="417">
        <v>0</v>
      </c>
      <c r="AV269" s="417">
        <v>0</v>
      </c>
      <c r="AW269" s="417">
        <v>0</v>
      </c>
      <c r="AX269" s="417">
        <f t="shared" si="338"/>
        <v>0</v>
      </c>
      <c r="AY269" s="417">
        <f t="shared" si="339"/>
        <v>-73312</v>
      </c>
      <c r="AZ269" s="418">
        <v>0</v>
      </c>
      <c r="BA269" s="418">
        <v>0</v>
      </c>
      <c r="BB269" s="418">
        <v>0</v>
      </c>
      <c r="BC269" s="418">
        <v>-0.11</v>
      </c>
      <c r="BD269" s="418">
        <v>0</v>
      </c>
      <c r="BE269" s="418">
        <v>0</v>
      </c>
      <c r="BF269" s="418">
        <v>0</v>
      </c>
      <c r="BG269" s="418">
        <v>0</v>
      </c>
      <c r="BH269" s="418">
        <v>0</v>
      </c>
      <c r="BI269" s="418">
        <f t="shared" si="340"/>
        <v>-0.11</v>
      </c>
      <c r="BJ269" s="418">
        <f t="shared" si="341"/>
        <v>0</v>
      </c>
      <c r="BK269" s="420">
        <f t="shared" si="342"/>
        <v>-0.11</v>
      </c>
      <c r="BL269" s="772">
        <f>I269+AY269</f>
        <v>50935768</v>
      </c>
      <c r="BM269" s="417">
        <f>J269+AG269</f>
        <v>36358761</v>
      </c>
      <c r="BN269" s="417">
        <f t="shared" ref="BN269:BO273" si="418">K269+AE269</f>
        <v>33045997</v>
      </c>
      <c r="BO269" s="417">
        <f t="shared" si="418"/>
        <v>3312764</v>
      </c>
      <c r="BP269" s="417">
        <f>M269+AO269</f>
        <v>704000</v>
      </c>
      <c r="BQ269" s="417">
        <f t="shared" ref="BQ269:BR273" si="419">N269+AM269</f>
        <v>664000</v>
      </c>
      <c r="BR269" s="417">
        <f t="shared" si="419"/>
        <v>40000</v>
      </c>
      <c r="BS269" s="417">
        <f t="shared" ref="BS269:BT273" si="420">P269+AS269</f>
        <v>12527214</v>
      </c>
      <c r="BT269" s="417">
        <f t="shared" si="420"/>
        <v>363588</v>
      </c>
      <c r="BU269" s="417">
        <f>R269+AX269</f>
        <v>982205</v>
      </c>
      <c r="BV269" s="418">
        <f>S269+BK269</f>
        <v>56.640499999999996</v>
      </c>
      <c r="BW269" s="418">
        <f t="shared" ref="BW269:BX273" si="421">T269+BI269</f>
        <v>46.441499999999998</v>
      </c>
      <c r="BX269" s="420">
        <f t="shared" si="421"/>
        <v>10.199000000000002</v>
      </c>
      <c r="BY269" s="419">
        <v>754632</v>
      </c>
      <c r="BZ269" s="414">
        <v>0</v>
      </c>
      <c r="CA269" s="414">
        <v>564000</v>
      </c>
      <c r="CB269" s="414">
        <v>190632</v>
      </c>
      <c r="CC269" s="414">
        <v>0</v>
      </c>
      <c r="CD269" s="422">
        <v>0</v>
      </c>
      <c r="CE269" s="419">
        <f t="shared" si="343"/>
        <v>1679707</v>
      </c>
      <c r="CF269" s="414">
        <v>1076260</v>
      </c>
      <c r="CG269" s="414">
        <v>363776</v>
      </c>
      <c r="CH269" s="414">
        <v>10763</v>
      </c>
      <c r="CI269" s="414">
        <v>228908</v>
      </c>
      <c r="CJ269" s="509">
        <v>3.2934999999999999</v>
      </c>
    </row>
    <row r="270" spans="1:88" ht="14.1" customHeight="1">
      <c r="A270" s="66">
        <v>55</v>
      </c>
      <c r="B270" s="63">
        <v>2484</v>
      </c>
      <c r="C270" s="64">
        <v>600079864</v>
      </c>
      <c r="D270" s="63">
        <v>46746145</v>
      </c>
      <c r="E270" s="65" t="s">
        <v>645</v>
      </c>
      <c r="F270" s="66">
        <v>3113</v>
      </c>
      <c r="G270" s="77" t="s">
        <v>291</v>
      </c>
      <c r="H270" s="67" t="s">
        <v>272</v>
      </c>
      <c r="I270" s="419">
        <v>5264325</v>
      </c>
      <c r="J270" s="414">
        <v>3903245</v>
      </c>
      <c r="K270" s="414">
        <v>3903245</v>
      </c>
      <c r="L270" s="414">
        <v>0</v>
      </c>
      <c r="M270" s="414">
        <v>0</v>
      </c>
      <c r="N270" s="414">
        <v>0</v>
      </c>
      <c r="O270" s="414">
        <v>0</v>
      </c>
      <c r="P270" s="595">
        <v>1319297</v>
      </c>
      <c r="Q270" s="595">
        <v>39033</v>
      </c>
      <c r="R270" s="414">
        <v>2750</v>
      </c>
      <c r="S270" s="415">
        <v>10.259999999999998</v>
      </c>
      <c r="T270" s="416">
        <v>10.259999999999998</v>
      </c>
      <c r="U270" s="422">
        <v>0</v>
      </c>
      <c r="V270" s="423">
        <f t="shared" ref="V270:V333" si="422">AH270*-1</f>
        <v>0</v>
      </c>
      <c r="W270" s="417">
        <f t="shared" ref="W270:W333" si="423">AI270*-1</f>
        <v>0</v>
      </c>
      <c r="X270" s="417">
        <f>164305+64896</f>
        <v>229201</v>
      </c>
      <c r="Y270" s="417">
        <v>0</v>
      </c>
      <c r="Z270" s="417">
        <v>0</v>
      </c>
      <c r="AA270" s="417">
        <v>0</v>
      </c>
      <c r="AB270" s="417">
        <v>0</v>
      </c>
      <c r="AC270" s="417">
        <v>0</v>
      </c>
      <c r="AD270" s="417">
        <v>0</v>
      </c>
      <c r="AE270" s="417">
        <f t="shared" ref="AE270:AE333" si="424">V270+X270+Y270+Z270+AC270</f>
        <v>229201</v>
      </c>
      <c r="AF270" s="417">
        <f t="shared" ref="AF270:AF333" si="425">W270+AA270+AD270+AB270</f>
        <v>0</v>
      </c>
      <c r="AG270" s="417">
        <f t="shared" ref="AG270:AG333" si="426">SUM(AE270:AF270)</f>
        <v>229201</v>
      </c>
      <c r="AH270" s="417">
        <v>0</v>
      </c>
      <c r="AI270" s="417">
        <v>0</v>
      </c>
      <c r="AJ270" s="417">
        <v>0</v>
      </c>
      <c r="AK270" s="417">
        <v>0</v>
      </c>
      <c r="AL270" s="417">
        <v>0</v>
      </c>
      <c r="AM270" s="417">
        <f t="shared" ref="AM270:AM333" si="427">AH270+AJ270+AK270</f>
        <v>0</v>
      </c>
      <c r="AN270" s="417">
        <f t="shared" ref="AN270:AN333" si="428">AI270+AL270</f>
        <v>0</v>
      </c>
      <c r="AO270" s="417">
        <f t="shared" ref="AO270:AO333" si="429">SUM(AM270:AN270)</f>
        <v>0</v>
      </c>
      <c r="AP270" s="417">
        <f t="shared" ref="AP270:AP333" si="430">AE270+AM270</f>
        <v>229201</v>
      </c>
      <c r="AQ270" s="417">
        <f t="shared" ref="AQ270:AQ333" si="431">AF270+AN270</f>
        <v>0</v>
      </c>
      <c r="AR270" s="417">
        <f t="shared" ref="AR270:AR333" si="432">SUM(AP270:AQ270)</f>
        <v>229201</v>
      </c>
      <c r="AS270" s="68">
        <f t="shared" ref="AS270:AS333" si="433">ROUND((AG270+AH270+AI270+AJ270)*33.8%,0)</f>
        <v>77470</v>
      </c>
      <c r="AT270" s="68">
        <f t="shared" ref="AT270:AT333" si="434">ROUND(AG270*1%,0)</f>
        <v>2292</v>
      </c>
      <c r="AU270" s="417">
        <v>7250</v>
      </c>
      <c r="AV270" s="417">
        <v>0</v>
      </c>
      <c r="AW270" s="417">
        <v>0</v>
      </c>
      <c r="AX270" s="417">
        <f t="shared" ref="AX270:AX333" si="435">SUM(AU270:AW270)</f>
        <v>7250</v>
      </c>
      <c r="AY270" s="417">
        <f t="shared" ref="AY270:AY333" si="436">AR270+AS270+AT270+AX270</f>
        <v>316213</v>
      </c>
      <c r="AZ270" s="418">
        <v>0</v>
      </c>
      <c r="BA270" s="418">
        <v>0</v>
      </c>
      <c r="BB270" s="418">
        <f>0.44+0.22</f>
        <v>0.66</v>
      </c>
      <c r="BC270" s="418">
        <v>0</v>
      </c>
      <c r="BD270" s="418">
        <v>0</v>
      </c>
      <c r="BE270" s="418">
        <v>0</v>
      </c>
      <c r="BF270" s="418">
        <v>0</v>
      </c>
      <c r="BG270" s="418">
        <v>0</v>
      </c>
      <c r="BH270" s="418">
        <v>0</v>
      </c>
      <c r="BI270" s="418">
        <f t="shared" ref="BI270:BI333" si="437">AZ270+BB270+BC270+BE270+BG270</f>
        <v>0.66</v>
      </c>
      <c r="BJ270" s="418">
        <f t="shared" ref="BJ270:BJ333" si="438">BA270+BD270+BH270+BF270</f>
        <v>0</v>
      </c>
      <c r="BK270" s="420">
        <f t="shared" ref="BK270:BK333" si="439">SUM(BI270:BJ270)</f>
        <v>0.66</v>
      </c>
      <c r="BL270" s="772">
        <f>I270+AY270</f>
        <v>5580538</v>
      </c>
      <c r="BM270" s="417">
        <f>J270+AG270</f>
        <v>4132446</v>
      </c>
      <c r="BN270" s="417">
        <f t="shared" si="418"/>
        <v>4132446</v>
      </c>
      <c r="BO270" s="417">
        <f t="shared" si="418"/>
        <v>0</v>
      </c>
      <c r="BP270" s="417">
        <f>M270+AO270</f>
        <v>0</v>
      </c>
      <c r="BQ270" s="417">
        <f t="shared" si="419"/>
        <v>0</v>
      </c>
      <c r="BR270" s="417">
        <f t="shared" si="419"/>
        <v>0</v>
      </c>
      <c r="BS270" s="417">
        <f t="shared" si="420"/>
        <v>1396767</v>
      </c>
      <c r="BT270" s="417">
        <f t="shared" si="420"/>
        <v>41325</v>
      </c>
      <c r="BU270" s="417">
        <f>R270+AX270</f>
        <v>10000</v>
      </c>
      <c r="BV270" s="418">
        <f>S270+BK270</f>
        <v>10.919999999999998</v>
      </c>
      <c r="BW270" s="418">
        <f t="shared" si="421"/>
        <v>10.919999999999998</v>
      </c>
      <c r="BX270" s="420">
        <f t="shared" si="421"/>
        <v>0</v>
      </c>
      <c r="BY270" s="419"/>
      <c r="BZ270" s="414"/>
      <c r="CA270" s="414"/>
      <c r="CB270" s="414"/>
      <c r="CC270" s="414"/>
      <c r="CD270" s="422"/>
      <c r="CE270" s="419">
        <f t="shared" ref="CE270:CE333" si="440">SUM(CF270:CI270)</f>
        <v>0</v>
      </c>
      <c r="CF270" s="414">
        <v>0</v>
      </c>
      <c r="CG270" s="414">
        <v>0</v>
      </c>
      <c r="CH270" s="414">
        <v>0</v>
      </c>
      <c r="CI270" s="414">
        <v>0</v>
      </c>
      <c r="CJ270" s="509">
        <v>0</v>
      </c>
    </row>
    <row r="271" spans="1:88" ht="14.1" customHeight="1">
      <c r="A271" s="66">
        <v>55</v>
      </c>
      <c r="B271" s="63">
        <v>2484</v>
      </c>
      <c r="C271" s="64">
        <v>600079864</v>
      </c>
      <c r="D271" s="63">
        <v>46746145</v>
      </c>
      <c r="E271" s="65" t="s">
        <v>645</v>
      </c>
      <c r="F271" s="66">
        <v>3141</v>
      </c>
      <c r="G271" s="65" t="s">
        <v>294</v>
      </c>
      <c r="H271" s="67" t="s">
        <v>272</v>
      </c>
      <c r="I271" s="419">
        <v>3941225</v>
      </c>
      <c r="J271" s="414">
        <v>2829125</v>
      </c>
      <c r="K271" s="414">
        <v>0</v>
      </c>
      <c r="L271" s="744">
        <v>2829125</v>
      </c>
      <c r="M271" s="414">
        <v>70000</v>
      </c>
      <c r="N271" s="204">
        <v>0</v>
      </c>
      <c r="O271" s="204">
        <v>70000</v>
      </c>
      <c r="P271" s="595">
        <v>979904</v>
      </c>
      <c r="Q271" s="595">
        <v>28292</v>
      </c>
      <c r="R271" s="601">
        <v>33904</v>
      </c>
      <c r="S271" s="415">
        <v>8.6033000000000008</v>
      </c>
      <c r="T271" s="603">
        <v>0</v>
      </c>
      <c r="U271" s="731">
        <v>8.6033000000000008</v>
      </c>
      <c r="V271" s="423">
        <f t="shared" si="422"/>
        <v>0</v>
      </c>
      <c r="W271" s="417">
        <f t="shared" si="423"/>
        <v>0</v>
      </c>
      <c r="X271" s="417">
        <v>0</v>
      </c>
      <c r="Y271" s="417">
        <v>0</v>
      </c>
      <c r="Z271" s="417">
        <v>0</v>
      </c>
      <c r="AA271" s="417">
        <v>-14285</v>
      </c>
      <c r="AB271" s="417">
        <v>0</v>
      </c>
      <c r="AC271" s="417">
        <v>0</v>
      </c>
      <c r="AD271" s="417">
        <v>0</v>
      </c>
      <c r="AE271" s="417">
        <f t="shared" si="424"/>
        <v>0</v>
      </c>
      <c r="AF271" s="417">
        <f t="shared" si="425"/>
        <v>-14285</v>
      </c>
      <c r="AG271" s="417">
        <f t="shared" si="426"/>
        <v>-14285</v>
      </c>
      <c r="AH271" s="417">
        <v>0</v>
      </c>
      <c r="AI271" s="417">
        <v>0</v>
      </c>
      <c r="AJ271" s="417">
        <v>0</v>
      </c>
      <c r="AK271" s="417">
        <v>0</v>
      </c>
      <c r="AL271" s="417">
        <v>0</v>
      </c>
      <c r="AM271" s="417">
        <f t="shared" si="427"/>
        <v>0</v>
      </c>
      <c r="AN271" s="417">
        <f t="shared" si="428"/>
        <v>0</v>
      </c>
      <c r="AO271" s="417">
        <f t="shared" si="429"/>
        <v>0</v>
      </c>
      <c r="AP271" s="417">
        <f t="shared" si="430"/>
        <v>0</v>
      </c>
      <c r="AQ271" s="417">
        <f t="shared" si="431"/>
        <v>-14285</v>
      </c>
      <c r="AR271" s="417">
        <f t="shared" si="432"/>
        <v>-14285</v>
      </c>
      <c r="AS271" s="68">
        <f t="shared" si="433"/>
        <v>-4828</v>
      </c>
      <c r="AT271" s="68">
        <f t="shared" si="434"/>
        <v>-143</v>
      </c>
      <c r="AU271" s="417">
        <v>0</v>
      </c>
      <c r="AV271" s="417">
        <v>0</v>
      </c>
      <c r="AW271" s="417">
        <v>0</v>
      </c>
      <c r="AX271" s="417">
        <f t="shared" si="435"/>
        <v>0</v>
      </c>
      <c r="AY271" s="417">
        <f t="shared" si="436"/>
        <v>-19256</v>
      </c>
      <c r="AZ271" s="418">
        <v>0</v>
      </c>
      <c r="BA271" s="418">
        <v>0</v>
      </c>
      <c r="BB271" s="418">
        <v>0</v>
      </c>
      <c r="BC271" s="418">
        <v>0</v>
      </c>
      <c r="BD271" s="418">
        <v>-0.04</v>
      </c>
      <c r="BE271" s="418">
        <v>0</v>
      </c>
      <c r="BF271" s="418">
        <v>0</v>
      </c>
      <c r="BG271" s="418">
        <v>0</v>
      </c>
      <c r="BH271" s="418">
        <v>0</v>
      </c>
      <c r="BI271" s="418">
        <f t="shared" si="437"/>
        <v>0</v>
      </c>
      <c r="BJ271" s="418">
        <f t="shared" si="438"/>
        <v>-0.04</v>
      </c>
      <c r="BK271" s="420">
        <f t="shared" si="439"/>
        <v>-0.04</v>
      </c>
      <c r="BL271" s="772">
        <f>I271+AY271</f>
        <v>3921969</v>
      </c>
      <c r="BM271" s="417">
        <f>J271+AG271</f>
        <v>2814840</v>
      </c>
      <c r="BN271" s="417">
        <f t="shared" si="418"/>
        <v>0</v>
      </c>
      <c r="BO271" s="417">
        <f t="shared" si="418"/>
        <v>2814840</v>
      </c>
      <c r="BP271" s="417">
        <f>M271+AO271</f>
        <v>70000</v>
      </c>
      <c r="BQ271" s="417">
        <f t="shared" si="419"/>
        <v>0</v>
      </c>
      <c r="BR271" s="417">
        <f t="shared" si="419"/>
        <v>70000</v>
      </c>
      <c r="BS271" s="417">
        <f t="shared" si="420"/>
        <v>975076</v>
      </c>
      <c r="BT271" s="417">
        <f t="shared" si="420"/>
        <v>28149</v>
      </c>
      <c r="BU271" s="417">
        <f>R271+AX271</f>
        <v>33904</v>
      </c>
      <c r="BV271" s="418">
        <f>S271+BK271</f>
        <v>8.5633000000000017</v>
      </c>
      <c r="BW271" s="418">
        <f t="shared" si="421"/>
        <v>0</v>
      </c>
      <c r="BX271" s="420">
        <f t="shared" si="421"/>
        <v>8.5633000000000017</v>
      </c>
      <c r="BY271" s="419"/>
      <c r="BZ271" s="414"/>
      <c r="CA271" s="414"/>
      <c r="CB271" s="414"/>
      <c r="CC271" s="414"/>
      <c r="CD271" s="422"/>
      <c r="CE271" s="419">
        <f t="shared" si="440"/>
        <v>0</v>
      </c>
      <c r="CF271" s="414">
        <v>0</v>
      </c>
      <c r="CG271" s="414">
        <v>0</v>
      </c>
      <c r="CH271" s="414">
        <v>0</v>
      </c>
      <c r="CI271" s="414">
        <v>0</v>
      </c>
      <c r="CJ271" s="509">
        <v>0</v>
      </c>
    </row>
    <row r="272" spans="1:88" ht="14.1" customHeight="1">
      <c r="A272" s="66">
        <v>55</v>
      </c>
      <c r="B272" s="63">
        <v>2484</v>
      </c>
      <c r="C272" s="64">
        <v>600079864</v>
      </c>
      <c r="D272" s="63">
        <v>46746145</v>
      </c>
      <c r="E272" s="65" t="s">
        <v>645</v>
      </c>
      <c r="F272" s="66">
        <v>3143</v>
      </c>
      <c r="G272" s="77" t="s">
        <v>595</v>
      </c>
      <c r="H272" s="67" t="s">
        <v>271</v>
      </c>
      <c r="I272" s="419">
        <v>4453301</v>
      </c>
      <c r="J272" s="414">
        <v>3244081</v>
      </c>
      <c r="K272" s="414">
        <v>3244081</v>
      </c>
      <c r="L272" s="414">
        <v>0</v>
      </c>
      <c r="M272" s="414">
        <v>60000</v>
      </c>
      <c r="N272" s="414">
        <v>60000</v>
      </c>
      <c r="O272" s="414">
        <v>0</v>
      </c>
      <c r="P272" s="595">
        <v>1116779</v>
      </c>
      <c r="Q272" s="595">
        <v>32441</v>
      </c>
      <c r="R272" s="414">
        <v>0</v>
      </c>
      <c r="S272" s="415">
        <v>6.4786999999999999</v>
      </c>
      <c r="T272" s="415">
        <v>6.4786999999999999</v>
      </c>
      <c r="U272" s="422">
        <v>0</v>
      </c>
      <c r="V272" s="423">
        <f t="shared" si="422"/>
        <v>0</v>
      </c>
      <c r="W272" s="417">
        <f t="shared" si="423"/>
        <v>0</v>
      </c>
      <c r="X272" s="417">
        <v>0</v>
      </c>
      <c r="Y272" s="417">
        <v>0</v>
      </c>
      <c r="Z272" s="417">
        <v>0</v>
      </c>
      <c r="AA272" s="417">
        <v>0</v>
      </c>
      <c r="AB272" s="417">
        <v>0</v>
      </c>
      <c r="AC272" s="417">
        <v>0</v>
      </c>
      <c r="AD272" s="417">
        <v>0</v>
      </c>
      <c r="AE272" s="417">
        <f t="shared" si="424"/>
        <v>0</v>
      </c>
      <c r="AF272" s="417">
        <f t="shared" si="425"/>
        <v>0</v>
      </c>
      <c r="AG272" s="417">
        <f t="shared" si="426"/>
        <v>0</v>
      </c>
      <c r="AH272" s="417">
        <v>0</v>
      </c>
      <c r="AI272" s="417">
        <v>0</v>
      </c>
      <c r="AJ272" s="417">
        <v>0</v>
      </c>
      <c r="AK272" s="417">
        <v>0</v>
      </c>
      <c r="AL272" s="417">
        <v>0</v>
      </c>
      <c r="AM272" s="417">
        <f t="shared" si="427"/>
        <v>0</v>
      </c>
      <c r="AN272" s="417">
        <f t="shared" si="428"/>
        <v>0</v>
      </c>
      <c r="AO272" s="417">
        <f t="shared" si="429"/>
        <v>0</v>
      </c>
      <c r="AP272" s="417">
        <f t="shared" si="430"/>
        <v>0</v>
      </c>
      <c r="AQ272" s="417">
        <f t="shared" si="431"/>
        <v>0</v>
      </c>
      <c r="AR272" s="417">
        <f t="shared" si="432"/>
        <v>0</v>
      </c>
      <c r="AS272" s="68">
        <f t="shared" si="433"/>
        <v>0</v>
      </c>
      <c r="AT272" s="68">
        <f t="shared" si="434"/>
        <v>0</v>
      </c>
      <c r="AU272" s="417">
        <v>0</v>
      </c>
      <c r="AV272" s="417">
        <v>0</v>
      </c>
      <c r="AW272" s="417">
        <v>0</v>
      </c>
      <c r="AX272" s="417">
        <f t="shared" si="435"/>
        <v>0</v>
      </c>
      <c r="AY272" s="417">
        <f t="shared" si="436"/>
        <v>0</v>
      </c>
      <c r="AZ272" s="418">
        <v>0</v>
      </c>
      <c r="BA272" s="418">
        <v>0</v>
      </c>
      <c r="BB272" s="418">
        <v>0</v>
      </c>
      <c r="BC272" s="418">
        <v>0</v>
      </c>
      <c r="BD272" s="418">
        <v>0</v>
      </c>
      <c r="BE272" s="418">
        <v>0</v>
      </c>
      <c r="BF272" s="418">
        <v>0</v>
      </c>
      <c r="BG272" s="418">
        <v>0</v>
      </c>
      <c r="BH272" s="418">
        <v>0</v>
      </c>
      <c r="BI272" s="418">
        <f t="shared" si="437"/>
        <v>0</v>
      </c>
      <c r="BJ272" s="418">
        <f t="shared" si="438"/>
        <v>0</v>
      </c>
      <c r="BK272" s="420">
        <f t="shared" si="439"/>
        <v>0</v>
      </c>
      <c r="BL272" s="772">
        <f>I272+AY272</f>
        <v>4453301</v>
      </c>
      <c r="BM272" s="417">
        <f>J272+AG272</f>
        <v>3244081</v>
      </c>
      <c r="BN272" s="417">
        <f t="shared" si="418"/>
        <v>3244081</v>
      </c>
      <c r="BO272" s="417">
        <f t="shared" si="418"/>
        <v>0</v>
      </c>
      <c r="BP272" s="417">
        <f>M272+AO272</f>
        <v>60000</v>
      </c>
      <c r="BQ272" s="417">
        <f t="shared" si="419"/>
        <v>60000</v>
      </c>
      <c r="BR272" s="417">
        <f t="shared" si="419"/>
        <v>0</v>
      </c>
      <c r="BS272" s="417">
        <f t="shared" si="420"/>
        <v>1116779</v>
      </c>
      <c r="BT272" s="417">
        <f t="shared" si="420"/>
        <v>32441</v>
      </c>
      <c r="BU272" s="417">
        <f>R272+AX272</f>
        <v>0</v>
      </c>
      <c r="BV272" s="418">
        <f>S272+BK272</f>
        <v>6.4786999999999999</v>
      </c>
      <c r="BW272" s="418">
        <f t="shared" si="421"/>
        <v>6.4786999999999999</v>
      </c>
      <c r="BX272" s="420">
        <f t="shared" si="421"/>
        <v>0</v>
      </c>
      <c r="BY272" s="419"/>
      <c r="BZ272" s="414"/>
      <c r="CA272" s="414"/>
      <c r="CB272" s="414"/>
      <c r="CC272" s="414"/>
      <c r="CD272" s="422"/>
      <c r="CE272" s="419">
        <f t="shared" si="440"/>
        <v>0</v>
      </c>
      <c r="CF272" s="414">
        <v>0</v>
      </c>
      <c r="CG272" s="414">
        <v>0</v>
      </c>
      <c r="CH272" s="414">
        <v>0</v>
      </c>
      <c r="CI272" s="414">
        <v>0</v>
      </c>
      <c r="CJ272" s="509">
        <v>0</v>
      </c>
    </row>
    <row r="273" spans="1:90" ht="14.1" customHeight="1">
      <c r="A273" s="66">
        <v>55</v>
      </c>
      <c r="B273" s="63">
        <v>2484</v>
      </c>
      <c r="C273" s="64">
        <v>600079864</v>
      </c>
      <c r="D273" s="63">
        <v>46746145</v>
      </c>
      <c r="E273" s="65" t="s">
        <v>645</v>
      </c>
      <c r="F273" s="66">
        <v>3143</v>
      </c>
      <c r="G273" s="77" t="s">
        <v>596</v>
      </c>
      <c r="H273" s="67" t="s">
        <v>272</v>
      </c>
      <c r="I273" s="419">
        <v>145228</v>
      </c>
      <c r="J273" s="414">
        <v>103950</v>
      </c>
      <c r="K273" s="414">
        <v>0</v>
      </c>
      <c r="L273" s="601">
        <v>103950</v>
      </c>
      <c r="M273" s="414">
        <v>0</v>
      </c>
      <c r="N273" s="414">
        <v>0</v>
      </c>
      <c r="O273" s="414">
        <v>0</v>
      </c>
      <c r="P273" s="595">
        <v>35135</v>
      </c>
      <c r="Q273" s="595">
        <v>1040</v>
      </c>
      <c r="R273" s="601">
        <v>5103</v>
      </c>
      <c r="S273" s="415">
        <v>0.39250000000000002</v>
      </c>
      <c r="T273" s="603">
        <v>0</v>
      </c>
      <c r="U273" s="731">
        <v>0.39250000000000002</v>
      </c>
      <c r="V273" s="423">
        <f t="shared" si="422"/>
        <v>0</v>
      </c>
      <c r="W273" s="417">
        <f t="shared" si="423"/>
        <v>0</v>
      </c>
      <c r="X273" s="417">
        <v>0</v>
      </c>
      <c r="Y273" s="417">
        <v>0</v>
      </c>
      <c r="Z273" s="417">
        <v>0</v>
      </c>
      <c r="AA273" s="417">
        <v>0</v>
      </c>
      <c r="AB273" s="417">
        <v>0</v>
      </c>
      <c r="AC273" s="417">
        <v>0</v>
      </c>
      <c r="AD273" s="417">
        <v>0</v>
      </c>
      <c r="AE273" s="417">
        <f t="shared" si="424"/>
        <v>0</v>
      </c>
      <c r="AF273" s="417">
        <f t="shared" si="425"/>
        <v>0</v>
      </c>
      <c r="AG273" s="417">
        <f t="shared" si="426"/>
        <v>0</v>
      </c>
      <c r="AH273" s="417">
        <v>0</v>
      </c>
      <c r="AI273" s="417">
        <v>0</v>
      </c>
      <c r="AJ273" s="417">
        <v>0</v>
      </c>
      <c r="AK273" s="417">
        <v>0</v>
      </c>
      <c r="AL273" s="417">
        <v>0</v>
      </c>
      <c r="AM273" s="417">
        <f t="shared" si="427"/>
        <v>0</v>
      </c>
      <c r="AN273" s="417">
        <f t="shared" si="428"/>
        <v>0</v>
      </c>
      <c r="AO273" s="417">
        <f t="shared" si="429"/>
        <v>0</v>
      </c>
      <c r="AP273" s="417">
        <f t="shared" si="430"/>
        <v>0</v>
      </c>
      <c r="AQ273" s="417">
        <f t="shared" si="431"/>
        <v>0</v>
      </c>
      <c r="AR273" s="417">
        <f t="shared" si="432"/>
        <v>0</v>
      </c>
      <c r="AS273" s="68">
        <f t="shared" si="433"/>
        <v>0</v>
      </c>
      <c r="AT273" s="68">
        <f t="shared" si="434"/>
        <v>0</v>
      </c>
      <c r="AU273" s="417">
        <v>0</v>
      </c>
      <c r="AV273" s="417">
        <v>0</v>
      </c>
      <c r="AW273" s="417">
        <v>0</v>
      </c>
      <c r="AX273" s="417">
        <f t="shared" si="435"/>
        <v>0</v>
      </c>
      <c r="AY273" s="417">
        <f t="shared" si="436"/>
        <v>0</v>
      </c>
      <c r="AZ273" s="418">
        <v>0</v>
      </c>
      <c r="BA273" s="418">
        <v>0</v>
      </c>
      <c r="BB273" s="418">
        <v>0</v>
      </c>
      <c r="BC273" s="418">
        <v>0</v>
      </c>
      <c r="BD273" s="418">
        <v>0</v>
      </c>
      <c r="BE273" s="418">
        <v>0</v>
      </c>
      <c r="BF273" s="418">
        <v>0</v>
      </c>
      <c r="BG273" s="418">
        <v>0</v>
      </c>
      <c r="BH273" s="418">
        <v>0</v>
      </c>
      <c r="BI273" s="418">
        <f t="shared" si="437"/>
        <v>0</v>
      </c>
      <c r="BJ273" s="418">
        <f t="shared" si="438"/>
        <v>0</v>
      </c>
      <c r="BK273" s="420">
        <f t="shared" si="439"/>
        <v>0</v>
      </c>
      <c r="BL273" s="772">
        <f>I273+AY273</f>
        <v>145228</v>
      </c>
      <c r="BM273" s="417">
        <f>J273+AG273</f>
        <v>103950</v>
      </c>
      <c r="BN273" s="417">
        <f t="shared" si="418"/>
        <v>0</v>
      </c>
      <c r="BO273" s="417">
        <f t="shared" si="418"/>
        <v>103950</v>
      </c>
      <c r="BP273" s="417">
        <f>M273+AO273</f>
        <v>0</v>
      </c>
      <c r="BQ273" s="417">
        <f t="shared" si="419"/>
        <v>0</v>
      </c>
      <c r="BR273" s="417">
        <f t="shared" si="419"/>
        <v>0</v>
      </c>
      <c r="BS273" s="417">
        <f t="shared" si="420"/>
        <v>35135</v>
      </c>
      <c r="BT273" s="417">
        <f t="shared" si="420"/>
        <v>1040</v>
      </c>
      <c r="BU273" s="417">
        <f>R273+AX273</f>
        <v>5103</v>
      </c>
      <c r="BV273" s="418">
        <f>S273+BK273</f>
        <v>0.39250000000000002</v>
      </c>
      <c r="BW273" s="418">
        <f t="shared" si="421"/>
        <v>0</v>
      </c>
      <c r="BX273" s="420">
        <f t="shared" si="421"/>
        <v>0.39250000000000002</v>
      </c>
      <c r="BY273" s="419"/>
      <c r="BZ273" s="414"/>
      <c r="CA273" s="414"/>
      <c r="CB273" s="414"/>
      <c r="CC273" s="414"/>
      <c r="CD273" s="422"/>
      <c r="CE273" s="419">
        <f t="shared" si="440"/>
        <v>0</v>
      </c>
      <c r="CF273" s="414">
        <v>0</v>
      </c>
      <c r="CG273" s="414">
        <v>0</v>
      </c>
      <c r="CH273" s="414">
        <v>0</v>
      </c>
      <c r="CI273" s="414">
        <v>0</v>
      </c>
      <c r="CJ273" s="509">
        <v>0</v>
      </c>
    </row>
    <row r="274" spans="1:90" ht="14.1" customHeight="1">
      <c r="A274" s="72">
        <v>55</v>
      </c>
      <c r="B274" s="69">
        <v>2484</v>
      </c>
      <c r="C274" s="70">
        <v>600079864</v>
      </c>
      <c r="D274" s="69">
        <v>46746145</v>
      </c>
      <c r="E274" s="71" t="s">
        <v>646</v>
      </c>
      <c r="F274" s="72"/>
      <c r="G274" s="71"/>
      <c r="H274" s="73"/>
      <c r="I274" s="516">
        <v>64813159</v>
      </c>
      <c r="J274" s="74">
        <v>46493548</v>
      </c>
      <c r="K274" s="74">
        <v>40247709</v>
      </c>
      <c r="L274" s="74">
        <v>6245839</v>
      </c>
      <c r="M274" s="74">
        <v>834000</v>
      </c>
      <c r="N274" s="74">
        <v>724000</v>
      </c>
      <c r="O274" s="74">
        <v>110000</v>
      </c>
      <c r="P274" s="74">
        <v>15996711</v>
      </c>
      <c r="Q274" s="74">
        <v>464938</v>
      </c>
      <c r="R274" s="74">
        <v>1023962</v>
      </c>
      <c r="S274" s="75">
        <v>82.484999999999999</v>
      </c>
      <c r="T274" s="75">
        <v>63.290199999999999</v>
      </c>
      <c r="U274" s="653">
        <v>19.194800000000001</v>
      </c>
      <c r="V274" s="516">
        <f t="shared" ref="V274:BX274" si="441">SUM(V269:V273)</f>
        <v>0</v>
      </c>
      <c r="W274" s="74">
        <f t="shared" si="441"/>
        <v>0</v>
      </c>
      <c r="X274" s="74">
        <f t="shared" si="441"/>
        <v>229201</v>
      </c>
      <c r="Y274" s="74">
        <f t="shared" si="441"/>
        <v>0</v>
      </c>
      <c r="Z274" s="74">
        <f t="shared" si="441"/>
        <v>-54386</v>
      </c>
      <c r="AA274" s="74">
        <f t="shared" si="441"/>
        <v>-14285</v>
      </c>
      <c r="AB274" s="74">
        <f t="shared" si="441"/>
        <v>0</v>
      </c>
      <c r="AC274" s="74">
        <f t="shared" si="441"/>
        <v>0</v>
      </c>
      <c r="AD274" s="74">
        <f t="shared" si="441"/>
        <v>0</v>
      </c>
      <c r="AE274" s="74">
        <f t="shared" si="441"/>
        <v>174815</v>
      </c>
      <c r="AF274" s="74">
        <f t="shared" si="441"/>
        <v>-14285</v>
      </c>
      <c r="AG274" s="74">
        <f t="shared" si="441"/>
        <v>160530</v>
      </c>
      <c r="AH274" s="74">
        <f t="shared" si="441"/>
        <v>0</v>
      </c>
      <c r="AI274" s="74">
        <f t="shared" si="441"/>
        <v>0</v>
      </c>
      <c r="AJ274" s="74">
        <f t="shared" si="441"/>
        <v>0</v>
      </c>
      <c r="AK274" s="74">
        <f t="shared" si="441"/>
        <v>0</v>
      </c>
      <c r="AL274" s="74">
        <f t="shared" si="441"/>
        <v>0</v>
      </c>
      <c r="AM274" s="74">
        <f t="shared" si="441"/>
        <v>0</v>
      </c>
      <c r="AN274" s="74">
        <f t="shared" si="441"/>
        <v>0</v>
      </c>
      <c r="AO274" s="74">
        <f t="shared" si="441"/>
        <v>0</v>
      </c>
      <c r="AP274" s="74">
        <f t="shared" si="441"/>
        <v>174815</v>
      </c>
      <c r="AQ274" s="74">
        <f t="shared" si="441"/>
        <v>-14285</v>
      </c>
      <c r="AR274" s="74">
        <f t="shared" si="441"/>
        <v>160530</v>
      </c>
      <c r="AS274" s="74">
        <f t="shared" si="441"/>
        <v>54260</v>
      </c>
      <c r="AT274" s="74">
        <f t="shared" si="441"/>
        <v>1605</v>
      </c>
      <c r="AU274" s="74">
        <f t="shared" si="441"/>
        <v>7250</v>
      </c>
      <c r="AV274" s="74">
        <f t="shared" si="441"/>
        <v>0</v>
      </c>
      <c r="AW274" s="74">
        <f t="shared" si="441"/>
        <v>0</v>
      </c>
      <c r="AX274" s="74">
        <f t="shared" si="441"/>
        <v>7250</v>
      </c>
      <c r="AY274" s="74">
        <f t="shared" si="441"/>
        <v>223645</v>
      </c>
      <c r="AZ274" s="75">
        <f t="shared" si="441"/>
        <v>0</v>
      </c>
      <c r="BA274" s="75">
        <f t="shared" si="441"/>
        <v>0</v>
      </c>
      <c r="BB274" s="75">
        <f t="shared" si="441"/>
        <v>0.66</v>
      </c>
      <c r="BC274" s="75">
        <f t="shared" si="441"/>
        <v>-0.11</v>
      </c>
      <c r="BD274" s="75">
        <f t="shared" si="441"/>
        <v>-0.04</v>
      </c>
      <c r="BE274" s="75">
        <f t="shared" si="441"/>
        <v>0</v>
      </c>
      <c r="BF274" s="75">
        <f t="shared" si="441"/>
        <v>0</v>
      </c>
      <c r="BG274" s="75">
        <f t="shared" si="441"/>
        <v>0</v>
      </c>
      <c r="BH274" s="75">
        <f t="shared" si="441"/>
        <v>0</v>
      </c>
      <c r="BI274" s="75">
        <f t="shared" si="441"/>
        <v>0.55000000000000004</v>
      </c>
      <c r="BJ274" s="75">
        <f t="shared" si="441"/>
        <v>-0.04</v>
      </c>
      <c r="BK274" s="76">
        <f t="shared" si="441"/>
        <v>0.51</v>
      </c>
      <c r="BL274" s="781">
        <f t="shared" si="441"/>
        <v>65036804</v>
      </c>
      <c r="BM274" s="74">
        <f t="shared" si="441"/>
        <v>46654078</v>
      </c>
      <c r="BN274" s="74">
        <f t="shared" si="441"/>
        <v>40422524</v>
      </c>
      <c r="BO274" s="74">
        <f t="shared" si="441"/>
        <v>6231554</v>
      </c>
      <c r="BP274" s="74">
        <f t="shared" si="441"/>
        <v>834000</v>
      </c>
      <c r="BQ274" s="74">
        <f t="shared" si="441"/>
        <v>724000</v>
      </c>
      <c r="BR274" s="74">
        <f t="shared" si="441"/>
        <v>110000</v>
      </c>
      <c r="BS274" s="74">
        <f t="shared" si="441"/>
        <v>16050971</v>
      </c>
      <c r="BT274" s="74">
        <f t="shared" si="441"/>
        <v>466543</v>
      </c>
      <c r="BU274" s="74">
        <f t="shared" si="441"/>
        <v>1031212</v>
      </c>
      <c r="BV274" s="75">
        <f t="shared" si="441"/>
        <v>82.99499999999999</v>
      </c>
      <c r="BW274" s="75">
        <f t="shared" si="441"/>
        <v>63.840199999999996</v>
      </c>
      <c r="BX274" s="76">
        <f t="shared" si="441"/>
        <v>19.154800000000002</v>
      </c>
      <c r="BY274" s="791">
        <f t="shared" ref="BY274:CJ274" si="442">SUM(BY269:BY273)</f>
        <v>754632</v>
      </c>
      <c r="BZ274" s="679">
        <f t="shared" si="442"/>
        <v>0</v>
      </c>
      <c r="CA274" s="679">
        <f t="shared" si="442"/>
        <v>564000</v>
      </c>
      <c r="CB274" s="679">
        <f t="shared" si="442"/>
        <v>190632</v>
      </c>
      <c r="CC274" s="679">
        <f t="shared" si="442"/>
        <v>0</v>
      </c>
      <c r="CD274" s="947">
        <f t="shared" si="442"/>
        <v>0</v>
      </c>
      <c r="CE274" s="956">
        <f t="shared" si="442"/>
        <v>1679707</v>
      </c>
      <c r="CF274" s="953">
        <f t="shared" si="442"/>
        <v>1076260</v>
      </c>
      <c r="CG274" s="953">
        <f t="shared" si="442"/>
        <v>363776</v>
      </c>
      <c r="CH274" s="953">
        <f t="shared" si="442"/>
        <v>10763</v>
      </c>
      <c r="CI274" s="953">
        <f t="shared" si="442"/>
        <v>228908</v>
      </c>
      <c r="CJ274" s="877">
        <f t="shared" si="442"/>
        <v>3.2934999999999999</v>
      </c>
    </row>
    <row r="275" spans="1:90" ht="14.1" customHeight="1">
      <c r="A275" s="66">
        <v>56</v>
      </c>
      <c r="B275" s="63">
        <v>2401</v>
      </c>
      <c r="C275" s="64">
        <v>600079597</v>
      </c>
      <c r="D275" s="63">
        <v>72741538</v>
      </c>
      <c r="E275" s="65" t="s">
        <v>647</v>
      </c>
      <c r="F275" s="66">
        <v>3111</v>
      </c>
      <c r="G275" s="65" t="s">
        <v>290</v>
      </c>
      <c r="H275" s="67" t="s">
        <v>271</v>
      </c>
      <c r="I275" s="419">
        <v>3688149</v>
      </c>
      <c r="J275" s="414">
        <v>2623701</v>
      </c>
      <c r="K275" s="414">
        <v>2307500</v>
      </c>
      <c r="L275" s="414">
        <v>316201</v>
      </c>
      <c r="M275" s="414">
        <v>100000</v>
      </c>
      <c r="N275" s="414">
        <v>70000</v>
      </c>
      <c r="O275" s="414">
        <v>30000</v>
      </c>
      <c r="P275" s="595">
        <v>920611</v>
      </c>
      <c r="Q275" s="595">
        <v>26237</v>
      </c>
      <c r="R275" s="414">
        <v>17600</v>
      </c>
      <c r="S275" s="415">
        <v>4.9581</v>
      </c>
      <c r="T275" s="415">
        <v>3.88</v>
      </c>
      <c r="U275" s="422">
        <v>1.0781000000000001</v>
      </c>
      <c r="V275" s="423">
        <f t="shared" si="422"/>
        <v>0</v>
      </c>
      <c r="W275" s="417">
        <f t="shared" si="423"/>
        <v>0</v>
      </c>
      <c r="X275" s="417">
        <v>0</v>
      </c>
      <c r="Y275" s="417">
        <v>0</v>
      </c>
      <c r="Z275" s="417">
        <v>0</v>
      </c>
      <c r="AA275" s="417">
        <v>0</v>
      </c>
      <c r="AB275" s="417">
        <v>0</v>
      </c>
      <c r="AC275" s="417">
        <v>0</v>
      </c>
      <c r="AD275" s="417">
        <v>0</v>
      </c>
      <c r="AE275" s="417">
        <f t="shared" si="424"/>
        <v>0</v>
      </c>
      <c r="AF275" s="417">
        <f t="shared" si="425"/>
        <v>0</v>
      </c>
      <c r="AG275" s="417">
        <f t="shared" si="426"/>
        <v>0</v>
      </c>
      <c r="AH275" s="417">
        <v>0</v>
      </c>
      <c r="AI275" s="417">
        <v>0</v>
      </c>
      <c r="AJ275" s="417">
        <v>0</v>
      </c>
      <c r="AK275" s="417">
        <v>0</v>
      </c>
      <c r="AL275" s="417">
        <v>0</v>
      </c>
      <c r="AM275" s="417">
        <f t="shared" si="427"/>
        <v>0</v>
      </c>
      <c r="AN275" s="417">
        <f t="shared" si="428"/>
        <v>0</v>
      </c>
      <c r="AO275" s="417">
        <f t="shared" si="429"/>
        <v>0</v>
      </c>
      <c r="AP275" s="417">
        <f t="shared" si="430"/>
        <v>0</v>
      </c>
      <c r="AQ275" s="417">
        <f t="shared" si="431"/>
        <v>0</v>
      </c>
      <c r="AR275" s="417">
        <f t="shared" si="432"/>
        <v>0</v>
      </c>
      <c r="AS275" s="68">
        <f t="shared" si="433"/>
        <v>0</v>
      </c>
      <c r="AT275" s="68">
        <f t="shared" si="434"/>
        <v>0</v>
      </c>
      <c r="AU275" s="417">
        <v>0</v>
      </c>
      <c r="AV275" s="417">
        <v>0</v>
      </c>
      <c r="AW275" s="417">
        <v>0</v>
      </c>
      <c r="AX275" s="417">
        <f t="shared" si="435"/>
        <v>0</v>
      </c>
      <c r="AY275" s="417">
        <f t="shared" si="436"/>
        <v>0</v>
      </c>
      <c r="AZ275" s="418">
        <v>0</v>
      </c>
      <c r="BA275" s="418">
        <v>0</v>
      </c>
      <c r="BB275" s="418">
        <v>0</v>
      </c>
      <c r="BC275" s="418">
        <v>0</v>
      </c>
      <c r="BD275" s="418">
        <v>0</v>
      </c>
      <c r="BE275" s="418">
        <v>0</v>
      </c>
      <c r="BF275" s="418">
        <v>0</v>
      </c>
      <c r="BG275" s="418">
        <v>0</v>
      </c>
      <c r="BH275" s="418">
        <v>0</v>
      </c>
      <c r="BI275" s="418">
        <f t="shared" si="437"/>
        <v>0</v>
      </c>
      <c r="BJ275" s="418">
        <f t="shared" si="438"/>
        <v>0</v>
      </c>
      <c r="BK275" s="420">
        <f t="shared" si="439"/>
        <v>0</v>
      </c>
      <c r="BL275" s="772">
        <f>I275+AY275</f>
        <v>3688149</v>
      </c>
      <c r="BM275" s="417">
        <f>J275+AG275</f>
        <v>2623701</v>
      </c>
      <c r="BN275" s="417">
        <f t="shared" ref="BN275:BO277" si="443">K275+AE275</f>
        <v>2307500</v>
      </c>
      <c r="BO275" s="417">
        <f t="shared" si="443"/>
        <v>316201</v>
      </c>
      <c r="BP275" s="417">
        <f>M275+AO275</f>
        <v>100000</v>
      </c>
      <c r="BQ275" s="417">
        <f t="shared" ref="BQ275:BR277" si="444">N275+AM275</f>
        <v>70000</v>
      </c>
      <c r="BR275" s="417">
        <f t="shared" si="444"/>
        <v>30000</v>
      </c>
      <c r="BS275" s="417">
        <f t="shared" ref="BS275:BT277" si="445">P275+AS275</f>
        <v>920611</v>
      </c>
      <c r="BT275" s="417">
        <f t="shared" si="445"/>
        <v>26237</v>
      </c>
      <c r="BU275" s="417">
        <f>R275+AX275</f>
        <v>17600</v>
      </c>
      <c r="BV275" s="418">
        <f>S275+BK275</f>
        <v>4.9581</v>
      </c>
      <c r="BW275" s="418">
        <f t="shared" ref="BW275:BX277" si="446">T275+BI275</f>
        <v>3.88</v>
      </c>
      <c r="BX275" s="420">
        <f t="shared" si="446"/>
        <v>1.0781000000000001</v>
      </c>
      <c r="BY275" s="419"/>
      <c r="BZ275" s="414"/>
      <c r="CA275" s="414"/>
      <c r="CB275" s="414"/>
      <c r="CC275" s="414"/>
      <c r="CD275" s="422"/>
      <c r="CE275" s="419">
        <f t="shared" si="440"/>
        <v>155589</v>
      </c>
      <c r="CF275" s="414">
        <v>111081</v>
      </c>
      <c r="CG275" s="414">
        <v>37545</v>
      </c>
      <c r="CH275" s="414">
        <v>1111</v>
      </c>
      <c r="CI275" s="414">
        <v>5852</v>
      </c>
      <c r="CJ275" s="509">
        <v>0.378</v>
      </c>
    </row>
    <row r="276" spans="1:90" ht="14.1" customHeight="1">
      <c r="A276" s="66">
        <v>56</v>
      </c>
      <c r="B276" s="63">
        <v>2401</v>
      </c>
      <c r="C276" s="64">
        <v>600079597</v>
      </c>
      <c r="D276" s="63">
        <v>72741538</v>
      </c>
      <c r="E276" s="65" t="s">
        <v>647</v>
      </c>
      <c r="F276" s="66">
        <v>3111</v>
      </c>
      <c r="G276" s="65" t="s">
        <v>291</v>
      </c>
      <c r="H276" s="67" t="s">
        <v>272</v>
      </c>
      <c r="I276" s="419">
        <v>941552</v>
      </c>
      <c r="J276" s="414">
        <v>698481</v>
      </c>
      <c r="K276" s="414">
        <v>698481</v>
      </c>
      <c r="L276" s="414">
        <v>0</v>
      </c>
      <c r="M276" s="414">
        <v>0</v>
      </c>
      <c r="N276" s="414">
        <v>0</v>
      </c>
      <c r="O276" s="414">
        <v>0</v>
      </c>
      <c r="P276" s="595">
        <v>236087</v>
      </c>
      <c r="Q276" s="595">
        <v>6984</v>
      </c>
      <c r="R276" s="414">
        <v>0</v>
      </c>
      <c r="S276" s="415">
        <v>1.8200000000000003</v>
      </c>
      <c r="T276" s="416">
        <v>1.8200000000000003</v>
      </c>
      <c r="U276" s="422">
        <v>0</v>
      </c>
      <c r="V276" s="423">
        <f t="shared" si="422"/>
        <v>0</v>
      </c>
      <c r="W276" s="417">
        <f t="shared" si="423"/>
        <v>0</v>
      </c>
      <c r="X276" s="417">
        <v>6189</v>
      </c>
      <c r="Y276" s="417">
        <v>0</v>
      </c>
      <c r="Z276" s="417">
        <v>0</v>
      </c>
      <c r="AA276" s="417">
        <v>0</v>
      </c>
      <c r="AB276" s="417">
        <v>0</v>
      </c>
      <c r="AC276" s="417">
        <v>0</v>
      </c>
      <c r="AD276" s="417">
        <v>0</v>
      </c>
      <c r="AE276" s="417">
        <f t="shared" si="424"/>
        <v>6189</v>
      </c>
      <c r="AF276" s="417">
        <f t="shared" si="425"/>
        <v>0</v>
      </c>
      <c r="AG276" s="417">
        <f t="shared" si="426"/>
        <v>6189</v>
      </c>
      <c r="AH276" s="417">
        <v>0</v>
      </c>
      <c r="AI276" s="417">
        <v>0</v>
      </c>
      <c r="AJ276" s="417">
        <v>0</v>
      </c>
      <c r="AK276" s="417">
        <v>0</v>
      </c>
      <c r="AL276" s="417">
        <v>0</v>
      </c>
      <c r="AM276" s="417">
        <f t="shared" si="427"/>
        <v>0</v>
      </c>
      <c r="AN276" s="417">
        <f t="shared" si="428"/>
        <v>0</v>
      </c>
      <c r="AO276" s="417">
        <f t="shared" si="429"/>
        <v>0</v>
      </c>
      <c r="AP276" s="417">
        <f t="shared" si="430"/>
        <v>6189</v>
      </c>
      <c r="AQ276" s="417">
        <f t="shared" si="431"/>
        <v>0</v>
      </c>
      <c r="AR276" s="417">
        <f t="shared" si="432"/>
        <v>6189</v>
      </c>
      <c r="AS276" s="68">
        <f t="shared" si="433"/>
        <v>2092</v>
      </c>
      <c r="AT276" s="68">
        <f t="shared" si="434"/>
        <v>62</v>
      </c>
      <c r="AU276" s="417">
        <v>0</v>
      </c>
      <c r="AV276" s="417">
        <v>0</v>
      </c>
      <c r="AW276" s="417">
        <v>0</v>
      </c>
      <c r="AX276" s="417">
        <f t="shared" si="435"/>
        <v>0</v>
      </c>
      <c r="AY276" s="417">
        <f t="shared" si="436"/>
        <v>8343</v>
      </c>
      <c r="AZ276" s="418">
        <v>0</v>
      </c>
      <c r="BA276" s="418">
        <v>0</v>
      </c>
      <c r="BB276" s="418">
        <v>0.01</v>
      </c>
      <c r="BC276" s="418">
        <v>0</v>
      </c>
      <c r="BD276" s="418">
        <v>0</v>
      </c>
      <c r="BE276" s="418">
        <v>0</v>
      </c>
      <c r="BF276" s="418">
        <v>0</v>
      </c>
      <c r="BG276" s="418">
        <v>0</v>
      </c>
      <c r="BH276" s="418">
        <v>0</v>
      </c>
      <c r="BI276" s="418">
        <f t="shared" si="437"/>
        <v>0.01</v>
      </c>
      <c r="BJ276" s="418">
        <f t="shared" si="438"/>
        <v>0</v>
      </c>
      <c r="BK276" s="420">
        <f t="shared" si="439"/>
        <v>0.01</v>
      </c>
      <c r="BL276" s="772">
        <f>I276+AY276</f>
        <v>949895</v>
      </c>
      <c r="BM276" s="417">
        <f>J276+AG276</f>
        <v>704670</v>
      </c>
      <c r="BN276" s="417">
        <f t="shared" si="443"/>
        <v>704670</v>
      </c>
      <c r="BO276" s="417">
        <f t="shared" si="443"/>
        <v>0</v>
      </c>
      <c r="BP276" s="417">
        <f>M276+AO276</f>
        <v>0</v>
      </c>
      <c r="BQ276" s="417">
        <f t="shared" si="444"/>
        <v>0</v>
      </c>
      <c r="BR276" s="417">
        <f t="shared" si="444"/>
        <v>0</v>
      </c>
      <c r="BS276" s="417">
        <f t="shared" si="445"/>
        <v>238179</v>
      </c>
      <c r="BT276" s="417">
        <f t="shared" si="445"/>
        <v>7046</v>
      </c>
      <c r="BU276" s="417">
        <f>R276+AX276</f>
        <v>0</v>
      </c>
      <c r="BV276" s="418">
        <f>S276+BK276</f>
        <v>1.8300000000000003</v>
      </c>
      <c r="BW276" s="418">
        <f t="shared" si="446"/>
        <v>1.8300000000000003</v>
      </c>
      <c r="BX276" s="420">
        <f t="shared" si="446"/>
        <v>0</v>
      </c>
      <c r="BY276" s="419"/>
      <c r="BZ276" s="414"/>
      <c r="CA276" s="414"/>
      <c r="CB276" s="414"/>
      <c r="CC276" s="414"/>
      <c r="CD276" s="422"/>
      <c r="CE276" s="419">
        <f t="shared" si="440"/>
        <v>0</v>
      </c>
      <c r="CF276" s="414">
        <v>0</v>
      </c>
      <c r="CG276" s="414">
        <v>0</v>
      </c>
      <c r="CH276" s="414">
        <v>0</v>
      </c>
      <c r="CI276" s="414">
        <v>0</v>
      </c>
      <c r="CJ276" s="509">
        <v>0</v>
      </c>
    </row>
    <row r="277" spans="1:90" ht="14.1" customHeight="1">
      <c r="A277" s="66">
        <v>56</v>
      </c>
      <c r="B277" s="63">
        <v>2401</v>
      </c>
      <c r="C277" s="64">
        <v>600079597</v>
      </c>
      <c r="D277" s="63">
        <v>72741538</v>
      </c>
      <c r="E277" s="65" t="s">
        <v>647</v>
      </c>
      <c r="F277" s="66">
        <v>3141</v>
      </c>
      <c r="G277" s="65" t="s">
        <v>294</v>
      </c>
      <c r="H277" s="67" t="s">
        <v>272</v>
      </c>
      <c r="I277" s="419">
        <v>637152</v>
      </c>
      <c r="J277" s="414">
        <v>470967</v>
      </c>
      <c r="K277" s="414">
        <v>0</v>
      </c>
      <c r="L277" s="744">
        <v>470967</v>
      </c>
      <c r="M277" s="414">
        <v>0</v>
      </c>
      <c r="N277" s="204">
        <v>0</v>
      </c>
      <c r="O277" s="204">
        <v>0</v>
      </c>
      <c r="P277" s="595">
        <v>159187</v>
      </c>
      <c r="Q277" s="595">
        <v>4710</v>
      </c>
      <c r="R277" s="601">
        <v>2288</v>
      </c>
      <c r="S277" s="415">
        <v>1.41</v>
      </c>
      <c r="T277" s="603">
        <v>0</v>
      </c>
      <c r="U277" s="731">
        <v>1.41</v>
      </c>
      <c r="V277" s="423">
        <f t="shared" si="422"/>
        <v>0</v>
      </c>
      <c r="W277" s="417">
        <f t="shared" si="423"/>
        <v>0</v>
      </c>
      <c r="X277" s="417">
        <v>0</v>
      </c>
      <c r="Y277" s="417">
        <v>0</v>
      </c>
      <c r="Z277" s="417">
        <v>0</v>
      </c>
      <c r="AA277" s="417">
        <v>-4995</v>
      </c>
      <c r="AB277" s="417">
        <v>0</v>
      </c>
      <c r="AC277" s="417">
        <v>0</v>
      </c>
      <c r="AD277" s="417">
        <v>0</v>
      </c>
      <c r="AE277" s="417">
        <f t="shared" si="424"/>
        <v>0</v>
      </c>
      <c r="AF277" s="417">
        <f t="shared" si="425"/>
        <v>-4995</v>
      </c>
      <c r="AG277" s="417">
        <f t="shared" si="426"/>
        <v>-4995</v>
      </c>
      <c r="AH277" s="417">
        <v>0</v>
      </c>
      <c r="AI277" s="417">
        <v>0</v>
      </c>
      <c r="AJ277" s="417">
        <v>0</v>
      </c>
      <c r="AK277" s="417">
        <v>0</v>
      </c>
      <c r="AL277" s="417">
        <v>0</v>
      </c>
      <c r="AM277" s="417">
        <f t="shared" si="427"/>
        <v>0</v>
      </c>
      <c r="AN277" s="417">
        <f t="shared" si="428"/>
        <v>0</v>
      </c>
      <c r="AO277" s="417">
        <f t="shared" si="429"/>
        <v>0</v>
      </c>
      <c r="AP277" s="417">
        <f t="shared" si="430"/>
        <v>0</v>
      </c>
      <c r="AQ277" s="417">
        <f t="shared" si="431"/>
        <v>-4995</v>
      </c>
      <c r="AR277" s="417">
        <f t="shared" si="432"/>
        <v>-4995</v>
      </c>
      <c r="AS277" s="68">
        <f t="shared" si="433"/>
        <v>-1688</v>
      </c>
      <c r="AT277" s="68">
        <f t="shared" si="434"/>
        <v>-50</v>
      </c>
      <c r="AU277" s="417">
        <v>0</v>
      </c>
      <c r="AV277" s="417">
        <v>0</v>
      </c>
      <c r="AW277" s="417">
        <v>0</v>
      </c>
      <c r="AX277" s="417">
        <f t="shared" si="435"/>
        <v>0</v>
      </c>
      <c r="AY277" s="417">
        <f t="shared" si="436"/>
        <v>-6733</v>
      </c>
      <c r="AZ277" s="418">
        <v>0</v>
      </c>
      <c r="BA277" s="418">
        <v>0</v>
      </c>
      <c r="BB277" s="418">
        <v>0</v>
      </c>
      <c r="BC277" s="418">
        <v>0</v>
      </c>
      <c r="BD277" s="418">
        <v>-0.01</v>
      </c>
      <c r="BE277" s="418">
        <v>0</v>
      </c>
      <c r="BF277" s="418">
        <v>0</v>
      </c>
      <c r="BG277" s="418">
        <v>0</v>
      </c>
      <c r="BH277" s="418">
        <v>0</v>
      </c>
      <c r="BI277" s="418">
        <f t="shared" si="437"/>
        <v>0</v>
      </c>
      <c r="BJ277" s="418">
        <f t="shared" si="438"/>
        <v>-0.01</v>
      </c>
      <c r="BK277" s="420">
        <f t="shared" si="439"/>
        <v>-0.01</v>
      </c>
      <c r="BL277" s="772">
        <f>I277+AY277</f>
        <v>630419</v>
      </c>
      <c r="BM277" s="417">
        <f>J277+AG277</f>
        <v>465972</v>
      </c>
      <c r="BN277" s="417">
        <f t="shared" si="443"/>
        <v>0</v>
      </c>
      <c r="BO277" s="417">
        <f t="shared" si="443"/>
        <v>465972</v>
      </c>
      <c r="BP277" s="417">
        <f>M277+AO277</f>
        <v>0</v>
      </c>
      <c r="BQ277" s="417">
        <f t="shared" si="444"/>
        <v>0</v>
      </c>
      <c r="BR277" s="417">
        <f t="shared" si="444"/>
        <v>0</v>
      </c>
      <c r="BS277" s="417">
        <f t="shared" si="445"/>
        <v>157499</v>
      </c>
      <c r="BT277" s="417">
        <f t="shared" si="445"/>
        <v>4660</v>
      </c>
      <c r="BU277" s="417">
        <f>R277+AX277</f>
        <v>2288</v>
      </c>
      <c r="BV277" s="418">
        <f>S277+BK277</f>
        <v>1.4</v>
      </c>
      <c r="BW277" s="418">
        <f t="shared" si="446"/>
        <v>0</v>
      </c>
      <c r="BX277" s="420">
        <f t="shared" si="446"/>
        <v>1.4</v>
      </c>
      <c r="BY277" s="419"/>
      <c r="BZ277" s="414"/>
      <c r="CA277" s="414"/>
      <c r="CB277" s="414"/>
      <c r="CC277" s="414"/>
      <c r="CD277" s="422"/>
      <c r="CE277" s="419">
        <f t="shared" si="440"/>
        <v>0</v>
      </c>
      <c r="CF277" s="414">
        <v>0</v>
      </c>
      <c r="CG277" s="414">
        <v>0</v>
      </c>
      <c r="CH277" s="414">
        <v>0</v>
      </c>
      <c r="CI277" s="414">
        <v>0</v>
      </c>
      <c r="CJ277" s="509">
        <v>0</v>
      </c>
    </row>
    <row r="278" spans="1:90" ht="14.1" customHeight="1">
      <c r="A278" s="72">
        <v>56</v>
      </c>
      <c r="B278" s="69">
        <v>2401</v>
      </c>
      <c r="C278" s="70">
        <v>600079597</v>
      </c>
      <c r="D278" s="69">
        <v>72741538</v>
      </c>
      <c r="E278" s="71" t="s">
        <v>648</v>
      </c>
      <c r="F278" s="72"/>
      <c r="G278" s="71"/>
      <c r="H278" s="73"/>
      <c r="I278" s="516">
        <v>5266853</v>
      </c>
      <c r="J278" s="74">
        <v>3793149</v>
      </c>
      <c r="K278" s="74">
        <v>3005981</v>
      </c>
      <c r="L278" s="74">
        <v>787168</v>
      </c>
      <c r="M278" s="74">
        <v>100000</v>
      </c>
      <c r="N278" s="74">
        <v>70000</v>
      </c>
      <c r="O278" s="74">
        <v>30000</v>
      </c>
      <c r="P278" s="74">
        <v>1315885</v>
      </c>
      <c r="Q278" s="74">
        <v>37931</v>
      </c>
      <c r="R278" s="74">
        <v>19888</v>
      </c>
      <c r="S278" s="75">
        <v>8.1881000000000004</v>
      </c>
      <c r="T278" s="75">
        <v>5.7</v>
      </c>
      <c r="U278" s="653">
        <v>2.4881000000000002</v>
      </c>
      <c r="V278" s="516">
        <f t="shared" ref="V278:BX278" si="447">SUM(V275:V277)</f>
        <v>0</v>
      </c>
      <c r="W278" s="74">
        <f t="shared" si="447"/>
        <v>0</v>
      </c>
      <c r="X278" s="74">
        <f t="shared" si="447"/>
        <v>6189</v>
      </c>
      <c r="Y278" s="74">
        <f t="shared" si="447"/>
        <v>0</v>
      </c>
      <c r="Z278" s="74">
        <f t="shared" si="447"/>
        <v>0</v>
      </c>
      <c r="AA278" s="74">
        <f t="shared" si="447"/>
        <v>-4995</v>
      </c>
      <c r="AB278" s="74">
        <f t="shared" si="447"/>
        <v>0</v>
      </c>
      <c r="AC278" s="74">
        <f t="shared" si="447"/>
        <v>0</v>
      </c>
      <c r="AD278" s="74">
        <f t="shared" si="447"/>
        <v>0</v>
      </c>
      <c r="AE278" s="74">
        <f t="shared" si="447"/>
        <v>6189</v>
      </c>
      <c r="AF278" s="74">
        <f t="shared" si="447"/>
        <v>-4995</v>
      </c>
      <c r="AG278" s="74">
        <f t="shared" si="447"/>
        <v>1194</v>
      </c>
      <c r="AH278" s="74">
        <f t="shared" si="447"/>
        <v>0</v>
      </c>
      <c r="AI278" s="74">
        <f t="shared" si="447"/>
        <v>0</v>
      </c>
      <c r="AJ278" s="74">
        <f t="shared" si="447"/>
        <v>0</v>
      </c>
      <c r="AK278" s="74">
        <f t="shared" si="447"/>
        <v>0</v>
      </c>
      <c r="AL278" s="74">
        <f t="shared" si="447"/>
        <v>0</v>
      </c>
      <c r="AM278" s="74">
        <f t="shared" si="447"/>
        <v>0</v>
      </c>
      <c r="AN278" s="74">
        <f t="shared" si="447"/>
        <v>0</v>
      </c>
      <c r="AO278" s="74">
        <f t="shared" si="447"/>
        <v>0</v>
      </c>
      <c r="AP278" s="74">
        <f t="shared" si="447"/>
        <v>6189</v>
      </c>
      <c r="AQ278" s="74">
        <f t="shared" si="447"/>
        <v>-4995</v>
      </c>
      <c r="AR278" s="74">
        <f t="shared" si="447"/>
        <v>1194</v>
      </c>
      <c r="AS278" s="74">
        <f t="shared" si="447"/>
        <v>404</v>
      </c>
      <c r="AT278" s="74">
        <f t="shared" si="447"/>
        <v>12</v>
      </c>
      <c r="AU278" s="74">
        <f t="shared" si="447"/>
        <v>0</v>
      </c>
      <c r="AV278" s="74">
        <f t="shared" si="447"/>
        <v>0</v>
      </c>
      <c r="AW278" s="74">
        <f t="shared" si="447"/>
        <v>0</v>
      </c>
      <c r="AX278" s="74">
        <f t="shared" si="447"/>
        <v>0</v>
      </c>
      <c r="AY278" s="74">
        <f t="shared" si="447"/>
        <v>1610</v>
      </c>
      <c r="AZ278" s="75">
        <f t="shared" si="447"/>
        <v>0</v>
      </c>
      <c r="BA278" s="75">
        <f t="shared" si="447"/>
        <v>0</v>
      </c>
      <c r="BB278" s="75">
        <f t="shared" si="447"/>
        <v>0.01</v>
      </c>
      <c r="BC278" s="75">
        <f t="shared" si="447"/>
        <v>0</v>
      </c>
      <c r="BD278" s="75">
        <f t="shared" si="447"/>
        <v>-0.01</v>
      </c>
      <c r="BE278" s="75">
        <f t="shared" si="447"/>
        <v>0</v>
      </c>
      <c r="BF278" s="75">
        <f t="shared" si="447"/>
        <v>0</v>
      </c>
      <c r="BG278" s="75">
        <f t="shared" si="447"/>
        <v>0</v>
      </c>
      <c r="BH278" s="75">
        <f t="shared" si="447"/>
        <v>0</v>
      </c>
      <c r="BI278" s="75">
        <f t="shared" si="447"/>
        <v>0.01</v>
      </c>
      <c r="BJ278" s="75">
        <f t="shared" si="447"/>
        <v>-0.01</v>
      </c>
      <c r="BK278" s="76">
        <f t="shared" si="447"/>
        <v>0</v>
      </c>
      <c r="BL278" s="781">
        <f t="shared" si="447"/>
        <v>5268463</v>
      </c>
      <c r="BM278" s="74">
        <f t="shared" si="447"/>
        <v>3794343</v>
      </c>
      <c r="BN278" s="74">
        <f t="shared" si="447"/>
        <v>3012170</v>
      </c>
      <c r="BO278" s="74">
        <f t="shared" si="447"/>
        <v>782173</v>
      </c>
      <c r="BP278" s="74">
        <f t="shared" si="447"/>
        <v>100000</v>
      </c>
      <c r="BQ278" s="74">
        <f t="shared" si="447"/>
        <v>70000</v>
      </c>
      <c r="BR278" s="74">
        <f t="shared" si="447"/>
        <v>30000</v>
      </c>
      <c r="BS278" s="74">
        <f t="shared" si="447"/>
        <v>1316289</v>
      </c>
      <c r="BT278" s="74">
        <f t="shared" si="447"/>
        <v>37943</v>
      </c>
      <c r="BU278" s="74">
        <f t="shared" si="447"/>
        <v>19888</v>
      </c>
      <c r="BV278" s="75">
        <f t="shared" si="447"/>
        <v>8.1881000000000004</v>
      </c>
      <c r="BW278" s="75">
        <f t="shared" si="447"/>
        <v>5.71</v>
      </c>
      <c r="BX278" s="76">
        <f t="shared" si="447"/>
        <v>2.4781</v>
      </c>
      <c r="BY278" s="791">
        <f t="shared" ref="BY278:CJ278" si="448">SUM(BY275:BY277)</f>
        <v>0</v>
      </c>
      <c r="BZ278" s="679">
        <f t="shared" si="448"/>
        <v>0</v>
      </c>
      <c r="CA278" s="679">
        <f t="shared" si="448"/>
        <v>0</v>
      </c>
      <c r="CB278" s="679">
        <f t="shared" si="448"/>
        <v>0</v>
      </c>
      <c r="CC278" s="679">
        <f t="shared" si="448"/>
        <v>0</v>
      </c>
      <c r="CD278" s="947">
        <f t="shared" si="448"/>
        <v>0</v>
      </c>
      <c r="CE278" s="956">
        <f t="shared" si="448"/>
        <v>155589</v>
      </c>
      <c r="CF278" s="953">
        <f t="shared" si="448"/>
        <v>111081</v>
      </c>
      <c r="CG278" s="953">
        <f t="shared" si="448"/>
        <v>37545</v>
      </c>
      <c r="CH278" s="953">
        <f t="shared" si="448"/>
        <v>1111</v>
      </c>
      <c r="CI278" s="953">
        <f t="shared" si="448"/>
        <v>5852</v>
      </c>
      <c r="CJ278" s="877">
        <f t="shared" si="448"/>
        <v>0.378</v>
      </c>
    </row>
    <row r="279" spans="1:90" ht="14.1" customHeight="1">
      <c r="A279" s="66">
        <v>57</v>
      </c>
      <c r="B279" s="63">
        <v>2449</v>
      </c>
      <c r="C279" s="64">
        <v>650029348</v>
      </c>
      <c r="D279" s="63">
        <v>72742071</v>
      </c>
      <c r="E279" s="65" t="s">
        <v>649</v>
      </c>
      <c r="F279" s="66">
        <v>3111</v>
      </c>
      <c r="G279" s="65" t="s">
        <v>290</v>
      </c>
      <c r="H279" s="67" t="s">
        <v>271</v>
      </c>
      <c r="I279" s="419">
        <v>3423710</v>
      </c>
      <c r="J279" s="414">
        <v>2491288</v>
      </c>
      <c r="K279" s="414">
        <v>2295252</v>
      </c>
      <c r="L279" s="414">
        <v>196036</v>
      </c>
      <c r="M279" s="414">
        <v>33000</v>
      </c>
      <c r="N279" s="414">
        <v>33000</v>
      </c>
      <c r="O279" s="414">
        <v>0</v>
      </c>
      <c r="P279" s="595">
        <v>853209</v>
      </c>
      <c r="Q279" s="595">
        <v>24913</v>
      </c>
      <c r="R279" s="414">
        <v>21300</v>
      </c>
      <c r="S279" s="415">
        <v>4.7254000000000005</v>
      </c>
      <c r="T279" s="415">
        <v>3.94</v>
      </c>
      <c r="U279" s="422">
        <v>0.78539999999999999</v>
      </c>
      <c r="V279" s="423">
        <f t="shared" si="422"/>
        <v>-1320</v>
      </c>
      <c r="W279" s="417">
        <f t="shared" si="423"/>
        <v>0</v>
      </c>
      <c r="X279" s="417">
        <v>0</v>
      </c>
      <c r="Y279" s="417">
        <v>0</v>
      </c>
      <c r="Z279" s="417">
        <v>0</v>
      </c>
      <c r="AA279" s="417">
        <v>0</v>
      </c>
      <c r="AB279" s="417">
        <v>0</v>
      </c>
      <c r="AC279" s="417">
        <v>0</v>
      </c>
      <c r="AD279" s="417">
        <v>0</v>
      </c>
      <c r="AE279" s="417">
        <f t="shared" si="424"/>
        <v>-1320</v>
      </c>
      <c r="AF279" s="417">
        <f t="shared" si="425"/>
        <v>0</v>
      </c>
      <c r="AG279" s="417">
        <f t="shared" si="426"/>
        <v>-1320</v>
      </c>
      <c r="AH279" s="417">
        <v>1320</v>
      </c>
      <c r="AI279" s="417">
        <v>0</v>
      </c>
      <c r="AJ279" s="417">
        <v>0</v>
      </c>
      <c r="AK279" s="417">
        <v>0</v>
      </c>
      <c r="AL279" s="417">
        <v>0</v>
      </c>
      <c r="AM279" s="417">
        <f t="shared" si="427"/>
        <v>1320</v>
      </c>
      <c r="AN279" s="417">
        <f t="shared" si="428"/>
        <v>0</v>
      </c>
      <c r="AO279" s="417">
        <f t="shared" si="429"/>
        <v>1320</v>
      </c>
      <c r="AP279" s="417">
        <f t="shared" si="430"/>
        <v>0</v>
      </c>
      <c r="AQ279" s="417">
        <f t="shared" si="431"/>
        <v>0</v>
      </c>
      <c r="AR279" s="417">
        <f t="shared" si="432"/>
        <v>0</v>
      </c>
      <c r="AS279" s="68">
        <f t="shared" si="433"/>
        <v>0</v>
      </c>
      <c r="AT279" s="68">
        <f t="shared" si="434"/>
        <v>-13</v>
      </c>
      <c r="AU279" s="417">
        <v>0</v>
      </c>
      <c r="AV279" s="417">
        <v>0</v>
      </c>
      <c r="AW279" s="417">
        <v>0</v>
      </c>
      <c r="AX279" s="417">
        <f t="shared" si="435"/>
        <v>0</v>
      </c>
      <c r="AY279" s="417">
        <f t="shared" si="436"/>
        <v>-13</v>
      </c>
      <c r="AZ279" s="418">
        <v>0</v>
      </c>
      <c r="BA279" s="418">
        <v>0</v>
      </c>
      <c r="BB279" s="418">
        <v>0</v>
      </c>
      <c r="BC279" s="418">
        <v>0</v>
      </c>
      <c r="BD279" s="418">
        <v>0</v>
      </c>
      <c r="BE279" s="418">
        <v>0</v>
      </c>
      <c r="BF279" s="418">
        <v>0</v>
      </c>
      <c r="BG279" s="418">
        <v>0</v>
      </c>
      <c r="BH279" s="418">
        <v>0</v>
      </c>
      <c r="BI279" s="418">
        <f t="shared" si="437"/>
        <v>0</v>
      </c>
      <c r="BJ279" s="418">
        <f t="shared" si="438"/>
        <v>0</v>
      </c>
      <c r="BK279" s="420">
        <f t="shared" si="439"/>
        <v>0</v>
      </c>
      <c r="BL279" s="772">
        <f t="shared" ref="BL279:BL284" si="449">I279+AY279</f>
        <v>3423697</v>
      </c>
      <c r="BM279" s="417">
        <f t="shared" ref="BM279:BM284" si="450">J279+AG279</f>
        <v>2489968</v>
      </c>
      <c r="BN279" s="417">
        <f t="shared" ref="BN279:BO284" si="451">K279+AE279</f>
        <v>2293932</v>
      </c>
      <c r="BO279" s="417">
        <f t="shared" si="451"/>
        <v>196036</v>
      </c>
      <c r="BP279" s="417">
        <f t="shared" ref="BP279:BP284" si="452">M279+AO279</f>
        <v>34320</v>
      </c>
      <c r="BQ279" s="417">
        <f t="shared" ref="BQ279:BR284" si="453">N279+AM279</f>
        <v>34320</v>
      </c>
      <c r="BR279" s="417">
        <f t="shared" si="453"/>
        <v>0</v>
      </c>
      <c r="BS279" s="417">
        <f t="shared" ref="BS279:BT284" si="454">P279+AS279</f>
        <v>853209</v>
      </c>
      <c r="BT279" s="417">
        <f t="shared" si="454"/>
        <v>24900</v>
      </c>
      <c r="BU279" s="417">
        <f t="shared" ref="BU279:BU284" si="455">R279+AX279</f>
        <v>21300</v>
      </c>
      <c r="BV279" s="418">
        <f t="shared" ref="BV279:BV284" si="456">S279+BK279</f>
        <v>4.7254000000000005</v>
      </c>
      <c r="BW279" s="418">
        <f t="shared" ref="BW279:BX284" si="457">T279+BI279</f>
        <v>3.94</v>
      </c>
      <c r="BX279" s="420">
        <f t="shared" si="457"/>
        <v>0.78539999999999999</v>
      </c>
      <c r="BY279" s="419"/>
      <c r="BZ279" s="414"/>
      <c r="CA279" s="414"/>
      <c r="CB279" s="414"/>
      <c r="CC279" s="414"/>
      <c r="CD279" s="422"/>
      <c r="CE279" s="419">
        <f t="shared" si="440"/>
        <v>91875</v>
      </c>
      <c r="CF279" s="414">
        <v>62900</v>
      </c>
      <c r="CG279" s="414">
        <f>ROUND(CF279*33.8%,0)</f>
        <v>21260</v>
      </c>
      <c r="CH279" s="414">
        <f>ROUND(CF279*1%,0)</f>
        <v>629</v>
      </c>
      <c r="CI279" s="414">
        <v>7086</v>
      </c>
      <c r="CJ279" s="509">
        <v>0.252</v>
      </c>
      <c r="CK279" s="53"/>
      <c r="CL279" s="53"/>
    </row>
    <row r="280" spans="1:90" ht="14.1" customHeight="1">
      <c r="A280" s="66">
        <v>57</v>
      </c>
      <c r="B280" s="63">
        <v>2449</v>
      </c>
      <c r="C280" s="64">
        <v>650029348</v>
      </c>
      <c r="D280" s="63">
        <v>72742071</v>
      </c>
      <c r="E280" s="65" t="s">
        <v>649</v>
      </c>
      <c r="F280" s="66">
        <v>3117</v>
      </c>
      <c r="G280" s="65" t="s">
        <v>293</v>
      </c>
      <c r="H280" s="67" t="s">
        <v>271</v>
      </c>
      <c r="I280" s="419">
        <v>4896852</v>
      </c>
      <c r="J280" s="414">
        <v>3576874</v>
      </c>
      <c r="K280" s="414">
        <v>2896995</v>
      </c>
      <c r="L280" s="414">
        <v>679879</v>
      </c>
      <c r="M280" s="414">
        <v>0</v>
      </c>
      <c r="N280" s="414">
        <v>0</v>
      </c>
      <c r="O280" s="414">
        <v>0</v>
      </c>
      <c r="P280" s="595">
        <v>1208984</v>
      </c>
      <c r="Q280" s="595">
        <v>35769</v>
      </c>
      <c r="R280" s="414">
        <v>75225</v>
      </c>
      <c r="S280" s="415">
        <v>6.4579999999999993</v>
      </c>
      <c r="T280" s="415">
        <v>4.5926999999999998</v>
      </c>
      <c r="U280" s="422">
        <v>1.8653</v>
      </c>
      <c r="V280" s="423">
        <f t="shared" si="422"/>
        <v>0</v>
      </c>
      <c r="W280" s="417">
        <f t="shared" si="423"/>
        <v>0</v>
      </c>
      <c r="X280" s="417">
        <v>0</v>
      </c>
      <c r="Y280" s="417">
        <v>0</v>
      </c>
      <c r="Z280" s="417">
        <v>0</v>
      </c>
      <c r="AA280" s="417">
        <v>0</v>
      </c>
      <c r="AB280" s="417">
        <v>0</v>
      </c>
      <c r="AC280" s="417">
        <v>0</v>
      </c>
      <c r="AD280" s="417">
        <v>0</v>
      </c>
      <c r="AE280" s="417">
        <f t="shared" si="424"/>
        <v>0</v>
      </c>
      <c r="AF280" s="417">
        <f t="shared" si="425"/>
        <v>0</v>
      </c>
      <c r="AG280" s="417">
        <f t="shared" si="426"/>
        <v>0</v>
      </c>
      <c r="AH280" s="417">
        <v>0</v>
      </c>
      <c r="AI280" s="417">
        <v>0</v>
      </c>
      <c r="AJ280" s="417">
        <v>0</v>
      </c>
      <c r="AK280" s="417">
        <v>0</v>
      </c>
      <c r="AL280" s="417">
        <v>0</v>
      </c>
      <c r="AM280" s="417">
        <f t="shared" si="427"/>
        <v>0</v>
      </c>
      <c r="AN280" s="417">
        <f t="shared" si="428"/>
        <v>0</v>
      </c>
      <c r="AO280" s="417">
        <f t="shared" si="429"/>
        <v>0</v>
      </c>
      <c r="AP280" s="417">
        <f t="shared" si="430"/>
        <v>0</v>
      </c>
      <c r="AQ280" s="417">
        <f t="shared" si="431"/>
        <v>0</v>
      </c>
      <c r="AR280" s="417">
        <f t="shared" si="432"/>
        <v>0</v>
      </c>
      <c r="AS280" s="68">
        <f t="shared" si="433"/>
        <v>0</v>
      </c>
      <c r="AT280" s="68">
        <f t="shared" si="434"/>
        <v>0</v>
      </c>
      <c r="AU280" s="417">
        <v>0</v>
      </c>
      <c r="AV280" s="417">
        <v>0</v>
      </c>
      <c r="AW280" s="417">
        <v>0</v>
      </c>
      <c r="AX280" s="417">
        <f t="shared" si="435"/>
        <v>0</v>
      </c>
      <c r="AY280" s="417">
        <f t="shared" si="436"/>
        <v>0</v>
      </c>
      <c r="AZ280" s="418">
        <v>0</v>
      </c>
      <c r="BA280" s="418">
        <v>0</v>
      </c>
      <c r="BB280" s="418">
        <v>0</v>
      </c>
      <c r="BC280" s="418">
        <v>0</v>
      </c>
      <c r="BD280" s="418">
        <v>0</v>
      </c>
      <c r="BE280" s="418">
        <v>0</v>
      </c>
      <c r="BF280" s="418">
        <v>0</v>
      </c>
      <c r="BG280" s="418">
        <v>0</v>
      </c>
      <c r="BH280" s="418">
        <v>0</v>
      </c>
      <c r="BI280" s="418">
        <f t="shared" si="437"/>
        <v>0</v>
      </c>
      <c r="BJ280" s="418">
        <f t="shared" si="438"/>
        <v>0</v>
      </c>
      <c r="BK280" s="420">
        <f t="shared" si="439"/>
        <v>0</v>
      </c>
      <c r="BL280" s="772">
        <f t="shared" si="449"/>
        <v>4896852</v>
      </c>
      <c r="BM280" s="417">
        <f t="shared" si="450"/>
        <v>3576874</v>
      </c>
      <c r="BN280" s="417">
        <f t="shared" si="451"/>
        <v>2896995</v>
      </c>
      <c r="BO280" s="417">
        <f t="shared" si="451"/>
        <v>679879</v>
      </c>
      <c r="BP280" s="417">
        <f t="shared" si="452"/>
        <v>0</v>
      </c>
      <c r="BQ280" s="417">
        <f t="shared" si="453"/>
        <v>0</v>
      </c>
      <c r="BR280" s="417">
        <f t="shared" si="453"/>
        <v>0</v>
      </c>
      <c r="BS280" s="417">
        <f t="shared" si="454"/>
        <v>1208984</v>
      </c>
      <c r="BT280" s="417">
        <f t="shared" si="454"/>
        <v>35769</v>
      </c>
      <c r="BU280" s="417">
        <f t="shared" si="455"/>
        <v>75225</v>
      </c>
      <c r="BV280" s="418">
        <f t="shared" si="456"/>
        <v>6.4579999999999993</v>
      </c>
      <c r="BW280" s="418">
        <f t="shared" si="457"/>
        <v>4.5926999999999998</v>
      </c>
      <c r="BX280" s="420">
        <f t="shared" si="457"/>
        <v>1.8653</v>
      </c>
      <c r="BY280" s="419"/>
      <c r="BZ280" s="414"/>
      <c r="CA280" s="414"/>
      <c r="CB280" s="414"/>
      <c r="CC280" s="414"/>
      <c r="CD280" s="422"/>
      <c r="CE280" s="419">
        <f t="shared" si="440"/>
        <v>307301</v>
      </c>
      <c r="CF280" s="414">
        <v>218207</v>
      </c>
      <c r="CG280" s="414">
        <v>73754</v>
      </c>
      <c r="CH280" s="414">
        <v>2182</v>
      </c>
      <c r="CI280" s="414">
        <v>13158</v>
      </c>
      <c r="CJ280" s="509">
        <v>0.5986999999999999</v>
      </c>
      <c r="CK280" s="53"/>
      <c r="CL280" s="53"/>
    </row>
    <row r="281" spans="1:90" ht="14.1" customHeight="1">
      <c r="A281" s="66">
        <v>57</v>
      </c>
      <c r="B281" s="63">
        <v>2449</v>
      </c>
      <c r="C281" s="64">
        <v>650029348</v>
      </c>
      <c r="D281" s="63">
        <v>72742071</v>
      </c>
      <c r="E281" s="65" t="s">
        <v>649</v>
      </c>
      <c r="F281" s="66">
        <v>3117</v>
      </c>
      <c r="G281" s="77" t="s">
        <v>291</v>
      </c>
      <c r="H281" s="67" t="s">
        <v>272</v>
      </c>
      <c r="I281" s="419">
        <v>212899</v>
      </c>
      <c r="J281" s="414">
        <v>157937</v>
      </c>
      <c r="K281" s="414">
        <v>157937</v>
      </c>
      <c r="L281" s="414">
        <v>0</v>
      </c>
      <c r="M281" s="414">
        <v>0</v>
      </c>
      <c r="N281" s="414">
        <v>0</v>
      </c>
      <c r="O281" s="414">
        <v>0</v>
      </c>
      <c r="P281" s="595">
        <v>53383</v>
      </c>
      <c r="Q281" s="595">
        <v>1579</v>
      </c>
      <c r="R281" s="414">
        <v>0</v>
      </c>
      <c r="S281" s="415">
        <v>0.43000000000000005</v>
      </c>
      <c r="T281" s="416">
        <v>0.43000000000000005</v>
      </c>
      <c r="U281" s="422">
        <v>0</v>
      </c>
      <c r="V281" s="423">
        <f t="shared" si="422"/>
        <v>0</v>
      </c>
      <c r="W281" s="417">
        <f t="shared" si="423"/>
        <v>0</v>
      </c>
      <c r="X281" s="417">
        <v>0</v>
      </c>
      <c r="Y281" s="417">
        <v>0</v>
      </c>
      <c r="Z281" s="417">
        <v>0</v>
      </c>
      <c r="AA281" s="417">
        <v>0</v>
      </c>
      <c r="AB281" s="417">
        <v>0</v>
      </c>
      <c r="AC281" s="417">
        <v>0</v>
      </c>
      <c r="AD281" s="417">
        <v>0</v>
      </c>
      <c r="AE281" s="417">
        <f t="shared" si="424"/>
        <v>0</v>
      </c>
      <c r="AF281" s="417">
        <f t="shared" si="425"/>
        <v>0</v>
      </c>
      <c r="AG281" s="417">
        <f t="shared" si="426"/>
        <v>0</v>
      </c>
      <c r="AH281" s="417">
        <v>0</v>
      </c>
      <c r="AI281" s="417">
        <v>0</v>
      </c>
      <c r="AJ281" s="417">
        <v>0</v>
      </c>
      <c r="AK281" s="417">
        <v>0</v>
      </c>
      <c r="AL281" s="417">
        <v>0</v>
      </c>
      <c r="AM281" s="417">
        <f t="shared" si="427"/>
        <v>0</v>
      </c>
      <c r="AN281" s="417">
        <f t="shared" si="428"/>
        <v>0</v>
      </c>
      <c r="AO281" s="417">
        <f t="shared" si="429"/>
        <v>0</v>
      </c>
      <c r="AP281" s="417">
        <f t="shared" si="430"/>
        <v>0</v>
      </c>
      <c r="AQ281" s="417">
        <f t="shared" si="431"/>
        <v>0</v>
      </c>
      <c r="AR281" s="417">
        <f t="shared" si="432"/>
        <v>0</v>
      </c>
      <c r="AS281" s="68">
        <f t="shared" si="433"/>
        <v>0</v>
      </c>
      <c r="AT281" s="68">
        <f t="shared" si="434"/>
        <v>0</v>
      </c>
      <c r="AU281" s="417">
        <v>0</v>
      </c>
      <c r="AV281" s="417">
        <v>0</v>
      </c>
      <c r="AW281" s="417">
        <v>0</v>
      </c>
      <c r="AX281" s="417">
        <f t="shared" si="435"/>
        <v>0</v>
      </c>
      <c r="AY281" s="417">
        <f t="shared" si="436"/>
        <v>0</v>
      </c>
      <c r="AZ281" s="418">
        <v>0</v>
      </c>
      <c r="BA281" s="418">
        <v>0</v>
      </c>
      <c r="BB281" s="418">
        <v>0</v>
      </c>
      <c r="BC281" s="418">
        <v>0</v>
      </c>
      <c r="BD281" s="418">
        <v>0</v>
      </c>
      <c r="BE281" s="418">
        <v>0</v>
      </c>
      <c r="BF281" s="418">
        <v>0</v>
      </c>
      <c r="BG281" s="418">
        <v>0</v>
      </c>
      <c r="BH281" s="418">
        <v>0</v>
      </c>
      <c r="BI281" s="418">
        <f t="shared" si="437"/>
        <v>0</v>
      </c>
      <c r="BJ281" s="418">
        <f t="shared" si="438"/>
        <v>0</v>
      </c>
      <c r="BK281" s="420">
        <f t="shared" si="439"/>
        <v>0</v>
      </c>
      <c r="BL281" s="772">
        <f t="shared" si="449"/>
        <v>212899</v>
      </c>
      <c r="BM281" s="417">
        <f t="shared" si="450"/>
        <v>157937</v>
      </c>
      <c r="BN281" s="417">
        <f t="shared" si="451"/>
        <v>157937</v>
      </c>
      <c r="BO281" s="417">
        <f t="shared" si="451"/>
        <v>0</v>
      </c>
      <c r="BP281" s="417">
        <f t="shared" si="452"/>
        <v>0</v>
      </c>
      <c r="BQ281" s="417">
        <f t="shared" si="453"/>
        <v>0</v>
      </c>
      <c r="BR281" s="417">
        <f t="shared" si="453"/>
        <v>0</v>
      </c>
      <c r="BS281" s="417">
        <f t="shared" si="454"/>
        <v>53383</v>
      </c>
      <c r="BT281" s="417">
        <f t="shared" si="454"/>
        <v>1579</v>
      </c>
      <c r="BU281" s="417">
        <f t="shared" si="455"/>
        <v>0</v>
      </c>
      <c r="BV281" s="418">
        <f t="shared" si="456"/>
        <v>0.43000000000000005</v>
      </c>
      <c r="BW281" s="418">
        <f t="shared" si="457"/>
        <v>0.43000000000000005</v>
      </c>
      <c r="BX281" s="420">
        <f t="shared" si="457"/>
        <v>0</v>
      </c>
      <c r="BY281" s="419"/>
      <c r="BZ281" s="414"/>
      <c r="CA281" s="414"/>
      <c r="CB281" s="414"/>
      <c r="CC281" s="414"/>
      <c r="CD281" s="422"/>
      <c r="CE281" s="419">
        <f t="shared" si="440"/>
        <v>0</v>
      </c>
      <c r="CF281" s="414">
        <v>0</v>
      </c>
      <c r="CG281" s="414">
        <v>0</v>
      </c>
      <c r="CH281" s="414">
        <v>0</v>
      </c>
      <c r="CI281" s="414">
        <v>0</v>
      </c>
      <c r="CJ281" s="509">
        <v>0</v>
      </c>
      <c r="CK281" s="53"/>
      <c r="CL281" s="53"/>
    </row>
    <row r="282" spans="1:90" ht="14.1" customHeight="1">
      <c r="A282" s="66">
        <v>57</v>
      </c>
      <c r="B282" s="63">
        <v>2449</v>
      </c>
      <c r="C282" s="64">
        <v>650029348</v>
      </c>
      <c r="D282" s="63">
        <v>72742071</v>
      </c>
      <c r="E282" s="65" t="s">
        <v>649</v>
      </c>
      <c r="F282" s="66">
        <v>3141</v>
      </c>
      <c r="G282" s="65" t="s">
        <v>294</v>
      </c>
      <c r="H282" s="67" t="s">
        <v>272</v>
      </c>
      <c r="I282" s="419">
        <v>1149173</v>
      </c>
      <c r="J282" s="414">
        <v>848953</v>
      </c>
      <c r="K282" s="414">
        <v>0</v>
      </c>
      <c r="L282" s="744">
        <v>848953</v>
      </c>
      <c r="M282" s="414">
        <v>0</v>
      </c>
      <c r="N282" s="204">
        <v>0</v>
      </c>
      <c r="O282" s="204">
        <v>0</v>
      </c>
      <c r="P282" s="595">
        <v>286947</v>
      </c>
      <c r="Q282" s="595">
        <v>8489</v>
      </c>
      <c r="R282" s="601">
        <v>4784</v>
      </c>
      <c r="S282" s="415">
        <v>2.5499999999999998</v>
      </c>
      <c r="T282" s="603">
        <v>0</v>
      </c>
      <c r="U282" s="731">
        <v>2.5499999999999998</v>
      </c>
      <c r="V282" s="423">
        <f t="shared" si="422"/>
        <v>0</v>
      </c>
      <c r="W282" s="417">
        <f t="shared" si="423"/>
        <v>0</v>
      </c>
      <c r="X282" s="417">
        <v>0</v>
      </c>
      <c r="Y282" s="417">
        <v>0</v>
      </c>
      <c r="Z282" s="417">
        <v>0</v>
      </c>
      <c r="AA282" s="417">
        <v>-19474</v>
      </c>
      <c r="AB282" s="417">
        <v>0</v>
      </c>
      <c r="AC282" s="417">
        <v>0</v>
      </c>
      <c r="AD282" s="417">
        <v>0</v>
      </c>
      <c r="AE282" s="417">
        <f t="shared" si="424"/>
        <v>0</v>
      </c>
      <c r="AF282" s="417">
        <f t="shared" si="425"/>
        <v>-19474</v>
      </c>
      <c r="AG282" s="417">
        <f t="shared" si="426"/>
        <v>-19474</v>
      </c>
      <c r="AH282" s="417">
        <v>0</v>
      </c>
      <c r="AI282" s="417">
        <v>0</v>
      </c>
      <c r="AJ282" s="417">
        <v>0</v>
      </c>
      <c r="AK282" s="417">
        <v>0</v>
      </c>
      <c r="AL282" s="417">
        <v>0</v>
      </c>
      <c r="AM282" s="417">
        <f t="shared" si="427"/>
        <v>0</v>
      </c>
      <c r="AN282" s="417">
        <f t="shared" si="428"/>
        <v>0</v>
      </c>
      <c r="AO282" s="417">
        <f t="shared" si="429"/>
        <v>0</v>
      </c>
      <c r="AP282" s="417">
        <f t="shared" si="430"/>
        <v>0</v>
      </c>
      <c r="AQ282" s="417">
        <f t="shared" si="431"/>
        <v>-19474</v>
      </c>
      <c r="AR282" s="417">
        <f t="shared" si="432"/>
        <v>-19474</v>
      </c>
      <c r="AS282" s="68">
        <f t="shared" si="433"/>
        <v>-6582</v>
      </c>
      <c r="AT282" s="68">
        <f t="shared" si="434"/>
        <v>-195</v>
      </c>
      <c r="AU282" s="417">
        <v>0</v>
      </c>
      <c r="AV282" s="417">
        <v>0</v>
      </c>
      <c r="AW282" s="417">
        <v>0</v>
      </c>
      <c r="AX282" s="417">
        <f t="shared" si="435"/>
        <v>0</v>
      </c>
      <c r="AY282" s="417">
        <f t="shared" si="436"/>
        <v>-26251</v>
      </c>
      <c r="AZ282" s="418">
        <v>0</v>
      </c>
      <c r="BA282" s="418">
        <v>0</v>
      </c>
      <c r="BB282" s="418">
        <v>0</v>
      </c>
      <c r="BC282" s="418">
        <v>0</v>
      </c>
      <c r="BD282" s="418">
        <v>-0.06</v>
      </c>
      <c r="BE282" s="418">
        <v>0</v>
      </c>
      <c r="BF282" s="418">
        <v>0</v>
      </c>
      <c r="BG282" s="418">
        <v>0</v>
      </c>
      <c r="BH282" s="418">
        <v>0</v>
      </c>
      <c r="BI282" s="418">
        <f t="shared" si="437"/>
        <v>0</v>
      </c>
      <c r="BJ282" s="418">
        <f t="shared" si="438"/>
        <v>-0.06</v>
      </c>
      <c r="BK282" s="420">
        <f t="shared" si="439"/>
        <v>-0.06</v>
      </c>
      <c r="BL282" s="772">
        <f t="shared" si="449"/>
        <v>1122922</v>
      </c>
      <c r="BM282" s="417">
        <f t="shared" si="450"/>
        <v>829479</v>
      </c>
      <c r="BN282" s="417">
        <f t="shared" si="451"/>
        <v>0</v>
      </c>
      <c r="BO282" s="417">
        <f t="shared" si="451"/>
        <v>829479</v>
      </c>
      <c r="BP282" s="417">
        <f t="shared" si="452"/>
        <v>0</v>
      </c>
      <c r="BQ282" s="417">
        <f t="shared" si="453"/>
        <v>0</v>
      </c>
      <c r="BR282" s="417">
        <f t="shared" si="453"/>
        <v>0</v>
      </c>
      <c r="BS282" s="417">
        <f t="shared" si="454"/>
        <v>280365</v>
      </c>
      <c r="BT282" s="417">
        <f t="shared" si="454"/>
        <v>8294</v>
      </c>
      <c r="BU282" s="417">
        <f t="shared" si="455"/>
        <v>4784</v>
      </c>
      <c r="BV282" s="418">
        <f t="shared" si="456"/>
        <v>2.4899999999999998</v>
      </c>
      <c r="BW282" s="418">
        <f t="shared" si="457"/>
        <v>0</v>
      </c>
      <c r="BX282" s="420">
        <f t="shared" si="457"/>
        <v>2.4899999999999998</v>
      </c>
      <c r="BY282" s="419"/>
      <c r="BZ282" s="414"/>
      <c r="CA282" s="414"/>
      <c r="CB282" s="414"/>
      <c r="CC282" s="414"/>
      <c r="CD282" s="422"/>
      <c r="CE282" s="419">
        <f t="shared" si="440"/>
        <v>0</v>
      </c>
      <c r="CF282" s="414">
        <v>0</v>
      </c>
      <c r="CG282" s="414">
        <v>0</v>
      </c>
      <c r="CH282" s="414">
        <v>0</v>
      </c>
      <c r="CI282" s="414">
        <v>0</v>
      </c>
      <c r="CJ282" s="509">
        <v>0</v>
      </c>
      <c r="CK282" s="53"/>
      <c r="CL282" s="53"/>
    </row>
    <row r="283" spans="1:90" ht="14.1" customHeight="1">
      <c r="A283" s="66">
        <v>57</v>
      </c>
      <c r="B283" s="63">
        <v>2449</v>
      </c>
      <c r="C283" s="64">
        <v>650029348</v>
      </c>
      <c r="D283" s="63">
        <v>72742071</v>
      </c>
      <c r="E283" s="65" t="s">
        <v>649</v>
      </c>
      <c r="F283" s="66">
        <v>3143</v>
      </c>
      <c r="G283" s="77" t="s">
        <v>595</v>
      </c>
      <c r="H283" s="67" t="s">
        <v>271</v>
      </c>
      <c r="I283" s="419">
        <v>727421</v>
      </c>
      <c r="J283" s="414">
        <v>539630</v>
      </c>
      <c r="K283" s="414">
        <v>539630</v>
      </c>
      <c r="L283" s="414">
        <v>0</v>
      </c>
      <c r="M283" s="414">
        <v>0</v>
      </c>
      <c r="N283" s="414">
        <v>0</v>
      </c>
      <c r="O283" s="414">
        <v>0</v>
      </c>
      <c r="P283" s="595">
        <v>182395</v>
      </c>
      <c r="Q283" s="595">
        <v>5396</v>
      </c>
      <c r="R283" s="414">
        <v>0</v>
      </c>
      <c r="S283" s="415">
        <v>1</v>
      </c>
      <c r="T283" s="415">
        <v>1</v>
      </c>
      <c r="U283" s="422">
        <v>0</v>
      </c>
      <c r="V283" s="423">
        <f t="shared" si="422"/>
        <v>0</v>
      </c>
      <c r="W283" s="417">
        <f t="shared" si="423"/>
        <v>0</v>
      </c>
      <c r="X283" s="417">
        <v>0</v>
      </c>
      <c r="Y283" s="417">
        <v>0</v>
      </c>
      <c r="Z283" s="417">
        <v>0</v>
      </c>
      <c r="AA283" s="417">
        <v>0</v>
      </c>
      <c r="AB283" s="417">
        <v>0</v>
      </c>
      <c r="AC283" s="417">
        <v>0</v>
      </c>
      <c r="AD283" s="417">
        <v>0</v>
      </c>
      <c r="AE283" s="417">
        <f t="shared" si="424"/>
        <v>0</v>
      </c>
      <c r="AF283" s="417">
        <f t="shared" si="425"/>
        <v>0</v>
      </c>
      <c r="AG283" s="417">
        <f t="shared" si="426"/>
        <v>0</v>
      </c>
      <c r="AH283" s="417">
        <v>0</v>
      </c>
      <c r="AI283" s="417">
        <v>0</v>
      </c>
      <c r="AJ283" s="417">
        <v>0</v>
      </c>
      <c r="AK283" s="417">
        <v>0</v>
      </c>
      <c r="AL283" s="417">
        <v>0</v>
      </c>
      <c r="AM283" s="417">
        <f t="shared" si="427"/>
        <v>0</v>
      </c>
      <c r="AN283" s="417">
        <f t="shared" si="428"/>
        <v>0</v>
      </c>
      <c r="AO283" s="417">
        <f t="shared" si="429"/>
        <v>0</v>
      </c>
      <c r="AP283" s="417">
        <f t="shared" si="430"/>
        <v>0</v>
      </c>
      <c r="AQ283" s="417">
        <f t="shared" si="431"/>
        <v>0</v>
      </c>
      <c r="AR283" s="417">
        <f t="shared" si="432"/>
        <v>0</v>
      </c>
      <c r="AS283" s="68">
        <f t="shared" si="433"/>
        <v>0</v>
      </c>
      <c r="AT283" s="68">
        <f t="shared" si="434"/>
        <v>0</v>
      </c>
      <c r="AU283" s="417">
        <v>0</v>
      </c>
      <c r="AV283" s="417">
        <v>0</v>
      </c>
      <c r="AW283" s="417">
        <v>0</v>
      </c>
      <c r="AX283" s="417">
        <f t="shared" si="435"/>
        <v>0</v>
      </c>
      <c r="AY283" s="417">
        <f t="shared" si="436"/>
        <v>0</v>
      </c>
      <c r="AZ283" s="418">
        <v>0</v>
      </c>
      <c r="BA283" s="418">
        <v>0</v>
      </c>
      <c r="BB283" s="418">
        <v>0</v>
      </c>
      <c r="BC283" s="418">
        <v>0</v>
      </c>
      <c r="BD283" s="418">
        <v>0</v>
      </c>
      <c r="BE283" s="418">
        <v>0</v>
      </c>
      <c r="BF283" s="418">
        <v>0</v>
      </c>
      <c r="BG283" s="418">
        <v>0</v>
      </c>
      <c r="BH283" s="418">
        <v>0</v>
      </c>
      <c r="BI283" s="418">
        <f t="shared" si="437"/>
        <v>0</v>
      </c>
      <c r="BJ283" s="418">
        <f t="shared" si="438"/>
        <v>0</v>
      </c>
      <c r="BK283" s="420">
        <f t="shared" si="439"/>
        <v>0</v>
      </c>
      <c r="BL283" s="772">
        <f t="shared" si="449"/>
        <v>727421</v>
      </c>
      <c r="BM283" s="417">
        <f t="shared" si="450"/>
        <v>539630</v>
      </c>
      <c r="BN283" s="417">
        <f t="shared" si="451"/>
        <v>539630</v>
      </c>
      <c r="BO283" s="417">
        <f t="shared" si="451"/>
        <v>0</v>
      </c>
      <c r="BP283" s="417">
        <f t="shared" si="452"/>
        <v>0</v>
      </c>
      <c r="BQ283" s="417">
        <f t="shared" si="453"/>
        <v>0</v>
      </c>
      <c r="BR283" s="417">
        <f t="shared" si="453"/>
        <v>0</v>
      </c>
      <c r="BS283" s="417">
        <f t="shared" si="454"/>
        <v>182395</v>
      </c>
      <c r="BT283" s="417">
        <f t="shared" si="454"/>
        <v>5396</v>
      </c>
      <c r="BU283" s="417">
        <f t="shared" si="455"/>
        <v>0</v>
      </c>
      <c r="BV283" s="418">
        <f t="shared" si="456"/>
        <v>1</v>
      </c>
      <c r="BW283" s="418">
        <f t="shared" si="457"/>
        <v>1</v>
      </c>
      <c r="BX283" s="420">
        <f t="shared" si="457"/>
        <v>0</v>
      </c>
      <c r="BY283" s="419"/>
      <c r="BZ283" s="414"/>
      <c r="CA283" s="414"/>
      <c r="CB283" s="414"/>
      <c r="CC283" s="414"/>
      <c r="CD283" s="422"/>
      <c r="CE283" s="419">
        <f t="shared" si="440"/>
        <v>0</v>
      </c>
      <c r="CF283" s="414">
        <v>0</v>
      </c>
      <c r="CG283" s="414">
        <v>0</v>
      </c>
      <c r="CH283" s="414">
        <v>0</v>
      </c>
      <c r="CI283" s="414">
        <v>0</v>
      </c>
      <c r="CJ283" s="509">
        <v>0</v>
      </c>
      <c r="CK283" s="53"/>
      <c r="CL283" s="53"/>
    </row>
    <row r="284" spans="1:90" ht="14.1" customHeight="1">
      <c r="A284" s="66">
        <v>57</v>
      </c>
      <c r="B284" s="63">
        <v>2449</v>
      </c>
      <c r="C284" s="64">
        <v>650029348</v>
      </c>
      <c r="D284" s="63">
        <v>72742071</v>
      </c>
      <c r="E284" s="65" t="s">
        <v>649</v>
      </c>
      <c r="F284" s="66">
        <v>3143</v>
      </c>
      <c r="G284" s="77" t="s">
        <v>596</v>
      </c>
      <c r="H284" s="67" t="s">
        <v>272</v>
      </c>
      <c r="I284" s="419">
        <v>22283</v>
      </c>
      <c r="J284" s="414">
        <v>15950</v>
      </c>
      <c r="K284" s="414">
        <v>0</v>
      </c>
      <c r="L284" s="601">
        <v>15950</v>
      </c>
      <c r="M284" s="414">
        <v>0</v>
      </c>
      <c r="N284" s="414">
        <v>0</v>
      </c>
      <c r="O284" s="414">
        <v>0</v>
      </c>
      <c r="P284" s="595">
        <v>5391</v>
      </c>
      <c r="Q284" s="595">
        <v>159</v>
      </c>
      <c r="R284" s="602">
        <v>783</v>
      </c>
      <c r="S284" s="415">
        <v>6.0300000000000006E-2</v>
      </c>
      <c r="T284" s="605">
        <v>0</v>
      </c>
      <c r="U284" s="731">
        <v>6.0300000000000006E-2</v>
      </c>
      <c r="V284" s="423">
        <f t="shared" si="422"/>
        <v>0</v>
      </c>
      <c r="W284" s="417">
        <f t="shared" si="423"/>
        <v>0</v>
      </c>
      <c r="X284" s="417">
        <v>0</v>
      </c>
      <c r="Y284" s="417">
        <v>0</v>
      </c>
      <c r="Z284" s="417">
        <v>0</v>
      </c>
      <c r="AA284" s="417">
        <v>0</v>
      </c>
      <c r="AB284" s="417">
        <v>0</v>
      </c>
      <c r="AC284" s="417">
        <v>0</v>
      </c>
      <c r="AD284" s="417">
        <v>0</v>
      </c>
      <c r="AE284" s="417">
        <f t="shared" si="424"/>
        <v>0</v>
      </c>
      <c r="AF284" s="417">
        <f t="shared" si="425"/>
        <v>0</v>
      </c>
      <c r="AG284" s="417">
        <f t="shared" si="426"/>
        <v>0</v>
      </c>
      <c r="AH284" s="417">
        <v>0</v>
      </c>
      <c r="AI284" s="417">
        <v>0</v>
      </c>
      <c r="AJ284" s="417">
        <v>0</v>
      </c>
      <c r="AK284" s="417">
        <v>0</v>
      </c>
      <c r="AL284" s="417">
        <v>0</v>
      </c>
      <c r="AM284" s="417">
        <f t="shared" si="427"/>
        <v>0</v>
      </c>
      <c r="AN284" s="417">
        <f t="shared" si="428"/>
        <v>0</v>
      </c>
      <c r="AO284" s="417">
        <f t="shared" si="429"/>
        <v>0</v>
      </c>
      <c r="AP284" s="417">
        <f t="shared" si="430"/>
        <v>0</v>
      </c>
      <c r="AQ284" s="417">
        <f t="shared" si="431"/>
        <v>0</v>
      </c>
      <c r="AR284" s="417">
        <f t="shared" si="432"/>
        <v>0</v>
      </c>
      <c r="AS284" s="68">
        <f t="shared" si="433"/>
        <v>0</v>
      </c>
      <c r="AT284" s="68">
        <f t="shared" si="434"/>
        <v>0</v>
      </c>
      <c r="AU284" s="417">
        <v>0</v>
      </c>
      <c r="AV284" s="417">
        <v>0</v>
      </c>
      <c r="AW284" s="417">
        <v>0</v>
      </c>
      <c r="AX284" s="417">
        <f t="shared" si="435"/>
        <v>0</v>
      </c>
      <c r="AY284" s="417">
        <f t="shared" si="436"/>
        <v>0</v>
      </c>
      <c r="AZ284" s="418">
        <v>0</v>
      </c>
      <c r="BA284" s="418">
        <v>0</v>
      </c>
      <c r="BB284" s="418">
        <v>0</v>
      </c>
      <c r="BC284" s="418">
        <v>0</v>
      </c>
      <c r="BD284" s="418">
        <v>0</v>
      </c>
      <c r="BE284" s="418">
        <v>0</v>
      </c>
      <c r="BF284" s="418">
        <v>0</v>
      </c>
      <c r="BG284" s="418">
        <v>0</v>
      </c>
      <c r="BH284" s="418">
        <v>0</v>
      </c>
      <c r="BI284" s="418">
        <f t="shared" si="437"/>
        <v>0</v>
      </c>
      <c r="BJ284" s="418">
        <f t="shared" si="438"/>
        <v>0</v>
      </c>
      <c r="BK284" s="420">
        <f t="shared" si="439"/>
        <v>0</v>
      </c>
      <c r="BL284" s="772">
        <f t="shared" si="449"/>
        <v>22283</v>
      </c>
      <c r="BM284" s="417">
        <f t="shared" si="450"/>
        <v>15950</v>
      </c>
      <c r="BN284" s="417">
        <f t="shared" si="451"/>
        <v>0</v>
      </c>
      <c r="BO284" s="417">
        <f t="shared" si="451"/>
        <v>15950</v>
      </c>
      <c r="BP284" s="417">
        <f t="shared" si="452"/>
        <v>0</v>
      </c>
      <c r="BQ284" s="417">
        <f t="shared" si="453"/>
        <v>0</v>
      </c>
      <c r="BR284" s="417">
        <f t="shared" si="453"/>
        <v>0</v>
      </c>
      <c r="BS284" s="417">
        <f t="shared" si="454"/>
        <v>5391</v>
      </c>
      <c r="BT284" s="417">
        <f t="shared" si="454"/>
        <v>159</v>
      </c>
      <c r="BU284" s="417">
        <f t="shared" si="455"/>
        <v>783</v>
      </c>
      <c r="BV284" s="418">
        <f t="shared" si="456"/>
        <v>6.0300000000000006E-2</v>
      </c>
      <c r="BW284" s="418">
        <f t="shared" si="457"/>
        <v>0</v>
      </c>
      <c r="BX284" s="420">
        <f t="shared" si="457"/>
        <v>6.0300000000000006E-2</v>
      </c>
      <c r="BY284" s="419"/>
      <c r="BZ284" s="414"/>
      <c r="CA284" s="414"/>
      <c r="CB284" s="414"/>
      <c r="CC284" s="414"/>
      <c r="CD284" s="422"/>
      <c r="CE284" s="419">
        <f t="shared" si="440"/>
        <v>0</v>
      </c>
      <c r="CF284" s="414">
        <v>0</v>
      </c>
      <c r="CG284" s="414">
        <v>0</v>
      </c>
      <c r="CH284" s="414">
        <v>0</v>
      </c>
      <c r="CI284" s="414">
        <v>0</v>
      </c>
      <c r="CJ284" s="509">
        <v>0</v>
      </c>
      <c r="CK284" s="53"/>
      <c r="CL284" s="53"/>
    </row>
    <row r="285" spans="1:90" ht="14.1" customHeight="1">
      <c r="A285" s="72">
        <v>57</v>
      </c>
      <c r="B285" s="69">
        <v>2449</v>
      </c>
      <c r="C285" s="70">
        <v>650029348</v>
      </c>
      <c r="D285" s="69">
        <v>72742071</v>
      </c>
      <c r="E285" s="71" t="s">
        <v>650</v>
      </c>
      <c r="F285" s="72"/>
      <c r="G285" s="71"/>
      <c r="H285" s="73"/>
      <c r="I285" s="516">
        <v>10432338</v>
      </c>
      <c r="J285" s="74">
        <v>7630632</v>
      </c>
      <c r="K285" s="74">
        <v>5889814</v>
      </c>
      <c r="L285" s="74">
        <v>1740818</v>
      </c>
      <c r="M285" s="74">
        <v>33000</v>
      </c>
      <c r="N285" s="74">
        <v>33000</v>
      </c>
      <c r="O285" s="74">
        <v>0</v>
      </c>
      <c r="P285" s="74">
        <v>2590309</v>
      </c>
      <c r="Q285" s="74">
        <v>76305</v>
      </c>
      <c r="R285" s="74">
        <v>102092</v>
      </c>
      <c r="S285" s="75">
        <v>15.223699999999999</v>
      </c>
      <c r="T285" s="75">
        <v>9.9626999999999999</v>
      </c>
      <c r="U285" s="653">
        <v>5.2609999999999992</v>
      </c>
      <c r="V285" s="516">
        <f t="shared" ref="V285:BX285" si="458">SUM(V279:V284)</f>
        <v>-1320</v>
      </c>
      <c r="W285" s="74">
        <f t="shared" si="458"/>
        <v>0</v>
      </c>
      <c r="X285" s="74">
        <f t="shared" si="458"/>
        <v>0</v>
      </c>
      <c r="Y285" s="74">
        <f t="shared" si="458"/>
        <v>0</v>
      </c>
      <c r="Z285" s="74">
        <f t="shared" si="458"/>
        <v>0</v>
      </c>
      <c r="AA285" s="74">
        <f t="shared" si="458"/>
        <v>-19474</v>
      </c>
      <c r="AB285" s="74">
        <f t="shared" si="458"/>
        <v>0</v>
      </c>
      <c r="AC285" s="74">
        <f t="shared" si="458"/>
        <v>0</v>
      </c>
      <c r="AD285" s="74">
        <f t="shared" si="458"/>
        <v>0</v>
      </c>
      <c r="AE285" s="74">
        <f t="shared" si="458"/>
        <v>-1320</v>
      </c>
      <c r="AF285" s="74">
        <f t="shared" si="458"/>
        <v>-19474</v>
      </c>
      <c r="AG285" s="74">
        <f t="shared" si="458"/>
        <v>-20794</v>
      </c>
      <c r="AH285" s="74">
        <f t="shared" si="458"/>
        <v>1320</v>
      </c>
      <c r="AI285" s="74">
        <f t="shared" si="458"/>
        <v>0</v>
      </c>
      <c r="AJ285" s="74">
        <f t="shared" si="458"/>
        <v>0</v>
      </c>
      <c r="AK285" s="74">
        <f t="shared" si="458"/>
        <v>0</v>
      </c>
      <c r="AL285" s="74">
        <f t="shared" si="458"/>
        <v>0</v>
      </c>
      <c r="AM285" s="74">
        <f t="shared" si="458"/>
        <v>1320</v>
      </c>
      <c r="AN285" s="74">
        <f t="shared" si="458"/>
        <v>0</v>
      </c>
      <c r="AO285" s="74">
        <f t="shared" si="458"/>
        <v>1320</v>
      </c>
      <c r="AP285" s="74">
        <f t="shared" si="458"/>
        <v>0</v>
      </c>
      <c r="AQ285" s="74">
        <f t="shared" si="458"/>
        <v>-19474</v>
      </c>
      <c r="AR285" s="74">
        <f t="shared" si="458"/>
        <v>-19474</v>
      </c>
      <c r="AS285" s="74">
        <f t="shared" si="458"/>
        <v>-6582</v>
      </c>
      <c r="AT285" s="74">
        <f t="shared" si="458"/>
        <v>-208</v>
      </c>
      <c r="AU285" s="74">
        <f t="shared" si="458"/>
        <v>0</v>
      </c>
      <c r="AV285" s="74">
        <f t="shared" si="458"/>
        <v>0</v>
      </c>
      <c r="AW285" s="74">
        <f t="shared" si="458"/>
        <v>0</v>
      </c>
      <c r="AX285" s="74">
        <f t="shared" si="458"/>
        <v>0</v>
      </c>
      <c r="AY285" s="74">
        <f t="shared" si="458"/>
        <v>-26264</v>
      </c>
      <c r="AZ285" s="75">
        <f t="shared" si="458"/>
        <v>0</v>
      </c>
      <c r="BA285" s="75">
        <f t="shared" si="458"/>
        <v>0</v>
      </c>
      <c r="BB285" s="75">
        <f t="shared" si="458"/>
        <v>0</v>
      </c>
      <c r="BC285" s="75">
        <f t="shared" si="458"/>
        <v>0</v>
      </c>
      <c r="BD285" s="75">
        <f t="shared" si="458"/>
        <v>-0.06</v>
      </c>
      <c r="BE285" s="75">
        <f t="shared" si="458"/>
        <v>0</v>
      </c>
      <c r="BF285" s="75">
        <f t="shared" si="458"/>
        <v>0</v>
      </c>
      <c r="BG285" s="75">
        <f t="shared" si="458"/>
        <v>0</v>
      </c>
      <c r="BH285" s="75">
        <f t="shared" si="458"/>
        <v>0</v>
      </c>
      <c r="BI285" s="75">
        <f t="shared" si="458"/>
        <v>0</v>
      </c>
      <c r="BJ285" s="75">
        <f t="shared" si="458"/>
        <v>-0.06</v>
      </c>
      <c r="BK285" s="76">
        <f t="shared" si="458"/>
        <v>-0.06</v>
      </c>
      <c r="BL285" s="781">
        <f t="shared" si="458"/>
        <v>10406074</v>
      </c>
      <c r="BM285" s="74">
        <f t="shared" si="458"/>
        <v>7609838</v>
      </c>
      <c r="BN285" s="74">
        <f t="shared" si="458"/>
        <v>5888494</v>
      </c>
      <c r="BO285" s="74">
        <f t="shared" si="458"/>
        <v>1721344</v>
      </c>
      <c r="BP285" s="74">
        <f t="shared" si="458"/>
        <v>34320</v>
      </c>
      <c r="BQ285" s="74">
        <f t="shared" si="458"/>
        <v>34320</v>
      </c>
      <c r="BR285" s="74">
        <f t="shared" si="458"/>
        <v>0</v>
      </c>
      <c r="BS285" s="74">
        <f t="shared" si="458"/>
        <v>2583727</v>
      </c>
      <c r="BT285" s="74">
        <f t="shared" si="458"/>
        <v>76097</v>
      </c>
      <c r="BU285" s="74">
        <f t="shared" si="458"/>
        <v>102092</v>
      </c>
      <c r="BV285" s="75">
        <f t="shared" si="458"/>
        <v>15.163699999999999</v>
      </c>
      <c r="BW285" s="75">
        <f t="shared" si="458"/>
        <v>9.9626999999999999</v>
      </c>
      <c r="BX285" s="76">
        <f t="shared" si="458"/>
        <v>5.2009999999999996</v>
      </c>
      <c r="BY285" s="791">
        <f t="shared" ref="BY285:CJ285" si="459">SUM(BY279:BY284)</f>
        <v>0</v>
      </c>
      <c r="BZ285" s="679">
        <f t="shared" si="459"/>
        <v>0</v>
      </c>
      <c r="CA285" s="679">
        <f t="shared" si="459"/>
        <v>0</v>
      </c>
      <c r="CB285" s="679">
        <f t="shared" si="459"/>
        <v>0</v>
      </c>
      <c r="CC285" s="679">
        <f t="shared" si="459"/>
        <v>0</v>
      </c>
      <c r="CD285" s="947">
        <f t="shared" si="459"/>
        <v>0</v>
      </c>
      <c r="CE285" s="956">
        <f t="shared" si="459"/>
        <v>399176</v>
      </c>
      <c r="CF285" s="953">
        <f t="shared" si="459"/>
        <v>281107</v>
      </c>
      <c r="CG285" s="953">
        <f t="shared" si="459"/>
        <v>95014</v>
      </c>
      <c r="CH285" s="953">
        <f t="shared" si="459"/>
        <v>2811</v>
      </c>
      <c r="CI285" s="953">
        <f t="shared" si="459"/>
        <v>20244</v>
      </c>
      <c r="CJ285" s="877">
        <f t="shared" si="459"/>
        <v>0.8506999999999999</v>
      </c>
      <c r="CK285" s="53"/>
      <c r="CL285" s="53"/>
    </row>
    <row r="286" spans="1:90" ht="14.1" customHeight="1">
      <c r="A286" s="66">
        <v>58</v>
      </c>
      <c r="B286" s="63">
        <v>2318</v>
      </c>
      <c r="C286" s="64">
        <v>600079546</v>
      </c>
      <c r="D286" s="63">
        <v>70695253</v>
      </c>
      <c r="E286" s="65" t="s">
        <v>651</v>
      </c>
      <c r="F286" s="66">
        <v>3111</v>
      </c>
      <c r="G286" s="65" t="s">
        <v>290</v>
      </c>
      <c r="H286" s="67" t="s">
        <v>271</v>
      </c>
      <c r="I286" s="419">
        <v>8062658</v>
      </c>
      <c r="J286" s="414">
        <v>5937896</v>
      </c>
      <c r="K286" s="414">
        <v>5101491</v>
      </c>
      <c r="L286" s="414">
        <v>836405</v>
      </c>
      <c r="M286" s="414">
        <v>5690</v>
      </c>
      <c r="N286" s="414">
        <v>0</v>
      </c>
      <c r="O286" s="414">
        <v>5690</v>
      </c>
      <c r="P286" s="595">
        <v>2008932</v>
      </c>
      <c r="Q286" s="595">
        <v>59380</v>
      </c>
      <c r="R286" s="414">
        <v>50760</v>
      </c>
      <c r="S286" s="415">
        <v>11.8367</v>
      </c>
      <c r="T286" s="415">
        <v>9</v>
      </c>
      <c r="U286" s="422">
        <v>2.8367</v>
      </c>
      <c r="V286" s="423">
        <f t="shared" si="422"/>
        <v>-10000</v>
      </c>
      <c r="W286" s="417">
        <f t="shared" si="423"/>
        <v>0</v>
      </c>
      <c r="X286" s="417">
        <v>0</v>
      </c>
      <c r="Y286" s="417">
        <v>0</v>
      </c>
      <c r="Z286" s="417">
        <v>0</v>
      </c>
      <c r="AA286" s="417">
        <v>0</v>
      </c>
      <c r="AB286" s="417">
        <v>0</v>
      </c>
      <c r="AC286" s="417">
        <v>0</v>
      </c>
      <c r="AD286" s="417">
        <v>0</v>
      </c>
      <c r="AE286" s="417">
        <f t="shared" si="424"/>
        <v>-10000</v>
      </c>
      <c r="AF286" s="417">
        <f t="shared" si="425"/>
        <v>0</v>
      </c>
      <c r="AG286" s="417">
        <f t="shared" si="426"/>
        <v>-10000</v>
      </c>
      <c r="AH286" s="417">
        <v>10000</v>
      </c>
      <c r="AI286" s="417">
        <v>0</v>
      </c>
      <c r="AJ286" s="417">
        <v>0</v>
      </c>
      <c r="AK286" s="417">
        <v>0</v>
      </c>
      <c r="AL286" s="417">
        <v>0</v>
      </c>
      <c r="AM286" s="417">
        <f t="shared" si="427"/>
        <v>10000</v>
      </c>
      <c r="AN286" s="417">
        <f t="shared" si="428"/>
        <v>0</v>
      </c>
      <c r="AO286" s="417">
        <f t="shared" si="429"/>
        <v>10000</v>
      </c>
      <c r="AP286" s="417">
        <f t="shared" si="430"/>
        <v>0</v>
      </c>
      <c r="AQ286" s="417">
        <f t="shared" si="431"/>
        <v>0</v>
      </c>
      <c r="AR286" s="417">
        <f t="shared" si="432"/>
        <v>0</v>
      </c>
      <c r="AS286" s="68">
        <f t="shared" si="433"/>
        <v>0</v>
      </c>
      <c r="AT286" s="68">
        <f t="shared" si="434"/>
        <v>-100</v>
      </c>
      <c r="AU286" s="417">
        <v>0</v>
      </c>
      <c r="AV286" s="417">
        <v>0</v>
      </c>
      <c r="AW286" s="417">
        <v>0</v>
      </c>
      <c r="AX286" s="417">
        <f t="shared" si="435"/>
        <v>0</v>
      </c>
      <c r="AY286" s="417">
        <f t="shared" si="436"/>
        <v>-100</v>
      </c>
      <c r="AZ286" s="418">
        <v>0</v>
      </c>
      <c r="BA286" s="418">
        <v>0</v>
      </c>
      <c r="BB286" s="418">
        <v>0</v>
      </c>
      <c r="BC286" s="418">
        <v>0</v>
      </c>
      <c r="BD286" s="418">
        <v>0</v>
      </c>
      <c r="BE286" s="418">
        <v>0</v>
      </c>
      <c r="BF286" s="418">
        <v>0</v>
      </c>
      <c r="BG286" s="418">
        <v>0</v>
      </c>
      <c r="BH286" s="418">
        <v>0</v>
      </c>
      <c r="BI286" s="418">
        <f t="shared" si="437"/>
        <v>0</v>
      </c>
      <c r="BJ286" s="418">
        <f t="shared" si="438"/>
        <v>0</v>
      </c>
      <c r="BK286" s="420">
        <f t="shared" si="439"/>
        <v>0</v>
      </c>
      <c r="BL286" s="772">
        <f>I286+AY286</f>
        <v>8062558</v>
      </c>
      <c r="BM286" s="417">
        <f>J286+AG286</f>
        <v>5927896</v>
      </c>
      <c r="BN286" s="417">
        <f t="shared" ref="BN286:BO289" si="460">K286+AE286</f>
        <v>5091491</v>
      </c>
      <c r="BO286" s="417">
        <f t="shared" si="460"/>
        <v>836405</v>
      </c>
      <c r="BP286" s="417">
        <f>M286+AO286</f>
        <v>15690</v>
      </c>
      <c r="BQ286" s="417">
        <f t="shared" ref="BQ286:BR289" si="461">N286+AM286</f>
        <v>10000</v>
      </c>
      <c r="BR286" s="417">
        <f t="shared" si="461"/>
        <v>5690</v>
      </c>
      <c r="BS286" s="417">
        <f t="shared" ref="BS286:BT289" si="462">P286+AS286</f>
        <v>2008932</v>
      </c>
      <c r="BT286" s="417">
        <f t="shared" si="462"/>
        <v>59280</v>
      </c>
      <c r="BU286" s="417">
        <f>R286+AX286</f>
        <v>50760</v>
      </c>
      <c r="BV286" s="418">
        <f>S286+BK286</f>
        <v>11.8367</v>
      </c>
      <c r="BW286" s="418">
        <f t="shared" ref="BW286:BX289" si="463">T286+BI286</f>
        <v>9</v>
      </c>
      <c r="BX286" s="420">
        <f t="shared" si="463"/>
        <v>2.8367</v>
      </c>
      <c r="BY286" s="419"/>
      <c r="BZ286" s="414"/>
      <c r="CA286" s="414"/>
      <c r="CB286" s="414"/>
      <c r="CC286" s="414"/>
      <c r="CD286" s="422"/>
      <c r="CE286" s="419">
        <f t="shared" si="440"/>
        <v>381160</v>
      </c>
      <c r="CF286" s="414">
        <v>270228</v>
      </c>
      <c r="CG286" s="414">
        <v>91337</v>
      </c>
      <c r="CH286" s="414">
        <v>2702</v>
      </c>
      <c r="CI286" s="414">
        <v>16893</v>
      </c>
      <c r="CJ286" s="509">
        <v>0.91670000000000007</v>
      </c>
    </row>
    <row r="287" spans="1:90" ht="14.1" customHeight="1">
      <c r="A287" s="66">
        <v>58</v>
      </c>
      <c r="B287" s="63">
        <v>2318</v>
      </c>
      <c r="C287" s="64">
        <v>600079546</v>
      </c>
      <c r="D287" s="63">
        <v>70695253</v>
      </c>
      <c r="E287" s="65" t="s">
        <v>651</v>
      </c>
      <c r="F287" s="66">
        <v>3111</v>
      </c>
      <c r="G287" s="43" t="s">
        <v>292</v>
      </c>
      <c r="H287" s="67" t="s">
        <v>271</v>
      </c>
      <c r="I287" s="419">
        <v>464413</v>
      </c>
      <c r="J287" s="414">
        <v>344520</v>
      </c>
      <c r="K287" s="414">
        <v>344520</v>
      </c>
      <c r="L287" s="414">
        <v>0</v>
      </c>
      <c r="M287" s="414">
        <v>0</v>
      </c>
      <c r="N287" s="414">
        <v>0</v>
      </c>
      <c r="O287" s="414">
        <v>0</v>
      </c>
      <c r="P287" s="595">
        <v>116448</v>
      </c>
      <c r="Q287" s="595">
        <v>3445</v>
      </c>
      <c r="R287" s="414">
        <v>0</v>
      </c>
      <c r="S287" s="415">
        <v>1</v>
      </c>
      <c r="T287" s="415">
        <v>1</v>
      </c>
      <c r="U287" s="422">
        <v>0</v>
      </c>
      <c r="V287" s="423">
        <f t="shared" si="422"/>
        <v>0</v>
      </c>
      <c r="W287" s="417">
        <f t="shared" si="423"/>
        <v>0</v>
      </c>
      <c r="X287" s="417">
        <v>0</v>
      </c>
      <c r="Y287" s="417">
        <v>0</v>
      </c>
      <c r="Z287" s="417">
        <v>0</v>
      </c>
      <c r="AA287" s="417">
        <v>0</v>
      </c>
      <c r="AB287" s="417">
        <v>0</v>
      </c>
      <c r="AC287" s="417">
        <v>0</v>
      </c>
      <c r="AD287" s="417">
        <v>0</v>
      </c>
      <c r="AE287" s="417">
        <f t="shared" si="424"/>
        <v>0</v>
      </c>
      <c r="AF287" s="417">
        <f t="shared" si="425"/>
        <v>0</v>
      </c>
      <c r="AG287" s="417">
        <f t="shared" si="426"/>
        <v>0</v>
      </c>
      <c r="AH287" s="417">
        <v>0</v>
      </c>
      <c r="AI287" s="417">
        <v>0</v>
      </c>
      <c r="AJ287" s="417">
        <v>0</v>
      </c>
      <c r="AK287" s="417">
        <v>0</v>
      </c>
      <c r="AL287" s="417">
        <v>0</v>
      </c>
      <c r="AM287" s="417">
        <f t="shared" si="427"/>
        <v>0</v>
      </c>
      <c r="AN287" s="417">
        <f t="shared" si="428"/>
        <v>0</v>
      </c>
      <c r="AO287" s="417">
        <f t="shared" si="429"/>
        <v>0</v>
      </c>
      <c r="AP287" s="417">
        <f t="shared" si="430"/>
        <v>0</v>
      </c>
      <c r="AQ287" s="417">
        <f t="shared" si="431"/>
        <v>0</v>
      </c>
      <c r="AR287" s="417">
        <f t="shared" si="432"/>
        <v>0</v>
      </c>
      <c r="AS287" s="68">
        <f t="shared" si="433"/>
        <v>0</v>
      </c>
      <c r="AT287" s="68">
        <f t="shared" si="434"/>
        <v>0</v>
      </c>
      <c r="AU287" s="417">
        <v>0</v>
      </c>
      <c r="AV287" s="417">
        <v>0</v>
      </c>
      <c r="AW287" s="417">
        <v>0</v>
      </c>
      <c r="AX287" s="417">
        <f t="shared" si="435"/>
        <v>0</v>
      </c>
      <c r="AY287" s="417">
        <f t="shared" si="436"/>
        <v>0</v>
      </c>
      <c r="AZ287" s="418">
        <v>0</v>
      </c>
      <c r="BA287" s="418">
        <v>0</v>
      </c>
      <c r="BB287" s="418">
        <v>0</v>
      </c>
      <c r="BC287" s="418">
        <v>0</v>
      </c>
      <c r="BD287" s="418">
        <v>0</v>
      </c>
      <c r="BE287" s="418">
        <v>0</v>
      </c>
      <c r="BF287" s="418">
        <v>0</v>
      </c>
      <c r="BG287" s="418">
        <v>0</v>
      </c>
      <c r="BH287" s="418">
        <v>0</v>
      </c>
      <c r="BI287" s="418">
        <f t="shared" si="437"/>
        <v>0</v>
      </c>
      <c r="BJ287" s="418">
        <f t="shared" si="438"/>
        <v>0</v>
      </c>
      <c r="BK287" s="420">
        <f t="shared" si="439"/>
        <v>0</v>
      </c>
      <c r="BL287" s="772">
        <f>I287+AY287</f>
        <v>464413</v>
      </c>
      <c r="BM287" s="417">
        <f>J287+AG287</f>
        <v>344520</v>
      </c>
      <c r="BN287" s="417">
        <f t="shared" si="460"/>
        <v>344520</v>
      </c>
      <c r="BO287" s="417">
        <f t="shared" si="460"/>
        <v>0</v>
      </c>
      <c r="BP287" s="417">
        <f>M287+AO287</f>
        <v>0</v>
      </c>
      <c r="BQ287" s="417">
        <f t="shared" si="461"/>
        <v>0</v>
      </c>
      <c r="BR287" s="417">
        <f t="shared" si="461"/>
        <v>0</v>
      </c>
      <c r="BS287" s="417">
        <f t="shared" si="462"/>
        <v>116448</v>
      </c>
      <c r="BT287" s="417">
        <f t="shared" si="462"/>
        <v>3445</v>
      </c>
      <c r="BU287" s="417">
        <f>R287+AX287</f>
        <v>0</v>
      </c>
      <c r="BV287" s="418">
        <f>S287+BK287</f>
        <v>1</v>
      </c>
      <c r="BW287" s="418">
        <f t="shared" si="463"/>
        <v>1</v>
      </c>
      <c r="BX287" s="420">
        <f t="shared" si="463"/>
        <v>0</v>
      </c>
      <c r="BY287" s="419"/>
      <c r="BZ287" s="414"/>
      <c r="CA287" s="414"/>
      <c r="CB287" s="414"/>
      <c r="CC287" s="414"/>
      <c r="CD287" s="422"/>
      <c r="CE287" s="419">
        <f t="shared" si="440"/>
        <v>0</v>
      </c>
      <c r="CF287" s="414">
        <v>0</v>
      </c>
      <c r="CG287" s="414">
        <v>0</v>
      </c>
      <c r="CH287" s="414">
        <v>0</v>
      </c>
      <c r="CI287" s="414">
        <v>0</v>
      </c>
      <c r="CJ287" s="509">
        <v>0</v>
      </c>
    </row>
    <row r="288" spans="1:90" ht="14.1" customHeight="1">
      <c r="A288" s="66">
        <v>58</v>
      </c>
      <c r="B288" s="63">
        <v>2318</v>
      </c>
      <c r="C288" s="64">
        <v>600079546</v>
      </c>
      <c r="D288" s="63">
        <v>70695253</v>
      </c>
      <c r="E288" s="65" t="s">
        <v>651</v>
      </c>
      <c r="F288" s="66">
        <v>3111</v>
      </c>
      <c r="G288" s="77" t="s">
        <v>291</v>
      </c>
      <c r="H288" s="67" t="s">
        <v>272</v>
      </c>
      <c r="I288" s="419">
        <v>0</v>
      </c>
      <c r="J288" s="414">
        <v>0</v>
      </c>
      <c r="K288" s="414">
        <v>0</v>
      </c>
      <c r="L288" s="414">
        <v>0</v>
      </c>
      <c r="M288" s="414">
        <v>0</v>
      </c>
      <c r="N288" s="414">
        <v>0</v>
      </c>
      <c r="O288" s="414">
        <v>0</v>
      </c>
      <c r="P288" s="595">
        <v>0</v>
      </c>
      <c r="Q288" s="595">
        <v>0</v>
      </c>
      <c r="R288" s="414">
        <v>0</v>
      </c>
      <c r="S288" s="415">
        <v>0</v>
      </c>
      <c r="T288" s="416">
        <v>0</v>
      </c>
      <c r="U288" s="422">
        <v>0</v>
      </c>
      <c r="V288" s="423">
        <f t="shared" si="422"/>
        <v>0</v>
      </c>
      <c r="W288" s="417">
        <f t="shared" si="423"/>
        <v>0</v>
      </c>
      <c r="X288" s="417">
        <v>0</v>
      </c>
      <c r="Y288" s="417">
        <v>0</v>
      </c>
      <c r="Z288" s="417">
        <v>0</v>
      </c>
      <c r="AA288" s="417">
        <v>0</v>
      </c>
      <c r="AB288" s="417">
        <v>0</v>
      </c>
      <c r="AC288" s="417">
        <v>0</v>
      </c>
      <c r="AD288" s="417">
        <v>0</v>
      </c>
      <c r="AE288" s="417">
        <f t="shared" si="424"/>
        <v>0</v>
      </c>
      <c r="AF288" s="417">
        <f t="shared" si="425"/>
        <v>0</v>
      </c>
      <c r="AG288" s="417">
        <f t="shared" si="426"/>
        <v>0</v>
      </c>
      <c r="AH288" s="417">
        <v>0</v>
      </c>
      <c r="AI288" s="417">
        <v>0</v>
      </c>
      <c r="AJ288" s="417">
        <v>0</v>
      </c>
      <c r="AK288" s="417">
        <v>0</v>
      </c>
      <c r="AL288" s="417">
        <v>0</v>
      </c>
      <c r="AM288" s="417">
        <f t="shared" si="427"/>
        <v>0</v>
      </c>
      <c r="AN288" s="417">
        <f t="shared" si="428"/>
        <v>0</v>
      </c>
      <c r="AO288" s="417">
        <f t="shared" si="429"/>
        <v>0</v>
      </c>
      <c r="AP288" s="417">
        <f t="shared" si="430"/>
        <v>0</v>
      </c>
      <c r="AQ288" s="417">
        <f t="shared" si="431"/>
        <v>0</v>
      </c>
      <c r="AR288" s="417">
        <f t="shared" si="432"/>
        <v>0</v>
      </c>
      <c r="AS288" s="68">
        <f t="shared" si="433"/>
        <v>0</v>
      </c>
      <c r="AT288" s="68">
        <f t="shared" si="434"/>
        <v>0</v>
      </c>
      <c r="AU288" s="417">
        <v>0</v>
      </c>
      <c r="AV288" s="417">
        <v>0</v>
      </c>
      <c r="AW288" s="417">
        <v>0</v>
      </c>
      <c r="AX288" s="417">
        <f t="shared" si="435"/>
        <v>0</v>
      </c>
      <c r="AY288" s="417">
        <f t="shared" si="436"/>
        <v>0</v>
      </c>
      <c r="AZ288" s="418">
        <v>0</v>
      </c>
      <c r="BA288" s="418">
        <v>0</v>
      </c>
      <c r="BB288" s="418">
        <v>0</v>
      </c>
      <c r="BC288" s="418">
        <v>0</v>
      </c>
      <c r="BD288" s="418">
        <v>0</v>
      </c>
      <c r="BE288" s="418">
        <v>0</v>
      </c>
      <c r="BF288" s="418">
        <v>0</v>
      </c>
      <c r="BG288" s="418">
        <v>0</v>
      </c>
      <c r="BH288" s="418">
        <v>0</v>
      </c>
      <c r="BI288" s="418">
        <f t="shared" si="437"/>
        <v>0</v>
      </c>
      <c r="BJ288" s="418">
        <f t="shared" si="438"/>
        <v>0</v>
      </c>
      <c r="BK288" s="420">
        <f t="shared" si="439"/>
        <v>0</v>
      </c>
      <c r="BL288" s="772">
        <f>I288+AY288</f>
        <v>0</v>
      </c>
      <c r="BM288" s="417">
        <f>J288+AG288</f>
        <v>0</v>
      </c>
      <c r="BN288" s="417">
        <f t="shared" si="460"/>
        <v>0</v>
      </c>
      <c r="BO288" s="417">
        <f t="shared" si="460"/>
        <v>0</v>
      </c>
      <c r="BP288" s="417">
        <f>M288+AO288</f>
        <v>0</v>
      </c>
      <c r="BQ288" s="417">
        <f t="shared" si="461"/>
        <v>0</v>
      </c>
      <c r="BR288" s="417">
        <f t="shared" si="461"/>
        <v>0</v>
      </c>
      <c r="BS288" s="417">
        <f t="shared" si="462"/>
        <v>0</v>
      </c>
      <c r="BT288" s="417">
        <f t="shared" si="462"/>
        <v>0</v>
      </c>
      <c r="BU288" s="417">
        <f>R288+AX288</f>
        <v>0</v>
      </c>
      <c r="BV288" s="418">
        <f>S288+BK288</f>
        <v>0</v>
      </c>
      <c r="BW288" s="418">
        <f t="shared" si="463"/>
        <v>0</v>
      </c>
      <c r="BX288" s="420">
        <f t="shared" si="463"/>
        <v>0</v>
      </c>
      <c r="BY288" s="419"/>
      <c r="BZ288" s="414"/>
      <c r="CA288" s="414"/>
      <c r="CB288" s="414"/>
      <c r="CC288" s="414"/>
      <c r="CD288" s="422"/>
      <c r="CE288" s="419">
        <f t="shared" si="440"/>
        <v>0</v>
      </c>
      <c r="CF288" s="414">
        <v>0</v>
      </c>
      <c r="CG288" s="414">
        <v>0</v>
      </c>
      <c r="CH288" s="414">
        <v>0</v>
      </c>
      <c r="CI288" s="414">
        <v>0</v>
      </c>
      <c r="CJ288" s="509">
        <v>0</v>
      </c>
    </row>
    <row r="289" spans="1:90" ht="14.1" customHeight="1">
      <c r="A289" s="66">
        <v>58</v>
      </c>
      <c r="B289" s="63">
        <v>2318</v>
      </c>
      <c r="C289" s="64">
        <v>600079546</v>
      </c>
      <c r="D289" s="63">
        <v>70695253</v>
      </c>
      <c r="E289" s="65" t="s">
        <v>651</v>
      </c>
      <c r="F289" s="66">
        <v>3141</v>
      </c>
      <c r="G289" s="65" t="s">
        <v>294</v>
      </c>
      <c r="H289" s="67" t="s">
        <v>272</v>
      </c>
      <c r="I289" s="419">
        <v>1078143</v>
      </c>
      <c r="J289" s="414">
        <v>796145</v>
      </c>
      <c r="K289" s="414">
        <v>0</v>
      </c>
      <c r="L289" s="744">
        <v>796145</v>
      </c>
      <c r="M289" s="414">
        <v>0</v>
      </c>
      <c r="N289" s="204">
        <v>0</v>
      </c>
      <c r="O289" s="204">
        <v>0</v>
      </c>
      <c r="P289" s="595">
        <v>269097</v>
      </c>
      <c r="Q289" s="595">
        <v>7961</v>
      </c>
      <c r="R289" s="601">
        <v>4940</v>
      </c>
      <c r="S289" s="415">
        <v>2.3933</v>
      </c>
      <c r="T289" s="603">
        <v>0</v>
      </c>
      <c r="U289" s="731">
        <v>2.3933</v>
      </c>
      <c r="V289" s="423">
        <f t="shared" si="422"/>
        <v>0</v>
      </c>
      <c r="W289" s="417">
        <f t="shared" si="423"/>
        <v>0</v>
      </c>
      <c r="X289" s="417">
        <v>0</v>
      </c>
      <c r="Y289" s="417">
        <v>0</v>
      </c>
      <c r="Z289" s="417">
        <v>0</v>
      </c>
      <c r="AA289" s="417">
        <v>-11915</v>
      </c>
      <c r="AB289" s="417">
        <v>0</v>
      </c>
      <c r="AC289" s="417">
        <v>0</v>
      </c>
      <c r="AD289" s="417">
        <v>0</v>
      </c>
      <c r="AE289" s="417">
        <f t="shared" si="424"/>
        <v>0</v>
      </c>
      <c r="AF289" s="417">
        <f t="shared" si="425"/>
        <v>-11915</v>
      </c>
      <c r="AG289" s="417">
        <f t="shared" si="426"/>
        <v>-11915</v>
      </c>
      <c r="AH289" s="417">
        <v>0</v>
      </c>
      <c r="AI289" s="417">
        <v>0</v>
      </c>
      <c r="AJ289" s="417">
        <v>0</v>
      </c>
      <c r="AK289" s="417">
        <v>0</v>
      </c>
      <c r="AL289" s="417">
        <v>0</v>
      </c>
      <c r="AM289" s="417">
        <f t="shared" si="427"/>
        <v>0</v>
      </c>
      <c r="AN289" s="417">
        <f t="shared" si="428"/>
        <v>0</v>
      </c>
      <c r="AO289" s="417">
        <f t="shared" si="429"/>
        <v>0</v>
      </c>
      <c r="AP289" s="417">
        <f t="shared" si="430"/>
        <v>0</v>
      </c>
      <c r="AQ289" s="417">
        <f t="shared" si="431"/>
        <v>-11915</v>
      </c>
      <c r="AR289" s="417">
        <f t="shared" si="432"/>
        <v>-11915</v>
      </c>
      <c r="AS289" s="68">
        <f t="shared" si="433"/>
        <v>-4027</v>
      </c>
      <c r="AT289" s="68">
        <f t="shared" si="434"/>
        <v>-119</v>
      </c>
      <c r="AU289" s="417">
        <v>0</v>
      </c>
      <c r="AV289" s="417">
        <v>0</v>
      </c>
      <c r="AW289" s="417">
        <v>0</v>
      </c>
      <c r="AX289" s="417">
        <f t="shared" si="435"/>
        <v>0</v>
      </c>
      <c r="AY289" s="417">
        <f t="shared" si="436"/>
        <v>-16061</v>
      </c>
      <c r="AZ289" s="418">
        <v>0</v>
      </c>
      <c r="BA289" s="418">
        <v>0</v>
      </c>
      <c r="BB289" s="418">
        <v>0</v>
      </c>
      <c r="BC289" s="418">
        <v>0</v>
      </c>
      <c r="BD289" s="418">
        <v>-0.04</v>
      </c>
      <c r="BE289" s="418">
        <v>0</v>
      </c>
      <c r="BF289" s="418">
        <v>0</v>
      </c>
      <c r="BG289" s="418">
        <v>0</v>
      </c>
      <c r="BH289" s="418">
        <v>0</v>
      </c>
      <c r="BI289" s="418">
        <f t="shared" si="437"/>
        <v>0</v>
      </c>
      <c r="BJ289" s="418">
        <f t="shared" si="438"/>
        <v>-0.04</v>
      </c>
      <c r="BK289" s="420">
        <f t="shared" si="439"/>
        <v>-0.04</v>
      </c>
      <c r="BL289" s="772">
        <f>I289+AY289</f>
        <v>1062082</v>
      </c>
      <c r="BM289" s="417">
        <f>J289+AG289</f>
        <v>784230</v>
      </c>
      <c r="BN289" s="417">
        <f t="shared" si="460"/>
        <v>0</v>
      </c>
      <c r="BO289" s="417">
        <f t="shared" si="460"/>
        <v>784230</v>
      </c>
      <c r="BP289" s="417">
        <f>M289+AO289</f>
        <v>0</v>
      </c>
      <c r="BQ289" s="417">
        <f t="shared" si="461"/>
        <v>0</v>
      </c>
      <c r="BR289" s="417">
        <f t="shared" si="461"/>
        <v>0</v>
      </c>
      <c r="BS289" s="417">
        <f t="shared" si="462"/>
        <v>265070</v>
      </c>
      <c r="BT289" s="417">
        <f t="shared" si="462"/>
        <v>7842</v>
      </c>
      <c r="BU289" s="417">
        <f>R289+AX289</f>
        <v>4940</v>
      </c>
      <c r="BV289" s="418">
        <f>S289+BK289</f>
        <v>2.3532999999999999</v>
      </c>
      <c r="BW289" s="418">
        <f t="shared" si="463"/>
        <v>0</v>
      </c>
      <c r="BX289" s="420">
        <f t="shared" si="463"/>
        <v>2.3532999999999999</v>
      </c>
      <c r="BY289" s="419"/>
      <c r="BZ289" s="414"/>
      <c r="CA289" s="414"/>
      <c r="CB289" s="414"/>
      <c r="CC289" s="414"/>
      <c r="CD289" s="422"/>
      <c r="CE289" s="419">
        <f t="shared" si="440"/>
        <v>0</v>
      </c>
      <c r="CF289" s="414">
        <v>0</v>
      </c>
      <c r="CG289" s="414">
        <v>0</v>
      </c>
      <c r="CH289" s="414">
        <v>0</v>
      </c>
      <c r="CI289" s="414">
        <v>0</v>
      </c>
      <c r="CJ289" s="509">
        <v>0</v>
      </c>
    </row>
    <row r="290" spans="1:90" ht="14.1" customHeight="1">
      <c r="A290" s="72">
        <v>58</v>
      </c>
      <c r="B290" s="69">
        <v>2318</v>
      </c>
      <c r="C290" s="70">
        <v>600079546</v>
      </c>
      <c r="D290" s="69">
        <v>70695253</v>
      </c>
      <c r="E290" s="71" t="s">
        <v>652</v>
      </c>
      <c r="F290" s="72"/>
      <c r="G290" s="71"/>
      <c r="H290" s="73"/>
      <c r="I290" s="516">
        <v>9605214</v>
      </c>
      <c r="J290" s="74">
        <v>7078561</v>
      </c>
      <c r="K290" s="74">
        <v>5446011</v>
      </c>
      <c r="L290" s="74">
        <v>1632550</v>
      </c>
      <c r="M290" s="74">
        <v>5690</v>
      </c>
      <c r="N290" s="74">
        <v>0</v>
      </c>
      <c r="O290" s="74">
        <v>5690</v>
      </c>
      <c r="P290" s="74">
        <v>2394477</v>
      </c>
      <c r="Q290" s="74">
        <v>70786</v>
      </c>
      <c r="R290" s="74">
        <v>55700</v>
      </c>
      <c r="S290" s="75">
        <v>15.23</v>
      </c>
      <c r="T290" s="75">
        <v>10</v>
      </c>
      <c r="U290" s="653">
        <v>5.23</v>
      </c>
      <c r="V290" s="516">
        <f t="shared" ref="V290:BX290" si="464">SUM(V286:V289)</f>
        <v>-10000</v>
      </c>
      <c r="W290" s="74">
        <f t="shared" si="464"/>
        <v>0</v>
      </c>
      <c r="X290" s="74">
        <f t="shared" si="464"/>
        <v>0</v>
      </c>
      <c r="Y290" s="74">
        <f t="shared" si="464"/>
        <v>0</v>
      </c>
      <c r="Z290" s="74">
        <f t="shared" si="464"/>
        <v>0</v>
      </c>
      <c r="AA290" s="74">
        <f t="shared" si="464"/>
        <v>-11915</v>
      </c>
      <c r="AB290" s="74">
        <f t="shared" si="464"/>
        <v>0</v>
      </c>
      <c r="AC290" s="74">
        <f t="shared" si="464"/>
        <v>0</v>
      </c>
      <c r="AD290" s="74">
        <f t="shared" si="464"/>
        <v>0</v>
      </c>
      <c r="AE290" s="74">
        <f t="shared" si="464"/>
        <v>-10000</v>
      </c>
      <c r="AF290" s="74">
        <f t="shared" si="464"/>
        <v>-11915</v>
      </c>
      <c r="AG290" s="74">
        <f t="shared" si="464"/>
        <v>-21915</v>
      </c>
      <c r="AH290" s="74">
        <f t="shared" si="464"/>
        <v>10000</v>
      </c>
      <c r="AI290" s="74">
        <f t="shared" si="464"/>
        <v>0</v>
      </c>
      <c r="AJ290" s="74">
        <f t="shared" si="464"/>
        <v>0</v>
      </c>
      <c r="AK290" s="74">
        <f t="shared" si="464"/>
        <v>0</v>
      </c>
      <c r="AL290" s="74">
        <f t="shared" si="464"/>
        <v>0</v>
      </c>
      <c r="AM290" s="74">
        <f t="shared" si="464"/>
        <v>10000</v>
      </c>
      <c r="AN290" s="74">
        <f t="shared" si="464"/>
        <v>0</v>
      </c>
      <c r="AO290" s="74">
        <f t="shared" si="464"/>
        <v>10000</v>
      </c>
      <c r="AP290" s="74">
        <f t="shared" si="464"/>
        <v>0</v>
      </c>
      <c r="AQ290" s="74">
        <f t="shared" si="464"/>
        <v>-11915</v>
      </c>
      <c r="AR290" s="74">
        <f t="shared" si="464"/>
        <v>-11915</v>
      </c>
      <c r="AS290" s="74">
        <f t="shared" si="464"/>
        <v>-4027</v>
      </c>
      <c r="AT290" s="74">
        <f t="shared" si="464"/>
        <v>-219</v>
      </c>
      <c r="AU290" s="74">
        <f t="shared" si="464"/>
        <v>0</v>
      </c>
      <c r="AV290" s="74">
        <f t="shared" si="464"/>
        <v>0</v>
      </c>
      <c r="AW290" s="74">
        <f t="shared" si="464"/>
        <v>0</v>
      </c>
      <c r="AX290" s="74">
        <f t="shared" si="464"/>
        <v>0</v>
      </c>
      <c r="AY290" s="74">
        <f t="shared" si="464"/>
        <v>-16161</v>
      </c>
      <c r="AZ290" s="75">
        <f t="shared" si="464"/>
        <v>0</v>
      </c>
      <c r="BA290" s="75">
        <f t="shared" si="464"/>
        <v>0</v>
      </c>
      <c r="BB290" s="75">
        <f t="shared" si="464"/>
        <v>0</v>
      </c>
      <c r="BC290" s="75">
        <f t="shared" si="464"/>
        <v>0</v>
      </c>
      <c r="BD290" s="75">
        <f t="shared" si="464"/>
        <v>-0.04</v>
      </c>
      <c r="BE290" s="75">
        <f t="shared" si="464"/>
        <v>0</v>
      </c>
      <c r="BF290" s="75">
        <f t="shared" si="464"/>
        <v>0</v>
      </c>
      <c r="BG290" s="75">
        <f t="shared" si="464"/>
        <v>0</v>
      </c>
      <c r="BH290" s="75">
        <f t="shared" si="464"/>
        <v>0</v>
      </c>
      <c r="BI290" s="75">
        <f t="shared" si="464"/>
        <v>0</v>
      </c>
      <c r="BJ290" s="75">
        <f t="shared" si="464"/>
        <v>-0.04</v>
      </c>
      <c r="BK290" s="76">
        <f t="shared" si="464"/>
        <v>-0.04</v>
      </c>
      <c r="BL290" s="781">
        <f t="shared" si="464"/>
        <v>9589053</v>
      </c>
      <c r="BM290" s="74">
        <f t="shared" si="464"/>
        <v>7056646</v>
      </c>
      <c r="BN290" s="74">
        <f t="shared" si="464"/>
        <v>5436011</v>
      </c>
      <c r="BO290" s="74">
        <f t="shared" si="464"/>
        <v>1620635</v>
      </c>
      <c r="BP290" s="74">
        <f t="shared" si="464"/>
        <v>15690</v>
      </c>
      <c r="BQ290" s="74">
        <f t="shared" si="464"/>
        <v>10000</v>
      </c>
      <c r="BR290" s="74">
        <f t="shared" si="464"/>
        <v>5690</v>
      </c>
      <c r="BS290" s="74">
        <f t="shared" si="464"/>
        <v>2390450</v>
      </c>
      <c r="BT290" s="74">
        <f t="shared" si="464"/>
        <v>70567</v>
      </c>
      <c r="BU290" s="74">
        <f t="shared" si="464"/>
        <v>55700</v>
      </c>
      <c r="BV290" s="75">
        <f t="shared" si="464"/>
        <v>15.190000000000001</v>
      </c>
      <c r="BW290" s="75">
        <f t="shared" si="464"/>
        <v>10</v>
      </c>
      <c r="BX290" s="76">
        <f t="shared" si="464"/>
        <v>5.1899999999999995</v>
      </c>
      <c r="BY290" s="791">
        <f t="shared" ref="BY290:CJ290" si="465">SUM(BY286:BY289)</f>
        <v>0</v>
      </c>
      <c r="BZ290" s="679">
        <f t="shared" si="465"/>
        <v>0</v>
      </c>
      <c r="CA290" s="679">
        <f t="shared" si="465"/>
        <v>0</v>
      </c>
      <c r="CB290" s="679">
        <f t="shared" si="465"/>
        <v>0</v>
      </c>
      <c r="CC290" s="679">
        <f t="shared" si="465"/>
        <v>0</v>
      </c>
      <c r="CD290" s="947">
        <f t="shared" si="465"/>
        <v>0</v>
      </c>
      <c r="CE290" s="956">
        <f t="shared" si="465"/>
        <v>381160</v>
      </c>
      <c r="CF290" s="953">
        <f t="shared" si="465"/>
        <v>270228</v>
      </c>
      <c r="CG290" s="953">
        <f t="shared" si="465"/>
        <v>91337</v>
      </c>
      <c r="CH290" s="953">
        <f t="shared" si="465"/>
        <v>2702</v>
      </c>
      <c r="CI290" s="953">
        <f t="shared" si="465"/>
        <v>16893</v>
      </c>
      <c r="CJ290" s="877">
        <f t="shared" si="465"/>
        <v>0.91670000000000007</v>
      </c>
    </row>
    <row r="291" spans="1:90" ht="14.1" customHeight="1">
      <c r="A291" s="66">
        <v>59</v>
      </c>
      <c r="B291" s="63">
        <v>2452</v>
      </c>
      <c r="C291" s="64">
        <v>600079660</v>
      </c>
      <c r="D291" s="63">
        <v>70695261</v>
      </c>
      <c r="E291" s="65" t="s">
        <v>653</v>
      </c>
      <c r="F291" s="66">
        <v>3113</v>
      </c>
      <c r="G291" s="65" t="s">
        <v>293</v>
      </c>
      <c r="H291" s="67" t="s">
        <v>271</v>
      </c>
      <c r="I291" s="419">
        <v>36790499</v>
      </c>
      <c r="J291" s="414">
        <v>26711516</v>
      </c>
      <c r="K291" s="414">
        <v>24258865</v>
      </c>
      <c r="L291" s="414">
        <v>2452651</v>
      </c>
      <c r="M291" s="414">
        <v>155000</v>
      </c>
      <c r="N291" s="414">
        <v>100000</v>
      </c>
      <c r="O291" s="414">
        <v>55000</v>
      </c>
      <c r="P291" s="595">
        <v>9080883</v>
      </c>
      <c r="Q291" s="595">
        <v>267115</v>
      </c>
      <c r="R291" s="414">
        <v>575985</v>
      </c>
      <c r="S291" s="415">
        <v>41.825400000000002</v>
      </c>
      <c r="T291" s="415">
        <v>34.504900000000006</v>
      </c>
      <c r="U291" s="422">
        <v>7.3205000000000009</v>
      </c>
      <c r="V291" s="423">
        <f t="shared" si="422"/>
        <v>-60000</v>
      </c>
      <c r="W291" s="417">
        <f t="shared" si="423"/>
        <v>0</v>
      </c>
      <c r="X291" s="417">
        <v>0</v>
      </c>
      <c r="Y291" s="417">
        <v>66200</v>
      </c>
      <c r="Z291" s="417">
        <v>-171520</v>
      </c>
      <c r="AA291" s="417">
        <v>0</v>
      </c>
      <c r="AB291" s="417">
        <v>0</v>
      </c>
      <c r="AC291" s="417">
        <v>0</v>
      </c>
      <c r="AD291" s="417">
        <v>0</v>
      </c>
      <c r="AE291" s="417">
        <f t="shared" si="424"/>
        <v>-165320</v>
      </c>
      <c r="AF291" s="417">
        <f t="shared" si="425"/>
        <v>0</v>
      </c>
      <c r="AG291" s="417">
        <f t="shared" si="426"/>
        <v>-165320</v>
      </c>
      <c r="AH291" s="417">
        <v>60000</v>
      </c>
      <c r="AI291" s="417">
        <v>0</v>
      </c>
      <c r="AJ291" s="417">
        <v>0</v>
      </c>
      <c r="AK291" s="417">
        <v>0</v>
      </c>
      <c r="AL291" s="417">
        <v>0</v>
      </c>
      <c r="AM291" s="417">
        <f t="shared" si="427"/>
        <v>60000</v>
      </c>
      <c r="AN291" s="417">
        <f t="shared" si="428"/>
        <v>0</v>
      </c>
      <c r="AO291" s="417">
        <f t="shared" si="429"/>
        <v>60000</v>
      </c>
      <c r="AP291" s="417">
        <f t="shared" si="430"/>
        <v>-105320</v>
      </c>
      <c r="AQ291" s="417">
        <f t="shared" si="431"/>
        <v>0</v>
      </c>
      <c r="AR291" s="417">
        <f t="shared" si="432"/>
        <v>-105320</v>
      </c>
      <c r="AS291" s="68">
        <f t="shared" si="433"/>
        <v>-35598</v>
      </c>
      <c r="AT291" s="68">
        <f t="shared" si="434"/>
        <v>-1653</v>
      </c>
      <c r="AU291" s="417">
        <v>0</v>
      </c>
      <c r="AV291" s="417">
        <v>0</v>
      </c>
      <c r="AW291" s="417">
        <v>0</v>
      </c>
      <c r="AX291" s="417">
        <f t="shared" si="435"/>
        <v>0</v>
      </c>
      <c r="AY291" s="417">
        <f t="shared" si="436"/>
        <v>-142571</v>
      </c>
      <c r="AZ291" s="418">
        <v>-0.09</v>
      </c>
      <c r="BA291" s="418">
        <v>0</v>
      </c>
      <c r="BB291" s="418">
        <v>0</v>
      </c>
      <c r="BC291" s="418">
        <v>-0.33</v>
      </c>
      <c r="BD291" s="418">
        <v>0</v>
      </c>
      <c r="BE291" s="418">
        <v>0.09</v>
      </c>
      <c r="BF291" s="418">
        <v>0</v>
      </c>
      <c r="BG291" s="418">
        <v>0</v>
      </c>
      <c r="BH291" s="418">
        <v>0</v>
      </c>
      <c r="BI291" s="418">
        <f t="shared" si="437"/>
        <v>-0.33000000000000007</v>
      </c>
      <c r="BJ291" s="418">
        <f t="shared" si="438"/>
        <v>0</v>
      </c>
      <c r="BK291" s="420">
        <f t="shared" si="439"/>
        <v>-0.33000000000000007</v>
      </c>
      <c r="BL291" s="772">
        <f t="shared" ref="BL291:BL297" si="466">I291+AY291</f>
        <v>36647928</v>
      </c>
      <c r="BM291" s="417">
        <f t="shared" ref="BM291:BM297" si="467">J291+AG291</f>
        <v>26546196</v>
      </c>
      <c r="BN291" s="417">
        <f t="shared" ref="BN291:BO297" si="468">K291+AE291</f>
        <v>24093545</v>
      </c>
      <c r="BO291" s="417">
        <f t="shared" si="468"/>
        <v>2452651</v>
      </c>
      <c r="BP291" s="417">
        <f t="shared" ref="BP291:BP297" si="469">M291+AO291</f>
        <v>215000</v>
      </c>
      <c r="BQ291" s="417">
        <f t="shared" ref="BQ291:BR297" si="470">N291+AM291</f>
        <v>160000</v>
      </c>
      <c r="BR291" s="417">
        <f t="shared" si="470"/>
        <v>55000</v>
      </c>
      <c r="BS291" s="417">
        <f t="shared" ref="BS291:BT297" si="471">P291+AS291</f>
        <v>9045285</v>
      </c>
      <c r="BT291" s="417">
        <f t="shared" si="471"/>
        <v>265462</v>
      </c>
      <c r="BU291" s="417">
        <f t="shared" ref="BU291:BU297" si="472">R291+AX291</f>
        <v>575985</v>
      </c>
      <c r="BV291" s="418">
        <f t="shared" ref="BV291:BV297" si="473">S291+BK291</f>
        <v>41.495400000000004</v>
      </c>
      <c r="BW291" s="418">
        <f t="shared" ref="BW291:BX297" si="474">T291+BI291</f>
        <v>34.174900000000008</v>
      </c>
      <c r="BX291" s="420">
        <f t="shared" si="474"/>
        <v>7.3205000000000009</v>
      </c>
      <c r="BY291" s="419"/>
      <c r="BZ291" s="414"/>
      <c r="CA291" s="414"/>
      <c r="CB291" s="414"/>
      <c r="CC291" s="414"/>
      <c r="CD291" s="422"/>
      <c r="CE291" s="419">
        <f t="shared" si="440"/>
        <v>1220999</v>
      </c>
      <c r="CF291" s="414">
        <v>804907</v>
      </c>
      <c r="CG291" s="414">
        <v>272059</v>
      </c>
      <c r="CH291" s="414">
        <v>8049</v>
      </c>
      <c r="CI291" s="414">
        <v>135984</v>
      </c>
      <c r="CJ291" s="509">
        <v>2.4045000000000001</v>
      </c>
    </row>
    <row r="292" spans="1:90" ht="14.1" customHeight="1">
      <c r="A292" s="66">
        <v>59</v>
      </c>
      <c r="B292" s="63">
        <v>2452</v>
      </c>
      <c r="C292" s="64">
        <v>600079660</v>
      </c>
      <c r="D292" s="63">
        <v>70695261</v>
      </c>
      <c r="E292" s="65" t="s">
        <v>653</v>
      </c>
      <c r="F292" s="66">
        <v>3113</v>
      </c>
      <c r="G292" s="43" t="s">
        <v>292</v>
      </c>
      <c r="H292" s="67" t="s">
        <v>271</v>
      </c>
      <c r="I292" s="419">
        <v>1530503</v>
      </c>
      <c r="J292" s="414">
        <v>1135388</v>
      </c>
      <c r="K292" s="414">
        <v>1135388</v>
      </c>
      <c r="L292" s="414">
        <v>0</v>
      </c>
      <c r="M292" s="414">
        <v>0</v>
      </c>
      <c r="N292" s="414">
        <v>0</v>
      </c>
      <c r="O292" s="414">
        <v>0</v>
      </c>
      <c r="P292" s="595">
        <v>383761</v>
      </c>
      <c r="Q292" s="595">
        <v>11354</v>
      </c>
      <c r="R292" s="414">
        <v>0</v>
      </c>
      <c r="S292" s="415">
        <v>3.1389</v>
      </c>
      <c r="T292" s="415">
        <v>3.1389</v>
      </c>
      <c r="U292" s="422">
        <v>0</v>
      </c>
      <c r="V292" s="423">
        <f t="shared" si="422"/>
        <v>0</v>
      </c>
      <c r="W292" s="417">
        <f t="shared" si="423"/>
        <v>0</v>
      </c>
      <c r="X292" s="417">
        <v>0</v>
      </c>
      <c r="Y292" s="417">
        <v>0</v>
      </c>
      <c r="Z292" s="417">
        <v>-10078</v>
      </c>
      <c r="AA292" s="417">
        <v>0</v>
      </c>
      <c r="AB292" s="417">
        <v>0</v>
      </c>
      <c r="AC292" s="417">
        <v>0</v>
      </c>
      <c r="AD292" s="417">
        <v>0</v>
      </c>
      <c r="AE292" s="417">
        <f t="shared" si="424"/>
        <v>-10078</v>
      </c>
      <c r="AF292" s="417">
        <f t="shared" si="425"/>
        <v>0</v>
      </c>
      <c r="AG292" s="417">
        <f t="shared" si="426"/>
        <v>-10078</v>
      </c>
      <c r="AH292" s="417">
        <v>0</v>
      </c>
      <c r="AI292" s="417">
        <v>0</v>
      </c>
      <c r="AJ292" s="417">
        <v>0</v>
      </c>
      <c r="AK292" s="417">
        <v>0</v>
      </c>
      <c r="AL292" s="417">
        <v>0</v>
      </c>
      <c r="AM292" s="417">
        <f t="shared" si="427"/>
        <v>0</v>
      </c>
      <c r="AN292" s="417">
        <f t="shared" si="428"/>
        <v>0</v>
      </c>
      <c r="AO292" s="417">
        <f t="shared" si="429"/>
        <v>0</v>
      </c>
      <c r="AP292" s="417">
        <f t="shared" si="430"/>
        <v>-10078</v>
      </c>
      <c r="AQ292" s="417">
        <f t="shared" si="431"/>
        <v>0</v>
      </c>
      <c r="AR292" s="417">
        <f t="shared" si="432"/>
        <v>-10078</v>
      </c>
      <c r="AS292" s="68">
        <f t="shared" si="433"/>
        <v>-3406</v>
      </c>
      <c r="AT292" s="68">
        <f t="shared" si="434"/>
        <v>-101</v>
      </c>
      <c r="AU292" s="417">
        <v>0</v>
      </c>
      <c r="AV292" s="417">
        <v>0</v>
      </c>
      <c r="AW292" s="417">
        <v>0</v>
      </c>
      <c r="AX292" s="417">
        <f t="shared" si="435"/>
        <v>0</v>
      </c>
      <c r="AY292" s="417">
        <f t="shared" si="436"/>
        <v>-13585</v>
      </c>
      <c r="AZ292" s="418">
        <v>0</v>
      </c>
      <c r="BA292" s="418">
        <v>0</v>
      </c>
      <c r="BB292" s="418">
        <v>0</v>
      </c>
      <c r="BC292" s="418">
        <v>-0.03</v>
      </c>
      <c r="BD292" s="418">
        <v>0</v>
      </c>
      <c r="BE292" s="418">
        <v>0</v>
      </c>
      <c r="BF292" s="418">
        <v>0</v>
      </c>
      <c r="BG292" s="418">
        <v>0</v>
      </c>
      <c r="BH292" s="418">
        <v>0</v>
      </c>
      <c r="BI292" s="418">
        <f t="shared" si="437"/>
        <v>-0.03</v>
      </c>
      <c r="BJ292" s="418">
        <f t="shared" si="438"/>
        <v>0</v>
      </c>
      <c r="BK292" s="420">
        <f t="shared" si="439"/>
        <v>-0.03</v>
      </c>
      <c r="BL292" s="772">
        <f t="shared" si="466"/>
        <v>1516918</v>
      </c>
      <c r="BM292" s="417">
        <f t="shared" si="467"/>
        <v>1125310</v>
      </c>
      <c r="BN292" s="417">
        <f t="shared" si="468"/>
        <v>1125310</v>
      </c>
      <c r="BO292" s="417">
        <f t="shared" si="468"/>
        <v>0</v>
      </c>
      <c r="BP292" s="417">
        <f t="shared" si="469"/>
        <v>0</v>
      </c>
      <c r="BQ292" s="417">
        <f t="shared" si="470"/>
        <v>0</v>
      </c>
      <c r="BR292" s="417">
        <f t="shared" si="470"/>
        <v>0</v>
      </c>
      <c r="BS292" s="417">
        <f t="shared" si="471"/>
        <v>380355</v>
      </c>
      <c r="BT292" s="417">
        <f t="shared" si="471"/>
        <v>11253</v>
      </c>
      <c r="BU292" s="417">
        <f t="shared" si="472"/>
        <v>0</v>
      </c>
      <c r="BV292" s="418">
        <f t="shared" si="473"/>
        <v>3.1089000000000002</v>
      </c>
      <c r="BW292" s="418">
        <f t="shared" si="474"/>
        <v>3.1089000000000002</v>
      </c>
      <c r="BX292" s="420">
        <f t="shared" si="474"/>
        <v>0</v>
      </c>
      <c r="BY292" s="419"/>
      <c r="BZ292" s="414"/>
      <c r="CA292" s="414"/>
      <c r="CB292" s="414"/>
      <c r="CC292" s="414"/>
      <c r="CD292" s="422"/>
      <c r="CE292" s="419">
        <f t="shared" si="440"/>
        <v>0</v>
      </c>
      <c r="CF292" s="414">
        <v>0</v>
      </c>
      <c r="CG292" s="414">
        <v>0</v>
      </c>
      <c r="CH292" s="414">
        <v>0</v>
      </c>
      <c r="CI292" s="414">
        <v>0</v>
      </c>
      <c r="CJ292" s="509">
        <v>0</v>
      </c>
    </row>
    <row r="293" spans="1:90" ht="14.1" customHeight="1">
      <c r="A293" s="66">
        <v>59</v>
      </c>
      <c r="B293" s="63">
        <v>2452</v>
      </c>
      <c r="C293" s="64">
        <v>600079660</v>
      </c>
      <c r="D293" s="63">
        <v>70695261</v>
      </c>
      <c r="E293" s="65" t="s">
        <v>653</v>
      </c>
      <c r="F293" s="66">
        <v>3113</v>
      </c>
      <c r="G293" s="77" t="s">
        <v>291</v>
      </c>
      <c r="H293" s="67" t="s">
        <v>272</v>
      </c>
      <c r="I293" s="419">
        <v>2985815</v>
      </c>
      <c r="J293" s="414">
        <v>2214477</v>
      </c>
      <c r="K293" s="414">
        <v>2214477</v>
      </c>
      <c r="L293" s="414">
        <v>0</v>
      </c>
      <c r="M293" s="414">
        <v>0</v>
      </c>
      <c r="N293" s="414">
        <v>0</v>
      </c>
      <c r="O293" s="414">
        <v>0</v>
      </c>
      <c r="P293" s="595">
        <v>748493</v>
      </c>
      <c r="Q293" s="595">
        <v>22145</v>
      </c>
      <c r="R293" s="414">
        <v>700</v>
      </c>
      <c r="S293" s="415">
        <v>5.82</v>
      </c>
      <c r="T293" s="416">
        <v>5.82</v>
      </c>
      <c r="U293" s="422">
        <v>0</v>
      </c>
      <c r="V293" s="423">
        <f t="shared" si="422"/>
        <v>0</v>
      </c>
      <c r="W293" s="417">
        <f t="shared" si="423"/>
        <v>0</v>
      </c>
      <c r="X293" s="417">
        <v>43278</v>
      </c>
      <c r="Y293" s="417">
        <v>0</v>
      </c>
      <c r="Z293" s="417">
        <v>0</v>
      </c>
      <c r="AA293" s="417">
        <v>0</v>
      </c>
      <c r="AB293" s="417">
        <v>0</v>
      </c>
      <c r="AC293" s="417">
        <v>0</v>
      </c>
      <c r="AD293" s="417">
        <v>0</v>
      </c>
      <c r="AE293" s="417">
        <f t="shared" si="424"/>
        <v>43278</v>
      </c>
      <c r="AF293" s="417">
        <f t="shared" si="425"/>
        <v>0</v>
      </c>
      <c r="AG293" s="417">
        <f t="shared" si="426"/>
        <v>43278</v>
      </c>
      <c r="AH293" s="417">
        <v>0</v>
      </c>
      <c r="AI293" s="417">
        <v>0</v>
      </c>
      <c r="AJ293" s="417">
        <v>0</v>
      </c>
      <c r="AK293" s="417">
        <v>0</v>
      </c>
      <c r="AL293" s="417">
        <v>0</v>
      </c>
      <c r="AM293" s="417">
        <f t="shared" si="427"/>
        <v>0</v>
      </c>
      <c r="AN293" s="417">
        <f t="shared" si="428"/>
        <v>0</v>
      </c>
      <c r="AO293" s="417">
        <f t="shared" si="429"/>
        <v>0</v>
      </c>
      <c r="AP293" s="417">
        <f t="shared" si="430"/>
        <v>43278</v>
      </c>
      <c r="AQ293" s="417">
        <f t="shared" si="431"/>
        <v>0</v>
      </c>
      <c r="AR293" s="417">
        <f t="shared" si="432"/>
        <v>43278</v>
      </c>
      <c r="AS293" s="68">
        <f t="shared" si="433"/>
        <v>14628</v>
      </c>
      <c r="AT293" s="68">
        <f t="shared" si="434"/>
        <v>433</v>
      </c>
      <c r="AU293" s="417">
        <v>0</v>
      </c>
      <c r="AV293" s="417">
        <v>0</v>
      </c>
      <c r="AW293" s="417">
        <v>0</v>
      </c>
      <c r="AX293" s="417">
        <f t="shared" si="435"/>
        <v>0</v>
      </c>
      <c r="AY293" s="417">
        <f t="shared" si="436"/>
        <v>58339</v>
      </c>
      <c r="AZ293" s="418">
        <v>0</v>
      </c>
      <c r="BA293" s="418">
        <v>0</v>
      </c>
      <c r="BB293" s="418">
        <v>0.11</v>
      </c>
      <c r="BC293" s="418">
        <v>0</v>
      </c>
      <c r="BD293" s="418">
        <v>0</v>
      </c>
      <c r="BE293" s="418">
        <v>0</v>
      </c>
      <c r="BF293" s="418">
        <v>0</v>
      </c>
      <c r="BG293" s="418">
        <v>0</v>
      </c>
      <c r="BH293" s="418">
        <v>0</v>
      </c>
      <c r="BI293" s="418">
        <f t="shared" si="437"/>
        <v>0.11</v>
      </c>
      <c r="BJ293" s="418">
        <f t="shared" si="438"/>
        <v>0</v>
      </c>
      <c r="BK293" s="420">
        <f t="shared" si="439"/>
        <v>0.11</v>
      </c>
      <c r="BL293" s="772">
        <f t="shared" si="466"/>
        <v>3044154</v>
      </c>
      <c r="BM293" s="417">
        <f t="shared" si="467"/>
        <v>2257755</v>
      </c>
      <c r="BN293" s="417">
        <f t="shared" si="468"/>
        <v>2257755</v>
      </c>
      <c r="BO293" s="417">
        <f t="shared" si="468"/>
        <v>0</v>
      </c>
      <c r="BP293" s="417">
        <f t="shared" si="469"/>
        <v>0</v>
      </c>
      <c r="BQ293" s="417">
        <f t="shared" si="470"/>
        <v>0</v>
      </c>
      <c r="BR293" s="417">
        <f t="shared" si="470"/>
        <v>0</v>
      </c>
      <c r="BS293" s="417">
        <f t="shared" si="471"/>
        <v>763121</v>
      </c>
      <c r="BT293" s="417">
        <f t="shared" si="471"/>
        <v>22578</v>
      </c>
      <c r="BU293" s="417">
        <f t="shared" si="472"/>
        <v>700</v>
      </c>
      <c r="BV293" s="418">
        <f t="shared" si="473"/>
        <v>5.9300000000000006</v>
      </c>
      <c r="BW293" s="418">
        <f t="shared" si="474"/>
        <v>5.9300000000000006</v>
      </c>
      <c r="BX293" s="420">
        <f t="shared" si="474"/>
        <v>0</v>
      </c>
      <c r="BY293" s="419"/>
      <c r="BZ293" s="414"/>
      <c r="CA293" s="414"/>
      <c r="CB293" s="414"/>
      <c r="CC293" s="414"/>
      <c r="CD293" s="422"/>
      <c r="CE293" s="419">
        <f t="shared" si="440"/>
        <v>0</v>
      </c>
      <c r="CF293" s="414">
        <v>0</v>
      </c>
      <c r="CG293" s="414">
        <v>0</v>
      </c>
      <c r="CH293" s="414">
        <v>0</v>
      </c>
      <c r="CI293" s="414">
        <v>0</v>
      </c>
      <c r="CJ293" s="509">
        <v>0</v>
      </c>
    </row>
    <row r="294" spans="1:90" ht="14.1" customHeight="1">
      <c r="A294" s="66">
        <v>59</v>
      </c>
      <c r="B294" s="63">
        <v>2452</v>
      </c>
      <c r="C294" s="64">
        <v>600079660</v>
      </c>
      <c r="D294" s="63">
        <v>70695261</v>
      </c>
      <c r="E294" s="65" t="s">
        <v>653</v>
      </c>
      <c r="F294" s="66">
        <v>3141</v>
      </c>
      <c r="G294" s="65" t="s">
        <v>294</v>
      </c>
      <c r="H294" s="67" t="s">
        <v>272</v>
      </c>
      <c r="I294" s="419">
        <v>2554678</v>
      </c>
      <c r="J294" s="414">
        <v>1880503</v>
      </c>
      <c r="K294" s="414">
        <v>0</v>
      </c>
      <c r="L294" s="744">
        <v>1880503</v>
      </c>
      <c r="M294" s="414">
        <v>0</v>
      </c>
      <c r="N294" s="204">
        <v>0</v>
      </c>
      <c r="O294" s="204">
        <v>0</v>
      </c>
      <c r="P294" s="595">
        <v>635610</v>
      </c>
      <c r="Q294" s="595">
        <v>18805</v>
      </c>
      <c r="R294" s="601">
        <v>19760</v>
      </c>
      <c r="S294" s="415">
        <v>5.64</v>
      </c>
      <c r="T294" s="603">
        <v>0</v>
      </c>
      <c r="U294" s="731">
        <v>5.64</v>
      </c>
      <c r="V294" s="423">
        <f t="shared" si="422"/>
        <v>0</v>
      </c>
      <c r="W294" s="417">
        <f t="shared" si="423"/>
        <v>0</v>
      </c>
      <c r="X294" s="417">
        <v>0</v>
      </c>
      <c r="Y294" s="417">
        <v>0</v>
      </c>
      <c r="Z294" s="417">
        <v>0</v>
      </c>
      <c r="AA294" s="417">
        <v>30202</v>
      </c>
      <c r="AB294" s="417">
        <v>0</v>
      </c>
      <c r="AC294" s="417">
        <v>0</v>
      </c>
      <c r="AD294" s="417">
        <v>0</v>
      </c>
      <c r="AE294" s="417">
        <f t="shared" si="424"/>
        <v>0</v>
      </c>
      <c r="AF294" s="417">
        <f t="shared" si="425"/>
        <v>30202</v>
      </c>
      <c r="AG294" s="417">
        <f t="shared" si="426"/>
        <v>30202</v>
      </c>
      <c r="AH294" s="417">
        <v>0</v>
      </c>
      <c r="AI294" s="417">
        <v>0</v>
      </c>
      <c r="AJ294" s="417">
        <v>0</v>
      </c>
      <c r="AK294" s="417">
        <v>0</v>
      </c>
      <c r="AL294" s="417">
        <v>0</v>
      </c>
      <c r="AM294" s="417">
        <f t="shared" si="427"/>
        <v>0</v>
      </c>
      <c r="AN294" s="417">
        <f t="shared" si="428"/>
        <v>0</v>
      </c>
      <c r="AO294" s="417">
        <f t="shared" si="429"/>
        <v>0</v>
      </c>
      <c r="AP294" s="417">
        <f t="shared" si="430"/>
        <v>0</v>
      </c>
      <c r="AQ294" s="417">
        <f t="shared" si="431"/>
        <v>30202</v>
      </c>
      <c r="AR294" s="417">
        <f t="shared" si="432"/>
        <v>30202</v>
      </c>
      <c r="AS294" s="68">
        <f t="shared" si="433"/>
        <v>10208</v>
      </c>
      <c r="AT294" s="68">
        <f t="shared" si="434"/>
        <v>302</v>
      </c>
      <c r="AU294" s="417">
        <v>0</v>
      </c>
      <c r="AV294" s="417">
        <v>0</v>
      </c>
      <c r="AW294" s="417">
        <v>0</v>
      </c>
      <c r="AX294" s="417">
        <f t="shared" si="435"/>
        <v>0</v>
      </c>
      <c r="AY294" s="417">
        <f t="shared" si="436"/>
        <v>40712</v>
      </c>
      <c r="AZ294" s="418">
        <v>0</v>
      </c>
      <c r="BA294" s="418">
        <v>0</v>
      </c>
      <c r="BB294" s="418">
        <v>0</v>
      </c>
      <c r="BC294" s="418">
        <v>0</v>
      </c>
      <c r="BD294" s="418">
        <v>0.09</v>
      </c>
      <c r="BE294" s="418">
        <v>0</v>
      </c>
      <c r="BF294" s="418">
        <v>0</v>
      </c>
      <c r="BG294" s="418">
        <v>0</v>
      </c>
      <c r="BH294" s="418">
        <v>0</v>
      </c>
      <c r="BI294" s="418">
        <f t="shared" si="437"/>
        <v>0</v>
      </c>
      <c r="BJ294" s="418">
        <f t="shared" si="438"/>
        <v>0.09</v>
      </c>
      <c r="BK294" s="420">
        <f t="shared" si="439"/>
        <v>0.09</v>
      </c>
      <c r="BL294" s="772">
        <f t="shared" si="466"/>
        <v>2595390</v>
      </c>
      <c r="BM294" s="417">
        <f t="shared" si="467"/>
        <v>1910705</v>
      </c>
      <c r="BN294" s="417">
        <f t="shared" si="468"/>
        <v>0</v>
      </c>
      <c r="BO294" s="417">
        <f t="shared" si="468"/>
        <v>1910705</v>
      </c>
      <c r="BP294" s="417">
        <f t="shared" si="469"/>
        <v>0</v>
      </c>
      <c r="BQ294" s="417">
        <f t="shared" si="470"/>
        <v>0</v>
      </c>
      <c r="BR294" s="417">
        <f t="shared" si="470"/>
        <v>0</v>
      </c>
      <c r="BS294" s="417">
        <f t="shared" si="471"/>
        <v>645818</v>
      </c>
      <c r="BT294" s="417">
        <f t="shared" si="471"/>
        <v>19107</v>
      </c>
      <c r="BU294" s="417">
        <f t="shared" si="472"/>
        <v>19760</v>
      </c>
      <c r="BV294" s="418">
        <f t="shared" si="473"/>
        <v>5.7299999999999995</v>
      </c>
      <c r="BW294" s="418">
        <f t="shared" si="474"/>
        <v>0</v>
      </c>
      <c r="BX294" s="420">
        <f t="shared" si="474"/>
        <v>5.7299999999999995</v>
      </c>
      <c r="BY294" s="419"/>
      <c r="BZ294" s="414"/>
      <c r="CA294" s="414"/>
      <c r="CB294" s="414"/>
      <c r="CC294" s="414"/>
      <c r="CD294" s="422"/>
      <c r="CE294" s="419">
        <f t="shared" si="440"/>
        <v>0</v>
      </c>
      <c r="CF294" s="414">
        <v>0</v>
      </c>
      <c r="CG294" s="414">
        <v>0</v>
      </c>
      <c r="CH294" s="414">
        <v>0</v>
      </c>
      <c r="CI294" s="414">
        <v>0</v>
      </c>
      <c r="CJ294" s="509">
        <v>0</v>
      </c>
    </row>
    <row r="295" spans="1:90" ht="14.1" customHeight="1">
      <c r="A295" s="66">
        <v>59</v>
      </c>
      <c r="B295" s="63">
        <v>2452</v>
      </c>
      <c r="C295" s="64">
        <v>600079660</v>
      </c>
      <c r="D295" s="63">
        <v>70695261</v>
      </c>
      <c r="E295" s="65" t="s">
        <v>653</v>
      </c>
      <c r="F295" s="66">
        <v>3143</v>
      </c>
      <c r="G295" s="77" t="s">
        <v>595</v>
      </c>
      <c r="H295" s="67" t="s">
        <v>271</v>
      </c>
      <c r="I295" s="419">
        <v>3377052</v>
      </c>
      <c r="J295" s="414">
        <v>2505232</v>
      </c>
      <c r="K295" s="414">
        <v>2505232</v>
      </c>
      <c r="L295" s="414">
        <v>0</v>
      </c>
      <c r="M295" s="414">
        <v>0</v>
      </c>
      <c r="N295" s="414">
        <v>0</v>
      </c>
      <c r="O295" s="414">
        <v>0</v>
      </c>
      <c r="P295" s="595">
        <v>846768</v>
      </c>
      <c r="Q295" s="595">
        <v>25052</v>
      </c>
      <c r="R295" s="414">
        <v>0</v>
      </c>
      <c r="S295" s="415">
        <v>5.5357000000000003</v>
      </c>
      <c r="T295" s="415">
        <v>5.5357000000000003</v>
      </c>
      <c r="U295" s="422">
        <v>0</v>
      </c>
      <c r="V295" s="423">
        <f t="shared" si="422"/>
        <v>0</v>
      </c>
      <c r="W295" s="417">
        <f t="shared" si="423"/>
        <v>0</v>
      </c>
      <c r="X295" s="417">
        <v>0</v>
      </c>
      <c r="Y295" s="417">
        <v>0</v>
      </c>
      <c r="Z295" s="417">
        <v>74745</v>
      </c>
      <c r="AA295" s="417">
        <v>0</v>
      </c>
      <c r="AB295" s="417">
        <v>0</v>
      </c>
      <c r="AC295" s="417">
        <v>0</v>
      </c>
      <c r="AD295" s="417">
        <v>0</v>
      </c>
      <c r="AE295" s="417">
        <f t="shared" si="424"/>
        <v>74745</v>
      </c>
      <c r="AF295" s="417">
        <f t="shared" si="425"/>
        <v>0</v>
      </c>
      <c r="AG295" s="417">
        <f t="shared" si="426"/>
        <v>74745</v>
      </c>
      <c r="AH295" s="417">
        <v>0</v>
      </c>
      <c r="AI295" s="417">
        <v>0</v>
      </c>
      <c r="AJ295" s="417">
        <v>0</v>
      </c>
      <c r="AK295" s="417">
        <v>0</v>
      </c>
      <c r="AL295" s="417">
        <v>0</v>
      </c>
      <c r="AM295" s="417">
        <f t="shared" si="427"/>
        <v>0</v>
      </c>
      <c r="AN295" s="417">
        <f t="shared" si="428"/>
        <v>0</v>
      </c>
      <c r="AO295" s="417">
        <f t="shared" si="429"/>
        <v>0</v>
      </c>
      <c r="AP295" s="417">
        <f t="shared" si="430"/>
        <v>74745</v>
      </c>
      <c r="AQ295" s="417">
        <f t="shared" si="431"/>
        <v>0</v>
      </c>
      <c r="AR295" s="417">
        <f t="shared" si="432"/>
        <v>74745</v>
      </c>
      <c r="AS295" s="68">
        <f t="shared" si="433"/>
        <v>25264</v>
      </c>
      <c r="AT295" s="68">
        <f t="shared" si="434"/>
        <v>747</v>
      </c>
      <c r="AU295" s="417">
        <v>0</v>
      </c>
      <c r="AV295" s="417">
        <v>0</v>
      </c>
      <c r="AW295" s="417">
        <v>0</v>
      </c>
      <c r="AX295" s="417">
        <f t="shared" si="435"/>
        <v>0</v>
      </c>
      <c r="AY295" s="417">
        <f t="shared" si="436"/>
        <v>100756</v>
      </c>
      <c r="AZ295" s="418">
        <v>0</v>
      </c>
      <c r="BA295" s="418">
        <v>0</v>
      </c>
      <c r="BB295" s="418">
        <v>0</v>
      </c>
      <c r="BC295" s="418">
        <v>0.24</v>
      </c>
      <c r="BD295" s="418">
        <v>0</v>
      </c>
      <c r="BE295" s="418">
        <v>0</v>
      </c>
      <c r="BF295" s="418">
        <v>0</v>
      </c>
      <c r="BG295" s="418">
        <v>0</v>
      </c>
      <c r="BH295" s="418">
        <v>0</v>
      </c>
      <c r="BI295" s="418">
        <f t="shared" si="437"/>
        <v>0.24</v>
      </c>
      <c r="BJ295" s="418">
        <f t="shared" si="438"/>
        <v>0</v>
      </c>
      <c r="BK295" s="420">
        <f t="shared" si="439"/>
        <v>0.24</v>
      </c>
      <c r="BL295" s="772">
        <f t="shared" si="466"/>
        <v>3477808</v>
      </c>
      <c r="BM295" s="417">
        <f t="shared" si="467"/>
        <v>2579977</v>
      </c>
      <c r="BN295" s="417">
        <f t="shared" si="468"/>
        <v>2579977</v>
      </c>
      <c r="BO295" s="417">
        <f t="shared" si="468"/>
        <v>0</v>
      </c>
      <c r="BP295" s="417">
        <f t="shared" si="469"/>
        <v>0</v>
      </c>
      <c r="BQ295" s="417">
        <f t="shared" si="470"/>
        <v>0</v>
      </c>
      <c r="BR295" s="417">
        <f t="shared" si="470"/>
        <v>0</v>
      </c>
      <c r="BS295" s="417">
        <f t="shared" si="471"/>
        <v>872032</v>
      </c>
      <c r="BT295" s="417">
        <f t="shared" si="471"/>
        <v>25799</v>
      </c>
      <c r="BU295" s="417">
        <f t="shared" si="472"/>
        <v>0</v>
      </c>
      <c r="BV295" s="418">
        <f t="shared" si="473"/>
        <v>5.7757000000000005</v>
      </c>
      <c r="BW295" s="418">
        <f t="shared" si="474"/>
        <v>5.7757000000000005</v>
      </c>
      <c r="BX295" s="420">
        <f t="shared" si="474"/>
        <v>0</v>
      </c>
      <c r="BY295" s="419"/>
      <c r="BZ295" s="414"/>
      <c r="CA295" s="414"/>
      <c r="CB295" s="414"/>
      <c r="CC295" s="414"/>
      <c r="CD295" s="422"/>
      <c r="CE295" s="419">
        <f t="shared" si="440"/>
        <v>0</v>
      </c>
      <c r="CF295" s="414">
        <v>0</v>
      </c>
      <c r="CG295" s="414">
        <v>0</v>
      </c>
      <c r="CH295" s="414">
        <v>0</v>
      </c>
      <c r="CI295" s="414">
        <v>0</v>
      </c>
      <c r="CJ295" s="509">
        <v>0</v>
      </c>
    </row>
    <row r="296" spans="1:90" ht="14.1" customHeight="1">
      <c r="A296" s="66">
        <v>59</v>
      </c>
      <c r="B296" s="63">
        <v>2452</v>
      </c>
      <c r="C296" s="64">
        <v>600079660</v>
      </c>
      <c r="D296" s="63">
        <v>70695261</v>
      </c>
      <c r="E296" s="65" t="s">
        <v>653</v>
      </c>
      <c r="F296" s="66">
        <v>3143</v>
      </c>
      <c r="G296" s="77" t="s">
        <v>296</v>
      </c>
      <c r="H296" s="67" t="s">
        <v>272</v>
      </c>
      <c r="I296" s="419">
        <v>660360</v>
      </c>
      <c r="J296" s="414">
        <v>489258</v>
      </c>
      <c r="K296" s="414">
        <v>463597</v>
      </c>
      <c r="L296" s="414">
        <v>25661</v>
      </c>
      <c r="M296" s="414">
        <v>0</v>
      </c>
      <c r="N296" s="414">
        <v>0</v>
      </c>
      <c r="O296" s="414">
        <v>0</v>
      </c>
      <c r="P296" s="595">
        <v>165369</v>
      </c>
      <c r="Q296" s="595">
        <v>4893</v>
      </c>
      <c r="R296" s="414">
        <v>840</v>
      </c>
      <c r="S296" s="415">
        <v>1.02</v>
      </c>
      <c r="T296" s="416">
        <v>0.92</v>
      </c>
      <c r="U296" s="422">
        <v>0.1</v>
      </c>
      <c r="V296" s="423">
        <f t="shared" si="422"/>
        <v>0</v>
      </c>
      <c r="W296" s="417">
        <f t="shared" si="423"/>
        <v>0</v>
      </c>
      <c r="X296" s="417">
        <v>0</v>
      </c>
      <c r="Y296" s="417">
        <v>0</v>
      </c>
      <c r="Z296" s="417">
        <v>0</v>
      </c>
      <c r="AA296" s="417">
        <v>0</v>
      </c>
      <c r="AB296" s="417">
        <v>0</v>
      </c>
      <c r="AC296" s="417">
        <v>0</v>
      </c>
      <c r="AD296" s="417">
        <v>0</v>
      </c>
      <c r="AE296" s="417">
        <f t="shared" si="424"/>
        <v>0</v>
      </c>
      <c r="AF296" s="417">
        <f t="shared" si="425"/>
        <v>0</v>
      </c>
      <c r="AG296" s="417">
        <f t="shared" si="426"/>
        <v>0</v>
      </c>
      <c r="AH296" s="417">
        <v>0</v>
      </c>
      <c r="AI296" s="417">
        <v>0</v>
      </c>
      <c r="AJ296" s="417">
        <v>0</v>
      </c>
      <c r="AK296" s="417">
        <v>0</v>
      </c>
      <c r="AL296" s="417">
        <v>0</v>
      </c>
      <c r="AM296" s="417">
        <f t="shared" si="427"/>
        <v>0</v>
      </c>
      <c r="AN296" s="417">
        <f t="shared" si="428"/>
        <v>0</v>
      </c>
      <c r="AO296" s="417">
        <f t="shared" si="429"/>
        <v>0</v>
      </c>
      <c r="AP296" s="417">
        <f t="shared" si="430"/>
        <v>0</v>
      </c>
      <c r="AQ296" s="417">
        <f t="shared" si="431"/>
        <v>0</v>
      </c>
      <c r="AR296" s="417">
        <f t="shared" si="432"/>
        <v>0</v>
      </c>
      <c r="AS296" s="68">
        <f t="shared" si="433"/>
        <v>0</v>
      </c>
      <c r="AT296" s="68">
        <f t="shared" si="434"/>
        <v>0</v>
      </c>
      <c r="AU296" s="417">
        <v>0</v>
      </c>
      <c r="AV296" s="417">
        <v>0</v>
      </c>
      <c r="AW296" s="417">
        <v>0</v>
      </c>
      <c r="AX296" s="417">
        <f t="shared" si="435"/>
        <v>0</v>
      </c>
      <c r="AY296" s="417">
        <f t="shared" si="436"/>
        <v>0</v>
      </c>
      <c r="AZ296" s="418">
        <v>0</v>
      </c>
      <c r="BA296" s="418">
        <v>0</v>
      </c>
      <c r="BB296" s="418">
        <v>0</v>
      </c>
      <c r="BC296" s="418">
        <v>0</v>
      </c>
      <c r="BD296" s="418">
        <v>0</v>
      </c>
      <c r="BE296" s="418">
        <v>0</v>
      </c>
      <c r="BF296" s="418">
        <v>0</v>
      </c>
      <c r="BG296" s="418">
        <v>0</v>
      </c>
      <c r="BH296" s="418">
        <v>0</v>
      </c>
      <c r="BI296" s="418">
        <f t="shared" si="437"/>
        <v>0</v>
      </c>
      <c r="BJ296" s="418">
        <f t="shared" si="438"/>
        <v>0</v>
      </c>
      <c r="BK296" s="420">
        <f t="shared" si="439"/>
        <v>0</v>
      </c>
      <c r="BL296" s="772">
        <f t="shared" si="466"/>
        <v>660360</v>
      </c>
      <c r="BM296" s="417">
        <f t="shared" si="467"/>
        <v>489258</v>
      </c>
      <c r="BN296" s="417">
        <f t="shared" si="468"/>
        <v>463597</v>
      </c>
      <c r="BO296" s="417">
        <f t="shared" si="468"/>
        <v>25661</v>
      </c>
      <c r="BP296" s="417">
        <f t="shared" si="469"/>
        <v>0</v>
      </c>
      <c r="BQ296" s="417">
        <f t="shared" si="470"/>
        <v>0</v>
      </c>
      <c r="BR296" s="417">
        <f t="shared" si="470"/>
        <v>0</v>
      </c>
      <c r="BS296" s="417">
        <f t="shared" si="471"/>
        <v>165369</v>
      </c>
      <c r="BT296" s="417">
        <f t="shared" si="471"/>
        <v>4893</v>
      </c>
      <c r="BU296" s="417">
        <f t="shared" si="472"/>
        <v>840</v>
      </c>
      <c r="BV296" s="418">
        <f t="shared" si="473"/>
        <v>1.02</v>
      </c>
      <c r="BW296" s="418">
        <f t="shared" si="474"/>
        <v>0.92</v>
      </c>
      <c r="BX296" s="420">
        <f t="shared" si="474"/>
        <v>0.1</v>
      </c>
      <c r="BY296" s="419"/>
      <c r="BZ296" s="414"/>
      <c r="CA296" s="414"/>
      <c r="CB296" s="414"/>
      <c r="CC296" s="414"/>
      <c r="CD296" s="422"/>
      <c r="CE296" s="419">
        <f t="shared" si="440"/>
        <v>0</v>
      </c>
      <c r="CF296" s="414">
        <v>0</v>
      </c>
      <c r="CG296" s="414">
        <v>0</v>
      </c>
      <c r="CH296" s="414">
        <v>0</v>
      </c>
      <c r="CI296" s="414">
        <v>0</v>
      </c>
      <c r="CJ296" s="509">
        <v>0</v>
      </c>
    </row>
    <row r="297" spans="1:90" ht="14.1" customHeight="1">
      <c r="A297" s="66">
        <v>59</v>
      </c>
      <c r="B297" s="63">
        <v>2452</v>
      </c>
      <c r="C297" s="64">
        <v>600079660</v>
      </c>
      <c r="D297" s="63">
        <v>70695261</v>
      </c>
      <c r="E297" s="65" t="s">
        <v>653</v>
      </c>
      <c r="F297" s="66">
        <v>3143</v>
      </c>
      <c r="G297" s="77" t="s">
        <v>596</v>
      </c>
      <c r="H297" s="67" t="s">
        <v>272</v>
      </c>
      <c r="I297" s="419">
        <v>139133</v>
      </c>
      <c r="J297" s="414">
        <v>99739</v>
      </c>
      <c r="K297" s="414">
        <v>0</v>
      </c>
      <c r="L297" s="601">
        <v>99739</v>
      </c>
      <c r="M297" s="414">
        <v>0</v>
      </c>
      <c r="N297" s="414">
        <v>0</v>
      </c>
      <c r="O297" s="414">
        <v>0</v>
      </c>
      <c r="P297" s="595">
        <v>33711</v>
      </c>
      <c r="Q297" s="595">
        <v>997</v>
      </c>
      <c r="R297" s="601">
        <v>4686</v>
      </c>
      <c r="S297" s="415">
        <v>0.3795</v>
      </c>
      <c r="T297" s="603">
        <v>0</v>
      </c>
      <c r="U297" s="731">
        <v>0.3795</v>
      </c>
      <c r="V297" s="423">
        <f t="shared" si="422"/>
        <v>0</v>
      </c>
      <c r="W297" s="417">
        <f t="shared" si="423"/>
        <v>0</v>
      </c>
      <c r="X297" s="417">
        <v>0</v>
      </c>
      <c r="Y297" s="417">
        <v>0</v>
      </c>
      <c r="Z297" s="417">
        <v>0</v>
      </c>
      <c r="AA297" s="417">
        <v>0</v>
      </c>
      <c r="AB297" s="417">
        <v>0</v>
      </c>
      <c r="AC297" s="417">
        <v>0</v>
      </c>
      <c r="AD297" s="417">
        <v>0</v>
      </c>
      <c r="AE297" s="417">
        <f t="shared" si="424"/>
        <v>0</v>
      </c>
      <c r="AF297" s="417">
        <f t="shared" si="425"/>
        <v>0</v>
      </c>
      <c r="AG297" s="417">
        <f t="shared" si="426"/>
        <v>0</v>
      </c>
      <c r="AH297" s="417">
        <v>0</v>
      </c>
      <c r="AI297" s="417">
        <v>0</v>
      </c>
      <c r="AJ297" s="417">
        <v>0</v>
      </c>
      <c r="AK297" s="417">
        <v>0</v>
      </c>
      <c r="AL297" s="417">
        <v>0</v>
      </c>
      <c r="AM297" s="417">
        <f t="shared" si="427"/>
        <v>0</v>
      </c>
      <c r="AN297" s="417">
        <f t="shared" si="428"/>
        <v>0</v>
      </c>
      <c r="AO297" s="417">
        <f t="shared" si="429"/>
        <v>0</v>
      </c>
      <c r="AP297" s="417">
        <f t="shared" si="430"/>
        <v>0</v>
      </c>
      <c r="AQ297" s="417">
        <f t="shared" si="431"/>
        <v>0</v>
      </c>
      <c r="AR297" s="417">
        <f t="shared" si="432"/>
        <v>0</v>
      </c>
      <c r="AS297" s="68">
        <f t="shared" si="433"/>
        <v>0</v>
      </c>
      <c r="AT297" s="68">
        <f t="shared" si="434"/>
        <v>0</v>
      </c>
      <c r="AU297" s="417">
        <v>0</v>
      </c>
      <c r="AV297" s="417">
        <v>0</v>
      </c>
      <c r="AW297" s="417">
        <v>0</v>
      </c>
      <c r="AX297" s="417">
        <f t="shared" si="435"/>
        <v>0</v>
      </c>
      <c r="AY297" s="417">
        <f t="shared" si="436"/>
        <v>0</v>
      </c>
      <c r="AZ297" s="418">
        <v>0</v>
      </c>
      <c r="BA297" s="418">
        <v>0</v>
      </c>
      <c r="BB297" s="418">
        <v>0</v>
      </c>
      <c r="BC297" s="418">
        <v>0</v>
      </c>
      <c r="BD297" s="418">
        <v>0</v>
      </c>
      <c r="BE297" s="418">
        <v>0</v>
      </c>
      <c r="BF297" s="418">
        <v>0</v>
      </c>
      <c r="BG297" s="418">
        <v>0</v>
      </c>
      <c r="BH297" s="418">
        <v>0</v>
      </c>
      <c r="BI297" s="418">
        <f t="shared" si="437"/>
        <v>0</v>
      </c>
      <c r="BJ297" s="418">
        <f t="shared" si="438"/>
        <v>0</v>
      </c>
      <c r="BK297" s="420">
        <f t="shared" si="439"/>
        <v>0</v>
      </c>
      <c r="BL297" s="772">
        <f t="shared" si="466"/>
        <v>139133</v>
      </c>
      <c r="BM297" s="417">
        <f t="shared" si="467"/>
        <v>99739</v>
      </c>
      <c r="BN297" s="417">
        <f t="shared" si="468"/>
        <v>0</v>
      </c>
      <c r="BO297" s="417">
        <f t="shared" si="468"/>
        <v>99739</v>
      </c>
      <c r="BP297" s="417">
        <f t="shared" si="469"/>
        <v>0</v>
      </c>
      <c r="BQ297" s="417">
        <f t="shared" si="470"/>
        <v>0</v>
      </c>
      <c r="BR297" s="417">
        <f t="shared" si="470"/>
        <v>0</v>
      </c>
      <c r="BS297" s="417">
        <f t="shared" si="471"/>
        <v>33711</v>
      </c>
      <c r="BT297" s="417">
        <f t="shared" si="471"/>
        <v>997</v>
      </c>
      <c r="BU297" s="417">
        <f t="shared" si="472"/>
        <v>4686</v>
      </c>
      <c r="BV297" s="418">
        <f t="shared" si="473"/>
        <v>0.3795</v>
      </c>
      <c r="BW297" s="418">
        <f t="shared" si="474"/>
        <v>0</v>
      </c>
      <c r="BX297" s="420">
        <f t="shared" si="474"/>
        <v>0.3795</v>
      </c>
      <c r="BY297" s="419"/>
      <c r="BZ297" s="414"/>
      <c r="CA297" s="414"/>
      <c r="CB297" s="414"/>
      <c r="CC297" s="414"/>
      <c r="CD297" s="422"/>
      <c r="CE297" s="419">
        <f t="shared" si="440"/>
        <v>0</v>
      </c>
      <c r="CF297" s="414">
        <v>0</v>
      </c>
      <c r="CG297" s="414">
        <v>0</v>
      </c>
      <c r="CH297" s="414">
        <v>0</v>
      </c>
      <c r="CI297" s="414">
        <v>0</v>
      </c>
      <c r="CJ297" s="509">
        <v>0</v>
      </c>
    </row>
    <row r="298" spans="1:90" ht="14.1" customHeight="1">
      <c r="A298" s="72">
        <v>59</v>
      </c>
      <c r="B298" s="69">
        <v>2452</v>
      </c>
      <c r="C298" s="70">
        <v>600079660</v>
      </c>
      <c r="D298" s="69">
        <v>70695261</v>
      </c>
      <c r="E298" s="71" t="s">
        <v>654</v>
      </c>
      <c r="F298" s="72"/>
      <c r="G298" s="71"/>
      <c r="H298" s="73"/>
      <c r="I298" s="516">
        <v>48038040</v>
      </c>
      <c r="J298" s="74">
        <v>35036113</v>
      </c>
      <c r="K298" s="74">
        <v>30577559</v>
      </c>
      <c r="L298" s="74">
        <v>4458554</v>
      </c>
      <c r="M298" s="74">
        <v>155000</v>
      </c>
      <c r="N298" s="74">
        <v>100000</v>
      </c>
      <c r="O298" s="74">
        <v>55000</v>
      </c>
      <c r="P298" s="74">
        <v>11894595</v>
      </c>
      <c r="Q298" s="74">
        <v>350361</v>
      </c>
      <c r="R298" s="74">
        <v>601971</v>
      </c>
      <c r="S298" s="75">
        <v>63.359500000000004</v>
      </c>
      <c r="T298" s="75">
        <v>49.919500000000006</v>
      </c>
      <c r="U298" s="653">
        <v>13.44</v>
      </c>
      <c r="V298" s="516">
        <f t="shared" ref="V298:BX298" si="475">SUM(V291:V297)</f>
        <v>-60000</v>
      </c>
      <c r="W298" s="74">
        <f t="shared" si="475"/>
        <v>0</v>
      </c>
      <c r="X298" s="74">
        <f t="shared" si="475"/>
        <v>43278</v>
      </c>
      <c r="Y298" s="74">
        <f t="shared" si="475"/>
        <v>66200</v>
      </c>
      <c r="Z298" s="74">
        <f t="shared" si="475"/>
        <v>-106853</v>
      </c>
      <c r="AA298" s="74">
        <f t="shared" si="475"/>
        <v>30202</v>
      </c>
      <c r="AB298" s="74">
        <f t="shared" si="475"/>
        <v>0</v>
      </c>
      <c r="AC298" s="74">
        <f t="shared" si="475"/>
        <v>0</v>
      </c>
      <c r="AD298" s="74">
        <f t="shared" si="475"/>
        <v>0</v>
      </c>
      <c r="AE298" s="74">
        <f t="shared" si="475"/>
        <v>-57375</v>
      </c>
      <c r="AF298" s="74">
        <f t="shared" si="475"/>
        <v>30202</v>
      </c>
      <c r="AG298" s="74">
        <f t="shared" si="475"/>
        <v>-27173</v>
      </c>
      <c r="AH298" s="74">
        <f t="shared" si="475"/>
        <v>60000</v>
      </c>
      <c r="AI298" s="74">
        <f t="shared" si="475"/>
        <v>0</v>
      </c>
      <c r="AJ298" s="74">
        <f t="shared" si="475"/>
        <v>0</v>
      </c>
      <c r="AK298" s="74">
        <f t="shared" si="475"/>
        <v>0</v>
      </c>
      <c r="AL298" s="74">
        <f t="shared" si="475"/>
        <v>0</v>
      </c>
      <c r="AM298" s="74">
        <f t="shared" si="475"/>
        <v>60000</v>
      </c>
      <c r="AN298" s="74">
        <f t="shared" si="475"/>
        <v>0</v>
      </c>
      <c r="AO298" s="74">
        <f t="shared" si="475"/>
        <v>60000</v>
      </c>
      <c r="AP298" s="74">
        <f t="shared" si="475"/>
        <v>2625</v>
      </c>
      <c r="AQ298" s="74">
        <f t="shared" si="475"/>
        <v>30202</v>
      </c>
      <c r="AR298" s="74">
        <f t="shared" si="475"/>
        <v>32827</v>
      </c>
      <c r="AS298" s="74">
        <f t="shared" si="475"/>
        <v>11096</v>
      </c>
      <c r="AT298" s="74">
        <f t="shared" si="475"/>
        <v>-272</v>
      </c>
      <c r="AU298" s="74">
        <f t="shared" si="475"/>
        <v>0</v>
      </c>
      <c r="AV298" s="74">
        <f t="shared" si="475"/>
        <v>0</v>
      </c>
      <c r="AW298" s="74">
        <f t="shared" si="475"/>
        <v>0</v>
      </c>
      <c r="AX298" s="74">
        <f t="shared" si="475"/>
        <v>0</v>
      </c>
      <c r="AY298" s="74">
        <f t="shared" si="475"/>
        <v>43651</v>
      </c>
      <c r="AZ298" s="75">
        <f t="shared" si="475"/>
        <v>-0.09</v>
      </c>
      <c r="BA298" s="75">
        <f t="shared" si="475"/>
        <v>0</v>
      </c>
      <c r="BB298" s="75">
        <f t="shared" si="475"/>
        <v>0.11</v>
      </c>
      <c r="BC298" s="75">
        <f t="shared" si="475"/>
        <v>-0.12</v>
      </c>
      <c r="BD298" s="75">
        <f t="shared" si="475"/>
        <v>0.09</v>
      </c>
      <c r="BE298" s="75">
        <f t="shared" si="475"/>
        <v>0.09</v>
      </c>
      <c r="BF298" s="75">
        <f t="shared" si="475"/>
        <v>0</v>
      </c>
      <c r="BG298" s="75">
        <f t="shared" si="475"/>
        <v>0</v>
      </c>
      <c r="BH298" s="75">
        <f t="shared" si="475"/>
        <v>0</v>
      </c>
      <c r="BI298" s="75">
        <f t="shared" si="475"/>
        <v>-1.000000000000012E-2</v>
      </c>
      <c r="BJ298" s="75">
        <f t="shared" si="475"/>
        <v>0.09</v>
      </c>
      <c r="BK298" s="76">
        <f t="shared" si="475"/>
        <v>7.9999999999999877E-2</v>
      </c>
      <c r="BL298" s="781">
        <f t="shared" si="475"/>
        <v>48081691</v>
      </c>
      <c r="BM298" s="74">
        <f t="shared" si="475"/>
        <v>35008940</v>
      </c>
      <c r="BN298" s="74">
        <f t="shared" si="475"/>
        <v>30520184</v>
      </c>
      <c r="BO298" s="74">
        <f t="shared" si="475"/>
        <v>4488756</v>
      </c>
      <c r="BP298" s="74">
        <f t="shared" si="475"/>
        <v>215000</v>
      </c>
      <c r="BQ298" s="74">
        <f t="shared" si="475"/>
        <v>160000</v>
      </c>
      <c r="BR298" s="74">
        <f t="shared" si="475"/>
        <v>55000</v>
      </c>
      <c r="BS298" s="74">
        <f t="shared" si="475"/>
        <v>11905691</v>
      </c>
      <c r="BT298" s="74">
        <f t="shared" si="475"/>
        <v>350089</v>
      </c>
      <c r="BU298" s="74">
        <f t="shared" si="475"/>
        <v>601971</v>
      </c>
      <c r="BV298" s="75">
        <f t="shared" si="475"/>
        <v>63.439500000000002</v>
      </c>
      <c r="BW298" s="75">
        <f t="shared" si="475"/>
        <v>49.909500000000008</v>
      </c>
      <c r="BX298" s="76">
        <f t="shared" si="475"/>
        <v>13.53</v>
      </c>
      <c r="BY298" s="791">
        <f t="shared" ref="BY298:CJ298" si="476">SUM(BY291:BY297)</f>
        <v>0</v>
      </c>
      <c r="BZ298" s="679">
        <f t="shared" si="476"/>
        <v>0</v>
      </c>
      <c r="CA298" s="679">
        <f t="shared" si="476"/>
        <v>0</v>
      </c>
      <c r="CB298" s="679">
        <f t="shared" si="476"/>
        <v>0</v>
      </c>
      <c r="CC298" s="679">
        <f t="shared" si="476"/>
        <v>0</v>
      </c>
      <c r="CD298" s="947">
        <f t="shared" si="476"/>
        <v>0</v>
      </c>
      <c r="CE298" s="956">
        <f t="shared" si="476"/>
        <v>1220999</v>
      </c>
      <c r="CF298" s="953">
        <f t="shared" si="476"/>
        <v>804907</v>
      </c>
      <c r="CG298" s="953">
        <f t="shared" si="476"/>
        <v>272059</v>
      </c>
      <c r="CH298" s="953">
        <f t="shared" si="476"/>
        <v>8049</v>
      </c>
      <c r="CI298" s="953">
        <f t="shared" si="476"/>
        <v>135984</v>
      </c>
      <c r="CJ298" s="877">
        <f t="shared" si="476"/>
        <v>2.4045000000000001</v>
      </c>
    </row>
    <row r="299" spans="1:90" ht="14.1" customHeight="1">
      <c r="A299" s="66">
        <v>60</v>
      </c>
      <c r="B299" s="63">
        <v>2319</v>
      </c>
      <c r="C299" s="64">
        <v>600080218</v>
      </c>
      <c r="D299" s="63">
        <v>70695245</v>
      </c>
      <c r="E299" s="65" t="s">
        <v>655</v>
      </c>
      <c r="F299" s="66">
        <v>3231</v>
      </c>
      <c r="G299" s="65" t="s">
        <v>295</v>
      </c>
      <c r="H299" s="67" t="s">
        <v>271</v>
      </c>
      <c r="I299" s="419">
        <v>7989724</v>
      </c>
      <c r="J299" s="414">
        <v>5911216</v>
      </c>
      <c r="K299" s="414">
        <v>5606147</v>
      </c>
      <c r="L299" s="414">
        <v>305069</v>
      </c>
      <c r="M299" s="414">
        <v>0</v>
      </c>
      <c r="N299" s="414">
        <v>0</v>
      </c>
      <c r="O299" s="414">
        <v>0</v>
      </c>
      <c r="P299" s="595">
        <v>1997991</v>
      </c>
      <c r="Q299" s="595">
        <v>59112</v>
      </c>
      <c r="R299" s="414">
        <v>21405</v>
      </c>
      <c r="S299" s="415">
        <v>9.6699000000000002</v>
      </c>
      <c r="T299" s="415">
        <v>8.81</v>
      </c>
      <c r="U299" s="422">
        <v>0.85989999999999989</v>
      </c>
      <c r="V299" s="423">
        <f t="shared" si="422"/>
        <v>0</v>
      </c>
      <c r="W299" s="417">
        <f t="shared" si="423"/>
        <v>0</v>
      </c>
      <c r="X299" s="417">
        <v>0</v>
      </c>
      <c r="Y299" s="417">
        <v>0</v>
      </c>
      <c r="Z299" s="417">
        <v>0</v>
      </c>
      <c r="AA299" s="417">
        <v>0</v>
      </c>
      <c r="AB299" s="417">
        <v>0</v>
      </c>
      <c r="AC299" s="417">
        <v>0</v>
      </c>
      <c r="AD299" s="417">
        <v>0</v>
      </c>
      <c r="AE299" s="417">
        <f t="shared" si="424"/>
        <v>0</v>
      </c>
      <c r="AF299" s="417">
        <f t="shared" si="425"/>
        <v>0</v>
      </c>
      <c r="AG299" s="417">
        <f t="shared" si="426"/>
        <v>0</v>
      </c>
      <c r="AH299" s="417">
        <v>0</v>
      </c>
      <c r="AI299" s="417">
        <v>0</v>
      </c>
      <c r="AJ299" s="417">
        <v>0</v>
      </c>
      <c r="AK299" s="417">
        <v>0</v>
      </c>
      <c r="AL299" s="417">
        <v>0</v>
      </c>
      <c r="AM299" s="417">
        <f t="shared" si="427"/>
        <v>0</v>
      </c>
      <c r="AN299" s="417">
        <f t="shared" si="428"/>
        <v>0</v>
      </c>
      <c r="AO299" s="417">
        <f t="shared" si="429"/>
        <v>0</v>
      </c>
      <c r="AP299" s="417">
        <f t="shared" si="430"/>
        <v>0</v>
      </c>
      <c r="AQ299" s="417">
        <f t="shared" si="431"/>
        <v>0</v>
      </c>
      <c r="AR299" s="417">
        <f t="shared" si="432"/>
        <v>0</v>
      </c>
      <c r="AS299" s="68">
        <f t="shared" si="433"/>
        <v>0</v>
      </c>
      <c r="AT299" s="68">
        <f t="shared" si="434"/>
        <v>0</v>
      </c>
      <c r="AU299" s="417">
        <v>0</v>
      </c>
      <c r="AV299" s="417">
        <v>0</v>
      </c>
      <c r="AW299" s="417">
        <v>0</v>
      </c>
      <c r="AX299" s="417">
        <f t="shared" si="435"/>
        <v>0</v>
      </c>
      <c r="AY299" s="417">
        <f t="shared" si="436"/>
        <v>0</v>
      </c>
      <c r="AZ299" s="418">
        <v>0</v>
      </c>
      <c r="BA299" s="418">
        <v>0</v>
      </c>
      <c r="BB299" s="418">
        <v>0</v>
      </c>
      <c r="BC299" s="418">
        <v>0</v>
      </c>
      <c r="BD299" s="418">
        <v>0</v>
      </c>
      <c r="BE299" s="418">
        <v>0</v>
      </c>
      <c r="BF299" s="418">
        <v>0</v>
      </c>
      <c r="BG299" s="418">
        <v>0</v>
      </c>
      <c r="BH299" s="418">
        <v>0</v>
      </c>
      <c r="BI299" s="418">
        <f t="shared" si="437"/>
        <v>0</v>
      </c>
      <c r="BJ299" s="418">
        <f t="shared" si="438"/>
        <v>0</v>
      </c>
      <c r="BK299" s="420">
        <f t="shared" si="439"/>
        <v>0</v>
      </c>
      <c r="BL299" s="772">
        <f>I299+AY299</f>
        <v>7989724</v>
      </c>
      <c r="BM299" s="417">
        <f>J299+AG299</f>
        <v>5911216</v>
      </c>
      <c r="BN299" s="417">
        <f>K299+AE299</f>
        <v>5606147</v>
      </c>
      <c r="BO299" s="417">
        <f>L299+AF299</f>
        <v>305069</v>
      </c>
      <c r="BP299" s="417">
        <f>M299+AO299</f>
        <v>0</v>
      </c>
      <c r="BQ299" s="417">
        <f>N299+AM299</f>
        <v>0</v>
      </c>
      <c r="BR299" s="417">
        <f>O299+AN299</f>
        <v>0</v>
      </c>
      <c r="BS299" s="417">
        <f>P299+AS299</f>
        <v>1997991</v>
      </c>
      <c r="BT299" s="417">
        <f>Q299+AT299</f>
        <v>59112</v>
      </c>
      <c r="BU299" s="417">
        <f>R299+AX299</f>
        <v>21405</v>
      </c>
      <c r="BV299" s="418">
        <f>S299+BK299</f>
        <v>9.6699000000000002</v>
      </c>
      <c r="BW299" s="418">
        <f>T299+BI299</f>
        <v>8.81</v>
      </c>
      <c r="BX299" s="420">
        <f>U299+BJ299</f>
        <v>0.85989999999999989</v>
      </c>
      <c r="BY299" s="419"/>
      <c r="BZ299" s="414"/>
      <c r="CA299" s="414"/>
      <c r="CB299" s="414"/>
      <c r="CC299" s="414"/>
      <c r="CD299" s="422"/>
      <c r="CE299" s="419">
        <f t="shared" si="440"/>
        <v>141508</v>
      </c>
      <c r="CF299" s="414">
        <v>99730</v>
      </c>
      <c r="CG299" s="414">
        <v>33709</v>
      </c>
      <c r="CH299" s="414">
        <v>997</v>
      </c>
      <c r="CI299" s="414">
        <v>7072</v>
      </c>
      <c r="CJ299" s="509">
        <v>0.27989999999999998</v>
      </c>
    </row>
    <row r="300" spans="1:90" ht="14.1" customHeight="1">
      <c r="A300" s="72">
        <v>60</v>
      </c>
      <c r="B300" s="69">
        <v>2319</v>
      </c>
      <c r="C300" s="70">
        <v>600080218</v>
      </c>
      <c r="D300" s="69">
        <v>70695245</v>
      </c>
      <c r="E300" s="71" t="s">
        <v>656</v>
      </c>
      <c r="F300" s="72"/>
      <c r="G300" s="71"/>
      <c r="H300" s="73"/>
      <c r="I300" s="517">
        <v>7989724</v>
      </c>
      <c r="J300" s="78">
        <v>5911216</v>
      </c>
      <c r="K300" s="78">
        <v>5606147</v>
      </c>
      <c r="L300" s="78">
        <v>305069</v>
      </c>
      <c r="M300" s="78">
        <v>0</v>
      </c>
      <c r="N300" s="78">
        <v>0</v>
      </c>
      <c r="O300" s="78">
        <v>0</v>
      </c>
      <c r="P300" s="78">
        <v>1997991</v>
      </c>
      <c r="Q300" s="78">
        <v>59112</v>
      </c>
      <c r="R300" s="78">
        <v>21405</v>
      </c>
      <c r="S300" s="79">
        <v>9.6699000000000002</v>
      </c>
      <c r="T300" s="79">
        <v>8.81</v>
      </c>
      <c r="U300" s="654">
        <v>0.85989999999999989</v>
      </c>
      <c r="V300" s="517">
        <f t="shared" ref="V300:BX300" si="477">SUM(V299)</f>
        <v>0</v>
      </c>
      <c r="W300" s="78">
        <f t="shared" si="477"/>
        <v>0</v>
      </c>
      <c r="X300" s="78">
        <f t="shared" si="477"/>
        <v>0</v>
      </c>
      <c r="Y300" s="78">
        <f t="shared" si="477"/>
        <v>0</v>
      </c>
      <c r="Z300" s="78">
        <f t="shared" si="477"/>
        <v>0</v>
      </c>
      <c r="AA300" s="78">
        <f t="shared" si="477"/>
        <v>0</v>
      </c>
      <c r="AB300" s="78">
        <f t="shared" si="477"/>
        <v>0</v>
      </c>
      <c r="AC300" s="78">
        <f t="shared" si="477"/>
        <v>0</v>
      </c>
      <c r="AD300" s="78">
        <f t="shared" si="477"/>
        <v>0</v>
      </c>
      <c r="AE300" s="78">
        <f t="shared" si="477"/>
        <v>0</v>
      </c>
      <c r="AF300" s="78">
        <f t="shared" si="477"/>
        <v>0</v>
      </c>
      <c r="AG300" s="78">
        <f t="shared" si="477"/>
        <v>0</v>
      </c>
      <c r="AH300" s="78">
        <f t="shared" si="477"/>
        <v>0</v>
      </c>
      <c r="AI300" s="78">
        <f t="shared" si="477"/>
        <v>0</v>
      </c>
      <c r="AJ300" s="78">
        <f t="shared" si="477"/>
        <v>0</v>
      </c>
      <c r="AK300" s="78">
        <f t="shared" si="477"/>
        <v>0</v>
      </c>
      <c r="AL300" s="78">
        <f t="shared" si="477"/>
        <v>0</v>
      </c>
      <c r="AM300" s="78">
        <f t="shared" si="477"/>
        <v>0</v>
      </c>
      <c r="AN300" s="78">
        <f t="shared" si="477"/>
        <v>0</v>
      </c>
      <c r="AO300" s="78">
        <f t="shared" si="477"/>
        <v>0</v>
      </c>
      <c r="AP300" s="78">
        <f t="shared" si="477"/>
        <v>0</v>
      </c>
      <c r="AQ300" s="78">
        <f t="shared" si="477"/>
        <v>0</v>
      </c>
      <c r="AR300" s="78">
        <f t="shared" si="477"/>
        <v>0</v>
      </c>
      <c r="AS300" s="78">
        <f t="shared" si="477"/>
        <v>0</v>
      </c>
      <c r="AT300" s="78">
        <f t="shared" si="477"/>
        <v>0</v>
      </c>
      <c r="AU300" s="78">
        <f t="shared" si="477"/>
        <v>0</v>
      </c>
      <c r="AV300" s="78">
        <f t="shared" si="477"/>
        <v>0</v>
      </c>
      <c r="AW300" s="78">
        <f t="shared" si="477"/>
        <v>0</v>
      </c>
      <c r="AX300" s="78">
        <f t="shared" si="477"/>
        <v>0</v>
      </c>
      <c r="AY300" s="78">
        <f t="shared" si="477"/>
        <v>0</v>
      </c>
      <c r="AZ300" s="79">
        <f t="shared" si="477"/>
        <v>0</v>
      </c>
      <c r="BA300" s="79">
        <f t="shared" si="477"/>
        <v>0</v>
      </c>
      <c r="BB300" s="79">
        <f t="shared" si="477"/>
        <v>0</v>
      </c>
      <c r="BC300" s="79">
        <f t="shared" si="477"/>
        <v>0</v>
      </c>
      <c r="BD300" s="79">
        <f t="shared" si="477"/>
        <v>0</v>
      </c>
      <c r="BE300" s="79">
        <f t="shared" si="477"/>
        <v>0</v>
      </c>
      <c r="BF300" s="79">
        <f t="shared" si="477"/>
        <v>0</v>
      </c>
      <c r="BG300" s="79">
        <f t="shared" si="477"/>
        <v>0</v>
      </c>
      <c r="BH300" s="79">
        <f t="shared" si="477"/>
        <v>0</v>
      </c>
      <c r="BI300" s="79">
        <f t="shared" si="477"/>
        <v>0</v>
      </c>
      <c r="BJ300" s="79">
        <f t="shared" si="477"/>
        <v>0</v>
      </c>
      <c r="BK300" s="80">
        <f t="shared" si="477"/>
        <v>0</v>
      </c>
      <c r="BL300" s="782">
        <f t="shared" si="477"/>
        <v>7989724</v>
      </c>
      <c r="BM300" s="78">
        <f t="shared" si="477"/>
        <v>5911216</v>
      </c>
      <c r="BN300" s="78">
        <f t="shared" si="477"/>
        <v>5606147</v>
      </c>
      <c r="BO300" s="78">
        <f t="shared" si="477"/>
        <v>305069</v>
      </c>
      <c r="BP300" s="78">
        <f t="shared" si="477"/>
        <v>0</v>
      </c>
      <c r="BQ300" s="78">
        <f t="shared" si="477"/>
        <v>0</v>
      </c>
      <c r="BR300" s="78">
        <f t="shared" si="477"/>
        <v>0</v>
      </c>
      <c r="BS300" s="78">
        <f t="shared" si="477"/>
        <v>1997991</v>
      </c>
      <c r="BT300" s="78">
        <f t="shared" si="477"/>
        <v>59112</v>
      </c>
      <c r="BU300" s="78">
        <f t="shared" si="477"/>
        <v>21405</v>
      </c>
      <c r="BV300" s="79">
        <f t="shared" si="477"/>
        <v>9.6699000000000002</v>
      </c>
      <c r="BW300" s="79">
        <f t="shared" si="477"/>
        <v>8.81</v>
      </c>
      <c r="BX300" s="80">
        <f t="shared" si="477"/>
        <v>0.85989999999999989</v>
      </c>
      <c r="BY300" s="792">
        <f t="shared" ref="BY300:CJ300" si="478">SUM(BY299)</f>
        <v>0</v>
      </c>
      <c r="BZ300" s="680">
        <f t="shared" si="478"/>
        <v>0</v>
      </c>
      <c r="CA300" s="680">
        <f t="shared" si="478"/>
        <v>0</v>
      </c>
      <c r="CB300" s="680">
        <f t="shared" si="478"/>
        <v>0</v>
      </c>
      <c r="CC300" s="680">
        <f t="shared" si="478"/>
        <v>0</v>
      </c>
      <c r="CD300" s="948">
        <f t="shared" si="478"/>
        <v>0</v>
      </c>
      <c r="CE300" s="957">
        <f t="shared" si="478"/>
        <v>141508</v>
      </c>
      <c r="CF300" s="954">
        <f t="shared" si="478"/>
        <v>99730</v>
      </c>
      <c r="CG300" s="954">
        <f t="shared" si="478"/>
        <v>33709</v>
      </c>
      <c r="CH300" s="954">
        <f t="shared" si="478"/>
        <v>997</v>
      </c>
      <c r="CI300" s="954">
        <f t="shared" si="478"/>
        <v>7072</v>
      </c>
      <c r="CJ300" s="878">
        <f t="shared" si="478"/>
        <v>0.27989999999999998</v>
      </c>
    </row>
    <row r="301" spans="1:90" ht="14.1" customHeight="1">
      <c r="A301" s="66">
        <v>61</v>
      </c>
      <c r="B301" s="63">
        <v>2444</v>
      </c>
      <c r="C301" s="64">
        <v>600079848</v>
      </c>
      <c r="D301" s="63">
        <v>72742836</v>
      </c>
      <c r="E301" s="65" t="s">
        <v>657</v>
      </c>
      <c r="F301" s="66">
        <v>3111</v>
      </c>
      <c r="G301" s="65" t="s">
        <v>290</v>
      </c>
      <c r="H301" s="67" t="s">
        <v>271</v>
      </c>
      <c r="I301" s="419">
        <v>4763408</v>
      </c>
      <c r="J301" s="414">
        <v>3517959</v>
      </c>
      <c r="K301" s="414">
        <v>3253332</v>
      </c>
      <c r="L301" s="414">
        <v>264627</v>
      </c>
      <c r="M301" s="414">
        <v>0</v>
      </c>
      <c r="N301" s="414">
        <v>0</v>
      </c>
      <c r="O301" s="414">
        <v>0</v>
      </c>
      <c r="P301" s="595">
        <v>1189070</v>
      </c>
      <c r="Q301" s="595">
        <v>35179</v>
      </c>
      <c r="R301" s="414">
        <v>21200</v>
      </c>
      <c r="S301" s="415">
        <v>6.9602000000000004</v>
      </c>
      <c r="T301" s="415">
        <v>5.9</v>
      </c>
      <c r="U301" s="422">
        <v>1.0602</v>
      </c>
      <c r="V301" s="423">
        <f t="shared" si="422"/>
        <v>0</v>
      </c>
      <c r="W301" s="417">
        <f t="shared" si="423"/>
        <v>0</v>
      </c>
      <c r="X301" s="417">
        <v>0</v>
      </c>
      <c r="Y301" s="417">
        <v>0</v>
      </c>
      <c r="Z301" s="417">
        <v>0</v>
      </c>
      <c r="AA301" s="417">
        <v>0</v>
      </c>
      <c r="AB301" s="417">
        <v>0</v>
      </c>
      <c r="AC301" s="417">
        <v>0</v>
      </c>
      <c r="AD301" s="417">
        <v>0</v>
      </c>
      <c r="AE301" s="417">
        <f t="shared" si="424"/>
        <v>0</v>
      </c>
      <c r="AF301" s="417">
        <f t="shared" si="425"/>
        <v>0</v>
      </c>
      <c r="AG301" s="417">
        <f t="shared" si="426"/>
        <v>0</v>
      </c>
      <c r="AH301" s="417">
        <v>0</v>
      </c>
      <c r="AI301" s="417">
        <v>0</v>
      </c>
      <c r="AJ301" s="417">
        <v>0</v>
      </c>
      <c r="AK301" s="417">
        <v>0</v>
      </c>
      <c r="AL301" s="417">
        <v>0</v>
      </c>
      <c r="AM301" s="417">
        <f t="shared" si="427"/>
        <v>0</v>
      </c>
      <c r="AN301" s="417">
        <f t="shared" si="428"/>
        <v>0</v>
      </c>
      <c r="AO301" s="417">
        <f t="shared" si="429"/>
        <v>0</v>
      </c>
      <c r="AP301" s="417">
        <f t="shared" si="430"/>
        <v>0</v>
      </c>
      <c r="AQ301" s="417">
        <f t="shared" si="431"/>
        <v>0</v>
      </c>
      <c r="AR301" s="417">
        <f t="shared" si="432"/>
        <v>0</v>
      </c>
      <c r="AS301" s="68">
        <f t="shared" si="433"/>
        <v>0</v>
      </c>
      <c r="AT301" s="68">
        <f t="shared" si="434"/>
        <v>0</v>
      </c>
      <c r="AU301" s="417">
        <v>0</v>
      </c>
      <c r="AV301" s="417">
        <v>0</v>
      </c>
      <c r="AW301" s="417">
        <v>0</v>
      </c>
      <c r="AX301" s="417">
        <f t="shared" si="435"/>
        <v>0</v>
      </c>
      <c r="AY301" s="417">
        <f t="shared" si="436"/>
        <v>0</v>
      </c>
      <c r="AZ301" s="418">
        <v>0</v>
      </c>
      <c r="BA301" s="418">
        <v>0</v>
      </c>
      <c r="BB301" s="418">
        <v>0</v>
      </c>
      <c r="BC301" s="418">
        <v>0</v>
      </c>
      <c r="BD301" s="418">
        <v>0</v>
      </c>
      <c r="BE301" s="418">
        <v>0</v>
      </c>
      <c r="BF301" s="418">
        <v>0</v>
      </c>
      <c r="BG301" s="418">
        <v>0</v>
      </c>
      <c r="BH301" s="418">
        <v>0</v>
      </c>
      <c r="BI301" s="418">
        <f t="shared" si="437"/>
        <v>0</v>
      </c>
      <c r="BJ301" s="418">
        <f t="shared" si="438"/>
        <v>0</v>
      </c>
      <c r="BK301" s="420">
        <f t="shared" si="439"/>
        <v>0</v>
      </c>
      <c r="BL301" s="772">
        <f t="shared" ref="BL301:BL306" si="479">I301+AY301</f>
        <v>4763408</v>
      </c>
      <c r="BM301" s="417">
        <f t="shared" ref="BM301:BM306" si="480">J301+AG301</f>
        <v>3517959</v>
      </c>
      <c r="BN301" s="417">
        <f t="shared" ref="BN301:BO306" si="481">K301+AE301</f>
        <v>3253332</v>
      </c>
      <c r="BO301" s="417">
        <f t="shared" si="481"/>
        <v>264627</v>
      </c>
      <c r="BP301" s="417">
        <f t="shared" ref="BP301:BP306" si="482">M301+AO301</f>
        <v>0</v>
      </c>
      <c r="BQ301" s="417">
        <f t="shared" ref="BQ301:BR306" si="483">N301+AM301</f>
        <v>0</v>
      </c>
      <c r="BR301" s="417">
        <f t="shared" si="483"/>
        <v>0</v>
      </c>
      <c r="BS301" s="417">
        <f t="shared" ref="BS301:BT306" si="484">P301+AS301</f>
        <v>1189070</v>
      </c>
      <c r="BT301" s="417">
        <f t="shared" si="484"/>
        <v>35179</v>
      </c>
      <c r="BU301" s="417">
        <f t="shared" ref="BU301:BU306" si="485">R301+AX301</f>
        <v>21200</v>
      </c>
      <c r="BV301" s="418">
        <f t="shared" ref="BV301:BV306" si="486">S301+BK301</f>
        <v>6.9602000000000004</v>
      </c>
      <c r="BW301" s="418">
        <f t="shared" ref="BW301:BX306" si="487">T301+BI301</f>
        <v>5.9</v>
      </c>
      <c r="BX301" s="420">
        <f t="shared" si="487"/>
        <v>1.0602</v>
      </c>
      <c r="BY301" s="419"/>
      <c r="BZ301" s="414"/>
      <c r="CA301" s="414"/>
      <c r="CB301" s="414"/>
      <c r="CC301" s="414"/>
      <c r="CD301" s="422"/>
      <c r="CE301" s="419">
        <f t="shared" si="440"/>
        <v>121514</v>
      </c>
      <c r="CF301" s="414">
        <v>84915</v>
      </c>
      <c r="CG301" s="414">
        <f>ROUND(CF301*33.8%,0)</f>
        <v>28701</v>
      </c>
      <c r="CH301" s="414">
        <f>ROUND(CF301*1%,0)</f>
        <v>849</v>
      </c>
      <c r="CI301" s="414">
        <v>7049</v>
      </c>
      <c r="CJ301" s="509">
        <v>0.3402</v>
      </c>
      <c r="CK301" s="53"/>
      <c r="CL301" s="53"/>
    </row>
    <row r="302" spans="1:90" ht="14.1" customHeight="1">
      <c r="A302" s="66">
        <v>61</v>
      </c>
      <c r="B302" s="63">
        <v>2444</v>
      </c>
      <c r="C302" s="64">
        <v>600079848</v>
      </c>
      <c r="D302" s="63">
        <v>72742836</v>
      </c>
      <c r="E302" s="65" t="s">
        <v>657</v>
      </c>
      <c r="F302" s="66">
        <v>3117</v>
      </c>
      <c r="G302" s="81" t="s">
        <v>293</v>
      </c>
      <c r="H302" s="67" t="s">
        <v>271</v>
      </c>
      <c r="I302" s="419">
        <v>4497814</v>
      </c>
      <c r="J302" s="414">
        <v>3251255</v>
      </c>
      <c r="K302" s="414">
        <v>2618159</v>
      </c>
      <c r="L302" s="414">
        <v>633096</v>
      </c>
      <c r="M302" s="414">
        <v>21000</v>
      </c>
      <c r="N302" s="414">
        <v>21000</v>
      </c>
      <c r="O302" s="414">
        <v>0</v>
      </c>
      <c r="P302" s="595">
        <v>1106021</v>
      </c>
      <c r="Q302" s="595">
        <v>32513</v>
      </c>
      <c r="R302" s="414">
        <v>87025</v>
      </c>
      <c r="S302" s="415">
        <v>5.7273000000000005</v>
      </c>
      <c r="T302" s="415">
        <v>3.97</v>
      </c>
      <c r="U302" s="422">
        <v>1.7573000000000001</v>
      </c>
      <c r="V302" s="423">
        <f t="shared" si="422"/>
        <v>1000</v>
      </c>
      <c r="W302" s="417">
        <f t="shared" si="423"/>
        <v>-20000</v>
      </c>
      <c r="X302" s="417">
        <v>0</v>
      </c>
      <c r="Y302" s="417">
        <v>0</v>
      </c>
      <c r="Z302" s="417">
        <v>0</v>
      </c>
      <c r="AA302" s="417">
        <v>0</v>
      </c>
      <c r="AB302" s="417">
        <v>0</v>
      </c>
      <c r="AC302" s="417">
        <v>0</v>
      </c>
      <c r="AD302" s="417">
        <v>0</v>
      </c>
      <c r="AE302" s="417">
        <f t="shared" si="424"/>
        <v>1000</v>
      </c>
      <c r="AF302" s="417">
        <f t="shared" si="425"/>
        <v>-20000</v>
      </c>
      <c r="AG302" s="417">
        <f t="shared" si="426"/>
        <v>-19000</v>
      </c>
      <c r="AH302" s="417">
        <v>-1000</v>
      </c>
      <c r="AI302" s="417">
        <v>20000</v>
      </c>
      <c r="AJ302" s="417">
        <v>0</v>
      </c>
      <c r="AK302" s="417">
        <v>0</v>
      </c>
      <c r="AL302" s="417">
        <v>0</v>
      </c>
      <c r="AM302" s="417">
        <f t="shared" si="427"/>
        <v>-1000</v>
      </c>
      <c r="AN302" s="417">
        <f t="shared" si="428"/>
        <v>20000</v>
      </c>
      <c r="AO302" s="417">
        <f t="shared" si="429"/>
        <v>19000</v>
      </c>
      <c r="AP302" s="417">
        <f t="shared" si="430"/>
        <v>0</v>
      </c>
      <c r="AQ302" s="417">
        <f t="shared" si="431"/>
        <v>0</v>
      </c>
      <c r="AR302" s="417">
        <f t="shared" si="432"/>
        <v>0</v>
      </c>
      <c r="AS302" s="68">
        <f t="shared" si="433"/>
        <v>0</v>
      </c>
      <c r="AT302" s="68">
        <f t="shared" si="434"/>
        <v>-190</v>
      </c>
      <c r="AU302" s="417">
        <v>0</v>
      </c>
      <c r="AV302" s="417">
        <v>0</v>
      </c>
      <c r="AW302" s="417">
        <v>0</v>
      </c>
      <c r="AX302" s="417">
        <f t="shared" si="435"/>
        <v>0</v>
      </c>
      <c r="AY302" s="417">
        <f t="shared" si="436"/>
        <v>-190</v>
      </c>
      <c r="AZ302" s="418">
        <v>0</v>
      </c>
      <c r="BA302" s="418">
        <v>-0.06</v>
      </c>
      <c r="BB302" s="418">
        <v>0</v>
      </c>
      <c r="BC302" s="418">
        <v>0</v>
      </c>
      <c r="BD302" s="418">
        <v>0</v>
      </c>
      <c r="BE302" s="418">
        <v>0</v>
      </c>
      <c r="BF302" s="418">
        <v>0</v>
      </c>
      <c r="BG302" s="418">
        <v>0</v>
      </c>
      <c r="BH302" s="418">
        <v>0</v>
      </c>
      <c r="BI302" s="418">
        <f t="shared" si="437"/>
        <v>0</v>
      </c>
      <c r="BJ302" s="418">
        <f t="shared" si="438"/>
        <v>-0.06</v>
      </c>
      <c r="BK302" s="420">
        <f t="shared" si="439"/>
        <v>-0.06</v>
      </c>
      <c r="BL302" s="772">
        <f t="shared" si="479"/>
        <v>4497624</v>
      </c>
      <c r="BM302" s="417">
        <f t="shared" si="480"/>
        <v>3232255</v>
      </c>
      <c r="BN302" s="417">
        <f t="shared" si="481"/>
        <v>2619159</v>
      </c>
      <c r="BO302" s="417">
        <f t="shared" si="481"/>
        <v>613096</v>
      </c>
      <c r="BP302" s="417">
        <f t="shared" si="482"/>
        <v>40000</v>
      </c>
      <c r="BQ302" s="417">
        <f t="shared" si="483"/>
        <v>20000</v>
      </c>
      <c r="BR302" s="417">
        <f t="shared" si="483"/>
        <v>20000</v>
      </c>
      <c r="BS302" s="417">
        <f t="shared" si="484"/>
        <v>1106021</v>
      </c>
      <c r="BT302" s="417">
        <f t="shared" si="484"/>
        <v>32323</v>
      </c>
      <c r="BU302" s="417">
        <f t="shared" si="485"/>
        <v>87025</v>
      </c>
      <c r="BV302" s="418">
        <f t="shared" si="486"/>
        <v>5.6673000000000009</v>
      </c>
      <c r="BW302" s="418">
        <f t="shared" si="487"/>
        <v>3.97</v>
      </c>
      <c r="BX302" s="420">
        <f t="shared" si="487"/>
        <v>1.6973</v>
      </c>
      <c r="BY302" s="419"/>
      <c r="BZ302" s="414"/>
      <c r="CA302" s="414"/>
      <c r="CB302" s="414"/>
      <c r="CC302" s="414"/>
      <c r="CD302" s="422"/>
      <c r="CE302" s="419">
        <f t="shared" si="440"/>
        <v>289159</v>
      </c>
      <c r="CF302" s="414">
        <v>203217</v>
      </c>
      <c r="CG302" s="414">
        <v>68688</v>
      </c>
      <c r="CH302" s="414">
        <v>2032</v>
      </c>
      <c r="CI302" s="414">
        <v>15222</v>
      </c>
      <c r="CJ302" s="509">
        <v>0.56410000000000005</v>
      </c>
      <c r="CK302" s="53"/>
      <c r="CL302" s="53"/>
    </row>
    <row r="303" spans="1:90" ht="14.1" customHeight="1">
      <c r="A303" s="66">
        <v>61</v>
      </c>
      <c r="B303" s="63">
        <v>2444</v>
      </c>
      <c r="C303" s="64">
        <v>600079848</v>
      </c>
      <c r="D303" s="63">
        <v>72742836</v>
      </c>
      <c r="E303" s="65" t="s">
        <v>657</v>
      </c>
      <c r="F303" s="66">
        <v>3117</v>
      </c>
      <c r="G303" s="77" t="s">
        <v>291</v>
      </c>
      <c r="H303" s="67" t="s">
        <v>272</v>
      </c>
      <c r="I303" s="419">
        <v>995990</v>
      </c>
      <c r="J303" s="414">
        <v>730891</v>
      </c>
      <c r="K303" s="414">
        <v>730891</v>
      </c>
      <c r="L303" s="414">
        <v>0</v>
      </c>
      <c r="M303" s="414">
        <v>0</v>
      </c>
      <c r="N303" s="414">
        <v>0</v>
      </c>
      <c r="O303" s="414">
        <v>0</v>
      </c>
      <c r="P303" s="595">
        <v>247040</v>
      </c>
      <c r="Q303" s="595">
        <v>7309</v>
      </c>
      <c r="R303" s="414">
        <v>10750</v>
      </c>
      <c r="S303" s="415">
        <v>2.0799999999999996</v>
      </c>
      <c r="T303" s="416">
        <v>2.0799999999999996</v>
      </c>
      <c r="U303" s="422">
        <v>0</v>
      </c>
      <c r="V303" s="423">
        <f t="shared" si="422"/>
        <v>0</v>
      </c>
      <c r="W303" s="417">
        <f t="shared" si="423"/>
        <v>0</v>
      </c>
      <c r="X303" s="417">
        <f>60428+39484</f>
        <v>99912</v>
      </c>
      <c r="Y303" s="417">
        <v>0</v>
      </c>
      <c r="Z303" s="417">
        <v>0</v>
      </c>
      <c r="AA303" s="417">
        <v>0</v>
      </c>
      <c r="AB303" s="417">
        <v>0</v>
      </c>
      <c r="AC303" s="417">
        <v>0</v>
      </c>
      <c r="AD303" s="417">
        <v>0</v>
      </c>
      <c r="AE303" s="417">
        <f t="shared" si="424"/>
        <v>99912</v>
      </c>
      <c r="AF303" s="417">
        <f t="shared" si="425"/>
        <v>0</v>
      </c>
      <c r="AG303" s="417">
        <f t="shared" si="426"/>
        <v>99912</v>
      </c>
      <c r="AH303" s="417">
        <v>0</v>
      </c>
      <c r="AI303" s="417">
        <v>0</v>
      </c>
      <c r="AJ303" s="417">
        <v>0</v>
      </c>
      <c r="AK303" s="417">
        <v>0</v>
      </c>
      <c r="AL303" s="417">
        <v>0</v>
      </c>
      <c r="AM303" s="417">
        <f t="shared" si="427"/>
        <v>0</v>
      </c>
      <c r="AN303" s="417">
        <f t="shared" si="428"/>
        <v>0</v>
      </c>
      <c r="AO303" s="417">
        <f t="shared" si="429"/>
        <v>0</v>
      </c>
      <c r="AP303" s="417">
        <f t="shared" si="430"/>
        <v>99912</v>
      </c>
      <c r="AQ303" s="417">
        <f t="shared" si="431"/>
        <v>0</v>
      </c>
      <c r="AR303" s="417">
        <f t="shared" si="432"/>
        <v>99912</v>
      </c>
      <c r="AS303" s="68">
        <f t="shared" si="433"/>
        <v>33770</v>
      </c>
      <c r="AT303" s="68">
        <f t="shared" si="434"/>
        <v>999</v>
      </c>
      <c r="AU303" s="417">
        <v>0</v>
      </c>
      <c r="AV303" s="417">
        <v>0</v>
      </c>
      <c r="AW303" s="417">
        <v>0</v>
      </c>
      <c r="AX303" s="417">
        <f t="shared" si="435"/>
        <v>0</v>
      </c>
      <c r="AY303" s="417">
        <f t="shared" si="436"/>
        <v>134681</v>
      </c>
      <c r="AZ303" s="418">
        <v>0</v>
      </c>
      <c r="BA303" s="418">
        <v>0</v>
      </c>
      <c r="BB303" s="418">
        <f>0.22+0.11</f>
        <v>0.33</v>
      </c>
      <c r="BC303" s="418">
        <v>0</v>
      </c>
      <c r="BD303" s="418">
        <v>0</v>
      </c>
      <c r="BE303" s="418">
        <v>0</v>
      </c>
      <c r="BF303" s="418">
        <v>0</v>
      </c>
      <c r="BG303" s="418">
        <v>0</v>
      </c>
      <c r="BH303" s="418">
        <v>0</v>
      </c>
      <c r="BI303" s="418">
        <f t="shared" si="437"/>
        <v>0.33</v>
      </c>
      <c r="BJ303" s="418">
        <f t="shared" si="438"/>
        <v>0</v>
      </c>
      <c r="BK303" s="420">
        <f t="shared" si="439"/>
        <v>0.33</v>
      </c>
      <c r="BL303" s="772">
        <f t="shared" si="479"/>
        <v>1130671</v>
      </c>
      <c r="BM303" s="417">
        <f t="shared" si="480"/>
        <v>830803</v>
      </c>
      <c r="BN303" s="417">
        <f t="shared" si="481"/>
        <v>830803</v>
      </c>
      <c r="BO303" s="417">
        <f t="shared" si="481"/>
        <v>0</v>
      </c>
      <c r="BP303" s="417">
        <f t="shared" si="482"/>
        <v>0</v>
      </c>
      <c r="BQ303" s="417">
        <f t="shared" si="483"/>
        <v>0</v>
      </c>
      <c r="BR303" s="417">
        <f t="shared" si="483"/>
        <v>0</v>
      </c>
      <c r="BS303" s="417">
        <f t="shared" si="484"/>
        <v>280810</v>
      </c>
      <c r="BT303" s="417">
        <f t="shared" si="484"/>
        <v>8308</v>
      </c>
      <c r="BU303" s="417">
        <f t="shared" si="485"/>
        <v>10750</v>
      </c>
      <c r="BV303" s="418">
        <f t="shared" si="486"/>
        <v>2.4099999999999997</v>
      </c>
      <c r="BW303" s="418">
        <f t="shared" si="487"/>
        <v>2.4099999999999997</v>
      </c>
      <c r="BX303" s="420">
        <f t="shared" si="487"/>
        <v>0</v>
      </c>
      <c r="BY303" s="419"/>
      <c r="BZ303" s="414"/>
      <c r="CA303" s="414"/>
      <c r="CB303" s="414"/>
      <c r="CC303" s="414"/>
      <c r="CD303" s="422"/>
      <c r="CE303" s="419">
        <f t="shared" si="440"/>
        <v>0</v>
      </c>
      <c r="CF303" s="414">
        <v>0</v>
      </c>
      <c r="CG303" s="414">
        <v>0</v>
      </c>
      <c r="CH303" s="414">
        <v>0</v>
      </c>
      <c r="CI303" s="414">
        <v>0</v>
      </c>
      <c r="CJ303" s="509">
        <v>0</v>
      </c>
      <c r="CK303" s="53"/>
      <c r="CL303" s="53"/>
    </row>
    <row r="304" spans="1:90" ht="14.1" customHeight="1">
      <c r="A304" s="66">
        <v>61</v>
      </c>
      <c r="B304" s="63">
        <v>2444</v>
      </c>
      <c r="C304" s="64">
        <v>600079848</v>
      </c>
      <c r="D304" s="63">
        <v>72742836</v>
      </c>
      <c r="E304" s="65" t="s">
        <v>657</v>
      </c>
      <c r="F304" s="66">
        <v>3141</v>
      </c>
      <c r="G304" s="65" t="s">
        <v>294</v>
      </c>
      <c r="H304" s="67" t="s">
        <v>272</v>
      </c>
      <c r="I304" s="419">
        <v>1315384</v>
      </c>
      <c r="J304" s="414">
        <v>971522</v>
      </c>
      <c r="K304" s="414">
        <v>0</v>
      </c>
      <c r="L304" s="744">
        <v>971522</v>
      </c>
      <c r="M304" s="414">
        <v>0</v>
      </c>
      <c r="N304" s="204">
        <v>0</v>
      </c>
      <c r="O304" s="204">
        <v>0</v>
      </c>
      <c r="P304" s="595">
        <v>328374</v>
      </c>
      <c r="Q304" s="595">
        <v>9716</v>
      </c>
      <c r="R304" s="601">
        <v>5772</v>
      </c>
      <c r="S304" s="415">
        <v>2.91</v>
      </c>
      <c r="T304" s="603">
        <v>0</v>
      </c>
      <c r="U304" s="731">
        <v>2.91</v>
      </c>
      <c r="V304" s="423">
        <f t="shared" si="422"/>
        <v>0</v>
      </c>
      <c r="W304" s="417">
        <f t="shared" si="423"/>
        <v>0</v>
      </c>
      <c r="X304" s="417">
        <v>0</v>
      </c>
      <c r="Y304" s="417">
        <v>0</v>
      </c>
      <c r="Z304" s="417">
        <v>0</v>
      </c>
      <c r="AA304" s="417">
        <v>-38610</v>
      </c>
      <c r="AB304" s="417">
        <v>0</v>
      </c>
      <c r="AC304" s="417">
        <v>0</v>
      </c>
      <c r="AD304" s="417">
        <v>0</v>
      </c>
      <c r="AE304" s="417">
        <f t="shared" si="424"/>
        <v>0</v>
      </c>
      <c r="AF304" s="417">
        <f t="shared" si="425"/>
        <v>-38610</v>
      </c>
      <c r="AG304" s="417">
        <f t="shared" si="426"/>
        <v>-38610</v>
      </c>
      <c r="AH304" s="417">
        <v>0</v>
      </c>
      <c r="AI304" s="417">
        <v>0</v>
      </c>
      <c r="AJ304" s="417">
        <v>0</v>
      </c>
      <c r="AK304" s="417">
        <v>0</v>
      </c>
      <c r="AL304" s="417">
        <v>0</v>
      </c>
      <c r="AM304" s="417">
        <f t="shared" si="427"/>
        <v>0</v>
      </c>
      <c r="AN304" s="417">
        <f t="shared" si="428"/>
        <v>0</v>
      </c>
      <c r="AO304" s="417">
        <f t="shared" si="429"/>
        <v>0</v>
      </c>
      <c r="AP304" s="417">
        <f t="shared" si="430"/>
        <v>0</v>
      </c>
      <c r="AQ304" s="417">
        <f t="shared" si="431"/>
        <v>-38610</v>
      </c>
      <c r="AR304" s="417">
        <f t="shared" si="432"/>
        <v>-38610</v>
      </c>
      <c r="AS304" s="68">
        <f t="shared" si="433"/>
        <v>-13050</v>
      </c>
      <c r="AT304" s="68">
        <f t="shared" si="434"/>
        <v>-386</v>
      </c>
      <c r="AU304" s="417">
        <v>0</v>
      </c>
      <c r="AV304" s="417">
        <v>0</v>
      </c>
      <c r="AW304" s="417">
        <v>0</v>
      </c>
      <c r="AX304" s="417">
        <f t="shared" si="435"/>
        <v>0</v>
      </c>
      <c r="AY304" s="417">
        <f t="shared" si="436"/>
        <v>-52046</v>
      </c>
      <c r="AZ304" s="418">
        <v>0</v>
      </c>
      <c r="BA304" s="418">
        <v>0</v>
      </c>
      <c r="BB304" s="418">
        <v>0</v>
      </c>
      <c r="BC304" s="418">
        <v>0</v>
      </c>
      <c r="BD304" s="418">
        <v>-0.11</v>
      </c>
      <c r="BE304" s="418">
        <v>0</v>
      </c>
      <c r="BF304" s="418">
        <v>0</v>
      </c>
      <c r="BG304" s="418">
        <v>0</v>
      </c>
      <c r="BH304" s="418">
        <v>0</v>
      </c>
      <c r="BI304" s="418">
        <f t="shared" si="437"/>
        <v>0</v>
      </c>
      <c r="BJ304" s="418">
        <f t="shared" si="438"/>
        <v>-0.11</v>
      </c>
      <c r="BK304" s="420">
        <f t="shared" si="439"/>
        <v>-0.11</v>
      </c>
      <c r="BL304" s="772">
        <f t="shared" si="479"/>
        <v>1263338</v>
      </c>
      <c r="BM304" s="417">
        <f t="shared" si="480"/>
        <v>932912</v>
      </c>
      <c r="BN304" s="417">
        <f t="shared" si="481"/>
        <v>0</v>
      </c>
      <c r="BO304" s="417">
        <f t="shared" si="481"/>
        <v>932912</v>
      </c>
      <c r="BP304" s="417">
        <f t="shared" si="482"/>
        <v>0</v>
      </c>
      <c r="BQ304" s="417">
        <f t="shared" si="483"/>
        <v>0</v>
      </c>
      <c r="BR304" s="417">
        <f t="shared" si="483"/>
        <v>0</v>
      </c>
      <c r="BS304" s="417">
        <f t="shared" si="484"/>
        <v>315324</v>
      </c>
      <c r="BT304" s="417">
        <f t="shared" si="484"/>
        <v>9330</v>
      </c>
      <c r="BU304" s="417">
        <f t="shared" si="485"/>
        <v>5772</v>
      </c>
      <c r="BV304" s="418">
        <f t="shared" si="486"/>
        <v>2.8000000000000003</v>
      </c>
      <c r="BW304" s="418">
        <f t="shared" si="487"/>
        <v>0</v>
      </c>
      <c r="BX304" s="420">
        <f t="shared" si="487"/>
        <v>2.8000000000000003</v>
      </c>
      <c r="BY304" s="419"/>
      <c r="BZ304" s="414"/>
      <c r="CA304" s="414"/>
      <c r="CB304" s="414"/>
      <c r="CC304" s="414"/>
      <c r="CD304" s="422"/>
      <c r="CE304" s="419">
        <f t="shared" si="440"/>
        <v>0</v>
      </c>
      <c r="CF304" s="414">
        <v>0</v>
      </c>
      <c r="CG304" s="414">
        <v>0</v>
      </c>
      <c r="CH304" s="414">
        <v>0</v>
      </c>
      <c r="CI304" s="414">
        <v>0</v>
      </c>
      <c r="CJ304" s="509">
        <v>0</v>
      </c>
      <c r="CK304" s="53"/>
      <c r="CL304" s="53"/>
    </row>
    <row r="305" spans="1:90" ht="14.1" customHeight="1">
      <c r="A305" s="66">
        <v>61</v>
      </c>
      <c r="B305" s="63">
        <v>2444</v>
      </c>
      <c r="C305" s="64">
        <v>600079848</v>
      </c>
      <c r="D305" s="63">
        <v>72742836</v>
      </c>
      <c r="E305" s="65" t="s">
        <v>657</v>
      </c>
      <c r="F305" s="66">
        <v>3143</v>
      </c>
      <c r="G305" s="77" t="s">
        <v>595</v>
      </c>
      <c r="H305" s="67" t="s">
        <v>271</v>
      </c>
      <c r="I305" s="419">
        <v>748171</v>
      </c>
      <c r="J305" s="414">
        <v>555023</v>
      </c>
      <c r="K305" s="414">
        <v>555023</v>
      </c>
      <c r="L305" s="414">
        <v>0</v>
      </c>
      <c r="M305" s="414">
        <v>0</v>
      </c>
      <c r="N305" s="414">
        <v>0</v>
      </c>
      <c r="O305" s="414">
        <v>0</v>
      </c>
      <c r="P305" s="595">
        <v>187598</v>
      </c>
      <c r="Q305" s="595">
        <v>5550</v>
      </c>
      <c r="R305" s="414">
        <v>0</v>
      </c>
      <c r="S305" s="415">
        <v>1</v>
      </c>
      <c r="T305" s="415">
        <v>1</v>
      </c>
      <c r="U305" s="422">
        <v>0</v>
      </c>
      <c r="V305" s="423">
        <f t="shared" si="422"/>
        <v>0</v>
      </c>
      <c r="W305" s="417">
        <f t="shared" si="423"/>
        <v>0</v>
      </c>
      <c r="X305" s="417">
        <v>0</v>
      </c>
      <c r="Y305" s="417">
        <v>0</v>
      </c>
      <c r="Z305" s="417">
        <v>0</v>
      </c>
      <c r="AA305" s="417">
        <v>0</v>
      </c>
      <c r="AB305" s="417">
        <v>0</v>
      </c>
      <c r="AC305" s="417">
        <v>0</v>
      </c>
      <c r="AD305" s="417">
        <v>0</v>
      </c>
      <c r="AE305" s="417">
        <f t="shared" si="424"/>
        <v>0</v>
      </c>
      <c r="AF305" s="417">
        <f t="shared" si="425"/>
        <v>0</v>
      </c>
      <c r="AG305" s="417">
        <f t="shared" si="426"/>
        <v>0</v>
      </c>
      <c r="AH305" s="417">
        <v>0</v>
      </c>
      <c r="AI305" s="417">
        <v>0</v>
      </c>
      <c r="AJ305" s="417">
        <v>0</v>
      </c>
      <c r="AK305" s="417">
        <v>0</v>
      </c>
      <c r="AL305" s="417">
        <v>0</v>
      </c>
      <c r="AM305" s="417">
        <f t="shared" si="427"/>
        <v>0</v>
      </c>
      <c r="AN305" s="417">
        <f t="shared" si="428"/>
        <v>0</v>
      </c>
      <c r="AO305" s="417">
        <f t="shared" si="429"/>
        <v>0</v>
      </c>
      <c r="AP305" s="417">
        <f t="shared" si="430"/>
        <v>0</v>
      </c>
      <c r="AQ305" s="417">
        <f t="shared" si="431"/>
        <v>0</v>
      </c>
      <c r="AR305" s="417">
        <f t="shared" si="432"/>
        <v>0</v>
      </c>
      <c r="AS305" s="68">
        <f t="shared" si="433"/>
        <v>0</v>
      </c>
      <c r="AT305" s="68">
        <f t="shared" si="434"/>
        <v>0</v>
      </c>
      <c r="AU305" s="417">
        <v>0</v>
      </c>
      <c r="AV305" s="417">
        <v>0</v>
      </c>
      <c r="AW305" s="417">
        <v>0</v>
      </c>
      <c r="AX305" s="417">
        <f t="shared" si="435"/>
        <v>0</v>
      </c>
      <c r="AY305" s="417">
        <f t="shared" si="436"/>
        <v>0</v>
      </c>
      <c r="AZ305" s="418">
        <v>0</v>
      </c>
      <c r="BA305" s="418">
        <v>0</v>
      </c>
      <c r="BB305" s="418">
        <v>0</v>
      </c>
      <c r="BC305" s="418">
        <v>0</v>
      </c>
      <c r="BD305" s="418">
        <v>0</v>
      </c>
      <c r="BE305" s="418">
        <v>0</v>
      </c>
      <c r="BF305" s="418">
        <v>0</v>
      </c>
      <c r="BG305" s="418">
        <v>0</v>
      </c>
      <c r="BH305" s="418">
        <v>0</v>
      </c>
      <c r="BI305" s="418">
        <f t="shared" si="437"/>
        <v>0</v>
      </c>
      <c r="BJ305" s="418">
        <f t="shared" si="438"/>
        <v>0</v>
      </c>
      <c r="BK305" s="420">
        <f t="shared" si="439"/>
        <v>0</v>
      </c>
      <c r="BL305" s="772">
        <f t="shared" si="479"/>
        <v>748171</v>
      </c>
      <c r="BM305" s="417">
        <f t="shared" si="480"/>
        <v>555023</v>
      </c>
      <c r="BN305" s="417">
        <f t="shared" si="481"/>
        <v>555023</v>
      </c>
      <c r="BO305" s="417">
        <f t="shared" si="481"/>
        <v>0</v>
      </c>
      <c r="BP305" s="417">
        <f t="shared" si="482"/>
        <v>0</v>
      </c>
      <c r="BQ305" s="417">
        <f t="shared" si="483"/>
        <v>0</v>
      </c>
      <c r="BR305" s="417">
        <f t="shared" si="483"/>
        <v>0</v>
      </c>
      <c r="BS305" s="417">
        <f t="shared" si="484"/>
        <v>187598</v>
      </c>
      <c r="BT305" s="417">
        <f t="shared" si="484"/>
        <v>5550</v>
      </c>
      <c r="BU305" s="417">
        <f t="shared" si="485"/>
        <v>0</v>
      </c>
      <c r="BV305" s="418">
        <f t="shared" si="486"/>
        <v>1</v>
      </c>
      <c r="BW305" s="418">
        <f t="shared" si="487"/>
        <v>1</v>
      </c>
      <c r="BX305" s="420">
        <f t="shared" si="487"/>
        <v>0</v>
      </c>
      <c r="BY305" s="419"/>
      <c r="BZ305" s="414"/>
      <c r="CA305" s="414"/>
      <c r="CB305" s="414"/>
      <c r="CC305" s="414"/>
      <c r="CD305" s="422"/>
      <c r="CE305" s="419">
        <f t="shared" si="440"/>
        <v>0</v>
      </c>
      <c r="CF305" s="414">
        <v>0</v>
      </c>
      <c r="CG305" s="414">
        <v>0</v>
      </c>
      <c r="CH305" s="414">
        <v>0</v>
      </c>
      <c r="CI305" s="414">
        <v>0</v>
      </c>
      <c r="CJ305" s="509">
        <v>0</v>
      </c>
      <c r="CK305" s="53"/>
      <c r="CL305" s="53"/>
    </row>
    <row r="306" spans="1:90" ht="14.1" customHeight="1">
      <c r="A306" s="66">
        <v>61</v>
      </c>
      <c r="B306" s="63">
        <v>2444</v>
      </c>
      <c r="C306" s="64">
        <v>600079848</v>
      </c>
      <c r="D306" s="63">
        <v>72742836</v>
      </c>
      <c r="E306" s="65" t="s">
        <v>657</v>
      </c>
      <c r="F306" s="66">
        <v>3143</v>
      </c>
      <c r="G306" s="77" t="s">
        <v>596</v>
      </c>
      <c r="H306" s="67" t="s">
        <v>272</v>
      </c>
      <c r="I306" s="419">
        <v>23052</v>
      </c>
      <c r="J306" s="414">
        <v>16500</v>
      </c>
      <c r="K306" s="414">
        <v>0</v>
      </c>
      <c r="L306" s="601">
        <v>16500</v>
      </c>
      <c r="M306" s="414">
        <v>0</v>
      </c>
      <c r="N306" s="414">
        <v>0</v>
      </c>
      <c r="O306" s="414">
        <v>0</v>
      </c>
      <c r="P306" s="595">
        <v>5577</v>
      </c>
      <c r="Q306" s="595">
        <v>165</v>
      </c>
      <c r="R306" s="602">
        <v>810</v>
      </c>
      <c r="S306" s="415">
        <v>6.1700000000000005E-2</v>
      </c>
      <c r="T306" s="605">
        <v>0</v>
      </c>
      <c r="U306" s="731">
        <v>6.1700000000000005E-2</v>
      </c>
      <c r="V306" s="423">
        <f t="shared" si="422"/>
        <v>0</v>
      </c>
      <c r="W306" s="417">
        <f t="shared" si="423"/>
        <v>0</v>
      </c>
      <c r="X306" s="417">
        <v>0</v>
      </c>
      <c r="Y306" s="417">
        <v>0</v>
      </c>
      <c r="Z306" s="417">
        <v>0</v>
      </c>
      <c r="AA306" s="417">
        <v>0</v>
      </c>
      <c r="AB306" s="417">
        <v>0</v>
      </c>
      <c r="AC306" s="417">
        <v>0</v>
      </c>
      <c r="AD306" s="417">
        <v>0</v>
      </c>
      <c r="AE306" s="417">
        <f t="shared" si="424"/>
        <v>0</v>
      </c>
      <c r="AF306" s="417">
        <f t="shared" si="425"/>
        <v>0</v>
      </c>
      <c r="AG306" s="417">
        <f t="shared" si="426"/>
        <v>0</v>
      </c>
      <c r="AH306" s="417">
        <v>0</v>
      </c>
      <c r="AI306" s="417">
        <v>0</v>
      </c>
      <c r="AJ306" s="417">
        <v>0</v>
      </c>
      <c r="AK306" s="417">
        <v>0</v>
      </c>
      <c r="AL306" s="417">
        <v>0</v>
      </c>
      <c r="AM306" s="417">
        <f t="shared" si="427"/>
        <v>0</v>
      </c>
      <c r="AN306" s="417">
        <f t="shared" si="428"/>
        <v>0</v>
      </c>
      <c r="AO306" s="417">
        <f t="shared" si="429"/>
        <v>0</v>
      </c>
      <c r="AP306" s="417">
        <f t="shared" si="430"/>
        <v>0</v>
      </c>
      <c r="AQ306" s="417">
        <f t="shared" si="431"/>
        <v>0</v>
      </c>
      <c r="AR306" s="417">
        <f t="shared" si="432"/>
        <v>0</v>
      </c>
      <c r="AS306" s="68">
        <f t="shared" si="433"/>
        <v>0</v>
      </c>
      <c r="AT306" s="68">
        <f t="shared" si="434"/>
        <v>0</v>
      </c>
      <c r="AU306" s="417">
        <v>0</v>
      </c>
      <c r="AV306" s="417">
        <v>0</v>
      </c>
      <c r="AW306" s="417">
        <v>0</v>
      </c>
      <c r="AX306" s="417">
        <f t="shared" si="435"/>
        <v>0</v>
      </c>
      <c r="AY306" s="417">
        <f t="shared" si="436"/>
        <v>0</v>
      </c>
      <c r="AZ306" s="418">
        <v>0</v>
      </c>
      <c r="BA306" s="418">
        <v>0</v>
      </c>
      <c r="BB306" s="418">
        <v>0</v>
      </c>
      <c r="BC306" s="418">
        <v>0</v>
      </c>
      <c r="BD306" s="418">
        <v>0</v>
      </c>
      <c r="BE306" s="418">
        <v>0</v>
      </c>
      <c r="BF306" s="418">
        <v>0</v>
      </c>
      <c r="BG306" s="418">
        <v>0</v>
      </c>
      <c r="BH306" s="418">
        <v>0</v>
      </c>
      <c r="BI306" s="418">
        <f t="shared" si="437"/>
        <v>0</v>
      </c>
      <c r="BJ306" s="418">
        <f t="shared" si="438"/>
        <v>0</v>
      </c>
      <c r="BK306" s="420">
        <f t="shared" si="439"/>
        <v>0</v>
      </c>
      <c r="BL306" s="772">
        <f t="shared" si="479"/>
        <v>23052</v>
      </c>
      <c r="BM306" s="417">
        <f t="shared" si="480"/>
        <v>16500</v>
      </c>
      <c r="BN306" s="417">
        <f t="shared" si="481"/>
        <v>0</v>
      </c>
      <c r="BO306" s="417">
        <f t="shared" si="481"/>
        <v>16500</v>
      </c>
      <c r="BP306" s="417">
        <f t="shared" si="482"/>
        <v>0</v>
      </c>
      <c r="BQ306" s="417">
        <f t="shared" si="483"/>
        <v>0</v>
      </c>
      <c r="BR306" s="417">
        <f t="shared" si="483"/>
        <v>0</v>
      </c>
      <c r="BS306" s="417">
        <f t="shared" si="484"/>
        <v>5577</v>
      </c>
      <c r="BT306" s="417">
        <f t="shared" si="484"/>
        <v>165</v>
      </c>
      <c r="BU306" s="417">
        <f t="shared" si="485"/>
        <v>810</v>
      </c>
      <c r="BV306" s="418">
        <f t="shared" si="486"/>
        <v>6.1700000000000005E-2</v>
      </c>
      <c r="BW306" s="418">
        <f t="shared" si="487"/>
        <v>0</v>
      </c>
      <c r="BX306" s="420">
        <f t="shared" si="487"/>
        <v>6.1700000000000005E-2</v>
      </c>
      <c r="BY306" s="419"/>
      <c r="BZ306" s="414"/>
      <c r="CA306" s="414"/>
      <c r="CB306" s="414"/>
      <c r="CC306" s="414"/>
      <c r="CD306" s="422"/>
      <c r="CE306" s="419">
        <f t="shared" si="440"/>
        <v>0</v>
      </c>
      <c r="CF306" s="414">
        <v>0</v>
      </c>
      <c r="CG306" s="414">
        <v>0</v>
      </c>
      <c r="CH306" s="414">
        <v>0</v>
      </c>
      <c r="CI306" s="414">
        <v>0</v>
      </c>
      <c r="CJ306" s="509">
        <v>0</v>
      </c>
      <c r="CK306" s="53"/>
      <c r="CL306" s="53"/>
    </row>
    <row r="307" spans="1:90" ht="14.1" customHeight="1">
      <c r="A307" s="72">
        <v>61</v>
      </c>
      <c r="B307" s="69">
        <v>2444</v>
      </c>
      <c r="C307" s="70">
        <v>600079848</v>
      </c>
      <c r="D307" s="69">
        <v>72742836</v>
      </c>
      <c r="E307" s="71" t="s">
        <v>658</v>
      </c>
      <c r="F307" s="72"/>
      <c r="G307" s="71"/>
      <c r="H307" s="73"/>
      <c r="I307" s="516">
        <v>12343819</v>
      </c>
      <c r="J307" s="74">
        <v>9043150</v>
      </c>
      <c r="K307" s="74">
        <v>7157405</v>
      </c>
      <c r="L307" s="74">
        <v>1885745</v>
      </c>
      <c r="M307" s="74">
        <v>21000</v>
      </c>
      <c r="N307" s="74">
        <v>21000</v>
      </c>
      <c r="O307" s="74">
        <v>0</v>
      </c>
      <c r="P307" s="74">
        <v>3063680</v>
      </c>
      <c r="Q307" s="74">
        <v>90432</v>
      </c>
      <c r="R307" s="74">
        <v>125557</v>
      </c>
      <c r="S307" s="75">
        <v>18.7392</v>
      </c>
      <c r="T307" s="75">
        <v>12.950000000000001</v>
      </c>
      <c r="U307" s="653">
        <v>5.7892000000000001</v>
      </c>
      <c r="V307" s="516">
        <f t="shared" ref="V307:BX307" si="488">SUM(V301:V306)</f>
        <v>1000</v>
      </c>
      <c r="W307" s="74">
        <f t="shared" si="488"/>
        <v>-20000</v>
      </c>
      <c r="X307" s="74">
        <f t="shared" si="488"/>
        <v>99912</v>
      </c>
      <c r="Y307" s="74">
        <f t="shared" si="488"/>
        <v>0</v>
      </c>
      <c r="Z307" s="74">
        <f t="shared" si="488"/>
        <v>0</v>
      </c>
      <c r="AA307" s="74">
        <f t="shared" si="488"/>
        <v>-38610</v>
      </c>
      <c r="AB307" s="74">
        <f t="shared" si="488"/>
        <v>0</v>
      </c>
      <c r="AC307" s="74">
        <f t="shared" si="488"/>
        <v>0</v>
      </c>
      <c r="AD307" s="74">
        <f t="shared" si="488"/>
        <v>0</v>
      </c>
      <c r="AE307" s="74">
        <f t="shared" si="488"/>
        <v>100912</v>
      </c>
      <c r="AF307" s="74">
        <f t="shared" si="488"/>
        <v>-58610</v>
      </c>
      <c r="AG307" s="74">
        <f t="shared" si="488"/>
        <v>42302</v>
      </c>
      <c r="AH307" s="74">
        <f t="shared" si="488"/>
        <v>-1000</v>
      </c>
      <c r="AI307" s="74">
        <f t="shared" si="488"/>
        <v>20000</v>
      </c>
      <c r="AJ307" s="74">
        <f t="shared" si="488"/>
        <v>0</v>
      </c>
      <c r="AK307" s="74">
        <f t="shared" si="488"/>
        <v>0</v>
      </c>
      <c r="AL307" s="74">
        <f t="shared" si="488"/>
        <v>0</v>
      </c>
      <c r="AM307" s="74">
        <f t="shared" si="488"/>
        <v>-1000</v>
      </c>
      <c r="AN307" s="74">
        <f t="shared" si="488"/>
        <v>20000</v>
      </c>
      <c r="AO307" s="74">
        <f t="shared" si="488"/>
        <v>19000</v>
      </c>
      <c r="AP307" s="74">
        <f t="shared" si="488"/>
        <v>99912</v>
      </c>
      <c r="AQ307" s="74">
        <f t="shared" si="488"/>
        <v>-38610</v>
      </c>
      <c r="AR307" s="74">
        <f t="shared" si="488"/>
        <v>61302</v>
      </c>
      <c r="AS307" s="74">
        <f t="shared" si="488"/>
        <v>20720</v>
      </c>
      <c r="AT307" s="74">
        <f t="shared" si="488"/>
        <v>423</v>
      </c>
      <c r="AU307" s="74">
        <f t="shared" si="488"/>
        <v>0</v>
      </c>
      <c r="AV307" s="74">
        <f t="shared" si="488"/>
        <v>0</v>
      </c>
      <c r="AW307" s="74">
        <f t="shared" si="488"/>
        <v>0</v>
      </c>
      <c r="AX307" s="74">
        <f t="shared" si="488"/>
        <v>0</v>
      </c>
      <c r="AY307" s="74">
        <f t="shared" si="488"/>
        <v>82445</v>
      </c>
      <c r="AZ307" s="75">
        <f t="shared" si="488"/>
        <v>0</v>
      </c>
      <c r="BA307" s="75">
        <f t="shared" si="488"/>
        <v>-0.06</v>
      </c>
      <c r="BB307" s="75">
        <f t="shared" si="488"/>
        <v>0.33</v>
      </c>
      <c r="BC307" s="75">
        <f t="shared" si="488"/>
        <v>0</v>
      </c>
      <c r="BD307" s="75">
        <f t="shared" si="488"/>
        <v>-0.11</v>
      </c>
      <c r="BE307" s="75">
        <f t="shared" si="488"/>
        <v>0</v>
      </c>
      <c r="BF307" s="75">
        <f t="shared" si="488"/>
        <v>0</v>
      </c>
      <c r="BG307" s="75">
        <f t="shared" si="488"/>
        <v>0</v>
      </c>
      <c r="BH307" s="75">
        <f t="shared" si="488"/>
        <v>0</v>
      </c>
      <c r="BI307" s="75">
        <f t="shared" si="488"/>
        <v>0.33</v>
      </c>
      <c r="BJ307" s="75">
        <f t="shared" si="488"/>
        <v>-0.16999999999999998</v>
      </c>
      <c r="BK307" s="76">
        <f t="shared" si="488"/>
        <v>0.16000000000000003</v>
      </c>
      <c r="BL307" s="781">
        <f t="shared" si="488"/>
        <v>12426264</v>
      </c>
      <c r="BM307" s="74">
        <f t="shared" si="488"/>
        <v>9085452</v>
      </c>
      <c r="BN307" s="74">
        <f t="shared" si="488"/>
        <v>7258317</v>
      </c>
      <c r="BO307" s="74">
        <f t="shared" si="488"/>
        <v>1827135</v>
      </c>
      <c r="BP307" s="74">
        <f t="shared" si="488"/>
        <v>40000</v>
      </c>
      <c r="BQ307" s="74">
        <f t="shared" si="488"/>
        <v>20000</v>
      </c>
      <c r="BR307" s="74">
        <f t="shared" si="488"/>
        <v>20000</v>
      </c>
      <c r="BS307" s="74">
        <f t="shared" si="488"/>
        <v>3084400</v>
      </c>
      <c r="BT307" s="74">
        <f t="shared" si="488"/>
        <v>90855</v>
      </c>
      <c r="BU307" s="74">
        <f t="shared" si="488"/>
        <v>125557</v>
      </c>
      <c r="BV307" s="75">
        <f t="shared" si="488"/>
        <v>18.8992</v>
      </c>
      <c r="BW307" s="75">
        <f t="shared" si="488"/>
        <v>13.280000000000001</v>
      </c>
      <c r="BX307" s="76">
        <f t="shared" si="488"/>
        <v>5.6192000000000011</v>
      </c>
      <c r="BY307" s="791">
        <f t="shared" ref="BY307:CJ307" si="489">SUM(BY301:BY306)</f>
        <v>0</v>
      </c>
      <c r="BZ307" s="679">
        <f t="shared" si="489"/>
        <v>0</v>
      </c>
      <c r="CA307" s="679">
        <f t="shared" si="489"/>
        <v>0</v>
      </c>
      <c r="CB307" s="679">
        <f t="shared" si="489"/>
        <v>0</v>
      </c>
      <c r="CC307" s="679">
        <f t="shared" si="489"/>
        <v>0</v>
      </c>
      <c r="CD307" s="947">
        <f t="shared" si="489"/>
        <v>0</v>
      </c>
      <c r="CE307" s="956">
        <f t="shared" si="489"/>
        <v>410673</v>
      </c>
      <c r="CF307" s="953">
        <f t="shared" si="489"/>
        <v>288132</v>
      </c>
      <c r="CG307" s="953">
        <f t="shared" si="489"/>
        <v>97389</v>
      </c>
      <c r="CH307" s="953">
        <f t="shared" si="489"/>
        <v>2881</v>
      </c>
      <c r="CI307" s="953">
        <f t="shared" si="489"/>
        <v>22271</v>
      </c>
      <c r="CJ307" s="877">
        <f t="shared" si="489"/>
        <v>0.9043000000000001</v>
      </c>
      <c r="CK307" s="53"/>
      <c r="CL307" s="53"/>
    </row>
    <row r="308" spans="1:90" ht="14.1" customHeight="1">
      <c r="A308" s="66">
        <v>62</v>
      </c>
      <c r="B308" s="63">
        <v>2457</v>
      </c>
      <c r="C308" s="64">
        <v>650021479</v>
      </c>
      <c r="D308" s="63">
        <v>72742577</v>
      </c>
      <c r="E308" s="65" t="s">
        <v>659</v>
      </c>
      <c r="F308" s="66">
        <v>3111</v>
      </c>
      <c r="G308" s="65" t="s">
        <v>290</v>
      </c>
      <c r="H308" s="67" t="s">
        <v>271</v>
      </c>
      <c r="I308" s="419">
        <v>1480894</v>
      </c>
      <c r="J308" s="414">
        <v>1093542</v>
      </c>
      <c r="K308" s="414">
        <v>1005333</v>
      </c>
      <c r="L308" s="414">
        <v>88209</v>
      </c>
      <c r="M308" s="414">
        <v>0</v>
      </c>
      <c r="N308" s="414">
        <v>0</v>
      </c>
      <c r="O308" s="414">
        <v>0</v>
      </c>
      <c r="P308" s="595">
        <v>369617</v>
      </c>
      <c r="Q308" s="595">
        <v>10935</v>
      </c>
      <c r="R308" s="414">
        <v>6800</v>
      </c>
      <c r="S308" s="415">
        <v>2.2533999999999996</v>
      </c>
      <c r="T308" s="415">
        <v>1.9</v>
      </c>
      <c r="U308" s="422">
        <v>0.35339999999999999</v>
      </c>
      <c r="V308" s="423">
        <f t="shared" si="422"/>
        <v>0</v>
      </c>
      <c r="W308" s="417">
        <f t="shared" si="423"/>
        <v>0</v>
      </c>
      <c r="X308" s="417">
        <v>0</v>
      </c>
      <c r="Y308" s="417">
        <v>0</v>
      </c>
      <c r="Z308" s="417">
        <v>0</v>
      </c>
      <c r="AA308" s="417">
        <v>0</v>
      </c>
      <c r="AB308" s="417">
        <v>0</v>
      </c>
      <c r="AC308" s="417">
        <v>0</v>
      </c>
      <c r="AD308" s="417">
        <v>0</v>
      </c>
      <c r="AE308" s="417">
        <f t="shared" si="424"/>
        <v>0</v>
      </c>
      <c r="AF308" s="417">
        <f t="shared" si="425"/>
        <v>0</v>
      </c>
      <c r="AG308" s="417">
        <f t="shared" si="426"/>
        <v>0</v>
      </c>
      <c r="AH308" s="417">
        <v>0</v>
      </c>
      <c r="AI308" s="417">
        <v>0</v>
      </c>
      <c r="AJ308" s="417">
        <v>0</v>
      </c>
      <c r="AK308" s="417">
        <v>0</v>
      </c>
      <c r="AL308" s="417">
        <v>0</v>
      </c>
      <c r="AM308" s="417">
        <f t="shared" si="427"/>
        <v>0</v>
      </c>
      <c r="AN308" s="417">
        <f t="shared" si="428"/>
        <v>0</v>
      </c>
      <c r="AO308" s="417">
        <f t="shared" si="429"/>
        <v>0</v>
      </c>
      <c r="AP308" s="417">
        <f t="shared" si="430"/>
        <v>0</v>
      </c>
      <c r="AQ308" s="417">
        <f t="shared" si="431"/>
        <v>0</v>
      </c>
      <c r="AR308" s="417">
        <f t="shared" si="432"/>
        <v>0</v>
      </c>
      <c r="AS308" s="68">
        <f t="shared" si="433"/>
        <v>0</v>
      </c>
      <c r="AT308" s="68">
        <f t="shared" si="434"/>
        <v>0</v>
      </c>
      <c r="AU308" s="417">
        <v>0</v>
      </c>
      <c r="AV308" s="417">
        <v>0</v>
      </c>
      <c r="AW308" s="417">
        <v>0</v>
      </c>
      <c r="AX308" s="417">
        <f t="shared" si="435"/>
        <v>0</v>
      </c>
      <c r="AY308" s="417">
        <f t="shared" si="436"/>
        <v>0</v>
      </c>
      <c r="AZ308" s="418">
        <v>0</v>
      </c>
      <c r="BA308" s="418">
        <v>0</v>
      </c>
      <c r="BB308" s="418">
        <v>0</v>
      </c>
      <c r="BC308" s="418">
        <v>0</v>
      </c>
      <c r="BD308" s="418">
        <v>0</v>
      </c>
      <c r="BE308" s="418">
        <v>0</v>
      </c>
      <c r="BF308" s="418">
        <v>0</v>
      </c>
      <c r="BG308" s="418">
        <v>0</v>
      </c>
      <c r="BH308" s="418">
        <v>0</v>
      </c>
      <c r="BI308" s="418">
        <f t="shared" si="437"/>
        <v>0</v>
      </c>
      <c r="BJ308" s="418">
        <f t="shared" si="438"/>
        <v>0</v>
      </c>
      <c r="BK308" s="420">
        <f t="shared" si="439"/>
        <v>0</v>
      </c>
      <c r="BL308" s="772">
        <f t="shared" ref="BL308:BL313" si="490">I308+AY308</f>
        <v>1480894</v>
      </c>
      <c r="BM308" s="417">
        <f t="shared" ref="BM308:BM313" si="491">J308+AG308</f>
        <v>1093542</v>
      </c>
      <c r="BN308" s="417">
        <f t="shared" ref="BN308:BO313" si="492">K308+AE308</f>
        <v>1005333</v>
      </c>
      <c r="BO308" s="417">
        <f t="shared" si="492"/>
        <v>88209</v>
      </c>
      <c r="BP308" s="417">
        <f t="shared" ref="BP308:BP313" si="493">M308+AO308</f>
        <v>0</v>
      </c>
      <c r="BQ308" s="417">
        <f t="shared" ref="BQ308:BR313" si="494">N308+AM308</f>
        <v>0</v>
      </c>
      <c r="BR308" s="417">
        <f t="shared" si="494"/>
        <v>0</v>
      </c>
      <c r="BS308" s="417">
        <f t="shared" ref="BS308:BT313" si="495">P308+AS308</f>
        <v>369617</v>
      </c>
      <c r="BT308" s="417">
        <f t="shared" si="495"/>
        <v>10935</v>
      </c>
      <c r="BU308" s="417">
        <f t="shared" ref="BU308:BU313" si="496">R308+AX308</f>
        <v>6800</v>
      </c>
      <c r="BV308" s="418">
        <f t="shared" ref="BV308:BV313" si="497">S308+BK308</f>
        <v>2.2533999999999996</v>
      </c>
      <c r="BW308" s="418">
        <f t="shared" ref="BW308:BX313" si="498">T308+BI308</f>
        <v>1.9</v>
      </c>
      <c r="BX308" s="420">
        <f t="shared" si="498"/>
        <v>0.35339999999999999</v>
      </c>
      <c r="BY308" s="419"/>
      <c r="BZ308" s="414"/>
      <c r="CA308" s="414"/>
      <c r="CB308" s="414"/>
      <c r="CC308" s="414"/>
      <c r="CD308" s="422"/>
      <c r="CE308" s="419">
        <f t="shared" si="440"/>
        <v>40416</v>
      </c>
      <c r="CF308" s="414">
        <v>28305</v>
      </c>
      <c r="CG308" s="414">
        <f>ROUND(CF308*33.8%,0)</f>
        <v>9567</v>
      </c>
      <c r="CH308" s="414">
        <f>ROUND(CF308*1%,0)</f>
        <v>283</v>
      </c>
      <c r="CI308" s="414">
        <v>2261</v>
      </c>
      <c r="CJ308" s="509">
        <v>0.1134</v>
      </c>
      <c r="CK308" s="53"/>
      <c r="CL308" s="53"/>
    </row>
    <row r="309" spans="1:90" ht="14.1" customHeight="1">
      <c r="A309" s="66">
        <v>62</v>
      </c>
      <c r="B309" s="63">
        <v>2457</v>
      </c>
      <c r="C309" s="64">
        <v>650021479</v>
      </c>
      <c r="D309" s="63">
        <v>72742577</v>
      </c>
      <c r="E309" s="65" t="s">
        <v>659</v>
      </c>
      <c r="F309" s="66">
        <v>3117</v>
      </c>
      <c r="G309" s="81" t="s">
        <v>293</v>
      </c>
      <c r="H309" s="67" t="s">
        <v>271</v>
      </c>
      <c r="I309" s="419">
        <v>1763668</v>
      </c>
      <c r="J309" s="414">
        <v>1287569</v>
      </c>
      <c r="K309" s="414">
        <v>1067728</v>
      </c>
      <c r="L309" s="414">
        <v>219841</v>
      </c>
      <c r="M309" s="414">
        <v>0</v>
      </c>
      <c r="N309" s="414">
        <v>0</v>
      </c>
      <c r="O309" s="414">
        <v>0</v>
      </c>
      <c r="P309" s="595">
        <v>435198</v>
      </c>
      <c r="Q309" s="595">
        <v>12876</v>
      </c>
      <c r="R309" s="414">
        <v>28025</v>
      </c>
      <c r="S309" s="415">
        <v>2.1541999999999999</v>
      </c>
      <c r="T309" s="415">
        <v>1.5454000000000001</v>
      </c>
      <c r="U309" s="422">
        <v>0.60880000000000001</v>
      </c>
      <c r="V309" s="423">
        <f t="shared" si="422"/>
        <v>-5000</v>
      </c>
      <c r="W309" s="417">
        <f t="shared" si="423"/>
        <v>0</v>
      </c>
      <c r="X309" s="417">
        <v>0</v>
      </c>
      <c r="Y309" s="417">
        <v>0</v>
      </c>
      <c r="Z309" s="417">
        <v>0</v>
      </c>
      <c r="AA309" s="417">
        <v>0</v>
      </c>
      <c r="AB309" s="417">
        <v>0</v>
      </c>
      <c r="AC309" s="417">
        <v>0</v>
      </c>
      <c r="AD309" s="417">
        <v>0</v>
      </c>
      <c r="AE309" s="417">
        <f t="shared" si="424"/>
        <v>-5000</v>
      </c>
      <c r="AF309" s="417">
        <f t="shared" si="425"/>
        <v>0</v>
      </c>
      <c r="AG309" s="417">
        <f t="shared" si="426"/>
        <v>-5000</v>
      </c>
      <c r="AH309" s="417">
        <v>5000</v>
      </c>
      <c r="AI309" s="417">
        <v>0</v>
      </c>
      <c r="AJ309" s="417">
        <v>0</v>
      </c>
      <c r="AK309" s="417">
        <v>0</v>
      </c>
      <c r="AL309" s="417">
        <v>0</v>
      </c>
      <c r="AM309" s="417">
        <f t="shared" si="427"/>
        <v>5000</v>
      </c>
      <c r="AN309" s="417">
        <f t="shared" si="428"/>
        <v>0</v>
      </c>
      <c r="AO309" s="417">
        <f t="shared" si="429"/>
        <v>5000</v>
      </c>
      <c r="AP309" s="417">
        <f t="shared" si="430"/>
        <v>0</v>
      </c>
      <c r="AQ309" s="417">
        <f t="shared" si="431"/>
        <v>0</v>
      </c>
      <c r="AR309" s="417">
        <f t="shared" si="432"/>
        <v>0</v>
      </c>
      <c r="AS309" s="68">
        <f t="shared" si="433"/>
        <v>0</v>
      </c>
      <c r="AT309" s="68">
        <f t="shared" si="434"/>
        <v>-50</v>
      </c>
      <c r="AU309" s="417">
        <v>0</v>
      </c>
      <c r="AV309" s="417">
        <v>0</v>
      </c>
      <c r="AW309" s="417">
        <v>0</v>
      </c>
      <c r="AX309" s="417">
        <f t="shared" si="435"/>
        <v>0</v>
      </c>
      <c r="AY309" s="417">
        <f t="shared" si="436"/>
        <v>-50</v>
      </c>
      <c r="AZ309" s="418">
        <v>0</v>
      </c>
      <c r="BA309" s="418">
        <v>0</v>
      </c>
      <c r="BB309" s="418">
        <v>0</v>
      </c>
      <c r="BC309" s="418">
        <v>0</v>
      </c>
      <c r="BD309" s="418">
        <v>0</v>
      </c>
      <c r="BE309" s="418">
        <v>0</v>
      </c>
      <c r="BF309" s="418">
        <v>0</v>
      </c>
      <c r="BG309" s="418">
        <v>0</v>
      </c>
      <c r="BH309" s="418">
        <v>0</v>
      </c>
      <c r="BI309" s="418">
        <f t="shared" si="437"/>
        <v>0</v>
      </c>
      <c r="BJ309" s="418">
        <f t="shared" si="438"/>
        <v>0</v>
      </c>
      <c r="BK309" s="420">
        <f t="shared" si="439"/>
        <v>0</v>
      </c>
      <c r="BL309" s="772">
        <f t="shared" si="490"/>
        <v>1763618</v>
      </c>
      <c r="BM309" s="417">
        <f t="shared" si="491"/>
        <v>1282569</v>
      </c>
      <c r="BN309" s="417">
        <f t="shared" si="492"/>
        <v>1062728</v>
      </c>
      <c r="BO309" s="417">
        <f t="shared" si="492"/>
        <v>219841</v>
      </c>
      <c r="BP309" s="417">
        <f t="shared" si="493"/>
        <v>5000</v>
      </c>
      <c r="BQ309" s="417">
        <f t="shared" si="494"/>
        <v>5000</v>
      </c>
      <c r="BR309" s="417">
        <f t="shared" si="494"/>
        <v>0</v>
      </c>
      <c r="BS309" s="417">
        <f t="shared" si="495"/>
        <v>435198</v>
      </c>
      <c r="BT309" s="417">
        <f t="shared" si="495"/>
        <v>12826</v>
      </c>
      <c r="BU309" s="417">
        <f t="shared" si="496"/>
        <v>28025</v>
      </c>
      <c r="BV309" s="418">
        <f t="shared" si="497"/>
        <v>2.1541999999999999</v>
      </c>
      <c r="BW309" s="418">
        <f t="shared" si="498"/>
        <v>1.5454000000000001</v>
      </c>
      <c r="BX309" s="420">
        <f t="shared" si="498"/>
        <v>0.60880000000000001</v>
      </c>
      <c r="BY309" s="419"/>
      <c r="BZ309" s="414"/>
      <c r="CA309" s="414"/>
      <c r="CB309" s="414"/>
      <c r="CC309" s="414"/>
      <c r="CD309" s="422"/>
      <c r="CE309" s="419">
        <f t="shared" si="440"/>
        <v>100012</v>
      </c>
      <c r="CF309" s="414">
        <v>70556</v>
      </c>
      <c r="CG309" s="414">
        <v>23848</v>
      </c>
      <c r="CH309" s="414">
        <v>706</v>
      </c>
      <c r="CI309" s="414">
        <v>4902</v>
      </c>
      <c r="CJ309" s="509">
        <v>0.19539999999999996</v>
      </c>
      <c r="CK309" s="53"/>
      <c r="CL309" s="53"/>
    </row>
    <row r="310" spans="1:90" ht="14.1" customHeight="1">
      <c r="A310" s="66">
        <v>62</v>
      </c>
      <c r="B310" s="63">
        <v>2457</v>
      </c>
      <c r="C310" s="64">
        <v>650021479</v>
      </c>
      <c r="D310" s="63">
        <v>72742577</v>
      </c>
      <c r="E310" s="65" t="s">
        <v>659</v>
      </c>
      <c r="F310" s="66">
        <v>3117</v>
      </c>
      <c r="G310" s="77" t="s">
        <v>291</v>
      </c>
      <c r="H310" s="67" t="s">
        <v>272</v>
      </c>
      <c r="I310" s="419">
        <v>0</v>
      </c>
      <c r="J310" s="414">
        <v>0</v>
      </c>
      <c r="K310" s="414">
        <v>0</v>
      </c>
      <c r="L310" s="414">
        <v>0</v>
      </c>
      <c r="M310" s="414">
        <v>0</v>
      </c>
      <c r="N310" s="414">
        <v>0</v>
      </c>
      <c r="O310" s="414">
        <v>0</v>
      </c>
      <c r="P310" s="595">
        <v>0</v>
      </c>
      <c r="Q310" s="595">
        <v>0</v>
      </c>
      <c r="R310" s="414">
        <v>0</v>
      </c>
      <c r="S310" s="415">
        <v>0</v>
      </c>
      <c r="T310" s="416">
        <v>0</v>
      </c>
      <c r="U310" s="422">
        <v>0</v>
      </c>
      <c r="V310" s="423">
        <f t="shared" si="422"/>
        <v>0</v>
      </c>
      <c r="W310" s="417">
        <f t="shared" si="423"/>
        <v>0</v>
      </c>
      <c r="X310" s="417">
        <f>46350+30900</f>
        <v>77250</v>
      </c>
      <c r="Y310" s="417">
        <v>0</v>
      </c>
      <c r="Z310" s="417">
        <v>0</v>
      </c>
      <c r="AA310" s="417">
        <v>0</v>
      </c>
      <c r="AB310" s="417">
        <v>0</v>
      </c>
      <c r="AC310" s="417">
        <v>0</v>
      </c>
      <c r="AD310" s="417">
        <v>0</v>
      </c>
      <c r="AE310" s="417">
        <f t="shared" si="424"/>
        <v>77250</v>
      </c>
      <c r="AF310" s="417">
        <f t="shared" si="425"/>
        <v>0</v>
      </c>
      <c r="AG310" s="417">
        <f t="shared" si="426"/>
        <v>77250</v>
      </c>
      <c r="AH310" s="417">
        <v>0</v>
      </c>
      <c r="AI310" s="417">
        <v>0</v>
      </c>
      <c r="AJ310" s="417">
        <v>0</v>
      </c>
      <c r="AK310" s="417">
        <v>0</v>
      </c>
      <c r="AL310" s="417">
        <v>0</v>
      </c>
      <c r="AM310" s="417">
        <f t="shared" si="427"/>
        <v>0</v>
      </c>
      <c r="AN310" s="417">
        <f t="shared" si="428"/>
        <v>0</v>
      </c>
      <c r="AO310" s="417">
        <f t="shared" si="429"/>
        <v>0</v>
      </c>
      <c r="AP310" s="417">
        <f t="shared" si="430"/>
        <v>77250</v>
      </c>
      <c r="AQ310" s="417">
        <f t="shared" si="431"/>
        <v>0</v>
      </c>
      <c r="AR310" s="417">
        <f t="shared" si="432"/>
        <v>77250</v>
      </c>
      <c r="AS310" s="68">
        <f t="shared" si="433"/>
        <v>26111</v>
      </c>
      <c r="AT310" s="68">
        <f t="shared" si="434"/>
        <v>773</v>
      </c>
      <c r="AU310" s="417">
        <v>1500</v>
      </c>
      <c r="AV310" s="417">
        <v>0</v>
      </c>
      <c r="AW310" s="417">
        <v>0</v>
      </c>
      <c r="AX310" s="417">
        <f t="shared" si="435"/>
        <v>1500</v>
      </c>
      <c r="AY310" s="417">
        <f t="shared" si="436"/>
        <v>105634</v>
      </c>
      <c r="AZ310" s="418">
        <v>0</v>
      </c>
      <c r="BA310" s="418">
        <v>0</v>
      </c>
      <c r="BB310" s="418">
        <f>0.13+0.08</f>
        <v>0.21000000000000002</v>
      </c>
      <c r="BC310" s="418">
        <v>0</v>
      </c>
      <c r="BD310" s="418">
        <v>0</v>
      </c>
      <c r="BE310" s="418">
        <v>0</v>
      </c>
      <c r="BF310" s="418">
        <v>0</v>
      </c>
      <c r="BG310" s="418">
        <v>0</v>
      </c>
      <c r="BH310" s="418">
        <v>0</v>
      </c>
      <c r="BI310" s="418">
        <f t="shared" si="437"/>
        <v>0.21000000000000002</v>
      </c>
      <c r="BJ310" s="418">
        <f t="shared" si="438"/>
        <v>0</v>
      </c>
      <c r="BK310" s="420">
        <f t="shared" si="439"/>
        <v>0.21000000000000002</v>
      </c>
      <c r="BL310" s="772">
        <f t="shared" si="490"/>
        <v>105634</v>
      </c>
      <c r="BM310" s="417">
        <f t="shared" si="491"/>
        <v>77250</v>
      </c>
      <c r="BN310" s="417">
        <f t="shared" si="492"/>
        <v>77250</v>
      </c>
      <c r="BO310" s="417">
        <f t="shared" si="492"/>
        <v>0</v>
      </c>
      <c r="BP310" s="417">
        <f t="shared" si="493"/>
        <v>0</v>
      </c>
      <c r="BQ310" s="417">
        <f t="shared" si="494"/>
        <v>0</v>
      </c>
      <c r="BR310" s="417">
        <f t="shared" si="494"/>
        <v>0</v>
      </c>
      <c r="BS310" s="417">
        <f t="shared" si="495"/>
        <v>26111</v>
      </c>
      <c r="BT310" s="417">
        <f t="shared" si="495"/>
        <v>773</v>
      </c>
      <c r="BU310" s="417">
        <f t="shared" si="496"/>
        <v>1500</v>
      </c>
      <c r="BV310" s="418">
        <f t="shared" si="497"/>
        <v>0.21000000000000002</v>
      </c>
      <c r="BW310" s="418">
        <f t="shared" si="498"/>
        <v>0.21000000000000002</v>
      </c>
      <c r="BX310" s="420">
        <f t="shared" si="498"/>
        <v>0</v>
      </c>
      <c r="BY310" s="419"/>
      <c r="BZ310" s="414"/>
      <c r="CA310" s="414"/>
      <c r="CB310" s="414"/>
      <c r="CC310" s="414"/>
      <c r="CD310" s="422"/>
      <c r="CE310" s="419">
        <f t="shared" si="440"/>
        <v>0</v>
      </c>
      <c r="CF310" s="414">
        <v>0</v>
      </c>
      <c r="CG310" s="414">
        <v>0</v>
      </c>
      <c r="CH310" s="414">
        <v>0</v>
      </c>
      <c r="CI310" s="414">
        <v>0</v>
      </c>
      <c r="CJ310" s="509">
        <v>0</v>
      </c>
      <c r="CK310" s="53"/>
      <c r="CL310" s="53"/>
    </row>
    <row r="311" spans="1:90" ht="14.1" customHeight="1">
      <c r="A311" s="66">
        <v>62</v>
      </c>
      <c r="B311" s="63">
        <v>2457</v>
      </c>
      <c r="C311" s="64">
        <v>650021479</v>
      </c>
      <c r="D311" s="63">
        <v>72742577</v>
      </c>
      <c r="E311" s="65" t="s">
        <v>659</v>
      </c>
      <c r="F311" s="66">
        <v>3141</v>
      </c>
      <c r="G311" s="65" t="s">
        <v>294</v>
      </c>
      <c r="H311" s="67" t="s">
        <v>272</v>
      </c>
      <c r="I311" s="419">
        <v>544016</v>
      </c>
      <c r="J311" s="414">
        <v>367444</v>
      </c>
      <c r="K311" s="414">
        <v>0</v>
      </c>
      <c r="L311" s="744">
        <v>367444</v>
      </c>
      <c r="M311" s="414">
        <v>35000</v>
      </c>
      <c r="N311" s="204">
        <v>0</v>
      </c>
      <c r="O311" s="204">
        <v>35000</v>
      </c>
      <c r="P311" s="595">
        <v>136026</v>
      </c>
      <c r="Q311" s="595">
        <v>3674</v>
      </c>
      <c r="R311" s="601">
        <v>1872</v>
      </c>
      <c r="S311" s="415">
        <v>1.1067</v>
      </c>
      <c r="T311" s="603">
        <v>0</v>
      </c>
      <c r="U311" s="731">
        <v>1.1067</v>
      </c>
      <c r="V311" s="423">
        <f t="shared" si="422"/>
        <v>0</v>
      </c>
      <c r="W311" s="417">
        <f t="shared" si="423"/>
        <v>-30000</v>
      </c>
      <c r="X311" s="417">
        <v>0</v>
      </c>
      <c r="Y311" s="417">
        <v>0</v>
      </c>
      <c r="Z311" s="417">
        <v>0</v>
      </c>
      <c r="AA311" s="417">
        <v>-9751</v>
      </c>
      <c r="AB311" s="417">
        <v>0</v>
      </c>
      <c r="AC311" s="417">
        <v>0</v>
      </c>
      <c r="AD311" s="417">
        <v>0</v>
      </c>
      <c r="AE311" s="417">
        <f t="shared" si="424"/>
        <v>0</v>
      </c>
      <c r="AF311" s="417">
        <f t="shared" si="425"/>
        <v>-39751</v>
      </c>
      <c r="AG311" s="417">
        <f t="shared" si="426"/>
        <v>-39751</v>
      </c>
      <c r="AH311" s="417">
        <v>0</v>
      </c>
      <c r="AI311" s="417">
        <v>30000</v>
      </c>
      <c r="AJ311" s="417">
        <v>0</v>
      </c>
      <c r="AK311" s="417">
        <v>0</v>
      </c>
      <c r="AL311" s="417">
        <v>0</v>
      </c>
      <c r="AM311" s="417">
        <f t="shared" si="427"/>
        <v>0</v>
      </c>
      <c r="AN311" s="417">
        <f t="shared" si="428"/>
        <v>30000</v>
      </c>
      <c r="AO311" s="417">
        <f t="shared" si="429"/>
        <v>30000</v>
      </c>
      <c r="AP311" s="417">
        <f t="shared" si="430"/>
        <v>0</v>
      </c>
      <c r="AQ311" s="417">
        <f t="shared" si="431"/>
        <v>-9751</v>
      </c>
      <c r="AR311" s="417">
        <f t="shared" si="432"/>
        <v>-9751</v>
      </c>
      <c r="AS311" s="68">
        <f t="shared" si="433"/>
        <v>-3296</v>
      </c>
      <c r="AT311" s="68">
        <f t="shared" si="434"/>
        <v>-398</v>
      </c>
      <c r="AU311" s="417">
        <v>0</v>
      </c>
      <c r="AV311" s="417">
        <v>0</v>
      </c>
      <c r="AW311" s="417">
        <v>0</v>
      </c>
      <c r="AX311" s="417">
        <f t="shared" si="435"/>
        <v>0</v>
      </c>
      <c r="AY311" s="417">
        <f t="shared" si="436"/>
        <v>-13445</v>
      </c>
      <c r="AZ311" s="418">
        <v>0</v>
      </c>
      <c r="BA311" s="418">
        <v>-0.09</v>
      </c>
      <c r="BB311" s="418">
        <v>0</v>
      </c>
      <c r="BC311" s="418">
        <v>0</v>
      </c>
      <c r="BD311" s="418">
        <v>-0.03</v>
      </c>
      <c r="BE311" s="418">
        <v>0</v>
      </c>
      <c r="BF311" s="418">
        <v>0</v>
      </c>
      <c r="BG311" s="418">
        <v>0</v>
      </c>
      <c r="BH311" s="418">
        <v>0</v>
      </c>
      <c r="BI311" s="418">
        <f t="shared" si="437"/>
        <v>0</v>
      </c>
      <c r="BJ311" s="418">
        <f t="shared" si="438"/>
        <v>-0.12</v>
      </c>
      <c r="BK311" s="420">
        <f t="shared" si="439"/>
        <v>-0.12</v>
      </c>
      <c r="BL311" s="772">
        <f t="shared" si="490"/>
        <v>530571</v>
      </c>
      <c r="BM311" s="417">
        <f t="shared" si="491"/>
        <v>327693</v>
      </c>
      <c r="BN311" s="417">
        <f t="shared" si="492"/>
        <v>0</v>
      </c>
      <c r="BO311" s="417">
        <f t="shared" si="492"/>
        <v>327693</v>
      </c>
      <c r="BP311" s="417">
        <f t="shared" si="493"/>
        <v>65000</v>
      </c>
      <c r="BQ311" s="417">
        <f t="shared" si="494"/>
        <v>0</v>
      </c>
      <c r="BR311" s="417">
        <f t="shared" si="494"/>
        <v>65000</v>
      </c>
      <c r="BS311" s="417">
        <f t="shared" si="495"/>
        <v>132730</v>
      </c>
      <c r="BT311" s="417">
        <f t="shared" si="495"/>
        <v>3276</v>
      </c>
      <c r="BU311" s="417">
        <f t="shared" si="496"/>
        <v>1872</v>
      </c>
      <c r="BV311" s="418">
        <f t="shared" si="497"/>
        <v>0.98670000000000002</v>
      </c>
      <c r="BW311" s="418">
        <f t="shared" si="498"/>
        <v>0</v>
      </c>
      <c r="BX311" s="420">
        <f t="shared" si="498"/>
        <v>0.98670000000000002</v>
      </c>
      <c r="BY311" s="419"/>
      <c r="BZ311" s="414"/>
      <c r="CA311" s="414"/>
      <c r="CB311" s="414"/>
      <c r="CC311" s="414"/>
      <c r="CD311" s="422"/>
      <c r="CE311" s="419">
        <f t="shared" si="440"/>
        <v>0</v>
      </c>
      <c r="CF311" s="414">
        <v>0</v>
      </c>
      <c r="CG311" s="414">
        <v>0</v>
      </c>
      <c r="CH311" s="414">
        <v>0</v>
      </c>
      <c r="CI311" s="414">
        <v>0</v>
      </c>
      <c r="CJ311" s="509">
        <v>0</v>
      </c>
      <c r="CK311" s="53"/>
      <c r="CL311" s="53"/>
    </row>
    <row r="312" spans="1:90" ht="14.1" customHeight="1">
      <c r="A312" s="66">
        <v>62</v>
      </c>
      <c r="B312" s="63">
        <v>2457</v>
      </c>
      <c r="C312" s="64">
        <v>650021479</v>
      </c>
      <c r="D312" s="63">
        <v>72742577</v>
      </c>
      <c r="E312" s="65" t="s">
        <v>659</v>
      </c>
      <c r="F312" s="66">
        <v>3143</v>
      </c>
      <c r="G312" s="77" t="s">
        <v>595</v>
      </c>
      <c r="H312" s="67" t="s">
        <v>271</v>
      </c>
      <c r="I312" s="419">
        <v>68967</v>
      </c>
      <c r="J312" s="414">
        <v>51162</v>
      </c>
      <c r="K312" s="414">
        <v>51162</v>
      </c>
      <c r="L312" s="414">
        <v>0</v>
      </c>
      <c r="M312" s="414">
        <v>0</v>
      </c>
      <c r="N312" s="414">
        <v>0</v>
      </c>
      <c r="O312" s="414">
        <v>0</v>
      </c>
      <c r="P312" s="595">
        <v>17293</v>
      </c>
      <c r="Q312" s="595">
        <v>512</v>
      </c>
      <c r="R312" s="414">
        <v>0</v>
      </c>
      <c r="S312" s="415">
        <v>0.1</v>
      </c>
      <c r="T312" s="415">
        <v>0.1</v>
      </c>
      <c r="U312" s="422">
        <v>0</v>
      </c>
      <c r="V312" s="423">
        <f t="shared" si="422"/>
        <v>-5000</v>
      </c>
      <c r="W312" s="417">
        <f t="shared" si="423"/>
        <v>0</v>
      </c>
      <c r="X312" s="417">
        <v>0</v>
      </c>
      <c r="Y312" s="417">
        <v>0</v>
      </c>
      <c r="Z312" s="417">
        <v>0</v>
      </c>
      <c r="AA312" s="417">
        <v>0</v>
      </c>
      <c r="AB312" s="417">
        <v>0</v>
      </c>
      <c r="AC312" s="417">
        <v>0</v>
      </c>
      <c r="AD312" s="417">
        <v>0</v>
      </c>
      <c r="AE312" s="417">
        <f t="shared" si="424"/>
        <v>-5000</v>
      </c>
      <c r="AF312" s="417">
        <f t="shared" si="425"/>
        <v>0</v>
      </c>
      <c r="AG312" s="417">
        <f t="shared" si="426"/>
        <v>-5000</v>
      </c>
      <c r="AH312" s="417">
        <v>5000</v>
      </c>
      <c r="AI312" s="417">
        <v>0</v>
      </c>
      <c r="AJ312" s="417">
        <v>0</v>
      </c>
      <c r="AK312" s="417">
        <v>0</v>
      </c>
      <c r="AL312" s="417">
        <v>0</v>
      </c>
      <c r="AM312" s="417">
        <f t="shared" si="427"/>
        <v>5000</v>
      </c>
      <c r="AN312" s="417">
        <f t="shared" si="428"/>
        <v>0</v>
      </c>
      <c r="AO312" s="417">
        <f t="shared" si="429"/>
        <v>5000</v>
      </c>
      <c r="AP312" s="417">
        <f t="shared" si="430"/>
        <v>0</v>
      </c>
      <c r="AQ312" s="417">
        <f t="shared" si="431"/>
        <v>0</v>
      </c>
      <c r="AR312" s="417">
        <f t="shared" si="432"/>
        <v>0</v>
      </c>
      <c r="AS312" s="68">
        <f t="shared" si="433"/>
        <v>0</v>
      </c>
      <c r="AT312" s="68">
        <f t="shared" si="434"/>
        <v>-50</v>
      </c>
      <c r="AU312" s="417">
        <v>0</v>
      </c>
      <c r="AV312" s="417">
        <v>0</v>
      </c>
      <c r="AW312" s="417">
        <v>0</v>
      </c>
      <c r="AX312" s="417">
        <f t="shared" si="435"/>
        <v>0</v>
      </c>
      <c r="AY312" s="417">
        <f t="shared" si="436"/>
        <v>-50</v>
      </c>
      <c r="AZ312" s="418">
        <v>-0.01</v>
      </c>
      <c r="BA312" s="418">
        <v>0</v>
      </c>
      <c r="BB312" s="418">
        <v>0</v>
      </c>
      <c r="BC312" s="418">
        <v>0</v>
      </c>
      <c r="BD312" s="418">
        <v>0</v>
      </c>
      <c r="BE312" s="418">
        <v>0</v>
      </c>
      <c r="BF312" s="418">
        <v>0</v>
      </c>
      <c r="BG312" s="418">
        <v>0</v>
      </c>
      <c r="BH312" s="418">
        <v>0</v>
      </c>
      <c r="BI312" s="418">
        <f t="shared" si="437"/>
        <v>-0.01</v>
      </c>
      <c r="BJ312" s="418">
        <f t="shared" si="438"/>
        <v>0</v>
      </c>
      <c r="BK312" s="420">
        <f t="shared" si="439"/>
        <v>-0.01</v>
      </c>
      <c r="BL312" s="772">
        <f t="shared" si="490"/>
        <v>68917</v>
      </c>
      <c r="BM312" s="417">
        <f t="shared" si="491"/>
        <v>46162</v>
      </c>
      <c r="BN312" s="417">
        <f t="shared" si="492"/>
        <v>46162</v>
      </c>
      <c r="BO312" s="417">
        <f t="shared" si="492"/>
        <v>0</v>
      </c>
      <c r="BP312" s="417">
        <f t="shared" si="493"/>
        <v>5000</v>
      </c>
      <c r="BQ312" s="417">
        <f t="shared" si="494"/>
        <v>5000</v>
      </c>
      <c r="BR312" s="417">
        <f t="shared" si="494"/>
        <v>0</v>
      </c>
      <c r="BS312" s="417">
        <f t="shared" si="495"/>
        <v>17293</v>
      </c>
      <c r="BT312" s="417">
        <f t="shared" si="495"/>
        <v>462</v>
      </c>
      <c r="BU312" s="417">
        <f t="shared" si="496"/>
        <v>0</v>
      </c>
      <c r="BV312" s="418">
        <f t="shared" si="497"/>
        <v>9.0000000000000011E-2</v>
      </c>
      <c r="BW312" s="418">
        <f t="shared" si="498"/>
        <v>9.0000000000000011E-2</v>
      </c>
      <c r="BX312" s="420">
        <f t="shared" si="498"/>
        <v>0</v>
      </c>
      <c r="BY312" s="419"/>
      <c r="BZ312" s="414"/>
      <c r="CA312" s="414"/>
      <c r="CB312" s="414"/>
      <c r="CC312" s="414"/>
      <c r="CD312" s="422"/>
      <c r="CE312" s="419">
        <f t="shared" si="440"/>
        <v>0</v>
      </c>
      <c r="CF312" s="414">
        <v>0</v>
      </c>
      <c r="CG312" s="414">
        <v>0</v>
      </c>
      <c r="CH312" s="414">
        <v>0</v>
      </c>
      <c r="CI312" s="414">
        <v>0</v>
      </c>
      <c r="CJ312" s="509">
        <v>0</v>
      </c>
      <c r="CK312" s="53"/>
      <c r="CL312" s="53"/>
    </row>
    <row r="313" spans="1:90" ht="14.1" customHeight="1">
      <c r="A313" s="66">
        <v>62</v>
      </c>
      <c r="B313" s="63">
        <v>2457</v>
      </c>
      <c r="C313" s="64">
        <v>650021479</v>
      </c>
      <c r="D313" s="63">
        <v>72742577</v>
      </c>
      <c r="E313" s="65" t="s">
        <v>659</v>
      </c>
      <c r="F313" s="66">
        <v>3143</v>
      </c>
      <c r="G313" s="77" t="s">
        <v>596</v>
      </c>
      <c r="H313" s="67" t="s">
        <v>272</v>
      </c>
      <c r="I313" s="419">
        <v>11527</v>
      </c>
      <c r="J313" s="414">
        <v>8250</v>
      </c>
      <c r="K313" s="414">
        <v>0</v>
      </c>
      <c r="L313" s="601">
        <v>8250</v>
      </c>
      <c r="M313" s="414">
        <v>0</v>
      </c>
      <c r="N313" s="414">
        <v>0</v>
      </c>
      <c r="O313" s="414">
        <v>0</v>
      </c>
      <c r="P313" s="595">
        <v>2789</v>
      </c>
      <c r="Q313" s="595">
        <v>83</v>
      </c>
      <c r="R313" s="602">
        <v>405</v>
      </c>
      <c r="S313" s="415">
        <v>3.0800000000000001E-2</v>
      </c>
      <c r="T313" s="605">
        <v>0</v>
      </c>
      <c r="U313" s="731">
        <v>3.0800000000000001E-2</v>
      </c>
      <c r="V313" s="423">
        <f t="shared" si="422"/>
        <v>0</v>
      </c>
      <c r="W313" s="417">
        <f t="shared" si="423"/>
        <v>-1000</v>
      </c>
      <c r="X313" s="417">
        <v>0</v>
      </c>
      <c r="Y313" s="417">
        <v>0</v>
      </c>
      <c r="Z313" s="417">
        <v>0</v>
      </c>
      <c r="AA313" s="417">
        <v>0</v>
      </c>
      <c r="AB313" s="417">
        <v>0</v>
      </c>
      <c r="AC313" s="417">
        <v>0</v>
      </c>
      <c r="AD313" s="417">
        <v>0</v>
      </c>
      <c r="AE313" s="417">
        <f t="shared" si="424"/>
        <v>0</v>
      </c>
      <c r="AF313" s="417">
        <f t="shared" si="425"/>
        <v>-1000</v>
      </c>
      <c r="AG313" s="417">
        <f t="shared" si="426"/>
        <v>-1000</v>
      </c>
      <c r="AH313" s="417">
        <v>0</v>
      </c>
      <c r="AI313" s="417">
        <v>1000</v>
      </c>
      <c r="AJ313" s="417">
        <v>0</v>
      </c>
      <c r="AK313" s="417">
        <v>0</v>
      </c>
      <c r="AL313" s="417">
        <v>0</v>
      </c>
      <c r="AM313" s="417">
        <f t="shared" si="427"/>
        <v>0</v>
      </c>
      <c r="AN313" s="417">
        <f t="shared" si="428"/>
        <v>1000</v>
      </c>
      <c r="AO313" s="417">
        <f t="shared" si="429"/>
        <v>1000</v>
      </c>
      <c r="AP313" s="417">
        <f t="shared" si="430"/>
        <v>0</v>
      </c>
      <c r="AQ313" s="417">
        <f t="shared" si="431"/>
        <v>0</v>
      </c>
      <c r="AR313" s="417">
        <f t="shared" si="432"/>
        <v>0</v>
      </c>
      <c r="AS313" s="68">
        <f t="shared" si="433"/>
        <v>0</v>
      </c>
      <c r="AT313" s="68">
        <f t="shared" si="434"/>
        <v>-10</v>
      </c>
      <c r="AU313" s="417">
        <v>0</v>
      </c>
      <c r="AV313" s="417">
        <v>0</v>
      </c>
      <c r="AW313" s="417">
        <v>0</v>
      </c>
      <c r="AX313" s="417">
        <f t="shared" si="435"/>
        <v>0</v>
      </c>
      <c r="AY313" s="417">
        <f t="shared" si="436"/>
        <v>-10</v>
      </c>
      <c r="AZ313" s="418">
        <v>0</v>
      </c>
      <c r="BA313" s="418">
        <v>0</v>
      </c>
      <c r="BB313" s="418">
        <v>0</v>
      </c>
      <c r="BC313" s="418">
        <v>0</v>
      </c>
      <c r="BD313" s="418">
        <v>0</v>
      </c>
      <c r="BE313" s="418">
        <v>0</v>
      </c>
      <c r="BF313" s="418">
        <v>0</v>
      </c>
      <c r="BG313" s="418">
        <v>0</v>
      </c>
      <c r="BH313" s="418">
        <v>0</v>
      </c>
      <c r="BI313" s="418">
        <f t="shared" si="437"/>
        <v>0</v>
      </c>
      <c r="BJ313" s="418">
        <f t="shared" si="438"/>
        <v>0</v>
      </c>
      <c r="BK313" s="420">
        <f t="shared" si="439"/>
        <v>0</v>
      </c>
      <c r="BL313" s="772">
        <f t="shared" si="490"/>
        <v>11517</v>
      </c>
      <c r="BM313" s="417">
        <f t="shared" si="491"/>
        <v>7250</v>
      </c>
      <c r="BN313" s="417">
        <f t="shared" si="492"/>
        <v>0</v>
      </c>
      <c r="BO313" s="417">
        <f t="shared" si="492"/>
        <v>7250</v>
      </c>
      <c r="BP313" s="417">
        <f t="shared" si="493"/>
        <v>1000</v>
      </c>
      <c r="BQ313" s="417">
        <f t="shared" si="494"/>
        <v>0</v>
      </c>
      <c r="BR313" s="417">
        <f t="shared" si="494"/>
        <v>1000</v>
      </c>
      <c r="BS313" s="417">
        <f t="shared" si="495"/>
        <v>2789</v>
      </c>
      <c r="BT313" s="417">
        <f t="shared" si="495"/>
        <v>73</v>
      </c>
      <c r="BU313" s="417">
        <f t="shared" si="496"/>
        <v>405</v>
      </c>
      <c r="BV313" s="418">
        <f t="shared" si="497"/>
        <v>3.0800000000000001E-2</v>
      </c>
      <c r="BW313" s="418">
        <f t="shared" si="498"/>
        <v>0</v>
      </c>
      <c r="BX313" s="420">
        <f t="shared" si="498"/>
        <v>3.0800000000000001E-2</v>
      </c>
      <c r="BY313" s="419"/>
      <c r="BZ313" s="414"/>
      <c r="CA313" s="414"/>
      <c r="CB313" s="414"/>
      <c r="CC313" s="414"/>
      <c r="CD313" s="422"/>
      <c r="CE313" s="419">
        <f t="shared" si="440"/>
        <v>0</v>
      </c>
      <c r="CF313" s="414">
        <v>0</v>
      </c>
      <c r="CG313" s="414">
        <v>0</v>
      </c>
      <c r="CH313" s="414">
        <v>0</v>
      </c>
      <c r="CI313" s="414">
        <v>0</v>
      </c>
      <c r="CJ313" s="509">
        <v>0</v>
      </c>
      <c r="CK313" s="53"/>
      <c r="CL313" s="53"/>
    </row>
    <row r="314" spans="1:90" ht="14.1" customHeight="1">
      <c r="A314" s="72">
        <v>62</v>
      </c>
      <c r="B314" s="69">
        <v>2457</v>
      </c>
      <c r="C314" s="70">
        <v>650021479</v>
      </c>
      <c r="D314" s="69">
        <v>72742577</v>
      </c>
      <c r="E314" s="71" t="s">
        <v>660</v>
      </c>
      <c r="F314" s="72"/>
      <c r="G314" s="71"/>
      <c r="H314" s="73"/>
      <c r="I314" s="516">
        <v>3869072</v>
      </c>
      <c r="J314" s="74">
        <v>2807967</v>
      </c>
      <c r="K314" s="74">
        <v>2124223</v>
      </c>
      <c r="L314" s="74">
        <v>683744</v>
      </c>
      <c r="M314" s="74">
        <v>35000</v>
      </c>
      <c r="N314" s="74">
        <v>0</v>
      </c>
      <c r="O314" s="74">
        <v>35000</v>
      </c>
      <c r="P314" s="74">
        <v>960923</v>
      </c>
      <c r="Q314" s="74">
        <v>28080</v>
      </c>
      <c r="R314" s="74">
        <v>37102</v>
      </c>
      <c r="S314" s="75">
        <v>5.6450999999999993</v>
      </c>
      <c r="T314" s="75">
        <v>3.5454000000000003</v>
      </c>
      <c r="U314" s="653">
        <v>2.0997000000000003</v>
      </c>
      <c r="V314" s="516">
        <f t="shared" ref="V314:BX314" si="499">SUM(V308:V313)</f>
        <v>-10000</v>
      </c>
      <c r="W314" s="74">
        <f t="shared" si="499"/>
        <v>-31000</v>
      </c>
      <c r="X314" s="74">
        <f t="shared" si="499"/>
        <v>77250</v>
      </c>
      <c r="Y314" s="74">
        <f t="shared" si="499"/>
        <v>0</v>
      </c>
      <c r="Z314" s="74">
        <f t="shared" si="499"/>
        <v>0</v>
      </c>
      <c r="AA314" s="74">
        <f t="shared" si="499"/>
        <v>-9751</v>
      </c>
      <c r="AB314" s="74">
        <f t="shared" si="499"/>
        <v>0</v>
      </c>
      <c r="AC314" s="74">
        <f t="shared" si="499"/>
        <v>0</v>
      </c>
      <c r="AD314" s="74">
        <f t="shared" si="499"/>
        <v>0</v>
      </c>
      <c r="AE314" s="74">
        <f t="shared" si="499"/>
        <v>67250</v>
      </c>
      <c r="AF314" s="74">
        <f t="shared" si="499"/>
        <v>-40751</v>
      </c>
      <c r="AG314" s="74">
        <f t="shared" si="499"/>
        <v>26499</v>
      </c>
      <c r="AH314" s="74">
        <f t="shared" si="499"/>
        <v>10000</v>
      </c>
      <c r="AI314" s="74">
        <f t="shared" si="499"/>
        <v>31000</v>
      </c>
      <c r="AJ314" s="74">
        <f t="shared" si="499"/>
        <v>0</v>
      </c>
      <c r="AK314" s="74">
        <f t="shared" si="499"/>
        <v>0</v>
      </c>
      <c r="AL314" s="74">
        <f t="shared" si="499"/>
        <v>0</v>
      </c>
      <c r="AM314" s="74">
        <f t="shared" si="499"/>
        <v>10000</v>
      </c>
      <c r="AN314" s="74">
        <f t="shared" si="499"/>
        <v>31000</v>
      </c>
      <c r="AO314" s="74">
        <f t="shared" si="499"/>
        <v>41000</v>
      </c>
      <c r="AP314" s="74">
        <f t="shared" si="499"/>
        <v>77250</v>
      </c>
      <c r="AQ314" s="74">
        <f t="shared" si="499"/>
        <v>-9751</v>
      </c>
      <c r="AR314" s="74">
        <f t="shared" si="499"/>
        <v>67499</v>
      </c>
      <c r="AS314" s="74">
        <f t="shared" si="499"/>
        <v>22815</v>
      </c>
      <c r="AT314" s="74">
        <f t="shared" si="499"/>
        <v>265</v>
      </c>
      <c r="AU314" s="74">
        <f t="shared" si="499"/>
        <v>1500</v>
      </c>
      <c r="AV314" s="74">
        <f t="shared" si="499"/>
        <v>0</v>
      </c>
      <c r="AW314" s="74">
        <f t="shared" si="499"/>
        <v>0</v>
      </c>
      <c r="AX314" s="74">
        <f t="shared" si="499"/>
        <v>1500</v>
      </c>
      <c r="AY314" s="74">
        <f t="shared" si="499"/>
        <v>92079</v>
      </c>
      <c r="AZ314" s="75">
        <f t="shared" si="499"/>
        <v>-0.01</v>
      </c>
      <c r="BA314" s="75">
        <f t="shared" si="499"/>
        <v>-0.09</v>
      </c>
      <c r="BB314" s="75">
        <f t="shared" si="499"/>
        <v>0.21000000000000002</v>
      </c>
      <c r="BC314" s="75">
        <f t="shared" si="499"/>
        <v>0</v>
      </c>
      <c r="BD314" s="75">
        <f t="shared" si="499"/>
        <v>-0.03</v>
      </c>
      <c r="BE314" s="75">
        <f t="shared" si="499"/>
        <v>0</v>
      </c>
      <c r="BF314" s="75">
        <f t="shared" si="499"/>
        <v>0</v>
      </c>
      <c r="BG314" s="75">
        <f t="shared" si="499"/>
        <v>0</v>
      </c>
      <c r="BH314" s="75">
        <f t="shared" si="499"/>
        <v>0</v>
      </c>
      <c r="BI314" s="75">
        <f t="shared" si="499"/>
        <v>0.2</v>
      </c>
      <c r="BJ314" s="75">
        <f t="shared" si="499"/>
        <v>-0.12</v>
      </c>
      <c r="BK314" s="76">
        <f t="shared" si="499"/>
        <v>8.0000000000000029E-2</v>
      </c>
      <c r="BL314" s="781">
        <f t="shared" si="499"/>
        <v>3961151</v>
      </c>
      <c r="BM314" s="74">
        <f t="shared" si="499"/>
        <v>2834466</v>
      </c>
      <c r="BN314" s="74">
        <f t="shared" si="499"/>
        <v>2191473</v>
      </c>
      <c r="BO314" s="74">
        <f t="shared" si="499"/>
        <v>642993</v>
      </c>
      <c r="BP314" s="74">
        <f t="shared" si="499"/>
        <v>76000</v>
      </c>
      <c r="BQ314" s="74">
        <f t="shared" si="499"/>
        <v>10000</v>
      </c>
      <c r="BR314" s="74">
        <f t="shared" si="499"/>
        <v>66000</v>
      </c>
      <c r="BS314" s="74">
        <f t="shared" si="499"/>
        <v>983738</v>
      </c>
      <c r="BT314" s="74">
        <f t="shared" si="499"/>
        <v>28345</v>
      </c>
      <c r="BU314" s="74">
        <f t="shared" si="499"/>
        <v>38602</v>
      </c>
      <c r="BV314" s="75">
        <f t="shared" si="499"/>
        <v>5.7250999999999994</v>
      </c>
      <c r="BW314" s="75">
        <f t="shared" si="499"/>
        <v>3.7454000000000001</v>
      </c>
      <c r="BX314" s="76">
        <f t="shared" si="499"/>
        <v>1.9797</v>
      </c>
      <c r="BY314" s="791">
        <f t="shared" ref="BY314:CJ314" si="500">SUM(BY308:BY313)</f>
        <v>0</v>
      </c>
      <c r="BZ314" s="679">
        <f t="shared" si="500"/>
        <v>0</v>
      </c>
      <c r="CA314" s="679">
        <f t="shared" si="500"/>
        <v>0</v>
      </c>
      <c r="CB314" s="679">
        <f t="shared" si="500"/>
        <v>0</v>
      </c>
      <c r="CC314" s="679">
        <f t="shared" si="500"/>
        <v>0</v>
      </c>
      <c r="CD314" s="947">
        <f t="shared" si="500"/>
        <v>0</v>
      </c>
      <c r="CE314" s="956">
        <f t="shared" si="500"/>
        <v>140428</v>
      </c>
      <c r="CF314" s="953">
        <f t="shared" si="500"/>
        <v>98861</v>
      </c>
      <c r="CG314" s="953">
        <f t="shared" si="500"/>
        <v>33415</v>
      </c>
      <c r="CH314" s="953">
        <f t="shared" si="500"/>
        <v>989</v>
      </c>
      <c r="CI314" s="953">
        <f t="shared" si="500"/>
        <v>7163</v>
      </c>
      <c r="CJ314" s="877">
        <f t="shared" si="500"/>
        <v>0.30879999999999996</v>
      </c>
      <c r="CK314" s="53"/>
      <c r="CL314" s="53"/>
    </row>
    <row r="315" spans="1:90" ht="14.1" customHeight="1">
      <c r="A315" s="66">
        <v>63</v>
      </c>
      <c r="B315" s="63">
        <v>2403</v>
      </c>
      <c r="C315" s="64">
        <v>600078931</v>
      </c>
      <c r="D315" s="63">
        <v>72744324</v>
      </c>
      <c r="E315" s="65" t="s">
        <v>661</v>
      </c>
      <c r="F315" s="66">
        <v>3111</v>
      </c>
      <c r="G315" s="65" t="s">
        <v>290</v>
      </c>
      <c r="H315" s="67" t="s">
        <v>271</v>
      </c>
      <c r="I315" s="419">
        <v>7155150</v>
      </c>
      <c r="J315" s="414">
        <v>5283049</v>
      </c>
      <c r="K315" s="414">
        <v>4590684</v>
      </c>
      <c r="L315" s="414">
        <v>692365</v>
      </c>
      <c r="M315" s="414">
        <v>0</v>
      </c>
      <c r="N315" s="414">
        <v>0</v>
      </c>
      <c r="O315" s="414">
        <v>0</v>
      </c>
      <c r="P315" s="595">
        <v>1785670</v>
      </c>
      <c r="Q315" s="595">
        <v>52831</v>
      </c>
      <c r="R315" s="414">
        <v>33600</v>
      </c>
      <c r="S315" s="415">
        <v>10.3561</v>
      </c>
      <c r="T315" s="415">
        <v>8</v>
      </c>
      <c r="U315" s="422">
        <v>2.3560999999999996</v>
      </c>
      <c r="V315" s="423">
        <f t="shared" si="422"/>
        <v>0</v>
      </c>
      <c r="W315" s="417">
        <f t="shared" si="423"/>
        <v>0</v>
      </c>
      <c r="X315" s="417">
        <v>0</v>
      </c>
      <c r="Y315" s="417">
        <v>0</v>
      </c>
      <c r="Z315" s="417">
        <v>0</v>
      </c>
      <c r="AA315" s="417">
        <v>0</v>
      </c>
      <c r="AB315" s="417">
        <v>0</v>
      </c>
      <c r="AC315" s="417">
        <v>0</v>
      </c>
      <c r="AD315" s="417">
        <v>0</v>
      </c>
      <c r="AE315" s="417">
        <f t="shared" si="424"/>
        <v>0</v>
      </c>
      <c r="AF315" s="417">
        <f t="shared" si="425"/>
        <v>0</v>
      </c>
      <c r="AG315" s="417">
        <f t="shared" si="426"/>
        <v>0</v>
      </c>
      <c r="AH315" s="417">
        <v>0</v>
      </c>
      <c r="AI315" s="417">
        <v>0</v>
      </c>
      <c r="AJ315" s="417">
        <v>0</v>
      </c>
      <c r="AK315" s="417">
        <v>0</v>
      </c>
      <c r="AL315" s="417">
        <v>0</v>
      </c>
      <c r="AM315" s="417">
        <f t="shared" si="427"/>
        <v>0</v>
      </c>
      <c r="AN315" s="417">
        <f t="shared" si="428"/>
        <v>0</v>
      </c>
      <c r="AO315" s="417">
        <f t="shared" si="429"/>
        <v>0</v>
      </c>
      <c r="AP315" s="417">
        <f t="shared" si="430"/>
        <v>0</v>
      </c>
      <c r="AQ315" s="417">
        <f t="shared" si="431"/>
        <v>0</v>
      </c>
      <c r="AR315" s="417">
        <f t="shared" si="432"/>
        <v>0</v>
      </c>
      <c r="AS315" s="68">
        <f t="shared" si="433"/>
        <v>0</v>
      </c>
      <c r="AT315" s="68">
        <f t="shared" si="434"/>
        <v>0</v>
      </c>
      <c r="AU315" s="417">
        <v>0</v>
      </c>
      <c r="AV315" s="417">
        <v>0</v>
      </c>
      <c r="AW315" s="417">
        <v>0</v>
      </c>
      <c r="AX315" s="417">
        <f t="shared" si="435"/>
        <v>0</v>
      </c>
      <c r="AY315" s="417">
        <f t="shared" si="436"/>
        <v>0</v>
      </c>
      <c r="AZ315" s="418">
        <v>0</v>
      </c>
      <c r="BA315" s="418">
        <v>0</v>
      </c>
      <c r="BB315" s="418">
        <v>0</v>
      </c>
      <c r="BC315" s="418">
        <v>0</v>
      </c>
      <c r="BD315" s="418">
        <v>0</v>
      </c>
      <c r="BE315" s="418">
        <v>0</v>
      </c>
      <c r="BF315" s="418">
        <v>0</v>
      </c>
      <c r="BG315" s="418">
        <v>0</v>
      </c>
      <c r="BH315" s="418">
        <v>0</v>
      </c>
      <c r="BI315" s="418">
        <f t="shared" si="437"/>
        <v>0</v>
      </c>
      <c r="BJ315" s="418">
        <f t="shared" si="438"/>
        <v>0</v>
      </c>
      <c r="BK315" s="420">
        <f t="shared" si="439"/>
        <v>0</v>
      </c>
      <c r="BL315" s="772">
        <f>I315+AY315</f>
        <v>7155150</v>
      </c>
      <c r="BM315" s="417">
        <f>J315+AG315</f>
        <v>5283049</v>
      </c>
      <c r="BN315" s="417">
        <f t="shared" ref="BN315:BO317" si="501">K315+AE315</f>
        <v>4590684</v>
      </c>
      <c r="BO315" s="417">
        <f t="shared" si="501"/>
        <v>692365</v>
      </c>
      <c r="BP315" s="417">
        <f>M315+AO315</f>
        <v>0</v>
      </c>
      <c r="BQ315" s="417">
        <f t="shared" ref="BQ315:BR317" si="502">N315+AM315</f>
        <v>0</v>
      </c>
      <c r="BR315" s="417">
        <f t="shared" si="502"/>
        <v>0</v>
      </c>
      <c r="BS315" s="417">
        <f t="shared" ref="BS315:BT317" si="503">P315+AS315</f>
        <v>1785670</v>
      </c>
      <c r="BT315" s="417">
        <f t="shared" si="503"/>
        <v>52831</v>
      </c>
      <c r="BU315" s="417">
        <f>R315+AX315</f>
        <v>33600</v>
      </c>
      <c r="BV315" s="418">
        <f>S315+BK315</f>
        <v>10.3561</v>
      </c>
      <c r="BW315" s="418">
        <f t="shared" ref="BW315:BX317" si="504">T315+BI315</f>
        <v>8</v>
      </c>
      <c r="BX315" s="420">
        <f t="shared" si="504"/>
        <v>2.3560999999999996</v>
      </c>
      <c r="BY315" s="419"/>
      <c r="BZ315" s="414"/>
      <c r="CA315" s="414"/>
      <c r="CB315" s="414"/>
      <c r="CC315" s="414"/>
      <c r="CD315" s="422"/>
      <c r="CE315" s="419">
        <f t="shared" si="440"/>
        <v>310648</v>
      </c>
      <c r="CF315" s="414">
        <v>222163</v>
      </c>
      <c r="CG315" s="414">
        <v>75091</v>
      </c>
      <c r="CH315" s="414">
        <v>2222</v>
      </c>
      <c r="CI315" s="414">
        <v>11172</v>
      </c>
      <c r="CJ315" s="509">
        <v>0.75600000000000001</v>
      </c>
    </row>
    <row r="316" spans="1:90" ht="14.1" customHeight="1">
      <c r="A316" s="66">
        <v>63</v>
      </c>
      <c r="B316" s="63">
        <v>2403</v>
      </c>
      <c r="C316" s="64">
        <v>600078931</v>
      </c>
      <c r="D316" s="63">
        <v>72744324</v>
      </c>
      <c r="E316" s="65" t="s">
        <v>661</v>
      </c>
      <c r="F316" s="66">
        <v>3111</v>
      </c>
      <c r="G316" s="77" t="s">
        <v>291</v>
      </c>
      <c r="H316" s="67" t="s">
        <v>272</v>
      </c>
      <c r="I316" s="419">
        <v>1752063</v>
      </c>
      <c r="J316" s="414">
        <v>1295744</v>
      </c>
      <c r="K316" s="414">
        <v>1295744</v>
      </c>
      <c r="L316" s="414">
        <v>0</v>
      </c>
      <c r="M316" s="414">
        <v>0</v>
      </c>
      <c r="N316" s="414">
        <v>0</v>
      </c>
      <c r="O316" s="414">
        <v>0</v>
      </c>
      <c r="P316" s="595">
        <v>437962</v>
      </c>
      <c r="Q316" s="595">
        <v>12957</v>
      </c>
      <c r="R316" s="414">
        <v>5400</v>
      </c>
      <c r="S316" s="415">
        <v>3.58</v>
      </c>
      <c r="T316" s="416">
        <v>3.58</v>
      </c>
      <c r="U316" s="422">
        <v>0</v>
      </c>
      <c r="V316" s="423">
        <f t="shared" si="422"/>
        <v>0</v>
      </c>
      <c r="W316" s="417">
        <f t="shared" si="423"/>
        <v>0</v>
      </c>
      <c r="X316" s="417">
        <v>0</v>
      </c>
      <c r="Y316" s="417">
        <v>0</v>
      </c>
      <c r="Z316" s="417">
        <v>0</v>
      </c>
      <c r="AA316" s="417">
        <v>0</v>
      </c>
      <c r="AB316" s="417">
        <v>0</v>
      </c>
      <c r="AC316" s="417">
        <v>0</v>
      </c>
      <c r="AD316" s="417">
        <v>0</v>
      </c>
      <c r="AE316" s="417">
        <f t="shared" si="424"/>
        <v>0</v>
      </c>
      <c r="AF316" s="417">
        <f t="shared" si="425"/>
        <v>0</v>
      </c>
      <c r="AG316" s="417">
        <f t="shared" si="426"/>
        <v>0</v>
      </c>
      <c r="AH316" s="417">
        <v>0</v>
      </c>
      <c r="AI316" s="417">
        <v>0</v>
      </c>
      <c r="AJ316" s="417">
        <v>0</v>
      </c>
      <c r="AK316" s="417">
        <v>0</v>
      </c>
      <c r="AL316" s="417">
        <v>0</v>
      </c>
      <c r="AM316" s="417">
        <f t="shared" si="427"/>
        <v>0</v>
      </c>
      <c r="AN316" s="417">
        <f t="shared" si="428"/>
        <v>0</v>
      </c>
      <c r="AO316" s="417">
        <f t="shared" si="429"/>
        <v>0</v>
      </c>
      <c r="AP316" s="417">
        <f t="shared" si="430"/>
        <v>0</v>
      </c>
      <c r="AQ316" s="417">
        <f t="shared" si="431"/>
        <v>0</v>
      </c>
      <c r="AR316" s="417">
        <f t="shared" si="432"/>
        <v>0</v>
      </c>
      <c r="AS316" s="68">
        <f t="shared" si="433"/>
        <v>0</v>
      </c>
      <c r="AT316" s="68">
        <f t="shared" si="434"/>
        <v>0</v>
      </c>
      <c r="AU316" s="417">
        <v>0</v>
      </c>
      <c r="AV316" s="417">
        <v>0</v>
      </c>
      <c r="AW316" s="417">
        <v>0</v>
      </c>
      <c r="AX316" s="417">
        <f t="shared" si="435"/>
        <v>0</v>
      </c>
      <c r="AY316" s="417">
        <f t="shared" si="436"/>
        <v>0</v>
      </c>
      <c r="AZ316" s="418">
        <v>0</v>
      </c>
      <c r="BA316" s="418">
        <v>0</v>
      </c>
      <c r="BB316" s="418">
        <v>0</v>
      </c>
      <c r="BC316" s="418">
        <v>0</v>
      </c>
      <c r="BD316" s="418">
        <v>0</v>
      </c>
      <c r="BE316" s="418">
        <v>0</v>
      </c>
      <c r="BF316" s="418">
        <v>0</v>
      </c>
      <c r="BG316" s="418">
        <v>0</v>
      </c>
      <c r="BH316" s="418">
        <v>0</v>
      </c>
      <c r="BI316" s="418">
        <f t="shared" si="437"/>
        <v>0</v>
      </c>
      <c r="BJ316" s="418">
        <f t="shared" si="438"/>
        <v>0</v>
      </c>
      <c r="BK316" s="420">
        <f t="shared" si="439"/>
        <v>0</v>
      </c>
      <c r="BL316" s="772">
        <f>I316+AY316</f>
        <v>1752063</v>
      </c>
      <c r="BM316" s="417">
        <f>J316+AG316</f>
        <v>1295744</v>
      </c>
      <c r="BN316" s="417">
        <f t="shared" si="501"/>
        <v>1295744</v>
      </c>
      <c r="BO316" s="417">
        <f t="shared" si="501"/>
        <v>0</v>
      </c>
      <c r="BP316" s="417">
        <f>M316+AO316</f>
        <v>0</v>
      </c>
      <c r="BQ316" s="417">
        <f t="shared" si="502"/>
        <v>0</v>
      </c>
      <c r="BR316" s="417">
        <f t="shared" si="502"/>
        <v>0</v>
      </c>
      <c r="BS316" s="417">
        <f t="shared" si="503"/>
        <v>437962</v>
      </c>
      <c r="BT316" s="417">
        <f t="shared" si="503"/>
        <v>12957</v>
      </c>
      <c r="BU316" s="417">
        <f>R316+AX316</f>
        <v>5400</v>
      </c>
      <c r="BV316" s="418">
        <f>S316+BK316</f>
        <v>3.58</v>
      </c>
      <c r="BW316" s="418">
        <f t="shared" si="504"/>
        <v>3.58</v>
      </c>
      <c r="BX316" s="420">
        <f t="shared" si="504"/>
        <v>0</v>
      </c>
      <c r="BY316" s="419"/>
      <c r="BZ316" s="414"/>
      <c r="CA316" s="414"/>
      <c r="CB316" s="414"/>
      <c r="CC316" s="414"/>
      <c r="CD316" s="422"/>
      <c r="CE316" s="419">
        <f t="shared" si="440"/>
        <v>0</v>
      </c>
      <c r="CF316" s="414">
        <v>0</v>
      </c>
      <c r="CG316" s="414">
        <v>0</v>
      </c>
      <c r="CH316" s="414">
        <v>0</v>
      </c>
      <c r="CI316" s="414">
        <v>0</v>
      </c>
      <c r="CJ316" s="509">
        <v>0</v>
      </c>
    </row>
    <row r="317" spans="1:90" ht="14.1" customHeight="1">
      <c r="A317" s="66">
        <v>63</v>
      </c>
      <c r="B317" s="63">
        <v>2403</v>
      </c>
      <c r="C317" s="64">
        <v>600078931</v>
      </c>
      <c r="D317" s="63">
        <v>72744324</v>
      </c>
      <c r="E317" s="65" t="s">
        <v>661</v>
      </c>
      <c r="F317" s="66">
        <v>3141</v>
      </c>
      <c r="G317" s="65" t="s">
        <v>294</v>
      </c>
      <c r="H317" s="67" t="s">
        <v>272</v>
      </c>
      <c r="I317" s="419">
        <v>989112</v>
      </c>
      <c r="J317" s="414">
        <v>730522</v>
      </c>
      <c r="K317" s="414">
        <v>0</v>
      </c>
      <c r="L317" s="744">
        <v>730522</v>
      </c>
      <c r="M317" s="414">
        <v>0</v>
      </c>
      <c r="N317" s="204">
        <v>0</v>
      </c>
      <c r="O317" s="204">
        <v>0</v>
      </c>
      <c r="P317" s="595">
        <v>246917</v>
      </c>
      <c r="Q317" s="595">
        <v>7305</v>
      </c>
      <c r="R317" s="601">
        <v>4368</v>
      </c>
      <c r="S317" s="415">
        <v>2.19</v>
      </c>
      <c r="T317" s="603">
        <v>0</v>
      </c>
      <c r="U317" s="731">
        <v>2.19</v>
      </c>
      <c r="V317" s="423">
        <f t="shared" si="422"/>
        <v>0</v>
      </c>
      <c r="W317" s="417">
        <f t="shared" si="423"/>
        <v>0</v>
      </c>
      <c r="X317" s="417">
        <v>0</v>
      </c>
      <c r="Y317" s="417">
        <v>0</v>
      </c>
      <c r="Z317" s="417">
        <v>0</v>
      </c>
      <c r="AA317" s="417">
        <v>-10029</v>
      </c>
      <c r="AB317" s="417">
        <v>0</v>
      </c>
      <c r="AC317" s="417">
        <v>0</v>
      </c>
      <c r="AD317" s="417">
        <v>0</v>
      </c>
      <c r="AE317" s="417">
        <f t="shared" si="424"/>
        <v>0</v>
      </c>
      <c r="AF317" s="417">
        <f t="shared" si="425"/>
        <v>-10029</v>
      </c>
      <c r="AG317" s="417">
        <f t="shared" si="426"/>
        <v>-10029</v>
      </c>
      <c r="AH317" s="417">
        <v>0</v>
      </c>
      <c r="AI317" s="417">
        <v>0</v>
      </c>
      <c r="AJ317" s="417">
        <v>0</v>
      </c>
      <c r="AK317" s="417">
        <v>0</v>
      </c>
      <c r="AL317" s="417">
        <v>0</v>
      </c>
      <c r="AM317" s="417">
        <f t="shared" si="427"/>
        <v>0</v>
      </c>
      <c r="AN317" s="417">
        <f t="shared" si="428"/>
        <v>0</v>
      </c>
      <c r="AO317" s="417">
        <f t="shared" si="429"/>
        <v>0</v>
      </c>
      <c r="AP317" s="417">
        <f t="shared" si="430"/>
        <v>0</v>
      </c>
      <c r="AQ317" s="417">
        <f t="shared" si="431"/>
        <v>-10029</v>
      </c>
      <c r="AR317" s="417">
        <f t="shared" si="432"/>
        <v>-10029</v>
      </c>
      <c r="AS317" s="68">
        <f t="shared" si="433"/>
        <v>-3390</v>
      </c>
      <c r="AT317" s="68">
        <f t="shared" si="434"/>
        <v>-100</v>
      </c>
      <c r="AU317" s="417">
        <v>0</v>
      </c>
      <c r="AV317" s="417">
        <v>0</v>
      </c>
      <c r="AW317" s="417">
        <v>0</v>
      </c>
      <c r="AX317" s="417">
        <f t="shared" si="435"/>
        <v>0</v>
      </c>
      <c r="AY317" s="417">
        <f t="shared" si="436"/>
        <v>-13519</v>
      </c>
      <c r="AZ317" s="418">
        <v>0</v>
      </c>
      <c r="BA317" s="418">
        <v>0</v>
      </c>
      <c r="BB317" s="418">
        <v>0</v>
      </c>
      <c r="BC317" s="418">
        <v>0</v>
      </c>
      <c r="BD317" s="418">
        <v>-0.03</v>
      </c>
      <c r="BE317" s="418">
        <v>0</v>
      </c>
      <c r="BF317" s="418">
        <v>0</v>
      </c>
      <c r="BG317" s="418">
        <v>0</v>
      </c>
      <c r="BH317" s="418">
        <v>0</v>
      </c>
      <c r="BI317" s="418">
        <f t="shared" si="437"/>
        <v>0</v>
      </c>
      <c r="BJ317" s="418">
        <f t="shared" si="438"/>
        <v>-0.03</v>
      </c>
      <c r="BK317" s="420">
        <f t="shared" si="439"/>
        <v>-0.03</v>
      </c>
      <c r="BL317" s="772">
        <f>I317+AY317</f>
        <v>975593</v>
      </c>
      <c r="BM317" s="417">
        <f>J317+AG317</f>
        <v>720493</v>
      </c>
      <c r="BN317" s="417">
        <f t="shared" si="501"/>
        <v>0</v>
      </c>
      <c r="BO317" s="417">
        <f t="shared" si="501"/>
        <v>720493</v>
      </c>
      <c r="BP317" s="417">
        <f>M317+AO317</f>
        <v>0</v>
      </c>
      <c r="BQ317" s="417">
        <f t="shared" si="502"/>
        <v>0</v>
      </c>
      <c r="BR317" s="417">
        <f t="shared" si="502"/>
        <v>0</v>
      </c>
      <c r="BS317" s="417">
        <f t="shared" si="503"/>
        <v>243527</v>
      </c>
      <c r="BT317" s="417">
        <f t="shared" si="503"/>
        <v>7205</v>
      </c>
      <c r="BU317" s="417">
        <f>R317+AX317</f>
        <v>4368</v>
      </c>
      <c r="BV317" s="418">
        <f>S317+BK317</f>
        <v>2.16</v>
      </c>
      <c r="BW317" s="418">
        <f t="shared" si="504"/>
        <v>0</v>
      </c>
      <c r="BX317" s="420">
        <f t="shared" si="504"/>
        <v>2.16</v>
      </c>
      <c r="BY317" s="419"/>
      <c r="BZ317" s="414"/>
      <c r="CA317" s="414"/>
      <c r="CB317" s="414"/>
      <c r="CC317" s="414"/>
      <c r="CD317" s="422"/>
      <c r="CE317" s="419">
        <f t="shared" si="440"/>
        <v>0</v>
      </c>
      <c r="CF317" s="414">
        <v>0</v>
      </c>
      <c r="CG317" s="414">
        <v>0</v>
      </c>
      <c r="CH317" s="414">
        <v>0</v>
      </c>
      <c r="CI317" s="414">
        <v>0</v>
      </c>
      <c r="CJ317" s="509">
        <v>0</v>
      </c>
    </row>
    <row r="318" spans="1:90" ht="14.1" customHeight="1">
      <c r="A318" s="72">
        <v>63</v>
      </c>
      <c r="B318" s="69">
        <v>2403</v>
      </c>
      <c r="C318" s="70">
        <v>600078931</v>
      </c>
      <c r="D318" s="69">
        <v>72744324</v>
      </c>
      <c r="E318" s="71" t="s">
        <v>662</v>
      </c>
      <c r="F318" s="72"/>
      <c r="G318" s="71"/>
      <c r="H318" s="73"/>
      <c r="I318" s="516">
        <v>9896325</v>
      </c>
      <c r="J318" s="74">
        <v>7309315</v>
      </c>
      <c r="K318" s="74">
        <v>5886428</v>
      </c>
      <c r="L318" s="74">
        <v>1422887</v>
      </c>
      <c r="M318" s="74">
        <v>0</v>
      </c>
      <c r="N318" s="74">
        <v>0</v>
      </c>
      <c r="O318" s="74">
        <v>0</v>
      </c>
      <c r="P318" s="74">
        <v>2470549</v>
      </c>
      <c r="Q318" s="74">
        <v>73093</v>
      </c>
      <c r="R318" s="74">
        <v>43368</v>
      </c>
      <c r="S318" s="75">
        <v>16.126100000000001</v>
      </c>
      <c r="T318" s="75">
        <v>11.58</v>
      </c>
      <c r="U318" s="653">
        <v>4.5460999999999991</v>
      </c>
      <c r="V318" s="516">
        <f t="shared" ref="V318:BX318" si="505">SUM(V315:V317)</f>
        <v>0</v>
      </c>
      <c r="W318" s="74">
        <f t="shared" si="505"/>
        <v>0</v>
      </c>
      <c r="X318" s="74">
        <f t="shared" si="505"/>
        <v>0</v>
      </c>
      <c r="Y318" s="74">
        <f t="shared" si="505"/>
        <v>0</v>
      </c>
      <c r="Z318" s="74">
        <f t="shared" si="505"/>
        <v>0</v>
      </c>
      <c r="AA318" s="74">
        <f t="shared" si="505"/>
        <v>-10029</v>
      </c>
      <c r="AB318" s="74">
        <f t="shared" si="505"/>
        <v>0</v>
      </c>
      <c r="AC318" s="74">
        <f t="shared" si="505"/>
        <v>0</v>
      </c>
      <c r="AD318" s="74">
        <f t="shared" si="505"/>
        <v>0</v>
      </c>
      <c r="AE318" s="74">
        <f t="shared" si="505"/>
        <v>0</v>
      </c>
      <c r="AF318" s="74">
        <f t="shared" si="505"/>
        <v>-10029</v>
      </c>
      <c r="AG318" s="74">
        <f t="shared" si="505"/>
        <v>-10029</v>
      </c>
      <c r="AH318" s="74">
        <f t="shared" si="505"/>
        <v>0</v>
      </c>
      <c r="AI318" s="74">
        <f t="shared" si="505"/>
        <v>0</v>
      </c>
      <c r="AJ318" s="74">
        <f t="shared" si="505"/>
        <v>0</v>
      </c>
      <c r="AK318" s="74">
        <f t="shared" si="505"/>
        <v>0</v>
      </c>
      <c r="AL318" s="74">
        <f t="shared" si="505"/>
        <v>0</v>
      </c>
      <c r="AM318" s="74">
        <f t="shared" si="505"/>
        <v>0</v>
      </c>
      <c r="AN318" s="74">
        <f t="shared" si="505"/>
        <v>0</v>
      </c>
      <c r="AO318" s="74">
        <f t="shared" si="505"/>
        <v>0</v>
      </c>
      <c r="AP318" s="74">
        <f t="shared" si="505"/>
        <v>0</v>
      </c>
      <c r="AQ318" s="74">
        <f t="shared" si="505"/>
        <v>-10029</v>
      </c>
      <c r="AR318" s="74">
        <f t="shared" si="505"/>
        <v>-10029</v>
      </c>
      <c r="AS318" s="74">
        <f t="shared" si="505"/>
        <v>-3390</v>
      </c>
      <c r="AT318" s="74">
        <f t="shared" si="505"/>
        <v>-100</v>
      </c>
      <c r="AU318" s="74">
        <f t="shared" si="505"/>
        <v>0</v>
      </c>
      <c r="AV318" s="74">
        <f t="shared" si="505"/>
        <v>0</v>
      </c>
      <c r="AW318" s="74">
        <f t="shared" si="505"/>
        <v>0</v>
      </c>
      <c r="AX318" s="74">
        <f t="shared" si="505"/>
        <v>0</v>
      </c>
      <c r="AY318" s="74">
        <f t="shared" si="505"/>
        <v>-13519</v>
      </c>
      <c r="AZ318" s="75">
        <f t="shared" si="505"/>
        <v>0</v>
      </c>
      <c r="BA318" s="75">
        <f t="shared" si="505"/>
        <v>0</v>
      </c>
      <c r="BB318" s="75">
        <f t="shared" si="505"/>
        <v>0</v>
      </c>
      <c r="BC318" s="75">
        <f t="shared" si="505"/>
        <v>0</v>
      </c>
      <c r="BD318" s="75">
        <f t="shared" si="505"/>
        <v>-0.03</v>
      </c>
      <c r="BE318" s="75">
        <f t="shared" si="505"/>
        <v>0</v>
      </c>
      <c r="BF318" s="75">
        <f t="shared" si="505"/>
        <v>0</v>
      </c>
      <c r="BG318" s="75">
        <f t="shared" si="505"/>
        <v>0</v>
      </c>
      <c r="BH318" s="75">
        <f t="shared" si="505"/>
        <v>0</v>
      </c>
      <c r="BI318" s="75">
        <f t="shared" si="505"/>
        <v>0</v>
      </c>
      <c r="BJ318" s="75">
        <f t="shared" si="505"/>
        <v>-0.03</v>
      </c>
      <c r="BK318" s="76">
        <f t="shared" si="505"/>
        <v>-0.03</v>
      </c>
      <c r="BL318" s="781">
        <f t="shared" si="505"/>
        <v>9882806</v>
      </c>
      <c r="BM318" s="74">
        <f t="shared" si="505"/>
        <v>7299286</v>
      </c>
      <c r="BN318" s="74">
        <f t="shared" si="505"/>
        <v>5886428</v>
      </c>
      <c r="BO318" s="74">
        <f t="shared" si="505"/>
        <v>1412858</v>
      </c>
      <c r="BP318" s="74">
        <f t="shared" si="505"/>
        <v>0</v>
      </c>
      <c r="BQ318" s="74">
        <f t="shared" si="505"/>
        <v>0</v>
      </c>
      <c r="BR318" s="74">
        <f t="shared" si="505"/>
        <v>0</v>
      </c>
      <c r="BS318" s="74">
        <f t="shared" si="505"/>
        <v>2467159</v>
      </c>
      <c r="BT318" s="74">
        <f t="shared" si="505"/>
        <v>72993</v>
      </c>
      <c r="BU318" s="74">
        <f t="shared" si="505"/>
        <v>43368</v>
      </c>
      <c r="BV318" s="75">
        <f t="shared" si="505"/>
        <v>16.0961</v>
      </c>
      <c r="BW318" s="75">
        <f t="shared" si="505"/>
        <v>11.58</v>
      </c>
      <c r="BX318" s="76">
        <f t="shared" si="505"/>
        <v>4.5160999999999998</v>
      </c>
      <c r="BY318" s="791">
        <f t="shared" ref="BY318:CJ318" si="506">SUM(BY315:BY317)</f>
        <v>0</v>
      </c>
      <c r="BZ318" s="679">
        <f t="shared" si="506"/>
        <v>0</v>
      </c>
      <c r="CA318" s="679">
        <f t="shared" si="506"/>
        <v>0</v>
      </c>
      <c r="CB318" s="679">
        <f t="shared" si="506"/>
        <v>0</v>
      </c>
      <c r="CC318" s="679">
        <f t="shared" si="506"/>
        <v>0</v>
      </c>
      <c r="CD318" s="947">
        <f t="shared" si="506"/>
        <v>0</v>
      </c>
      <c r="CE318" s="956">
        <f t="shared" si="506"/>
        <v>310648</v>
      </c>
      <c r="CF318" s="953">
        <f t="shared" si="506"/>
        <v>222163</v>
      </c>
      <c r="CG318" s="953">
        <f t="shared" si="506"/>
        <v>75091</v>
      </c>
      <c r="CH318" s="953">
        <f t="shared" si="506"/>
        <v>2222</v>
      </c>
      <c r="CI318" s="953">
        <f t="shared" si="506"/>
        <v>11172</v>
      </c>
      <c r="CJ318" s="877">
        <f t="shared" si="506"/>
        <v>0.75600000000000001</v>
      </c>
    </row>
    <row r="319" spans="1:90" ht="14.1" customHeight="1">
      <c r="A319" s="66">
        <v>64</v>
      </c>
      <c r="B319" s="63">
        <v>2458</v>
      </c>
      <c r="C319" s="64">
        <v>600079741</v>
      </c>
      <c r="D319" s="63">
        <v>72744243</v>
      </c>
      <c r="E319" s="65" t="s">
        <v>663</v>
      </c>
      <c r="F319" s="66">
        <v>3113</v>
      </c>
      <c r="G319" s="65" t="s">
        <v>293</v>
      </c>
      <c r="H319" s="67" t="s">
        <v>271</v>
      </c>
      <c r="I319" s="419">
        <v>25642034</v>
      </c>
      <c r="J319" s="414">
        <v>18687647</v>
      </c>
      <c r="K319" s="414">
        <v>16578381</v>
      </c>
      <c r="L319" s="414">
        <v>2109266</v>
      </c>
      <c r="M319" s="414">
        <v>25000</v>
      </c>
      <c r="N319" s="414">
        <v>25000</v>
      </c>
      <c r="O319" s="414">
        <v>0</v>
      </c>
      <c r="P319" s="595">
        <v>6324875</v>
      </c>
      <c r="Q319" s="595">
        <v>186877</v>
      </c>
      <c r="R319" s="414">
        <v>417635</v>
      </c>
      <c r="S319" s="415">
        <v>31.144400000000001</v>
      </c>
      <c r="T319" s="415">
        <v>24.930099999999999</v>
      </c>
      <c r="U319" s="422">
        <v>6.2142999999999997</v>
      </c>
      <c r="V319" s="423">
        <f t="shared" si="422"/>
        <v>9095</v>
      </c>
      <c r="W319" s="417">
        <f t="shared" si="423"/>
        <v>0</v>
      </c>
      <c r="X319" s="417">
        <v>0</v>
      </c>
      <c r="Y319" s="417">
        <v>17874</v>
      </c>
      <c r="Z319" s="417">
        <v>0</v>
      </c>
      <c r="AA319" s="417">
        <v>0</v>
      </c>
      <c r="AB319" s="417">
        <v>0</v>
      </c>
      <c r="AC319" s="417">
        <v>0</v>
      </c>
      <c r="AD319" s="417">
        <v>0</v>
      </c>
      <c r="AE319" s="417">
        <f t="shared" si="424"/>
        <v>26969</v>
      </c>
      <c r="AF319" s="417">
        <f t="shared" si="425"/>
        <v>0</v>
      </c>
      <c r="AG319" s="417">
        <f t="shared" si="426"/>
        <v>26969</v>
      </c>
      <c r="AH319" s="417">
        <v>-9095</v>
      </c>
      <c r="AI319" s="417">
        <v>0</v>
      </c>
      <c r="AJ319" s="417">
        <v>0</v>
      </c>
      <c r="AK319" s="417">
        <v>0</v>
      </c>
      <c r="AL319" s="417">
        <v>0</v>
      </c>
      <c r="AM319" s="417">
        <f t="shared" si="427"/>
        <v>-9095</v>
      </c>
      <c r="AN319" s="417">
        <f t="shared" si="428"/>
        <v>0</v>
      </c>
      <c r="AO319" s="417">
        <f t="shared" si="429"/>
        <v>-9095</v>
      </c>
      <c r="AP319" s="417">
        <f t="shared" si="430"/>
        <v>17874</v>
      </c>
      <c r="AQ319" s="417">
        <f t="shared" si="431"/>
        <v>0</v>
      </c>
      <c r="AR319" s="417">
        <f t="shared" si="432"/>
        <v>17874</v>
      </c>
      <c r="AS319" s="68">
        <f t="shared" si="433"/>
        <v>6041</v>
      </c>
      <c r="AT319" s="68">
        <f t="shared" si="434"/>
        <v>270</v>
      </c>
      <c r="AU319" s="417">
        <v>0</v>
      </c>
      <c r="AV319" s="417">
        <v>0</v>
      </c>
      <c r="AW319" s="417">
        <v>0</v>
      </c>
      <c r="AX319" s="417">
        <f t="shared" si="435"/>
        <v>0</v>
      </c>
      <c r="AY319" s="417">
        <f t="shared" si="436"/>
        <v>24185</v>
      </c>
      <c r="AZ319" s="418">
        <v>0</v>
      </c>
      <c r="BA319" s="418">
        <v>0</v>
      </c>
      <c r="BB319" s="418">
        <v>0</v>
      </c>
      <c r="BC319" s="418">
        <v>0</v>
      </c>
      <c r="BD319" s="418">
        <v>0</v>
      </c>
      <c r="BE319" s="418">
        <v>0.03</v>
      </c>
      <c r="BF319" s="418">
        <v>0</v>
      </c>
      <c r="BG319" s="418">
        <v>0</v>
      </c>
      <c r="BH319" s="418">
        <v>0</v>
      </c>
      <c r="BI319" s="418">
        <f t="shared" si="437"/>
        <v>0.03</v>
      </c>
      <c r="BJ319" s="418">
        <f t="shared" si="438"/>
        <v>0</v>
      </c>
      <c r="BK319" s="420">
        <f t="shared" si="439"/>
        <v>0.03</v>
      </c>
      <c r="BL319" s="772">
        <f>I319+AY319</f>
        <v>25666219</v>
      </c>
      <c r="BM319" s="417">
        <f>J319+AG319</f>
        <v>18714616</v>
      </c>
      <c r="BN319" s="417">
        <f t="shared" ref="BN319:BO323" si="507">K319+AE319</f>
        <v>16605350</v>
      </c>
      <c r="BO319" s="417">
        <f t="shared" si="507"/>
        <v>2109266</v>
      </c>
      <c r="BP319" s="417">
        <f>M319+AO319</f>
        <v>15905</v>
      </c>
      <c r="BQ319" s="417">
        <f t="shared" ref="BQ319:BR323" si="508">N319+AM319</f>
        <v>15905</v>
      </c>
      <c r="BR319" s="417">
        <f t="shared" si="508"/>
        <v>0</v>
      </c>
      <c r="BS319" s="417">
        <f t="shared" ref="BS319:BT323" si="509">P319+AS319</f>
        <v>6330916</v>
      </c>
      <c r="BT319" s="417">
        <f t="shared" si="509"/>
        <v>187147</v>
      </c>
      <c r="BU319" s="417">
        <f>R319+AX319</f>
        <v>417635</v>
      </c>
      <c r="BV319" s="418">
        <f>S319+BK319</f>
        <v>31.174400000000002</v>
      </c>
      <c r="BW319" s="418">
        <f t="shared" ref="BW319:BX323" si="510">T319+BI319</f>
        <v>24.960100000000001</v>
      </c>
      <c r="BX319" s="420">
        <f t="shared" si="510"/>
        <v>6.2142999999999997</v>
      </c>
      <c r="BY319" s="419"/>
      <c r="BZ319" s="414"/>
      <c r="CA319" s="414"/>
      <c r="CB319" s="414"/>
      <c r="CC319" s="414"/>
      <c r="CD319" s="422"/>
      <c r="CE319" s="419">
        <f t="shared" si="440"/>
        <v>1010803</v>
      </c>
      <c r="CF319" s="414">
        <v>677055</v>
      </c>
      <c r="CG319" s="414">
        <v>228845</v>
      </c>
      <c r="CH319" s="414">
        <v>6771</v>
      </c>
      <c r="CI319" s="414">
        <v>98132</v>
      </c>
      <c r="CJ319" s="509">
        <v>1.9948999999999999</v>
      </c>
    </row>
    <row r="320" spans="1:90" ht="14.1" customHeight="1">
      <c r="A320" s="66">
        <v>64</v>
      </c>
      <c r="B320" s="63">
        <v>2458</v>
      </c>
      <c r="C320" s="64">
        <v>600079741</v>
      </c>
      <c r="D320" s="63">
        <v>72744243</v>
      </c>
      <c r="E320" s="65" t="s">
        <v>663</v>
      </c>
      <c r="F320" s="66">
        <v>3113</v>
      </c>
      <c r="G320" s="77" t="s">
        <v>291</v>
      </c>
      <c r="H320" s="67" t="s">
        <v>272</v>
      </c>
      <c r="I320" s="419">
        <v>1611720</v>
      </c>
      <c r="J320" s="414">
        <v>1195638</v>
      </c>
      <c r="K320" s="414">
        <v>1195638</v>
      </c>
      <c r="L320" s="414">
        <v>0</v>
      </c>
      <c r="M320" s="414">
        <v>0</v>
      </c>
      <c r="N320" s="414">
        <v>0</v>
      </c>
      <c r="O320" s="414">
        <v>0</v>
      </c>
      <c r="P320" s="595">
        <v>404126</v>
      </c>
      <c r="Q320" s="595">
        <v>11956</v>
      </c>
      <c r="R320" s="414">
        <v>0</v>
      </c>
      <c r="S320" s="415">
        <v>3.33</v>
      </c>
      <c r="T320" s="416">
        <v>3.33</v>
      </c>
      <c r="U320" s="422">
        <v>0</v>
      </c>
      <c r="V320" s="423">
        <f t="shared" si="422"/>
        <v>0</v>
      </c>
      <c r="W320" s="417">
        <f t="shared" si="423"/>
        <v>0</v>
      </c>
      <c r="X320" s="417">
        <f>-23176+30900</f>
        <v>7724</v>
      </c>
      <c r="Y320" s="417">
        <v>0</v>
      </c>
      <c r="Z320" s="417">
        <v>0</v>
      </c>
      <c r="AA320" s="417">
        <v>0</v>
      </c>
      <c r="AB320" s="417">
        <v>0</v>
      </c>
      <c r="AC320" s="417">
        <v>0</v>
      </c>
      <c r="AD320" s="417">
        <v>0</v>
      </c>
      <c r="AE320" s="417">
        <f t="shared" si="424"/>
        <v>7724</v>
      </c>
      <c r="AF320" s="417">
        <f t="shared" si="425"/>
        <v>0</v>
      </c>
      <c r="AG320" s="417">
        <f t="shared" si="426"/>
        <v>7724</v>
      </c>
      <c r="AH320" s="417">
        <v>0</v>
      </c>
      <c r="AI320" s="417">
        <v>0</v>
      </c>
      <c r="AJ320" s="417">
        <v>0</v>
      </c>
      <c r="AK320" s="417">
        <v>0</v>
      </c>
      <c r="AL320" s="417">
        <v>0</v>
      </c>
      <c r="AM320" s="417">
        <f t="shared" si="427"/>
        <v>0</v>
      </c>
      <c r="AN320" s="417">
        <f t="shared" si="428"/>
        <v>0</v>
      </c>
      <c r="AO320" s="417">
        <f t="shared" si="429"/>
        <v>0</v>
      </c>
      <c r="AP320" s="417">
        <f t="shared" si="430"/>
        <v>7724</v>
      </c>
      <c r="AQ320" s="417">
        <f t="shared" si="431"/>
        <v>0</v>
      </c>
      <c r="AR320" s="417">
        <f t="shared" si="432"/>
        <v>7724</v>
      </c>
      <c r="AS320" s="68">
        <f t="shared" si="433"/>
        <v>2611</v>
      </c>
      <c r="AT320" s="68">
        <f t="shared" si="434"/>
        <v>77</v>
      </c>
      <c r="AU320" s="417">
        <v>2750</v>
      </c>
      <c r="AV320" s="417">
        <v>0</v>
      </c>
      <c r="AW320" s="417">
        <v>0</v>
      </c>
      <c r="AX320" s="417">
        <f t="shared" si="435"/>
        <v>2750</v>
      </c>
      <c r="AY320" s="417">
        <f t="shared" si="436"/>
        <v>13162</v>
      </c>
      <c r="AZ320" s="418">
        <v>0</v>
      </c>
      <c r="BA320" s="418">
        <v>0</v>
      </c>
      <c r="BB320" s="418">
        <f>-0.06+0.08</f>
        <v>2.0000000000000004E-2</v>
      </c>
      <c r="BC320" s="418">
        <v>0</v>
      </c>
      <c r="BD320" s="418">
        <v>0</v>
      </c>
      <c r="BE320" s="418">
        <v>0</v>
      </c>
      <c r="BF320" s="418">
        <v>0</v>
      </c>
      <c r="BG320" s="418">
        <v>0</v>
      </c>
      <c r="BH320" s="418">
        <v>0</v>
      </c>
      <c r="BI320" s="418">
        <f t="shared" si="437"/>
        <v>2.0000000000000004E-2</v>
      </c>
      <c r="BJ320" s="418">
        <f t="shared" si="438"/>
        <v>0</v>
      </c>
      <c r="BK320" s="420">
        <f t="shared" si="439"/>
        <v>2.0000000000000004E-2</v>
      </c>
      <c r="BL320" s="772">
        <f>I320+AY320</f>
        <v>1624882</v>
      </c>
      <c r="BM320" s="417">
        <f>J320+AG320</f>
        <v>1203362</v>
      </c>
      <c r="BN320" s="417">
        <f t="shared" si="507"/>
        <v>1203362</v>
      </c>
      <c r="BO320" s="417">
        <f t="shared" si="507"/>
        <v>0</v>
      </c>
      <c r="BP320" s="417">
        <f>M320+AO320</f>
        <v>0</v>
      </c>
      <c r="BQ320" s="417">
        <f t="shared" si="508"/>
        <v>0</v>
      </c>
      <c r="BR320" s="417">
        <f t="shared" si="508"/>
        <v>0</v>
      </c>
      <c r="BS320" s="417">
        <f t="shared" si="509"/>
        <v>406737</v>
      </c>
      <c r="BT320" s="417">
        <f t="shared" si="509"/>
        <v>12033</v>
      </c>
      <c r="BU320" s="417">
        <f>R320+AX320</f>
        <v>2750</v>
      </c>
      <c r="BV320" s="418">
        <f>S320+BK320</f>
        <v>3.35</v>
      </c>
      <c r="BW320" s="418">
        <f t="shared" si="510"/>
        <v>3.35</v>
      </c>
      <c r="BX320" s="420">
        <f t="shared" si="510"/>
        <v>0</v>
      </c>
      <c r="BY320" s="419"/>
      <c r="BZ320" s="414"/>
      <c r="CA320" s="414"/>
      <c r="CB320" s="414"/>
      <c r="CC320" s="414"/>
      <c r="CD320" s="422"/>
      <c r="CE320" s="419">
        <f t="shared" si="440"/>
        <v>0</v>
      </c>
      <c r="CF320" s="414">
        <v>0</v>
      </c>
      <c r="CG320" s="414">
        <v>0</v>
      </c>
      <c r="CH320" s="414">
        <v>0</v>
      </c>
      <c r="CI320" s="414">
        <v>0</v>
      </c>
      <c r="CJ320" s="509">
        <v>0</v>
      </c>
    </row>
    <row r="321" spans="1:88" ht="14.1" customHeight="1">
      <c r="A321" s="66">
        <v>64</v>
      </c>
      <c r="B321" s="63">
        <v>2458</v>
      </c>
      <c r="C321" s="64">
        <v>600079741</v>
      </c>
      <c r="D321" s="63">
        <v>72744243</v>
      </c>
      <c r="E321" s="65" t="s">
        <v>663</v>
      </c>
      <c r="F321" s="66">
        <v>3141</v>
      </c>
      <c r="G321" s="65" t="s">
        <v>294</v>
      </c>
      <c r="H321" s="67" t="s">
        <v>272</v>
      </c>
      <c r="I321" s="419">
        <v>2445371</v>
      </c>
      <c r="J321" s="414">
        <v>1786165</v>
      </c>
      <c r="K321" s="414">
        <v>0</v>
      </c>
      <c r="L321" s="744">
        <v>1786165</v>
      </c>
      <c r="M321" s="414">
        <v>15000</v>
      </c>
      <c r="N321" s="204">
        <v>0</v>
      </c>
      <c r="O321" s="204">
        <v>15000</v>
      </c>
      <c r="P321" s="595">
        <v>608793</v>
      </c>
      <c r="Q321" s="595">
        <v>17861</v>
      </c>
      <c r="R321" s="601">
        <v>17552</v>
      </c>
      <c r="S321" s="415">
        <v>5.4</v>
      </c>
      <c r="T321" s="603">
        <v>0</v>
      </c>
      <c r="U321" s="731">
        <v>5.4</v>
      </c>
      <c r="V321" s="423">
        <f t="shared" si="422"/>
        <v>0</v>
      </c>
      <c r="W321" s="417">
        <f t="shared" si="423"/>
        <v>5410</v>
      </c>
      <c r="X321" s="417">
        <v>0</v>
      </c>
      <c r="Y321" s="417">
        <v>0</v>
      </c>
      <c r="Z321" s="417">
        <v>0</v>
      </c>
      <c r="AA321" s="417">
        <v>0</v>
      </c>
      <c r="AB321" s="417">
        <v>0</v>
      </c>
      <c r="AC321" s="417">
        <v>0</v>
      </c>
      <c r="AD321" s="417">
        <v>0</v>
      </c>
      <c r="AE321" s="417">
        <f t="shared" si="424"/>
        <v>0</v>
      </c>
      <c r="AF321" s="417">
        <f t="shared" si="425"/>
        <v>5410</v>
      </c>
      <c r="AG321" s="417">
        <f t="shared" si="426"/>
        <v>5410</v>
      </c>
      <c r="AH321" s="417">
        <v>0</v>
      </c>
      <c r="AI321" s="417">
        <v>-5410</v>
      </c>
      <c r="AJ321" s="417">
        <v>0</v>
      </c>
      <c r="AK321" s="417">
        <v>0</v>
      </c>
      <c r="AL321" s="417">
        <v>0</v>
      </c>
      <c r="AM321" s="417">
        <f t="shared" si="427"/>
        <v>0</v>
      </c>
      <c r="AN321" s="417">
        <f t="shared" si="428"/>
        <v>-5410</v>
      </c>
      <c r="AO321" s="417">
        <f t="shared" si="429"/>
        <v>-5410</v>
      </c>
      <c r="AP321" s="417">
        <f t="shared" si="430"/>
        <v>0</v>
      </c>
      <c r="AQ321" s="417">
        <f t="shared" si="431"/>
        <v>0</v>
      </c>
      <c r="AR321" s="417">
        <f t="shared" si="432"/>
        <v>0</v>
      </c>
      <c r="AS321" s="68">
        <f t="shared" si="433"/>
        <v>0</v>
      </c>
      <c r="AT321" s="68">
        <f t="shared" si="434"/>
        <v>54</v>
      </c>
      <c r="AU321" s="417">
        <v>0</v>
      </c>
      <c r="AV321" s="417">
        <v>0</v>
      </c>
      <c r="AW321" s="417">
        <v>0</v>
      </c>
      <c r="AX321" s="417">
        <f t="shared" si="435"/>
        <v>0</v>
      </c>
      <c r="AY321" s="417">
        <f t="shared" si="436"/>
        <v>54</v>
      </c>
      <c r="AZ321" s="418">
        <v>0</v>
      </c>
      <c r="BA321" s="418">
        <v>0</v>
      </c>
      <c r="BB321" s="418">
        <v>0</v>
      </c>
      <c r="BC321" s="418">
        <v>0</v>
      </c>
      <c r="BD321" s="418">
        <v>0</v>
      </c>
      <c r="BE321" s="418">
        <v>0</v>
      </c>
      <c r="BF321" s="418">
        <v>0</v>
      </c>
      <c r="BG321" s="418">
        <v>0</v>
      </c>
      <c r="BH321" s="418">
        <v>0</v>
      </c>
      <c r="BI321" s="418">
        <f t="shared" si="437"/>
        <v>0</v>
      </c>
      <c r="BJ321" s="418">
        <f t="shared" si="438"/>
        <v>0</v>
      </c>
      <c r="BK321" s="420">
        <f t="shared" si="439"/>
        <v>0</v>
      </c>
      <c r="BL321" s="772">
        <f>I321+AY321</f>
        <v>2445425</v>
      </c>
      <c r="BM321" s="417">
        <f>J321+AG321</f>
        <v>1791575</v>
      </c>
      <c r="BN321" s="417">
        <f t="shared" si="507"/>
        <v>0</v>
      </c>
      <c r="BO321" s="417">
        <f t="shared" si="507"/>
        <v>1791575</v>
      </c>
      <c r="BP321" s="417">
        <f>M321+AO321</f>
        <v>9590</v>
      </c>
      <c r="BQ321" s="417">
        <f t="shared" si="508"/>
        <v>0</v>
      </c>
      <c r="BR321" s="417">
        <f t="shared" si="508"/>
        <v>9590</v>
      </c>
      <c r="BS321" s="417">
        <f t="shared" si="509"/>
        <v>608793</v>
      </c>
      <c r="BT321" s="417">
        <f t="shared" si="509"/>
        <v>17915</v>
      </c>
      <c r="BU321" s="417">
        <f>R321+AX321</f>
        <v>17552</v>
      </c>
      <c r="BV321" s="418">
        <f>S321+BK321</f>
        <v>5.4</v>
      </c>
      <c r="BW321" s="418">
        <f t="shared" si="510"/>
        <v>0</v>
      </c>
      <c r="BX321" s="420">
        <f t="shared" si="510"/>
        <v>5.4</v>
      </c>
      <c r="BY321" s="419"/>
      <c r="BZ321" s="414"/>
      <c r="CA321" s="414"/>
      <c r="CB321" s="414"/>
      <c r="CC321" s="414"/>
      <c r="CD321" s="422"/>
      <c r="CE321" s="419">
        <f t="shared" si="440"/>
        <v>0</v>
      </c>
      <c r="CF321" s="414">
        <v>0</v>
      </c>
      <c r="CG321" s="414">
        <v>0</v>
      </c>
      <c r="CH321" s="414">
        <v>0</v>
      </c>
      <c r="CI321" s="414">
        <v>0</v>
      </c>
      <c r="CJ321" s="509">
        <v>0</v>
      </c>
    </row>
    <row r="322" spans="1:88" ht="14.1" customHeight="1">
      <c r="A322" s="66">
        <v>64</v>
      </c>
      <c r="B322" s="63">
        <v>2458</v>
      </c>
      <c r="C322" s="64">
        <v>600079741</v>
      </c>
      <c r="D322" s="63">
        <v>72744243</v>
      </c>
      <c r="E322" s="65" t="s">
        <v>663</v>
      </c>
      <c r="F322" s="66">
        <v>3143</v>
      </c>
      <c r="G322" s="77" t="s">
        <v>595</v>
      </c>
      <c r="H322" s="67" t="s">
        <v>271</v>
      </c>
      <c r="I322" s="419">
        <v>2878945</v>
      </c>
      <c r="J322" s="414">
        <v>2135716</v>
      </c>
      <c r="K322" s="414">
        <v>2135716</v>
      </c>
      <c r="L322" s="414">
        <v>0</v>
      </c>
      <c r="M322" s="414">
        <v>0</v>
      </c>
      <c r="N322" s="414">
        <v>0</v>
      </c>
      <c r="O322" s="414">
        <v>0</v>
      </c>
      <c r="P322" s="595">
        <v>721872</v>
      </c>
      <c r="Q322" s="595">
        <v>21357</v>
      </c>
      <c r="R322" s="414">
        <v>0</v>
      </c>
      <c r="S322" s="415">
        <v>4.4451000000000001</v>
      </c>
      <c r="T322" s="415">
        <v>4.4451000000000001</v>
      </c>
      <c r="U322" s="422">
        <v>0</v>
      </c>
      <c r="V322" s="423">
        <f t="shared" si="422"/>
        <v>0</v>
      </c>
      <c r="W322" s="417">
        <f t="shared" si="423"/>
        <v>0</v>
      </c>
      <c r="X322" s="417">
        <v>0</v>
      </c>
      <c r="Y322" s="417">
        <v>0</v>
      </c>
      <c r="Z322" s="417">
        <v>0</v>
      </c>
      <c r="AA322" s="417">
        <v>0</v>
      </c>
      <c r="AB322" s="417">
        <v>0</v>
      </c>
      <c r="AC322" s="417">
        <v>0</v>
      </c>
      <c r="AD322" s="417">
        <v>0</v>
      </c>
      <c r="AE322" s="417">
        <f t="shared" si="424"/>
        <v>0</v>
      </c>
      <c r="AF322" s="417">
        <f t="shared" si="425"/>
        <v>0</v>
      </c>
      <c r="AG322" s="417">
        <f t="shared" si="426"/>
        <v>0</v>
      </c>
      <c r="AH322" s="417">
        <v>0</v>
      </c>
      <c r="AI322" s="417">
        <v>0</v>
      </c>
      <c r="AJ322" s="417">
        <v>0</v>
      </c>
      <c r="AK322" s="417">
        <v>0</v>
      </c>
      <c r="AL322" s="417">
        <v>0</v>
      </c>
      <c r="AM322" s="417">
        <f t="shared" si="427"/>
        <v>0</v>
      </c>
      <c r="AN322" s="417">
        <f t="shared" si="428"/>
        <v>0</v>
      </c>
      <c r="AO322" s="417">
        <f t="shared" si="429"/>
        <v>0</v>
      </c>
      <c r="AP322" s="417">
        <f t="shared" si="430"/>
        <v>0</v>
      </c>
      <c r="AQ322" s="417">
        <f t="shared" si="431"/>
        <v>0</v>
      </c>
      <c r="AR322" s="417">
        <f t="shared" si="432"/>
        <v>0</v>
      </c>
      <c r="AS322" s="68">
        <f t="shared" si="433"/>
        <v>0</v>
      </c>
      <c r="AT322" s="68">
        <f t="shared" si="434"/>
        <v>0</v>
      </c>
      <c r="AU322" s="417">
        <v>0</v>
      </c>
      <c r="AV322" s="417">
        <v>0</v>
      </c>
      <c r="AW322" s="417">
        <v>0</v>
      </c>
      <c r="AX322" s="417">
        <f t="shared" si="435"/>
        <v>0</v>
      </c>
      <c r="AY322" s="417">
        <f t="shared" si="436"/>
        <v>0</v>
      </c>
      <c r="AZ322" s="418">
        <v>0</v>
      </c>
      <c r="BA322" s="418">
        <v>0</v>
      </c>
      <c r="BB322" s="418">
        <v>0</v>
      </c>
      <c r="BC322" s="418">
        <v>0</v>
      </c>
      <c r="BD322" s="418">
        <v>0</v>
      </c>
      <c r="BE322" s="418">
        <v>0</v>
      </c>
      <c r="BF322" s="418">
        <v>0</v>
      </c>
      <c r="BG322" s="418">
        <v>0</v>
      </c>
      <c r="BH322" s="418">
        <v>0</v>
      </c>
      <c r="BI322" s="418">
        <f t="shared" si="437"/>
        <v>0</v>
      </c>
      <c r="BJ322" s="418">
        <f t="shared" si="438"/>
        <v>0</v>
      </c>
      <c r="BK322" s="420">
        <f t="shared" si="439"/>
        <v>0</v>
      </c>
      <c r="BL322" s="772">
        <f>I322+AY322</f>
        <v>2878945</v>
      </c>
      <c r="BM322" s="417">
        <f>J322+AG322</f>
        <v>2135716</v>
      </c>
      <c r="BN322" s="417">
        <f t="shared" si="507"/>
        <v>2135716</v>
      </c>
      <c r="BO322" s="417">
        <f t="shared" si="507"/>
        <v>0</v>
      </c>
      <c r="BP322" s="417">
        <f>M322+AO322</f>
        <v>0</v>
      </c>
      <c r="BQ322" s="417">
        <f t="shared" si="508"/>
        <v>0</v>
      </c>
      <c r="BR322" s="417">
        <f t="shared" si="508"/>
        <v>0</v>
      </c>
      <c r="BS322" s="417">
        <f t="shared" si="509"/>
        <v>721872</v>
      </c>
      <c r="BT322" s="417">
        <f t="shared" si="509"/>
        <v>21357</v>
      </c>
      <c r="BU322" s="417">
        <f>R322+AX322</f>
        <v>0</v>
      </c>
      <c r="BV322" s="418">
        <f>S322+BK322</f>
        <v>4.4451000000000001</v>
      </c>
      <c r="BW322" s="418">
        <f t="shared" si="510"/>
        <v>4.4451000000000001</v>
      </c>
      <c r="BX322" s="420">
        <f t="shared" si="510"/>
        <v>0</v>
      </c>
      <c r="BY322" s="419"/>
      <c r="BZ322" s="414"/>
      <c r="CA322" s="414"/>
      <c r="CB322" s="414"/>
      <c r="CC322" s="414"/>
      <c r="CD322" s="422"/>
      <c r="CE322" s="419">
        <f t="shared" si="440"/>
        <v>0</v>
      </c>
      <c r="CF322" s="414">
        <v>0</v>
      </c>
      <c r="CG322" s="414">
        <v>0</v>
      </c>
      <c r="CH322" s="414">
        <v>0</v>
      </c>
      <c r="CI322" s="414">
        <v>0</v>
      </c>
      <c r="CJ322" s="509">
        <v>0</v>
      </c>
    </row>
    <row r="323" spans="1:88" ht="14.1" customHeight="1">
      <c r="A323" s="66">
        <v>64</v>
      </c>
      <c r="B323" s="63">
        <v>2458</v>
      </c>
      <c r="C323" s="64">
        <v>600079741</v>
      </c>
      <c r="D323" s="63">
        <v>72744243</v>
      </c>
      <c r="E323" s="65" t="s">
        <v>663</v>
      </c>
      <c r="F323" s="66">
        <v>3143</v>
      </c>
      <c r="G323" s="77" t="s">
        <v>596</v>
      </c>
      <c r="H323" s="67" t="s">
        <v>272</v>
      </c>
      <c r="I323" s="419">
        <v>96819</v>
      </c>
      <c r="J323" s="414">
        <v>69300</v>
      </c>
      <c r="K323" s="414">
        <v>0</v>
      </c>
      <c r="L323" s="601">
        <v>69300</v>
      </c>
      <c r="M323" s="414">
        <v>0</v>
      </c>
      <c r="N323" s="414">
        <v>0</v>
      </c>
      <c r="O323" s="414">
        <v>0</v>
      </c>
      <c r="P323" s="595">
        <v>23424</v>
      </c>
      <c r="Q323" s="595">
        <v>693</v>
      </c>
      <c r="R323" s="602">
        <v>3402</v>
      </c>
      <c r="S323" s="415">
        <v>0.26500000000000001</v>
      </c>
      <c r="T323" s="605">
        <v>0</v>
      </c>
      <c r="U323" s="731">
        <v>0.26500000000000001</v>
      </c>
      <c r="V323" s="423">
        <f t="shared" si="422"/>
        <v>0</v>
      </c>
      <c r="W323" s="417">
        <f t="shared" si="423"/>
        <v>0</v>
      </c>
      <c r="X323" s="417">
        <v>0</v>
      </c>
      <c r="Y323" s="417">
        <v>0</v>
      </c>
      <c r="Z323" s="417">
        <v>0</v>
      </c>
      <c r="AA323" s="417">
        <v>0</v>
      </c>
      <c r="AB323" s="417">
        <v>0</v>
      </c>
      <c r="AC323" s="417">
        <v>0</v>
      </c>
      <c r="AD323" s="417">
        <v>0</v>
      </c>
      <c r="AE323" s="417">
        <f t="shared" si="424"/>
        <v>0</v>
      </c>
      <c r="AF323" s="417">
        <f t="shared" si="425"/>
        <v>0</v>
      </c>
      <c r="AG323" s="417">
        <f t="shared" si="426"/>
        <v>0</v>
      </c>
      <c r="AH323" s="417">
        <v>0</v>
      </c>
      <c r="AI323" s="417">
        <v>0</v>
      </c>
      <c r="AJ323" s="417">
        <v>0</v>
      </c>
      <c r="AK323" s="417">
        <v>0</v>
      </c>
      <c r="AL323" s="417">
        <v>0</v>
      </c>
      <c r="AM323" s="417">
        <f t="shared" si="427"/>
        <v>0</v>
      </c>
      <c r="AN323" s="417">
        <f t="shared" si="428"/>
        <v>0</v>
      </c>
      <c r="AO323" s="417">
        <f t="shared" si="429"/>
        <v>0</v>
      </c>
      <c r="AP323" s="417">
        <f t="shared" si="430"/>
        <v>0</v>
      </c>
      <c r="AQ323" s="417">
        <f t="shared" si="431"/>
        <v>0</v>
      </c>
      <c r="AR323" s="417">
        <f t="shared" si="432"/>
        <v>0</v>
      </c>
      <c r="AS323" s="68">
        <f t="shared" si="433"/>
        <v>0</v>
      </c>
      <c r="AT323" s="68">
        <f t="shared" si="434"/>
        <v>0</v>
      </c>
      <c r="AU323" s="417">
        <v>0</v>
      </c>
      <c r="AV323" s="417">
        <v>0</v>
      </c>
      <c r="AW323" s="417">
        <v>0</v>
      </c>
      <c r="AX323" s="417">
        <f t="shared" si="435"/>
        <v>0</v>
      </c>
      <c r="AY323" s="417">
        <f t="shared" si="436"/>
        <v>0</v>
      </c>
      <c r="AZ323" s="418">
        <v>0</v>
      </c>
      <c r="BA323" s="418">
        <v>0</v>
      </c>
      <c r="BB323" s="418">
        <v>0</v>
      </c>
      <c r="BC323" s="418">
        <v>0</v>
      </c>
      <c r="BD323" s="418">
        <v>0</v>
      </c>
      <c r="BE323" s="418">
        <v>0</v>
      </c>
      <c r="BF323" s="418">
        <v>0</v>
      </c>
      <c r="BG323" s="418">
        <v>0</v>
      </c>
      <c r="BH323" s="418">
        <v>0</v>
      </c>
      <c r="BI323" s="418">
        <f t="shared" si="437"/>
        <v>0</v>
      </c>
      <c r="BJ323" s="418">
        <f t="shared" si="438"/>
        <v>0</v>
      </c>
      <c r="BK323" s="420">
        <f t="shared" si="439"/>
        <v>0</v>
      </c>
      <c r="BL323" s="772">
        <f>I323+AY323</f>
        <v>96819</v>
      </c>
      <c r="BM323" s="417">
        <f>J323+AG323</f>
        <v>69300</v>
      </c>
      <c r="BN323" s="417">
        <f t="shared" si="507"/>
        <v>0</v>
      </c>
      <c r="BO323" s="417">
        <f t="shared" si="507"/>
        <v>69300</v>
      </c>
      <c r="BP323" s="417">
        <f>M323+AO323</f>
        <v>0</v>
      </c>
      <c r="BQ323" s="417">
        <f t="shared" si="508"/>
        <v>0</v>
      </c>
      <c r="BR323" s="417">
        <f t="shared" si="508"/>
        <v>0</v>
      </c>
      <c r="BS323" s="417">
        <f t="shared" si="509"/>
        <v>23424</v>
      </c>
      <c r="BT323" s="417">
        <f t="shared" si="509"/>
        <v>693</v>
      </c>
      <c r="BU323" s="417">
        <f>R323+AX323</f>
        <v>3402</v>
      </c>
      <c r="BV323" s="418">
        <f>S323+BK323</f>
        <v>0.26500000000000001</v>
      </c>
      <c r="BW323" s="418">
        <f t="shared" si="510"/>
        <v>0</v>
      </c>
      <c r="BX323" s="420">
        <f t="shared" si="510"/>
        <v>0.26500000000000001</v>
      </c>
      <c r="BY323" s="419"/>
      <c r="BZ323" s="414"/>
      <c r="CA323" s="414"/>
      <c r="CB323" s="414"/>
      <c r="CC323" s="414"/>
      <c r="CD323" s="422"/>
      <c r="CE323" s="419">
        <f t="shared" si="440"/>
        <v>0</v>
      </c>
      <c r="CF323" s="414">
        <v>0</v>
      </c>
      <c r="CG323" s="414">
        <v>0</v>
      </c>
      <c r="CH323" s="414">
        <v>0</v>
      </c>
      <c r="CI323" s="414">
        <v>0</v>
      </c>
      <c r="CJ323" s="509">
        <v>0</v>
      </c>
    </row>
    <row r="324" spans="1:88" ht="14.1" customHeight="1">
      <c r="A324" s="72">
        <v>64</v>
      </c>
      <c r="B324" s="69">
        <v>2458</v>
      </c>
      <c r="C324" s="70">
        <v>600079741</v>
      </c>
      <c r="D324" s="69">
        <v>72744243</v>
      </c>
      <c r="E324" s="71" t="s">
        <v>664</v>
      </c>
      <c r="F324" s="72"/>
      <c r="G324" s="71"/>
      <c r="H324" s="73"/>
      <c r="I324" s="516">
        <v>32674889</v>
      </c>
      <c r="J324" s="74">
        <v>23874466</v>
      </c>
      <c r="K324" s="74">
        <v>19909735</v>
      </c>
      <c r="L324" s="74">
        <v>3964731</v>
      </c>
      <c r="M324" s="74">
        <v>40000</v>
      </c>
      <c r="N324" s="74">
        <v>25000</v>
      </c>
      <c r="O324" s="74">
        <v>15000</v>
      </c>
      <c r="P324" s="74">
        <v>8083090</v>
      </c>
      <c r="Q324" s="74">
        <v>238744</v>
      </c>
      <c r="R324" s="74">
        <v>438589</v>
      </c>
      <c r="S324" s="75">
        <v>44.584500000000006</v>
      </c>
      <c r="T324" s="75">
        <v>32.705200000000005</v>
      </c>
      <c r="U324" s="653">
        <v>11.879300000000001</v>
      </c>
      <c r="V324" s="516">
        <f t="shared" ref="V324:BX324" si="511">SUM(V319:V323)</f>
        <v>9095</v>
      </c>
      <c r="W324" s="74">
        <f t="shared" si="511"/>
        <v>5410</v>
      </c>
      <c r="X324" s="74">
        <f t="shared" si="511"/>
        <v>7724</v>
      </c>
      <c r="Y324" s="74">
        <f t="shared" si="511"/>
        <v>17874</v>
      </c>
      <c r="Z324" s="74">
        <f t="shared" si="511"/>
        <v>0</v>
      </c>
      <c r="AA324" s="74">
        <f t="shared" si="511"/>
        <v>0</v>
      </c>
      <c r="AB324" s="74">
        <f t="shared" si="511"/>
        <v>0</v>
      </c>
      <c r="AC324" s="74">
        <f t="shared" si="511"/>
        <v>0</v>
      </c>
      <c r="AD324" s="74">
        <f t="shared" si="511"/>
        <v>0</v>
      </c>
      <c r="AE324" s="74">
        <f t="shared" si="511"/>
        <v>34693</v>
      </c>
      <c r="AF324" s="74">
        <f t="shared" si="511"/>
        <v>5410</v>
      </c>
      <c r="AG324" s="74">
        <f t="shared" si="511"/>
        <v>40103</v>
      </c>
      <c r="AH324" s="74">
        <f t="shared" si="511"/>
        <v>-9095</v>
      </c>
      <c r="AI324" s="74">
        <f t="shared" si="511"/>
        <v>-5410</v>
      </c>
      <c r="AJ324" s="74">
        <f t="shared" si="511"/>
        <v>0</v>
      </c>
      <c r="AK324" s="74">
        <f t="shared" si="511"/>
        <v>0</v>
      </c>
      <c r="AL324" s="74">
        <f t="shared" si="511"/>
        <v>0</v>
      </c>
      <c r="AM324" s="74">
        <f t="shared" si="511"/>
        <v>-9095</v>
      </c>
      <c r="AN324" s="74">
        <f t="shared" si="511"/>
        <v>-5410</v>
      </c>
      <c r="AO324" s="74">
        <f t="shared" si="511"/>
        <v>-14505</v>
      </c>
      <c r="AP324" s="74">
        <f t="shared" si="511"/>
        <v>25598</v>
      </c>
      <c r="AQ324" s="74">
        <f t="shared" si="511"/>
        <v>0</v>
      </c>
      <c r="AR324" s="74">
        <f t="shared" si="511"/>
        <v>25598</v>
      </c>
      <c r="AS324" s="74">
        <f t="shared" si="511"/>
        <v>8652</v>
      </c>
      <c r="AT324" s="74">
        <f t="shared" si="511"/>
        <v>401</v>
      </c>
      <c r="AU324" s="74">
        <f t="shared" si="511"/>
        <v>2750</v>
      </c>
      <c r="AV324" s="74">
        <f t="shared" si="511"/>
        <v>0</v>
      </c>
      <c r="AW324" s="74">
        <f t="shared" si="511"/>
        <v>0</v>
      </c>
      <c r="AX324" s="74">
        <f t="shared" si="511"/>
        <v>2750</v>
      </c>
      <c r="AY324" s="74">
        <f t="shared" si="511"/>
        <v>37401</v>
      </c>
      <c r="AZ324" s="75">
        <f t="shared" si="511"/>
        <v>0</v>
      </c>
      <c r="BA324" s="75">
        <f t="shared" si="511"/>
        <v>0</v>
      </c>
      <c r="BB324" s="75">
        <f t="shared" si="511"/>
        <v>2.0000000000000004E-2</v>
      </c>
      <c r="BC324" s="75">
        <f t="shared" si="511"/>
        <v>0</v>
      </c>
      <c r="BD324" s="75">
        <f t="shared" si="511"/>
        <v>0</v>
      </c>
      <c r="BE324" s="75">
        <f t="shared" si="511"/>
        <v>0.03</v>
      </c>
      <c r="BF324" s="75">
        <f t="shared" si="511"/>
        <v>0</v>
      </c>
      <c r="BG324" s="75">
        <f t="shared" si="511"/>
        <v>0</v>
      </c>
      <c r="BH324" s="75">
        <f t="shared" si="511"/>
        <v>0</v>
      </c>
      <c r="BI324" s="75">
        <f t="shared" si="511"/>
        <v>0.05</v>
      </c>
      <c r="BJ324" s="75">
        <f t="shared" si="511"/>
        <v>0</v>
      </c>
      <c r="BK324" s="76">
        <f t="shared" si="511"/>
        <v>0.05</v>
      </c>
      <c r="BL324" s="781">
        <f t="shared" si="511"/>
        <v>32712290</v>
      </c>
      <c r="BM324" s="74">
        <f t="shared" si="511"/>
        <v>23914569</v>
      </c>
      <c r="BN324" s="74">
        <f t="shared" si="511"/>
        <v>19944428</v>
      </c>
      <c r="BO324" s="74">
        <f t="shared" si="511"/>
        <v>3970141</v>
      </c>
      <c r="BP324" s="74">
        <f t="shared" si="511"/>
        <v>25495</v>
      </c>
      <c r="BQ324" s="74">
        <f t="shared" si="511"/>
        <v>15905</v>
      </c>
      <c r="BR324" s="74">
        <f t="shared" si="511"/>
        <v>9590</v>
      </c>
      <c r="BS324" s="74">
        <f t="shared" si="511"/>
        <v>8091742</v>
      </c>
      <c r="BT324" s="74">
        <f t="shared" si="511"/>
        <v>239145</v>
      </c>
      <c r="BU324" s="74">
        <f t="shared" si="511"/>
        <v>441339</v>
      </c>
      <c r="BV324" s="75">
        <f t="shared" si="511"/>
        <v>44.634500000000003</v>
      </c>
      <c r="BW324" s="75">
        <f t="shared" si="511"/>
        <v>32.755200000000002</v>
      </c>
      <c r="BX324" s="76">
        <f t="shared" si="511"/>
        <v>11.879300000000001</v>
      </c>
      <c r="BY324" s="791">
        <f t="shared" ref="BY324:CJ324" si="512">SUM(BY319:BY323)</f>
        <v>0</v>
      </c>
      <c r="BZ324" s="679">
        <f t="shared" si="512"/>
        <v>0</v>
      </c>
      <c r="CA324" s="679">
        <f t="shared" si="512"/>
        <v>0</v>
      </c>
      <c r="CB324" s="679">
        <f t="shared" si="512"/>
        <v>0</v>
      </c>
      <c r="CC324" s="679">
        <f t="shared" si="512"/>
        <v>0</v>
      </c>
      <c r="CD324" s="947">
        <f t="shared" si="512"/>
        <v>0</v>
      </c>
      <c r="CE324" s="956">
        <f t="shared" si="512"/>
        <v>1010803</v>
      </c>
      <c r="CF324" s="953">
        <f t="shared" si="512"/>
        <v>677055</v>
      </c>
      <c r="CG324" s="953">
        <f t="shared" si="512"/>
        <v>228845</v>
      </c>
      <c r="CH324" s="953">
        <f t="shared" si="512"/>
        <v>6771</v>
      </c>
      <c r="CI324" s="953">
        <f t="shared" si="512"/>
        <v>98132</v>
      </c>
      <c r="CJ324" s="877">
        <f t="shared" si="512"/>
        <v>1.9948999999999999</v>
      </c>
    </row>
    <row r="325" spans="1:88" ht="14.1" customHeight="1">
      <c r="A325" s="66">
        <v>65</v>
      </c>
      <c r="B325" s="63">
        <v>2316</v>
      </c>
      <c r="C325" s="64">
        <v>600080439</v>
      </c>
      <c r="D325" s="63">
        <v>70983224</v>
      </c>
      <c r="E325" s="65" t="s">
        <v>665</v>
      </c>
      <c r="F325" s="66">
        <v>3233</v>
      </c>
      <c r="G325" s="65" t="s">
        <v>297</v>
      </c>
      <c r="H325" s="67" t="s">
        <v>272</v>
      </c>
      <c r="I325" s="419">
        <v>2753530</v>
      </c>
      <c r="J325" s="414">
        <v>1980890</v>
      </c>
      <c r="K325" s="414">
        <v>1589006</v>
      </c>
      <c r="L325" s="414">
        <v>391884</v>
      </c>
      <c r="M325" s="414">
        <v>60000</v>
      </c>
      <c r="N325" s="414">
        <v>40000</v>
      </c>
      <c r="O325" s="414">
        <v>20000</v>
      </c>
      <c r="P325" s="595">
        <v>689821</v>
      </c>
      <c r="Q325" s="595">
        <v>19809</v>
      </c>
      <c r="R325" s="414">
        <v>3010</v>
      </c>
      <c r="S325" s="415">
        <v>4.1400000000000006</v>
      </c>
      <c r="T325" s="416">
        <v>2.8800000000000003</v>
      </c>
      <c r="U325" s="422">
        <v>1.26</v>
      </c>
      <c r="V325" s="423">
        <f t="shared" si="422"/>
        <v>-40000</v>
      </c>
      <c r="W325" s="417">
        <f t="shared" si="423"/>
        <v>-30000</v>
      </c>
      <c r="X325" s="417">
        <v>0</v>
      </c>
      <c r="Y325" s="417">
        <v>0</v>
      </c>
      <c r="Z325" s="417">
        <v>0</v>
      </c>
      <c r="AA325" s="417">
        <v>0</v>
      </c>
      <c r="AB325" s="417">
        <v>0</v>
      </c>
      <c r="AC325" s="417">
        <v>0</v>
      </c>
      <c r="AD325" s="417">
        <v>0</v>
      </c>
      <c r="AE325" s="417">
        <f t="shared" si="424"/>
        <v>-40000</v>
      </c>
      <c r="AF325" s="417">
        <f t="shared" si="425"/>
        <v>-30000</v>
      </c>
      <c r="AG325" s="417">
        <f t="shared" si="426"/>
        <v>-70000</v>
      </c>
      <c r="AH325" s="417">
        <v>40000</v>
      </c>
      <c r="AI325" s="417">
        <v>30000</v>
      </c>
      <c r="AJ325" s="417">
        <v>0</v>
      </c>
      <c r="AK325" s="417">
        <v>0</v>
      </c>
      <c r="AL325" s="417">
        <v>0</v>
      </c>
      <c r="AM325" s="417">
        <f t="shared" si="427"/>
        <v>40000</v>
      </c>
      <c r="AN325" s="417">
        <f t="shared" si="428"/>
        <v>30000</v>
      </c>
      <c r="AO325" s="417">
        <f t="shared" si="429"/>
        <v>70000</v>
      </c>
      <c r="AP325" s="417">
        <f t="shared" si="430"/>
        <v>0</v>
      </c>
      <c r="AQ325" s="417">
        <f t="shared" si="431"/>
        <v>0</v>
      </c>
      <c r="AR325" s="417">
        <f t="shared" si="432"/>
        <v>0</v>
      </c>
      <c r="AS325" s="68">
        <f t="shared" si="433"/>
        <v>0</v>
      </c>
      <c r="AT325" s="68">
        <f t="shared" si="434"/>
        <v>-700</v>
      </c>
      <c r="AU325" s="417">
        <v>0</v>
      </c>
      <c r="AV325" s="417">
        <v>0</v>
      </c>
      <c r="AW325" s="417">
        <v>0</v>
      </c>
      <c r="AX325" s="417">
        <f t="shared" si="435"/>
        <v>0</v>
      </c>
      <c r="AY325" s="417">
        <f t="shared" si="436"/>
        <v>-700</v>
      </c>
      <c r="AZ325" s="418">
        <v>-0.04</v>
      </c>
      <c r="BA325" s="418">
        <v>-0.1</v>
      </c>
      <c r="BB325" s="418">
        <v>0</v>
      </c>
      <c r="BC325" s="418">
        <v>0</v>
      </c>
      <c r="BD325" s="418">
        <v>0</v>
      </c>
      <c r="BE325" s="418">
        <v>0</v>
      </c>
      <c r="BF325" s="418">
        <v>0</v>
      </c>
      <c r="BG325" s="418">
        <v>0</v>
      </c>
      <c r="BH325" s="418">
        <v>0</v>
      </c>
      <c r="BI325" s="418">
        <f t="shared" si="437"/>
        <v>-0.04</v>
      </c>
      <c r="BJ325" s="418">
        <f t="shared" si="438"/>
        <v>-0.1</v>
      </c>
      <c r="BK325" s="420">
        <f t="shared" si="439"/>
        <v>-0.14000000000000001</v>
      </c>
      <c r="BL325" s="772">
        <f>I325+AY325</f>
        <v>2752830</v>
      </c>
      <c r="BM325" s="417">
        <f>J325+AG325</f>
        <v>1910890</v>
      </c>
      <c r="BN325" s="417">
        <f>K325+AE325</f>
        <v>1549006</v>
      </c>
      <c r="BO325" s="417">
        <f>L325+AF325</f>
        <v>361884</v>
      </c>
      <c r="BP325" s="417">
        <f>M325+AO325</f>
        <v>130000</v>
      </c>
      <c r="BQ325" s="417">
        <f>N325+AM325</f>
        <v>80000</v>
      </c>
      <c r="BR325" s="417">
        <f>O325+AN325</f>
        <v>50000</v>
      </c>
      <c r="BS325" s="417">
        <f>P325+AS325</f>
        <v>689821</v>
      </c>
      <c r="BT325" s="417">
        <f>Q325+AT325</f>
        <v>19109</v>
      </c>
      <c r="BU325" s="417">
        <f>R325+AX325</f>
        <v>3010</v>
      </c>
      <c r="BV325" s="418">
        <f>S325+BK325</f>
        <v>4.0000000000000009</v>
      </c>
      <c r="BW325" s="418">
        <f>T325+BI325</f>
        <v>2.8400000000000003</v>
      </c>
      <c r="BX325" s="420">
        <f>U325+BJ325</f>
        <v>1.1599999999999999</v>
      </c>
      <c r="BY325" s="419"/>
      <c r="BZ325" s="414"/>
      <c r="CA325" s="414"/>
      <c r="CB325" s="414"/>
      <c r="CC325" s="414"/>
      <c r="CD325" s="422"/>
      <c r="CE325" s="419">
        <f t="shared" si="440"/>
        <v>0</v>
      </c>
      <c r="CF325" s="414">
        <v>0</v>
      </c>
      <c r="CG325" s="414">
        <v>0</v>
      </c>
      <c r="CH325" s="414">
        <v>0</v>
      </c>
      <c r="CI325" s="414">
        <v>0</v>
      </c>
      <c r="CJ325" s="509">
        <v>0</v>
      </c>
    </row>
    <row r="326" spans="1:88" ht="14.1" customHeight="1">
      <c r="A326" s="72">
        <v>65</v>
      </c>
      <c r="B326" s="69">
        <v>2316</v>
      </c>
      <c r="C326" s="70">
        <v>600080439</v>
      </c>
      <c r="D326" s="69">
        <v>70983224</v>
      </c>
      <c r="E326" s="71" t="s">
        <v>666</v>
      </c>
      <c r="F326" s="72"/>
      <c r="G326" s="71"/>
      <c r="H326" s="73"/>
      <c r="I326" s="516">
        <v>2753530</v>
      </c>
      <c r="J326" s="74">
        <v>1980890</v>
      </c>
      <c r="K326" s="74">
        <v>1589006</v>
      </c>
      <c r="L326" s="74">
        <v>391884</v>
      </c>
      <c r="M326" s="74">
        <v>60000</v>
      </c>
      <c r="N326" s="74">
        <v>40000</v>
      </c>
      <c r="O326" s="74">
        <v>20000</v>
      </c>
      <c r="P326" s="74">
        <v>689821</v>
      </c>
      <c r="Q326" s="74">
        <v>19809</v>
      </c>
      <c r="R326" s="74">
        <v>3010</v>
      </c>
      <c r="S326" s="75">
        <v>4.1400000000000006</v>
      </c>
      <c r="T326" s="75">
        <v>2.8800000000000003</v>
      </c>
      <c r="U326" s="653">
        <v>1.26</v>
      </c>
      <c r="V326" s="516">
        <f t="shared" ref="V326:BX326" si="513">SUM(V325)</f>
        <v>-40000</v>
      </c>
      <c r="W326" s="74">
        <f t="shared" si="513"/>
        <v>-30000</v>
      </c>
      <c r="X326" s="74">
        <f t="shared" si="513"/>
        <v>0</v>
      </c>
      <c r="Y326" s="74">
        <f t="shared" si="513"/>
        <v>0</v>
      </c>
      <c r="Z326" s="74">
        <f t="shared" si="513"/>
        <v>0</v>
      </c>
      <c r="AA326" s="74">
        <f t="shared" si="513"/>
        <v>0</v>
      </c>
      <c r="AB326" s="74">
        <f t="shared" si="513"/>
        <v>0</v>
      </c>
      <c r="AC326" s="74">
        <f t="shared" si="513"/>
        <v>0</v>
      </c>
      <c r="AD326" s="74">
        <f t="shared" si="513"/>
        <v>0</v>
      </c>
      <c r="AE326" s="74">
        <f t="shared" si="513"/>
        <v>-40000</v>
      </c>
      <c r="AF326" s="74">
        <f t="shared" si="513"/>
        <v>-30000</v>
      </c>
      <c r="AG326" s="74">
        <f t="shared" si="513"/>
        <v>-70000</v>
      </c>
      <c r="AH326" s="74">
        <f t="shared" si="513"/>
        <v>40000</v>
      </c>
      <c r="AI326" s="74">
        <f t="shared" si="513"/>
        <v>30000</v>
      </c>
      <c r="AJ326" s="74">
        <f t="shared" si="513"/>
        <v>0</v>
      </c>
      <c r="AK326" s="74">
        <f t="shared" si="513"/>
        <v>0</v>
      </c>
      <c r="AL326" s="74">
        <f t="shared" si="513"/>
        <v>0</v>
      </c>
      <c r="AM326" s="74">
        <f t="shared" si="513"/>
        <v>40000</v>
      </c>
      <c r="AN326" s="74">
        <f t="shared" si="513"/>
        <v>30000</v>
      </c>
      <c r="AO326" s="74">
        <f t="shared" si="513"/>
        <v>70000</v>
      </c>
      <c r="AP326" s="74">
        <f t="shared" si="513"/>
        <v>0</v>
      </c>
      <c r="AQ326" s="74">
        <f t="shared" si="513"/>
        <v>0</v>
      </c>
      <c r="AR326" s="74">
        <f t="shared" si="513"/>
        <v>0</v>
      </c>
      <c r="AS326" s="74">
        <f t="shared" si="513"/>
        <v>0</v>
      </c>
      <c r="AT326" s="74">
        <f t="shared" si="513"/>
        <v>-700</v>
      </c>
      <c r="AU326" s="74">
        <f t="shared" si="513"/>
        <v>0</v>
      </c>
      <c r="AV326" s="74">
        <f t="shared" si="513"/>
        <v>0</v>
      </c>
      <c r="AW326" s="74">
        <f t="shared" si="513"/>
        <v>0</v>
      </c>
      <c r="AX326" s="74">
        <f t="shared" si="513"/>
        <v>0</v>
      </c>
      <c r="AY326" s="74">
        <f t="shared" si="513"/>
        <v>-700</v>
      </c>
      <c r="AZ326" s="75">
        <f t="shared" si="513"/>
        <v>-0.04</v>
      </c>
      <c r="BA326" s="75">
        <f t="shared" si="513"/>
        <v>-0.1</v>
      </c>
      <c r="BB326" s="75">
        <f t="shared" si="513"/>
        <v>0</v>
      </c>
      <c r="BC326" s="75">
        <f t="shared" si="513"/>
        <v>0</v>
      </c>
      <c r="BD326" s="75">
        <f t="shared" si="513"/>
        <v>0</v>
      </c>
      <c r="BE326" s="75">
        <f t="shared" si="513"/>
        <v>0</v>
      </c>
      <c r="BF326" s="75">
        <f t="shared" si="513"/>
        <v>0</v>
      </c>
      <c r="BG326" s="75">
        <f t="shared" si="513"/>
        <v>0</v>
      </c>
      <c r="BH326" s="75">
        <f t="shared" si="513"/>
        <v>0</v>
      </c>
      <c r="BI326" s="75">
        <f t="shared" si="513"/>
        <v>-0.04</v>
      </c>
      <c r="BJ326" s="75">
        <f t="shared" si="513"/>
        <v>-0.1</v>
      </c>
      <c r="BK326" s="76">
        <f t="shared" si="513"/>
        <v>-0.14000000000000001</v>
      </c>
      <c r="BL326" s="781">
        <f t="shared" si="513"/>
        <v>2752830</v>
      </c>
      <c r="BM326" s="74">
        <f t="shared" si="513"/>
        <v>1910890</v>
      </c>
      <c r="BN326" s="74">
        <f t="shared" si="513"/>
        <v>1549006</v>
      </c>
      <c r="BO326" s="74">
        <f t="shared" si="513"/>
        <v>361884</v>
      </c>
      <c r="BP326" s="74">
        <f t="shared" si="513"/>
        <v>130000</v>
      </c>
      <c r="BQ326" s="74">
        <f t="shared" si="513"/>
        <v>80000</v>
      </c>
      <c r="BR326" s="74">
        <f t="shared" si="513"/>
        <v>50000</v>
      </c>
      <c r="BS326" s="74">
        <f t="shared" si="513"/>
        <v>689821</v>
      </c>
      <c r="BT326" s="74">
        <f t="shared" si="513"/>
        <v>19109</v>
      </c>
      <c r="BU326" s="74">
        <f t="shared" si="513"/>
        <v>3010</v>
      </c>
      <c r="BV326" s="75">
        <f t="shared" si="513"/>
        <v>4.0000000000000009</v>
      </c>
      <c r="BW326" s="75">
        <f t="shared" si="513"/>
        <v>2.8400000000000003</v>
      </c>
      <c r="BX326" s="76">
        <f t="shared" si="513"/>
        <v>1.1599999999999999</v>
      </c>
      <c r="BY326" s="791">
        <f t="shared" ref="BY326:CJ326" si="514">SUM(BY325)</f>
        <v>0</v>
      </c>
      <c r="BZ326" s="679">
        <f t="shared" si="514"/>
        <v>0</v>
      </c>
      <c r="CA326" s="679">
        <f t="shared" si="514"/>
        <v>0</v>
      </c>
      <c r="CB326" s="679">
        <f t="shared" si="514"/>
        <v>0</v>
      </c>
      <c r="CC326" s="679">
        <f t="shared" si="514"/>
        <v>0</v>
      </c>
      <c r="CD326" s="947">
        <f t="shared" si="514"/>
        <v>0</v>
      </c>
      <c r="CE326" s="956">
        <f t="shared" si="514"/>
        <v>0</v>
      </c>
      <c r="CF326" s="953">
        <f t="shared" si="514"/>
        <v>0</v>
      </c>
      <c r="CG326" s="953">
        <f t="shared" si="514"/>
        <v>0</v>
      </c>
      <c r="CH326" s="953">
        <f t="shared" si="514"/>
        <v>0</v>
      </c>
      <c r="CI326" s="953">
        <f t="shared" si="514"/>
        <v>0</v>
      </c>
      <c r="CJ326" s="877">
        <f t="shared" si="514"/>
        <v>0</v>
      </c>
    </row>
    <row r="327" spans="1:88" ht="14.1" customHeight="1">
      <c r="A327" s="66">
        <v>66</v>
      </c>
      <c r="B327" s="63">
        <v>2402</v>
      </c>
      <c r="C327" s="64">
        <v>600078949</v>
      </c>
      <c r="D327" s="63">
        <v>70983208</v>
      </c>
      <c r="E327" s="65" t="s">
        <v>667</v>
      </c>
      <c r="F327" s="66">
        <v>3111</v>
      </c>
      <c r="G327" s="65" t="s">
        <v>290</v>
      </c>
      <c r="H327" s="67" t="s">
        <v>271</v>
      </c>
      <c r="I327" s="419">
        <v>7355552</v>
      </c>
      <c r="J327" s="414">
        <v>5432012</v>
      </c>
      <c r="K327" s="414">
        <v>4669734</v>
      </c>
      <c r="L327" s="414">
        <v>762278</v>
      </c>
      <c r="M327" s="414">
        <v>0</v>
      </c>
      <c r="N327" s="414">
        <v>0</v>
      </c>
      <c r="O327" s="414">
        <v>0</v>
      </c>
      <c r="P327" s="595">
        <v>1836020</v>
      </c>
      <c r="Q327" s="595">
        <v>54320</v>
      </c>
      <c r="R327" s="414">
        <v>33200</v>
      </c>
      <c r="S327" s="415">
        <v>10.5916</v>
      </c>
      <c r="T327" s="415">
        <v>8</v>
      </c>
      <c r="U327" s="422">
        <v>2.5916000000000001</v>
      </c>
      <c r="V327" s="423">
        <f t="shared" si="422"/>
        <v>0</v>
      </c>
      <c r="W327" s="417">
        <f t="shared" si="423"/>
        <v>0</v>
      </c>
      <c r="X327" s="417">
        <v>0</v>
      </c>
      <c r="Y327" s="417">
        <v>0</v>
      </c>
      <c r="Z327" s="417">
        <v>0</v>
      </c>
      <c r="AA327" s="417">
        <v>0</v>
      </c>
      <c r="AB327" s="417">
        <v>0</v>
      </c>
      <c r="AC327" s="417">
        <v>0</v>
      </c>
      <c r="AD327" s="417">
        <v>0</v>
      </c>
      <c r="AE327" s="417">
        <f t="shared" si="424"/>
        <v>0</v>
      </c>
      <c r="AF327" s="417">
        <f t="shared" si="425"/>
        <v>0</v>
      </c>
      <c r="AG327" s="417">
        <f t="shared" si="426"/>
        <v>0</v>
      </c>
      <c r="AH327" s="417">
        <v>0</v>
      </c>
      <c r="AI327" s="417">
        <v>0</v>
      </c>
      <c r="AJ327" s="417">
        <v>0</v>
      </c>
      <c r="AK327" s="417">
        <v>0</v>
      </c>
      <c r="AL327" s="417">
        <v>0</v>
      </c>
      <c r="AM327" s="417">
        <f t="shared" si="427"/>
        <v>0</v>
      </c>
      <c r="AN327" s="417">
        <f t="shared" si="428"/>
        <v>0</v>
      </c>
      <c r="AO327" s="417">
        <f t="shared" si="429"/>
        <v>0</v>
      </c>
      <c r="AP327" s="417">
        <f t="shared" si="430"/>
        <v>0</v>
      </c>
      <c r="AQ327" s="417">
        <f t="shared" si="431"/>
        <v>0</v>
      </c>
      <c r="AR327" s="417">
        <f t="shared" si="432"/>
        <v>0</v>
      </c>
      <c r="AS327" s="68">
        <f t="shared" si="433"/>
        <v>0</v>
      </c>
      <c r="AT327" s="68">
        <f t="shared" si="434"/>
        <v>0</v>
      </c>
      <c r="AU327" s="417">
        <v>0</v>
      </c>
      <c r="AV327" s="417">
        <v>0</v>
      </c>
      <c r="AW327" s="417">
        <v>0</v>
      </c>
      <c r="AX327" s="417">
        <f t="shared" si="435"/>
        <v>0</v>
      </c>
      <c r="AY327" s="417">
        <f t="shared" si="436"/>
        <v>0</v>
      </c>
      <c r="AZ327" s="418">
        <v>0</v>
      </c>
      <c r="BA327" s="418">
        <v>0</v>
      </c>
      <c r="BB327" s="418">
        <v>0</v>
      </c>
      <c r="BC327" s="418">
        <v>0</v>
      </c>
      <c r="BD327" s="418">
        <v>0</v>
      </c>
      <c r="BE327" s="418">
        <v>0</v>
      </c>
      <c r="BF327" s="418">
        <v>0</v>
      </c>
      <c r="BG327" s="418">
        <v>0</v>
      </c>
      <c r="BH327" s="418">
        <v>0</v>
      </c>
      <c r="BI327" s="418">
        <f t="shared" si="437"/>
        <v>0</v>
      </c>
      <c r="BJ327" s="418">
        <f t="shared" si="438"/>
        <v>0</v>
      </c>
      <c r="BK327" s="420">
        <f t="shared" si="439"/>
        <v>0</v>
      </c>
      <c r="BL327" s="772">
        <f>I327+AY327</f>
        <v>7355552</v>
      </c>
      <c r="BM327" s="417">
        <f>J327+AG327</f>
        <v>5432012</v>
      </c>
      <c r="BN327" s="417">
        <f t="shared" ref="BN327:BO329" si="515">K327+AE327</f>
        <v>4669734</v>
      </c>
      <c r="BO327" s="417">
        <f t="shared" si="515"/>
        <v>762278</v>
      </c>
      <c r="BP327" s="417">
        <f>M327+AO327</f>
        <v>0</v>
      </c>
      <c r="BQ327" s="417">
        <f t="shared" ref="BQ327:BR329" si="516">N327+AM327</f>
        <v>0</v>
      </c>
      <c r="BR327" s="417">
        <f t="shared" si="516"/>
        <v>0</v>
      </c>
      <c r="BS327" s="417">
        <f t="shared" ref="BS327:BT329" si="517">P327+AS327</f>
        <v>1836020</v>
      </c>
      <c r="BT327" s="417">
        <f t="shared" si="517"/>
        <v>54320</v>
      </c>
      <c r="BU327" s="417">
        <f>R327+AX327</f>
        <v>33200</v>
      </c>
      <c r="BV327" s="418">
        <f>S327+BK327</f>
        <v>10.5916</v>
      </c>
      <c r="BW327" s="418">
        <f t="shared" ref="BW327:BX329" si="518">T327+BI327</f>
        <v>8</v>
      </c>
      <c r="BX327" s="420">
        <f t="shared" si="518"/>
        <v>2.5916000000000001</v>
      </c>
      <c r="BY327" s="419"/>
      <c r="BZ327" s="414"/>
      <c r="CA327" s="414"/>
      <c r="CB327" s="414"/>
      <c r="CC327" s="414"/>
      <c r="CD327" s="422"/>
      <c r="CE327" s="419">
        <f t="shared" si="440"/>
        <v>340765</v>
      </c>
      <c r="CF327" s="414">
        <v>244604</v>
      </c>
      <c r="CG327" s="414">
        <v>82676</v>
      </c>
      <c r="CH327" s="414">
        <v>2446</v>
      </c>
      <c r="CI327" s="414">
        <v>11039</v>
      </c>
      <c r="CJ327" s="509">
        <v>0.83160000000000001</v>
      </c>
    </row>
    <row r="328" spans="1:88" ht="14.1" customHeight="1">
      <c r="A328" s="66">
        <v>66</v>
      </c>
      <c r="B328" s="63">
        <v>2402</v>
      </c>
      <c r="C328" s="64">
        <v>600078949</v>
      </c>
      <c r="D328" s="63">
        <v>70983208</v>
      </c>
      <c r="E328" s="65" t="s">
        <v>667</v>
      </c>
      <c r="F328" s="66">
        <v>3111</v>
      </c>
      <c r="G328" s="65" t="s">
        <v>291</v>
      </c>
      <c r="H328" s="67" t="s">
        <v>272</v>
      </c>
      <c r="I328" s="419">
        <v>366551</v>
      </c>
      <c r="J328" s="414">
        <v>271922</v>
      </c>
      <c r="K328" s="414">
        <v>271922</v>
      </c>
      <c r="L328" s="414">
        <v>0</v>
      </c>
      <c r="M328" s="414">
        <v>0</v>
      </c>
      <c r="N328" s="414">
        <v>0</v>
      </c>
      <c r="O328" s="414">
        <v>0</v>
      </c>
      <c r="P328" s="595">
        <v>91910</v>
      </c>
      <c r="Q328" s="595">
        <v>2719</v>
      </c>
      <c r="R328" s="414">
        <v>0</v>
      </c>
      <c r="S328" s="415">
        <v>1</v>
      </c>
      <c r="T328" s="416">
        <v>1</v>
      </c>
      <c r="U328" s="422">
        <v>0</v>
      </c>
      <c r="V328" s="423">
        <f t="shared" si="422"/>
        <v>0</v>
      </c>
      <c r="W328" s="417">
        <f t="shared" si="423"/>
        <v>0</v>
      </c>
      <c r="X328" s="417">
        <v>30900</v>
      </c>
      <c r="Y328" s="417">
        <v>0</v>
      </c>
      <c r="Z328" s="417">
        <v>0</v>
      </c>
      <c r="AA328" s="417">
        <v>0</v>
      </c>
      <c r="AB328" s="417">
        <v>0</v>
      </c>
      <c r="AC328" s="417">
        <v>0</v>
      </c>
      <c r="AD328" s="417">
        <v>0</v>
      </c>
      <c r="AE328" s="417">
        <f t="shared" si="424"/>
        <v>30900</v>
      </c>
      <c r="AF328" s="417">
        <f t="shared" si="425"/>
        <v>0</v>
      </c>
      <c r="AG328" s="417">
        <f t="shared" si="426"/>
        <v>30900</v>
      </c>
      <c r="AH328" s="417">
        <v>0</v>
      </c>
      <c r="AI328" s="417">
        <v>0</v>
      </c>
      <c r="AJ328" s="417">
        <v>0</v>
      </c>
      <c r="AK328" s="417">
        <v>0</v>
      </c>
      <c r="AL328" s="417">
        <v>0</v>
      </c>
      <c r="AM328" s="417">
        <f t="shared" si="427"/>
        <v>0</v>
      </c>
      <c r="AN328" s="417">
        <f t="shared" si="428"/>
        <v>0</v>
      </c>
      <c r="AO328" s="417">
        <f t="shared" si="429"/>
        <v>0</v>
      </c>
      <c r="AP328" s="417">
        <f t="shared" si="430"/>
        <v>30900</v>
      </c>
      <c r="AQ328" s="417">
        <f t="shared" si="431"/>
        <v>0</v>
      </c>
      <c r="AR328" s="417">
        <f t="shared" si="432"/>
        <v>30900</v>
      </c>
      <c r="AS328" s="68">
        <f t="shared" si="433"/>
        <v>10444</v>
      </c>
      <c r="AT328" s="68">
        <f t="shared" si="434"/>
        <v>309</v>
      </c>
      <c r="AU328" s="417">
        <v>0</v>
      </c>
      <c r="AV328" s="417">
        <v>0</v>
      </c>
      <c r="AW328" s="417">
        <v>0</v>
      </c>
      <c r="AX328" s="417">
        <f t="shared" si="435"/>
        <v>0</v>
      </c>
      <c r="AY328" s="417">
        <f t="shared" si="436"/>
        <v>41653</v>
      </c>
      <c r="AZ328" s="418">
        <v>0</v>
      </c>
      <c r="BA328" s="418">
        <v>0</v>
      </c>
      <c r="BB328" s="418">
        <v>0.08</v>
      </c>
      <c r="BC328" s="418">
        <v>0</v>
      </c>
      <c r="BD328" s="418">
        <v>0</v>
      </c>
      <c r="BE328" s="418">
        <v>0</v>
      </c>
      <c r="BF328" s="418">
        <v>0</v>
      </c>
      <c r="BG328" s="418">
        <v>0</v>
      </c>
      <c r="BH328" s="418">
        <v>0</v>
      </c>
      <c r="BI328" s="418">
        <f t="shared" si="437"/>
        <v>0.08</v>
      </c>
      <c r="BJ328" s="418">
        <f t="shared" si="438"/>
        <v>0</v>
      </c>
      <c r="BK328" s="420">
        <f t="shared" si="439"/>
        <v>0.08</v>
      </c>
      <c r="BL328" s="772">
        <f>I328+AY328</f>
        <v>408204</v>
      </c>
      <c r="BM328" s="417">
        <f>J328+AG328</f>
        <v>302822</v>
      </c>
      <c r="BN328" s="417">
        <f t="shared" si="515"/>
        <v>302822</v>
      </c>
      <c r="BO328" s="417">
        <f t="shared" si="515"/>
        <v>0</v>
      </c>
      <c r="BP328" s="417">
        <f>M328+AO328</f>
        <v>0</v>
      </c>
      <c r="BQ328" s="417">
        <f t="shared" si="516"/>
        <v>0</v>
      </c>
      <c r="BR328" s="417">
        <f t="shared" si="516"/>
        <v>0</v>
      </c>
      <c r="BS328" s="417">
        <f t="shared" si="517"/>
        <v>102354</v>
      </c>
      <c r="BT328" s="417">
        <f t="shared" si="517"/>
        <v>3028</v>
      </c>
      <c r="BU328" s="417">
        <f>R328+AX328</f>
        <v>0</v>
      </c>
      <c r="BV328" s="418">
        <f>S328+BK328</f>
        <v>1.08</v>
      </c>
      <c r="BW328" s="418">
        <f t="shared" si="518"/>
        <v>1.08</v>
      </c>
      <c r="BX328" s="420">
        <f t="shared" si="518"/>
        <v>0</v>
      </c>
      <c r="BY328" s="419"/>
      <c r="BZ328" s="414"/>
      <c r="CA328" s="414"/>
      <c r="CB328" s="414"/>
      <c r="CC328" s="414"/>
      <c r="CD328" s="422"/>
      <c r="CE328" s="419">
        <f t="shared" si="440"/>
        <v>0</v>
      </c>
      <c r="CF328" s="414">
        <v>0</v>
      </c>
      <c r="CG328" s="414">
        <v>0</v>
      </c>
      <c r="CH328" s="414">
        <v>0</v>
      </c>
      <c r="CI328" s="414">
        <v>0</v>
      </c>
      <c r="CJ328" s="509">
        <v>0</v>
      </c>
    </row>
    <row r="329" spans="1:88" ht="14.1" customHeight="1">
      <c r="A329" s="66">
        <v>66</v>
      </c>
      <c r="B329" s="63">
        <v>2402</v>
      </c>
      <c r="C329" s="64">
        <v>600078949</v>
      </c>
      <c r="D329" s="63">
        <v>70983208</v>
      </c>
      <c r="E329" s="65" t="s">
        <v>667</v>
      </c>
      <c r="F329" s="66">
        <v>3141</v>
      </c>
      <c r="G329" s="65" t="s">
        <v>294</v>
      </c>
      <c r="H329" s="67" t="s">
        <v>272</v>
      </c>
      <c r="I329" s="419">
        <v>1172189</v>
      </c>
      <c r="J329" s="414">
        <v>866111</v>
      </c>
      <c r="K329" s="414">
        <v>0</v>
      </c>
      <c r="L329" s="744">
        <v>866111</v>
      </c>
      <c r="M329" s="414">
        <v>0</v>
      </c>
      <c r="N329" s="204">
        <v>0</v>
      </c>
      <c r="O329" s="204">
        <v>0</v>
      </c>
      <c r="P329" s="595">
        <v>292745</v>
      </c>
      <c r="Q329" s="595">
        <v>8661</v>
      </c>
      <c r="R329" s="601">
        <v>4672</v>
      </c>
      <c r="S329" s="415">
        <v>2.5867</v>
      </c>
      <c r="T329" s="603">
        <v>0</v>
      </c>
      <c r="U329" s="731">
        <v>2.5867</v>
      </c>
      <c r="V329" s="423">
        <f t="shared" si="422"/>
        <v>0</v>
      </c>
      <c r="W329" s="417">
        <f t="shared" si="423"/>
        <v>0</v>
      </c>
      <c r="X329" s="417">
        <v>0</v>
      </c>
      <c r="Y329" s="417">
        <v>0</v>
      </c>
      <c r="Z329" s="417">
        <v>0</v>
      </c>
      <c r="AA329" s="417">
        <v>-11473</v>
      </c>
      <c r="AB329" s="417">
        <v>0</v>
      </c>
      <c r="AC329" s="417">
        <v>0</v>
      </c>
      <c r="AD329" s="417">
        <v>0</v>
      </c>
      <c r="AE329" s="417">
        <f t="shared" si="424"/>
        <v>0</v>
      </c>
      <c r="AF329" s="417">
        <f t="shared" si="425"/>
        <v>-11473</v>
      </c>
      <c r="AG329" s="417">
        <f t="shared" si="426"/>
        <v>-11473</v>
      </c>
      <c r="AH329" s="417">
        <v>0</v>
      </c>
      <c r="AI329" s="417">
        <v>0</v>
      </c>
      <c r="AJ329" s="417">
        <v>0</v>
      </c>
      <c r="AK329" s="417">
        <v>0</v>
      </c>
      <c r="AL329" s="417">
        <v>0</v>
      </c>
      <c r="AM329" s="417">
        <f t="shared" si="427"/>
        <v>0</v>
      </c>
      <c r="AN329" s="417">
        <f t="shared" si="428"/>
        <v>0</v>
      </c>
      <c r="AO329" s="417">
        <f t="shared" si="429"/>
        <v>0</v>
      </c>
      <c r="AP329" s="417">
        <f t="shared" si="430"/>
        <v>0</v>
      </c>
      <c r="AQ329" s="417">
        <f t="shared" si="431"/>
        <v>-11473</v>
      </c>
      <c r="AR329" s="417">
        <f t="shared" si="432"/>
        <v>-11473</v>
      </c>
      <c r="AS329" s="68">
        <f t="shared" si="433"/>
        <v>-3878</v>
      </c>
      <c r="AT329" s="68">
        <f t="shared" si="434"/>
        <v>-115</v>
      </c>
      <c r="AU329" s="417">
        <v>0</v>
      </c>
      <c r="AV329" s="417">
        <v>0</v>
      </c>
      <c r="AW329" s="417">
        <v>0</v>
      </c>
      <c r="AX329" s="417">
        <f t="shared" si="435"/>
        <v>0</v>
      </c>
      <c r="AY329" s="417">
        <f t="shared" si="436"/>
        <v>-15466</v>
      </c>
      <c r="AZ329" s="418">
        <v>0</v>
      </c>
      <c r="BA329" s="418">
        <v>0</v>
      </c>
      <c r="BB329" s="418">
        <v>0</v>
      </c>
      <c r="BC329" s="418">
        <v>0</v>
      </c>
      <c r="BD329" s="418">
        <v>-0.03</v>
      </c>
      <c r="BE329" s="418">
        <v>0</v>
      </c>
      <c r="BF329" s="418">
        <v>0</v>
      </c>
      <c r="BG329" s="418">
        <v>0</v>
      </c>
      <c r="BH329" s="418">
        <v>0</v>
      </c>
      <c r="BI329" s="418">
        <f t="shared" si="437"/>
        <v>0</v>
      </c>
      <c r="BJ329" s="418">
        <f t="shared" si="438"/>
        <v>-0.03</v>
      </c>
      <c r="BK329" s="420">
        <f t="shared" si="439"/>
        <v>-0.03</v>
      </c>
      <c r="BL329" s="772">
        <f>I329+AY329</f>
        <v>1156723</v>
      </c>
      <c r="BM329" s="417">
        <f>J329+AG329</f>
        <v>854638</v>
      </c>
      <c r="BN329" s="417">
        <f t="shared" si="515"/>
        <v>0</v>
      </c>
      <c r="BO329" s="417">
        <f t="shared" si="515"/>
        <v>854638</v>
      </c>
      <c r="BP329" s="417">
        <f>M329+AO329</f>
        <v>0</v>
      </c>
      <c r="BQ329" s="417">
        <f t="shared" si="516"/>
        <v>0</v>
      </c>
      <c r="BR329" s="417">
        <f t="shared" si="516"/>
        <v>0</v>
      </c>
      <c r="BS329" s="417">
        <f t="shared" si="517"/>
        <v>288867</v>
      </c>
      <c r="BT329" s="417">
        <f t="shared" si="517"/>
        <v>8546</v>
      </c>
      <c r="BU329" s="417">
        <f>R329+AX329</f>
        <v>4672</v>
      </c>
      <c r="BV329" s="418">
        <f>S329+BK329</f>
        <v>2.5567000000000002</v>
      </c>
      <c r="BW329" s="418">
        <f t="shared" si="518"/>
        <v>0</v>
      </c>
      <c r="BX329" s="420">
        <f t="shared" si="518"/>
        <v>2.5567000000000002</v>
      </c>
      <c r="BY329" s="419"/>
      <c r="BZ329" s="414"/>
      <c r="CA329" s="414"/>
      <c r="CB329" s="414"/>
      <c r="CC329" s="414"/>
      <c r="CD329" s="422"/>
      <c r="CE329" s="419">
        <f t="shared" si="440"/>
        <v>0</v>
      </c>
      <c r="CF329" s="414">
        <v>0</v>
      </c>
      <c r="CG329" s="414">
        <v>0</v>
      </c>
      <c r="CH329" s="414">
        <v>0</v>
      </c>
      <c r="CI329" s="414">
        <v>0</v>
      </c>
      <c r="CJ329" s="509">
        <v>0</v>
      </c>
    </row>
    <row r="330" spans="1:88" ht="14.1" customHeight="1">
      <c r="A330" s="72">
        <v>66</v>
      </c>
      <c r="B330" s="69">
        <v>2402</v>
      </c>
      <c r="C330" s="70">
        <v>600078949</v>
      </c>
      <c r="D330" s="69">
        <v>70983208</v>
      </c>
      <c r="E330" s="71" t="s">
        <v>668</v>
      </c>
      <c r="F330" s="72"/>
      <c r="G330" s="71"/>
      <c r="H330" s="73"/>
      <c r="I330" s="516">
        <v>8894292</v>
      </c>
      <c r="J330" s="74">
        <v>6570045</v>
      </c>
      <c r="K330" s="74">
        <v>4941656</v>
      </c>
      <c r="L330" s="74">
        <v>1628389</v>
      </c>
      <c r="M330" s="74">
        <v>0</v>
      </c>
      <c r="N330" s="74">
        <v>0</v>
      </c>
      <c r="O330" s="74">
        <v>0</v>
      </c>
      <c r="P330" s="74">
        <v>2220675</v>
      </c>
      <c r="Q330" s="74">
        <v>65700</v>
      </c>
      <c r="R330" s="74">
        <v>37872</v>
      </c>
      <c r="S330" s="75">
        <v>14.1783</v>
      </c>
      <c r="T330" s="75">
        <v>9</v>
      </c>
      <c r="U330" s="653">
        <v>5.1783000000000001</v>
      </c>
      <c r="V330" s="516">
        <f t="shared" ref="V330:BX330" si="519">SUM(V327:V329)</f>
        <v>0</v>
      </c>
      <c r="W330" s="74">
        <f t="shared" si="519"/>
        <v>0</v>
      </c>
      <c r="X330" s="74">
        <f t="shared" si="519"/>
        <v>30900</v>
      </c>
      <c r="Y330" s="74">
        <f t="shared" si="519"/>
        <v>0</v>
      </c>
      <c r="Z330" s="74">
        <f t="shared" si="519"/>
        <v>0</v>
      </c>
      <c r="AA330" s="74">
        <f t="shared" si="519"/>
        <v>-11473</v>
      </c>
      <c r="AB330" s="74">
        <f t="shared" si="519"/>
        <v>0</v>
      </c>
      <c r="AC330" s="74">
        <f t="shared" si="519"/>
        <v>0</v>
      </c>
      <c r="AD330" s="74">
        <f t="shared" si="519"/>
        <v>0</v>
      </c>
      <c r="AE330" s="74">
        <f t="shared" si="519"/>
        <v>30900</v>
      </c>
      <c r="AF330" s="74">
        <f t="shared" si="519"/>
        <v>-11473</v>
      </c>
      <c r="AG330" s="74">
        <f t="shared" si="519"/>
        <v>19427</v>
      </c>
      <c r="AH330" s="74">
        <f t="shared" si="519"/>
        <v>0</v>
      </c>
      <c r="AI330" s="74">
        <f t="shared" si="519"/>
        <v>0</v>
      </c>
      <c r="AJ330" s="74">
        <f t="shared" si="519"/>
        <v>0</v>
      </c>
      <c r="AK330" s="74">
        <f t="shared" si="519"/>
        <v>0</v>
      </c>
      <c r="AL330" s="74">
        <f t="shared" si="519"/>
        <v>0</v>
      </c>
      <c r="AM330" s="74">
        <f t="shared" si="519"/>
        <v>0</v>
      </c>
      <c r="AN330" s="74">
        <f t="shared" si="519"/>
        <v>0</v>
      </c>
      <c r="AO330" s="74">
        <f t="shared" si="519"/>
        <v>0</v>
      </c>
      <c r="AP330" s="74">
        <f t="shared" si="519"/>
        <v>30900</v>
      </c>
      <c r="AQ330" s="74">
        <f t="shared" si="519"/>
        <v>-11473</v>
      </c>
      <c r="AR330" s="74">
        <f t="shared" si="519"/>
        <v>19427</v>
      </c>
      <c r="AS330" s="74">
        <f t="shared" si="519"/>
        <v>6566</v>
      </c>
      <c r="AT330" s="74">
        <f t="shared" si="519"/>
        <v>194</v>
      </c>
      <c r="AU330" s="74">
        <f t="shared" si="519"/>
        <v>0</v>
      </c>
      <c r="AV330" s="74">
        <f t="shared" si="519"/>
        <v>0</v>
      </c>
      <c r="AW330" s="74">
        <f t="shared" si="519"/>
        <v>0</v>
      </c>
      <c r="AX330" s="74">
        <f t="shared" si="519"/>
        <v>0</v>
      </c>
      <c r="AY330" s="74">
        <f t="shared" si="519"/>
        <v>26187</v>
      </c>
      <c r="AZ330" s="75">
        <f t="shared" si="519"/>
        <v>0</v>
      </c>
      <c r="BA330" s="75">
        <f t="shared" si="519"/>
        <v>0</v>
      </c>
      <c r="BB330" s="75">
        <f t="shared" si="519"/>
        <v>0.08</v>
      </c>
      <c r="BC330" s="75">
        <f t="shared" si="519"/>
        <v>0</v>
      </c>
      <c r="BD330" s="75">
        <f t="shared" si="519"/>
        <v>-0.03</v>
      </c>
      <c r="BE330" s="75">
        <f t="shared" si="519"/>
        <v>0</v>
      </c>
      <c r="BF330" s="75">
        <f t="shared" si="519"/>
        <v>0</v>
      </c>
      <c r="BG330" s="75">
        <f t="shared" si="519"/>
        <v>0</v>
      </c>
      <c r="BH330" s="75">
        <f t="shared" si="519"/>
        <v>0</v>
      </c>
      <c r="BI330" s="75">
        <f t="shared" si="519"/>
        <v>0.08</v>
      </c>
      <c r="BJ330" s="75">
        <f t="shared" si="519"/>
        <v>-0.03</v>
      </c>
      <c r="BK330" s="76">
        <f t="shared" si="519"/>
        <v>0.05</v>
      </c>
      <c r="BL330" s="781">
        <f t="shared" si="519"/>
        <v>8920479</v>
      </c>
      <c r="BM330" s="74">
        <f t="shared" si="519"/>
        <v>6589472</v>
      </c>
      <c r="BN330" s="74">
        <f t="shared" si="519"/>
        <v>4972556</v>
      </c>
      <c r="BO330" s="74">
        <f t="shared" si="519"/>
        <v>1616916</v>
      </c>
      <c r="BP330" s="74">
        <f t="shared" si="519"/>
        <v>0</v>
      </c>
      <c r="BQ330" s="74">
        <f t="shared" si="519"/>
        <v>0</v>
      </c>
      <c r="BR330" s="74">
        <f t="shared" si="519"/>
        <v>0</v>
      </c>
      <c r="BS330" s="74">
        <f t="shared" si="519"/>
        <v>2227241</v>
      </c>
      <c r="BT330" s="74">
        <f t="shared" si="519"/>
        <v>65894</v>
      </c>
      <c r="BU330" s="74">
        <f t="shared" si="519"/>
        <v>37872</v>
      </c>
      <c r="BV330" s="75">
        <f t="shared" si="519"/>
        <v>14.228300000000001</v>
      </c>
      <c r="BW330" s="75">
        <f t="shared" si="519"/>
        <v>9.08</v>
      </c>
      <c r="BX330" s="76">
        <f t="shared" si="519"/>
        <v>5.1483000000000008</v>
      </c>
      <c r="BY330" s="791">
        <f t="shared" ref="BY330:CJ330" si="520">SUM(BY327:BY329)</f>
        <v>0</v>
      </c>
      <c r="BZ330" s="679">
        <f t="shared" si="520"/>
        <v>0</v>
      </c>
      <c r="CA330" s="679">
        <f t="shared" si="520"/>
        <v>0</v>
      </c>
      <c r="CB330" s="679">
        <f t="shared" si="520"/>
        <v>0</v>
      </c>
      <c r="CC330" s="679">
        <f t="shared" si="520"/>
        <v>0</v>
      </c>
      <c r="CD330" s="947">
        <f t="shared" si="520"/>
        <v>0</v>
      </c>
      <c r="CE330" s="956">
        <f t="shared" si="520"/>
        <v>340765</v>
      </c>
      <c r="CF330" s="953">
        <f t="shared" si="520"/>
        <v>244604</v>
      </c>
      <c r="CG330" s="953">
        <f t="shared" si="520"/>
        <v>82676</v>
      </c>
      <c r="CH330" s="953">
        <f t="shared" si="520"/>
        <v>2446</v>
      </c>
      <c r="CI330" s="953">
        <f t="shared" si="520"/>
        <v>11039</v>
      </c>
      <c r="CJ330" s="877">
        <f t="shared" si="520"/>
        <v>0.83160000000000001</v>
      </c>
    </row>
    <row r="331" spans="1:88" ht="14.1" customHeight="1">
      <c r="A331" s="66">
        <v>67</v>
      </c>
      <c r="B331" s="63">
        <v>2404</v>
      </c>
      <c r="C331" s="64">
        <v>600078957</v>
      </c>
      <c r="D331" s="63">
        <v>70983135</v>
      </c>
      <c r="E331" s="65" t="s">
        <v>669</v>
      </c>
      <c r="F331" s="66">
        <v>3111</v>
      </c>
      <c r="G331" s="65" t="s">
        <v>290</v>
      </c>
      <c r="H331" s="67" t="s">
        <v>271</v>
      </c>
      <c r="I331" s="419">
        <v>5534352</v>
      </c>
      <c r="J331" s="414">
        <v>4086018</v>
      </c>
      <c r="K331" s="414">
        <v>3566735</v>
      </c>
      <c r="L331" s="414">
        <v>519283</v>
      </c>
      <c r="M331" s="414">
        <v>0</v>
      </c>
      <c r="N331" s="414">
        <v>0</v>
      </c>
      <c r="O331" s="414">
        <v>0</v>
      </c>
      <c r="P331" s="595">
        <v>1381074</v>
      </c>
      <c r="Q331" s="595">
        <v>40860</v>
      </c>
      <c r="R331" s="414">
        <v>26400</v>
      </c>
      <c r="S331" s="415">
        <v>7.7671000000000001</v>
      </c>
      <c r="T331" s="415">
        <v>6</v>
      </c>
      <c r="U331" s="422">
        <v>1.7670999999999999</v>
      </c>
      <c r="V331" s="423">
        <f t="shared" si="422"/>
        <v>0</v>
      </c>
      <c r="W331" s="417">
        <f t="shared" si="423"/>
        <v>0</v>
      </c>
      <c r="X331" s="417">
        <v>0</v>
      </c>
      <c r="Y331" s="417">
        <v>0</v>
      </c>
      <c r="Z331" s="417">
        <v>266566</v>
      </c>
      <c r="AA331" s="417">
        <v>0</v>
      </c>
      <c r="AB331" s="417">
        <v>0</v>
      </c>
      <c r="AC331" s="417">
        <v>0</v>
      </c>
      <c r="AD331" s="417">
        <v>0</v>
      </c>
      <c r="AE331" s="417">
        <f t="shared" si="424"/>
        <v>266566</v>
      </c>
      <c r="AF331" s="417">
        <f t="shared" si="425"/>
        <v>0</v>
      </c>
      <c r="AG331" s="417">
        <f t="shared" si="426"/>
        <v>266566</v>
      </c>
      <c r="AH331" s="417">
        <v>0</v>
      </c>
      <c r="AI331" s="417">
        <v>0</v>
      </c>
      <c r="AJ331" s="417">
        <v>0</v>
      </c>
      <c r="AK331" s="417">
        <v>0</v>
      </c>
      <c r="AL331" s="417">
        <v>0</v>
      </c>
      <c r="AM331" s="417">
        <f t="shared" si="427"/>
        <v>0</v>
      </c>
      <c r="AN331" s="417">
        <f t="shared" si="428"/>
        <v>0</v>
      </c>
      <c r="AO331" s="417">
        <f t="shared" si="429"/>
        <v>0</v>
      </c>
      <c r="AP331" s="417">
        <f t="shared" si="430"/>
        <v>266566</v>
      </c>
      <c r="AQ331" s="417">
        <f t="shared" si="431"/>
        <v>0</v>
      </c>
      <c r="AR331" s="417">
        <f t="shared" si="432"/>
        <v>266566</v>
      </c>
      <c r="AS331" s="68">
        <f t="shared" si="433"/>
        <v>90099</v>
      </c>
      <c r="AT331" s="68">
        <f t="shared" si="434"/>
        <v>2666</v>
      </c>
      <c r="AU331" s="417">
        <v>0</v>
      </c>
      <c r="AV331" s="417">
        <v>0</v>
      </c>
      <c r="AW331" s="417">
        <v>0</v>
      </c>
      <c r="AX331" s="417">
        <f t="shared" si="435"/>
        <v>0</v>
      </c>
      <c r="AY331" s="417">
        <f t="shared" si="436"/>
        <v>359331</v>
      </c>
      <c r="AZ331" s="418">
        <v>0</v>
      </c>
      <c r="BA331" s="418">
        <v>0</v>
      </c>
      <c r="BB331" s="418">
        <v>0</v>
      </c>
      <c r="BC331" s="418">
        <v>0.6</v>
      </c>
      <c r="BD331" s="418">
        <v>0</v>
      </c>
      <c r="BE331" s="418">
        <v>0</v>
      </c>
      <c r="BF331" s="418">
        <v>0</v>
      </c>
      <c r="BG331" s="418">
        <v>0</v>
      </c>
      <c r="BH331" s="418">
        <v>0</v>
      </c>
      <c r="BI331" s="418">
        <f t="shared" si="437"/>
        <v>0.6</v>
      </c>
      <c r="BJ331" s="418">
        <f t="shared" si="438"/>
        <v>0</v>
      </c>
      <c r="BK331" s="420">
        <f t="shared" si="439"/>
        <v>0.6</v>
      </c>
      <c r="BL331" s="772">
        <f>I331+AY331</f>
        <v>5893683</v>
      </c>
      <c r="BM331" s="417">
        <f>J331+AG331</f>
        <v>4352584</v>
      </c>
      <c r="BN331" s="417">
        <f t="shared" ref="BN331:BO333" si="521">K331+AE331</f>
        <v>3833301</v>
      </c>
      <c r="BO331" s="417">
        <f t="shared" si="521"/>
        <v>519283</v>
      </c>
      <c r="BP331" s="417">
        <f>M331+AO331</f>
        <v>0</v>
      </c>
      <c r="BQ331" s="417">
        <f t="shared" ref="BQ331:BR333" si="522">N331+AM331</f>
        <v>0</v>
      </c>
      <c r="BR331" s="417">
        <f t="shared" si="522"/>
        <v>0</v>
      </c>
      <c r="BS331" s="417">
        <f t="shared" ref="BS331:BT333" si="523">P331+AS331</f>
        <v>1471173</v>
      </c>
      <c r="BT331" s="417">
        <f t="shared" si="523"/>
        <v>43526</v>
      </c>
      <c r="BU331" s="417">
        <f>R331+AX331</f>
        <v>26400</v>
      </c>
      <c r="BV331" s="418">
        <f>S331+BK331</f>
        <v>8.3671000000000006</v>
      </c>
      <c r="BW331" s="418">
        <f t="shared" ref="BW331:BX333" si="524">T331+BI331</f>
        <v>6.6</v>
      </c>
      <c r="BX331" s="420">
        <f t="shared" si="524"/>
        <v>1.7670999999999999</v>
      </c>
      <c r="BY331" s="419"/>
      <c r="BZ331" s="414"/>
      <c r="CA331" s="414"/>
      <c r="CB331" s="414"/>
      <c r="CC331" s="414"/>
      <c r="CD331" s="422"/>
      <c r="CE331" s="419">
        <f t="shared" si="440"/>
        <v>233384</v>
      </c>
      <c r="CF331" s="414">
        <v>166622</v>
      </c>
      <c r="CG331" s="414">
        <v>56318</v>
      </c>
      <c r="CH331" s="414">
        <v>1666</v>
      </c>
      <c r="CI331" s="414">
        <v>8778</v>
      </c>
      <c r="CJ331" s="509">
        <v>0.56699999999999995</v>
      </c>
    </row>
    <row r="332" spans="1:88" ht="14.1" customHeight="1">
      <c r="A332" s="66">
        <v>67</v>
      </c>
      <c r="B332" s="63">
        <v>2404</v>
      </c>
      <c r="C332" s="64">
        <v>600078957</v>
      </c>
      <c r="D332" s="63">
        <v>70983135</v>
      </c>
      <c r="E332" s="65" t="s">
        <v>669</v>
      </c>
      <c r="F332" s="66">
        <v>3111</v>
      </c>
      <c r="G332" s="77" t="s">
        <v>291</v>
      </c>
      <c r="H332" s="67" t="s">
        <v>272</v>
      </c>
      <c r="I332" s="419">
        <v>1332905</v>
      </c>
      <c r="J332" s="414">
        <v>988802</v>
      </c>
      <c r="K332" s="414">
        <v>988802</v>
      </c>
      <c r="L332" s="414">
        <v>0</v>
      </c>
      <c r="M332" s="414">
        <v>0</v>
      </c>
      <c r="N332" s="414">
        <v>0</v>
      </c>
      <c r="O332" s="414">
        <v>0</v>
      </c>
      <c r="P332" s="595">
        <v>334215</v>
      </c>
      <c r="Q332" s="595">
        <v>9888</v>
      </c>
      <c r="R332" s="414">
        <v>0</v>
      </c>
      <c r="S332" s="415">
        <v>2.66</v>
      </c>
      <c r="T332" s="416">
        <v>2.66</v>
      </c>
      <c r="U332" s="422">
        <v>0</v>
      </c>
      <c r="V332" s="423">
        <f t="shared" si="422"/>
        <v>0</v>
      </c>
      <c r="W332" s="417">
        <f t="shared" si="423"/>
        <v>0</v>
      </c>
      <c r="X332" s="417">
        <v>0</v>
      </c>
      <c r="Y332" s="417">
        <v>0</v>
      </c>
      <c r="Z332" s="417">
        <v>0</v>
      </c>
      <c r="AA332" s="417">
        <v>0</v>
      </c>
      <c r="AB332" s="417">
        <v>0</v>
      </c>
      <c r="AC332" s="417">
        <v>0</v>
      </c>
      <c r="AD332" s="417">
        <v>0</v>
      </c>
      <c r="AE332" s="417">
        <f t="shared" si="424"/>
        <v>0</v>
      </c>
      <c r="AF332" s="417">
        <f t="shared" si="425"/>
        <v>0</v>
      </c>
      <c r="AG332" s="417">
        <f t="shared" si="426"/>
        <v>0</v>
      </c>
      <c r="AH332" s="417">
        <v>0</v>
      </c>
      <c r="AI332" s="417">
        <v>0</v>
      </c>
      <c r="AJ332" s="417">
        <v>0</v>
      </c>
      <c r="AK332" s="417">
        <v>0</v>
      </c>
      <c r="AL332" s="417">
        <v>0</v>
      </c>
      <c r="AM332" s="417">
        <f t="shared" si="427"/>
        <v>0</v>
      </c>
      <c r="AN332" s="417">
        <f t="shared" si="428"/>
        <v>0</v>
      </c>
      <c r="AO332" s="417">
        <f t="shared" si="429"/>
        <v>0</v>
      </c>
      <c r="AP332" s="417">
        <f t="shared" si="430"/>
        <v>0</v>
      </c>
      <c r="AQ332" s="417">
        <f t="shared" si="431"/>
        <v>0</v>
      </c>
      <c r="AR332" s="417">
        <f t="shared" si="432"/>
        <v>0</v>
      </c>
      <c r="AS332" s="68">
        <f t="shared" si="433"/>
        <v>0</v>
      </c>
      <c r="AT332" s="68">
        <f t="shared" si="434"/>
        <v>0</v>
      </c>
      <c r="AU332" s="417">
        <v>0</v>
      </c>
      <c r="AV332" s="417">
        <v>0</v>
      </c>
      <c r="AW332" s="417">
        <v>0</v>
      </c>
      <c r="AX332" s="417">
        <f t="shared" si="435"/>
        <v>0</v>
      </c>
      <c r="AY332" s="417">
        <f t="shared" si="436"/>
        <v>0</v>
      </c>
      <c r="AZ332" s="418">
        <v>0</v>
      </c>
      <c r="BA332" s="418">
        <v>0</v>
      </c>
      <c r="BB332" s="418">
        <v>0</v>
      </c>
      <c r="BC332" s="418">
        <v>0</v>
      </c>
      <c r="BD332" s="418">
        <v>0</v>
      </c>
      <c r="BE332" s="418">
        <v>0</v>
      </c>
      <c r="BF332" s="418">
        <v>0</v>
      </c>
      <c r="BG332" s="418">
        <v>0</v>
      </c>
      <c r="BH332" s="418">
        <v>0</v>
      </c>
      <c r="BI332" s="418">
        <f t="shared" si="437"/>
        <v>0</v>
      </c>
      <c r="BJ332" s="418">
        <f t="shared" si="438"/>
        <v>0</v>
      </c>
      <c r="BK332" s="420">
        <f t="shared" si="439"/>
        <v>0</v>
      </c>
      <c r="BL332" s="772">
        <f>I332+AY332</f>
        <v>1332905</v>
      </c>
      <c r="BM332" s="417">
        <f>J332+AG332</f>
        <v>988802</v>
      </c>
      <c r="BN332" s="417">
        <f t="shared" si="521"/>
        <v>988802</v>
      </c>
      <c r="BO332" s="417">
        <f t="shared" si="521"/>
        <v>0</v>
      </c>
      <c r="BP332" s="417">
        <f>M332+AO332</f>
        <v>0</v>
      </c>
      <c r="BQ332" s="417">
        <f t="shared" si="522"/>
        <v>0</v>
      </c>
      <c r="BR332" s="417">
        <f t="shared" si="522"/>
        <v>0</v>
      </c>
      <c r="BS332" s="417">
        <f t="shared" si="523"/>
        <v>334215</v>
      </c>
      <c r="BT332" s="417">
        <f t="shared" si="523"/>
        <v>9888</v>
      </c>
      <c r="BU332" s="417">
        <f>R332+AX332</f>
        <v>0</v>
      </c>
      <c r="BV332" s="418">
        <f>S332+BK332</f>
        <v>2.66</v>
      </c>
      <c r="BW332" s="418">
        <f t="shared" si="524"/>
        <v>2.66</v>
      </c>
      <c r="BX332" s="420">
        <f t="shared" si="524"/>
        <v>0</v>
      </c>
      <c r="BY332" s="419"/>
      <c r="BZ332" s="414"/>
      <c r="CA332" s="414"/>
      <c r="CB332" s="414"/>
      <c r="CC332" s="414"/>
      <c r="CD332" s="422"/>
      <c r="CE332" s="419">
        <f t="shared" si="440"/>
        <v>0</v>
      </c>
      <c r="CF332" s="414">
        <v>0</v>
      </c>
      <c r="CG332" s="414">
        <v>0</v>
      </c>
      <c r="CH332" s="414">
        <v>0</v>
      </c>
      <c r="CI332" s="414">
        <v>0</v>
      </c>
      <c r="CJ332" s="509">
        <v>0</v>
      </c>
    </row>
    <row r="333" spans="1:88" ht="14.1" customHeight="1">
      <c r="A333" s="66">
        <v>67</v>
      </c>
      <c r="B333" s="63">
        <v>2404</v>
      </c>
      <c r="C333" s="64">
        <v>600078957</v>
      </c>
      <c r="D333" s="63">
        <v>70983135</v>
      </c>
      <c r="E333" s="65" t="s">
        <v>669</v>
      </c>
      <c r="F333" s="66">
        <v>3141</v>
      </c>
      <c r="G333" s="65" t="s">
        <v>294</v>
      </c>
      <c r="H333" s="67" t="s">
        <v>272</v>
      </c>
      <c r="I333" s="419">
        <v>839546</v>
      </c>
      <c r="J333" s="414">
        <v>620263</v>
      </c>
      <c r="K333" s="414">
        <v>0</v>
      </c>
      <c r="L333" s="744">
        <v>620263</v>
      </c>
      <c r="M333" s="414">
        <v>0</v>
      </c>
      <c r="N333" s="204">
        <v>0</v>
      </c>
      <c r="O333" s="204">
        <v>0</v>
      </c>
      <c r="P333" s="595">
        <v>209649</v>
      </c>
      <c r="Q333" s="595">
        <v>6202</v>
      </c>
      <c r="R333" s="601">
        <v>3432</v>
      </c>
      <c r="S333" s="415">
        <v>1.8599999999999999</v>
      </c>
      <c r="T333" s="603">
        <v>0</v>
      </c>
      <c r="U333" s="731">
        <v>1.8599999999999999</v>
      </c>
      <c r="V333" s="423">
        <f t="shared" si="422"/>
        <v>0</v>
      </c>
      <c r="W333" s="417">
        <f t="shared" si="423"/>
        <v>0</v>
      </c>
      <c r="X333" s="417">
        <v>0</v>
      </c>
      <c r="Y333" s="417">
        <v>0</v>
      </c>
      <c r="Z333" s="417">
        <v>0</v>
      </c>
      <c r="AA333" s="417">
        <v>16582</v>
      </c>
      <c r="AB333" s="417">
        <v>0</v>
      </c>
      <c r="AC333" s="417">
        <v>0</v>
      </c>
      <c r="AD333" s="417">
        <v>0</v>
      </c>
      <c r="AE333" s="417">
        <f t="shared" si="424"/>
        <v>0</v>
      </c>
      <c r="AF333" s="417">
        <f t="shared" si="425"/>
        <v>16582</v>
      </c>
      <c r="AG333" s="417">
        <f t="shared" si="426"/>
        <v>16582</v>
      </c>
      <c r="AH333" s="417">
        <v>0</v>
      </c>
      <c r="AI333" s="417">
        <v>0</v>
      </c>
      <c r="AJ333" s="417">
        <v>0</v>
      </c>
      <c r="AK333" s="417">
        <v>0</v>
      </c>
      <c r="AL333" s="417">
        <v>0</v>
      </c>
      <c r="AM333" s="417">
        <f t="shared" si="427"/>
        <v>0</v>
      </c>
      <c r="AN333" s="417">
        <f t="shared" si="428"/>
        <v>0</v>
      </c>
      <c r="AO333" s="417">
        <f t="shared" si="429"/>
        <v>0</v>
      </c>
      <c r="AP333" s="417">
        <f t="shared" si="430"/>
        <v>0</v>
      </c>
      <c r="AQ333" s="417">
        <f t="shared" si="431"/>
        <v>16582</v>
      </c>
      <c r="AR333" s="417">
        <f t="shared" si="432"/>
        <v>16582</v>
      </c>
      <c r="AS333" s="68">
        <f t="shared" si="433"/>
        <v>5605</v>
      </c>
      <c r="AT333" s="68">
        <f t="shared" si="434"/>
        <v>166</v>
      </c>
      <c r="AU333" s="417">
        <v>0</v>
      </c>
      <c r="AV333" s="417">
        <v>0</v>
      </c>
      <c r="AW333" s="417">
        <v>0</v>
      </c>
      <c r="AX333" s="417">
        <f t="shared" si="435"/>
        <v>0</v>
      </c>
      <c r="AY333" s="417">
        <f t="shared" si="436"/>
        <v>22353</v>
      </c>
      <c r="AZ333" s="418">
        <v>0</v>
      </c>
      <c r="BA333" s="418">
        <v>0</v>
      </c>
      <c r="BB333" s="418">
        <v>0</v>
      </c>
      <c r="BC333" s="418">
        <v>0</v>
      </c>
      <c r="BD333" s="418">
        <v>0.05</v>
      </c>
      <c r="BE333" s="418">
        <v>0</v>
      </c>
      <c r="BF333" s="418">
        <v>0</v>
      </c>
      <c r="BG333" s="418">
        <v>0</v>
      </c>
      <c r="BH333" s="418">
        <v>0</v>
      </c>
      <c r="BI333" s="418">
        <f t="shared" si="437"/>
        <v>0</v>
      </c>
      <c r="BJ333" s="418">
        <f t="shared" si="438"/>
        <v>0.05</v>
      </c>
      <c r="BK333" s="420">
        <f t="shared" si="439"/>
        <v>0.05</v>
      </c>
      <c r="BL333" s="772">
        <f>I333+AY333</f>
        <v>861899</v>
      </c>
      <c r="BM333" s="417">
        <f>J333+AG333</f>
        <v>636845</v>
      </c>
      <c r="BN333" s="417">
        <f t="shared" si="521"/>
        <v>0</v>
      </c>
      <c r="BO333" s="417">
        <f t="shared" si="521"/>
        <v>636845</v>
      </c>
      <c r="BP333" s="417">
        <f>M333+AO333</f>
        <v>0</v>
      </c>
      <c r="BQ333" s="417">
        <f t="shared" si="522"/>
        <v>0</v>
      </c>
      <c r="BR333" s="417">
        <f t="shared" si="522"/>
        <v>0</v>
      </c>
      <c r="BS333" s="417">
        <f t="shared" si="523"/>
        <v>215254</v>
      </c>
      <c r="BT333" s="417">
        <f t="shared" si="523"/>
        <v>6368</v>
      </c>
      <c r="BU333" s="417">
        <f>R333+AX333</f>
        <v>3432</v>
      </c>
      <c r="BV333" s="418">
        <f>S333+BK333</f>
        <v>1.91</v>
      </c>
      <c r="BW333" s="418">
        <f t="shared" si="524"/>
        <v>0</v>
      </c>
      <c r="BX333" s="420">
        <f t="shared" si="524"/>
        <v>1.91</v>
      </c>
      <c r="BY333" s="419"/>
      <c r="BZ333" s="414"/>
      <c r="CA333" s="414"/>
      <c r="CB333" s="414"/>
      <c r="CC333" s="414"/>
      <c r="CD333" s="422"/>
      <c r="CE333" s="419">
        <f t="shared" si="440"/>
        <v>0</v>
      </c>
      <c r="CF333" s="414">
        <v>0</v>
      </c>
      <c r="CG333" s="414">
        <v>0</v>
      </c>
      <c r="CH333" s="414">
        <v>0</v>
      </c>
      <c r="CI333" s="414">
        <v>0</v>
      </c>
      <c r="CJ333" s="509">
        <v>0</v>
      </c>
    </row>
    <row r="334" spans="1:88" ht="14.1" customHeight="1">
      <c r="A334" s="72">
        <v>67</v>
      </c>
      <c r="B334" s="69">
        <v>2404</v>
      </c>
      <c r="C334" s="70">
        <v>600078957</v>
      </c>
      <c r="D334" s="69">
        <v>70983135</v>
      </c>
      <c r="E334" s="71" t="s">
        <v>670</v>
      </c>
      <c r="F334" s="72"/>
      <c r="G334" s="71"/>
      <c r="H334" s="73"/>
      <c r="I334" s="516">
        <v>7706803</v>
      </c>
      <c r="J334" s="74">
        <v>5695083</v>
      </c>
      <c r="K334" s="74">
        <v>4555537</v>
      </c>
      <c r="L334" s="74">
        <v>1139546</v>
      </c>
      <c r="M334" s="74">
        <v>0</v>
      </c>
      <c r="N334" s="74">
        <v>0</v>
      </c>
      <c r="O334" s="74">
        <v>0</v>
      </c>
      <c r="P334" s="74">
        <v>1924938</v>
      </c>
      <c r="Q334" s="74">
        <v>56950</v>
      </c>
      <c r="R334" s="74">
        <v>29832</v>
      </c>
      <c r="S334" s="75">
        <v>12.287099999999999</v>
      </c>
      <c r="T334" s="75">
        <v>8.66</v>
      </c>
      <c r="U334" s="653">
        <v>3.6270999999999995</v>
      </c>
      <c r="V334" s="516">
        <f t="shared" ref="V334:BX334" si="525">SUM(V331:V333)</f>
        <v>0</v>
      </c>
      <c r="W334" s="74">
        <f t="shared" si="525"/>
        <v>0</v>
      </c>
      <c r="X334" s="74">
        <f t="shared" si="525"/>
        <v>0</v>
      </c>
      <c r="Y334" s="74">
        <f t="shared" si="525"/>
        <v>0</v>
      </c>
      <c r="Z334" s="74">
        <f t="shared" si="525"/>
        <v>266566</v>
      </c>
      <c r="AA334" s="74">
        <f t="shared" si="525"/>
        <v>16582</v>
      </c>
      <c r="AB334" s="74">
        <f t="shared" si="525"/>
        <v>0</v>
      </c>
      <c r="AC334" s="74">
        <f t="shared" si="525"/>
        <v>0</v>
      </c>
      <c r="AD334" s="74">
        <f t="shared" si="525"/>
        <v>0</v>
      </c>
      <c r="AE334" s="74">
        <f t="shared" si="525"/>
        <v>266566</v>
      </c>
      <c r="AF334" s="74">
        <f t="shared" si="525"/>
        <v>16582</v>
      </c>
      <c r="AG334" s="74">
        <f t="shared" si="525"/>
        <v>283148</v>
      </c>
      <c r="AH334" s="74">
        <f t="shared" si="525"/>
        <v>0</v>
      </c>
      <c r="AI334" s="74">
        <f t="shared" si="525"/>
        <v>0</v>
      </c>
      <c r="AJ334" s="74">
        <f t="shared" si="525"/>
        <v>0</v>
      </c>
      <c r="AK334" s="74">
        <f t="shared" si="525"/>
        <v>0</v>
      </c>
      <c r="AL334" s="74">
        <f t="shared" si="525"/>
        <v>0</v>
      </c>
      <c r="AM334" s="74">
        <f t="shared" si="525"/>
        <v>0</v>
      </c>
      <c r="AN334" s="74">
        <f t="shared" si="525"/>
        <v>0</v>
      </c>
      <c r="AO334" s="74">
        <f t="shared" si="525"/>
        <v>0</v>
      </c>
      <c r="AP334" s="74">
        <f t="shared" si="525"/>
        <v>266566</v>
      </c>
      <c r="AQ334" s="74">
        <f t="shared" si="525"/>
        <v>16582</v>
      </c>
      <c r="AR334" s="74">
        <f t="shared" si="525"/>
        <v>283148</v>
      </c>
      <c r="AS334" s="74">
        <f t="shared" si="525"/>
        <v>95704</v>
      </c>
      <c r="AT334" s="74">
        <f t="shared" si="525"/>
        <v>2832</v>
      </c>
      <c r="AU334" s="74">
        <f t="shared" si="525"/>
        <v>0</v>
      </c>
      <c r="AV334" s="74">
        <f t="shared" si="525"/>
        <v>0</v>
      </c>
      <c r="AW334" s="74">
        <f t="shared" si="525"/>
        <v>0</v>
      </c>
      <c r="AX334" s="74">
        <f t="shared" si="525"/>
        <v>0</v>
      </c>
      <c r="AY334" s="74">
        <f t="shared" si="525"/>
        <v>381684</v>
      </c>
      <c r="AZ334" s="75">
        <f t="shared" si="525"/>
        <v>0</v>
      </c>
      <c r="BA334" s="75">
        <f t="shared" si="525"/>
        <v>0</v>
      </c>
      <c r="BB334" s="75">
        <f t="shared" si="525"/>
        <v>0</v>
      </c>
      <c r="BC334" s="75">
        <f t="shared" si="525"/>
        <v>0.6</v>
      </c>
      <c r="BD334" s="75">
        <f t="shared" si="525"/>
        <v>0.05</v>
      </c>
      <c r="BE334" s="75">
        <f t="shared" si="525"/>
        <v>0</v>
      </c>
      <c r="BF334" s="75">
        <f t="shared" si="525"/>
        <v>0</v>
      </c>
      <c r="BG334" s="75">
        <f t="shared" si="525"/>
        <v>0</v>
      </c>
      <c r="BH334" s="75">
        <f t="shared" si="525"/>
        <v>0</v>
      </c>
      <c r="BI334" s="75">
        <f t="shared" si="525"/>
        <v>0.6</v>
      </c>
      <c r="BJ334" s="75">
        <f t="shared" si="525"/>
        <v>0.05</v>
      </c>
      <c r="BK334" s="76">
        <f t="shared" si="525"/>
        <v>0.65</v>
      </c>
      <c r="BL334" s="781">
        <f t="shared" si="525"/>
        <v>8088487</v>
      </c>
      <c r="BM334" s="74">
        <f t="shared" si="525"/>
        <v>5978231</v>
      </c>
      <c r="BN334" s="74">
        <f t="shared" si="525"/>
        <v>4822103</v>
      </c>
      <c r="BO334" s="74">
        <f t="shared" si="525"/>
        <v>1156128</v>
      </c>
      <c r="BP334" s="74">
        <f t="shared" si="525"/>
        <v>0</v>
      </c>
      <c r="BQ334" s="74">
        <f t="shared" si="525"/>
        <v>0</v>
      </c>
      <c r="BR334" s="74">
        <f t="shared" si="525"/>
        <v>0</v>
      </c>
      <c r="BS334" s="74">
        <f t="shared" si="525"/>
        <v>2020642</v>
      </c>
      <c r="BT334" s="74">
        <f t="shared" si="525"/>
        <v>59782</v>
      </c>
      <c r="BU334" s="74">
        <f t="shared" si="525"/>
        <v>29832</v>
      </c>
      <c r="BV334" s="75">
        <f t="shared" si="525"/>
        <v>12.937100000000001</v>
      </c>
      <c r="BW334" s="75">
        <f t="shared" si="525"/>
        <v>9.26</v>
      </c>
      <c r="BX334" s="76">
        <f t="shared" si="525"/>
        <v>3.6770999999999998</v>
      </c>
      <c r="BY334" s="791">
        <f t="shared" ref="BY334:CJ334" si="526">SUM(BY331:BY333)</f>
        <v>0</v>
      </c>
      <c r="BZ334" s="679">
        <f t="shared" si="526"/>
        <v>0</v>
      </c>
      <c r="CA334" s="679">
        <f t="shared" si="526"/>
        <v>0</v>
      </c>
      <c r="CB334" s="679">
        <f t="shared" si="526"/>
        <v>0</v>
      </c>
      <c r="CC334" s="679">
        <f t="shared" si="526"/>
        <v>0</v>
      </c>
      <c r="CD334" s="947">
        <f t="shared" si="526"/>
        <v>0</v>
      </c>
      <c r="CE334" s="956">
        <f t="shared" si="526"/>
        <v>233384</v>
      </c>
      <c r="CF334" s="953">
        <f t="shared" si="526"/>
        <v>166622</v>
      </c>
      <c r="CG334" s="953">
        <f t="shared" si="526"/>
        <v>56318</v>
      </c>
      <c r="CH334" s="953">
        <f t="shared" si="526"/>
        <v>1666</v>
      </c>
      <c r="CI334" s="953">
        <f t="shared" si="526"/>
        <v>8778</v>
      </c>
      <c r="CJ334" s="877">
        <f t="shared" si="526"/>
        <v>0.56699999999999995</v>
      </c>
    </row>
    <row r="335" spans="1:88" ht="14.1" customHeight="1">
      <c r="A335" s="66">
        <v>68</v>
      </c>
      <c r="B335" s="63">
        <v>2439</v>
      </c>
      <c r="C335" s="64">
        <v>600078965</v>
      </c>
      <c r="D335" s="63">
        <v>70983143</v>
      </c>
      <c r="E335" s="65" t="s">
        <v>671</v>
      </c>
      <c r="F335" s="66">
        <v>3111</v>
      </c>
      <c r="G335" s="65" t="s">
        <v>290</v>
      </c>
      <c r="H335" s="67" t="s">
        <v>271</v>
      </c>
      <c r="I335" s="419">
        <v>3450932</v>
      </c>
      <c r="J335" s="414">
        <v>2548466</v>
      </c>
      <c r="K335" s="414">
        <v>2221883</v>
      </c>
      <c r="L335" s="414">
        <v>326583</v>
      </c>
      <c r="M335" s="414">
        <v>0</v>
      </c>
      <c r="N335" s="414">
        <v>0</v>
      </c>
      <c r="O335" s="414">
        <v>0</v>
      </c>
      <c r="P335" s="595">
        <v>861381</v>
      </c>
      <c r="Q335" s="595">
        <v>25485</v>
      </c>
      <c r="R335" s="414">
        <v>15600</v>
      </c>
      <c r="S335" s="415">
        <v>5.0994999999999999</v>
      </c>
      <c r="T335" s="415">
        <v>4</v>
      </c>
      <c r="U335" s="422">
        <v>1.0994999999999999</v>
      </c>
      <c r="V335" s="423">
        <f t="shared" ref="V335:V397" si="527">AH335*-1</f>
        <v>0</v>
      </c>
      <c r="W335" s="417">
        <f t="shared" ref="W335:W397" si="528">AI335*-1</f>
        <v>0</v>
      </c>
      <c r="X335" s="417">
        <v>0</v>
      </c>
      <c r="Y335" s="417">
        <v>0</v>
      </c>
      <c r="Z335" s="417">
        <v>0</v>
      </c>
      <c r="AA335" s="417">
        <v>0</v>
      </c>
      <c r="AB335" s="417">
        <v>0</v>
      </c>
      <c r="AC335" s="417">
        <v>0</v>
      </c>
      <c r="AD335" s="417">
        <v>0</v>
      </c>
      <c r="AE335" s="417">
        <f t="shared" ref="AE335:AE397" si="529">V335+X335+Y335+Z335+AC335</f>
        <v>0</v>
      </c>
      <c r="AF335" s="417">
        <f t="shared" ref="AF335:AF397" si="530">W335+AA335+AD335+AB335</f>
        <v>0</v>
      </c>
      <c r="AG335" s="417">
        <f t="shared" ref="AG335:AG397" si="531">SUM(AE335:AF335)</f>
        <v>0</v>
      </c>
      <c r="AH335" s="417">
        <v>0</v>
      </c>
      <c r="AI335" s="417">
        <v>0</v>
      </c>
      <c r="AJ335" s="417">
        <v>0</v>
      </c>
      <c r="AK335" s="417">
        <v>0</v>
      </c>
      <c r="AL335" s="417">
        <v>0</v>
      </c>
      <c r="AM335" s="417">
        <f t="shared" ref="AM335:AM397" si="532">AH335+AJ335+AK335</f>
        <v>0</v>
      </c>
      <c r="AN335" s="417">
        <f t="shared" ref="AN335:AN397" si="533">AI335+AL335</f>
        <v>0</v>
      </c>
      <c r="AO335" s="417">
        <f t="shared" ref="AO335:AO397" si="534">SUM(AM335:AN335)</f>
        <v>0</v>
      </c>
      <c r="AP335" s="417">
        <f t="shared" ref="AP335:AP397" si="535">AE335+AM335</f>
        <v>0</v>
      </c>
      <c r="AQ335" s="417">
        <f t="shared" ref="AQ335:AQ397" si="536">AF335+AN335</f>
        <v>0</v>
      </c>
      <c r="AR335" s="417">
        <f t="shared" ref="AR335:AR397" si="537">SUM(AP335:AQ335)</f>
        <v>0</v>
      </c>
      <c r="AS335" s="68">
        <f t="shared" ref="AS335:AS397" si="538">ROUND((AG335+AH335+AI335+AJ335)*33.8%,0)</f>
        <v>0</v>
      </c>
      <c r="AT335" s="68">
        <f t="shared" ref="AT335:AT397" si="539">ROUND(AG335*1%,0)</f>
        <v>0</v>
      </c>
      <c r="AU335" s="417">
        <v>0</v>
      </c>
      <c r="AV335" s="417">
        <v>0</v>
      </c>
      <c r="AW335" s="417">
        <v>0</v>
      </c>
      <c r="AX335" s="417">
        <f t="shared" ref="AX335:AX397" si="540">SUM(AU335:AW335)</f>
        <v>0</v>
      </c>
      <c r="AY335" s="417">
        <f t="shared" ref="AY335:AY397" si="541">AR335+AS335+AT335+AX335</f>
        <v>0</v>
      </c>
      <c r="AZ335" s="418">
        <v>0</v>
      </c>
      <c r="BA335" s="418">
        <v>0</v>
      </c>
      <c r="BB335" s="418">
        <v>0</v>
      </c>
      <c r="BC335" s="418">
        <v>0</v>
      </c>
      <c r="BD335" s="418">
        <v>0</v>
      </c>
      <c r="BE335" s="418">
        <v>0</v>
      </c>
      <c r="BF335" s="418">
        <v>0</v>
      </c>
      <c r="BG335" s="418">
        <v>0</v>
      </c>
      <c r="BH335" s="418">
        <v>0</v>
      </c>
      <c r="BI335" s="418">
        <f t="shared" ref="BI335:BI397" si="542">AZ335+BB335+BC335+BE335+BG335</f>
        <v>0</v>
      </c>
      <c r="BJ335" s="418">
        <f t="shared" ref="BJ335:BJ397" si="543">BA335+BD335+BH335+BF335</f>
        <v>0</v>
      </c>
      <c r="BK335" s="420">
        <f t="shared" ref="BK335:BK397" si="544">SUM(BI335:BJ335)</f>
        <v>0</v>
      </c>
      <c r="BL335" s="772">
        <f>I335+AY335</f>
        <v>3450932</v>
      </c>
      <c r="BM335" s="417">
        <f>J335+AG335</f>
        <v>2548466</v>
      </c>
      <c r="BN335" s="417">
        <f t="shared" ref="BN335:BO337" si="545">K335+AE335</f>
        <v>2221883</v>
      </c>
      <c r="BO335" s="417">
        <f t="shared" si="545"/>
        <v>326583</v>
      </c>
      <c r="BP335" s="417">
        <f>M335+AO335</f>
        <v>0</v>
      </c>
      <c r="BQ335" s="417">
        <f t="shared" ref="BQ335:BR337" si="546">N335+AM335</f>
        <v>0</v>
      </c>
      <c r="BR335" s="417">
        <f t="shared" si="546"/>
        <v>0</v>
      </c>
      <c r="BS335" s="417">
        <f t="shared" ref="BS335:BT337" si="547">P335+AS335</f>
        <v>861381</v>
      </c>
      <c r="BT335" s="417">
        <f t="shared" si="547"/>
        <v>25485</v>
      </c>
      <c r="BU335" s="417">
        <f>R335+AX335</f>
        <v>15600</v>
      </c>
      <c r="BV335" s="418">
        <f>S335+BK335</f>
        <v>5.0994999999999999</v>
      </c>
      <c r="BW335" s="418">
        <f t="shared" ref="BW335:BX337" si="548">T335+BI335</f>
        <v>4</v>
      </c>
      <c r="BX335" s="420">
        <f t="shared" si="548"/>
        <v>1.0994999999999999</v>
      </c>
      <c r="BY335" s="419"/>
      <c r="BZ335" s="414"/>
      <c r="CA335" s="414"/>
      <c r="CB335" s="414"/>
      <c r="CC335" s="414"/>
      <c r="CD335" s="422"/>
      <c r="CE335" s="419">
        <f t="shared" ref="CE335:CE397" si="549">SUM(CF335:CI335)</f>
        <v>146445</v>
      </c>
      <c r="CF335" s="414">
        <v>104791</v>
      </c>
      <c r="CG335" s="414">
        <v>35419</v>
      </c>
      <c r="CH335" s="414">
        <v>1048</v>
      </c>
      <c r="CI335" s="414">
        <v>5187</v>
      </c>
      <c r="CJ335" s="509">
        <v>0.3528</v>
      </c>
    </row>
    <row r="336" spans="1:88" ht="14.1" customHeight="1">
      <c r="A336" s="66">
        <v>68</v>
      </c>
      <c r="B336" s="63">
        <v>2439</v>
      </c>
      <c r="C336" s="64">
        <v>600078965</v>
      </c>
      <c r="D336" s="63">
        <v>70983143</v>
      </c>
      <c r="E336" s="65" t="s">
        <v>671</v>
      </c>
      <c r="F336" s="66">
        <v>3111</v>
      </c>
      <c r="G336" s="65" t="s">
        <v>291</v>
      </c>
      <c r="H336" s="67" t="s">
        <v>272</v>
      </c>
      <c r="I336" s="419">
        <v>410979</v>
      </c>
      <c r="J336" s="414">
        <v>304881</v>
      </c>
      <c r="K336" s="414">
        <v>304881</v>
      </c>
      <c r="L336" s="414">
        <v>0</v>
      </c>
      <c r="M336" s="414">
        <v>0</v>
      </c>
      <c r="N336" s="414">
        <v>0</v>
      </c>
      <c r="O336" s="414">
        <v>0</v>
      </c>
      <c r="P336" s="595">
        <v>103049</v>
      </c>
      <c r="Q336" s="595">
        <v>3049</v>
      </c>
      <c r="R336" s="414">
        <v>0</v>
      </c>
      <c r="S336" s="415">
        <v>1</v>
      </c>
      <c r="T336" s="416">
        <v>1</v>
      </c>
      <c r="U336" s="422">
        <v>0</v>
      </c>
      <c r="V336" s="423">
        <f t="shared" si="527"/>
        <v>0</v>
      </c>
      <c r="W336" s="417">
        <f t="shared" si="528"/>
        <v>0</v>
      </c>
      <c r="X336" s="417">
        <v>0</v>
      </c>
      <c r="Y336" s="417">
        <v>0</v>
      </c>
      <c r="Z336" s="417">
        <v>0</v>
      </c>
      <c r="AA336" s="417">
        <v>0</v>
      </c>
      <c r="AB336" s="417">
        <v>0</v>
      </c>
      <c r="AC336" s="417">
        <v>0</v>
      </c>
      <c r="AD336" s="417">
        <v>0</v>
      </c>
      <c r="AE336" s="417">
        <f t="shared" si="529"/>
        <v>0</v>
      </c>
      <c r="AF336" s="417">
        <f t="shared" si="530"/>
        <v>0</v>
      </c>
      <c r="AG336" s="417">
        <f t="shared" si="531"/>
        <v>0</v>
      </c>
      <c r="AH336" s="417">
        <v>0</v>
      </c>
      <c r="AI336" s="417">
        <v>0</v>
      </c>
      <c r="AJ336" s="417">
        <v>0</v>
      </c>
      <c r="AK336" s="417">
        <v>0</v>
      </c>
      <c r="AL336" s="417">
        <v>0</v>
      </c>
      <c r="AM336" s="417">
        <f t="shared" si="532"/>
        <v>0</v>
      </c>
      <c r="AN336" s="417">
        <f t="shared" si="533"/>
        <v>0</v>
      </c>
      <c r="AO336" s="417">
        <f t="shared" si="534"/>
        <v>0</v>
      </c>
      <c r="AP336" s="417">
        <f t="shared" si="535"/>
        <v>0</v>
      </c>
      <c r="AQ336" s="417">
        <f t="shared" si="536"/>
        <v>0</v>
      </c>
      <c r="AR336" s="417">
        <f t="shared" si="537"/>
        <v>0</v>
      </c>
      <c r="AS336" s="68">
        <f t="shared" si="538"/>
        <v>0</v>
      </c>
      <c r="AT336" s="68">
        <f t="shared" si="539"/>
        <v>0</v>
      </c>
      <c r="AU336" s="417">
        <v>0</v>
      </c>
      <c r="AV336" s="417">
        <v>0</v>
      </c>
      <c r="AW336" s="417">
        <v>0</v>
      </c>
      <c r="AX336" s="417">
        <f t="shared" si="540"/>
        <v>0</v>
      </c>
      <c r="AY336" s="417">
        <f t="shared" si="541"/>
        <v>0</v>
      </c>
      <c r="AZ336" s="418">
        <v>0</v>
      </c>
      <c r="BA336" s="418">
        <v>0</v>
      </c>
      <c r="BB336" s="418">
        <v>0</v>
      </c>
      <c r="BC336" s="418">
        <v>0</v>
      </c>
      <c r="BD336" s="418">
        <v>0</v>
      </c>
      <c r="BE336" s="418">
        <v>0</v>
      </c>
      <c r="BF336" s="418">
        <v>0</v>
      </c>
      <c r="BG336" s="418">
        <v>0</v>
      </c>
      <c r="BH336" s="418">
        <v>0</v>
      </c>
      <c r="BI336" s="418">
        <f t="shared" si="542"/>
        <v>0</v>
      </c>
      <c r="BJ336" s="418">
        <f t="shared" si="543"/>
        <v>0</v>
      </c>
      <c r="BK336" s="420">
        <f t="shared" si="544"/>
        <v>0</v>
      </c>
      <c r="BL336" s="772">
        <f>I336+AY336</f>
        <v>410979</v>
      </c>
      <c r="BM336" s="417">
        <f>J336+AG336</f>
        <v>304881</v>
      </c>
      <c r="BN336" s="417">
        <f t="shared" si="545"/>
        <v>304881</v>
      </c>
      <c r="BO336" s="417">
        <f t="shared" si="545"/>
        <v>0</v>
      </c>
      <c r="BP336" s="417">
        <f>M336+AO336</f>
        <v>0</v>
      </c>
      <c r="BQ336" s="417">
        <f t="shared" si="546"/>
        <v>0</v>
      </c>
      <c r="BR336" s="417">
        <f t="shared" si="546"/>
        <v>0</v>
      </c>
      <c r="BS336" s="417">
        <f t="shared" si="547"/>
        <v>103049</v>
      </c>
      <c r="BT336" s="417">
        <f t="shared" si="547"/>
        <v>3049</v>
      </c>
      <c r="BU336" s="417">
        <f>R336+AX336</f>
        <v>0</v>
      </c>
      <c r="BV336" s="418">
        <f>S336+BK336</f>
        <v>1</v>
      </c>
      <c r="BW336" s="418">
        <f t="shared" si="548"/>
        <v>1</v>
      </c>
      <c r="BX336" s="420">
        <f t="shared" si="548"/>
        <v>0</v>
      </c>
      <c r="BY336" s="419"/>
      <c r="BZ336" s="414"/>
      <c r="CA336" s="414"/>
      <c r="CB336" s="414"/>
      <c r="CC336" s="414"/>
      <c r="CD336" s="422"/>
      <c r="CE336" s="419">
        <f t="shared" si="549"/>
        <v>0</v>
      </c>
      <c r="CF336" s="414">
        <v>0</v>
      </c>
      <c r="CG336" s="414">
        <v>0</v>
      </c>
      <c r="CH336" s="414">
        <v>0</v>
      </c>
      <c r="CI336" s="414">
        <v>0</v>
      </c>
      <c r="CJ336" s="509">
        <v>0</v>
      </c>
    </row>
    <row r="337" spans="1:90" ht="14.1" customHeight="1">
      <c r="A337" s="66">
        <v>68</v>
      </c>
      <c r="B337" s="63">
        <v>2439</v>
      </c>
      <c r="C337" s="64">
        <v>600078965</v>
      </c>
      <c r="D337" s="63">
        <v>70983143</v>
      </c>
      <c r="E337" s="65" t="s">
        <v>671</v>
      </c>
      <c r="F337" s="66">
        <v>3141</v>
      </c>
      <c r="G337" s="65" t="s">
        <v>294</v>
      </c>
      <c r="H337" s="67" t="s">
        <v>272</v>
      </c>
      <c r="I337" s="419">
        <v>596111</v>
      </c>
      <c r="J337" s="414">
        <v>440676</v>
      </c>
      <c r="K337" s="414">
        <v>0</v>
      </c>
      <c r="L337" s="744">
        <v>440676</v>
      </c>
      <c r="M337" s="414">
        <v>0</v>
      </c>
      <c r="N337" s="204">
        <v>0</v>
      </c>
      <c r="O337" s="204">
        <v>0</v>
      </c>
      <c r="P337" s="595">
        <v>148948</v>
      </c>
      <c r="Q337" s="595">
        <v>4407</v>
      </c>
      <c r="R337" s="601">
        <v>2080</v>
      </c>
      <c r="S337" s="415">
        <v>1.32</v>
      </c>
      <c r="T337" s="603">
        <v>0</v>
      </c>
      <c r="U337" s="731">
        <v>1.32</v>
      </c>
      <c r="V337" s="423">
        <f t="shared" si="527"/>
        <v>0</v>
      </c>
      <c r="W337" s="417">
        <f t="shared" si="528"/>
        <v>0</v>
      </c>
      <c r="X337" s="417">
        <v>0</v>
      </c>
      <c r="Y337" s="417">
        <v>0</v>
      </c>
      <c r="Z337" s="417">
        <v>0</v>
      </c>
      <c r="AA337" s="417">
        <v>0</v>
      </c>
      <c r="AB337" s="417">
        <v>0</v>
      </c>
      <c r="AC337" s="417">
        <v>0</v>
      </c>
      <c r="AD337" s="417">
        <v>0</v>
      </c>
      <c r="AE337" s="417">
        <f t="shared" si="529"/>
        <v>0</v>
      </c>
      <c r="AF337" s="417">
        <f t="shared" si="530"/>
        <v>0</v>
      </c>
      <c r="AG337" s="417">
        <f t="shared" si="531"/>
        <v>0</v>
      </c>
      <c r="AH337" s="417">
        <v>0</v>
      </c>
      <c r="AI337" s="417">
        <v>0</v>
      </c>
      <c r="AJ337" s="417">
        <v>0</v>
      </c>
      <c r="AK337" s="417">
        <v>0</v>
      </c>
      <c r="AL337" s="417">
        <v>0</v>
      </c>
      <c r="AM337" s="417">
        <f t="shared" si="532"/>
        <v>0</v>
      </c>
      <c r="AN337" s="417">
        <f t="shared" si="533"/>
        <v>0</v>
      </c>
      <c r="AO337" s="417">
        <f t="shared" si="534"/>
        <v>0</v>
      </c>
      <c r="AP337" s="417">
        <f t="shared" si="535"/>
        <v>0</v>
      </c>
      <c r="AQ337" s="417">
        <f t="shared" si="536"/>
        <v>0</v>
      </c>
      <c r="AR337" s="417">
        <f t="shared" si="537"/>
        <v>0</v>
      </c>
      <c r="AS337" s="68">
        <f t="shared" si="538"/>
        <v>0</v>
      </c>
      <c r="AT337" s="68">
        <f t="shared" si="539"/>
        <v>0</v>
      </c>
      <c r="AU337" s="417">
        <v>0</v>
      </c>
      <c r="AV337" s="417">
        <v>0</v>
      </c>
      <c r="AW337" s="417">
        <v>0</v>
      </c>
      <c r="AX337" s="417">
        <f t="shared" si="540"/>
        <v>0</v>
      </c>
      <c r="AY337" s="417">
        <f t="shared" si="541"/>
        <v>0</v>
      </c>
      <c r="AZ337" s="418">
        <v>0</v>
      </c>
      <c r="BA337" s="418">
        <v>0</v>
      </c>
      <c r="BB337" s="418">
        <v>0</v>
      </c>
      <c r="BC337" s="418">
        <v>0</v>
      </c>
      <c r="BD337" s="418">
        <v>0</v>
      </c>
      <c r="BE337" s="418">
        <v>0</v>
      </c>
      <c r="BF337" s="418">
        <v>0</v>
      </c>
      <c r="BG337" s="418">
        <v>0</v>
      </c>
      <c r="BH337" s="418">
        <v>0</v>
      </c>
      <c r="BI337" s="418">
        <f t="shared" si="542"/>
        <v>0</v>
      </c>
      <c r="BJ337" s="418">
        <f t="shared" si="543"/>
        <v>0</v>
      </c>
      <c r="BK337" s="420">
        <f t="shared" si="544"/>
        <v>0</v>
      </c>
      <c r="BL337" s="772">
        <f>I337+AY337</f>
        <v>596111</v>
      </c>
      <c r="BM337" s="417">
        <f>J337+AG337</f>
        <v>440676</v>
      </c>
      <c r="BN337" s="417">
        <f t="shared" si="545"/>
        <v>0</v>
      </c>
      <c r="BO337" s="417">
        <f t="shared" si="545"/>
        <v>440676</v>
      </c>
      <c r="BP337" s="417">
        <f>M337+AO337</f>
        <v>0</v>
      </c>
      <c r="BQ337" s="417">
        <f t="shared" si="546"/>
        <v>0</v>
      </c>
      <c r="BR337" s="417">
        <f t="shared" si="546"/>
        <v>0</v>
      </c>
      <c r="BS337" s="417">
        <f t="shared" si="547"/>
        <v>148948</v>
      </c>
      <c r="BT337" s="417">
        <f t="shared" si="547"/>
        <v>4407</v>
      </c>
      <c r="BU337" s="417">
        <f>R337+AX337</f>
        <v>2080</v>
      </c>
      <c r="BV337" s="418">
        <f>S337+BK337</f>
        <v>1.32</v>
      </c>
      <c r="BW337" s="418">
        <f t="shared" si="548"/>
        <v>0</v>
      </c>
      <c r="BX337" s="420">
        <f t="shared" si="548"/>
        <v>1.32</v>
      </c>
      <c r="BY337" s="419"/>
      <c r="BZ337" s="414"/>
      <c r="CA337" s="414"/>
      <c r="CB337" s="414"/>
      <c r="CC337" s="414"/>
      <c r="CD337" s="422"/>
      <c r="CE337" s="419">
        <f t="shared" si="549"/>
        <v>0</v>
      </c>
      <c r="CF337" s="414">
        <v>0</v>
      </c>
      <c r="CG337" s="414">
        <v>0</v>
      </c>
      <c r="CH337" s="414">
        <v>0</v>
      </c>
      <c r="CI337" s="414">
        <v>0</v>
      </c>
      <c r="CJ337" s="509">
        <v>0</v>
      </c>
    </row>
    <row r="338" spans="1:90" ht="14.1" customHeight="1">
      <c r="A338" s="72">
        <v>68</v>
      </c>
      <c r="B338" s="69">
        <v>2439</v>
      </c>
      <c r="C338" s="70">
        <v>600078965</v>
      </c>
      <c r="D338" s="69">
        <v>70983143</v>
      </c>
      <c r="E338" s="71" t="s">
        <v>672</v>
      </c>
      <c r="F338" s="72"/>
      <c r="G338" s="71"/>
      <c r="H338" s="73"/>
      <c r="I338" s="516">
        <v>4458022</v>
      </c>
      <c r="J338" s="74">
        <v>3294023</v>
      </c>
      <c r="K338" s="74">
        <v>2526764</v>
      </c>
      <c r="L338" s="74">
        <v>767259</v>
      </c>
      <c r="M338" s="74">
        <v>0</v>
      </c>
      <c r="N338" s="74">
        <v>0</v>
      </c>
      <c r="O338" s="74">
        <v>0</v>
      </c>
      <c r="P338" s="74">
        <v>1113378</v>
      </c>
      <c r="Q338" s="74">
        <v>32941</v>
      </c>
      <c r="R338" s="74">
        <v>17680</v>
      </c>
      <c r="S338" s="75">
        <v>7.4195000000000002</v>
      </c>
      <c r="T338" s="75">
        <v>5</v>
      </c>
      <c r="U338" s="653">
        <v>2.4195000000000002</v>
      </c>
      <c r="V338" s="516">
        <f t="shared" ref="V338:BX338" si="550">SUM(V335:V337)</f>
        <v>0</v>
      </c>
      <c r="W338" s="74">
        <f t="shared" si="550"/>
        <v>0</v>
      </c>
      <c r="X338" s="74">
        <f t="shared" si="550"/>
        <v>0</v>
      </c>
      <c r="Y338" s="74">
        <f t="shared" si="550"/>
        <v>0</v>
      </c>
      <c r="Z338" s="74">
        <f t="shared" si="550"/>
        <v>0</v>
      </c>
      <c r="AA338" s="74">
        <f t="shared" si="550"/>
        <v>0</v>
      </c>
      <c r="AB338" s="74">
        <f t="shared" si="550"/>
        <v>0</v>
      </c>
      <c r="AC338" s="74">
        <f t="shared" si="550"/>
        <v>0</v>
      </c>
      <c r="AD338" s="74">
        <f t="shared" si="550"/>
        <v>0</v>
      </c>
      <c r="AE338" s="74">
        <f t="shared" si="550"/>
        <v>0</v>
      </c>
      <c r="AF338" s="74">
        <f t="shared" si="550"/>
        <v>0</v>
      </c>
      <c r="AG338" s="74">
        <f t="shared" si="550"/>
        <v>0</v>
      </c>
      <c r="AH338" s="74">
        <f t="shared" si="550"/>
        <v>0</v>
      </c>
      <c r="AI338" s="74">
        <f t="shared" si="550"/>
        <v>0</v>
      </c>
      <c r="AJ338" s="74">
        <f t="shared" si="550"/>
        <v>0</v>
      </c>
      <c r="AK338" s="74">
        <f t="shared" si="550"/>
        <v>0</v>
      </c>
      <c r="AL338" s="74">
        <f t="shared" si="550"/>
        <v>0</v>
      </c>
      <c r="AM338" s="74">
        <f t="shared" si="550"/>
        <v>0</v>
      </c>
      <c r="AN338" s="74">
        <f t="shared" si="550"/>
        <v>0</v>
      </c>
      <c r="AO338" s="74">
        <f t="shared" si="550"/>
        <v>0</v>
      </c>
      <c r="AP338" s="74">
        <f t="shared" si="550"/>
        <v>0</v>
      </c>
      <c r="AQ338" s="74">
        <f t="shared" si="550"/>
        <v>0</v>
      </c>
      <c r="AR338" s="74">
        <f t="shared" si="550"/>
        <v>0</v>
      </c>
      <c r="AS338" s="74">
        <f t="shared" si="550"/>
        <v>0</v>
      </c>
      <c r="AT338" s="74">
        <f t="shared" si="550"/>
        <v>0</v>
      </c>
      <c r="AU338" s="74">
        <f t="shared" si="550"/>
        <v>0</v>
      </c>
      <c r="AV338" s="74">
        <f t="shared" si="550"/>
        <v>0</v>
      </c>
      <c r="AW338" s="74">
        <f t="shared" si="550"/>
        <v>0</v>
      </c>
      <c r="AX338" s="74">
        <f t="shared" si="550"/>
        <v>0</v>
      </c>
      <c r="AY338" s="74">
        <f t="shared" si="550"/>
        <v>0</v>
      </c>
      <c r="AZ338" s="75">
        <f t="shared" si="550"/>
        <v>0</v>
      </c>
      <c r="BA338" s="75">
        <f t="shared" si="550"/>
        <v>0</v>
      </c>
      <c r="BB338" s="75">
        <f t="shared" si="550"/>
        <v>0</v>
      </c>
      <c r="BC338" s="75">
        <f t="shared" si="550"/>
        <v>0</v>
      </c>
      <c r="BD338" s="75">
        <f t="shared" si="550"/>
        <v>0</v>
      </c>
      <c r="BE338" s="75">
        <f t="shared" si="550"/>
        <v>0</v>
      </c>
      <c r="BF338" s="75">
        <f t="shared" si="550"/>
        <v>0</v>
      </c>
      <c r="BG338" s="75">
        <f t="shared" si="550"/>
        <v>0</v>
      </c>
      <c r="BH338" s="75">
        <f t="shared" si="550"/>
        <v>0</v>
      </c>
      <c r="BI338" s="75">
        <f t="shared" si="550"/>
        <v>0</v>
      </c>
      <c r="BJ338" s="75">
        <f t="shared" si="550"/>
        <v>0</v>
      </c>
      <c r="BK338" s="76">
        <f t="shared" si="550"/>
        <v>0</v>
      </c>
      <c r="BL338" s="781">
        <f t="shared" si="550"/>
        <v>4458022</v>
      </c>
      <c r="BM338" s="74">
        <f t="shared" si="550"/>
        <v>3294023</v>
      </c>
      <c r="BN338" s="74">
        <f t="shared" si="550"/>
        <v>2526764</v>
      </c>
      <c r="BO338" s="74">
        <f t="shared" si="550"/>
        <v>767259</v>
      </c>
      <c r="BP338" s="74">
        <f t="shared" si="550"/>
        <v>0</v>
      </c>
      <c r="BQ338" s="74">
        <f t="shared" si="550"/>
        <v>0</v>
      </c>
      <c r="BR338" s="74">
        <f t="shared" si="550"/>
        <v>0</v>
      </c>
      <c r="BS338" s="74">
        <f t="shared" si="550"/>
        <v>1113378</v>
      </c>
      <c r="BT338" s="74">
        <f t="shared" si="550"/>
        <v>32941</v>
      </c>
      <c r="BU338" s="74">
        <f t="shared" si="550"/>
        <v>17680</v>
      </c>
      <c r="BV338" s="75">
        <f t="shared" si="550"/>
        <v>7.4195000000000002</v>
      </c>
      <c r="BW338" s="75">
        <f t="shared" si="550"/>
        <v>5</v>
      </c>
      <c r="BX338" s="76">
        <f t="shared" si="550"/>
        <v>2.4195000000000002</v>
      </c>
      <c r="BY338" s="791">
        <f t="shared" ref="BY338:CJ338" si="551">SUM(BY335:BY337)</f>
        <v>0</v>
      </c>
      <c r="BZ338" s="679">
        <f t="shared" si="551"/>
        <v>0</v>
      </c>
      <c r="CA338" s="679">
        <f t="shared" si="551"/>
        <v>0</v>
      </c>
      <c r="CB338" s="679">
        <f t="shared" si="551"/>
        <v>0</v>
      </c>
      <c r="CC338" s="679">
        <f t="shared" si="551"/>
        <v>0</v>
      </c>
      <c r="CD338" s="947">
        <f t="shared" si="551"/>
        <v>0</v>
      </c>
      <c r="CE338" s="956">
        <f t="shared" si="551"/>
        <v>146445</v>
      </c>
      <c r="CF338" s="953">
        <f t="shared" si="551"/>
        <v>104791</v>
      </c>
      <c r="CG338" s="953">
        <f t="shared" si="551"/>
        <v>35419</v>
      </c>
      <c r="CH338" s="953">
        <f t="shared" si="551"/>
        <v>1048</v>
      </c>
      <c r="CI338" s="953">
        <f t="shared" si="551"/>
        <v>5187</v>
      </c>
      <c r="CJ338" s="877">
        <f t="shared" si="551"/>
        <v>0.3528</v>
      </c>
    </row>
    <row r="339" spans="1:90" ht="14.1" customHeight="1">
      <c r="A339" s="66">
        <v>69</v>
      </c>
      <c r="B339" s="63">
        <v>2302</v>
      </c>
      <c r="C339" s="64">
        <v>600080366</v>
      </c>
      <c r="D339" s="63">
        <v>70983127</v>
      </c>
      <c r="E339" s="65" t="s">
        <v>673</v>
      </c>
      <c r="F339" s="66">
        <v>3111</v>
      </c>
      <c r="G339" s="65" t="s">
        <v>290</v>
      </c>
      <c r="H339" s="67" t="s">
        <v>271</v>
      </c>
      <c r="I339" s="419">
        <v>6167598</v>
      </c>
      <c r="J339" s="414">
        <v>4551096</v>
      </c>
      <c r="K339" s="414">
        <v>4181088</v>
      </c>
      <c r="L339" s="414">
        <v>370008</v>
      </c>
      <c r="M339" s="414">
        <v>0</v>
      </c>
      <c r="N339" s="414">
        <v>0</v>
      </c>
      <c r="O339" s="414">
        <v>0</v>
      </c>
      <c r="P339" s="595">
        <v>1538271</v>
      </c>
      <c r="Q339" s="595">
        <v>45511</v>
      </c>
      <c r="R339" s="414">
        <v>32720</v>
      </c>
      <c r="S339" s="415">
        <v>9.1212999999999997</v>
      </c>
      <c r="T339" s="415">
        <v>7.6388999999999996</v>
      </c>
      <c r="U339" s="422">
        <v>1.4823999999999999</v>
      </c>
      <c r="V339" s="423">
        <f t="shared" si="527"/>
        <v>0</v>
      </c>
      <c r="W339" s="417">
        <f t="shared" si="528"/>
        <v>0</v>
      </c>
      <c r="X339" s="417">
        <v>0</v>
      </c>
      <c r="Y339" s="417">
        <v>0</v>
      </c>
      <c r="Z339" s="417">
        <v>-221931</v>
      </c>
      <c r="AA339" s="417">
        <v>0</v>
      </c>
      <c r="AB339" s="417">
        <v>0</v>
      </c>
      <c r="AC339" s="417">
        <v>0</v>
      </c>
      <c r="AD339" s="417">
        <v>0</v>
      </c>
      <c r="AE339" s="417">
        <f t="shared" si="529"/>
        <v>-221931</v>
      </c>
      <c r="AF339" s="417">
        <f t="shared" si="530"/>
        <v>0</v>
      </c>
      <c r="AG339" s="417">
        <f t="shared" si="531"/>
        <v>-221931</v>
      </c>
      <c r="AH339" s="417">
        <v>0</v>
      </c>
      <c r="AI339" s="417">
        <v>0</v>
      </c>
      <c r="AJ339" s="417">
        <v>0</v>
      </c>
      <c r="AK339" s="417">
        <v>0</v>
      </c>
      <c r="AL339" s="417">
        <v>0</v>
      </c>
      <c r="AM339" s="417">
        <f t="shared" si="532"/>
        <v>0</v>
      </c>
      <c r="AN339" s="417">
        <f t="shared" si="533"/>
        <v>0</v>
      </c>
      <c r="AO339" s="417">
        <f t="shared" si="534"/>
        <v>0</v>
      </c>
      <c r="AP339" s="417">
        <f t="shared" si="535"/>
        <v>-221931</v>
      </c>
      <c r="AQ339" s="417">
        <f t="shared" si="536"/>
        <v>0</v>
      </c>
      <c r="AR339" s="417">
        <f t="shared" si="537"/>
        <v>-221931</v>
      </c>
      <c r="AS339" s="68">
        <f t="shared" si="538"/>
        <v>-75013</v>
      </c>
      <c r="AT339" s="68">
        <f t="shared" si="539"/>
        <v>-2219</v>
      </c>
      <c r="AU339" s="417">
        <v>0</v>
      </c>
      <c r="AV339" s="417">
        <v>0</v>
      </c>
      <c r="AW339" s="417">
        <v>0</v>
      </c>
      <c r="AX339" s="417">
        <f t="shared" si="540"/>
        <v>0</v>
      </c>
      <c r="AY339" s="417">
        <f t="shared" si="541"/>
        <v>-299163</v>
      </c>
      <c r="AZ339" s="418">
        <v>0</v>
      </c>
      <c r="BA339" s="418">
        <v>0</v>
      </c>
      <c r="BB339" s="418">
        <v>0</v>
      </c>
      <c r="BC339" s="418">
        <v>-0.55000000000000004</v>
      </c>
      <c r="BD339" s="418">
        <v>0</v>
      </c>
      <c r="BE339" s="418">
        <v>0</v>
      </c>
      <c r="BF339" s="418">
        <v>0</v>
      </c>
      <c r="BG339" s="418">
        <v>0</v>
      </c>
      <c r="BH339" s="418">
        <v>0</v>
      </c>
      <c r="BI339" s="418">
        <f t="shared" si="542"/>
        <v>-0.55000000000000004</v>
      </c>
      <c r="BJ339" s="418">
        <f t="shared" si="543"/>
        <v>0</v>
      </c>
      <c r="BK339" s="420">
        <f t="shared" si="544"/>
        <v>-0.55000000000000004</v>
      </c>
      <c r="BL339" s="772">
        <f t="shared" ref="BL339:BL346" si="552">I339+AY339</f>
        <v>5868435</v>
      </c>
      <c r="BM339" s="417">
        <f t="shared" ref="BM339:BM346" si="553">J339+AG339</f>
        <v>4329165</v>
      </c>
      <c r="BN339" s="417">
        <f t="shared" ref="BN339:BO346" si="554">K339+AE339</f>
        <v>3959157</v>
      </c>
      <c r="BO339" s="417">
        <f t="shared" si="554"/>
        <v>370008</v>
      </c>
      <c r="BP339" s="417">
        <f t="shared" ref="BP339:BP346" si="555">M339+AO339</f>
        <v>0</v>
      </c>
      <c r="BQ339" s="417">
        <f t="shared" ref="BQ339:BR346" si="556">N339+AM339</f>
        <v>0</v>
      </c>
      <c r="BR339" s="417">
        <f t="shared" si="556"/>
        <v>0</v>
      </c>
      <c r="BS339" s="417">
        <f t="shared" ref="BS339:BT346" si="557">P339+AS339</f>
        <v>1463258</v>
      </c>
      <c r="BT339" s="417">
        <f t="shared" si="557"/>
        <v>43292</v>
      </c>
      <c r="BU339" s="417">
        <f t="shared" ref="BU339:BU346" si="558">R339+AX339</f>
        <v>32720</v>
      </c>
      <c r="BV339" s="418">
        <f t="shared" ref="BV339:BV346" si="559">S339+BK339</f>
        <v>8.571299999999999</v>
      </c>
      <c r="BW339" s="418">
        <f t="shared" ref="BW339:BX346" si="560">T339+BI339</f>
        <v>7.0888999999999998</v>
      </c>
      <c r="BX339" s="420">
        <f t="shared" si="560"/>
        <v>1.4823999999999999</v>
      </c>
      <c r="BY339" s="419"/>
      <c r="BZ339" s="414"/>
      <c r="CA339" s="414"/>
      <c r="CB339" s="414"/>
      <c r="CC339" s="414"/>
      <c r="CD339" s="422"/>
      <c r="CE339" s="419">
        <f t="shared" si="549"/>
        <v>170942</v>
      </c>
      <c r="CF339" s="414">
        <v>118736</v>
      </c>
      <c r="CG339" s="414">
        <f>ROUND(CF339*33.8%,0)</f>
        <v>40133</v>
      </c>
      <c r="CH339" s="414">
        <f>ROUND(CF339*1%,0)</f>
        <v>1187</v>
      </c>
      <c r="CI339" s="414">
        <v>10886</v>
      </c>
      <c r="CJ339" s="509">
        <v>0.47570000000000001</v>
      </c>
      <c r="CK339" s="53"/>
      <c r="CL339" s="53"/>
    </row>
    <row r="340" spans="1:90" ht="14.1" customHeight="1">
      <c r="A340" s="66">
        <v>69</v>
      </c>
      <c r="B340" s="63">
        <v>2302</v>
      </c>
      <c r="C340" s="64">
        <v>600080366</v>
      </c>
      <c r="D340" s="63">
        <v>70983127</v>
      </c>
      <c r="E340" s="65" t="s">
        <v>673</v>
      </c>
      <c r="F340" s="66">
        <v>3111</v>
      </c>
      <c r="G340" s="43" t="s">
        <v>292</v>
      </c>
      <c r="H340" s="67" t="s">
        <v>271</v>
      </c>
      <c r="I340" s="419">
        <v>601586</v>
      </c>
      <c r="J340" s="414">
        <v>446280</v>
      </c>
      <c r="K340" s="414">
        <v>446280</v>
      </c>
      <c r="L340" s="414">
        <v>0</v>
      </c>
      <c r="M340" s="414">
        <v>0</v>
      </c>
      <c r="N340" s="414">
        <v>0</v>
      </c>
      <c r="O340" s="414">
        <v>0</v>
      </c>
      <c r="P340" s="595">
        <v>150843</v>
      </c>
      <c r="Q340" s="595">
        <v>4463</v>
      </c>
      <c r="R340" s="414">
        <v>0</v>
      </c>
      <c r="S340" s="415">
        <v>1</v>
      </c>
      <c r="T340" s="415">
        <v>1</v>
      </c>
      <c r="U340" s="422">
        <v>0</v>
      </c>
      <c r="V340" s="423">
        <f t="shared" si="527"/>
        <v>0</v>
      </c>
      <c r="W340" s="417">
        <f t="shared" si="528"/>
        <v>0</v>
      </c>
      <c r="X340" s="417">
        <v>0</v>
      </c>
      <c r="Y340" s="417">
        <v>0</v>
      </c>
      <c r="Z340" s="417">
        <v>0</v>
      </c>
      <c r="AA340" s="417">
        <v>0</v>
      </c>
      <c r="AB340" s="417">
        <v>0</v>
      </c>
      <c r="AC340" s="417">
        <v>0</v>
      </c>
      <c r="AD340" s="417">
        <v>0</v>
      </c>
      <c r="AE340" s="417">
        <f t="shared" si="529"/>
        <v>0</v>
      </c>
      <c r="AF340" s="417">
        <f t="shared" si="530"/>
        <v>0</v>
      </c>
      <c r="AG340" s="417">
        <f t="shared" si="531"/>
        <v>0</v>
      </c>
      <c r="AH340" s="417">
        <v>0</v>
      </c>
      <c r="AI340" s="417">
        <v>0</v>
      </c>
      <c r="AJ340" s="417">
        <v>0</v>
      </c>
      <c r="AK340" s="417">
        <v>0</v>
      </c>
      <c r="AL340" s="417">
        <v>0</v>
      </c>
      <c r="AM340" s="417">
        <f t="shared" si="532"/>
        <v>0</v>
      </c>
      <c r="AN340" s="417">
        <f t="shared" si="533"/>
        <v>0</v>
      </c>
      <c r="AO340" s="417">
        <f t="shared" si="534"/>
        <v>0</v>
      </c>
      <c r="AP340" s="417">
        <f t="shared" si="535"/>
        <v>0</v>
      </c>
      <c r="AQ340" s="417">
        <f t="shared" si="536"/>
        <v>0</v>
      </c>
      <c r="AR340" s="417">
        <f t="shared" si="537"/>
        <v>0</v>
      </c>
      <c r="AS340" s="68">
        <f t="shared" si="538"/>
        <v>0</v>
      </c>
      <c r="AT340" s="68">
        <f t="shared" si="539"/>
        <v>0</v>
      </c>
      <c r="AU340" s="417">
        <v>0</v>
      </c>
      <c r="AV340" s="417">
        <v>0</v>
      </c>
      <c r="AW340" s="417">
        <v>0</v>
      </c>
      <c r="AX340" s="417">
        <f t="shared" si="540"/>
        <v>0</v>
      </c>
      <c r="AY340" s="417">
        <f t="shared" si="541"/>
        <v>0</v>
      </c>
      <c r="AZ340" s="418">
        <v>0</v>
      </c>
      <c r="BA340" s="418">
        <v>0</v>
      </c>
      <c r="BB340" s="418">
        <v>0</v>
      </c>
      <c r="BC340" s="418">
        <v>0</v>
      </c>
      <c r="BD340" s="418">
        <v>0</v>
      </c>
      <c r="BE340" s="418">
        <v>0</v>
      </c>
      <c r="BF340" s="418">
        <v>0</v>
      </c>
      <c r="BG340" s="418">
        <v>0</v>
      </c>
      <c r="BH340" s="418">
        <v>0</v>
      </c>
      <c r="BI340" s="418">
        <f t="shared" si="542"/>
        <v>0</v>
      </c>
      <c r="BJ340" s="418">
        <f t="shared" si="543"/>
        <v>0</v>
      </c>
      <c r="BK340" s="420">
        <f t="shared" si="544"/>
        <v>0</v>
      </c>
      <c r="BL340" s="772">
        <f t="shared" si="552"/>
        <v>601586</v>
      </c>
      <c r="BM340" s="417">
        <f t="shared" si="553"/>
        <v>446280</v>
      </c>
      <c r="BN340" s="417">
        <f t="shared" si="554"/>
        <v>446280</v>
      </c>
      <c r="BO340" s="417">
        <f t="shared" si="554"/>
        <v>0</v>
      </c>
      <c r="BP340" s="417">
        <f t="shared" si="555"/>
        <v>0</v>
      </c>
      <c r="BQ340" s="417">
        <f t="shared" si="556"/>
        <v>0</v>
      </c>
      <c r="BR340" s="417">
        <f t="shared" si="556"/>
        <v>0</v>
      </c>
      <c r="BS340" s="417">
        <f t="shared" si="557"/>
        <v>150843</v>
      </c>
      <c r="BT340" s="417">
        <f t="shared" si="557"/>
        <v>4463</v>
      </c>
      <c r="BU340" s="417">
        <f t="shared" si="558"/>
        <v>0</v>
      </c>
      <c r="BV340" s="418">
        <f t="shared" si="559"/>
        <v>1</v>
      </c>
      <c r="BW340" s="418">
        <f t="shared" si="560"/>
        <v>1</v>
      </c>
      <c r="BX340" s="420">
        <f t="shared" si="560"/>
        <v>0</v>
      </c>
      <c r="BY340" s="419"/>
      <c r="BZ340" s="414"/>
      <c r="CA340" s="414"/>
      <c r="CB340" s="414"/>
      <c r="CC340" s="414"/>
      <c r="CD340" s="422"/>
      <c r="CE340" s="419">
        <f t="shared" si="549"/>
        <v>0</v>
      </c>
      <c r="CF340" s="414">
        <v>0</v>
      </c>
      <c r="CG340" s="414">
        <v>0</v>
      </c>
      <c r="CH340" s="414">
        <v>0</v>
      </c>
      <c r="CI340" s="414">
        <v>0</v>
      </c>
      <c r="CJ340" s="509">
        <v>0</v>
      </c>
      <c r="CK340" s="53"/>
      <c r="CL340" s="53"/>
    </row>
    <row r="341" spans="1:90" ht="14.1" customHeight="1">
      <c r="A341" s="66">
        <v>69</v>
      </c>
      <c r="B341" s="63">
        <v>2302</v>
      </c>
      <c r="C341" s="64">
        <v>600080366</v>
      </c>
      <c r="D341" s="63">
        <v>70983127</v>
      </c>
      <c r="E341" s="65" t="s">
        <v>673</v>
      </c>
      <c r="F341" s="66">
        <v>3114</v>
      </c>
      <c r="G341" s="165" t="s">
        <v>525</v>
      </c>
      <c r="H341" s="67" t="s">
        <v>271</v>
      </c>
      <c r="I341" s="419">
        <v>10063395</v>
      </c>
      <c r="J341" s="414">
        <v>7328997</v>
      </c>
      <c r="K341" s="414">
        <v>6377685</v>
      </c>
      <c r="L341" s="414">
        <v>951312</v>
      </c>
      <c r="M341" s="414">
        <v>80000</v>
      </c>
      <c r="N341" s="414">
        <v>0</v>
      </c>
      <c r="O341" s="414">
        <v>80000</v>
      </c>
      <c r="P341" s="595">
        <v>2504240</v>
      </c>
      <c r="Q341" s="595">
        <v>73288</v>
      </c>
      <c r="R341" s="414">
        <v>76870</v>
      </c>
      <c r="S341" s="415">
        <v>11.5974</v>
      </c>
      <c r="T341" s="415">
        <v>8.6818000000000008</v>
      </c>
      <c r="U341" s="422">
        <v>2.9156</v>
      </c>
      <c r="V341" s="423">
        <f t="shared" si="527"/>
        <v>0</v>
      </c>
      <c r="W341" s="417">
        <f t="shared" si="528"/>
        <v>0</v>
      </c>
      <c r="X341" s="417">
        <v>0</v>
      </c>
      <c r="Y341" s="417">
        <v>0</v>
      </c>
      <c r="Z341" s="417">
        <v>46801</v>
      </c>
      <c r="AA341" s="417">
        <v>0</v>
      </c>
      <c r="AB341" s="417">
        <v>0</v>
      </c>
      <c r="AC341" s="417">
        <v>0</v>
      </c>
      <c r="AD341" s="417">
        <v>0</v>
      </c>
      <c r="AE341" s="417">
        <f t="shared" si="529"/>
        <v>46801</v>
      </c>
      <c r="AF341" s="417">
        <f t="shared" si="530"/>
        <v>0</v>
      </c>
      <c r="AG341" s="417">
        <f t="shared" si="531"/>
        <v>46801</v>
      </c>
      <c r="AH341" s="417">
        <v>0</v>
      </c>
      <c r="AI341" s="417">
        <v>0</v>
      </c>
      <c r="AJ341" s="417">
        <v>0</v>
      </c>
      <c r="AK341" s="417">
        <v>0</v>
      </c>
      <c r="AL341" s="417">
        <v>0</v>
      </c>
      <c r="AM341" s="417">
        <f t="shared" si="532"/>
        <v>0</v>
      </c>
      <c r="AN341" s="417">
        <f t="shared" si="533"/>
        <v>0</v>
      </c>
      <c r="AO341" s="417">
        <f t="shared" si="534"/>
        <v>0</v>
      </c>
      <c r="AP341" s="417">
        <f t="shared" si="535"/>
        <v>46801</v>
      </c>
      <c r="AQ341" s="417">
        <f t="shared" si="536"/>
        <v>0</v>
      </c>
      <c r="AR341" s="417">
        <f t="shared" si="537"/>
        <v>46801</v>
      </c>
      <c r="AS341" s="68">
        <f t="shared" si="538"/>
        <v>15819</v>
      </c>
      <c r="AT341" s="68">
        <f t="shared" si="539"/>
        <v>468</v>
      </c>
      <c r="AU341" s="417">
        <v>0</v>
      </c>
      <c r="AV341" s="417">
        <v>0</v>
      </c>
      <c r="AW341" s="417">
        <v>0</v>
      </c>
      <c r="AX341" s="417">
        <f t="shared" si="540"/>
        <v>0</v>
      </c>
      <c r="AY341" s="417">
        <f t="shared" si="541"/>
        <v>63088</v>
      </c>
      <c r="AZ341" s="418">
        <v>0</v>
      </c>
      <c r="BA341" s="418">
        <v>0</v>
      </c>
      <c r="BB341" s="418">
        <v>0</v>
      </c>
      <c r="BC341" s="418">
        <v>0.1</v>
      </c>
      <c r="BD341" s="418">
        <v>0</v>
      </c>
      <c r="BE341" s="418">
        <v>0</v>
      </c>
      <c r="BF341" s="418">
        <v>0</v>
      </c>
      <c r="BG341" s="418">
        <v>0</v>
      </c>
      <c r="BH341" s="418">
        <v>0</v>
      </c>
      <c r="BI341" s="418">
        <f t="shared" si="542"/>
        <v>0.1</v>
      </c>
      <c r="BJ341" s="418">
        <f t="shared" si="543"/>
        <v>0</v>
      </c>
      <c r="BK341" s="420">
        <f t="shared" si="544"/>
        <v>0.1</v>
      </c>
      <c r="BL341" s="772">
        <f t="shared" si="552"/>
        <v>10126483</v>
      </c>
      <c r="BM341" s="417">
        <f t="shared" si="553"/>
        <v>7375798</v>
      </c>
      <c r="BN341" s="417">
        <f t="shared" si="554"/>
        <v>6424486</v>
      </c>
      <c r="BO341" s="417">
        <f t="shared" si="554"/>
        <v>951312</v>
      </c>
      <c r="BP341" s="417">
        <f t="shared" si="555"/>
        <v>80000</v>
      </c>
      <c r="BQ341" s="417">
        <f t="shared" si="556"/>
        <v>0</v>
      </c>
      <c r="BR341" s="417">
        <f t="shared" si="556"/>
        <v>80000</v>
      </c>
      <c r="BS341" s="417">
        <f t="shared" si="557"/>
        <v>2520059</v>
      </c>
      <c r="BT341" s="417">
        <f t="shared" si="557"/>
        <v>73756</v>
      </c>
      <c r="BU341" s="417">
        <f t="shared" si="558"/>
        <v>76870</v>
      </c>
      <c r="BV341" s="418">
        <f t="shared" si="559"/>
        <v>11.6974</v>
      </c>
      <c r="BW341" s="418">
        <f t="shared" si="560"/>
        <v>8.7818000000000005</v>
      </c>
      <c r="BX341" s="420">
        <f t="shared" si="560"/>
        <v>2.9156</v>
      </c>
      <c r="BY341" s="419"/>
      <c r="BZ341" s="414"/>
      <c r="CA341" s="414"/>
      <c r="CB341" s="414"/>
      <c r="CC341" s="414"/>
      <c r="CD341" s="422"/>
      <c r="CE341" s="419">
        <f t="shared" si="549"/>
        <v>468004</v>
      </c>
      <c r="CF341" s="414">
        <v>330938</v>
      </c>
      <c r="CG341" s="414">
        <v>111857</v>
      </c>
      <c r="CH341" s="414">
        <v>3310</v>
      </c>
      <c r="CI341" s="414">
        <v>21899</v>
      </c>
      <c r="CJ341" s="509">
        <v>0.93559999999999999</v>
      </c>
      <c r="CK341" s="53"/>
      <c r="CL341" s="53"/>
    </row>
    <row r="342" spans="1:90" ht="14.1" customHeight="1">
      <c r="A342" s="66">
        <v>69</v>
      </c>
      <c r="B342" s="63">
        <v>2302</v>
      </c>
      <c r="C342" s="64">
        <v>600080366</v>
      </c>
      <c r="D342" s="63">
        <v>70983127</v>
      </c>
      <c r="E342" s="65" t="s">
        <v>673</v>
      </c>
      <c r="F342" s="66">
        <v>3114</v>
      </c>
      <c r="G342" s="43" t="s">
        <v>292</v>
      </c>
      <c r="H342" s="67" t="s">
        <v>271</v>
      </c>
      <c r="I342" s="419">
        <v>2867140</v>
      </c>
      <c r="J342" s="414">
        <v>2126958</v>
      </c>
      <c r="K342" s="414">
        <v>2126958</v>
      </c>
      <c r="L342" s="414">
        <v>0</v>
      </c>
      <c r="M342" s="414">
        <v>0</v>
      </c>
      <c r="N342" s="414">
        <v>0</v>
      </c>
      <c r="O342" s="414">
        <v>0</v>
      </c>
      <c r="P342" s="595">
        <v>718912</v>
      </c>
      <c r="Q342" s="595">
        <v>21270</v>
      </c>
      <c r="R342" s="414">
        <v>0</v>
      </c>
      <c r="S342" s="415">
        <v>5.4116999999999997</v>
      </c>
      <c r="T342" s="415">
        <v>5.4116999999999997</v>
      </c>
      <c r="U342" s="422">
        <v>0</v>
      </c>
      <c r="V342" s="423">
        <f t="shared" si="527"/>
        <v>0</v>
      </c>
      <c r="W342" s="417">
        <f t="shared" si="528"/>
        <v>0</v>
      </c>
      <c r="X342" s="417">
        <v>0</v>
      </c>
      <c r="Y342" s="417">
        <v>0</v>
      </c>
      <c r="Z342" s="417">
        <v>-57124</v>
      </c>
      <c r="AA342" s="417">
        <v>0</v>
      </c>
      <c r="AB342" s="417">
        <v>0</v>
      </c>
      <c r="AC342" s="417">
        <v>0</v>
      </c>
      <c r="AD342" s="417">
        <v>0</v>
      </c>
      <c r="AE342" s="417">
        <f t="shared" si="529"/>
        <v>-57124</v>
      </c>
      <c r="AF342" s="417">
        <f t="shared" si="530"/>
        <v>0</v>
      </c>
      <c r="AG342" s="417">
        <f t="shared" si="531"/>
        <v>-57124</v>
      </c>
      <c r="AH342" s="417">
        <v>0</v>
      </c>
      <c r="AI342" s="417">
        <v>0</v>
      </c>
      <c r="AJ342" s="417">
        <v>0</v>
      </c>
      <c r="AK342" s="417">
        <v>0</v>
      </c>
      <c r="AL342" s="417">
        <v>0</v>
      </c>
      <c r="AM342" s="417">
        <f t="shared" si="532"/>
        <v>0</v>
      </c>
      <c r="AN342" s="417">
        <f t="shared" si="533"/>
        <v>0</v>
      </c>
      <c r="AO342" s="417">
        <f t="shared" si="534"/>
        <v>0</v>
      </c>
      <c r="AP342" s="417">
        <f t="shared" si="535"/>
        <v>-57124</v>
      </c>
      <c r="AQ342" s="417">
        <f t="shared" si="536"/>
        <v>0</v>
      </c>
      <c r="AR342" s="417">
        <f t="shared" si="537"/>
        <v>-57124</v>
      </c>
      <c r="AS342" s="68">
        <f t="shared" si="538"/>
        <v>-19308</v>
      </c>
      <c r="AT342" s="68">
        <f t="shared" si="539"/>
        <v>-571</v>
      </c>
      <c r="AU342" s="417">
        <v>0</v>
      </c>
      <c r="AV342" s="417">
        <v>0</v>
      </c>
      <c r="AW342" s="417">
        <v>0</v>
      </c>
      <c r="AX342" s="417">
        <f t="shared" si="540"/>
        <v>0</v>
      </c>
      <c r="AY342" s="417">
        <f t="shared" si="541"/>
        <v>-77003</v>
      </c>
      <c r="AZ342" s="418">
        <v>0</v>
      </c>
      <c r="BA342" s="418">
        <v>0</v>
      </c>
      <c r="BB342" s="418">
        <v>0</v>
      </c>
      <c r="BC342" s="418">
        <v>-0.17</v>
      </c>
      <c r="BD342" s="418">
        <v>0</v>
      </c>
      <c r="BE342" s="418">
        <v>0</v>
      </c>
      <c r="BF342" s="418">
        <v>0</v>
      </c>
      <c r="BG342" s="418">
        <v>0</v>
      </c>
      <c r="BH342" s="418">
        <v>0</v>
      </c>
      <c r="BI342" s="418">
        <f t="shared" si="542"/>
        <v>-0.17</v>
      </c>
      <c r="BJ342" s="418">
        <f t="shared" si="543"/>
        <v>0</v>
      </c>
      <c r="BK342" s="420">
        <f t="shared" si="544"/>
        <v>-0.17</v>
      </c>
      <c r="BL342" s="772">
        <f t="shared" si="552"/>
        <v>2790137</v>
      </c>
      <c r="BM342" s="417">
        <f t="shared" si="553"/>
        <v>2069834</v>
      </c>
      <c r="BN342" s="417">
        <f t="shared" si="554"/>
        <v>2069834</v>
      </c>
      <c r="BO342" s="417">
        <f t="shared" si="554"/>
        <v>0</v>
      </c>
      <c r="BP342" s="417">
        <f t="shared" si="555"/>
        <v>0</v>
      </c>
      <c r="BQ342" s="417">
        <f t="shared" si="556"/>
        <v>0</v>
      </c>
      <c r="BR342" s="417">
        <f t="shared" si="556"/>
        <v>0</v>
      </c>
      <c r="BS342" s="417">
        <f t="shared" si="557"/>
        <v>699604</v>
      </c>
      <c r="BT342" s="417">
        <f t="shared" si="557"/>
        <v>20699</v>
      </c>
      <c r="BU342" s="417">
        <f t="shared" si="558"/>
        <v>0</v>
      </c>
      <c r="BV342" s="418">
        <f t="shared" si="559"/>
        <v>5.2416999999999998</v>
      </c>
      <c r="BW342" s="418">
        <f t="shared" si="560"/>
        <v>5.2416999999999998</v>
      </c>
      <c r="BX342" s="420">
        <f t="shared" si="560"/>
        <v>0</v>
      </c>
      <c r="BY342" s="419"/>
      <c r="BZ342" s="414"/>
      <c r="CA342" s="414"/>
      <c r="CB342" s="414"/>
      <c r="CC342" s="414"/>
      <c r="CD342" s="422"/>
      <c r="CE342" s="419">
        <f t="shared" si="549"/>
        <v>0</v>
      </c>
      <c r="CF342" s="414">
        <v>0</v>
      </c>
      <c r="CG342" s="414">
        <v>0</v>
      </c>
      <c r="CH342" s="414">
        <v>0</v>
      </c>
      <c r="CI342" s="414">
        <v>0</v>
      </c>
      <c r="CJ342" s="509">
        <v>0</v>
      </c>
      <c r="CK342" s="53"/>
      <c r="CL342" s="53"/>
    </row>
    <row r="343" spans="1:90" ht="14.1" customHeight="1">
      <c r="A343" s="66">
        <v>69</v>
      </c>
      <c r="B343" s="63">
        <v>2302</v>
      </c>
      <c r="C343" s="64">
        <v>600080366</v>
      </c>
      <c r="D343" s="63">
        <v>70983127</v>
      </c>
      <c r="E343" s="65" t="s">
        <v>673</v>
      </c>
      <c r="F343" s="66">
        <v>3114</v>
      </c>
      <c r="G343" s="77" t="s">
        <v>291</v>
      </c>
      <c r="H343" s="67" t="s">
        <v>272</v>
      </c>
      <c r="I343" s="419">
        <v>1999359</v>
      </c>
      <c r="J343" s="414">
        <v>1483204</v>
      </c>
      <c r="K343" s="414">
        <v>1483204</v>
      </c>
      <c r="L343" s="414">
        <v>0</v>
      </c>
      <c r="M343" s="414">
        <v>0</v>
      </c>
      <c r="N343" s="414">
        <v>0</v>
      </c>
      <c r="O343" s="414">
        <v>0</v>
      </c>
      <c r="P343" s="595">
        <v>501323</v>
      </c>
      <c r="Q343" s="595">
        <v>14832</v>
      </c>
      <c r="R343" s="414">
        <v>0</v>
      </c>
      <c r="S343" s="415">
        <v>4</v>
      </c>
      <c r="T343" s="416">
        <v>4</v>
      </c>
      <c r="U343" s="422">
        <v>0</v>
      </c>
      <c r="V343" s="423">
        <f t="shared" si="527"/>
        <v>0</v>
      </c>
      <c r="W343" s="417">
        <f t="shared" si="528"/>
        <v>0</v>
      </c>
      <c r="X343" s="417">
        <v>-77251</v>
      </c>
      <c r="Y343" s="417">
        <v>0</v>
      </c>
      <c r="Z343" s="417">
        <v>0</v>
      </c>
      <c r="AA343" s="417">
        <v>0</v>
      </c>
      <c r="AB343" s="417">
        <v>0</v>
      </c>
      <c r="AC343" s="417">
        <v>0</v>
      </c>
      <c r="AD343" s="417">
        <v>0</v>
      </c>
      <c r="AE343" s="417">
        <f t="shared" si="529"/>
        <v>-77251</v>
      </c>
      <c r="AF343" s="417">
        <f t="shared" si="530"/>
        <v>0</v>
      </c>
      <c r="AG343" s="417">
        <f t="shared" si="531"/>
        <v>-77251</v>
      </c>
      <c r="AH343" s="417">
        <v>0</v>
      </c>
      <c r="AI343" s="417">
        <v>0</v>
      </c>
      <c r="AJ343" s="417">
        <v>0</v>
      </c>
      <c r="AK343" s="417">
        <v>0</v>
      </c>
      <c r="AL343" s="417">
        <v>0</v>
      </c>
      <c r="AM343" s="417">
        <f t="shared" si="532"/>
        <v>0</v>
      </c>
      <c r="AN343" s="417">
        <f t="shared" si="533"/>
        <v>0</v>
      </c>
      <c r="AO343" s="417">
        <f t="shared" si="534"/>
        <v>0</v>
      </c>
      <c r="AP343" s="417">
        <f t="shared" si="535"/>
        <v>-77251</v>
      </c>
      <c r="AQ343" s="417">
        <f t="shared" si="536"/>
        <v>0</v>
      </c>
      <c r="AR343" s="417">
        <f t="shared" si="537"/>
        <v>-77251</v>
      </c>
      <c r="AS343" s="68">
        <f t="shared" si="538"/>
        <v>-26111</v>
      </c>
      <c r="AT343" s="68">
        <f t="shared" si="539"/>
        <v>-773</v>
      </c>
      <c r="AU343" s="417">
        <v>4500</v>
      </c>
      <c r="AV343" s="417">
        <v>0</v>
      </c>
      <c r="AW343" s="417">
        <v>0</v>
      </c>
      <c r="AX343" s="417">
        <f t="shared" si="540"/>
        <v>4500</v>
      </c>
      <c r="AY343" s="417">
        <f t="shared" si="541"/>
        <v>-99635</v>
      </c>
      <c r="AZ343" s="418">
        <v>0</v>
      </c>
      <c r="BA343" s="418">
        <v>0</v>
      </c>
      <c r="BB343" s="418">
        <v>-0.2</v>
      </c>
      <c r="BC343" s="418">
        <v>0</v>
      </c>
      <c r="BD343" s="418">
        <v>0</v>
      </c>
      <c r="BE343" s="418">
        <v>0</v>
      </c>
      <c r="BF343" s="418">
        <v>0</v>
      </c>
      <c r="BG343" s="418">
        <v>0</v>
      </c>
      <c r="BH343" s="418">
        <v>0</v>
      </c>
      <c r="BI343" s="418">
        <f t="shared" si="542"/>
        <v>-0.2</v>
      </c>
      <c r="BJ343" s="418">
        <f t="shared" si="543"/>
        <v>0</v>
      </c>
      <c r="BK343" s="420">
        <f t="shared" si="544"/>
        <v>-0.2</v>
      </c>
      <c r="BL343" s="772">
        <f t="shared" si="552"/>
        <v>1899724</v>
      </c>
      <c r="BM343" s="417">
        <f t="shared" si="553"/>
        <v>1405953</v>
      </c>
      <c r="BN343" s="417">
        <f t="shared" si="554"/>
        <v>1405953</v>
      </c>
      <c r="BO343" s="417">
        <f t="shared" si="554"/>
        <v>0</v>
      </c>
      <c r="BP343" s="417">
        <f t="shared" si="555"/>
        <v>0</v>
      </c>
      <c r="BQ343" s="417">
        <f t="shared" si="556"/>
        <v>0</v>
      </c>
      <c r="BR343" s="417">
        <f t="shared" si="556"/>
        <v>0</v>
      </c>
      <c r="BS343" s="417">
        <f t="shared" si="557"/>
        <v>475212</v>
      </c>
      <c r="BT343" s="417">
        <f t="shared" si="557"/>
        <v>14059</v>
      </c>
      <c r="BU343" s="417">
        <f t="shared" si="558"/>
        <v>4500</v>
      </c>
      <c r="BV343" s="418">
        <f t="shared" si="559"/>
        <v>3.8</v>
      </c>
      <c r="BW343" s="418">
        <f t="shared" si="560"/>
        <v>3.8</v>
      </c>
      <c r="BX343" s="420">
        <f t="shared" si="560"/>
        <v>0</v>
      </c>
      <c r="BY343" s="419"/>
      <c r="BZ343" s="414"/>
      <c r="CA343" s="414"/>
      <c r="CB343" s="414"/>
      <c r="CC343" s="414"/>
      <c r="CD343" s="422"/>
      <c r="CE343" s="419">
        <f t="shared" si="549"/>
        <v>0</v>
      </c>
      <c r="CF343" s="414">
        <v>0</v>
      </c>
      <c r="CG343" s="414">
        <v>0</v>
      </c>
      <c r="CH343" s="414">
        <v>0</v>
      </c>
      <c r="CI343" s="414">
        <v>0</v>
      </c>
      <c r="CJ343" s="509">
        <v>0</v>
      </c>
      <c r="CK343" s="53"/>
      <c r="CL343" s="53"/>
    </row>
    <row r="344" spans="1:90" ht="14.1" customHeight="1">
      <c r="A344" s="66">
        <v>69</v>
      </c>
      <c r="B344" s="63">
        <v>2302</v>
      </c>
      <c r="C344" s="64">
        <v>600080366</v>
      </c>
      <c r="D344" s="63">
        <v>70983127</v>
      </c>
      <c r="E344" s="65" t="s">
        <v>673</v>
      </c>
      <c r="F344" s="66">
        <v>3141</v>
      </c>
      <c r="G344" s="65" t="s">
        <v>294</v>
      </c>
      <c r="H344" s="67" t="s">
        <v>272</v>
      </c>
      <c r="I344" s="419">
        <v>481943</v>
      </c>
      <c r="J344" s="414">
        <v>355128</v>
      </c>
      <c r="K344" s="414">
        <v>0</v>
      </c>
      <c r="L344" s="744">
        <v>355128</v>
      </c>
      <c r="M344" s="414">
        <v>0</v>
      </c>
      <c r="N344" s="204">
        <v>0</v>
      </c>
      <c r="O344" s="204">
        <v>0</v>
      </c>
      <c r="P344" s="595">
        <v>120033</v>
      </c>
      <c r="Q344" s="595">
        <v>3552</v>
      </c>
      <c r="R344" s="601">
        <v>3230</v>
      </c>
      <c r="S344" s="415">
        <v>1.0567</v>
      </c>
      <c r="T344" s="603">
        <v>0</v>
      </c>
      <c r="U344" s="731">
        <v>1.0567</v>
      </c>
      <c r="V344" s="423">
        <f t="shared" si="527"/>
        <v>0</v>
      </c>
      <c r="W344" s="417">
        <f t="shared" si="528"/>
        <v>0</v>
      </c>
      <c r="X344" s="417">
        <v>0</v>
      </c>
      <c r="Y344" s="417">
        <v>0</v>
      </c>
      <c r="Z344" s="417">
        <v>0</v>
      </c>
      <c r="AA344" s="417">
        <v>-5154</v>
      </c>
      <c r="AB344" s="417">
        <v>0</v>
      </c>
      <c r="AC344" s="417">
        <v>0</v>
      </c>
      <c r="AD344" s="417">
        <v>0</v>
      </c>
      <c r="AE344" s="417">
        <f t="shared" si="529"/>
        <v>0</v>
      </c>
      <c r="AF344" s="417">
        <f t="shared" si="530"/>
        <v>-5154</v>
      </c>
      <c r="AG344" s="417">
        <f t="shared" si="531"/>
        <v>-5154</v>
      </c>
      <c r="AH344" s="417">
        <v>0</v>
      </c>
      <c r="AI344" s="417">
        <v>0</v>
      </c>
      <c r="AJ344" s="417">
        <v>0</v>
      </c>
      <c r="AK344" s="417">
        <v>0</v>
      </c>
      <c r="AL344" s="417">
        <v>0</v>
      </c>
      <c r="AM344" s="417">
        <f t="shared" si="532"/>
        <v>0</v>
      </c>
      <c r="AN344" s="417">
        <f t="shared" si="533"/>
        <v>0</v>
      </c>
      <c r="AO344" s="417">
        <f t="shared" si="534"/>
        <v>0</v>
      </c>
      <c r="AP344" s="417">
        <f t="shared" si="535"/>
        <v>0</v>
      </c>
      <c r="AQ344" s="417">
        <f t="shared" si="536"/>
        <v>-5154</v>
      </c>
      <c r="AR344" s="417">
        <f t="shared" si="537"/>
        <v>-5154</v>
      </c>
      <c r="AS344" s="68">
        <f t="shared" si="538"/>
        <v>-1742</v>
      </c>
      <c r="AT344" s="68">
        <f t="shared" si="539"/>
        <v>-52</v>
      </c>
      <c r="AU344" s="417">
        <v>0</v>
      </c>
      <c r="AV344" s="417">
        <v>0</v>
      </c>
      <c r="AW344" s="417">
        <v>0</v>
      </c>
      <c r="AX344" s="417">
        <f t="shared" si="540"/>
        <v>0</v>
      </c>
      <c r="AY344" s="417">
        <f t="shared" si="541"/>
        <v>-6948</v>
      </c>
      <c r="AZ344" s="418">
        <v>0</v>
      </c>
      <c r="BA344" s="418">
        <v>0</v>
      </c>
      <c r="BB344" s="418">
        <v>0</v>
      </c>
      <c r="BC344" s="418">
        <v>0</v>
      </c>
      <c r="BD344" s="418">
        <v>-0.01</v>
      </c>
      <c r="BE344" s="418">
        <v>0</v>
      </c>
      <c r="BF344" s="418">
        <v>0</v>
      </c>
      <c r="BG344" s="418">
        <v>0</v>
      </c>
      <c r="BH344" s="418">
        <v>0</v>
      </c>
      <c r="BI344" s="418">
        <f t="shared" si="542"/>
        <v>0</v>
      </c>
      <c r="BJ344" s="418">
        <f t="shared" si="543"/>
        <v>-0.01</v>
      </c>
      <c r="BK344" s="420">
        <f t="shared" si="544"/>
        <v>-0.01</v>
      </c>
      <c r="BL344" s="772">
        <f t="shared" si="552"/>
        <v>474995</v>
      </c>
      <c r="BM344" s="417">
        <f t="shared" si="553"/>
        <v>349974</v>
      </c>
      <c r="BN344" s="417">
        <f t="shared" si="554"/>
        <v>0</v>
      </c>
      <c r="BO344" s="417">
        <f t="shared" si="554"/>
        <v>349974</v>
      </c>
      <c r="BP344" s="417">
        <f t="shared" si="555"/>
        <v>0</v>
      </c>
      <c r="BQ344" s="417">
        <f t="shared" si="556"/>
        <v>0</v>
      </c>
      <c r="BR344" s="417">
        <f t="shared" si="556"/>
        <v>0</v>
      </c>
      <c r="BS344" s="417">
        <f t="shared" si="557"/>
        <v>118291</v>
      </c>
      <c r="BT344" s="417">
        <f t="shared" si="557"/>
        <v>3500</v>
      </c>
      <c r="BU344" s="417">
        <f t="shared" si="558"/>
        <v>3230</v>
      </c>
      <c r="BV344" s="418">
        <f t="shared" si="559"/>
        <v>1.0467</v>
      </c>
      <c r="BW344" s="418">
        <f t="shared" si="560"/>
        <v>0</v>
      </c>
      <c r="BX344" s="420">
        <f t="shared" si="560"/>
        <v>1.0467</v>
      </c>
      <c r="BY344" s="419"/>
      <c r="BZ344" s="414"/>
      <c r="CA344" s="414"/>
      <c r="CB344" s="414"/>
      <c r="CC344" s="414"/>
      <c r="CD344" s="422"/>
      <c r="CE344" s="419">
        <f t="shared" si="549"/>
        <v>0</v>
      </c>
      <c r="CF344" s="414">
        <v>0</v>
      </c>
      <c r="CG344" s="414">
        <v>0</v>
      </c>
      <c r="CH344" s="414">
        <v>0</v>
      </c>
      <c r="CI344" s="414">
        <v>0</v>
      </c>
      <c r="CJ344" s="509">
        <v>0</v>
      </c>
      <c r="CK344" s="53"/>
      <c r="CL344" s="53"/>
    </row>
    <row r="345" spans="1:90" ht="14.1" customHeight="1">
      <c r="A345" s="66">
        <v>69</v>
      </c>
      <c r="B345" s="63">
        <v>2302</v>
      </c>
      <c r="C345" s="64">
        <v>600080366</v>
      </c>
      <c r="D345" s="63">
        <v>70983127</v>
      </c>
      <c r="E345" s="65" t="s">
        <v>673</v>
      </c>
      <c r="F345" s="66">
        <v>3143</v>
      </c>
      <c r="G345" s="77" t="s">
        <v>595</v>
      </c>
      <c r="H345" s="67" t="s">
        <v>271</v>
      </c>
      <c r="I345" s="419">
        <v>599979</v>
      </c>
      <c r="J345" s="414">
        <v>445088</v>
      </c>
      <c r="K345" s="414">
        <v>445088</v>
      </c>
      <c r="L345" s="414">
        <v>0</v>
      </c>
      <c r="M345" s="414">
        <v>0</v>
      </c>
      <c r="N345" s="414">
        <v>0</v>
      </c>
      <c r="O345" s="414">
        <v>0</v>
      </c>
      <c r="P345" s="595">
        <v>150440</v>
      </c>
      <c r="Q345" s="595">
        <v>4451</v>
      </c>
      <c r="R345" s="414">
        <v>0</v>
      </c>
      <c r="S345" s="415">
        <v>1</v>
      </c>
      <c r="T345" s="415">
        <v>1</v>
      </c>
      <c r="U345" s="422">
        <v>0</v>
      </c>
      <c r="V345" s="423">
        <f t="shared" si="527"/>
        <v>0</v>
      </c>
      <c r="W345" s="417">
        <f t="shared" si="528"/>
        <v>0</v>
      </c>
      <c r="X345" s="417">
        <v>0</v>
      </c>
      <c r="Y345" s="417">
        <v>0</v>
      </c>
      <c r="Z345" s="417">
        <v>0</v>
      </c>
      <c r="AA345" s="417">
        <v>0</v>
      </c>
      <c r="AB345" s="417">
        <v>0</v>
      </c>
      <c r="AC345" s="417">
        <v>0</v>
      </c>
      <c r="AD345" s="417">
        <v>0</v>
      </c>
      <c r="AE345" s="417">
        <f t="shared" si="529"/>
        <v>0</v>
      </c>
      <c r="AF345" s="417">
        <f t="shared" si="530"/>
        <v>0</v>
      </c>
      <c r="AG345" s="417">
        <f t="shared" si="531"/>
        <v>0</v>
      </c>
      <c r="AH345" s="417">
        <v>0</v>
      </c>
      <c r="AI345" s="417">
        <v>0</v>
      </c>
      <c r="AJ345" s="417">
        <v>0</v>
      </c>
      <c r="AK345" s="417">
        <v>0</v>
      </c>
      <c r="AL345" s="417">
        <v>0</v>
      </c>
      <c r="AM345" s="417">
        <f t="shared" si="532"/>
        <v>0</v>
      </c>
      <c r="AN345" s="417">
        <f t="shared" si="533"/>
        <v>0</v>
      </c>
      <c r="AO345" s="417">
        <f t="shared" si="534"/>
        <v>0</v>
      </c>
      <c r="AP345" s="417">
        <f t="shared" si="535"/>
        <v>0</v>
      </c>
      <c r="AQ345" s="417">
        <f t="shared" si="536"/>
        <v>0</v>
      </c>
      <c r="AR345" s="417">
        <f t="shared" si="537"/>
        <v>0</v>
      </c>
      <c r="AS345" s="68">
        <f t="shared" si="538"/>
        <v>0</v>
      </c>
      <c r="AT345" s="68">
        <f t="shared" si="539"/>
        <v>0</v>
      </c>
      <c r="AU345" s="417">
        <v>0</v>
      </c>
      <c r="AV345" s="417">
        <v>0</v>
      </c>
      <c r="AW345" s="417">
        <v>0</v>
      </c>
      <c r="AX345" s="417">
        <f t="shared" si="540"/>
        <v>0</v>
      </c>
      <c r="AY345" s="417">
        <f t="shared" si="541"/>
        <v>0</v>
      </c>
      <c r="AZ345" s="418">
        <v>0</v>
      </c>
      <c r="BA345" s="418">
        <v>0</v>
      </c>
      <c r="BB345" s="418">
        <v>0</v>
      </c>
      <c r="BC345" s="418">
        <v>0</v>
      </c>
      <c r="BD345" s="418">
        <v>0</v>
      </c>
      <c r="BE345" s="418">
        <v>0</v>
      </c>
      <c r="BF345" s="418">
        <v>0</v>
      </c>
      <c r="BG345" s="418">
        <v>0</v>
      </c>
      <c r="BH345" s="418">
        <v>0</v>
      </c>
      <c r="BI345" s="418">
        <f t="shared" si="542"/>
        <v>0</v>
      </c>
      <c r="BJ345" s="418">
        <f t="shared" si="543"/>
        <v>0</v>
      </c>
      <c r="BK345" s="420">
        <f t="shared" si="544"/>
        <v>0</v>
      </c>
      <c r="BL345" s="772">
        <f t="shared" si="552"/>
        <v>599979</v>
      </c>
      <c r="BM345" s="417">
        <f t="shared" si="553"/>
        <v>445088</v>
      </c>
      <c r="BN345" s="417">
        <f t="shared" si="554"/>
        <v>445088</v>
      </c>
      <c r="BO345" s="417">
        <f t="shared" si="554"/>
        <v>0</v>
      </c>
      <c r="BP345" s="417">
        <f t="shared" si="555"/>
        <v>0</v>
      </c>
      <c r="BQ345" s="417">
        <f t="shared" si="556"/>
        <v>0</v>
      </c>
      <c r="BR345" s="417">
        <f t="shared" si="556"/>
        <v>0</v>
      </c>
      <c r="BS345" s="417">
        <f t="shared" si="557"/>
        <v>150440</v>
      </c>
      <c r="BT345" s="417">
        <f t="shared" si="557"/>
        <v>4451</v>
      </c>
      <c r="BU345" s="417">
        <f t="shared" si="558"/>
        <v>0</v>
      </c>
      <c r="BV345" s="418">
        <f t="shared" si="559"/>
        <v>1</v>
      </c>
      <c r="BW345" s="418">
        <f t="shared" si="560"/>
        <v>1</v>
      </c>
      <c r="BX345" s="420">
        <f t="shared" si="560"/>
        <v>0</v>
      </c>
      <c r="BY345" s="419"/>
      <c r="BZ345" s="414"/>
      <c r="CA345" s="414"/>
      <c r="CB345" s="414"/>
      <c r="CC345" s="414"/>
      <c r="CD345" s="422"/>
      <c r="CE345" s="419">
        <f t="shared" si="549"/>
        <v>0</v>
      </c>
      <c r="CF345" s="414">
        <v>0</v>
      </c>
      <c r="CG345" s="414">
        <v>0</v>
      </c>
      <c r="CH345" s="414">
        <v>0</v>
      </c>
      <c r="CI345" s="414">
        <v>0</v>
      </c>
      <c r="CJ345" s="509">
        <v>0</v>
      </c>
      <c r="CK345" s="53"/>
      <c r="CL345" s="53"/>
    </row>
    <row r="346" spans="1:90" ht="14.1" customHeight="1">
      <c r="A346" s="66">
        <v>69</v>
      </c>
      <c r="B346" s="63">
        <v>2302</v>
      </c>
      <c r="C346" s="64">
        <v>600080366</v>
      </c>
      <c r="D346" s="63">
        <v>70983127</v>
      </c>
      <c r="E346" s="65" t="s">
        <v>673</v>
      </c>
      <c r="F346" s="66">
        <v>3143</v>
      </c>
      <c r="G346" s="77" t="s">
        <v>596</v>
      </c>
      <c r="H346" s="67" t="s">
        <v>272</v>
      </c>
      <c r="I346" s="419">
        <v>11527</v>
      </c>
      <c r="J346" s="414">
        <v>8250</v>
      </c>
      <c r="K346" s="414">
        <v>0</v>
      </c>
      <c r="L346" s="601">
        <v>8250</v>
      </c>
      <c r="M346" s="414">
        <v>0</v>
      </c>
      <c r="N346" s="414">
        <v>0</v>
      </c>
      <c r="O346" s="414">
        <v>0</v>
      </c>
      <c r="P346" s="595">
        <v>2789</v>
      </c>
      <c r="Q346" s="595">
        <v>83</v>
      </c>
      <c r="R346" s="602">
        <v>405</v>
      </c>
      <c r="S346" s="415">
        <v>3.0800000000000001E-2</v>
      </c>
      <c r="T346" s="605">
        <v>0</v>
      </c>
      <c r="U346" s="731">
        <v>3.0800000000000001E-2</v>
      </c>
      <c r="V346" s="423">
        <f t="shared" si="527"/>
        <v>0</v>
      </c>
      <c r="W346" s="417">
        <f t="shared" si="528"/>
        <v>0</v>
      </c>
      <c r="X346" s="417">
        <v>0</v>
      </c>
      <c r="Y346" s="417">
        <v>0</v>
      </c>
      <c r="Z346" s="417">
        <v>0</v>
      </c>
      <c r="AA346" s="417">
        <v>0</v>
      </c>
      <c r="AB346" s="417">
        <v>0</v>
      </c>
      <c r="AC346" s="417">
        <v>0</v>
      </c>
      <c r="AD346" s="417">
        <v>0</v>
      </c>
      <c r="AE346" s="417">
        <f t="shared" si="529"/>
        <v>0</v>
      </c>
      <c r="AF346" s="417">
        <f t="shared" si="530"/>
        <v>0</v>
      </c>
      <c r="AG346" s="417">
        <f t="shared" si="531"/>
        <v>0</v>
      </c>
      <c r="AH346" s="417">
        <v>0</v>
      </c>
      <c r="AI346" s="417">
        <v>0</v>
      </c>
      <c r="AJ346" s="417">
        <v>0</v>
      </c>
      <c r="AK346" s="417">
        <v>0</v>
      </c>
      <c r="AL346" s="417">
        <v>0</v>
      </c>
      <c r="AM346" s="417">
        <f t="shared" si="532"/>
        <v>0</v>
      </c>
      <c r="AN346" s="417">
        <f t="shared" si="533"/>
        <v>0</v>
      </c>
      <c r="AO346" s="417">
        <f t="shared" si="534"/>
        <v>0</v>
      </c>
      <c r="AP346" s="417">
        <f t="shared" si="535"/>
        <v>0</v>
      </c>
      <c r="AQ346" s="417">
        <f t="shared" si="536"/>
        <v>0</v>
      </c>
      <c r="AR346" s="417">
        <f t="shared" si="537"/>
        <v>0</v>
      </c>
      <c r="AS346" s="68">
        <f t="shared" si="538"/>
        <v>0</v>
      </c>
      <c r="AT346" s="68">
        <f t="shared" si="539"/>
        <v>0</v>
      </c>
      <c r="AU346" s="417">
        <v>0</v>
      </c>
      <c r="AV346" s="417">
        <v>0</v>
      </c>
      <c r="AW346" s="417">
        <v>0</v>
      </c>
      <c r="AX346" s="417">
        <f t="shared" si="540"/>
        <v>0</v>
      </c>
      <c r="AY346" s="417">
        <f t="shared" si="541"/>
        <v>0</v>
      </c>
      <c r="AZ346" s="418">
        <v>0</v>
      </c>
      <c r="BA346" s="418">
        <v>0</v>
      </c>
      <c r="BB346" s="418">
        <v>0</v>
      </c>
      <c r="BC346" s="418">
        <v>0</v>
      </c>
      <c r="BD346" s="418">
        <v>0</v>
      </c>
      <c r="BE346" s="418">
        <v>0</v>
      </c>
      <c r="BF346" s="418">
        <v>0</v>
      </c>
      <c r="BG346" s="418">
        <v>0</v>
      </c>
      <c r="BH346" s="418">
        <v>0</v>
      </c>
      <c r="BI346" s="418">
        <f t="shared" si="542"/>
        <v>0</v>
      </c>
      <c r="BJ346" s="418">
        <f t="shared" si="543"/>
        <v>0</v>
      </c>
      <c r="BK346" s="420">
        <f t="shared" si="544"/>
        <v>0</v>
      </c>
      <c r="BL346" s="772">
        <f t="shared" si="552"/>
        <v>11527</v>
      </c>
      <c r="BM346" s="417">
        <f t="shared" si="553"/>
        <v>8250</v>
      </c>
      <c r="BN346" s="417">
        <f t="shared" si="554"/>
        <v>0</v>
      </c>
      <c r="BO346" s="417">
        <f t="shared" si="554"/>
        <v>8250</v>
      </c>
      <c r="BP346" s="417">
        <f t="shared" si="555"/>
        <v>0</v>
      </c>
      <c r="BQ346" s="417">
        <f t="shared" si="556"/>
        <v>0</v>
      </c>
      <c r="BR346" s="417">
        <f t="shared" si="556"/>
        <v>0</v>
      </c>
      <c r="BS346" s="417">
        <f t="shared" si="557"/>
        <v>2789</v>
      </c>
      <c r="BT346" s="417">
        <f t="shared" si="557"/>
        <v>83</v>
      </c>
      <c r="BU346" s="417">
        <f t="shared" si="558"/>
        <v>405</v>
      </c>
      <c r="BV346" s="418">
        <f t="shared" si="559"/>
        <v>3.0800000000000001E-2</v>
      </c>
      <c r="BW346" s="418">
        <f t="shared" si="560"/>
        <v>0</v>
      </c>
      <c r="BX346" s="420">
        <f t="shared" si="560"/>
        <v>3.0800000000000001E-2</v>
      </c>
      <c r="BY346" s="419"/>
      <c r="BZ346" s="414"/>
      <c r="CA346" s="414"/>
      <c r="CB346" s="414"/>
      <c r="CC346" s="414"/>
      <c r="CD346" s="422"/>
      <c r="CE346" s="419">
        <f t="shared" si="549"/>
        <v>0</v>
      </c>
      <c r="CF346" s="414">
        <v>0</v>
      </c>
      <c r="CG346" s="414">
        <v>0</v>
      </c>
      <c r="CH346" s="414">
        <v>0</v>
      </c>
      <c r="CI346" s="414">
        <v>0</v>
      </c>
      <c r="CJ346" s="509">
        <v>0</v>
      </c>
      <c r="CK346" s="53"/>
      <c r="CL346" s="53"/>
    </row>
    <row r="347" spans="1:90" ht="14.1" customHeight="1">
      <c r="A347" s="72">
        <v>69</v>
      </c>
      <c r="B347" s="69">
        <v>2302</v>
      </c>
      <c r="C347" s="70">
        <v>600080366</v>
      </c>
      <c r="D347" s="69">
        <v>70983127</v>
      </c>
      <c r="E347" s="71" t="s">
        <v>674</v>
      </c>
      <c r="F347" s="72"/>
      <c r="G347" s="71"/>
      <c r="H347" s="73"/>
      <c r="I347" s="516">
        <v>22792527</v>
      </c>
      <c r="J347" s="74">
        <v>16745001</v>
      </c>
      <c r="K347" s="74">
        <v>15060303</v>
      </c>
      <c r="L347" s="74">
        <v>1684698</v>
      </c>
      <c r="M347" s="74">
        <v>80000</v>
      </c>
      <c r="N347" s="74">
        <v>0</v>
      </c>
      <c r="O347" s="74">
        <v>80000</v>
      </c>
      <c r="P347" s="74">
        <v>5686851</v>
      </c>
      <c r="Q347" s="74">
        <v>167450</v>
      </c>
      <c r="R347" s="74">
        <v>113225</v>
      </c>
      <c r="S347" s="75">
        <v>33.2179</v>
      </c>
      <c r="T347" s="75">
        <v>27.732400000000002</v>
      </c>
      <c r="U347" s="653">
        <v>5.4855</v>
      </c>
      <c r="V347" s="516">
        <f t="shared" ref="V347:BX347" si="561">SUM(V339:V346)</f>
        <v>0</v>
      </c>
      <c r="W347" s="74">
        <f t="shared" si="561"/>
        <v>0</v>
      </c>
      <c r="X347" s="74">
        <f t="shared" si="561"/>
        <v>-77251</v>
      </c>
      <c r="Y347" s="74">
        <f t="shared" si="561"/>
        <v>0</v>
      </c>
      <c r="Z347" s="74">
        <f t="shared" si="561"/>
        <v>-232254</v>
      </c>
      <c r="AA347" s="74">
        <f t="shared" si="561"/>
        <v>-5154</v>
      </c>
      <c r="AB347" s="74">
        <f t="shared" si="561"/>
        <v>0</v>
      </c>
      <c r="AC347" s="74">
        <f t="shared" si="561"/>
        <v>0</v>
      </c>
      <c r="AD347" s="74">
        <f t="shared" si="561"/>
        <v>0</v>
      </c>
      <c r="AE347" s="74">
        <f t="shared" si="561"/>
        <v>-309505</v>
      </c>
      <c r="AF347" s="74">
        <f t="shared" si="561"/>
        <v>-5154</v>
      </c>
      <c r="AG347" s="74">
        <f t="shared" si="561"/>
        <v>-314659</v>
      </c>
      <c r="AH347" s="74">
        <f t="shared" si="561"/>
        <v>0</v>
      </c>
      <c r="AI347" s="74">
        <f t="shared" si="561"/>
        <v>0</v>
      </c>
      <c r="AJ347" s="74">
        <f t="shared" si="561"/>
        <v>0</v>
      </c>
      <c r="AK347" s="74">
        <f t="shared" si="561"/>
        <v>0</v>
      </c>
      <c r="AL347" s="74">
        <f t="shared" si="561"/>
        <v>0</v>
      </c>
      <c r="AM347" s="74">
        <f t="shared" si="561"/>
        <v>0</v>
      </c>
      <c r="AN347" s="74">
        <f t="shared" si="561"/>
        <v>0</v>
      </c>
      <c r="AO347" s="74">
        <f t="shared" si="561"/>
        <v>0</v>
      </c>
      <c r="AP347" s="74">
        <f t="shared" si="561"/>
        <v>-309505</v>
      </c>
      <c r="AQ347" s="74">
        <f t="shared" si="561"/>
        <v>-5154</v>
      </c>
      <c r="AR347" s="74">
        <f t="shared" si="561"/>
        <v>-314659</v>
      </c>
      <c r="AS347" s="74">
        <f t="shared" si="561"/>
        <v>-106355</v>
      </c>
      <c r="AT347" s="74">
        <f t="shared" si="561"/>
        <v>-3147</v>
      </c>
      <c r="AU347" s="74">
        <f t="shared" si="561"/>
        <v>4500</v>
      </c>
      <c r="AV347" s="74">
        <f t="shared" si="561"/>
        <v>0</v>
      </c>
      <c r="AW347" s="74">
        <f t="shared" si="561"/>
        <v>0</v>
      </c>
      <c r="AX347" s="74">
        <f t="shared" si="561"/>
        <v>4500</v>
      </c>
      <c r="AY347" s="74">
        <f t="shared" si="561"/>
        <v>-419661</v>
      </c>
      <c r="AZ347" s="75">
        <f t="shared" si="561"/>
        <v>0</v>
      </c>
      <c r="BA347" s="75">
        <f t="shared" si="561"/>
        <v>0</v>
      </c>
      <c r="BB347" s="75">
        <f t="shared" si="561"/>
        <v>-0.2</v>
      </c>
      <c r="BC347" s="75">
        <f t="shared" si="561"/>
        <v>-0.62000000000000011</v>
      </c>
      <c r="BD347" s="75">
        <f t="shared" si="561"/>
        <v>-0.01</v>
      </c>
      <c r="BE347" s="75">
        <f t="shared" si="561"/>
        <v>0</v>
      </c>
      <c r="BF347" s="75">
        <f t="shared" si="561"/>
        <v>0</v>
      </c>
      <c r="BG347" s="75">
        <f t="shared" si="561"/>
        <v>0</v>
      </c>
      <c r="BH347" s="75">
        <f t="shared" si="561"/>
        <v>0</v>
      </c>
      <c r="BI347" s="75">
        <f t="shared" si="561"/>
        <v>-0.82000000000000006</v>
      </c>
      <c r="BJ347" s="75">
        <f t="shared" si="561"/>
        <v>-0.01</v>
      </c>
      <c r="BK347" s="76">
        <f t="shared" si="561"/>
        <v>-0.83000000000000007</v>
      </c>
      <c r="BL347" s="781">
        <f t="shared" si="561"/>
        <v>22372866</v>
      </c>
      <c r="BM347" s="74">
        <f t="shared" si="561"/>
        <v>16430342</v>
      </c>
      <c r="BN347" s="74">
        <f t="shared" si="561"/>
        <v>14750798</v>
      </c>
      <c r="BO347" s="74">
        <f t="shared" si="561"/>
        <v>1679544</v>
      </c>
      <c r="BP347" s="74">
        <f t="shared" si="561"/>
        <v>80000</v>
      </c>
      <c r="BQ347" s="74">
        <f t="shared" si="561"/>
        <v>0</v>
      </c>
      <c r="BR347" s="74">
        <f t="shared" si="561"/>
        <v>80000</v>
      </c>
      <c r="BS347" s="74">
        <f t="shared" si="561"/>
        <v>5580496</v>
      </c>
      <c r="BT347" s="74">
        <f t="shared" si="561"/>
        <v>164303</v>
      </c>
      <c r="BU347" s="74">
        <f t="shared" si="561"/>
        <v>117725</v>
      </c>
      <c r="BV347" s="75">
        <f t="shared" si="561"/>
        <v>32.387900000000002</v>
      </c>
      <c r="BW347" s="75">
        <f t="shared" si="561"/>
        <v>26.912400000000002</v>
      </c>
      <c r="BX347" s="76">
        <f t="shared" si="561"/>
        <v>5.4754999999999994</v>
      </c>
      <c r="BY347" s="791">
        <f t="shared" ref="BY347:CJ347" si="562">SUM(BY339:BY346)</f>
        <v>0</v>
      </c>
      <c r="BZ347" s="679">
        <f t="shared" si="562"/>
        <v>0</v>
      </c>
      <c r="CA347" s="679">
        <f t="shared" si="562"/>
        <v>0</v>
      </c>
      <c r="CB347" s="679">
        <f t="shared" si="562"/>
        <v>0</v>
      </c>
      <c r="CC347" s="679">
        <f t="shared" si="562"/>
        <v>0</v>
      </c>
      <c r="CD347" s="947">
        <f t="shared" si="562"/>
        <v>0</v>
      </c>
      <c r="CE347" s="956">
        <f t="shared" si="562"/>
        <v>638946</v>
      </c>
      <c r="CF347" s="953">
        <f t="shared" si="562"/>
        <v>449674</v>
      </c>
      <c r="CG347" s="953">
        <f t="shared" si="562"/>
        <v>151990</v>
      </c>
      <c r="CH347" s="953">
        <f t="shared" si="562"/>
        <v>4497</v>
      </c>
      <c r="CI347" s="953">
        <f t="shared" si="562"/>
        <v>32785</v>
      </c>
      <c r="CJ347" s="877">
        <f t="shared" si="562"/>
        <v>1.4113</v>
      </c>
      <c r="CK347" s="53"/>
      <c r="CL347" s="53"/>
    </row>
    <row r="348" spans="1:90" ht="14.1" customHeight="1">
      <c r="A348" s="66">
        <v>70</v>
      </c>
      <c r="B348" s="63">
        <v>2454</v>
      </c>
      <c r="C348" s="64">
        <v>600079759</v>
      </c>
      <c r="D348" s="63">
        <v>70983119</v>
      </c>
      <c r="E348" s="65" t="s">
        <v>675</v>
      </c>
      <c r="F348" s="66">
        <v>3117</v>
      </c>
      <c r="G348" s="65" t="s">
        <v>293</v>
      </c>
      <c r="H348" s="67" t="s">
        <v>271</v>
      </c>
      <c r="I348" s="419">
        <v>6888320</v>
      </c>
      <c r="J348" s="414">
        <v>4951996</v>
      </c>
      <c r="K348" s="414">
        <v>4268463</v>
      </c>
      <c r="L348" s="414">
        <v>683533</v>
      </c>
      <c r="M348" s="414">
        <v>60000</v>
      </c>
      <c r="N348" s="414">
        <v>20000</v>
      </c>
      <c r="O348" s="414">
        <v>40000</v>
      </c>
      <c r="P348" s="595">
        <v>1694054</v>
      </c>
      <c r="Q348" s="595">
        <v>49520</v>
      </c>
      <c r="R348" s="414">
        <v>132750</v>
      </c>
      <c r="S348" s="415">
        <v>8.5516000000000005</v>
      </c>
      <c r="T348" s="415">
        <v>6.61</v>
      </c>
      <c r="U348" s="422">
        <v>1.9415999999999998</v>
      </c>
      <c r="V348" s="423">
        <f t="shared" si="527"/>
        <v>0</v>
      </c>
      <c r="W348" s="417">
        <f t="shared" si="528"/>
        <v>-20000</v>
      </c>
      <c r="X348" s="417">
        <v>0</v>
      </c>
      <c r="Y348" s="417">
        <v>0</v>
      </c>
      <c r="Z348" s="417">
        <v>164660</v>
      </c>
      <c r="AA348" s="417">
        <v>0</v>
      </c>
      <c r="AB348" s="417">
        <v>0</v>
      </c>
      <c r="AC348" s="417">
        <v>0</v>
      </c>
      <c r="AD348" s="417">
        <v>0</v>
      </c>
      <c r="AE348" s="417">
        <f t="shared" si="529"/>
        <v>164660</v>
      </c>
      <c r="AF348" s="417">
        <f t="shared" si="530"/>
        <v>-20000</v>
      </c>
      <c r="AG348" s="417">
        <f t="shared" si="531"/>
        <v>144660</v>
      </c>
      <c r="AH348" s="417">
        <v>0</v>
      </c>
      <c r="AI348" s="417">
        <v>20000</v>
      </c>
      <c r="AJ348" s="417">
        <v>0</v>
      </c>
      <c r="AK348" s="417">
        <v>0</v>
      </c>
      <c r="AL348" s="417">
        <v>0</v>
      </c>
      <c r="AM348" s="417">
        <f t="shared" si="532"/>
        <v>0</v>
      </c>
      <c r="AN348" s="417">
        <f t="shared" si="533"/>
        <v>20000</v>
      </c>
      <c r="AO348" s="417">
        <f t="shared" si="534"/>
        <v>20000</v>
      </c>
      <c r="AP348" s="417">
        <f t="shared" si="535"/>
        <v>164660</v>
      </c>
      <c r="AQ348" s="417">
        <f t="shared" si="536"/>
        <v>0</v>
      </c>
      <c r="AR348" s="417">
        <f t="shared" si="537"/>
        <v>164660</v>
      </c>
      <c r="AS348" s="68">
        <f t="shared" si="538"/>
        <v>55655</v>
      </c>
      <c r="AT348" s="68">
        <f t="shared" si="539"/>
        <v>1447</v>
      </c>
      <c r="AU348" s="417">
        <v>0</v>
      </c>
      <c r="AV348" s="417">
        <v>0</v>
      </c>
      <c r="AW348" s="417">
        <v>0</v>
      </c>
      <c r="AX348" s="417">
        <f t="shared" si="540"/>
        <v>0</v>
      </c>
      <c r="AY348" s="417">
        <f t="shared" si="541"/>
        <v>221762</v>
      </c>
      <c r="AZ348" s="418">
        <v>0</v>
      </c>
      <c r="BA348" s="418">
        <v>-0.06</v>
      </c>
      <c r="BB348" s="418">
        <v>0</v>
      </c>
      <c r="BC348" s="418">
        <v>0.34</v>
      </c>
      <c r="BD348" s="418">
        <v>0</v>
      </c>
      <c r="BE348" s="418">
        <v>0</v>
      </c>
      <c r="BF348" s="418">
        <v>0</v>
      </c>
      <c r="BG348" s="418">
        <v>0</v>
      </c>
      <c r="BH348" s="418">
        <v>0</v>
      </c>
      <c r="BI348" s="418">
        <f t="shared" si="542"/>
        <v>0.34</v>
      </c>
      <c r="BJ348" s="418">
        <f t="shared" si="543"/>
        <v>-0.06</v>
      </c>
      <c r="BK348" s="420">
        <f t="shared" si="544"/>
        <v>0.28000000000000003</v>
      </c>
      <c r="BL348" s="772">
        <f>I348+AY348</f>
        <v>7110082</v>
      </c>
      <c r="BM348" s="417">
        <f>J348+AG348</f>
        <v>5096656</v>
      </c>
      <c r="BN348" s="417">
        <f t="shared" ref="BN348:BO352" si="563">K348+AE348</f>
        <v>4433123</v>
      </c>
      <c r="BO348" s="417">
        <f t="shared" si="563"/>
        <v>663533</v>
      </c>
      <c r="BP348" s="417">
        <f>M348+AO348</f>
        <v>80000</v>
      </c>
      <c r="BQ348" s="417">
        <f t="shared" ref="BQ348:BR352" si="564">N348+AM348</f>
        <v>20000</v>
      </c>
      <c r="BR348" s="417">
        <f t="shared" si="564"/>
        <v>60000</v>
      </c>
      <c r="BS348" s="417">
        <f t="shared" ref="BS348:BT352" si="565">P348+AS348</f>
        <v>1749709</v>
      </c>
      <c r="BT348" s="417">
        <f t="shared" si="565"/>
        <v>50967</v>
      </c>
      <c r="BU348" s="417">
        <f>R348+AX348</f>
        <v>132750</v>
      </c>
      <c r="BV348" s="418">
        <f>S348+BK348</f>
        <v>8.8315999999999999</v>
      </c>
      <c r="BW348" s="418">
        <f t="shared" ref="BW348:BX352" si="566">T348+BI348</f>
        <v>6.95</v>
      </c>
      <c r="BX348" s="420">
        <f t="shared" si="566"/>
        <v>1.8815999999999997</v>
      </c>
      <c r="BY348" s="419"/>
      <c r="BZ348" s="414"/>
      <c r="CA348" s="414"/>
      <c r="CB348" s="414"/>
      <c r="CC348" s="414"/>
      <c r="CD348" s="422"/>
      <c r="CE348" s="419">
        <f t="shared" si="549"/>
        <v>336288</v>
      </c>
      <c r="CF348" s="414">
        <v>232247</v>
      </c>
      <c r="CG348" s="414">
        <v>78499</v>
      </c>
      <c r="CH348" s="414">
        <v>2322</v>
      </c>
      <c r="CI348" s="414">
        <v>23220</v>
      </c>
      <c r="CJ348" s="509">
        <v>0.66179999999999994</v>
      </c>
    </row>
    <row r="349" spans="1:90" ht="14.1" customHeight="1">
      <c r="A349" s="66">
        <v>70</v>
      </c>
      <c r="B349" s="63">
        <v>2454</v>
      </c>
      <c r="C349" s="64">
        <v>600079759</v>
      </c>
      <c r="D349" s="63">
        <v>70983119</v>
      </c>
      <c r="E349" s="65" t="s">
        <v>675</v>
      </c>
      <c r="F349" s="66">
        <v>3117</v>
      </c>
      <c r="G349" s="77" t="s">
        <v>291</v>
      </c>
      <c r="H349" s="67" t="s">
        <v>272</v>
      </c>
      <c r="I349" s="419">
        <v>2049281</v>
      </c>
      <c r="J349" s="414">
        <v>1515045</v>
      </c>
      <c r="K349" s="414">
        <v>1515045</v>
      </c>
      <c r="L349" s="414">
        <v>0</v>
      </c>
      <c r="M349" s="414">
        <v>0</v>
      </c>
      <c r="N349" s="414">
        <v>0</v>
      </c>
      <c r="O349" s="414">
        <v>0</v>
      </c>
      <c r="P349" s="595">
        <v>512085</v>
      </c>
      <c r="Q349" s="595">
        <v>15151</v>
      </c>
      <c r="R349" s="414">
        <v>7000</v>
      </c>
      <c r="S349" s="415">
        <v>4</v>
      </c>
      <c r="T349" s="416">
        <v>4</v>
      </c>
      <c r="U349" s="422">
        <v>0</v>
      </c>
      <c r="V349" s="423">
        <f t="shared" si="527"/>
        <v>0</v>
      </c>
      <c r="W349" s="417">
        <f t="shared" si="528"/>
        <v>0</v>
      </c>
      <c r="X349" s="417">
        <v>0</v>
      </c>
      <c r="Y349" s="417">
        <v>0</v>
      </c>
      <c r="Z349" s="417">
        <v>0</v>
      </c>
      <c r="AA349" s="417">
        <v>0</v>
      </c>
      <c r="AB349" s="417">
        <v>0</v>
      </c>
      <c r="AC349" s="417">
        <v>0</v>
      </c>
      <c r="AD349" s="417">
        <v>0</v>
      </c>
      <c r="AE349" s="417">
        <f t="shared" si="529"/>
        <v>0</v>
      </c>
      <c r="AF349" s="417">
        <f t="shared" si="530"/>
        <v>0</v>
      </c>
      <c r="AG349" s="417">
        <f t="shared" si="531"/>
        <v>0</v>
      </c>
      <c r="AH349" s="417">
        <v>0</v>
      </c>
      <c r="AI349" s="417">
        <v>0</v>
      </c>
      <c r="AJ349" s="417">
        <v>0</v>
      </c>
      <c r="AK349" s="417">
        <v>0</v>
      </c>
      <c r="AL349" s="417">
        <v>0</v>
      </c>
      <c r="AM349" s="417">
        <f t="shared" si="532"/>
        <v>0</v>
      </c>
      <c r="AN349" s="417">
        <f t="shared" si="533"/>
        <v>0</v>
      </c>
      <c r="AO349" s="417">
        <f t="shared" si="534"/>
        <v>0</v>
      </c>
      <c r="AP349" s="417">
        <f t="shared" si="535"/>
        <v>0</v>
      </c>
      <c r="AQ349" s="417">
        <f t="shared" si="536"/>
        <v>0</v>
      </c>
      <c r="AR349" s="417">
        <f t="shared" si="537"/>
        <v>0</v>
      </c>
      <c r="AS349" s="68">
        <f t="shared" si="538"/>
        <v>0</v>
      </c>
      <c r="AT349" s="68">
        <f t="shared" si="539"/>
        <v>0</v>
      </c>
      <c r="AU349" s="417">
        <v>0</v>
      </c>
      <c r="AV349" s="417">
        <v>0</v>
      </c>
      <c r="AW349" s="417">
        <v>0</v>
      </c>
      <c r="AX349" s="417">
        <f t="shared" si="540"/>
        <v>0</v>
      </c>
      <c r="AY349" s="417">
        <f t="shared" si="541"/>
        <v>0</v>
      </c>
      <c r="AZ349" s="418">
        <v>0</v>
      </c>
      <c r="BA349" s="418">
        <v>0</v>
      </c>
      <c r="BB349" s="418">
        <v>0</v>
      </c>
      <c r="BC349" s="418">
        <v>0</v>
      </c>
      <c r="BD349" s="418">
        <v>0</v>
      </c>
      <c r="BE349" s="418">
        <v>0</v>
      </c>
      <c r="BF349" s="418">
        <v>0</v>
      </c>
      <c r="BG349" s="418">
        <v>0</v>
      </c>
      <c r="BH349" s="418">
        <v>0</v>
      </c>
      <c r="BI349" s="418">
        <f t="shared" si="542"/>
        <v>0</v>
      </c>
      <c r="BJ349" s="418">
        <f t="shared" si="543"/>
        <v>0</v>
      </c>
      <c r="BK349" s="420">
        <f t="shared" si="544"/>
        <v>0</v>
      </c>
      <c r="BL349" s="772">
        <f>I349+AY349</f>
        <v>2049281</v>
      </c>
      <c r="BM349" s="417">
        <f>J349+AG349</f>
        <v>1515045</v>
      </c>
      <c r="BN349" s="417">
        <f t="shared" si="563"/>
        <v>1515045</v>
      </c>
      <c r="BO349" s="417">
        <f t="shared" si="563"/>
        <v>0</v>
      </c>
      <c r="BP349" s="417">
        <f>M349+AO349</f>
        <v>0</v>
      </c>
      <c r="BQ349" s="417">
        <f t="shared" si="564"/>
        <v>0</v>
      </c>
      <c r="BR349" s="417">
        <f t="shared" si="564"/>
        <v>0</v>
      </c>
      <c r="BS349" s="417">
        <f t="shared" si="565"/>
        <v>512085</v>
      </c>
      <c r="BT349" s="417">
        <f t="shared" si="565"/>
        <v>15151</v>
      </c>
      <c r="BU349" s="417">
        <f>R349+AX349</f>
        <v>7000</v>
      </c>
      <c r="BV349" s="418">
        <f>S349+BK349</f>
        <v>4</v>
      </c>
      <c r="BW349" s="418">
        <f t="shared" si="566"/>
        <v>4</v>
      </c>
      <c r="BX349" s="420">
        <f t="shared" si="566"/>
        <v>0</v>
      </c>
      <c r="BY349" s="419"/>
      <c r="BZ349" s="414"/>
      <c r="CA349" s="414"/>
      <c r="CB349" s="414"/>
      <c r="CC349" s="414"/>
      <c r="CD349" s="422"/>
      <c r="CE349" s="419">
        <f t="shared" si="549"/>
        <v>0</v>
      </c>
      <c r="CF349" s="414">
        <v>0</v>
      </c>
      <c r="CG349" s="414">
        <v>0</v>
      </c>
      <c r="CH349" s="414">
        <v>0</v>
      </c>
      <c r="CI349" s="414">
        <v>0</v>
      </c>
      <c r="CJ349" s="509">
        <v>0</v>
      </c>
    </row>
    <row r="350" spans="1:90" ht="14.1" customHeight="1">
      <c r="A350" s="66">
        <v>70</v>
      </c>
      <c r="B350" s="63">
        <v>2454</v>
      </c>
      <c r="C350" s="64">
        <v>600079759</v>
      </c>
      <c r="D350" s="63">
        <v>70983119</v>
      </c>
      <c r="E350" s="65" t="s">
        <v>675</v>
      </c>
      <c r="F350" s="66">
        <v>3141</v>
      </c>
      <c r="G350" s="65" t="s">
        <v>294</v>
      </c>
      <c r="H350" s="67" t="s">
        <v>272</v>
      </c>
      <c r="I350" s="419">
        <v>305447</v>
      </c>
      <c r="J350" s="414">
        <v>224549</v>
      </c>
      <c r="K350" s="414">
        <v>0</v>
      </c>
      <c r="L350" s="744">
        <v>224549</v>
      </c>
      <c r="M350" s="414">
        <v>0</v>
      </c>
      <c r="N350" s="204">
        <v>0</v>
      </c>
      <c r="O350" s="204">
        <v>0</v>
      </c>
      <c r="P350" s="595">
        <v>75898</v>
      </c>
      <c r="Q350" s="595">
        <v>2246</v>
      </c>
      <c r="R350" s="601">
        <v>2754</v>
      </c>
      <c r="S350" s="415">
        <v>0.66669999999999996</v>
      </c>
      <c r="T350" s="603">
        <v>0</v>
      </c>
      <c r="U350" s="731">
        <v>0.66669999999999996</v>
      </c>
      <c r="V350" s="423">
        <f t="shared" si="527"/>
        <v>0</v>
      </c>
      <c r="W350" s="417">
        <f t="shared" si="528"/>
        <v>0</v>
      </c>
      <c r="X350" s="417">
        <v>0</v>
      </c>
      <c r="Y350" s="417">
        <v>0</v>
      </c>
      <c r="Z350" s="417">
        <v>0</v>
      </c>
      <c r="AA350" s="417">
        <v>10279</v>
      </c>
      <c r="AB350" s="417">
        <v>0</v>
      </c>
      <c r="AC350" s="417">
        <v>0</v>
      </c>
      <c r="AD350" s="417">
        <v>0</v>
      </c>
      <c r="AE350" s="417">
        <f t="shared" si="529"/>
        <v>0</v>
      </c>
      <c r="AF350" s="417">
        <f t="shared" si="530"/>
        <v>10279</v>
      </c>
      <c r="AG350" s="417">
        <f t="shared" si="531"/>
        <v>10279</v>
      </c>
      <c r="AH350" s="417">
        <v>0</v>
      </c>
      <c r="AI350" s="417">
        <v>0</v>
      </c>
      <c r="AJ350" s="417">
        <v>0</v>
      </c>
      <c r="AK350" s="417">
        <v>0</v>
      </c>
      <c r="AL350" s="417">
        <v>0</v>
      </c>
      <c r="AM350" s="417">
        <f t="shared" si="532"/>
        <v>0</v>
      </c>
      <c r="AN350" s="417">
        <f t="shared" si="533"/>
        <v>0</v>
      </c>
      <c r="AO350" s="417">
        <f t="shared" si="534"/>
        <v>0</v>
      </c>
      <c r="AP350" s="417">
        <f t="shared" si="535"/>
        <v>0</v>
      </c>
      <c r="AQ350" s="417">
        <f t="shared" si="536"/>
        <v>10279</v>
      </c>
      <c r="AR350" s="417">
        <f t="shared" si="537"/>
        <v>10279</v>
      </c>
      <c r="AS350" s="68">
        <f t="shared" si="538"/>
        <v>3474</v>
      </c>
      <c r="AT350" s="68">
        <f t="shared" si="539"/>
        <v>103</v>
      </c>
      <c r="AU350" s="417">
        <v>0</v>
      </c>
      <c r="AV350" s="417">
        <v>0</v>
      </c>
      <c r="AW350" s="417">
        <v>0</v>
      </c>
      <c r="AX350" s="417">
        <f t="shared" si="540"/>
        <v>0</v>
      </c>
      <c r="AY350" s="417">
        <f t="shared" si="541"/>
        <v>13856</v>
      </c>
      <c r="AZ350" s="418">
        <v>0</v>
      </c>
      <c r="BA350" s="418">
        <v>0</v>
      </c>
      <c r="BB350" s="418">
        <v>0</v>
      </c>
      <c r="BC350" s="418">
        <v>0</v>
      </c>
      <c r="BD350" s="418">
        <v>0.04</v>
      </c>
      <c r="BE350" s="418">
        <v>0</v>
      </c>
      <c r="BF350" s="418">
        <v>0</v>
      </c>
      <c r="BG350" s="418">
        <v>0</v>
      </c>
      <c r="BH350" s="418">
        <v>0</v>
      </c>
      <c r="BI350" s="418">
        <f t="shared" si="542"/>
        <v>0</v>
      </c>
      <c r="BJ350" s="418">
        <f t="shared" si="543"/>
        <v>0.04</v>
      </c>
      <c r="BK350" s="420">
        <f t="shared" si="544"/>
        <v>0.04</v>
      </c>
      <c r="BL350" s="772">
        <f>I350+AY350</f>
        <v>319303</v>
      </c>
      <c r="BM350" s="417">
        <f>J350+AG350</f>
        <v>234828</v>
      </c>
      <c r="BN350" s="417">
        <f t="shared" si="563"/>
        <v>0</v>
      </c>
      <c r="BO350" s="417">
        <f t="shared" si="563"/>
        <v>234828</v>
      </c>
      <c r="BP350" s="417">
        <f>M350+AO350</f>
        <v>0</v>
      </c>
      <c r="BQ350" s="417">
        <f t="shared" si="564"/>
        <v>0</v>
      </c>
      <c r="BR350" s="417">
        <f t="shared" si="564"/>
        <v>0</v>
      </c>
      <c r="BS350" s="417">
        <f t="shared" si="565"/>
        <v>79372</v>
      </c>
      <c r="BT350" s="417">
        <f t="shared" si="565"/>
        <v>2349</v>
      </c>
      <c r="BU350" s="417">
        <f>R350+AX350</f>
        <v>2754</v>
      </c>
      <c r="BV350" s="418">
        <f>S350+BK350</f>
        <v>0.70669999999999999</v>
      </c>
      <c r="BW350" s="418">
        <f t="shared" si="566"/>
        <v>0</v>
      </c>
      <c r="BX350" s="420">
        <f t="shared" si="566"/>
        <v>0.70669999999999999</v>
      </c>
      <c r="BY350" s="419"/>
      <c r="BZ350" s="414"/>
      <c r="CA350" s="414"/>
      <c r="CB350" s="414"/>
      <c r="CC350" s="414"/>
      <c r="CD350" s="422"/>
      <c r="CE350" s="419">
        <f t="shared" si="549"/>
        <v>0</v>
      </c>
      <c r="CF350" s="414">
        <v>0</v>
      </c>
      <c r="CG350" s="414">
        <v>0</v>
      </c>
      <c r="CH350" s="414">
        <v>0</v>
      </c>
      <c r="CI350" s="414">
        <v>0</v>
      </c>
      <c r="CJ350" s="509">
        <v>0</v>
      </c>
    </row>
    <row r="351" spans="1:90" ht="14.1" customHeight="1">
      <c r="A351" s="66">
        <v>70</v>
      </c>
      <c r="B351" s="63">
        <v>2454</v>
      </c>
      <c r="C351" s="64">
        <v>600079759</v>
      </c>
      <c r="D351" s="63">
        <v>70983119</v>
      </c>
      <c r="E351" s="65" t="s">
        <v>675</v>
      </c>
      <c r="F351" s="66">
        <v>3143</v>
      </c>
      <c r="G351" s="77" t="s">
        <v>595</v>
      </c>
      <c r="H351" s="67" t="s">
        <v>271</v>
      </c>
      <c r="I351" s="419">
        <v>952428</v>
      </c>
      <c r="J351" s="414">
        <v>706549</v>
      </c>
      <c r="K351" s="414">
        <v>706549</v>
      </c>
      <c r="L351" s="414">
        <v>0</v>
      </c>
      <c r="M351" s="414">
        <v>0</v>
      </c>
      <c r="N351" s="414">
        <v>0</v>
      </c>
      <c r="O351" s="414">
        <v>0</v>
      </c>
      <c r="P351" s="595">
        <v>238814</v>
      </c>
      <c r="Q351" s="595">
        <v>7065</v>
      </c>
      <c r="R351" s="414">
        <v>0</v>
      </c>
      <c r="S351" s="415">
        <v>1.45</v>
      </c>
      <c r="T351" s="415">
        <v>1.45</v>
      </c>
      <c r="U351" s="422">
        <v>0</v>
      </c>
      <c r="V351" s="423">
        <f t="shared" si="527"/>
        <v>0</v>
      </c>
      <c r="W351" s="417">
        <f t="shared" si="528"/>
        <v>0</v>
      </c>
      <c r="X351" s="417">
        <v>0</v>
      </c>
      <c r="Y351" s="417">
        <v>0</v>
      </c>
      <c r="Z351" s="417">
        <v>0</v>
      </c>
      <c r="AA351" s="417">
        <v>0</v>
      </c>
      <c r="AB351" s="417">
        <v>0</v>
      </c>
      <c r="AC351" s="417">
        <v>0</v>
      </c>
      <c r="AD351" s="417">
        <v>0</v>
      </c>
      <c r="AE351" s="417">
        <f t="shared" si="529"/>
        <v>0</v>
      </c>
      <c r="AF351" s="417">
        <f t="shared" si="530"/>
        <v>0</v>
      </c>
      <c r="AG351" s="417">
        <f t="shared" si="531"/>
        <v>0</v>
      </c>
      <c r="AH351" s="417">
        <v>0</v>
      </c>
      <c r="AI351" s="417">
        <v>0</v>
      </c>
      <c r="AJ351" s="417">
        <v>0</v>
      </c>
      <c r="AK351" s="417">
        <v>0</v>
      </c>
      <c r="AL351" s="417">
        <v>0</v>
      </c>
      <c r="AM351" s="417">
        <f t="shared" si="532"/>
        <v>0</v>
      </c>
      <c r="AN351" s="417">
        <f t="shared" si="533"/>
        <v>0</v>
      </c>
      <c r="AO351" s="417">
        <f t="shared" si="534"/>
        <v>0</v>
      </c>
      <c r="AP351" s="417">
        <f t="shared" si="535"/>
        <v>0</v>
      </c>
      <c r="AQ351" s="417">
        <f t="shared" si="536"/>
        <v>0</v>
      </c>
      <c r="AR351" s="417">
        <f t="shared" si="537"/>
        <v>0</v>
      </c>
      <c r="AS351" s="68">
        <f t="shared" si="538"/>
        <v>0</v>
      </c>
      <c r="AT351" s="68">
        <f t="shared" si="539"/>
        <v>0</v>
      </c>
      <c r="AU351" s="417">
        <v>0</v>
      </c>
      <c r="AV351" s="417">
        <v>0</v>
      </c>
      <c r="AW351" s="417">
        <v>0</v>
      </c>
      <c r="AX351" s="417">
        <f t="shared" si="540"/>
        <v>0</v>
      </c>
      <c r="AY351" s="417">
        <f t="shared" si="541"/>
        <v>0</v>
      </c>
      <c r="AZ351" s="418">
        <v>0</v>
      </c>
      <c r="BA351" s="418">
        <v>0</v>
      </c>
      <c r="BB351" s="418">
        <v>0</v>
      </c>
      <c r="BC351" s="418">
        <v>0</v>
      </c>
      <c r="BD351" s="418">
        <v>0</v>
      </c>
      <c r="BE351" s="418">
        <v>0</v>
      </c>
      <c r="BF351" s="418">
        <v>0</v>
      </c>
      <c r="BG351" s="418">
        <v>0</v>
      </c>
      <c r="BH351" s="418">
        <v>0</v>
      </c>
      <c r="BI351" s="418">
        <f t="shared" si="542"/>
        <v>0</v>
      </c>
      <c r="BJ351" s="418">
        <f t="shared" si="543"/>
        <v>0</v>
      </c>
      <c r="BK351" s="420">
        <f t="shared" si="544"/>
        <v>0</v>
      </c>
      <c r="BL351" s="772">
        <f>I351+AY351</f>
        <v>952428</v>
      </c>
      <c r="BM351" s="417">
        <f>J351+AG351</f>
        <v>706549</v>
      </c>
      <c r="BN351" s="417">
        <f t="shared" si="563"/>
        <v>706549</v>
      </c>
      <c r="BO351" s="417">
        <f t="shared" si="563"/>
        <v>0</v>
      </c>
      <c r="BP351" s="417">
        <f>M351+AO351</f>
        <v>0</v>
      </c>
      <c r="BQ351" s="417">
        <f t="shared" si="564"/>
        <v>0</v>
      </c>
      <c r="BR351" s="417">
        <f t="shared" si="564"/>
        <v>0</v>
      </c>
      <c r="BS351" s="417">
        <f t="shared" si="565"/>
        <v>238814</v>
      </c>
      <c r="BT351" s="417">
        <f t="shared" si="565"/>
        <v>7065</v>
      </c>
      <c r="BU351" s="417">
        <f>R351+AX351</f>
        <v>0</v>
      </c>
      <c r="BV351" s="418">
        <f>S351+BK351</f>
        <v>1.45</v>
      </c>
      <c r="BW351" s="418">
        <f t="shared" si="566"/>
        <v>1.45</v>
      </c>
      <c r="BX351" s="420">
        <f t="shared" si="566"/>
        <v>0</v>
      </c>
      <c r="BY351" s="419"/>
      <c r="BZ351" s="414"/>
      <c r="CA351" s="414"/>
      <c r="CB351" s="414"/>
      <c r="CC351" s="414"/>
      <c r="CD351" s="422"/>
      <c r="CE351" s="419">
        <f t="shared" si="549"/>
        <v>0</v>
      </c>
      <c r="CF351" s="414">
        <v>0</v>
      </c>
      <c r="CG351" s="414">
        <v>0</v>
      </c>
      <c r="CH351" s="414">
        <v>0</v>
      </c>
      <c r="CI351" s="414">
        <v>0</v>
      </c>
      <c r="CJ351" s="509">
        <v>0</v>
      </c>
    </row>
    <row r="352" spans="1:90" ht="14.1" customHeight="1">
      <c r="A352" s="66">
        <v>70</v>
      </c>
      <c r="B352" s="63">
        <v>2454</v>
      </c>
      <c r="C352" s="64">
        <v>600079759</v>
      </c>
      <c r="D352" s="63">
        <v>70983119</v>
      </c>
      <c r="E352" s="65" t="s">
        <v>675</v>
      </c>
      <c r="F352" s="66">
        <v>3143</v>
      </c>
      <c r="G352" s="77" t="s">
        <v>596</v>
      </c>
      <c r="H352" s="67" t="s">
        <v>272</v>
      </c>
      <c r="I352" s="419">
        <v>38420</v>
      </c>
      <c r="J352" s="414">
        <v>27500</v>
      </c>
      <c r="K352" s="414">
        <v>0</v>
      </c>
      <c r="L352" s="601">
        <v>27500</v>
      </c>
      <c r="M352" s="414">
        <v>0</v>
      </c>
      <c r="N352" s="414">
        <v>0</v>
      </c>
      <c r="O352" s="414">
        <v>0</v>
      </c>
      <c r="P352" s="595">
        <v>9295</v>
      </c>
      <c r="Q352" s="595">
        <v>275</v>
      </c>
      <c r="R352" s="602">
        <v>1350</v>
      </c>
      <c r="S352" s="415">
        <v>9.9400000000000002E-2</v>
      </c>
      <c r="T352" s="605">
        <v>0</v>
      </c>
      <c r="U352" s="731">
        <v>9.9400000000000002E-2</v>
      </c>
      <c r="V352" s="423">
        <f t="shared" si="527"/>
        <v>0</v>
      </c>
      <c r="W352" s="417">
        <f t="shared" si="528"/>
        <v>0</v>
      </c>
      <c r="X352" s="417">
        <v>0</v>
      </c>
      <c r="Y352" s="417">
        <v>0</v>
      </c>
      <c r="Z352" s="417">
        <v>0</v>
      </c>
      <c r="AA352" s="417">
        <v>0</v>
      </c>
      <c r="AB352" s="417">
        <v>0</v>
      </c>
      <c r="AC352" s="417">
        <v>0</v>
      </c>
      <c r="AD352" s="417">
        <v>0</v>
      </c>
      <c r="AE352" s="417">
        <f t="shared" si="529"/>
        <v>0</v>
      </c>
      <c r="AF352" s="417">
        <f t="shared" si="530"/>
        <v>0</v>
      </c>
      <c r="AG352" s="417">
        <f t="shared" si="531"/>
        <v>0</v>
      </c>
      <c r="AH352" s="417">
        <v>0</v>
      </c>
      <c r="AI352" s="417">
        <v>0</v>
      </c>
      <c r="AJ352" s="417">
        <v>0</v>
      </c>
      <c r="AK352" s="417">
        <v>0</v>
      </c>
      <c r="AL352" s="417">
        <v>0</v>
      </c>
      <c r="AM352" s="417">
        <f t="shared" si="532"/>
        <v>0</v>
      </c>
      <c r="AN352" s="417">
        <f t="shared" si="533"/>
        <v>0</v>
      </c>
      <c r="AO352" s="417">
        <f t="shared" si="534"/>
        <v>0</v>
      </c>
      <c r="AP352" s="417">
        <f t="shared" si="535"/>
        <v>0</v>
      </c>
      <c r="AQ352" s="417">
        <f t="shared" si="536"/>
        <v>0</v>
      </c>
      <c r="AR352" s="417">
        <f t="shared" si="537"/>
        <v>0</v>
      </c>
      <c r="AS352" s="68">
        <f t="shared" si="538"/>
        <v>0</v>
      </c>
      <c r="AT352" s="68">
        <f t="shared" si="539"/>
        <v>0</v>
      </c>
      <c r="AU352" s="417">
        <v>0</v>
      </c>
      <c r="AV352" s="417">
        <v>0</v>
      </c>
      <c r="AW352" s="417">
        <v>0</v>
      </c>
      <c r="AX352" s="417">
        <f t="shared" si="540"/>
        <v>0</v>
      </c>
      <c r="AY352" s="417">
        <f t="shared" si="541"/>
        <v>0</v>
      </c>
      <c r="AZ352" s="418">
        <v>0</v>
      </c>
      <c r="BA352" s="418">
        <v>0</v>
      </c>
      <c r="BB352" s="418">
        <v>0</v>
      </c>
      <c r="BC352" s="418">
        <v>0</v>
      </c>
      <c r="BD352" s="418">
        <v>0</v>
      </c>
      <c r="BE352" s="418">
        <v>0</v>
      </c>
      <c r="BF352" s="418">
        <v>0</v>
      </c>
      <c r="BG352" s="418">
        <v>0</v>
      </c>
      <c r="BH352" s="418">
        <v>0</v>
      </c>
      <c r="BI352" s="418">
        <f t="shared" si="542"/>
        <v>0</v>
      </c>
      <c r="BJ352" s="418">
        <f t="shared" si="543"/>
        <v>0</v>
      </c>
      <c r="BK352" s="420">
        <f t="shared" si="544"/>
        <v>0</v>
      </c>
      <c r="BL352" s="772">
        <f>I352+AY352</f>
        <v>38420</v>
      </c>
      <c r="BM352" s="417">
        <f>J352+AG352</f>
        <v>27500</v>
      </c>
      <c r="BN352" s="417">
        <f t="shared" si="563"/>
        <v>0</v>
      </c>
      <c r="BO352" s="417">
        <f t="shared" si="563"/>
        <v>27500</v>
      </c>
      <c r="BP352" s="417">
        <f>M352+AO352</f>
        <v>0</v>
      </c>
      <c r="BQ352" s="417">
        <f t="shared" si="564"/>
        <v>0</v>
      </c>
      <c r="BR352" s="417">
        <f t="shared" si="564"/>
        <v>0</v>
      </c>
      <c r="BS352" s="417">
        <f t="shared" si="565"/>
        <v>9295</v>
      </c>
      <c r="BT352" s="417">
        <f t="shared" si="565"/>
        <v>275</v>
      </c>
      <c r="BU352" s="417">
        <f>R352+AX352</f>
        <v>1350</v>
      </c>
      <c r="BV352" s="418">
        <f>S352+BK352</f>
        <v>9.9400000000000002E-2</v>
      </c>
      <c r="BW352" s="418">
        <f t="shared" si="566"/>
        <v>0</v>
      </c>
      <c r="BX352" s="420">
        <f t="shared" si="566"/>
        <v>9.9400000000000002E-2</v>
      </c>
      <c r="BY352" s="419"/>
      <c r="BZ352" s="414"/>
      <c r="CA352" s="414"/>
      <c r="CB352" s="414"/>
      <c r="CC352" s="414"/>
      <c r="CD352" s="422"/>
      <c r="CE352" s="419">
        <f t="shared" si="549"/>
        <v>0</v>
      </c>
      <c r="CF352" s="414">
        <v>0</v>
      </c>
      <c r="CG352" s="414">
        <v>0</v>
      </c>
      <c r="CH352" s="414">
        <v>0</v>
      </c>
      <c r="CI352" s="414">
        <v>0</v>
      </c>
      <c r="CJ352" s="509">
        <v>0</v>
      </c>
    </row>
    <row r="353" spans="1:90" ht="14.1" customHeight="1">
      <c r="A353" s="72">
        <v>70</v>
      </c>
      <c r="B353" s="69">
        <v>2454</v>
      </c>
      <c r="C353" s="70">
        <v>600079759</v>
      </c>
      <c r="D353" s="69">
        <v>70983119</v>
      </c>
      <c r="E353" s="71" t="s">
        <v>676</v>
      </c>
      <c r="F353" s="72"/>
      <c r="G353" s="71"/>
      <c r="H353" s="73"/>
      <c r="I353" s="516">
        <v>10233896</v>
      </c>
      <c r="J353" s="74">
        <v>7425639</v>
      </c>
      <c r="K353" s="74">
        <v>6490057</v>
      </c>
      <c r="L353" s="74">
        <v>935582</v>
      </c>
      <c r="M353" s="74">
        <v>60000</v>
      </c>
      <c r="N353" s="74">
        <v>20000</v>
      </c>
      <c r="O353" s="74">
        <v>40000</v>
      </c>
      <c r="P353" s="74">
        <v>2530146</v>
      </c>
      <c r="Q353" s="74">
        <v>74257</v>
      </c>
      <c r="R353" s="74">
        <v>143854</v>
      </c>
      <c r="S353" s="75">
        <v>14.7677</v>
      </c>
      <c r="T353" s="75">
        <v>12.059999999999999</v>
      </c>
      <c r="U353" s="653">
        <v>2.7077</v>
      </c>
      <c r="V353" s="516">
        <f t="shared" ref="V353:BX353" si="567">SUM(V348:V352)</f>
        <v>0</v>
      </c>
      <c r="W353" s="74">
        <f t="shared" si="567"/>
        <v>-20000</v>
      </c>
      <c r="X353" s="74">
        <f t="shared" si="567"/>
        <v>0</v>
      </c>
      <c r="Y353" s="74">
        <f t="shared" si="567"/>
        <v>0</v>
      </c>
      <c r="Z353" s="74">
        <f t="shared" si="567"/>
        <v>164660</v>
      </c>
      <c r="AA353" s="74">
        <f t="shared" si="567"/>
        <v>10279</v>
      </c>
      <c r="AB353" s="74">
        <f t="shared" si="567"/>
        <v>0</v>
      </c>
      <c r="AC353" s="74">
        <f t="shared" si="567"/>
        <v>0</v>
      </c>
      <c r="AD353" s="74">
        <f t="shared" si="567"/>
        <v>0</v>
      </c>
      <c r="AE353" s="74">
        <f t="shared" si="567"/>
        <v>164660</v>
      </c>
      <c r="AF353" s="74">
        <f t="shared" si="567"/>
        <v>-9721</v>
      </c>
      <c r="AG353" s="74">
        <f t="shared" si="567"/>
        <v>154939</v>
      </c>
      <c r="AH353" s="74">
        <f t="shared" si="567"/>
        <v>0</v>
      </c>
      <c r="AI353" s="74">
        <f t="shared" si="567"/>
        <v>20000</v>
      </c>
      <c r="AJ353" s="74">
        <f t="shared" si="567"/>
        <v>0</v>
      </c>
      <c r="AK353" s="74">
        <f t="shared" si="567"/>
        <v>0</v>
      </c>
      <c r="AL353" s="74">
        <f t="shared" si="567"/>
        <v>0</v>
      </c>
      <c r="AM353" s="74">
        <f t="shared" si="567"/>
        <v>0</v>
      </c>
      <c r="AN353" s="74">
        <f t="shared" si="567"/>
        <v>20000</v>
      </c>
      <c r="AO353" s="74">
        <f t="shared" si="567"/>
        <v>20000</v>
      </c>
      <c r="AP353" s="74">
        <f t="shared" si="567"/>
        <v>164660</v>
      </c>
      <c r="AQ353" s="74">
        <f t="shared" si="567"/>
        <v>10279</v>
      </c>
      <c r="AR353" s="74">
        <f t="shared" si="567"/>
        <v>174939</v>
      </c>
      <c r="AS353" s="74">
        <f t="shared" si="567"/>
        <v>59129</v>
      </c>
      <c r="AT353" s="74">
        <f t="shared" si="567"/>
        <v>1550</v>
      </c>
      <c r="AU353" s="74">
        <f t="shared" si="567"/>
        <v>0</v>
      </c>
      <c r="AV353" s="74">
        <f t="shared" si="567"/>
        <v>0</v>
      </c>
      <c r="AW353" s="74">
        <f t="shared" si="567"/>
        <v>0</v>
      </c>
      <c r="AX353" s="74">
        <f t="shared" si="567"/>
        <v>0</v>
      </c>
      <c r="AY353" s="74">
        <f t="shared" si="567"/>
        <v>235618</v>
      </c>
      <c r="AZ353" s="75">
        <f t="shared" si="567"/>
        <v>0</v>
      </c>
      <c r="BA353" s="75">
        <f t="shared" si="567"/>
        <v>-0.06</v>
      </c>
      <c r="BB353" s="75">
        <f t="shared" si="567"/>
        <v>0</v>
      </c>
      <c r="BC353" s="75">
        <f t="shared" si="567"/>
        <v>0.34</v>
      </c>
      <c r="BD353" s="75">
        <f t="shared" si="567"/>
        <v>0.04</v>
      </c>
      <c r="BE353" s="75">
        <f t="shared" si="567"/>
        <v>0</v>
      </c>
      <c r="BF353" s="75">
        <f t="shared" si="567"/>
        <v>0</v>
      </c>
      <c r="BG353" s="75">
        <f t="shared" si="567"/>
        <v>0</v>
      </c>
      <c r="BH353" s="75">
        <f t="shared" si="567"/>
        <v>0</v>
      </c>
      <c r="BI353" s="75">
        <f t="shared" si="567"/>
        <v>0.34</v>
      </c>
      <c r="BJ353" s="75">
        <f t="shared" si="567"/>
        <v>-1.9999999999999997E-2</v>
      </c>
      <c r="BK353" s="76">
        <f t="shared" si="567"/>
        <v>0.32</v>
      </c>
      <c r="BL353" s="781">
        <f t="shared" si="567"/>
        <v>10469514</v>
      </c>
      <c r="BM353" s="74">
        <f t="shared" si="567"/>
        <v>7580578</v>
      </c>
      <c r="BN353" s="74">
        <f t="shared" si="567"/>
        <v>6654717</v>
      </c>
      <c r="BO353" s="74">
        <f t="shared" si="567"/>
        <v>925861</v>
      </c>
      <c r="BP353" s="74">
        <f t="shared" si="567"/>
        <v>80000</v>
      </c>
      <c r="BQ353" s="74">
        <f t="shared" si="567"/>
        <v>20000</v>
      </c>
      <c r="BR353" s="74">
        <f t="shared" si="567"/>
        <v>60000</v>
      </c>
      <c r="BS353" s="74">
        <f t="shared" si="567"/>
        <v>2589275</v>
      </c>
      <c r="BT353" s="74">
        <f t="shared" si="567"/>
        <v>75807</v>
      </c>
      <c r="BU353" s="74">
        <f t="shared" si="567"/>
        <v>143854</v>
      </c>
      <c r="BV353" s="75">
        <f t="shared" si="567"/>
        <v>15.087699999999998</v>
      </c>
      <c r="BW353" s="75">
        <f t="shared" si="567"/>
        <v>12.399999999999999</v>
      </c>
      <c r="BX353" s="76">
        <f t="shared" si="567"/>
        <v>2.6877</v>
      </c>
      <c r="BY353" s="791">
        <f t="shared" ref="BY353:CJ353" si="568">SUM(BY348:BY352)</f>
        <v>0</v>
      </c>
      <c r="BZ353" s="679">
        <f t="shared" si="568"/>
        <v>0</v>
      </c>
      <c r="CA353" s="679">
        <f t="shared" si="568"/>
        <v>0</v>
      </c>
      <c r="CB353" s="679">
        <f t="shared" si="568"/>
        <v>0</v>
      </c>
      <c r="CC353" s="679">
        <f t="shared" si="568"/>
        <v>0</v>
      </c>
      <c r="CD353" s="947">
        <f t="shared" si="568"/>
        <v>0</v>
      </c>
      <c r="CE353" s="956">
        <f t="shared" si="568"/>
        <v>336288</v>
      </c>
      <c r="CF353" s="953">
        <f t="shared" si="568"/>
        <v>232247</v>
      </c>
      <c r="CG353" s="953">
        <f t="shared" si="568"/>
        <v>78499</v>
      </c>
      <c r="CH353" s="953">
        <f t="shared" si="568"/>
        <v>2322</v>
      </c>
      <c r="CI353" s="953">
        <f t="shared" si="568"/>
        <v>23220</v>
      </c>
      <c r="CJ353" s="877">
        <f t="shared" si="568"/>
        <v>0.66179999999999994</v>
      </c>
    </row>
    <row r="354" spans="1:90" ht="14.1" customHeight="1">
      <c r="A354" s="66">
        <v>71</v>
      </c>
      <c r="B354" s="63">
        <v>2492</v>
      </c>
      <c r="C354" s="64">
        <v>600079767</v>
      </c>
      <c r="D354" s="63">
        <v>70983011</v>
      </c>
      <c r="E354" s="65" t="s">
        <v>762</v>
      </c>
      <c r="F354" s="66">
        <v>3113</v>
      </c>
      <c r="G354" s="65" t="s">
        <v>293</v>
      </c>
      <c r="H354" s="67" t="s">
        <v>271</v>
      </c>
      <c r="I354" s="419">
        <v>26695963</v>
      </c>
      <c r="J354" s="414">
        <v>19491216</v>
      </c>
      <c r="K354" s="414">
        <v>17462227</v>
      </c>
      <c r="L354" s="414">
        <v>2028989</v>
      </c>
      <c r="M354" s="414">
        <v>0</v>
      </c>
      <c r="N354" s="414">
        <v>0</v>
      </c>
      <c r="O354" s="414">
        <v>0</v>
      </c>
      <c r="P354" s="595">
        <v>6588030</v>
      </c>
      <c r="Q354" s="595">
        <v>194912</v>
      </c>
      <c r="R354" s="414">
        <v>421805</v>
      </c>
      <c r="S354" s="415">
        <v>31.888300000000001</v>
      </c>
      <c r="T354" s="415">
        <v>25.929300000000001</v>
      </c>
      <c r="U354" s="422">
        <v>5.9589999999999996</v>
      </c>
      <c r="V354" s="423">
        <f t="shared" si="527"/>
        <v>-6000</v>
      </c>
      <c r="W354" s="417">
        <f t="shared" si="528"/>
        <v>0</v>
      </c>
      <c r="X354" s="417">
        <v>0</v>
      </c>
      <c r="Y354" s="417">
        <v>1324</v>
      </c>
      <c r="Z354" s="417">
        <v>112346</v>
      </c>
      <c r="AA354" s="417">
        <v>0</v>
      </c>
      <c r="AB354" s="417">
        <v>0</v>
      </c>
      <c r="AC354" s="417">
        <v>0</v>
      </c>
      <c r="AD354" s="417">
        <v>0</v>
      </c>
      <c r="AE354" s="417">
        <f t="shared" si="529"/>
        <v>107670</v>
      </c>
      <c r="AF354" s="417">
        <f t="shared" si="530"/>
        <v>0</v>
      </c>
      <c r="AG354" s="417">
        <f t="shared" si="531"/>
        <v>107670</v>
      </c>
      <c r="AH354" s="417">
        <v>6000</v>
      </c>
      <c r="AI354" s="417">
        <v>0</v>
      </c>
      <c r="AJ354" s="417">
        <v>0</v>
      </c>
      <c r="AK354" s="417">
        <v>0</v>
      </c>
      <c r="AL354" s="417">
        <v>0</v>
      </c>
      <c r="AM354" s="417">
        <f t="shared" si="532"/>
        <v>6000</v>
      </c>
      <c r="AN354" s="417">
        <f t="shared" si="533"/>
        <v>0</v>
      </c>
      <c r="AO354" s="417">
        <f t="shared" si="534"/>
        <v>6000</v>
      </c>
      <c r="AP354" s="417">
        <f t="shared" si="535"/>
        <v>113670</v>
      </c>
      <c r="AQ354" s="417">
        <f t="shared" si="536"/>
        <v>0</v>
      </c>
      <c r="AR354" s="417">
        <f t="shared" si="537"/>
        <v>113670</v>
      </c>
      <c r="AS354" s="68">
        <f t="shared" si="538"/>
        <v>38420</v>
      </c>
      <c r="AT354" s="68">
        <f t="shared" si="539"/>
        <v>1077</v>
      </c>
      <c r="AU354" s="417">
        <v>0</v>
      </c>
      <c r="AV354" s="417">
        <v>0</v>
      </c>
      <c r="AW354" s="417">
        <v>0</v>
      </c>
      <c r="AX354" s="417">
        <f t="shared" si="540"/>
        <v>0</v>
      </c>
      <c r="AY354" s="417">
        <f t="shared" si="541"/>
        <v>153167</v>
      </c>
      <c r="AZ354" s="418">
        <v>0</v>
      </c>
      <c r="BA354" s="418">
        <v>0</v>
      </c>
      <c r="BB354" s="418">
        <v>0</v>
      </c>
      <c r="BC354" s="418">
        <v>0.23</v>
      </c>
      <c r="BD354" s="418">
        <v>0</v>
      </c>
      <c r="BE354" s="418">
        <v>0</v>
      </c>
      <c r="BF354" s="418">
        <v>0</v>
      </c>
      <c r="BG354" s="418">
        <v>0</v>
      </c>
      <c r="BH354" s="418">
        <v>0</v>
      </c>
      <c r="BI354" s="418">
        <f t="shared" si="542"/>
        <v>0.23</v>
      </c>
      <c r="BJ354" s="418">
        <f t="shared" si="543"/>
        <v>0</v>
      </c>
      <c r="BK354" s="420">
        <f t="shared" si="544"/>
        <v>0.23</v>
      </c>
      <c r="BL354" s="772">
        <f t="shared" ref="BL354:BL359" si="569">I354+AY354</f>
        <v>26849130</v>
      </c>
      <c r="BM354" s="417">
        <f t="shared" ref="BM354:BM359" si="570">J354+AG354</f>
        <v>19598886</v>
      </c>
      <c r="BN354" s="417">
        <f t="shared" ref="BN354:BO359" si="571">K354+AE354</f>
        <v>17569897</v>
      </c>
      <c r="BO354" s="417">
        <f t="shared" si="571"/>
        <v>2028989</v>
      </c>
      <c r="BP354" s="417">
        <f t="shared" ref="BP354:BP359" si="572">M354+AO354</f>
        <v>6000</v>
      </c>
      <c r="BQ354" s="417">
        <f t="shared" ref="BQ354:BR359" si="573">N354+AM354</f>
        <v>6000</v>
      </c>
      <c r="BR354" s="417">
        <f t="shared" si="573"/>
        <v>0</v>
      </c>
      <c r="BS354" s="417">
        <f t="shared" ref="BS354:BT359" si="574">P354+AS354</f>
        <v>6626450</v>
      </c>
      <c r="BT354" s="417">
        <f t="shared" si="574"/>
        <v>195989</v>
      </c>
      <c r="BU354" s="417">
        <f t="shared" ref="BU354:BU359" si="575">R354+AX354</f>
        <v>421805</v>
      </c>
      <c r="BV354" s="418">
        <f t="shared" ref="BV354:BV359" si="576">S354+BK354</f>
        <v>32.118299999999998</v>
      </c>
      <c r="BW354" s="418">
        <f t="shared" ref="BW354:BX359" si="577">T354+BI354</f>
        <v>26.159300000000002</v>
      </c>
      <c r="BX354" s="420">
        <f t="shared" si="577"/>
        <v>5.9589999999999996</v>
      </c>
      <c r="BY354" s="419"/>
      <c r="BZ354" s="414"/>
      <c r="CA354" s="414"/>
      <c r="CB354" s="414"/>
      <c r="CC354" s="414"/>
      <c r="CD354" s="422"/>
      <c r="CE354" s="419">
        <f t="shared" si="549"/>
        <v>987740</v>
      </c>
      <c r="CF354" s="414">
        <v>651270</v>
      </c>
      <c r="CG354" s="414">
        <v>220129</v>
      </c>
      <c r="CH354" s="414">
        <v>6513</v>
      </c>
      <c r="CI354" s="414">
        <v>109828</v>
      </c>
      <c r="CJ354" s="509">
        <v>1.9129</v>
      </c>
    </row>
    <row r="355" spans="1:90" ht="14.1" customHeight="1">
      <c r="A355" s="66">
        <v>71</v>
      </c>
      <c r="B355" s="63">
        <v>2492</v>
      </c>
      <c r="C355" s="64">
        <v>600079767</v>
      </c>
      <c r="D355" s="63">
        <v>70983011</v>
      </c>
      <c r="E355" s="65" t="s">
        <v>762</v>
      </c>
      <c r="F355" s="66">
        <v>3113</v>
      </c>
      <c r="G355" s="77" t="s">
        <v>291</v>
      </c>
      <c r="H355" s="67" t="s">
        <v>272</v>
      </c>
      <c r="I355" s="419">
        <v>2613358</v>
      </c>
      <c r="J355" s="414">
        <v>1938692</v>
      </c>
      <c r="K355" s="414">
        <v>1938692</v>
      </c>
      <c r="L355" s="414">
        <v>0</v>
      </c>
      <c r="M355" s="414">
        <v>0</v>
      </c>
      <c r="N355" s="414">
        <v>0</v>
      </c>
      <c r="O355" s="414">
        <v>0</v>
      </c>
      <c r="P355" s="595">
        <v>655279</v>
      </c>
      <c r="Q355" s="595">
        <v>19387</v>
      </c>
      <c r="R355" s="414">
        <v>0</v>
      </c>
      <c r="S355" s="415">
        <v>4.8599999999999994</v>
      </c>
      <c r="T355" s="416">
        <v>4.8599999999999994</v>
      </c>
      <c r="U355" s="422">
        <v>0</v>
      </c>
      <c r="V355" s="423">
        <f t="shared" si="527"/>
        <v>0</v>
      </c>
      <c r="W355" s="417">
        <f t="shared" si="528"/>
        <v>0</v>
      </c>
      <c r="X355" s="417">
        <v>0</v>
      </c>
      <c r="Y355" s="417">
        <v>0</v>
      </c>
      <c r="Z355" s="417">
        <v>0</v>
      </c>
      <c r="AA355" s="417">
        <v>0</v>
      </c>
      <c r="AB355" s="417">
        <v>0</v>
      </c>
      <c r="AC355" s="417">
        <v>0</v>
      </c>
      <c r="AD355" s="417">
        <v>0</v>
      </c>
      <c r="AE355" s="417">
        <f t="shared" si="529"/>
        <v>0</v>
      </c>
      <c r="AF355" s="417">
        <f t="shared" si="530"/>
        <v>0</v>
      </c>
      <c r="AG355" s="417">
        <f t="shared" si="531"/>
        <v>0</v>
      </c>
      <c r="AH355" s="417">
        <v>0</v>
      </c>
      <c r="AI355" s="417">
        <v>0</v>
      </c>
      <c r="AJ355" s="417">
        <v>0</v>
      </c>
      <c r="AK355" s="417">
        <v>0</v>
      </c>
      <c r="AL355" s="417">
        <v>0</v>
      </c>
      <c r="AM355" s="417">
        <f t="shared" si="532"/>
        <v>0</v>
      </c>
      <c r="AN355" s="417">
        <f t="shared" si="533"/>
        <v>0</v>
      </c>
      <c r="AO355" s="417">
        <f t="shared" si="534"/>
        <v>0</v>
      </c>
      <c r="AP355" s="417">
        <f t="shared" si="535"/>
        <v>0</v>
      </c>
      <c r="AQ355" s="417">
        <f t="shared" si="536"/>
        <v>0</v>
      </c>
      <c r="AR355" s="417">
        <f t="shared" si="537"/>
        <v>0</v>
      </c>
      <c r="AS355" s="68">
        <f t="shared" si="538"/>
        <v>0</v>
      </c>
      <c r="AT355" s="68">
        <f t="shared" si="539"/>
        <v>0</v>
      </c>
      <c r="AU355" s="417">
        <v>0</v>
      </c>
      <c r="AV355" s="417">
        <v>0</v>
      </c>
      <c r="AW355" s="417">
        <v>0</v>
      </c>
      <c r="AX355" s="417">
        <f t="shared" si="540"/>
        <v>0</v>
      </c>
      <c r="AY355" s="417">
        <f t="shared" si="541"/>
        <v>0</v>
      </c>
      <c r="AZ355" s="418">
        <v>0</v>
      </c>
      <c r="BA355" s="418">
        <v>0</v>
      </c>
      <c r="BB355" s="418">
        <v>0</v>
      </c>
      <c r="BC355" s="418">
        <v>0</v>
      </c>
      <c r="BD355" s="418">
        <v>0</v>
      </c>
      <c r="BE355" s="418">
        <v>0</v>
      </c>
      <c r="BF355" s="418">
        <v>0</v>
      </c>
      <c r="BG355" s="418">
        <v>0</v>
      </c>
      <c r="BH355" s="418">
        <v>0</v>
      </c>
      <c r="BI355" s="418">
        <f t="shared" si="542"/>
        <v>0</v>
      </c>
      <c r="BJ355" s="418">
        <f t="shared" si="543"/>
        <v>0</v>
      </c>
      <c r="BK355" s="420">
        <f t="shared" si="544"/>
        <v>0</v>
      </c>
      <c r="BL355" s="772">
        <f t="shared" si="569"/>
        <v>2613358</v>
      </c>
      <c r="BM355" s="417">
        <f t="shared" si="570"/>
        <v>1938692</v>
      </c>
      <c r="BN355" s="417">
        <f t="shared" si="571"/>
        <v>1938692</v>
      </c>
      <c r="BO355" s="417">
        <f t="shared" si="571"/>
        <v>0</v>
      </c>
      <c r="BP355" s="417">
        <f t="shared" si="572"/>
        <v>0</v>
      </c>
      <c r="BQ355" s="417">
        <f t="shared" si="573"/>
        <v>0</v>
      </c>
      <c r="BR355" s="417">
        <f t="shared" si="573"/>
        <v>0</v>
      </c>
      <c r="BS355" s="417">
        <f t="shared" si="574"/>
        <v>655279</v>
      </c>
      <c r="BT355" s="417">
        <f t="shared" si="574"/>
        <v>19387</v>
      </c>
      <c r="BU355" s="417">
        <f t="shared" si="575"/>
        <v>0</v>
      </c>
      <c r="BV355" s="418">
        <f t="shared" si="576"/>
        <v>4.8599999999999994</v>
      </c>
      <c r="BW355" s="418">
        <f t="shared" si="577"/>
        <v>4.8599999999999994</v>
      </c>
      <c r="BX355" s="420">
        <f t="shared" si="577"/>
        <v>0</v>
      </c>
      <c r="BY355" s="419"/>
      <c r="BZ355" s="414"/>
      <c r="CA355" s="414"/>
      <c r="CB355" s="414"/>
      <c r="CC355" s="414"/>
      <c r="CD355" s="422"/>
      <c r="CE355" s="419">
        <f t="shared" si="549"/>
        <v>0</v>
      </c>
      <c r="CF355" s="414">
        <v>0</v>
      </c>
      <c r="CG355" s="414">
        <v>0</v>
      </c>
      <c r="CH355" s="414">
        <v>0</v>
      </c>
      <c r="CI355" s="414">
        <v>0</v>
      </c>
      <c r="CJ355" s="509">
        <v>0</v>
      </c>
    </row>
    <row r="356" spans="1:90" ht="14.1" customHeight="1">
      <c r="A356" s="66">
        <v>71</v>
      </c>
      <c r="B356" s="63">
        <v>2492</v>
      </c>
      <c r="C356" s="64">
        <v>600079767</v>
      </c>
      <c r="D356" s="63">
        <v>70983011</v>
      </c>
      <c r="E356" s="65" t="s">
        <v>762</v>
      </c>
      <c r="F356" s="66">
        <v>3141</v>
      </c>
      <c r="G356" s="65" t="s">
        <v>294</v>
      </c>
      <c r="H356" s="67" t="s">
        <v>272</v>
      </c>
      <c r="I356" s="419">
        <v>4363761</v>
      </c>
      <c r="J356" s="414">
        <v>3209140</v>
      </c>
      <c r="K356" s="414">
        <v>0</v>
      </c>
      <c r="L356" s="744">
        <v>3209140</v>
      </c>
      <c r="M356" s="414">
        <v>3600</v>
      </c>
      <c r="N356" s="204">
        <v>0</v>
      </c>
      <c r="O356" s="204">
        <v>3600</v>
      </c>
      <c r="P356" s="595">
        <v>1085906</v>
      </c>
      <c r="Q356" s="595">
        <v>32091</v>
      </c>
      <c r="R356" s="601">
        <v>33024</v>
      </c>
      <c r="S356" s="415">
        <v>9.620000000000001</v>
      </c>
      <c r="T356" s="603">
        <v>0</v>
      </c>
      <c r="U356" s="731">
        <v>9.620000000000001</v>
      </c>
      <c r="V356" s="423">
        <f t="shared" si="527"/>
        <v>0</v>
      </c>
      <c r="W356" s="417">
        <f t="shared" si="528"/>
        <v>-900</v>
      </c>
      <c r="X356" s="417">
        <v>0</v>
      </c>
      <c r="Y356" s="417">
        <v>0</v>
      </c>
      <c r="Z356" s="417">
        <v>0</v>
      </c>
      <c r="AA356" s="417">
        <v>-55377</v>
      </c>
      <c r="AB356" s="417">
        <v>0</v>
      </c>
      <c r="AC356" s="417">
        <v>0</v>
      </c>
      <c r="AD356" s="417">
        <v>0</v>
      </c>
      <c r="AE356" s="417">
        <f t="shared" si="529"/>
        <v>0</v>
      </c>
      <c r="AF356" s="417">
        <f t="shared" si="530"/>
        <v>-56277</v>
      </c>
      <c r="AG356" s="417">
        <f t="shared" si="531"/>
        <v>-56277</v>
      </c>
      <c r="AH356" s="417">
        <v>0</v>
      </c>
      <c r="AI356" s="417">
        <v>900</v>
      </c>
      <c r="AJ356" s="417">
        <v>0</v>
      </c>
      <c r="AK356" s="417">
        <v>0</v>
      </c>
      <c r="AL356" s="417">
        <v>0</v>
      </c>
      <c r="AM356" s="417">
        <f t="shared" si="532"/>
        <v>0</v>
      </c>
      <c r="AN356" s="417">
        <f t="shared" si="533"/>
        <v>900</v>
      </c>
      <c r="AO356" s="417">
        <f t="shared" si="534"/>
        <v>900</v>
      </c>
      <c r="AP356" s="417">
        <f t="shared" si="535"/>
        <v>0</v>
      </c>
      <c r="AQ356" s="417">
        <f t="shared" si="536"/>
        <v>-55377</v>
      </c>
      <c r="AR356" s="417">
        <f t="shared" si="537"/>
        <v>-55377</v>
      </c>
      <c r="AS356" s="68">
        <f t="shared" si="538"/>
        <v>-18717</v>
      </c>
      <c r="AT356" s="68">
        <f t="shared" si="539"/>
        <v>-563</v>
      </c>
      <c r="AU356" s="417">
        <v>0</v>
      </c>
      <c r="AV356" s="417">
        <v>0</v>
      </c>
      <c r="AW356" s="417">
        <v>0</v>
      </c>
      <c r="AX356" s="417">
        <f t="shared" si="540"/>
        <v>0</v>
      </c>
      <c r="AY356" s="417">
        <f t="shared" si="541"/>
        <v>-74657</v>
      </c>
      <c r="AZ356" s="418">
        <v>0</v>
      </c>
      <c r="BA356" s="418">
        <v>0</v>
      </c>
      <c r="BB356" s="418">
        <v>0</v>
      </c>
      <c r="BC356" s="418">
        <v>0</v>
      </c>
      <c r="BD356" s="418">
        <v>-0.16</v>
      </c>
      <c r="BE356" s="418">
        <v>0</v>
      </c>
      <c r="BF356" s="418">
        <v>0</v>
      </c>
      <c r="BG356" s="418">
        <v>0</v>
      </c>
      <c r="BH356" s="418">
        <v>0</v>
      </c>
      <c r="BI356" s="418">
        <f t="shared" si="542"/>
        <v>0</v>
      </c>
      <c r="BJ356" s="418">
        <f t="shared" si="543"/>
        <v>-0.16</v>
      </c>
      <c r="BK356" s="420">
        <f t="shared" si="544"/>
        <v>-0.16</v>
      </c>
      <c r="BL356" s="772">
        <f t="shared" si="569"/>
        <v>4289104</v>
      </c>
      <c r="BM356" s="417">
        <f t="shared" si="570"/>
        <v>3152863</v>
      </c>
      <c r="BN356" s="417">
        <f t="shared" si="571"/>
        <v>0</v>
      </c>
      <c r="BO356" s="417">
        <f t="shared" si="571"/>
        <v>3152863</v>
      </c>
      <c r="BP356" s="417">
        <f t="shared" si="572"/>
        <v>4500</v>
      </c>
      <c r="BQ356" s="417">
        <f t="shared" si="573"/>
        <v>0</v>
      </c>
      <c r="BR356" s="417">
        <f t="shared" si="573"/>
        <v>4500</v>
      </c>
      <c r="BS356" s="417">
        <f t="shared" si="574"/>
        <v>1067189</v>
      </c>
      <c r="BT356" s="417">
        <f t="shared" si="574"/>
        <v>31528</v>
      </c>
      <c r="BU356" s="417">
        <f t="shared" si="575"/>
        <v>33024</v>
      </c>
      <c r="BV356" s="418">
        <f t="shared" si="576"/>
        <v>9.4600000000000009</v>
      </c>
      <c r="BW356" s="418">
        <f t="shared" si="577"/>
        <v>0</v>
      </c>
      <c r="BX356" s="420">
        <f t="shared" si="577"/>
        <v>9.4600000000000009</v>
      </c>
      <c r="BY356" s="419"/>
      <c r="BZ356" s="414"/>
      <c r="CA356" s="414"/>
      <c r="CB356" s="414"/>
      <c r="CC356" s="414"/>
      <c r="CD356" s="422"/>
      <c r="CE356" s="419">
        <f t="shared" si="549"/>
        <v>0</v>
      </c>
      <c r="CF356" s="414">
        <v>0</v>
      </c>
      <c r="CG356" s="414">
        <v>0</v>
      </c>
      <c r="CH356" s="414">
        <v>0</v>
      </c>
      <c r="CI356" s="414">
        <v>0</v>
      </c>
      <c r="CJ356" s="509">
        <v>0</v>
      </c>
    </row>
    <row r="357" spans="1:90" ht="14.1" customHeight="1">
      <c r="A357" s="66">
        <v>71</v>
      </c>
      <c r="B357" s="63">
        <v>2492</v>
      </c>
      <c r="C357" s="64">
        <v>600079767</v>
      </c>
      <c r="D357" s="63">
        <v>70983011</v>
      </c>
      <c r="E357" s="65" t="s">
        <v>762</v>
      </c>
      <c r="F357" s="66">
        <v>3143</v>
      </c>
      <c r="G357" s="77" t="s">
        <v>595</v>
      </c>
      <c r="H357" s="67" t="s">
        <v>271</v>
      </c>
      <c r="I357" s="419">
        <v>1732330</v>
      </c>
      <c r="J357" s="414">
        <v>1285111</v>
      </c>
      <c r="K357" s="414">
        <v>1285111</v>
      </c>
      <c r="L357" s="414">
        <v>0</v>
      </c>
      <c r="M357" s="414">
        <v>0</v>
      </c>
      <c r="N357" s="414">
        <v>0</v>
      </c>
      <c r="O357" s="414">
        <v>0</v>
      </c>
      <c r="P357" s="595">
        <v>434368</v>
      </c>
      <c r="Q357" s="595">
        <v>12851</v>
      </c>
      <c r="R357" s="414">
        <v>0</v>
      </c>
      <c r="S357" s="415">
        <v>2.5</v>
      </c>
      <c r="T357" s="415">
        <v>2.5</v>
      </c>
      <c r="U357" s="422">
        <v>0</v>
      </c>
      <c r="V357" s="423">
        <f t="shared" si="527"/>
        <v>0</v>
      </c>
      <c r="W357" s="417">
        <f t="shared" si="528"/>
        <v>0</v>
      </c>
      <c r="X357" s="417">
        <v>0</v>
      </c>
      <c r="Y357" s="417">
        <v>0</v>
      </c>
      <c r="Z357" s="417">
        <v>0</v>
      </c>
      <c r="AA357" s="417">
        <v>0</v>
      </c>
      <c r="AB357" s="417">
        <v>0</v>
      </c>
      <c r="AC357" s="417">
        <v>0</v>
      </c>
      <c r="AD357" s="417">
        <v>0</v>
      </c>
      <c r="AE357" s="417">
        <f t="shared" si="529"/>
        <v>0</v>
      </c>
      <c r="AF357" s="417">
        <f t="shared" si="530"/>
        <v>0</v>
      </c>
      <c r="AG357" s="417">
        <f t="shared" si="531"/>
        <v>0</v>
      </c>
      <c r="AH357" s="417">
        <v>0</v>
      </c>
      <c r="AI357" s="417">
        <v>0</v>
      </c>
      <c r="AJ357" s="417">
        <v>0</v>
      </c>
      <c r="AK357" s="417">
        <v>0</v>
      </c>
      <c r="AL357" s="417">
        <v>0</v>
      </c>
      <c r="AM357" s="417">
        <f t="shared" si="532"/>
        <v>0</v>
      </c>
      <c r="AN357" s="417">
        <f t="shared" si="533"/>
        <v>0</v>
      </c>
      <c r="AO357" s="417">
        <f t="shared" si="534"/>
        <v>0</v>
      </c>
      <c r="AP357" s="417">
        <f t="shared" si="535"/>
        <v>0</v>
      </c>
      <c r="AQ357" s="417">
        <f t="shared" si="536"/>
        <v>0</v>
      </c>
      <c r="AR357" s="417">
        <f t="shared" si="537"/>
        <v>0</v>
      </c>
      <c r="AS357" s="68">
        <f t="shared" si="538"/>
        <v>0</v>
      </c>
      <c r="AT357" s="68">
        <f t="shared" si="539"/>
        <v>0</v>
      </c>
      <c r="AU357" s="417">
        <v>0</v>
      </c>
      <c r="AV357" s="417">
        <v>0</v>
      </c>
      <c r="AW357" s="417">
        <v>0</v>
      </c>
      <c r="AX357" s="417">
        <f t="shared" si="540"/>
        <v>0</v>
      </c>
      <c r="AY357" s="417">
        <f t="shared" si="541"/>
        <v>0</v>
      </c>
      <c r="AZ357" s="418">
        <v>0</v>
      </c>
      <c r="BA357" s="418">
        <v>0</v>
      </c>
      <c r="BB357" s="418">
        <v>0</v>
      </c>
      <c r="BC357" s="418">
        <v>0</v>
      </c>
      <c r="BD357" s="418">
        <v>0</v>
      </c>
      <c r="BE357" s="418">
        <v>0</v>
      </c>
      <c r="BF357" s="418">
        <v>0</v>
      </c>
      <c r="BG357" s="418">
        <v>0</v>
      </c>
      <c r="BH357" s="418">
        <v>0</v>
      </c>
      <c r="BI357" s="418">
        <f t="shared" si="542"/>
        <v>0</v>
      </c>
      <c r="BJ357" s="418">
        <f t="shared" si="543"/>
        <v>0</v>
      </c>
      <c r="BK357" s="420">
        <f t="shared" si="544"/>
        <v>0</v>
      </c>
      <c r="BL357" s="772">
        <f t="shared" si="569"/>
        <v>1732330</v>
      </c>
      <c r="BM357" s="417">
        <f t="shared" si="570"/>
        <v>1285111</v>
      </c>
      <c r="BN357" s="417">
        <f t="shared" si="571"/>
        <v>1285111</v>
      </c>
      <c r="BO357" s="417">
        <f t="shared" si="571"/>
        <v>0</v>
      </c>
      <c r="BP357" s="417">
        <f t="shared" si="572"/>
        <v>0</v>
      </c>
      <c r="BQ357" s="417">
        <f t="shared" si="573"/>
        <v>0</v>
      </c>
      <c r="BR357" s="417">
        <f t="shared" si="573"/>
        <v>0</v>
      </c>
      <c r="BS357" s="417">
        <f t="shared" si="574"/>
        <v>434368</v>
      </c>
      <c r="BT357" s="417">
        <f t="shared" si="574"/>
        <v>12851</v>
      </c>
      <c r="BU357" s="417">
        <f t="shared" si="575"/>
        <v>0</v>
      </c>
      <c r="BV357" s="418">
        <f t="shared" si="576"/>
        <v>2.5</v>
      </c>
      <c r="BW357" s="418">
        <f t="shared" si="577"/>
        <v>2.5</v>
      </c>
      <c r="BX357" s="420">
        <f t="shared" si="577"/>
        <v>0</v>
      </c>
      <c r="BY357" s="419"/>
      <c r="BZ357" s="414"/>
      <c r="CA357" s="414"/>
      <c r="CB357" s="414"/>
      <c r="CC357" s="414"/>
      <c r="CD357" s="422"/>
      <c r="CE357" s="419">
        <f t="shared" si="549"/>
        <v>0</v>
      </c>
      <c r="CF357" s="414">
        <v>0</v>
      </c>
      <c r="CG357" s="414">
        <v>0</v>
      </c>
      <c r="CH357" s="414">
        <v>0</v>
      </c>
      <c r="CI357" s="414">
        <v>0</v>
      </c>
      <c r="CJ357" s="509">
        <v>0</v>
      </c>
    </row>
    <row r="358" spans="1:90" ht="14.1" customHeight="1">
      <c r="A358" s="66">
        <v>71</v>
      </c>
      <c r="B358" s="63">
        <v>2492</v>
      </c>
      <c r="C358" s="64">
        <v>600079767</v>
      </c>
      <c r="D358" s="63">
        <v>70983011</v>
      </c>
      <c r="E358" s="65" t="s">
        <v>762</v>
      </c>
      <c r="F358" s="66">
        <v>3143</v>
      </c>
      <c r="G358" s="77" t="s">
        <v>596</v>
      </c>
      <c r="H358" s="67" t="s">
        <v>272</v>
      </c>
      <c r="I358" s="419">
        <v>55325</v>
      </c>
      <c r="J358" s="414">
        <v>39600</v>
      </c>
      <c r="K358" s="414">
        <v>0</v>
      </c>
      <c r="L358" s="601">
        <v>39600</v>
      </c>
      <c r="M358" s="414">
        <v>0</v>
      </c>
      <c r="N358" s="414">
        <v>0</v>
      </c>
      <c r="O358" s="414">
        <v>0</v>
      </c>
      <c r="P358" s="595">
        <v>13385</v>
      </c>
      <c r="Q358" s="595">
        <v>396</v>
      </c>
      <c r="R358" s="602">
        <v>1944</v>
      </c>
      <c r="S358" s="415">
        <v>0.15000000000000002</v>
      </c>
      <c r="T358" s="605">
        <v>0</v>
      </c>
      <c r="U358" s="731">
        <v>0.15000000000000002</v>
      </c>
      <c r="V358" s="423">
        <f t="shared" si="527"/>
        <v>0</v>
      </c>
      <c r="W358" s="417">
        <f t="shared" si="528"/>
        <v>0</v>
      </c>
      <c r="X358" s="417">
        <v>0</v>
      </c>
      <c r="Y358" s="417">
        <v>0</v>
      </c>
      <c r="Z358" s="417">
        <v>0</v>
      </c>
      <c r="AA358" s="417">
        <v>0</v>
      </c>
      <c r="AB358" s="417">
        <v>0</v>
      </c>
      <c r="AC358" s="417">
        <v>0</v>
      </c>
      <c r="AD358" s="417">
        <v>0</v>
      </c>
      <c r="AE358" s="417">
        <f t="shared" si="529"/>
        <v>0</v>
      </c>
      <c r="AF358" s="417">
        <f t="shared" si="530"/>
        <v>0</v>
      </c>
      <c r="AG358" s="417">
        <f t="shared" si="531"/>
        <v>0</v>
      </c>
      <c r="AH358" s="417">
        <v>0</v>
      </c>
      <c r="AI358" s="417">
        <v>0</v>
      </c>
      <c r="AJ358" s="417">
        <v>0</v>
      </c>
      <c r="AK358" s="417">
        <v>0</v>
      </c>
      <c r="AL358" s="417">
        <v>0</v>
      </c>
      <c r="AM358" s="417">
        <f t="shared" si="532"/>
        <v>0</v>
      </c>
      <c r="AN358" s="417">
        <f t="shared" si="533"/>
        <v>0</v>
      </c>
      <c r="AO358" s="417">
        <f t="shared" si="534"/>
        <v>0</v>
      </c>
      <c r="AP358" s="417">
        <f t="shared" si="535"/>
        <v>0</v>
      </c>
      <c r="AQ358" s="417">
        <f t="shared" si="536"/>
        <v>0</v>
      </c>
      <c r="AR358" s="417">
        <f t="shared" si="537"/>
        <v>0</v>
      </c>
      <c r="AS358" s="68">
        <f t="shared" si="538"/>
        <v>0</v>
      </c>
      <c r="AT358" s="68">
        <f t="shared" si="539"/>
        <v>0</v>
      </c>
      <c r="AU358" s="417">
        <v>0</v>
      </c>
      <c r="AV358" s="417">
        <v>0</v>
      </c>
      <c r="AW358" s="417">
        <v>0</v>
      </c>
      <c r="AX358" s="417">
        <f t="shared" si="540"/>
        <v>0</v>
      </c>
      <c r="AY358" s="417">
        <f t="shared" si="541"/>
        <v>0</v>
      </c>
      <c r="AZ358" s="418">
        <v>0</v>
      </c>
      <c r="BA358" s="418">
        <v>0</v>
      </c>
      <c r="BB358" s="418">
        <v>0</v>
      </c>
      <c r="BC358" s="418">
        <v>0</v>
      </c>
      <c r="BD358" s="418">
        <v>0</v>
      </c>
      <c r="BE358" s="418">
        <v>0</v>
      </c>
      <c r="BF358" s="418">
        <v>0</v>
      </c>
      <c r="BG358" s="418">
        <v>0</v>
      </c>
      <c r="BH358" s="418">
        <v>0</v>
      </c>
      <c r="BI358" s="418">
        <f t="shared" si="542"/>
        <v>0</v>
      </c>
      <c r="BJ358" s="418">
        <f t="shared" si="543"/>
        <v>0</v>
      </c>
      <c r="BK358" s="420">
        <f t="shared" si="544"/>
        <v>0</v>
      </c>
      <c r="BL358" s="772">
        <f t="shared" si="569"/>
        <v>55325</v>
      </c>
      <c r="BM358" s="417">
        <f t="shared" si="570"/>
        <v>39600</v>
      </c>
      <c r="BN358" s="417">
        <f t="shared" si="571"/>
        <v>0</v>
      </c>
      <c r="BO358" s="417">
        <f t="shared" si="571"/>
        <v>39600</v>
      </c>
      <c r="BP358" s="417">
        <f t="shared" si="572"/>
        <v>0</v>
      </c>
      <c r="BQ358" s="417">
        <f t="shared" si="573"/>
        <v>0</v>
      </c>
      <c r="BR358" s="417">
        <f t="shared" si="573"/>
        <v>0</v>
      </c>
      <c r="BS358" s="417">
        <f t="shared" si="574"/>
        <v>13385</v>
      </c>
      <c r="BT358" s="417">
        <f t="shared" si="574"/>
        <v>396</v>
      </c>
      <c r="BU358" s="417">
        <f t="shared" si="575"/>
        <v>1944</v>
      </c>
      <c r="BV358" s="418">
        <f t="shared" si="576"/>
        <v>0.15000000000000002</v>
      </c>
      <c r="BW358" s="418">
        <f t="shared" si="577"/>
        <v>0</v>
      </c>
      <c r="BX358" s="420">
        <f t="shared" si="577"/>
        <v>0.15000000000000002</v>
      </c>
      <c r="BY358" s="419"/>
      <c r="BZ358" s="414"/>
      <c r="CA358" s="414"/>
      <c r="CB358" s="414"/>
      <c r="CC358" s="414"/>
      <c r="CD358" s="422"/>
      <c r="CE358" s="419">
        <f t="shared" si="549"/>
        <v>0</v>
      </c>
      <c r="CF358" s="414">
        <v>0</v>
      </c>
      <c r="CG358" s="414">
        <v>0</v>
      </c>
      <c r="CH358" s="414">
        <v>0</v>
      </c>
      <c r="CI358" s="414">
        <v>0</v>
      </c>
      <c r="CJ358" s="509">
        <v>0</v>
      </c>
    </row>
    <row r="359" spans="1:90" ht="14.1" customHeight="1">
      <c r="A359" s="66">
        <v>71</v>
      </c>
      <c r="B359" s="63">
        <v>2492</v>
      </c>
      <c r="C359" s="64">
        <v>600079767</v>
      </c>
      <c r="D359" s="63">
        <v>70983011</v>
      </c>
      <c r="E359" s="65" t="s">
        <v>762</v>
      </c>
      <c r="F359" s="66">
        <v>3231</v>
      </c>
      <c r="G359" s="77" t="s">
        <v>295</v>
      </c>
      <c r="H359" s="67" t="s">
        <v>271</v>
      </c>
      <c r="I359" s="419">
        <v>3122389</v>
      </c>
      <c r="J359" s="414">
        <v>2312550</v>
      </c>
      <c r="K359" s="414">
        <v>2191803</v>
      </c>
      <c r="L359" s="414">
        <v>120747</v>
      </c>
      <c r="M359" s="414">
        <v>0</v>
      </c>
      <c r="N359" s="414">
        <v>0</v>
      </c>
      <c r="O359" s="414">
        <v>0</v>
      </c>
      <c r="P359" s="595">
        <v>781642</v>
      </c>
      <c r="Q359" s="595">
        <v>23126</v>
      </c>
      <c r="R359" s="414">
        <v>5071</v>
      </c>
      <c r="S359" s="415">
        <v>3.8111000000000002</v>
      </c>
      <c r="T359" s="415">
        <v>3.47</v>
      </c>
      <c r="U359" s="422">
        <v>0.34110000000000001</v>
      </c>
      <c r="V359" s="423">
        <f t="shared" si="527"/>
        <v>0</v>
      </c>
      <c r="W359" s="417">
        <f t="shared" si="528"/>
        <v>0</v>
      </c>
      <c r="X359" s="417">
        <v>0</v>
      </c>
      <c r="Y359" s="417">
        <v>0</v>
      </c>
      <c r="Z359" s="417">
        <v>0</v>
      </c>
      <c r="AA359" s="417">
        <v>0</v>
      </c>
      <c r="AB359" s="417">
        <v>0</v>
      </c>
      <c r="AC359" s="417">
        <v>0</v>
      </c>
      <c r="AD359" s="417">
        <v>0</v>
      </c>
      <c r="AE359" s="417">
        <f t="shared" si="529"/>
        <v>0</v>
      </c>
      <c r="AF359" s="417">
        <f t="shared" si="530"/>
        <v>0</v>
      </c>
      <c r="AG359" s="417">
        <f t="shared" si="531"/>
        <v>0</v>
      </c>
      <c r="AH359" s="417">
        <v>0</v>
      </c>
      <c r="AI359" s="417">
        <v>0</v>
      </c>
      <c r="AJ359" s="417">
        <v>0</v>
      </c>
      <c r="AK359" s="417">
        <v>0</v>
      </c>
      <c r="AL359" s="417">
        <v>0</v>
      </c>
      <c r="AM359" s="417">
        <f t="shared" si="532"/>
        <v>0</v>
      </c>
      <c r="AN359" s="417">
        <f t="shared" si="533"/>
        <v>0</v>
      </c>
      <c r="AO359" s="417">
        <f t="shared" si="534"/>
        <v>0</v>
      </c>
      <c r="AP359" s="417">
        <f t="shared" si="535"/>
        <v>0</v>
      </c>
      <c r="AQ359" s="417">
        <f t="shared" si="536"/>
        <v>0</v>
      </c>
      <c r="AR359" s="417">
        <f t="shared" si="537"/>
        <v>0</v>
      </c>
      <c r="AS359" s="68">
        <f t="shared" si="538"/>
        <v>0</v>
      </c>
      <c r="AT359" s="68">
        <f t="shared" si="539"/>
        <v>0</v>
      </c>
      <c r="AU359" s="417">
        <v>0</v>
      </c>
      <c r="AV359" s="417">
        <v>0</v>
      </c>
      <c r="AW359" s="417">
        <v>0</v>
      </c>
      <c r="AX359" s="417">
        <f t="shared" si="540"/>
        <v>0</v>
      </c>
      <c r="AY359" s="417">
        <f t="shared" si="541"/>
        <v>0</v>
      </c>
      <c r="AZ359" s="418">
        <v>0</v>
      </c>
      <c r="BA359" s="418">
        <v>0</v>
      </c>
      <c r="BB359" s="418">
        <v>0</v>
      </c>
      <c r="BC359" s="418">
        <v>0</v>
      </c>
      <c r="BD359" s="418">
        <v>0</v>
      </c>
      <c r="BE359" s="418">
        <v>0</v>
      </c>
      <c r="BF359" s="418">
        <v>0</v>
      </c>
      <c r="BG359" s="418">
        <v>0</v>
      </c>
      <c r="BH359" s="418">
        <v>0</v>
      </c>
      <c r="BI359" s="418">
        <f t="shared" si="542"/>
        <v>0</v>
      </c>
      <c r="BJ359" s="418">
        <f t="shared" si="543"/>
        <v>0</v>
      </c>
      <c r="BK359" s="420">
        <f t="shared" si="544"/>
        <v>0</v>
      </c>
      <c r="BL359" s="772">
        <f t="shared" si="569"/>
        <v>3122389</v>
      </c>
      <c r="BM359" s="417">
        <f t="shared" si="570"/>
        <v>2312550</v>
      </c>
      <c r="BN359" s="417">
        <f t="shared" si="571"/>
        <v>2191803</v>
      </c>
      <c r="BO359" s="417">
        <f t="shared" si="571"/>
        <v>120747</v>
      </c>
      <c r="BP359" s="417">
        <f t="shared" si="572"/>
        <v>0</v>
      </c>
      <c r="BQ359" s="417">
        <f t="shared" si="573"/>
        <v>0</v>
      </c>
      <c r="BR359" s="417">
        <f t="shared" si="573"/>
        <v>0</v>
      </c>
      <c r="BS359" s="417">
        <f t="shared" si="574"/>
        <v>781642</v>
      </c>
      <c r="BT359" s="417">
        <f t="shared" si="574"/>
        <v>23126</v>
      </c>
      <c r="BU359" s="417">
        <f t="shared" si="575"/>
        <v>5071</v>
      </c>
      <c r="BV359" s="418">
        <f t="shared" si="576"/>
        <v>3.8111000000000002</v>
      </c>
      <c r="BW359" s="418">
        <f t="shared" si="577"/>
        <v>3.47</v>
      </c>
      <c r="BX359" s="420">
        <f t="shared" si="577"/>
        <v>0.34110000000000001</v>
      </c>
      <c r="BY359" s="419"/>
      <c r="BZ359" s="414"/>
      <c r="CA359" s="414"/>
      <c r="CB359" s="414"/>
      <c r="CC359" s="414"/>
      <c r="CD359" s="422"/>
      <c r="CE359" s="419">
        <f t="shared" si="549"/>
        <v>55042</v>
      </c>
      <c r="CF359" s="414">
        <v>39600</v>
      </c>
      <c r="CG359" s="414">
        <v>13385</v>
      </c>
      <c r="CH359" s="414">
        <v>396</v>
      </c>
      <c r="CI359" s="414">
        <v>1661</v>
      </c>
      <c r="CJ359" s="509">
        <v>0.1111</v>
      </c>
    </row>
    <row r="360" spans="1:90" ht="14.1" customHeight="1">
      <c r="A360" s="72">
        <v>71</v>
      </c>
      <c r="B360" s="69">
        <v>2492</v>
      </c>
      <c r="C360" s="70">
        <v>600079767</v>
      </c>
      <c r="D360" s="69">
        <v>70983011</v>
      </c>
      <c r="E360" s="71" t="s">
        <v>763</v>
      </c>
      <c r="F360" s="72"/>
      <c r="G360" s="71"/>
      <c r="H360" s="73"/>
      <c r="I360" s="516">
        <v>38583126</v>
      </c>
      <c r="J360" s="74">
        <v>28276309</v>
      </c>
      <c r="K360" s="74">
        <v>22877833</v>
      </c>
      <c r="L360" s="74">
        <v>5398476</v>
      </c>
      <c r="M360" s="74">
        <v>3600</v>
      </c>
      <c r="N360" s="74">
        <v>0</v>
      </c>
      <c r="O360" s="74">
        <v>3600</v>
      </c>
      <c r="P360" s="74">
        <v>9558610</v>
      </c>
      <c r="Q360" s="74">
        <v>282763</v>
      </c>
      <c r="R360" s="74">
        <v>461844</v>
      </c>
      <c r="S360" s="75">
        <v>52.829400000000007</v>
      </c>
      <c r="T360" s="75">
        <v>36.759299999999996</v>
      </c>
      <c r="U360" s="653">
        <v>16.0701</v>
      </c>
      <c r="V360" s="516">
        <f t="shared" ref="V360:BX360" si="578">SUM(V354:V359)</f>
        <v>-6000</v>
      </c>
      <c r="W360" s="74">
        <f t="shared" si="578"/>
        <v>-900</v>
      </c>
      <c r="X360" s="74">
        <f t="shared" si="578"/>
        <v>0</v>
      </c>
      <c r="Y360" s="74">
        <f t="shared" si="578"/>
        <v>1324</v>
      </c>
      <c r="Z360" s="74">
        <f t="shared" si="578"/>
        <v>112346</v>
      </c>
      <c r="AA360" s="74">
        <f t="shared" si="578"/>
        <v>-55377</v>
      </c>
      <c r="AB360" s="74">
        <f t="shared" si="578"/>
        <v>0</v>
      </c>
      <c r="AC360" s="74">
        <f t="shared" si="578"/>
        <v>0</v>
      </c>
      <c r="AD360" s="74">
        <f t="shared" si="578"/>
        <v>0</v>
      </c>
      <c r="AE360" s="74">
        <f t="shared" si="578"/>
        <v>107670</v>
      </c>
      <c r="AF360" s="74">
        <f t="shared" si="578"/>
        <v>-56277</v>
      </c>
      <c r="AG360" s="74">
        <f t="shared" si="578"/>
        <v>51393</v>
      </c>
      <c r="AH360" s="74">
        <f t="shared" si="578"/>
        <v>6000</v>
      </c>
      <c r="AI360" s="74">
        <f t="shared" si="578"/>
        <v>900</v>
      </c>
      <c r="AJ360" s="74">
        <f t="shared" si="578"/>
        <v>0</v>
      </c>
      <c r="AK360" s="74">
        <f t="shared" si="578"/>
        <v>0</v>
      </c>
      <c r="AL360" s="74">
        <f t="shared" si="578"/>
        <v>0</v>
      </c>
      <c r="AM360" s="74">
        <f t="shared" si="578"/>
        <v>6000</v>
      </c>
      <c r="AN360" s="74">
        <f t="shared" si="578"/>
        <v>900</v>
      </c>
      <c r="AO360" s="74">
        <f t="shared" si="578"/>
        <v>6900</v>
      </c>
      <c r="AP360" s="74">
        <f t="shared" si="578"/>
        <v>113670</v>
      </c>
      <c r="AQ360" s="74">
        <f t="shared" si="578"/>
        <v>-55377</v>
      </c>
      <c r="AR360" s="74">
        <f t="shared" si="578"/>
        <v>58293</v>
      </c>
      <c r="AS360" s="74">
        <f t="shared" si="578"/>
        <v>19703</v>
      </c>
      <c r="AT360" s="74">
        <f t="shared" si="578"/>
        <v>514</v>
      </c>
      <c r="AU360" s="74">
        <f t="shared" si="578"/>
        <v>0</v>
      </c>
      <c r="AV360" s="74">
        <f t="shared" si="578"/>
        <v>0</v>
      </c>
      <c r="AW360" s="74">
        <f t="shared" si="578"/>
        <v>0</v>
      </c>
      <c r="AX360" s="74">
        <f t="shared" si="578"/>
        <v>0</v>
      </c>
      <c r="AY360" s="74">
        <f t="shared" si="578"/>
        <v>78510</v>
      </c>
      <c r="AZ360" s="75">
        <f t="shared" si="578"/>
        <v>0</v>
      </c>
      <c r="BA360" s="75">
        <f t="shared" si="578"/>
        <v>0</v>
      </c>
      <c r="BB360" s="75">
        <f t="shared" si="578"/>
        <v>0</v>
      </c>
      <c r="BC360" s="75">
        <f t="shared" si="578"/>
        <v>0.23</v>
      </c>
      <c r="BD360" s="75">
        <f t="shared" si="578"/>
        <v>-0.16</v>
      </c>
      <c r="BE360" s="75">
        <f t="shared" si="578"/>
        <v>0</v>
      </c>
      <c r="BF360" s="75">
        <f t="shared" si="578"/>
        <v>0</v>
      </c>
      <c r="BG360" s="75">
        <f t="shared" si="578"/>
        <v>0</v>
      </c>
      <c r="BH360" s="75">
        <f t="shared" si="578"/>
        <v>0</v>
      </c>
      <c r="BI360" s="75">
        <f t="shared" si="578"/>
        <v>0.23</v>
      </c>
      <c r="BJ360" s="75">
        <f t="shared" si="578"/>
        <v>-0.16</v>
      </c>
      <c r="BK360" s="76">
        <f t="shared" si="578"/>
        <v>7.0000000000000007E-2</v>
      </c>
      <c r="BL360" s="781">
        <f t="shared" si="578"/>
        <v>38661636</v>
      </c>
      <c r="BM360" s="74">
        <f t="shared" si="578"/>
        <v>28327702</v>
      </c>
      <c r="BN360" s="74">
        <f t="shared" si="578"/>
        <v>22985503</v>
      </c>
      <c r="BO360" s="74">
        <f t="shared" si="578"/>
        <v>5342199</v>
      </c>
      <c r="BP360" s="74">
        <f t="shared" si="578"/>
        <v>10500</v>
      </c>
      <c r="BQ360" s="74">
        <f t="shared" si="578"/>
        <v>6000</v>
      </c>
      <c r="BR360" s="74">
        <f t="shared" si="578"/>
        <v>4500</v>
      </c>
      <c r="BS360" s="74">
        <f t="shared" si="578"/>
        <v>9578313</v>
      </c>
      <c r="BT360" s="74">
        <f t="shared" si="578"/>
        <v>283277</v>
      </c>
      <c r="BU360" s="74">
        <f t="shared" si="578"/>
        <v>461844</v>
      </c>
      <c r="BV360" s="75">
        <f t="shared" si="578"/>
        <v>52.8994</v>
      </c>
      <c r="BW360" s="75">
        <f t="shared" si="578"/>
        <v>36.9893</v>
      </c>
      <c r="BX360" s="76">
        <f t="shared" si="578"/>
        <v>15.910100000000002</v>
      </c>
      <c r="BY360" s="791">
        <f t="shared" ref="BY360:CJ360" si="579">SUM(BY354:BY359)</f>
        <v>0</v>
      </c>
      <c r="BZ360" s="679">
        <f t="shared" si="579"/>
        <v>0</v>
      </c>
      <c r="CA360" s="679">
        <f t="shared" si="579"/>
        <v>0</v>
      </c>
      <c r="CB360" s="679">
        <f t="shared" si="579"/>
        <v>0</v>
      </c>
      <c r="CC360" s="679">
        <f t="shared" si="579"/>
        <v>0</v>
      </c>
      <c r="CD360" s="947">
        <f t="shared" si="579"/>
        <v>0</v>
      </c>
      <c r="CE360" s="956">
        <f t="shared" si="579"/>
        <v>1042782</v>
      </c>
      <c r="CF360" s="953">
        <f t="shared" si="579"/>
        <v>690870</v>
      </c>
      <c r="CG360" s="953">
        <f t="shared" si="579"/>
        <v>233514</v>
      </c>
      <c r="CH360" s="953">
        <f t="shared" si="579"/>
        <v>6909</v>
      </c>
      <c r="CI360" s="953">
        <f t="shared" si="579"/>
        <v>111489</v>
      </c>
      <c r="CJ360" s="877">
        <f t="shared" si="579"/>
        <v>2.024</v>
      </c>
    </row>
    <row r="361" spans="1:90" ht="14.1" customHeight="1">
      <c r="A361" s="66">
        <v>72</v>
      </c>
      <c r="B361" s="63">
        <v>2491</v>
      </c>
      <c r="C361" s="64">
        <v>600079775</v>
      </c>
      <c r="D361" s="63">
        <v>70983003</v>
      </c>
      <c r="E361" s="65" t="s">
        <v>677</v>
      </c>
      <c r="F361" s="66">
        <v>3113</v>
      </c>
      <c r="G361" s="65" t="s">
        <v>293</v>
      </c>
      <c r="H361" s="67" t="s">
        <v>271</v>
      </c>
      <c r="I361" s="419">
        <v>28533655</v>
      </c>
      <c r="J361" s="414">
        <v>20831929</v>
      </c>
      <c r="K361" s="414">
        <v>18802940</v>
      </c>
      <c r="L361" s="414">
        <v>2028989</v>
      </c>
      <c r="M361" s="414">
        <v>0</v>
      </c>
      <c r="N361" s="414">
        <v>0</v>
      </c>
      <c r="O361" s="414">
        <v>0</v>
      </c>
      <c r="P361" s="595">
        <v>7041191</v>
      </c>
      <c r="Q361" s="595">
        <v>208320</v>
      </c>
      <c r="R361" s="414">
        <v>452215</v>
      </c>
      <c r="S361" s="415">
        <v>33.367999999999995</v>
      </c>
      <c r="T361" s="415">
        <v>27.408999999999999</v>
      </c>
      <c r="U361" s="422">
        <v>5.9589999999999996</v>
      </c>
      <c r="V361" s="423">
        <f t="shared" si="527"/>
        <v>0</v>
      </c>
      <c r="W361" s="417">
        <f t="shared" si="528"/>
        <v>0</v>
      </c>
      <c r="X361" s="417">
        <v>0</v>
      </c>
      <c r="Y361" s="417">
        <v>0</v>
      </c>
      <c r="Z361" s="417">
        <v>-397603</v>
      </c>
      <c r="AA361" s="417">
        <v>0</v>
      </c>
      <c r="AB361" s="417">
        <v>0</v>
      </c>
      <c r="AC361" s="417">
        <v>0</v>
      </c>
      <c r="AD361" s="417">
        <v>0</v>
      </c>
      <c r="AE361" s="417">
        <f t="shared" si="529"/>
        <v>-397603</v>
      </c>
      <c r="AF361" s="417">
        <f t="shared" si="530"/>
        <v>0</v>
      </c>
      <c r="AG361" s="417">
        <f t="shared" si="531"/>
        <v>-397603</v>
      </c>
      <c r="AH361" s="417">
        <v>0</v>
      </c>
      <c r="AI361" s="417">
        <v>0</v>
      </c>
      <c r="AJ361" s="417">
        <v>0</v>
      </c>
      <c r="AK361" s="417">
        <v>0</v>
      </c>
      <c r="AL361" s="417">
        <v>0</v>
      </c>
      <c r="AM361" s="417">
        <f t="shared" si="532"/>
        <v>0</v>
      </c>
      <c r="AN361" s="417">
        <f t="shared" si="533"/>
        <v>0</v>
      </c>
      <c r="AO361" s="417">
        <f t="shared" si="534"/>
        <v>0</v>
      </c>
      <c r="AP361" s="417">
        <f t="shared" si="535"/>
        <v>-397603</v>
      </c>
      <c r="AQ361" s="417">
        <f t="shared" si="536"/>
        <v>0</v>
      </c>
      <c r="AR361" s="417">
        <f t="shared" si="537"/>
        <v>-397603</v>
      </c>
      <c r="AS361" s="68">
        <f t="shared" si="538"/>
        <v>-134390</v>
      </c>
      <c r="AT361" s="68">
        <f t="shared" si="539"/>
        <v>-3976</v>
      </c>
      <c r="AU361" s="417">
        <v>0</v>
      </c>
      <c r="AV361" s="417">
        <v>0</v>
      </c>
      <c r="AW361" s="417">
        <v>0</v>
      </c>
      <c r="AX361" s="417">
        <f t="shared" si="540"/>
        <v>0</v>
      </c>
      <c r="AY361" s="417">
        <f t="shared" si="541"/>
        <v>-535969</v>
      </c>
      <c r="AZ361" s="418">
        <v>0</v>
      </c>
      <c r="BA361" s="418">
        <v>0</v>
      </c>
      <c r="BB361" s="418">
        <v>0</v>
      </c>
      <c r="BC361" s="418">
        <v>-0.8</v>
      </c>
      <c r="BD361" s="418">
        <v>0</v>
      </c>
      <c r="BE361" s="418">
        <v>0</v>
      </c>
      <c r="BF361" s="418">
        <v>0</v>
      </c>
      <c r="BG361" s="418">
        <v>0</v>
      </c>
      <c r="BH361" s="418">
        <v>0</v>
      </c>
      <c r="BI361" s="418">
        <f t="shared" si="542"/>
        <v>-0.8</v>
      </c>
      <c r="BJ361" s="418">
        <f t="shared" si="543"/>
        <v>0</v>
      </c>
      <c r="BK361" s="420">
        <f t="shared" si="544"/>
        <v>-0.8</v>
      </c>
      <c r="BL361" s="772">
        <f>I361+AY361</f>
        <v>27997686</v>
      </c>
      <c r="BM361" s="417">
        <f>J361+AG361</f>
        <v>20434326</v>
      </c>
      <c r="BN361" s="417">
        <f t="shared" ref="BN361:BO364" si="580">K361+AE361</f>
        <v>18405337</v>
      </c>
      <c r="BO361" s="417">
        <f t="shared" si="580"/>
        <v>2028989</v>
      </c>
      <c r="BP361" s="417">
        <f>M361+AO361</f>
        <v>0</v>
      </c>
      <c r="BQ361" s="417">
        <f t="shared" ref="BQ361:BR364" si="581">N361+AM361</f>
        <v>0</v>
      </c>
      <c r="BR361" s="417">
        <f t="shared" si="581"/>
        <v>0</v>
      </c>
      <c r="BS361" s="417">
        <f t="shared" ref="BS361:BT364" si="582">P361+AS361</f>
        <v>6906801</v>
      </c>
      <c r="BT361" s="417">
        <f t="shared" si="582"/>
        <v>204344</v>
      </c>
      <c r="BU361" s="417">
        <f>R361+AX361</f>
        <v>452215</v>
      </c>
      <c r="BV361" s="418">
        <f>S361+BK361</f>
        <v>32.567999999999998</v>
      </c>
      <c r="BW361" s="418">
        <f t="shared" ref="BW361:BX364" si="583">T361+BI361</f>
        <v>26.608999999999998</v>
      </c>
      <c r="BX361" s="420">
        <f t="shared" si="583"/>
        <v>5.9589999999999996</v>
      </c>
      <c r="BY361" s="419"/>
      <c r="BZ361" s="414"/>
      <c r="CA361" s="414"/>
      <c r="CB361" s="414"/>
      <c r="CC361" s="414"/>
      <c r="CD361" s="422"/>
      <c r="CE361" s="419">
        <f t="shared" si="549"/>
        <v>984308</v>
      </c>
      <c r="CF361" s="414">
        <v>651270</v>
      </c>
      <c r="CG361" s="414">
        <v>220129</v>
      </c>
      <c r="CH361" s="414">
        <v>6513</v>
      </c>
      <c r="CI361" s="414">
        <v>106396</v>
      </c>
      <c r="CJ361" s="509">
        <v>1.9129</v>
      </c>
    </row>
    <row r="362" spans="1:90" ht="14.1" customHeight="1">
      <c r="A362" s="66">
        <v>72</v>
      </c>
      <c r="B362" s="63">
        <v>2491</v>
      </c>
      <c r="C362" s="64">
        <v>600079775</v>
      </c>
      <c r="D362" s="63">
        <v>70983003</v>
      </c>
      <c r="E362" s="65" t="s">
        <v>677</v>
      </c>
      <c r="F362" s="66">
        <v>3113</v>
      </c>
      <c r="G362" s="77" t="s">
        <v>291</v>
      </c>
      <c r="H362" s="67" t="s">
        <v>272</v>
      </c>
      <c r="I362" s="419">
        <v>2737896</v>
      </c>
      <c r="J362" s="414">
        <v>2027371</v>
      </c>
      <c r="K362" s="414">
        <v>2027371</v>
      </c>
      <c r="L362" s="414">
        <v>0</v>
      </c>
      <c r="M362" s="414">
        <v>0</v>
      </c>
      <c r="N362" s="414">
        <v>0</v>
      </c>
      <c r="O362" s="414">
        <v>0</v>
      </c>
      <c r="P362" s="595">
        <v>685251</v>
      </c>
      <c r="Q362" s="595">
        <v>20274</v>
      </c>
      <c r="R362" s="414">
        <v>5000</v>
      </c>
      <c r="S362" s="415">
        <v>5.2799999999999994</v>
      </c>
      <c r="T362" s="416">
        <v>5.2799999999999994</v>
      </c>
      <c r="U362" s="422">
        <v>0</v>
      </c>
      <c r="V362" s="423">
        <f t="shared" si="527"/>
        <v>0</v>
      </c>
      <c r="W362" s="417">
        <f t="shared" si="528"/>
        <v>0</v>
      </c>
      <c r="X362" s="417">
        <v>-2063</v>
      </c>
      <c r="Y362" s="417">
        <v>0</v>
      </c>
      <c r="Z362" s="417">
        <v>0</v>
      </c>
      <c r="AA362" s="417">
        <v>0</v>
      </c>
      <c r="AB362" s="417">
        <v>0</v>
      </c>
      <c r="AC362" s="417">
        <v>0</v>
      </c>
      <c r="AD362" s="417">
        <v>0</v>
      </c>
      <c r="AE362" s="417">
        <f t="shared" si="529"/>
        <v>-2063</v>
      </c>
      <c r="AF362" s="417">
        <f t="shared" si="530"/>
        <v>0</v>
      </c>
      <c r="AG362" s="417">
        <f t="shared" si="531"/>
        <v>-2063</v>
      </c>
      <c r="AH362" s="417">
        <v>0</v>
      </c>
      <c r="AI362" s="417">
        <v>0</v>
      </c>
      <c r="AJ362" s="417">
        <v>0</v>
      </c>
      <c r="AK362" s="417">
        <v>0</v>
      </c>
      <c r="AL362" s="417">
        <v>0</v>
      </c>
      <c r="AM362" s="417">
        <f t="shared" si="532"/>
        <v>0</v>
      </c>
      <c r="AN362" s="417">
        <f t="shared" si="533"/>
        <v>0</v>
      </c>
      <c r="AO362" s="417">
        <f t="shared" si="534"/>
        <v>0</v>
      </c>
      <c r="AP362" s="417">
        <f t="shared" si="535"/>
        <v>-2063</v>
      </c>
      <c r="AQ362" s="417">
        <f t="shared" si="536"/>
        <v>0</v>
      </c>
      <c r="AR362" s="417">
        <f t="shared" si="537"/>
        <v>-2063</v>
      </c>
      <c r="AS362" s="68">
        <f t="shared" si="538"/>
        <v>-697</v>
      </c>
      <c r="AT362" s="68">
        <f t="shared" si="539"/>
        <v>-21</v>
      </c>
      <c r="AU362" s="417">
        <v>3500</v>
      </c>
      <c r="AV362" s="417">
        <v>0</v>
      </c>
      <c r="AW362" s="417">
        <v>0</v>
      </c>
      <c r="AX362" s="417">
        <f t="shared" si="540"/>
        <v>3500</v>
      </c>
      <c r="AY362" s="417">
        <f t="shared" si="541"/>
        <v>719</v>
      </c>
      <c r="AZ362" s="418">
        <v>0</v>
      </c>
      <c r="BA362" s="418">
        <v>0</v>
      </c>
      <c r="BB362" s="418">
        <v>-0.01</v>
      </c>
      <c r="BC362" s="418">
        <v>0</v>
      </c>
      <c r="BD362" s="418">
        <v>0</v>
      </c>
      <c r="BE362" s="418">
        <v>0</v>
      </c>
      <c r="BF362" s="418">
        <v>0</v>
      </c>
      <c r="BG362" s="418">
        <v>0</v>
      </c>
      <c r="BH362" s="418">
        <v>0</v>
      </c>
      <c r="BI362" s="418">
        <f t="shared" si="542"/>
        <v>-0.01</v>
      </c>
      <c r="BJ362" s="418">
        <f t="shared" si="543"/>
        <v>0</v>
      </c>
      <c r="BK362" s="420">
        <f t="shared" si="544"/>
        <v>-0.01</v>
      </c>
      <c r="BL362" s="772">
        <f>I362+AY362</f>
        <v>2738615</v>
      </c>
      <c r="BM362" s="417">
        <f>J362+AG362</f>
        <v>2025308</v>
      </c>
      <c r="BN362" s="417">
        <f t="shared" si="580"/>
        <v>2025308</v>
      </c>
      <c r="BO362" s="417">
        <f t="shared" si="580"/>
        <v>0</v>
      </c>
      <c r="BP362" s="417">
        <f>M362+AO362</f>
        <v>0</v>
      </c>
      <c r="BQ362" s="417">
        <f t="shared" si="581"/>
        <v>0</v>
      </c>
      <c r="BR362" s="417">
        <f t="shared" si="581"/>
        <v>0</v>
      </c>
      <c r="BS362" s="417">
        <f t="shared" si="582"/>
        <v>684554</v>
      </c>
      <c r="BT362" s="417">
        <f t="shared" si="582"/>
        <v>20253</v>
      </c>
      <c r="BU362" s="417">
        <f>R362+AX362</f>
        <v>8500</v>
      </c>
      <c r="BV362" s="418">
        <f>S362+BK362</f>
        <v>5.27</v>
      </c>
      <c r="BW362" s="418">
        <f t="shared" si="583"/>
        <v>5.27</v>
      </c>
      <c r="BX362" s="420">
        <f t="shared" si="583"/>
        <v>0</v>
      </c>
      <c r="BY362" s="419"/>
      <c r="BZ362" s="414"/>
      <c r="CA362" s="414"/>
      <c r="CB362" s="414"/>
      <c r="CC362" s="414"/>
      <c r="CD362" s="422"/>
      <c r="CE362" s="419">
        <f t="shared" si="549"/>
        <v>0</v>
      </c>
      <c r="CF362" s="414">
        <v>0</v>
      </c>
      <c r="CG362" s="414">
        <v>0</v>
      </c>
      <c r="CH362" s="414">
        <v>0</v>
      </c>
      <c r="CI362" s="414">
        <v>0</v>
      </c>
      <c r="CJ362" s="509">
        <v>0</v>
      </c>
    </row>
    <row r="363" spans="1:90" ht="14.1" customHeight="1">
      <c r="A363" s="66">
        <v>72</v>
      </c>
      <c r="B363" s="63">
        <v>2491</v>
      </c>
      <c r="C363" s="64">
        <v>600079775</v>
      </c>
      <c r="D363" s="63">
        <v>70983003</v>
      </c>
      <c r="E363" s="65" t="s">
        <v>677</v>
      </c>
      <c r="F363" s="66">
        <v>3143</v>
      </c>
      <c r="G363" s="77" t="s">
        <v>595</v>
      </c>
      <c r="H363" s="67" t="s">
        <v>271</v>
      </c>
      <c r="I363" s="419">
        <v>2406051</v>
      </c>
      <c r="J363" s="414">
        <v>1784904</v>
      </c>
      <c r="K363" s="414">
        <v>1784904</v>
      </c>
      <c r="L363" s="414">
        <v>0</v>
      </c>
      <c r="M363" s="414">
        <v>0</v>
      </c>
      <c r="N363" s="414">
        <v>0</v>
      </c>
      <c r="O363" s="414">
        <v>0</v>
      </c>
      <c r="P363" s="595">
        <v>603298</v>
      </c>
      <c r="Q363" s="595">
        <v>17849</v>
      </c>
      <c r="R363" s="414">
        <v>0</v>
      </c>
      <c r="S363" s="415">
        <v>3.5714000000000001</v>
      </c>
      <c r="T363" s="415">
        <v>3.5714000000000001</v>
      </c>
      <c r="U363" s="422">
        <v>0</v>
      </c>
      <c r="V363" s="423">
        <f t="shared" si="527"/>
        <v>0</v>
      </c>
      <c r="W363" s="417">
        <f t="shared" si="528"/>
        <v>0</v>
      </c>
      <c r="X363" s="417">
        <v>0</v>
      </c>
      <c r="Y363" s="417">
        <v>0</v>
      </c>
      <c r="Z363" s="417">
        <v>0</v>
      </c>
      <c r="AA363" s="417">
        <v>0</v>
      </c>
      <c r="AB363" s="417">
        <v>0</v>
      </c>
      <c r="AC363" s="417">
        <v>0</v>
      </c>
      <c r="AD363" s="417">
        <v>0</v>
      </c>
      <c r="AE363" s="417">
        <f t="shared" si="529"/>
        <v>0</v>
      </c>
      <c r="AF363" s="417">
        <f t="shared" si="530"/>
        <v>0</v>
      </c>
      <c r="AG363" s="417">
        <f t="shared" si="531"/>
        <v>0</v>
      </c>
      <c r="AH363" s="417">
        <v>0</v>
      </c>
      <c r="AI363" s="417">
        <v>0</v>
      </c>
      <c r="AJ363" s="417">
        <v>0</v>
      </c>
      <c r="AK363" s="417">
        <v>0</v>
      </c>
      <c r="AL363" s="417">
        <v>0</v>
      </c>
      <c r="AM363" s="417">
        <f t="shared" si="532"/>
        <v>0</v>
      </c>
      <c r="AN363" s="417">
        <f t="shared" si="533"/>
        <v>0</v>
      </c>
      <c r="AO363" s="417">
        <f t="shared" si="534"/>
        <v>0</v>
      </c>
      <c r="AP363" s="417">
        <f t="shared" si="535"/>
        <v>0</v>
      </c>
      <c r="AQ363" s="417">
        <f t="shared" si="536"/>
        <v>0</v>
      </c>
      <c r="AR363" s="417">
        <f t="shared" si="537"/>
        <v>0</v>
      </c>
      <c r="AS363" s="68">
        <f t="shared" si="538"/>
        <v>0</v>
      </c>
      <c r="AT363" s="68">
        <f t="shared" si="539"/>
        <v>0</v>
      </c>
      <c r="AU363" s="417">
        <v>0</v>
      </c>
      <c r="AV363" s="417">
        <v>0</v>
      </c>
      <c r="AW363" s="417">
        <v>0</v>
      </c>
      <c r="AX363" s="417">
        <f t="shared" si="540"/>
        <v>0</v>
      </c>
      <c r="AY363" s="417">
        <f t="shared" si="541"/>
        <v>0</v>
      </c>
      <c r="AZ363" s="418">
        <v>0</v>
      </c>
      <c r="BA363" s="418">
        <v>0</v>
      </c>
      <c r="BB363" s="418">
        <v>0</v>
      </c>
      <c r="BC363" s="418">
        <v>0</v>
      </c>
      <c r="BD363" s="418">
        <v>0</v>
      </c>
      <c r="BE363" s="418">
        <v>0</v>
      </c>
      <c r="BF363" s="418">
        <v>0</v>
      </c>
      <c r="BG363" s="418">
        <v>0</v>
      </c>
      <c r="BH363" s="418">
        <v>0</v>
      </c>
      <c r="BI363" s="418">
        <f t="shared" si="542"/>
        <v>0</v>
      </c>
      <c r="BJ363" s="418">
        <f t="shared" si="543"/>
        <v>0</v>
      </c>
      <c r="BK363" s="420">
        <f t="shared" si="544"/>
        <v>0</v>
      </c>
      <c r="BL363" s="772">
        <f>I363+AY363</f>
        <v>2406051</v>
      </c>
      <c r="BM363" s="417">
        <f>J363+AG363</f>
        <v>1784904</v>
      </c>
      <c r="BN363" s="417">
        <f t="shared" si="580"/>
        <v>1784904</v>
      </c>
      <c r="BO363" s="417">
        <f t="shared" si="580"/>
        <v>0</v>
      </c>
      <c r="BP363" s="417">
        <f>M363+AO363</f>
        <v>0</v>
      </c>
      <c r="BQ363" s="417">
        <f t="shared" si="581"/>
        <v>0</v>
      </c>
      <c r="BR363" s="417">
        <f t="shared" si="581"/>
        <v>0</v>
      </c>
      <c r="BS363" s="417">
        <f t="shared" si="582"/>
        <v>603298</v>
      </c>
      <c r="BT363" s="417">
        <f t="shared" si="582"/>
        <v>17849</v>
      </c>
      <c r="BU363" s="417">
        <f>R363+AX363</f>
        <v>0</v>
      </c>
      <c r="BV363" s="418">
        <f>S363+BK363</f>
        <v>3.5714000000000001</v>
      </c>
      <c r="BW363" s="418">
        <f t="shared" si="583"/>
        <v>3.5714000000000001</v>
      </c>
      <c r="BX363" s="420">
        <f t="shared" si="583"/>
        <v>0</v>
      </c>
      <c r="BY363" s="419"/>
      <c r="BZ363" s="414"/>
      <c r="CA363" s="414"/>
      <c r="CB363" s="414"/>
      <c r="CC363" s="414"/>
      <c r="CD363" s="422"/>
      <c r="CE363" s="419">
        <f t="shared" si="549"/>
        <v>0</v>
      </c>
      <c r="CF363" s="414">
        <v>0</v>
      </c>
      <c r="CG363" s="414">
        <v>0</v>
      </c>
      <c r="CH363" s="414">
        <v>0</v>
      </c>
      <c r="CI363" s="414">
        <v>0</v>
      </c>
      <c r="CJ363" s="509">
        <v>0</v>
      </c>
    </row>
    <row r="364" spans="1:90" ht="14.1" customHeight="1">
      <c r="A364" s="66">
        <v>72</v>
      </c>
      <c r="B364" s="63">
        <v>2491</v>
      </c>
      <c r="C364" s="64">
        <v>600079775</v>
      </c>
      <c r="D364" s="63">
        <v>70983003</v>
      </c>
      <c r="E364" s="65" t="s">
        <v>677</v>
      </c>
      <c r="F364" s="66">
        <v>3143</v>
      </c>
      <c r="G364" s="77" t="s">
        <v>596</v>
      </c>
      <c r="H364" s="67" t="s">
        <v>272</v>
      </c>
      <c r="I364" s="419">
        <v>69156</v>
      </c>
      <c r="J364" s="414">
        <v>49500</v>
      </c>
      <c r="K364" s="414">
        <v>0</v>
      </c>
      <c r="L364" s="601">
        <v>49500</v>
      </c>
      <c r="M364" s="414">
        <v>0</v>
      </c>
      <c r="N364" s="414">
        <v>0</v>
      </c>
      <c r="O364" s="414">
        <v>0</v>
      </c>
      <c r="P364" s="595">
        <v>16731</v>
      </c>
      <c r="Q364" s="595">
        <v>495</v>
      </c>
      <c r="R364" s="602">
        <v>2430</v>
      </c>
      <c r="S364" s="415">
        <v>0.185</v>
      </c>
      <c r="T364" s="605">
        <v>0</v>
      </c>
      <c r="U364" s="731">
        <v>0.185</v>
      </c>
      <c r="V364" s="423">
        <f t="shared" si="527"/>
        <v>0</v>
      </c>
      <c r="W364" s="417">
        <f t="shared" si="528"/>
        <v>0</v>
      </c>
      <c r="X364" s="417">
        <v>0</v>
      </c>
      <c r="Y364" s="417">
        <v>0</v>
      </c>
      <c r="Z364" s="417">
        <v>0</v>
      </c>
      <c r="AA364" s="417">
        <v>0</v>
      </c>
      <c r="AB364" s="417">
        <v>0</v>
      </c>
      <c r="AC364" s="417">
        <v>0</v>
      </c>
      <c r="AD364" s="417">
        <v>0</v>
      </c>
      <c r="AE364" s="417">
        <f t="shared" si="529"/>
        <v>0</v>
      </c>
      <c r="AF364" s="417">
        <f t="shared" si="530"/>
        <v>0</v>
      </c>
      <c r="AG364" s="417">
        <f t="shared" si="531"/>
        <v>0</v>
      </c>
      <c r="AH364" s="417">
        <v>0</v>
      </c>
      <c r="AI364" s="417">
        <v>0</v>
      </c>
      <c r="AJ364" s="417">
        <v>0</v>
      </c>
      <c r="AK364" s="417">
        <v>0</v>
      </c>
      <c r="AL364" s="417">
        <v>0</v>
      </c>
      <c r="AM364" s="417">
        <f t="shared" si="532"/>
        <v>0</v>
      </c>
      <c r="AN364" s="417">
        <f t="shared" si="533"/>
        <v>0</v>
      </c>
      <c r="AO364" s="417">
        <f t="shared" si="534"/>
        <v>0</v>
      </c>
      <c r="AP364" s="417">
        <f t="shared" si="535"/>
        <v>0</v>
      </c>
      <c r="AQ364" s="417">
        <f t="shared" si="536"/>
        <v>0</v>
      </c>
      <c r="AR364" s="417">
        <f t="shared" si="537"/>
        <v>0</v>
      </c>
      <c r="AS364" s="68">
        <f t="shared" si="538"/>
        <v>0</v>
      </c>
      <c r="AT364" s="68">
        <f t="shared" si="539"/>
        <v>0</v>
      </c>
      <c r="AU364" s="417">
        <v>0</v>
      </c>
      <c r="AV364" s="417">
        <v>0</v>
      </c>
      <c r="AW364" s="417">
        <v>0</v>
      </c>
      <c r="AX364" s="417">
        <f t="shared" si="540"/>
        <v>0</v>
      </c>
      <c r="AY364" s="417">
        <f t="shared" si="541"/>
        <v>0</v>
      </c>
      <c r="AZ364" s="418">
        <v>0</v>
      </c>
      <c r="BA364" s="418">
        <v>0</v>
      </c>
      <c r="BB364" s="418">
        <v>0</v>
      </c>
      <c r="BC364" s="418">
        <v>0</v>
      </c>
      <c r="BD364" s="418">
        <v>0</v>
      </c>
      <c r="BE364" s="418">
        <v>0</v>
      </c>
      <c r="BF364" s="418">
        <v>0</v>
      </c>
      <c r="BG364" s="418">
        <v>0</v>
      </c>
      <c r="BH364" s="418">
        <v>0</v>
      </c>
      <c r="BI364" s="418">
        <f t="shared" si="542"/>
        <v>0</v>
      </c>
      <c r="BJ364" s="418">
        <f t="shared" si="543"/>
        <v>0</v>
      </c>
      <c r="BK364" s="420">
        <f t="shared" si="544"/>
        <v>0</v>
      </c>
      <c r="BL364" s="772">
        <f>I364+AY364</f>
        <v>69156</v>
      </c>
      <c r="BM364" s="417">
        <f>J364+AG364</f>
        <v>49500</v>
      </c>
      <c r="BN364" s="417">
        <f t="shared" si="580"/>
        <v>0</v>
      </c>
      <c r="BO364" s="417">
        <f t="shared" si="580"/>
        <v>49500</v>
      </c>
      <c r="BP364" s="417">
        <f>M364+AO364</f>
        <v>0</v>
      </c>
      <c r="BQ364" s="417">
        <f t="shared" si="581"/>
        <v>0</v>
      </c>
      <c r="BR364" s="417">
        <f t="shared" si="581"/>
        <v>0</v>
      </c>
      <c r="BS364" s="417">
        <f t="shared" si="582"/>
        <v>16731</v>
      </c>
      <c r="BT364" s="417">
        <f t="shared" si="582"/>
        <v>495</v>
      </c>
      <c r="BU364" s="417">
        <f>R364+AX364</f>
        <v>2430</v>
      </c>
      <c r="BV364" s="418">
        <f>S364+BK364</f>
        <v>0.185</v>
      </c>
      <c r="BW364" s="418">
        <f t="shared" si="583"/>
        <v>0</v>
      </c>
      <c r="BX364" s="420">
        <f t="shared" si="583"/>
        <v>0.185</v>
      </c>
      <c r="BY364" s="419"/>
      <c r="BZ364" s="414"/>
      <c r="CA364" s="414"/>
      <c r="CB364" s="414"/>
      <c r="CC364" s="414"/>
      <c r="CD364" s="422"/>
      <c r="CE364" s="419">
        <f t="shared" si="549"/>
        <v>0</v>
      </c>
      <c r="CF364" s="414">
        <v>0</v>
      </c>
      <c r="CG364" s="414">
        <v>0</v>
      </c>
      <c r="CH364" s="414">
        <v>0</v>
      </c>
      <c r="CI364" s="414">
        <v>0</v>
      </c>
      <c r="CJ364" s="509">
        <v>0</v>
      </c>
    </row>
    <row r="365" spans="1:90" ht="14.1" customHeight="1">
      <c r="A365" s="72">
        <v>72</v>
      </c>
      <c r="B365" s="69">
        <v>2491</v>
      </c>
      <c r="C365" s="70">
        <v>600079775</v>
      </c>
      <c r="D365" s="69">
        <v>70983003</v>
      </c>
      <c r="E365" s="71" t="s">
        <v>678</v>
      </c>
      <c r="F365" s="72"/>
      <c r="G365" s="71"/>
      <c r="H365" s="73"/>
      <c r="I365" s="516">
        <v>33746758</v>
      </c>
      <c r="J365" s="74">
        <v>24693704</v>
      </c>
      <c r="K365" s="74">
        <v>22615215</v>
      </c>
      <c r="L365" s="74">
        <v>2078489</v>
      </c>
      <c r="M365" s="74">
        <v>0</v>
      </c>
      <c r="N365" s="74">
        <v>0</v>
      </c>
      <c r="O365" s="74">
        <v>0</v>
      </c>
      <c r="P365" s="74">
        <v>8346471</v>
      </c>
      <c r="Q365" s="74">
        <v>246938</v>
      </c>
      <c r="R365" s="74">
        <v>459645</v>
      </c>
      <c r="S365" s="75">
        <v>42.404399999999995</v>
      </c>
      <c r="T365" s="75">
        <v>36.260399999999997</v>
      </c>
      <c r="U365" s="653">
        <v>6.1439999999999992</v>
      </c>
      <c r="V365" s="516">
        <f t="shared" ref="V365:BX365" si="584">SUM(V361:V364)</f>
        <v>0</v>
      </c>
      <c r="W365" s="74">
        <f t="shared" si="584"/>
        <v>0</v>
      </c>
      <c r="X365" s="74">
        <f t="shared" si="584"/>
        <v>-2063</v>
      </c>
      <c r="Y365" s="74">
        <f t="shared" si="584"/>
        <v>0</v>
      </c>
      <c r="Z365" s="74">
        <f t="shared" si="584"/>
        <v>-397603</v>
      </c>
      <c r="AA365" s="74">
        <f t="shared" si="584"/>
        <v>0</v>
      </c>
      <c r="AB365" s="74">
        <f t="shared" si="584"/>
        <v>0</v>
      </c>
      <c r="AC365" s="74">
        <f t="shared" si="584"/>
        <v>0</v>
      </c>
      <c r="AD365" s="74">
        <f t="shared" si="584"/>
        <v>0</v>
      </c>
      <c r="AE365" s="74">
        <f t="shared" si="584"/>
        <v>-399666</v>
      </c>
      <c r="AF365" s="74">
        <f t="shared" si="584"/>
        <v>0</v>
      </c>
      <c r="AG365" s="74">
        <f t="shared" si="584"/>
        <v>-399666</v>
      </c>
      <c r="AH365" s="74">
        <f t="shared" si="584"/>
        <v>0</v>
      </c>
      <c r="AI365" s="74">
        <f t="shared" si="584"/>
        <v>0</v>
      </c>
      <c r="AJ365" s="74">
        <f t="shared" si="584"/>
        <v>0</v>
      </c>
      <c r="AK365" s="74">
        <f t="shared" si="584"/>
        <v>0</v>
      </c>
      <c r="AL365" s="74">
        <f t="shared" si="584"/>
        <v>0</v>
      </c>
      <c r="AM365" s="74">
        <f t="shared" si="584"/>
        <v>0</v>
      </c>
      <c r="AN365" s="74">
        <f t="shared" si="584"/>
        <v>0</v>
      </c>
      <c r="AO365" s="74">
        <f t="shared" si="584"/>
        <v>0</v>
      </c>
      <c r="AP365" s="74">
        <f t="shared" si="584"/>
        <v>-399666</v>
      </c>
      <c r="AQ365" s="74">
        <f t="shared" si="584"/>
        <v>0</v>
      </c>
      <c r="AR365" s="74">
        <f t="shared" si="584"/>
        <v>-399666</v>
      </c>
      <c r="AS365" s="74">
        <f t="shared" si="584"/>
        <v>-135087</v>
      </c>
      <c r="AT365" s="74">
        <f t="shared" si="584"/>
        <v>-3997</v>
      </c>
      <c r="AU365" s="74">
        <f t="shared" si="584"/>
        <v>3500</v>
      </c>
      <c r="AV365" s="74">
        <f t="shared" si="584"/>
        <v>0</v>
      </c>
      <c r="AW365" s="74">
        <f t="shared" si="584"/>
        <v>0</v>
      </c>
      <c r="AX365" s="74">
        <f t="shared" si="584"/>
        <v>3500</v>
      </c>
      <c r="AY365" s="74">
        <f t="shared" si="584"/>
        <v>-535250</v>
      </c>
      <c r="AZ365" s="75">
        <f t="shared" si="584"/>
        <v>0</v>
      </c>
      <c r="BA365" s="75">
        <f t="shared" si="584"/>
        <v>0</v>
      </c>
      <c r="BB365" s="75">
        <f t="shared" si="584"/>
        <v>-0.01</v>
      </c>
      <c r="BC365" s="75">
        <f t="shared" si="584"/>
        <v>-0.8</v>
      </c>
      <c r="BD365" s="75">
        <f t="shared" si="584"/>
        <v>0</v>
      </c>
      <c r="BE365" s="75">
        <f t="shared" si="584"/>
        <v>0</v>
      </c>
      <c r="BF365" s="75">
        <f t="shared" si="584"/>
        <v>0</v>
      </c>
      <c r="BG365" s="75">
        <f t="shared" si="584"/>
        <v>0</v>
      </c>
      <c r="BH365" s="75">
        <f t="shared" si="584"/>
        <v>0</v>
      </c>
      <c r="BI365" s="75">
        <f t="shared" si="584"/>
        <v>-0.81</v>
      </c>
      <c r="BJ365" s="75">
        <f t="shared" si="584"/>
        <v>0</v>
      </c>
      <c r="BK365" s="76">
        <f t="shared" si="584"/>
        <v>-0.81</v>
      </c>
      <c r="BL365" s="781">
        <f t="shared" si="584"/>
        <v>33211508</v>
      </c>
      <c r="BM365" s="74">
        <f t="shared" si="584"/>
        <v>24294038</v>
      </c>
      <c r="BN365" s="74">
        <f t="shared" si="584"/>
        <v>22215549</v>
      </c>
      <c r="BO365" s="74">
        <f t="shared" si="584"/>
        <v>2078489</v>
      </c>
      <c r="BP365" s="74">
        <f t="shared" si="584"/>
        <v>0</v>
      </c>
      <c r="BQ365" s="74">
        <f t="shared" si="584"/>
        <v>0</v>
      </c>
      <c r="BR365" s="74">
        <f t="shared" si="584"/>
        <v>0</v>
      </c>
      <c r="BS365" s="74">
        <f t="shared" si="584"/>
        <v>8211384</v>
      </c>
      <c r="BT365" s="74">
        <f t="shared" si="584"/>
        <v>242941</v>
      </c>
      <c r="BU365" s="74">
        <f t="shared" si="584"/>
        <v>463145</v>
      </c>
      <c r="BV365" s="75">
        <f t="shared" si="584"/>
        <v>41.594399999999993</v>
      </c>
      <c r="BW365" s="75">
        <f t="shared" si="584"/>
        <v>35.450399999999995</v>
      </c>
      <c r="BX365" s="76">
        <f t="shared" si="584"/>
        <v>6.1439999999999992</v>
      </c>
      <c r="BY365" s="791">
        <f t="shared" ref="BY365:CJ365" si="585">SUM(BY361:BY364)</f>
        <v>0</v>
      </c>
      <c r="BZ365" s="679">
        <f t="shared" si="585"/>
        <v>0</v>
      </c>
      <c r="CA365" s="679">
        <f t="shared" si="585"/>
        <v>0</v>
      </c>
      <c r="CB365" s="679">
        <f t="shared" si="585"/>
        <v>0</v>
      </c>
      <c r="CC365" s="679">
        <f t="shared" si="585"/>
        <v>0</v>
      </c>
      <c r="CD365" s="947">
        <f t="shared" si="585"/>
        <v>0</v>
      </c>
      <c r="CE365" s="956">
        <f t="shared" si="585"/>
        <v>984308</v>
      </c>
      <c r="CF365" s="953">
        <f t="shared" si="585"/>
        <v>651270</v>
      </c>
      <c r="CG365" s="953">
        <f t="shared" si="585"/>
        <v>220129</v>
      </c>
      <c r="CH365" s="953">
        <f t="shared" si="585"/>
        <v>6513</v>
      </c>
      <c r="CI365" s="953">
        <f t="shared" si="585"/>
        <v>106396</v>
      </c>
      <c r="CJ365" s="877">
        <f t="shared" si="585"/>
        <v>1.9129</v>
      </c>
    </row>
    <row r="366" spans="1:90" ht="14.1" customHeight="1">
      <c r="A366" s="66">
        <v>73</v>
      </c>
      <c r="B366" s="63">
        <v>2459</v>
      </c>
      <c r="C366" s="64">
        <v>650030583</v>
      </c>
      <c r="D366" s="63">
        <v>72744707</v>
      </c>
      <c r="E366" s="65" t="s">
        <v>679</v>
      </c>
      <c r="F366" s="66">
        <v>3111</v>
      </c>
      <c r="G366" s="65" t="s">
        <v>290</v>
      </c>
      <c r="H366" s="67" t="s">
        <v>271</v>
      </c>
      <c r="I366" s="419">
        <v>3428365</v>
      </c>
      <c r="J366" s="414">
        <v>2531132</v>
      </c>
      <c r="K366" s="414">
        <v>2354714</v>
      </c>
      <c r="L366" s="414">
        <v>176418</v>
      </c>
      <c r="M366" s="414">
        <v>0</v>
      </c>
      <c r="N366" s="414">
        <v>0</v>
      </c>
      <c r="O366" s="414">
        <v>0</v>
      </c>
      <c r="P366" s="595">
        <v>855522</v>
      </c>
      <c r="Q366" s="595">
        <v>25311</v>
      </c>
      <c r="R366" s="414">
        <v>16400</v>
      </c>
      <c r="S366" s="415">
        <v>4.7068000000000003</v>
      </c>
      <c r="T366" s="415">
        <v>4</v>
      </c>
      <c r="U366" s="422">
        <v>0.70679999999999998</v>
      </c>
      <c r="V366" s="423">
        <f t="shared" si="527"/>
        <v>0</v>
      </c>
      <c r="W366" s="417">
        <f t="shared" si="528"/>
        <v>0</v>
      </c>
      <c r="X366" s="417">
        <v>0</v>
      </c>
      <c r="Y366" s="417">
        <v>0</v>
      </c>
      <c r="Z366" s="417">
        <v>0</v>
      </c>
      <c r="AA366" s="417">
        <v>0</v>
      </c>
      <c r="AB366" s="417">
        <v>0</v>
      </c>
      <c r="AC366" s="417">
        <v>0</v>
      </c>
      <c r="AD366" s="417">
        <v>0</v>
      </c>
      <c r="AE366" s="417">
        <f t="shared" si="529"/>
        <v>0</v>
      </c>
      <c r="AF366" s="417">
        <f t="shared" si="530"/>
        <v>0</v>
      </c>
      <c r="AG366" s="417">
        <f t="shared" si="531"/>
        <v>0</v>
      </c>
      <c r="AH366" s="417">
        <v>0</v>
      </c>
      <c r="AI366" s="417">
        <v>0</v>
      </c>
      <c r="AJ366" s="417">
        <v>0</v>
      </c>
      <c r="AK366" s="417">
        <v>0</v>
      </c>
      <c r="AL366" s="417">
        <v>0</v>
      </c>
      <c r="AM366" s="417">
        <f t="shared" si="532"/>
        <v>0</v>
      </c>
      <c r="AN366" s="417">
        <f t="shared" si="533"/>
        <v>0</v>
      </c>
      <c r="AO366" s="417">
        <f t="shared" si="534"/>
        <v>0</v>
      </c>
      <c r="AP366" s="417">
        <f t="shared" si="535"/>
        <v>0</v>
      </c>
      <c r="AQ366" s="417">
        <f t="shared" si="536"/>
        <v>0</v>
      </c>
      <c r="AR366" s="417">
        <f t="shared" si="537"/>
        <v>0</v>
      </c>
      <c r="AS366" s="68">
        <f t="shared" si="538"/>
        <v>0</v>
      </c>
      <c r="AT366" s="68">
        <f t="shared" si="539"/>
        <v>0</v>
      </c>
      <c r="AU366" s="417">
        <v>0</v>
      </c>
      <c r="AV366" s="417">
        <v>0</v>
      </c>
      <c r="AW366" s="417">
        <v>0</v>
      </c>
      <c r="AX366" s="417">
        <f t="shared" si="540"/>
        <v>0</v>
      </c>
      <c r="AY366" s="417">
        <f t="shared" si="541"/>
        <v>0</v>
      </c>
      <c r="AZ366" s="418">
        <v>0</v>
      </c>
      <c r="BA366" s="418">
        <v>0</v>
      </c>
      <c r="BB366" s="418">
        <v>0</v>
      </c>
      <c r="BC366" s="418">
        <v>0</v>
      </c>
      <c r="BD366" s="418">
        <v>0</v>
      </c>
      <c r="BE366" s="418">
        <v>0</v>
      </c>
      <c r="BF366" s="418">
        <v>0</v>
      </c>
      <c r="BG366" s="418">
        <v>0</v>
      </c>
      <c r="BH366" s="418">
        <v>0</v>
      </c>
      <c r="BI366" s="418">
        <f t="shared" si="542"/>
        <v>0</v>
      </c>
      <c r="BJ366" s="418">
        <f t="shared" si="543"/>
        <v>0</v>
      </c>
      <c r="BK366" s="420">
        <f t="shared" si="544"/>
        <v>0</v>
      </c>
      <c r="BL366" s="772">
        <f t="shared" ref="BL366:BL371" si="586">I366+AY366</f>
        <v>3428365</v>
      </c>
      <c r="BM366" s="417">
        <f t="shared" ref="BM366:BM371" si="587">J366+AG366</f>
        <v>2531132</v>
      </c>
      <c r="BN366" s="417">
        <f t="shared" ref="BN366:BO371" si="588">K366+AE366</f>
        <v>2354714</v>
      </c>
      <c r="BO366" s="417">
        <f t="shared" si="588"/>
        <v>176418</v>
      </c>
      <c r="BP366" s="417">
        <f t="shared" ref="BP366:BP371" si="589">M366+AO366</f>
        <v>0</v>
      </c>
      <c r="BQ366" s="417">
        <f t="shared" ref="BQ366:BR371" si="590">N366+AM366</f>
        <v>0</v>
      </c>
      <c r="BR366" s="417">
        <f t="shared" si="590"/>
        <v>0</v>
      </c>
      <c r="BS366" s="417">
        <f t="shared" ref="BS366:BT371" si="591">P366+AS366</f>
        <v>855522</v>
      </c>
      <c r="BT366" s="417">
        <f t="shared" si="591"/>
        <v>25311</v>
      </c>
      <c r="BU366" s="417">
        <f t="shared" ref="BU366:BU371" si="592">R366+AX366</f>
        <v>16400</v>
      </c>
      <c r="BV366" s="418">
        <f t="shared" ref="BV366:BV371" si="593">S366+BK366</f>
        <v>4.7068000000000003</v>
      </c>
      <c r="BW366" s="418">
        <f t="shared" ref="BW366:BX371" si="594">T366+BI366</f>
        <v>4</v>
      </c>
      <c r="BX366" s="420">
        <f t="shared" si="594"/>
        <v>0.70679999999999998</v>
      </c>
      <c r="BY366" s="419"/>
      <c r="BZ366" s="414"/>
      <c r="CA366" s="414"/>
      <c r="CB366" s="414"/>
      <c r="CC366" s="414"/>
      <c r="CD366" s="422"/>
      <c r="CE366" s="419">
        <f t="shared" si="549"/>
        <v>81763</v>
      </c>
      <c r="CF366" s="414">
        <v>56610</v>
      </c>
      <c r="CG366" s="414">
        <f>ROUND(CF366*33.8%,0)</f>
        <v>19134</v>
      </c>
      <c r="CH366" s="414">
        <f>ROUND(CF366*1%,0)</f>
        <v>566</v>
      </c>
      <c r="CI366" s="414">
        <v>5453</v>
      </c>
      <c r="CJ366" s="509">
        <v>0.2268</v>
      </c>
      <c r="CK366" s="53"/>
      <c r="CL366" s="53"/>
    </row>
    <row r="367" spans="1:90" ht="14.1" customHeight="1">
      <c r="A367" s="66">
        <v>73</v>
      </c>
      <c r="B367" s="63">
        <v>2459</v>
      </c>
      <c r="C367" s="64">
        <v>650030583</v>
      </c>
      <c r="D367" s="63">
        <v>72744707</v>
      </c>
      <c r="E367" s="65" t="s">
        <v>679</v>
      </c>
      <c r="F367" s="66">
        <v>3117</v>
      </c>
      <c r="G367" s="65" t="s">
        <v>293</v>
      </c>
      <c r="H367" s="67" t="s">
        <v>271</v>
      </c>
      <c r="I367" s="419">
        <v>6142261</v>
      </c>
      <c r="J367" s="414">
        <v>4489826</v>
      </c>
      <c r="K367" s="414">
        <v>3726931</v>
      </c>
      <c r="L367" s="414">
        <v>762895</v>
      </c>
      <c r="M367" s="414">
        <v>0</v>
      </c>
      <c r="N367" s="414">
        <v>0</v>
      </c>
      <c r="O367" s="414">
        <v>0</v>
      </c>
      <c r="P367" s="595">
        <v>1517561</v>
      </c>
      <c r="Q367" s="595">
        <v>44899</v>
      </c>
      <c r="R367" s="414">
        <v>89975</v>
      </c>
      <c r="S367" s="415">
        <v>7.5292000000000003</v>
      </c>
      <c r="T367" s="415">
        <v>5.4545000000000003</v>
      </c>
      <c r="U367" s="422">
        <v>2.0747</v>
      </c>
      <c r="V367" s="423">
        <f t="shared" si="527"/>
        <v>0</v>
      </c>
      <c r="W367" s="417">
        <f t="shared" si="528"/>
        <v>0</v>
      </c>
      <c r="X367" s="417">
        <v>0</v>
      </c>
      <c r="Y367" s="417">
        <v>0</v>
      </c>
      <c r="Z367" s="417">
        <v>-83707</v>
      </c>
      <c r="AA367" s="417">
        <v>0</v>
      </c>
      <c r="AB367" s="417">
        <v>0</v>
      </c>
      <c r="AC367" s="417">
        <v>0</v>
      </c>
      <c r="AD367" s="417">
        <v>0</v>
      </c>
      <c r="AE367" s="417">
        <f t="shared" si="529"/>
        <v>-83707</v>
      </c>
      <c r="AF367" s="417">
        <f t="shared" si="530"/>
        <v>0</v>
      </c>
      <c r="AG367" s="417">
        <f t="shared" si="531"/>
        <v>-83707</v>
      </c>
      <c r="AH367" s="417">
        <v>0</v>
      </c>
      <c r="AI367" s="417">
        <v>0</v>
      </c>
      <c r="AJ367" s="417">
        <v>0</v>
      </c>
      <c r="AK367" s="417">
        <v>0</v>
      </c>
      <c r="AL367" s="417">
        <v>0</v>
      </c>
      <c r="AM367" s="417">
        <f t="shared" si="532"/>
        <v>0</v>
      </c>
      <c r="AN367" s="417">
        <f t="shared" si="533"/>
        <v>0</v>
      </c>
      <c r="AO367" s="417">
        <f t="shared" si="534"/>
        <v>0</v>
      </c>
      <c r="AP367" s="417">
        <f t="shared" si="535"/>
        <v>-83707</v>
      </c>
      <c r="AQ367" s="417">
        <f t="shared" si="536"/>
        <v>0</v>
      </c>
      <c r="AR367" s="417">
        <f t="shared" si="537"/>
        <v>-83707</v>
      </c>
      <c r="AS367" s="68">
        <f t="shared" si="538"/>
        <v>-28293</v>
      </c>
      <c r="AT367" s="68">
        <f t="shared" si="539"/>
        <v>-837</v>
      </c>
      <c r="AU367" s="417">
        <v>0</v>
      </c>
      <c r="AV367" s="417">
        <v>0</v>
      </c>
      <c r="AW367" s="417">
        <v>0</v>
      </c>
      <c r="AX367" s="417">
        <f t="shared" si="540"/>
        <v>0</v>
      </c>
      <c r="AY367" s="417">
        <f t="shared" si="541"/>
        <v>-112837</v>
      </c>
      <c r="AZ367" s="418">
        <v>0</v>
      </c>
      <c r="BA367" s="418">
        <v>0</v>
      </c>
      <c r="BB367" s="418">
        <v>0</v>
      </c>
      <c r="BC367" s="418">
        <v>-0.15</v>
      </c>
      <c r="BD367" s="418">
        <v>0</v>
      </c>
      <c r="BE367" s="418">
        <v>0</v>
      </c>
      <c r="BF367" s="418">
        <v>0</v>
      </c>
      <c r="BG367" s="418">
        <v>0</v>
      </c>
      <c r="BH367" s="418">
        <v>0</v>
      </c>
      <c r="BI367" s="418">
        <f t="shared" si="542"/>
        <v>-0.15</v>
      </c>
      <c r="BJ367" s="418">
        <f t="shared" si="543"/>
        <v>0</v>
      </c>
      <c r="BK367" s="420">
        <f t="shared" si="544"/>
        <v>-0.15</v>
      </c>
      <c r="BL367" s="772">
        <f t="shared" si="586"/>
        <v>6029424</v>
      </c>
      <c r="BM367" s="417">
        <f t="shared" si="587"/>
        <v>4406119</v>
      </c>
      <c r="BN367" s="417">
        <f t="shared" si="588"/>
        <v>3643224</v>
      </c>
      <c r="BO367" s="417">
        <f t="shared" si="588"/>
        <v>762895</v>
      </c>
      <c r="BP367" s="417">
        <f t="shared" si="589"/>
        <v>0</v>
      </c>
      <c r="BQ367" s="417">
        <f t="shared" si="590"/>
        <v>0</v>
      </c>
      <c r="BR367" s="417">
        <f t="shared" si="590"/>
        <v>0</v>
      </c>
      <c r="BS367" s="417">
        <f t="shared" si="591"/>
        <v>1489268</v>
      </c>
      <c r="BT367" s="417">
        <f t="shared" si="591"/>
        <v>44062</v>
      </c>
      <c r="BU367" s="417">
        <f t="shared" si="592"/>
        <v>89975</v>
      </c>
      <c r="BV367" s="418">
        <f t="shared" si="593"/>
        <v>7.3792</v>
      </c>
      <c r="BW367" s="418">
        <f t="shared" si="594"/>
        <v>5.3045</v>
      </c>
      <c r="BX367" s="420">
        <f t="shared" si="594"/>
        <v>2.0747</v>
      </c>
      <c r="BY367" s="419"/>
      <c r="BZ367" s="414"/>
      <c r="CA367" s="414"/>
      <c r="CB367" s="414"/>
      <c r="CC367" s="414"/>
      <c r="CD367" s="422"/>
      <c r="CE367" s="419">
        <f t="shared" si="549"/>
        <v>345821</v>
      </c>
      <c r="CF367" s="414">
        <v>244868</v>
      </c>
      <c r="CG367" s="414">
        <v>82766</v>
      </c>
      <c r="CH367" s="414">
        <v>2449</v>
      </c>
      <c r="CI367" s="414">
        <v>15738</v>
      </c>
      <c r="CJ367" s="509">
        <v>0.66600000000000004</v>
      </c>
      <c r="CK367" s="53"/>
      <c r="CL367" s="53"/>
    </row>
    <row r="368" spans="1:90" ht="14.1" customHeight="1">
      <c r="A368" s="66">
        <v>73</v>
      </c>
      <c r="B368" s="63">
        <v>2459</v>
      </c>
      <c r="C368" s="64">
        <v>650030583</v>
      </c>
      <c r="D368" s="63">
        <v>72744707</v>
      </c>
      <c r="E368" s="65" t="s">
        <v>679</v>
      </c>
      <c r="F368" s="66">
        <v>3117</v>
      </c>
      <c r="G368" s="77" t="s">
        <v>291</v>
      </c>
      <c r="H368" s="67" t="s">
        <v>272</v>
      </c>
      <c r="I368" s="419">
        <v>920198</v>
      </c>
      <c r="J368" s="414">
        <v>682640</v>
      </c>
      <c r="K368" s="414">
        <v>682640</v>
      </c>
      <c r="L368" s="414">
        <v>0</v>
      </c>
      <c r="M368" s="414">
        <v>0</v>
      </c>
      <c r="N368" s="414">
        <v>0</v>
      </c>
      <c r="O368" s="414">
        <v>0</v>
      </c>
      <c r="P368" s="595">
        <v>230732</v>
      </c>
      <c r="Q368" s="595">
        <v>6826</v>
      </c>
      <c r="R368" s="414">
        <v>0</v>
      </c>
      <c r="S368" s="415">
        <v>1.8100000000000003</v>
      </c>
      <c r="T368" s="416">
        <v>1.8100000000000003</v>
      </c>
      <c r="U368" s="422">
        <v>0</v>
      </c>
      <c r="V368" s="423">
        <f t="shared" si="527"/>
        <v>0</v>
      </c>
      <c r="W368" s="417">
        <f t="shared" si="528"/>
        <v>0</v>
      </c>
      <c r="X368" s="417">
        <v>16488</v>
      </c>
      <c r="Y368" s="417">
        <v>0</v>
      </c>
      <c r="Z368" s="417">
        <v>0</v>
      </c>
      <c r="AA368" s="417">
        <v>0</v>
      </c>
      <c r="AB368" s="417">
        <v>0</v>
      </c>
      <c r="AC368" s="417">
        <v>0</v>
      </c>
      <c r="AD368" s="417">
        <v>0</v>
      </c>
      <c r="AE368" s="417">
        <f t="shared" si="529"/>
        <v>16488</v>
      </c>
      <c r="AF368" s="417">
        <f t="shared" si="530"/>
        <v>0</v>
      </c>
      <c r="AG368" s="417">
        <f t="shared" si="531"/>
        <v>16488</v>
      </c>
      <c r="AH368" s="417">
        <v>0</v>
      </c>
      <c r="AI368" s="417">
        <v>0</v>
      </c>
      <c r="AJ368" s="417">
        <v>0</v>
      </c>
      <c r="AK368" s="417">
        <v>0</v>
      </c>
      <c r="AL368" s="417">
        <v>0</v>
      </c>
      <c r="AM368" s="417">
        <f t="shared" si="532"/>
        <v>0</v>
      </c>
      <c r="AN368" s="417">
        <f t="shared" si="533"/>
        <v>0</v>
      </c>
      <c r="AO368" s="417">
        <f t="shared" si="534"/>
        <v>0</v>
      </c>
      <c r="AP368" s="417">
        <f t="shared" si="535"/>
        <v>16488</v>
      </c>
      <c r="AQ368" s="417">
        <f t="shared" si="536"/>
        <v>0</v>
      </c>
      <c r="AR368" s="417">
        <f t="shared" si="537"/>
        <v>16488</v>
      </c>
      <c r="AS368" s="68">
        <f t="shared" si="538"/>
        <v>5573</v>
      </c>
      <c r="AT368" s="68">
        <f t="shared" si="539"/>
        <v>165</v>
      </c>
      <c r="AU368" s="417">
        <v>0</v>
      </c>
      <c r="AV368" s="417">
        <v>0</v>
      </c>
      <c r="AW368" s="417">
        <v>0</v>
      </c>
      <c r="AX368" s="417">
        <f t="shared" si="540"/>
        <v>0</v>
      </c>
      <c r="AY368" s="417">
        <f t="shared" si="541"/>
        <v>22226</v>
      </c>
      <c r="AZ368" s="418">
        <v>0</v>
      </c>
      <c r="BA368" s="418">
        <v>0</v>
      </c>
      <c r="BB368" s="418">
        <v>0.04</v>
      </c>
      <c r="BC368" s="418">
        <v>0</v>
      </c>
      <c r="BD368" s="418">
        <v>0</v>
      </c>
      <c r="BE368" s="418">
        <v>0</v>
      </c>
      <c r="BF368" s="418">
        <v>0</v>
      </c>
      <c r="BG368" s="418">
        <v>0</v>
      </c>
      <c r="BH368" s="418">
        <v>0</v>
      </c>
      <c r="BI368" s="418">
        <f t="shared" si="542"/>
        <v>0.04</v>
      </c>
      <c r="BJ368" s="418">
        <f t="shared" si="543"/>
        <v>0</v>
      </c>
      <c r="BK368" s="420">
        <f t="shared" si="544"/>
        <v>0.04</v>
      </c>
      <c r="BL368" s="772">
        <f t="shared" si="586"/>
        <v>942424</v>
      </c>
      <c r="BM368" s="417">
        <f t="shared" si="587"/>
        <v>699128</v>
      </c>
      <c r="BN368" s="417">
        <f t="shared" si="588"/>
        <v>699128</v>
      </c>
      <c r="BO368" s="417">
        <f t="shared" si="588"/>
        <v>0</v>
      </c>
      <c r="BP368" s="417">
        <f t="shared" si="589"/>
        <v>0</v>
      </c>
      <c r="BQ368" s="417">
        <f t="shared" si="590"/>
        <v>0</v>
      </c>
      <c r="BR368" s="417">
        <f t="shared" si="590"/>
        <v>0</v>
      </c>
      <c r="BS368" s="417">
        <f t="shared" si="591"/>
        <v>236305</v>
      </c>
      <c r="BT368" s="417">
        <f t="shared" si="591"/>
        <v>6991</v>
      </c>
      <c r="BU368" s="417">
        <f t="shared" si="592"/>
        <v>0</v>
      </c>
      <c r="BV368" s="418">
        <f t="shared" si="593"/>
        <v>1.8500000000000003</v>
      </c>
      <c r="BW368" s="418">
        <f t="shared" si="594"/>
        <v>1.8500000000000003</v>
      </c>
      <c r="BX368" s="420">
        <f t="shared" si="594"/>
        <v>0</v>
      </c>
      <c r="BY368" s="419"/>
      <c r="BZ368" s="414"/>
      <c r="CA368" s="414"/>
      <c r="CB368" s="414"/>
      <c r="CC368" s="414"/>
      <c r="CD368" s="422"/>
      <c r="CE368" s="419">
        <f t="shared" si="549"/>
        <v>0</v>
      </c>
      <c r="CF368" s="414">
        <v>0</v>
      </c>
      <c r="CG368" s="414">
        <v>0</v>
      </c>
      <c r="CH368" s="414">
        <v>0</v>
      </c>
      <c r="CI368" s="414">
        <v>0</v>
      </c>
      <c r="CJ368" s="509">
        <v>0</v>
      </c>
      <c r="CK368" s="53"/>
      <c r="CL368" s="53"/>
    </row>
    <row r="369" spans="1:90" ht="14.1" customHeight="1">
      <c r="A369" s="66">
        <v>73</v>
      </c>
      <c r="B369" s="63">
        <v>2459</v>
      </c>
      <c r="C369" s="64">
        <v>650030583</v>
      </c>
      <c r="D369" s="63">
        <v>72744707</v>
      </c>
      <c r="E369" s="65" t="s">
        <v>679</v>
      </c>
      <c r="F369" s="66">
        <v>3141</v>
      </c>
      <c r="G369" s="65" t="s">
        <v>294</v>
      </c>
      <c r="H369" s="67" t="s">
        <v>272</v>
      </c>
      <c r="I369" s="419">
        <v>1131125</v>
      </c>
      <c r="J369" s="414">
        <v>835642</v>
      </c>
      <c r="K369" s="414">
        <v>0</v>
      </c>
      <c r="L369" s="744">
        <v>835642</v>
      </c>
      <c r="M369" s="414">
        <v>0</v>
      </c>
      <c r="N369" s="204">
        <v>0</v>
      </c>
      <c r="O369" s="204">
        <v>0</v>
      </c>
      <c r="P369" s="595">
        <v>282447</v>
      </c>
      <c r="Q369" s="595">
        <v>8356</v>
      </c>
      <c r="R369" s="601">
        <v>4680</v>
      </c>
      <c r="S369" s="415">
        <v>2.5133000000000001</v>
      </c>
      <c r="T369" s="603">
        <v>0</v>
      </c>
      <c r="U369" s="731">
        <v>2.5133000000000001</v>
      </c>
      <c r="V369" s="423">
        <f t="shared" si="527"/>
        <v>0</v>
      </c>
      <c r="W369" s="417">
        <f t="shared" si="528"/>
        <v>0</v>
      </c>
      <c r="X369" s="417">
        <v>0</v>
      </c>
      <c r="Y369" s="417">
        <v>0</v>
      </c>
      <c r="Z369" s="417">
        <v>0</v>
      </c>
      <c r="AA369" s="417">
        <v>3517</v>
      </c>
      <c r="AB369" s="417">
        <v>0</v>
      </c>
      <c r="AC369" s="417">
        <v>0</v>
      </c>
      <c r="AD369" s="417">
        <v>0</v>
      </c>
      <c r="AE369" s="417">
        <f t="shared" si="529"/>
        <v>0</v>
      </c>
      <c r="AF369" s="417">
        <f t="shared" si="530"/>
        <v>3517</v>
      </c>
      <c r="AG369" s="417">
        <f t="shared" si="531"/>
        <v>3517</v>
      </c>
      <c r="AH369" s="417">
        <v>0</v>
      </c>
      <c r="AI369" s="417">
        <v>0</v>
      </c>
      <c r="AJ369" s="417">
        <v>0</v>
      </c>
      <c r="AK369" s="417">
        <v>0</v>
      </c>
      <c r="AL369" s="417">
        <v>0</v>
      </c>
      <c r="AM369" s="417">
        <f t="shared" si="532"/>
        <v>0</v>
      </c>
      <c r="AN369" s="417">
        <f t="shared" si="533"/>
        <v>0</v>
      </c>
      <c r="AO369" s="417">
        <f t="shared" si="534"/>
        <v>0</v>
      </c>
      <c r="AP369" s="417">
        <f t="shared" si="535"/>
        <v>0</v>
      </c>
      <c r="AQ369" s="417">
        <f t="shared" si="536"/>
        <v>3517</v>
      </c>
      <c r="AR369" s="417">
        <f t="shared" si="537"/>
        <v>3517</v>
      </c>
      <c r="AS369" s="68">
        <f t="shared" si="538"/>
        <v>1189</v>
      </c>
      <c r="AT369" s="68">
        <f t="shared" si="539"/>
        <v>35</v>
      </c>
      <c r="AU369" s="417">
        <v>0</v>
      </c>
      <c r="AV369" s="417">
        <v>0</v>
      </c>
      <c r="AW369" s="417">
        <v>0</v>
      </c>
      <c r="AX369" s="417">
        <f t="shared" si="540"/>
        <v>0</v>
      </c>
      <c r="AY369" s="417">
        <f t="shared" si="541"/>
        <v>4741</v>
      </c>
      <c r="AZ369" s="418">
        <v>0</v>
      </c>
      <c r="BA369" s="418">
        <v>0</v>
      </c>
      <c r="BB369" s="418">
        <v>0</v>
      </c>
      <c r="BC369" s="418">
        <v>0</v>
      </c>
      <c r="BD369" s="418">
        <v>0.01</v>
      </c>
      <c r="BE369" s="418">
        <v>0</v>
      </c>
      <c r="BF369" s="418">
        <v>0</v>
      </c>
      <c r="BG369" s="418">
        <v>0</v>
      </c>
      <c r="BH369" s="418">
        <v>0</v>
      </c>
      <c r="BI369" s="418">
        <f t="shared" si="542"/>
        <v>0</v>
      </c>
      <c r="BJ369" s="418">
        <f t="shared" si="543"/>
        <v>0.01</v>
      </c>
      <c r="BK369" s="420">
        <f t="shared" si="544"/>
        <v>0.01</v>
      </c>
      <c r="BL369" s="772">
        <f t="shared" si="586"/>
        <v>1135866</v>
      </c>
      <c r="BM369" s="417">
        <f t="shared" si="587"/>
        <v>839159</v>
      </c>
      <c r="BN369" s="417">
        <f t="shared" si="588"/>
        <v>0</v>
      </c>
      <c r="BO369" s="417">
        <f t="shared" si="588"/>
        <v>839159</v>
      </c>
      <c r="BP369" s="417">
        <f t="shared" si="589"/>
        <v>0</v>
      </c>
      <c r="BQ369" s="417">
        <f t="shared" si="590"/>
        <v>0</v>
      </c>
      <c r="BR369" s="417">
        <f t="shared" si="590"/>
        <v>0</v>
      </c>
      <c r="BS369" s="417">
        <f t="shared" si="591"/>
        <v>283636</v>
      </c>
      <c r="BT369" s="417">
        <f t="shared" si="591"/>
        <v>8391</v>
      </c>
      <c r="BU369" s="417">
        <f t="shared" si="592"/>
        <v>4680</v>
      </c>
      <c r="BV369" s="418">
        <f t="shared" si="593"/>
        <v>2.5232999999999999</v>
      </c>
      <c r="BW369" s="418">
        <f t="shared" si="594"/>
        <v>0</v>
      </c>
      <c r="BX369" s="420">
        <f t="shared" si="594"/>
        <v>2.5232999999999999</v>
      </c>
      <c r="BY369" s="419"/>
      <c r="BZ369" s="414"/>
      <c r="CA369" s="414"/>
      <c r="CB369" s="414"/>
      <c r="CC369" s="414"/>
      <c r="CD369" s="422"/>
      <c r="CE369" s="419">
        <f t="shared" si="549"/>
        <v>0</v>
      </c>
      <c r="CF369" s="414">
        <v>0</v>
      </c>
      <c r="CG369" s="414">
        <v>0</v>
      </c>
      <c r="CH369" s="414">
        <v>0</v>
      </c>
      <c r="CI369" s="414">
        <v>0</v>
      </c>
      <c r="CJ369" s="509">
        <v>0</v>
      </c>
      <c r="CK369" s="53"/>
      <c r="CL369" s="53"/>
    </row>
    <row r="370" spans="1:90" ht="14.1" customHeight="1">
      <c r="A370" s="66">
        <v>73</v>
      </c>
      <c r="B370" s="63">
        <v>2459</v>
      </c>
      <c r="C370" s="64">
        <v>650030583</v>
      </c>
      <c r="D370" s="63">
        <v>72744707</v>
      </c>
      <c r="E370" s="65" t="s">
        <v>679</v>
      </c>
      <c r="F370" s="66">
        <v>3143</v>
      </c>
      <c r="G370" s="77" t="s">
        <v>595</v>
      </c>
      <c r="H370" s="67" t="s">
        <v>271</v>
      </c>
      <c r="I370" s="419">
        <v>441130</v>
      </c>
      <c r="J370" s="414">
        <v>327248</v>
      </c>
      <c r="K370" s="414">
        <v>327248</v>
      </c>
      <c r="L370" s="414">
        <v>0</v>
      </c>
      <c r="M370" s="414">
        <v>0</v>
      </c>
      <c r="N370" s="414">
        <v>0</v>
      </c>
      <c r="O370" s="414">
        <v>0</v>
      </c>
      <c r="P370" s="595">
        <v>110610</v>
      </c>
      <c r="Q370" s="595">
        <v>3272</v>
      </c>
      <c r="R370" s="414">
        <v>0</v>
      </c>
      <c r="S370" s="415">
        <v>0.66</v>
      </c>
      <c r="T370" s="415">
        <v>0.66</v>
      </c>
      <c r="U370" s="422">
        <v>0</v>
      </c>
      <c r="V370" s="423">
        <f t="shared" si="527"/>
        <v>0</v>
      </c>
      <c r="W370" s="417">
        <f t="shared" si="528"/>
        <v>0</v>
      </c>
      <c r="X370" s="417">
        <v>0</v>
      </c>
      <c r="Y370" s="417">
        <v>0</v>
      </c>
      <c r="Z370" s="417">
        <v>0</v>
      </c>
      <c r="AA370" s="417">
        <v>0</v>
      </c>
      <c r="AB370" s="417">
        <v>0</v>
      </c>
      <c r="AC370" s="417">
        <v>0</v>
      </c>
      <c r="AD370" s="417">
        <v>0</v>
      </c>
      <c r="AE370" s="417">
        <f t="shared" si="529"/>
        <v>0</v>
      </c>
      <c r="AF370" s="417">
        <f t="shared" si="530"/>
        <v>0</v>
      </c>
      <c r="AG370" s="417">
        <f t="shared" si="531"/>
        <v>0</v>
      </c>
      <c r="AH370" s="417">
        <v>0</v>
      </c>
      <c r="AI370" s="417">
        <v>0</v>
      </c>
      <c r="AJ370" s="417">
        <v>0</v>
      </c>
      <c r="AK370" s="417">
        <v>0</v>
      </c>
      <c r="AL370" s="417">
        <v>0</v>
      </c>
      <c r="AM370" s="417">
        <f t="shared" si="532"/>
        <v>0</v>
      </c>
      <c r="AN370" s="417">
        <f t="shared" si="533"/>
        <v>0</v>
      </c>
      <c r="AO370" s="417">
        <f t="shared" si="534"/>
        <v>0</v>
      </c>
      <c r="AP370" s="417">
        <f t="shared" si="535"/>
        <v>0</v>
      </c>
      <c r="AQ370" s="417">
        <f t="shared" si="536"/>
        <v>0</v>
      </c>
      <c r="AR370" s="417">
        <f t="shared" si="537"/>
        <v>0</v>
      </c>
      <c r="AS370" s="68">
        <f t="shared" si="538"/>
        <v>0</v>
      </c>
      <c r="AT370" s="68">
        <f t="shared" si="539"/>
        <v>0</v>
      </c>
      <c r="AU370" s="417">
        <v>0</v>
      </c>
      <c r="AV370" s="417">
        <v>0</v>
      </c>
      <c r="AW370" s="417">
        <v>0</v>
      </c>
      <c r="AX370" s="417">
        <f t="shared" si="540"/>
        <v>0</v>
      </c>
      <c r="AY370" s="417">
        <f t="shared" si="541"/>
        <v>0</v>
      </c>
      <c r="AZ370" s="418">
        <v>0</v>
      </c>
      <c r="BA370" s="418">
        <v>0</v>
      </c>
      <c r="BB370" s="418">
        <v>0</v>
      </c>
      <c r="BC370" s="418">
        <v>0</v>
      </c>
      <c r="BD370" s="418">
        <v>0</v>
      </c>
      <c r="BE370" s="418">
        <v>0</v>
      </c>
      <c r="BF370" s="418">
        <v>0</v>
      </c>
      <c r="BG370" s="418">
        <v>0</v>
      </c>
      <c r="BH370" s="418">
        <v>0</v>
      </c>
      <c r="BI370" s="418">
        <f t="shared" si="542"/>
        <v>0</v>
      </c>
      <c r="BJ370" s="418">
        <f t="shared" si="543"/>
        <v>0</v>
      </c>
      <c r="BK370" s="420">
        <f t="shared" si="544"/>
        <v>0</v>
      </c>
      <c r="BL370" s="772">
        <f t="shared" si="586"/>
        <v>441130</v>
      </c>
      <c r="BM370" s="417">
        <f t="shared" si="587"/>
        <v>327248</v>
      </c>
      <c r="BN370" s="417">
        <f t="shared" si="588"/>
        <v>327248</v>
      </c>
      <c r="BO370" s="417">
        <f t="shared" si="588"/>
        <v>0</v>
      </c>
      <c r="BP370" s="417">
        <f t="shared" si="589"/>
        <v>0</v>
      </c>
      <c r="BQ370" s="417">
        <f t="shared" si="590"/>
        <v>0</v>
      </c>
      <c r="BR370" s="417">
        <f t="shared" si="590"/>
        <v>0</v>
      </c>
      <c r="BS370" s="417">
        <f t="shared" si="591"/>
        <v>110610</v>
      </c>
      <c r="BT370" s="417">
        <f t="shared" si="591"/>
        <v>3272</v>
      </c>
      <c r="BU370" s="417">
        <f t="shared" si="592"/>
        <v>0</v>
      </c>
      <c r="BV370" s="418">
        <f t="shared" si="593"/>
        <v>0.66</v>
      </c>
      <c r="BW370" s="418">
        <f t="shared" si="594"/>
        <v>0.66</v>
      </c>
      <c r="BX370" s="420">
        <f t="shared" si="594"/>
        <v>0</v>
      </c>
      <c r="BY370" s="419"/>
      <c r="BZ370" s="414"/>
      <c r="CA370" s="414"/>
      <c r="CB370" s="414"/>
      <c r="CC370" s="414"/>
      <c r="CD370" s="422"/>
      <c r="CE370" s="419">
        <f t="shared" si="549"/>
        <v>0</v>
      </c>
      <c r="CF370" s="414">
        <v>0</v>
      </c>
      <c r="CG370" s="414">
        <v>0</v>
      </c>
      <c r="CH370" s="414">
        <v>0</v>
      </c>
      <c r="CI370" s="414">
        <v>0</v>
      </c>
      <c r="CJ370" s="509">
        <v>0</v>
      </c>
      <c r="CK370" s="53"/>
      <c r="CL370" s="53"/>
    </row>
    <row r="371" spans="1:90" ht="14.1" customHeight="1">
      <c r="A371" s="66">
        <v>73</v>
      </c>
      <c r="B371" s="63">
        <v>2459</v>
      </c>
      <c r="C371" s="64">
        <v>650030583</v>
      </c>
      <c r="D371" s="63">
        <v>72744707</v>
      </c>
      <c r="E371" s="65" t="s">
        <v>679</v>
      </c>
      <c r="F371" s="66">
        <v>3143</v>
      </c>
      <c r="G371" s="77" t="s">
        <v>596</v>
      </c>
      <c r="H371" s="67" t="s">
        <v>272</v>
      </c>
      <c r="I371" s="419">
        <v>20747</v>
      </c>
      <c r="J371" s="414">
        <v>14850</v>
      </c>
      <c r="K371" s="414">
        <v>0</v>
      </c>
      <c r="L371" s="601">
        <v>14850</v>
      </c>
      <c r="M371" s="414">
        <v>0</v>
      </c>
      <c r="N371" s="414">
        <v>0</v>
      </c>
      <c r="O371" s="414">
        <v>0</v>
      </c>
      <c r="P371" s="595">
        <v>5019</v>
      </c>
      <c r="Q371" s="595">
        <v>149</v>
      </c>
      <c r="R371" s="602">
        <v>729</v>
      </c>
      <c r="S371" s="415">
        <v>5.7499999999999996E-2</v>
      </c>
      <c r="T371" s="605">
        <v>0</v>
      </c>
      <c r="U371" s="731">
        <v>5.7499999999999996E-2</v>
      </c>
      <c r="V371" s="423">
        <f t="shared" si="527"/>
        <v>0</v>
      </c>
      <c r="W371" s="417">
        <f t="shared" si="528"/>
        <v>0</v>
      </c>
      <c r="X371" s="417">
        <v>0</v>
      </c>
      <c r="Y371" s="417">
        <v>0</v>
      </c>
      <c r="Z371" s="417">
        <v>0</v>
      </c>
      <c r="AA371" s="417">
        <v>0</v>
      </c>
      <c r="AB371" s="417">
        <v>0</v>
      </c>
      <c r="AC371" s="417">
        <v>0</v>
      </c>
      <c r="AD371" s="417">
        <v>0</v>
      </c>
      <c r="AE371" s="417">
        <f t="shared" si="529"/>
        <v>0</v>
      </c>
      <c r="AF371" s="417">
        <f t="shared" si="530"/>
        <v>0</v>
      </c>
      <c r="AG371" s="417">
        <f t="shared" si="531"/>
        <v>0</v>
      </c>
      <c r="AH371" s="417">
        <v>0</v>
      </c>
      <c r="AI371" s="417">
        <v>0</v>
      </c>
      <c r="AJ371" s="417">
        <v>0</v>
      </c>
      <c r="AK371" s="417">
        <v>0</v>
      </c>
      <c r="AL371" s="417">
        <v>0</v>
      </c>
      <c r="AM371" s="417">
        <f t="shared" si="532"/>
        <v>0</v>
      </c>
      <c r="AN371" s="417">
        <f t="shared" si="533"/>
        <v>0</v>
      </c>
      <c r="AO371" s="417">
        <f t="shared" si="534"/>
        <v>0</v>
      </c>
      <c r="AP371" s="417">
        <f t="shared" si="535"/>
        <v>0</v>
      </c>
      <c r="AQ371" s="417">
        <f t="shared" si="536"/>
        <v>0</v>
      </c>
      <c r="AR371" s="417">
        <f t="shared" si="537"/>
        <v>0</v>
      </c>
      <c r="AS371" s="68">
        <f t="shared" si="538"/>
        <v>0</v>
      </c>
      <c r="AT371" s="68">
        <f t="shared" si="539"/>
        <v>0</v>
      </c>
      <c r="AU371" s="417">
        <v>0</v>
      </c>
      <c r="AV371" s="417">
        <v>0</v>
      </c>
      <c r="AW371" s="417">
        <v>0</v>
      </c>
      <c r="AX371" s="417">
        <f t="shared" si="540"/>
        <v>0</v>
      </c>
      <c r="AY371" s="417">
        <f t="shared" si="541"/>
        <v>0</v>
      </c>
      <c r="AZ371" s="418">
        <v>0</v>
      </c>
      <c r="BA371" s="418">
        <v>0</v>
      </c>
      <c r="BB371" s="418">
        <v>0</v>
      </c>
      <c r="BC371" s="418">
        <v>0</v>
      </c>
      <c r="BD371" s="418">
        <v>0</v>
      </c>
      <c r="BE371" s="418">
        <v>0</v>
      </c>
      <c r="BF371" s="418">
        <v>0</v>
      </c>
      <c r="BG371" s="418">
        <v>0</v>
      </c>
      <c r="BH371" s="418">
        <v>0</v>
      </c>
      <c r="BI371" s="418">
        <f t="shared" si="542"/>
        <v>0</v>
      </c>
      <c r="BJ371" s="418">
        <f t="shared" si="543"/>
        <v>0</v>
      </c>
      <c r="BK371" s="420">
        <f t="shared" si="544"/>
        <v>0</v>
      </c>
      <c r="BL371" s="772">
        <f t="shared" si="586"/>
        <v>20747</v>
      </c>
      <c r="BM371" s="417">
        <f t="shared" si="587"/>
        <v>14850</v>
      </c>
      <c r="BN371" s="417">
        <f t="shared" si="588"/>
        <v>0</v>
      </c>
      <c r="BO371" s="417">
        <f t="shared" si="588"/>
        <v>14850</v>
      </c>
      <c r="BP371" s="417">
        <f t="shared" si="589"/>
        <v>0</v>
      </c>
      <c r="BQ371" s="417">
        <f t="shared" si="590"/>
        <v>0</v>
      </c>
      <c r="BR371" s="417">
        <f t="shared" si="590"/>
        <v>0</v>
      </c>
      <c r="BS371" s="417">
        <f t="shared" si="591"/>
        <v>5019</v>
      </c>
      <c r="BT371" s="417">
        <f t="shared" si="591"/>
        <v>149</v>
      </c>
      <c r="BU371" s="417">
        <f t="shared" si="592"/>
        <v>729</v>
      </c>
      <c r="BV371" s="418">
        <f t="shared" si="593"/>
        <v>5.7499999999999996E-2</v>
      </c>
      <c r="BW371" s="418">
        <f t="shared" si="594"/>
        <v>0</v>
      </c>
      <c r="BX371" s="420">
        <f t="shared" si="594"/>
        <v>5.7499999999999996E-2</v>
      </c>
      <c r="BY371" s="419"/>
      <c r="BZ371" s="414"/>
      <c r="CA371" s="414"/>
      <c r="CB371" s="414"/>
      <c r="CC371" s="414"/>
      <c r="CD371" s="422"/>
      <c r="CE371" s="419">
        <f t="shared" si="549"/>
        <v>0</v>
      </c>
      <c r="CF371" s="414">
        <v>0</v>
      </c>
      <c r="CG371" s="414">
        <v>0</v>
      </c>
      <c r="CH371" s="414">
        <v>0</v>
      </c>
      <c r="CI371" s="414">
        <v>0</v>
      </c>
      <c r="CJ371" s="509">
        <v>0</v>
      </c>
      <c r="CK371" s="53"/>
      <c r="CL371" s="53"/>
    </row>
    <row r="372" spans="1:90" ht="14.1" customHeight="1">
      <c r="A372" s="72">
        <v>73</v>
      </c>
      <c r="B372" s="69">
        <v>2459</v>
      </c>
      <c r="C372" s="70">
        <v>650030583</v>
      </c>
      <c r="D372" s="69">
        <v>72744707</v>
      </c>
      <c r="E372" s="71" t="s">
        <v>680</v>
      </c>
      <c r="F372" s="72"/>
      <c r="G372" s="71"/>
      <c r="H372" s="73"/>
      <c r="I372" s="516">
        <v>12083826</v>
      </c>
      <c r="J372" s="74">
        <v>8881338</v>
      </c>
      <c r="K372" s="74">
        <v>7091533</v>
      </c>
      <c r="L372" s="74">
        <v>1789805</v>
      </c>
      <c r="M372" s="74">
        <v>0</v>
      </c>
      <c r="N372" s="74">
        <v>0</v>
      </c>
      <c r="O372" s="74">
        <v>0</v>
      </c>
      <c r="P372" s="74">
        <v>3001891</v>
      </c>
      <c r="Q372" s="74">
        <v>88813</v>
      </c>
      <c r="R372" s="74">
        <v>111784</v>
      </c>
      <c r="S372" s="75">
        <v>17.276800000000001</v>
      </c>
      <c r="T372" s="75">
        <v>11.9245</v>
      </c>
      <c r="U372" s="653">
        <v>5.3523000000000005</v>
      </c>
      <c r="V372" s="516">
        <f t="shared" ref="V372:BX372" si="595">SUM(V366:V371)</f>
        <v>0</v>
      </c>
      <c r="W372" s="74">
        <f t="shared" si="595"/>
        <v>0</v>
      </c>
      <c r="X372" s="74">
        <f t="shared" si="595"/>
        <v>16488</v>
      </c>
      <c r="Y372" s="74">
        <f t="shared" si="595"/>
        <v>0</v>
      </c>
      <c r="Z372" s="74">
        <f t="shared" si="595"/>
        <v>-83707</v>
      </c>
      <c r="AA372" s="74">
        <f t="shared" si="595"/>
        <v>3517</v>
      </c>
      <c r="AB372" s="74">
        <f t="shared" si="595"/>
        <v>0</v>
      </c>
      <c r="AC372" s="74">
        <f t="shared" si="595"/>
        <v>0</v>
      </c>
      <c r="AD372" s="74">
        <f t="shared" si="595"/>
        <v>0</v>
      </c>
      <c r="AE372" s="74">
        <f t="shared" si="595"/>
        <v>-67219</v>
      </c>
      <c r="AF372" s="74">
        <f t="shared" si="595"/>
        <v>3517</v>
      </c>
      <c r="AG372" s="74">
        <f t="shared" si="595"/>
        <v>-63702</v>
      </c>
      <c r="AH372" s="74">
        <f t="shared" si="595"/>
        <v>0</v>
      </c>
      <c r="AI372" s="74">
        <f t="shared" si="595"/>
        <v>0</v>
      </c>
      <c r="AJ372" s="74">
        <f t="shared" si="595"/>
        <v>0</v>
      </c>
      <c r="AK372" s="74">
        <f t="shared" si="595"/>
        <v>0</v>
      </c>
      <c r="AL372" s="74">
        <f t="shared" si="595"/>
        <v>0</v>
      </c>
      <c r="AM372" s="74">
        <f t="shared" si="595"/>
        <v>0</v>
      </c>
      <c r="AN372" s="74">
        <f t="shared" si="595"/>
        <v>0</v>
      </c>
      <c r="AO372" s="74">
        <f t="shared" si="595"/>
        <v>0</v>
      </c>
      <c r="AP372" s="74">
        <f t="shared" si="595"/>
        <v>-67219</v>
      </c>
      <c r="AQ372" s="74">
        <f t="shared" si="595"/>
        <v>3517</v>
      </c>
      <c r="AR372" s="74">
        <f t="shared" si="595"/>
        <v>-63702</v>
      </c>
      <c r="AS372" s="74">
        <f t="shared" si="595"/>
        <v>-21531</v>
      </c>
      <c r="AT372" s="74">
        <f t="shared" si="595"/>
        <v>-637</v>
      </c>
      <c r="AU372" s="74">
        <f t="shared" si="595"/>
        <v>0</v>
      </c>
      <c r="AV372" s="74">
        <f t="shared" si="595"/>
        <v>0</v>
      </c>
      <c r="AW372" s="74">
        <f t="shared" si="595"/>
        <v>0</v>
      </c>
      <c r="AX372" s="74">
        <f t="shared" si="595"/>
        <v>0</v>
      </c>
      <c r="AY372" s="74">
        <f t="shared" si="595"/>
        <v>-85870</v>
      </c>
      <c r="AZ372" s="75">
        <f t="shared" si="595"/>
        <v>0</v>
      </c>
      <c r="BA372" s="75">
        <f t="shared" si="595"/>
        <v>0</v>
      </c>
      <c r="BB372" s="75">
        <f t="shared" si="595"/>
        <v>0.04</v>
      </c>
      <c r="BC372" s="75">
        <f t="shared" si="595"/>
        <v>-0.15</v>
      </c>
      <c r="BD372" s="75">
        <f t="shared" si="595"/>
        <v>0.01</v>
      </c>
      <c r="BE372" s="75">
        <f t="shared" si="595"/>
        <v>0</v>
      </c>
      <c r="BF372" s="75">
        <f t="shared" si="595"/>
        <v>0</v>
      </c>
      <c r="BG372" s="75">
        <f t="shared" si="595"/>
        <v>0</v>
      </c>
      <c r="BH372" s="75">
        <f t="shared" si="595"/>
        <v>0</v>
      </c>
      <c r="BI372" s="75">
        <f t="shared" si="595"/>
        <v>-0.10999999999999999</v>
      </c>
      <c r="BJ372" s="75">
        <f t="shared" si="595"/>
        <v>0.01</v>
      </c>
      <c r="BK372" s="76">
        <f t="shared" si="595"/>
        <v>-9.9999999999999992E-2</v>
      </c>
      <c r="BL372" s="781">
        <f t="shared" si="595"/>
        <v>11997956</v>
      </c>
      <c r="BM372" s="74">
        <f t="shared" si="595"/>
        <v>8817636</v>
      </c>
      <c r="BN372" s="74">
        <f t="shared" si="595"/>
        <v>7024314</v>
      </c>
      <c r="BO372" s="74">
        <f t="shared" si="595"/>
        <v>1793322</v>
      </c>
      <c r="BP372" s="74">
        <f t="shared" si="595"/>
        <v>0</v>
      </c>
      <c r="BQ372" s="74">
        <f t="shared" si="595"/>
        <v>0</v>
      </c>
      <c r="BR372" s="74">
        <f t="shared" si="595"/>
        <v>0</v>
      </c>
      <c r="BS372" s="74">
        <f t="shared" si="595"/>
        <v>2980360</v>
      </c>
      <c r="BT372" s="74">
        <f t="shared" si="595"/>
        <v>88176</v>
      </c>
      <c r="BU372" s="74">
        <f t="shared" si="595"/>
        <v>111784</v>
      </c>
      <c r="BV372" s="75">
        <f t="shared" si="595"/>
        <v>17.1768</v>
      </c>
      <c r="BW372" s="75">
        <f t="shared" si="595"/>
        <v>11.814500000000001</v>
      </c>
      <c r="BX372" s="76">
        <f t="shared" si="595"/>
        <v>5.3623000000000003</v>
      </c>
      <c r="BY372" s="791">
        <f t="shared" ref="BY372:CJ372" si="596">SUM(BY366:BY371)</f>
        <v>0</v>
      </c>
      <c r="BZ372" s="679">
        <f t="shared" si="596"/>
        <v>0</v>
      </c>
      <c r="CA372" s="679">
        <f t="shared" si="596"/>
        <v>0</v>
      </c>
      <c r="CB372" s="679">
        <f t="shared" si="596"/>
        <v>0</v>
      </c>
      <c r="CC372" s="679">
        <f t="shared" si="596"/>
        <v>0</v>
      </c>
      <c r="CD372" s="947">
        <f t="shared" si="596"/>
        <v>0</v>
      </c>
      <c r="CE372" s="956">
        <f t="shared" si="596"/>
        <v>427584</v>
      </c>
      <c r="CF372" s="953">
        <f t="shared" si="596"/>
        <v>301478</v>
      </c>
      <c r="CG372" s="953">
        <f t="shared" si="596"/>
        <v>101900</v>
      </c>
      <c r="CH372" s="953">
        <f t="shared" si="596"/>
        <v>3015</v>
      </c>
      <c r="CI372" s="953">
        <f t="shared" si="596"/>
        <v>21191</v>
      </c>
      <c r="CJ372" s="877">
        <f t="shared" si="596"/>
        <v>0.89280000000000004</v>
      </c>
      <c r="CK372" s="53"/>
      <c r="CL372" s="53"/>
    </row>
    <row r="373" spans="1:90" ht="14.1" customHeight="1">
      <c r="A373" s="66">
        <v>74</v>
      </c>
      <c r="B373" s="63">
        <v>2405</v>
      </c>
      <c r="C373" s="64">
        <v>600079023</v>
      </c>
      <c r="D373" s="63">
        <v>72741881</v>
      </c>
      <c r="E373" s="65" t="s">
        <v>681</v>
      </c>
      <c r="F373" s="66">
        <v>3111</v>
      </c>
      <c r="G373" s="65" t="s">
        <v>290</v>
      </c>
      <c r="H373" s="67" t="s">
        <v>271</v>
      </c>
      <c r="I373" s="419">
        <v>15107522</v>
      </c>
      <c r="J373" s="414">
        <v>11154467</v>
      </c>
      <c r="K373" s="414">
        <v>9719965</v>
      </c>
      <c r="L373" s="414">
        <v>1434502</v>
      </c>
      <c r="M373" s="414">
        <v>0</v>
      </c>
      <c r="N373" s="414">
        <v>0</v>
      </c>
      <c r="O373" s="414">
        <v>0</v>
      </c>
      <c r="P373" s="595">
        <v>3770210</v>
      </c>
      <c r="Q373" s="595">
        <v>111545</v>
      </c>
      <c r="R373" s="414">
        <v>71300</v>
      </c>
      <c r="S373" s="415">
        <v>21.657400000000003</v>
      </c>
      <c r="T373" s="415">
        <v>16.709700000000002</v>
      </c>
      <c r="U373" s="422">
        <v>4.9476999999999993</v>
      </c>
      <c r="V373" s="423">
        <f t="shared" si="527"/>
        <v>0</v>
      </c>
      <c r="W373" s="417">
        <f t="shared" si="528"/>
        <v>0</v>
      </c>
      <c r="X373" s="417">
        <v>0</v>
      </c>
      <c r="Y373" s="417">
        <v>0</v>
      </c>
      <c r="Z373" s="417">
        <v>0</v>
      </c>
      <c r="AA373" s="417">
        <v>0</v>
      </c>
      <c r="AB373" s="417">
        <v>0</v>
      </c>
      <c r="AC373" s="417">
        <v>0</v>
      </c>
      <c r="AD373" s="417">
        <v>0</v>
      </c>
      <c r="AE373" s="417">
        <f t="shared" si="529"/>
        <v>0</v>
      </c>
      <c r="AF373" s="417">
        <f t="shared" si="530"/>
        <v>0</v>
      </c>
      <c r="AG373" s="417">
        <f t="shared" si="531"/>
        <v>0</v>
      </c>
      <c r="AH373" s="417">
        <v>0</v>
      </c>
      <c r="AI373" s="417">
        <v>0</v>
      </c>
      <c r="AJ373" s="417">
        <v>0</v>
      </c>
      <c r="AK373" s="417">
        <v>0</v>
      </c>
      <c r="AL373" s="417">
        <v>0</v>
      </c>
      <c r="AM373" s="417">
        <f t="shared" si="532"/>
        <v>0</v>
      </c>
      <c r="AN373" s="417">
        <f t="shared" si="533"/>
        <v>0</v>
      </c>
      <c r="AO373" s="417">
        <f t="shared" si="534"/>
        <v>0</v>
      </c>
      <c r="AP373" s="417">
        <f t="shared" si="535"/>
        <v>0</v>
      </c>
      <c r="AQ373" s="417">
        <f t="shared" si="536"/>
        <v>0</v>
      </c>
      <c r="AR373" s="417">
        <f t="shared" si="537"/>
        <v>0</v>
      </c>
      <c r="AS373" s="68">
        <f t="shared" si="538"/>
        <v>0</v>
      </c>
      <c r="AT373" s="68">
        <f t="shared" si="539"/>
        <v>0</v>
      </c>
      <c r="AU373" s="417">
        <v>0</v>
      </c>
      <c r="AV373" s="417">
        <v>0</v>
      </c>
      <c r="AW373" s="417">
        <v>0</v>
      </c>
      <c r="AX373" s="417">
        <f t="shared" si="540"/>
        <v>0</v>
      </c>
      <c r="AY373" s="417">
        <f t="shared" si="541"/>
        <v>0</v>
      </c>
      <c r="AZ373" s="418">
        <v>0</v>
      </c>
      <c r="BA373" s="418">
        <v>0</v>
      </c>
      <c r="BB373" s="418">
        <v>0</v>
      </c>
      <c r="BC373" s="418">
        <v>0</v>
      </c>
      <c r="BD373" s="418">
        <v>0</v>
      </c>
      <c r="BE373" s="418">
        <v>0</v>
      </c>
      <c r="BF373" s="418">
        <v>0</v>
      </c>
      <c r="BG373" s="418">
        <v>0</v>
      </c>
      <c r="BH373" s="418">
        <v>0</v>
      </c>
      <c r="BI373" s="418">
        <f t="shared" si="542"/>
        <v>0</v>
      </c>
      <c r="BJ373" s="418">
        <f t="shared" si="543"/>
        <v>0</v>
      </c>
      <c r="BK373" s="420">
        <f t="shared" si="544"/>
        <v>0</v>
      </c>
      <c r="BL373" s="772">
        <f>I373+AY373</f>
        <v>15107522</v>
      </c>
      <c r="BM373" s="417">
        <f>J373+AG373</f>
        <v>11154467</v>
      </c>
      <c r="BN373" s="417">
        <f t="shared" ref="BN373:BO375" si="597">K373+AE373</f>
        <v>9719965</v>
      </c>
      <c r="BO373" s="417">
        <f t="shared" si="597"/>
        <v>1434502</v>
      </c>
      <c r="BP373" s="417">
        <f>M373+AO373</f>
        <v>0</v>
      </c>
      <c r="BQ373" s="417">
        <f t="shared" ref="BQ373:BR375" si="598">N373+AM373</f>
        <v>0</v>
      </c>
      <c r="BR373" s="417">
        <f t="shared" si="598"/>
        <v>0</v>
      </c>
      <c r="BS373" s="417">
        <f t="shared" ref="BS373:BT375" si="599">P373+AS373</f>
        <v>3770210</v>
      </c>
      <c r="BT373" s="417">
        <f t="shared" si="599"/>
        <v>111545</v>
      </c>
      <c r="BU373" s="417">
        <f>R373+AX373</f>
        <v>71300</v>
      </c>
      <c r="BV373" s="418">
        <f>S373+BK373</f>
        <v>21.657400000000003</v>
      </c>
      <c r="BW373" s="418">
        <f t="shared" ref="BW373:BX375" si="600">T373+BI373</f>
        <v>16.709700000000002</v>
      </c>
      <c r="BX373" s="420">
        <f t="shared" si="600"/>
        <v>4.9476999999999993</v>
      </c>
      <c r="BY373" s="419"/>
      <c r="BZ373" s="414"/>
      <c r="CA373" s="414"/>
      <c r="CB373" s="414"/>
      <c r="CC373" s="414"/>
      <c r="CD373" s="422"/>
      <c r="CE373" s="419">
        <f t="shared" si="549"/>
        <v>644194</v>
      </c>
      <c r="CF373" s="414">
        <v>460299</v>
      </c>
      <c r="CG373" s="414">
        <v>155581</v>
      </c>
      <c r="CH373" s="414">
        <v>4603</v>
      </c>
      <c r="CI373" s="414">
        <v>23711</v>
      </c>
      <c r="CJ373" s="509">
        <v>1.5876000000000001</v>
      </c>
    </row>
    <row r="374" spans="1:90" ht="14.1" customHeight="1">
      <c r="A374" s="66">
        <v>74</v>
      </c>
      <c r="B374" s="63">
        <v>2405</v>
      </c>
      <c r="C374" s="64">
        <v>600079023</v>
      </c>
      <c r="D374" s="63">
        <v>72741881</v>
      </c>
      <c r="E374" s="65" t="s">
        <v>681</v>
      </c>
      <c r="F374" s="66">
        <v>3111</v>
      </c>
      <c r="G374" s="77" t="s">
        <v>291</v>
      </c>
      <c r="H374" s="67" t="s">
        <v>272</v>
      </c>
      <c r="I374" s="419">
        <v>462350</v>
      </c>
      <c r="J374" s="414">
        <v>340764</v>
      </c>
      <c r="K374" s="414">
        <v>340764</v>
      </c>
      <c r="L374" s="414">
        <v>0</v>
      </c>
      <c r="M374" s="414">
        <v>0</v>
      </c>
      <c r="N374" s="414">
        <v>0</v>
      </c>
      <c r="O374" s="414">
        <v>0</v>
      </c>
      <c r="P374" s="595">
        <v>115178</v>
      </c>
      <c r="Q374" s="595">
        <v>3408</v>
      </c>
      <c r="R374" s="414">
        <v>3000</v>
      </c>
      <c r="S374" s="415">
        <v>0.92999999999999994</v>
      </c>
      <c r="T374" s="416">
        <v>0.92999999999999994</v>
      </c>
      <c r="U374" s="422">
        <v>0</v>
      </c>
      <c r="V374" s="423">
        <f t="shared" si="527"/>
        <v>0</v>
      </c>
      <c r="W374" s="417">
        <f t="shared" si="528"/>
        <v>0</v>
      </c>
      <c r="X374" s="417">
        <v>0</v>
      </c>
      <c r="Y374" s="417">
        <v>0</v>
      </c>
      <c r="Z374" s="417">
        <v>0</v>
      </c>
      <c r="AA374" s="417">
        <v>0</v>
      </c>
      <c r="AB374" s="417">
        <v>0</v>
      </c>
      <c r="AC374" s="417">
        <v>0</v>
      </c>
      <c r="AD374" s="417">
        <v>0</v>
      </c>
      <c r="AE374" s="417">
        <f t="shared" si="529"/>
        <v>0</v>
      </c>
      <c r="AF374" s="417">
        <f t="shared" si="530"/>
        <v>0</v>
      </c>
      <c r="AG374" s="417">
        <f t="shared" si="531"/>
        <v>0</v>
      </c>
      <c r="AH374" s="417">
        <v>0</v>
      </c>
      <c r="AI374" s="417">
        <v>0</v>
      </c>
      <c r="AJ374" s="417">
        <v>0</v>
      </c>
      <c r="AK374" s="417">
        <v>0</v>
      </c>
      <c r="AL374" s="417">
        <v>0</v>
      </c>
      <c r="AM374" s="417">
        <f t="shared" si="532"/>
        <v>0</v>
      </c>
      <c r="AN374" s="417">
        <f t="shared" si="533"/>
        <v>0</v>
      </c>
      <c r="AO374" s="417">
        <f t="shared" si="534"/>
        <v>0</v>
      </c>
      <c r="AP374" s="417">
        <f t="shared" si="535"/>
        <v>0</v>
      </c>
      <c r="AQ374" s="417">
        <f t="shared" si="536"/>
        <v>0</v>
      </c>
      <c r="AR374" s="417">
        <f t="shared" si="537"/>
        <v>0</v>
      </c>
      <c r="AS374" s="68">
        <f t="shared" si="538"/>
        <v>0</v>
      </c>
      <c r="AT374" s="68">
        <f t="shared" si="539"/>
        <v>0</v>
      </c>
      <c r="AU374" s="417">
        <v>0</v>
      </c>
      <c r="AV374" s="417">
        <v>0</v>
      </c>
      <c r="AW374" s="417">
        <v>0</v>
      </c>
      <c r="AX374" s="417">
        <f t="shared" si="540"/>
        <v>0</v>
      </c>
      <c r="AY374" s="417">
        <f t="shared" si="541"/>
        <v>0</v>
      </c>
      <c r="AZ374" s="418">
        <v>0</v>
      </c>
      <c r="BA374" s="418">
        <v>0</v>
      </c>
      <c r="BB374" s="418">
        <v>0</v>
      </c>
      <c r="BC374" s="418">
        <v>0</v>
      </c>
      <c r="BD374" s="418">
        <v>0</v>
      </c>
      <c r="BE374" s="418">
        <v>0</v>
      </c>
      <c r="BF374" s="418">
        <v>0</v>
      </c>
      <c r="BG374" s="418">
        <v>0</v>
      </c>
      <c r="BH374" s="418">
        <v>0</v>
      </c>
      <c r="BI374" s="418">
        <f t="shared" si="542"/>
        <v>0</v>
      </c>
      <c r="BJ374" s="418">
        <f t="shared" si="543"/>
        <v>0</v>
      </c>
      <c r="BK374" s="420">
        <f t="shared" si="544"/>
        <v>0</v>
      </c>
      <c r="BL374" s="772">
        <f>I374+AY374</f>
        <v>462350</v>
      </c>
      <c r="BM374" s="417">
        <f>J374+AG374</f>
        <v>340764</v>
      </c>
      <c r="BN374" s="417">
        <f t="shared" si="597"/>
        <v>340764</v>
      </c>
      <c r="BO374" s="417">
        <f t="shared" si="597"/>
        <v>0</v>
      </c>
      <c r="BP374" s="417">
        <f>M374+AO374</f>
        <v>0</v>
      </c>
      <c r="BQ374" s="417">
        <f t="shared" si="598"/>
        <v>0</v>
      </c>
      <c r="BR374" s="417">
        <f t="shared" si="598"/>
        <v>0</v>
      </c>
      <c r="BS374" s="417">
        <f t="shared" si="599"/>
        <v>115178</v>
      </c>
      <c r="BT374" s="417">
        <f t="shared" si="599"/>
        <v>3408</v>
      </c>
      <c r="BU374" s="417">
        <f>R374+AX374</f>
        <v>3000</v>
      </c>
      <c r="BV374" s="418">
        <f>S374+BK374</f>
        <v>0.92999999999999994</v>
      </c>
      <c r="BW374" s="418">
        <f t="shared" si="600"/>
        <v>0.92999999999999994</v>
      </c>
      <c r="BX374" s="420">
        <f t="shared" si="600"/>
        <v>0</v>
      </c>
      <c r="BY374" s="419"/>
      <c r="BZ374" s="414"/>
      <c r="CA374" s="414"/>
      <c r="CB374" s="414"/>
      <c r="CC374" s="414"/>
      <c r="CD374" s="422"/>
      <c r="CE374" s="419">
        <f t="shared" si="549"/>
        <v>0</v>
      </c>
      <c r="CF374" s="414">
        <v>0</v>
      </c>
      <c r="CG374" s="414">
        <v>0</v>
      </c>
      <c r="CH374" s="414">
        <v>0</v>
      </c>
      <c r="CI374" s="414">
        <v>0</v>
      </c>
      <c r="CJ374" s="509">
        <v>0</v>
      </c>
    </row>
    <row r="375" spans="1:90" ht="14.1" customHeight="1">
      <c r="A375" s="66">
        <v>74</v>
      </c>
      <c r="B375" s="63">
        <v>2405</v>
      </c>
      <c r="C375" s="64">
        <v>600079023</v>
      </c>
      <c r="D375" s="63">
        <v>72741881</v>
      </c>
      <c r="E375" s="65" t="s">
        <v>681</v>
      </c>
      <c r="F375" s="66">
        <v>3141</v>
      </c>
      <c r="G375" s="65" t="s">
        <v>294</v>
      </c>
      <c r="H375" s="67" t="s">
        <v>272</v>
      </c>
      <c r="I375" s="419">
        <v>1279191</v>
      </c>
      <c r="J375" s="414">
        <v>944156</v>
      </c>
      <c r="K375" s="414">
        <v>0</v>
      </c>
      <c r="L375" s="744">
        <v>944156</v>
      </c>
      <c r="M375" s="414">
        <v>0</v>
      </c>
      <c r="N375" s="204">
        <v>0</v>
      </c>
      <c r="O375" s="204">
        <v>0</v>
      </c>
      <c r="P375" s="595">
        <v>319124</v>
      </c>
      <c r="Q375" s="595">
        <v>9441</v>
      </c>
      <c r="R375" s="601">
        <v>6470</v>
      </c>
      <c r="S375" s="415">
        <v>2.8266</v>
      </c>
      <c r="T375" s="603">
        <v>0</v>
      </c>
      <c r="U375" s="731">
        <v>2.8266</v>
      </c>
      <c r="V375" s="423">
        <f t="shared" si="527"/>
        <v>0</v>
      </c>
      <c r="W375" s="417">
        <f t="shared" si="528"/>
        <v>0</v>
      </c>
      <c r="X375" s="417">
        <v>0</v>
      </c>
      <c r="Y375" s="417">
        <v>0</v>
      </c>
      <c r="Z375" s="417">
        <v>0</v>
      </c>
      <c r="AA375" s="417">
        <v>-17057</v>
      </c>
      <c r="AB375" s="417">
        <v>0</v>
      </c>
      <c r="AC375" s="417">
        <v>0</v>
      </c>
      <c r="AD375" s="417">
        <v>0</v>
      </c>
      <c r="AE375" s="417">
        <f t="shared" si="529"/>
        <v>0</v>
      </c>
      <c r="AF375" s="417">
        <f t="shared" si="530"/>
        <v>-17057</v>
      </c>
      <c r="AG375" s="417">
        <f t="shared" si="531"/>
        <v>-17057</v>
      </c>
      <c r="AH375" s="417">
        <v>0</v>
      </c>
      <c r="AI375" s="417">
        <v>0</v>
      </c>
      <c r="AJ375" s="417">
        <v>0</v>
      </c>
      <c r="AK375" s="417">
        <v>0</v>
      </c>
      <c r="AL375" s="417">
        <v>0</v>
      </c>
      <c r="AM375" s="417">
        <f t="shared" si="532"/>
        <v>0</v>
      </c>
      <c r="AN375" s="417">
        <f t="shared" si="533"/>
        <v>0</v>
      </c>
      <c r="AO375" s="417">
        <f t="shared" si="534"/>
        <v>0</v>
      </c>
      <c r="AP375" s="417">
        <f t="shared" si="535"/>
        <v>0</v>
      </c>
      <c r="AQ375" s="417">
        <f t="shared" si="536"/>
        <v>-17057</v>
      </c>
      <c r="AR375" s="417">
        <f t="shared" si="537"/>
        <v>-17057</v>
      </c>
      <c r="AS375" s="68">
        <f t="shared" si="538"/>
        <v>-5765</v>
      </c>
      <c r="AT375" s="68">
        <f t="shared" si="539"/>
        <v>-171</v>
      </c>
      <c r="AU375" s="417">
        <v>0</v>
      </c>
      <c r="AV375" s="417">
        <v>0</v>
      </c>
      <c r="AW375" s="417">
        <v>0</v>
      </c>
      <c r="AX375" s="417">
        <f t="shared" si="540"/>
        <v>0</v>
      </c>
      <c r="AY375" s="417">
        <f t="shared" si="541"/>
        <v>-22993</v>
      </c>
      <c r="AZ375" s="418">
        <v>0</v>
      </c>
      <c r="BA375" s="418">
        <v>0</v>
      </c>
      <c r="BB375" s="418">
        <v>0</v>
      </c>
      <c r="BC375" s="418">
        <v>0</v>
      </c>
      <c r="BD375" s="418">
        <v>-0.06</v>
      </c>
      <c r="BE375" s="418">
        <v>0</v>
      </c>
      <c r="BF375" s="418">
        <v>0</v>
      </c>
      <c r="BG375" s="418">
        <v>0</v>
      </c>
      <c r="BH375" s="418">
        <v>0</v>
      </c>
      <c r="BI375" s="418">
        <f t="shared" si="542"/>
        <v>0</v>
      </c>
      <c r="BJ375" s="418">
        <f t="shared" si="543"/>
        <v>-0.06</v>
      </c>
      <c r="BK375" s="420">
        <f t="shared" si="544"/>
        <v>-0.06</v>
      </c>
      <c r="BL375" s="772">
        <f>I375+AY375</f>
        <v>1256198</v>
      </c>
      <c r="BM375" s="417">
        <f>J375+AG375</f>
        <v>927099</v>
      </c>
      <c r="BN375" s="417">
        <f t="shared" si="597"/>
        <v>0</v>
      </c>
      <c r="BO375" s="417">
        <f t="shared" si="597"/>
        <v>927099</v>
      </c>
      <c r="BP375" s="417">
        <f>M375+AO375</f>
        <v>0</v>
      </c>
      <c r="BQ375" s="417">
        <f t="shared" si="598"/>
        <v>0</v>
      </c>
      <c r="BR375" s="417">
        <f t="shared" si="598"/>
        <v>0</v>
      </c>
      <c r="BS375" s="417">
        <f t="shared" si="599"/>
        <v>313359</v>
      </c>
      <c r="BT375" s="417">
        <f t="shared" si="599"/>
        <v>9270</v>
      </c>
      <c r="BU375" s="417">
        <f>R375+AX375</f>
        <v>6470</v>
      </c>
      <c r="BV375" s="418">
        <f>S375+BK375</f>
        <v>2.7665999999999999</v>
      </c>
      <c r="BW375" s="418">
        <f t="shared" si="600"/>
        <v>0</v>
      </c>
      <c r="BX375" s="420">
        <f t="shared" si="600"/>
        <v>2.7665999999999999</v>
      </c>
      <c r="BY375" s="419"/>
      <c r="BZ375" s="414"/>
      <c r="CA375" s="414"/>
      <c r="CB375" s="414"/>
      <c r="CC375" s="414"/>
      <c r="CD375" s="422"/>
      <c r="CE375" s="419">
        <f t="shared" si="549"/>
        <v>0</v>
      </c>
      <c r="CF375" s="414">
        <v>0</v>
      </c>
      <c r="CG375" s="414">
        <v>0</v>
      </c>
      <c r="CH375" s="414">
        <v>0</v>
      </c>
      <c r="CI375" s="414">
        <v>0</v>
      </c>
      <c r="CJ375" s="509">
        <v>0</v>
      </c>
    </row>
    <row r="376" spans="1:90" ht="14.1" customHeight="1">
      <c r="A376" s="72">
        <v>74</v>
      </c>
      <c r="B376" s="69">
        <v>2405</v>
      </c>
      <c r="C376" s="70">
        <v>600079023</v>
      </c>
      <c r="D376" s="69">
        <v>72741881</v>
      </c>
      <c r="E376" s="71" t="s">
        <v>682</v>
      </c>
      <c r="F376" s="72"/>
      <c r="G376" s="71"/>
      <c r="H376" s="73"/>
      <c r="I376" s="516">
        <v>16849063</v>
      </c>
      <c r="J376" s="74">
        <v>12439387</v>
      </c>
      <c r="K376" s="74">
        <v>10060729</v>
      </c>
      <c r="L376" s="74">
        <v>2378658</v>
      </c>
      <c r="M376" s="74">
        <v>0</v>
      </c>
      <c r="N376" s="74">
        <v>0</v>
      </c>
      <c r="O376" s="74">
        <v>0</v>
      </c>
      <c r="P376" s="74">
        <v>4204512</v>
      </c>
      <c r="Q376" s="74">
        <v>124394</v>
      </c>
      <c r="R376" s="74">
        <v>80770</v>
      </c>
      <c r="S376" s="75">
        <v>25.414000000000001</v>
      </c>
      <c r="T376" s="75">
        <v>17.639700000000001</v>
      </c>
      <c r="U376" s="653">
        <v>7.7742999999999993</v>
      </c>
      <c r="V376" s="516">
        <f t="shared" ref="V376:BX376" si="601">SUM(V373:V375)</f>
        <v>0</v>
      </c>
      <c r="W376" s="74">
        <f t="shared" si="601"/>
        <v>0</v>
      </c>
      <c r="X376" s="74">
        <f t="shared" si="601"/>
        <v>0</v>
      </c>
      <c r="Y376" s="74">
        <f t="shared" si="601"/>
        <v>0</v>
      </c>
      <c r="Z376" s="74">
        <f t="shared" si="601"/>
        <v>0</v>
      </c>
      <c r="AA376" s="74">
        <f t="shared" si="601"/>
        <v>-17057</v>
      </c>
      <c r="AB376" s="74">
        <f t="shared" si="601"/>
        <v>0</v>
      </c>
      <c r="AC376" s="74">
        <f t="shared" si="601"/>
        <v>0</v>
      </c>
      <c r="AD376" s="74">
        <f t="shared" si="601"/>
        <v>0</v>
      </c>
      <c r="AE376" s="74">
        <f t="shared" si="601"/>
        <v>0</v>
      </c>
      <c r="AF376" s="74">
        <f t="shared" si="601"/>
        <v>-17057</v>
      </c>
      <c r="AG376" s="74">
        <f t="shared" si="601"/>
        <v>-17057</v>
      </c>
      <c r="AH376" s="74">
        <f t="shared" si="601"/>
        <v>0</v>
      </c>
      <c r="AI376" s="74">
        <f t="shared" si="601"/>
        <v>0</v>
      </c>
      <c r="AJ376" s="74">
        <f t="shared" si="601"/>
        <v>0</v>
      </c>
      <c r="AK376" s="74">
        <f t="shared" si="601"/>
        <v>0</v>
      </c>
      <c r="AL376" s="74">
        <f t="shared" si="601"/>
        <v>0</v>
      </c>
      <c r="AM376" s="74">
        <f t="shared" si="601"/>
        <v>0</v>
      </c>
      <c r="AN376" s="74">
        <f t="shared" si="601"/>
        <v>0</v>
      </c>
      <c r="AO376" s="74">
        <f t="shared" si="601"/>
        <v>0</v>
      </c>
      <c r="AP376" s="74">
        <f t="shared" si="601"/>
        <v>0</v>
      </c>
      <c r="AQ376" s="74">
        <f t="shared" si="601"/>
        <v>-17057</v>
      </c>
      <c r="AR376" s="74">
        <f t="shared" si="601"/>
        <v>-17057</v>
      </c>
      <c r="AS376" s="74">
        <f t="shared" si="601"/>
        <v>-5765</v>
      </c>
      <c r="AT376" s="74">
        <f t="shared" si="601"/>
        <v>-171</v>
      </c>
      <c r="AU376" s="74">
        <f t="shared" si="601"/>
        <v>0</v>
      </c>
      <c r="AV376" s="74">
        <f t="shared" si="601"/>
        <v>0</v>
      </c>
      <c r="AW376" s="74">
        <f t="shared" si="601"/>
        <v>0</v>
      </c>
      <c r="AX376" s="74">
        <f t="shared" si="601"/>
        <v>0</v>
      </c>
      <c r="AY376" s="74">
        <f t="shared" si="601"/>
        <v>-22993</v>
      </c>
      <c r="AZ376" s="75">
        <f t="shared" si="601"/>
        <v>0</v>
      </c>
      <c r="BA376" s="75">
        <f t="shared" si="601"/>
        <v>0</v>
      </c>
      <c r="BB376" s="75">
        <f t="shared" si="601"/>
        <v>0</v>
      </c>
      <c r="BC376" s="75">
        <f t="shared" si="601"/>
        <v>0</v>
      </c>
      <c r="BD376" s="75">
        <f t="shared" si="601"/>
        <v>-0.06</v>
      </c>
      <c r="BE376" s="75">
        <f t="shared" si="601"/>
        <v>0</v>
      </c>
      <c r="BF376" s="75">
        <f t="shared" si="601"/>
        <v>0</v>
      </c>
      <c r="BG376" s="75">
        <f t="shared" si="601"/>
        <v>0</v>
      </c>
      <c r="BH376" s="75">
        <f t="shared" si="601"/>
        <v>0</v>
      </c>
      <c r="BI376" s="75">
        <f t="shared" si="601"/>
        <v>0</v>
      </c>
      <c r="BJ376" s="75">
        <f t="shared" si="601"/>
        <v>-0.06</v>
      </c>
      <c r="BK376" s="76">
        <f t="shared" si="601"/>
        <v>-0.06</v>
      </c>
      <c r="BL376" s="781">
        <f t="shared" si="601"/>
        <v>16826070</v>
      </c>
      <c r="BM376" s="74">
        <f t="shared" si="601"/>
        <v>12422330</v>
      </c>
      <c r="BN376" s="74">
        <f t="shared" si="601"/>
        <v>10060729</v>
      </c>
      <c r="BO376" s="74">
        <f t="shared" si="601"/>
        <v>2361601</v>
      </c>
      <c r="BP376" s="74">
        <f t="shared" si="601"/>
        <v>0</v>
      </c>
      <c r="BQ376" s="74">
        <f t="shared" si="601"/>
        <v>0</v>
      </c>
      <c r="BR376" s="74">
        <f t="shared" si="601"/>
        <v>0</v>
      </c>
      <c r="BS376" s="74">
        <f t="shared" si="601"/>
        <v>4198747</v>
      </c>
      <c r="BT376" s="74">
        <f t="shared" si="601"/>
        <v>124223</v>
      </c>
      <c r="BU376" s="74">
        <f t="shared" si="601"/>
        <v>80770</v>
      </c>
      <c r="BV376" s="75">
        <f t="shared" si="601"/>
        <v>25.354000000000003</v>
      </c>
      <c r="BW376" s="75">
        <f t="shared" si="601"/>
        <v>17.639700000000001</v>
      </c>
      <c r="BX376" s="76">
        <f t="shared" si="601"/>
        <v>7.7142999999999997</v>
      </c>
      <c r="BY376" s="791">
        <f t="shared" ref="BY376:CJ376" si="602">SUM(BY373:BY375)</f>
        <v>0</v>
      </c>
      <c r="BZ376" s="679">
        <f t="shared" si="602"/>
        <v>0</v>
      </c>
      <c r="CA376" s="679">
        <f t="shared" si="602"/>
        <v>0</v>
      </c>
      <c r="CB376" s="679">
        <f t="shared" si="602"/>
        <v>0</v>
      </c>
      <c r="CC376" s="679">
        <f t="shared" si="602"/>
        <v>0</v>
      </c>
      <c r="CD376" s="947">
        <f t="shared" si="602"/>
        <v>0</v>
      </c>
      <c r="CE376" s="956">
        <f t="shared" si="602"/>
        <v>644194</v>
      </c>
      <c r="CF376" s="953">
        <f t="shared" si="602"/>
        <v>460299</v>
      </c>
      <c r="CG376" s="953">
        <f t="shared" si="602"/>
        <v>155581</v>
      </c>
      <c r="CH376" s="953">
        <f t="shared" si="602"/>
        <v>4603</v>
      </c>
      <c r="CI376" s="953">
        <f t="shared" si="602"/>
        <v>23711</v>
      </c>
      <c r="CJ376" s="877">
        <f t="shared" si="602"/>
        <v>1.5876000000000001</v>
      </c>
    </row>
    <row r="377" spans="1:90" ht="14.1" customHeight="1">
      <c r="A377" s="66">
        <v>75</v>
      </c>
      <c r="B377" s="63">
        <v>2317</v>
      </c>
      <c r="C377" s="64">
        <v>600080501</v>
      </c>
      <c r="D377" s="63">
        <v>69411123</v>
      </c>
      <c r="E377" s="65" t="s">
        <v>683</v>
      </c>
      <c r="F377" s="66">
        <v>3141</v>
      </c>
      <c r="G377" s="65" t="s">
        <v>294</v>
      </c>
      <c r="H377" s="67" t="s">
        <v>272</v>
      </c>
      <c r="I377" s="419">
        <v>4703546</v>
      </c>
      <c r="J377" s="414">
        <v>3465382</v>
      </c>
      <c r="K377" s="414">
        <v>0</v>
      </c>
      <c r="L377" s="744">
        <v>3465382</v>
      </c>
      <c r="M377" s="414">
        <v>0</v>
      </c>
      <c r="N377" s="204">
        <v>0</v>
      </c>
      <c r="O377" s="204">
        <v>0</v>
      </c>
      <c r="P377" s="595">
        <v>1171300</v>
      </c>
      <c r="Q377" s="595">
        <v>34654</v>
      </c>
      <c r="R377" s="601">
        <v>32210</v>
      </c>
      <c r="S377" s="415">
        <v>10.3933</v>
      </c>
      <c r="T377" s="603">
        <v>0</v>
      </c>
      <c r="U377" s="731">
        <v>10.3933</v>
      </c>
      <c r="V377" s="423">
        <f t="shared" si="527"/>
        <v>0</v>
      </c>
      <c r="W377" s="417">
        <f t="shared" si="528"/>
        <v>0</v>
      </c>
      <c r="X377" s="417">
        <v>0</v>
      </c>
      <c r="Y377" s="417">
        <v>0</v>
      </c>
      <c r="Z377" s="417">
        <v>0</v>
      </c>
      <c r="AA377" s="417">
        <v>9812</v>
      </c>
      <c r="AB377" s="417">
        <v>0</v>
      </c>
      <c r="AC377" s="417">
        <v>0</v>
      </c>
      <c r="AD377" s="417">
        <v>0</v>
      </c>
      <c r="AE377" s="417">
        <f t="shared" si="529"/>
        <v>0</v>
      </c>
      <c r="AF377" s="417">
        <f t="shared" si="530"/>
        <v>9812</v>
      </c>
      <c r="AG377" s="417">
        <f t="shared" si="531"/>
        <v>9812</v>
      </c>
      <c r="AH377" s="417">
        <v>0</v>
      </c>
      <c r="AI377" s="417">
        <v>0</v>
      </c>
      <c r="AJ377" s="417">
        <v>0</v>
      </c>
      <c r="AK377" s="417">
        <v>0</v>
      </c>
      <c r="AL377" s="417">
        <v>58500</v>
      </c>
      <c r="AM377" s="417">
        <f t="shared" si="532"/>
        <v>0</v>
      </c>
      <c r="AN377" s="417">
        <f t="shared" si="533"/>
        <v>58500</v>
      </c>
      <c r="AO377" s="417">
        <f t="shared" si="534"/>
        <v>58500</v>
      </c>
      <c r="AP377" s="417">
        <f t="shared" si="535"/>
        <v>0</v>
      </c>
      <c r="AQ377" s="417">
        <f t="shared" si="536"/>
        <v>68312</v>
      </c>
      <c r="AR377" s="417">
        <f t="shared" si="537"/>
        <v>68312</v>
      </c>
      <c r="AS377" s="68">
        <f t="shared" si="538"/>
        <v>3316</v>
      </c>
      <c r="AT377" s="68">
        <f t="shared" si="539"/>
        <v>98</v>
      </c>
      <c r="AU377" s="417">
        <v>0</v>
      </c>
      <c r="AV377" s="417">
        <v>0</v>
      </c>
      <c r="AW377" s="417">
        <v>0</v>
      </c>
      <c r="AX377" s="417">
        <f t="shared" si="540"/>
        <v>0</v>
      </c>
      <c r="AY377" s="417">
        <f t="shared" si="541"/>
        <v>71726</v>
      </c>
      <c r="AZ377" s="418">
        <v>0</v>
      </c>
      <c r="BA377" s="418">
        <v>0</v>
      </c>
      <c r="BB377" s="418">
        <v>0</v>
      </c>
      <c r="BC377" s="418">
        <v>0</v>
      </c>
      <c r="BD377" s="418">
        <v>0.03</v>
      </c>
      <c r="BE377" s="418">
        <v>0</v>
      </c>
      <c r="BF377" s="418">
        <v>0</v>
      </c>
      <c r="BG377" s="418">
        <v>0</v>
      </c>
      <c r="BH377" s="418">
        <v>0</v>
      </c>
      <c r="BI377" s="418">
        <f t="shared" si="542"/>
        <v>0</v>
      </c>
      <c r="BJ377" s="418">
        <f t="shared" si="543"/>
        <v>0.03</v>
      </c>
      <c r="BK377" s="420">
        <f t="shared" si="544"/>
        <v>0.03</v>
      </c>
      <c r="BL377" s="772">
        <f>I377+AY377</f>
        <v>4775272</v>
      </c>
      <c r="BM377" s="417">
        <f>J377+AG377</f>
        <v>3475194</v>
      </c>
      <c r="BN377" s="417">
        <f>K377+AE377</f>
        <v>0</v>
      </c>
      <c r="BO377" s="417">
        <f>L377+AF377</f>
        <v>3475194</v>
      </c>
      <c r="BP377" s="417">
        <f>M377+AO377</f>
        <v>58500</v>
      </c>
      <c r="BQ377" s="417">
        <f>N377+AM377</f>
        <v>0</v>
      </c>
      <c r="BR377" s="417">
        <f>O377+AN377</f>
        <v>58500</v>
      </c>
      <c r="BS377" s="417">
        <f>P377+AS377</f>
        <v>1174616</v>
      </c>
      <c r="BT377" s="417">
        <f>Q377+AT377</f>
        <v>34752</v>
      </c>
      <c r="BU377" s="417">
        <f>R377+AX377</f>
        <v>32210</v>
      </c>
      <c r="BV377" s="418">
        <f>S377+BK377</f>
        <v>10.423299999999999</v>
      </c>
      <c r="BW377" s="418">
        <f>T377+BI377</f>
        <v>0</v>
      </c>
      <c r="BX377" s="420">
        <f>U377+BJ377</f>
        <v>10.423299999999999</v>
      </c>
      <c r="BY377" s="419"/>
      <c r="BZ377" s="414"/>
      <c r="CA377" s="414"/>
      <c r="CB377" s="414"/>
      <c r="CC377" s="414"/>
      <c r="CD377" s="422"/>
      <c r="CE377" s="419">
        <f t="shared" si="549"/>
        <v>0</v>
      </c>
      <c r="CF377" s="414">
        <v>0</v>
      </c>
      <c r="CG377" s="414">
        <v>0</v>
      </c>
      <c r="CH377" s="414">
        <v>0</v>
      </c>
      <c r="CI377" s="414">
        <v>0</v>
      </c>
      <c r="CJ377" s="509">
        <v>0</v>
      </c>
    </row>
    <row r="378" spans="1:90" ht="14.1" customHeight="1">
      <c r="A378" s="72">
        <v>75</v>
      </c>
      <c r="B378" s="69">
        <v>2317</v>
      </c>
      <c r="C378" s="70">
        <v>600080501</v>
      </c>
      <c r="D378" s="69">
        <v>69411123</v>
      </c>
      <c r="E378" s="71" t="s">
        <v>684</v>
      </c>
      <c r="F378" s="72"/>
      <c r="G378" s="71"/>
      <c r="H378" s="73"/>
      <c r="I378" s="518">
        <v>4703546</v>
      </c>
      <c r="J378" s="82">
        <v>3465382</v>
      </c>
      <c r="K378" s="82">
        <v>0</v>
      </c>
      <c r="L378" s="82">
        <v>3465382</v>
      </c>
      <c r="M378" s="82">
        <v>0</v>
      </c>
      <c r="N378" s="82">
        <v>0</v>
      </c>
      <c r="O378" s="82">
        <v>0</v>
      </c>
      <c r="P378" s="82">
        <v>1171300</v>
      </c>
      <c r="Q378" s="82">
        <v>34654</v>
      </c>
      <c r="R378" s="82">
        <v>32210</v>
      </c>
      <c r="S378" s="83">
        <v>10.3933</v>
      </c>
      <c r="T378" s="83">
        <v>0</v>
      </c>
      <c r="U378" s="655">
        <v>10.3933</v>
      </c>
      <c r="V378" s="518">
        <f t="shared" ref="V378:BX378" si="603">SUM(V377)</f>
        <v>0</v>
      </c>
      <c r="W378" s="82">
        <f t="shared" si="603"/>
        <v>0</v>
      </c>
      <c r="X378" s="82">
        <f t="shared" si="603"/>
        <v>0</v>
      </c>
      <c r="Y378" s="82">
        <f t="shared" si="603"/>
        <v>0</v>
      </c>
      <c r="Z378" s="82">
        <f t="shared" si="603"/>
        <v>0</v>
      </c>
      <c r="AA378" s="82">
        <f t="shared" si="603"/>
        <v>9812</v>
      </c>
      <c r="AB378" s="82">
        <f t="shared" si="603"/>
        <v>0</v>
      </c>
      <c r="AC378" s="82">
        <f t="shared" si="603"/>
        <v>0</v>
      </c>
      <c r="AD378" s="82">
        <f t="shared" si="603"/>
        <v>0</v>
      </c>
      <c r="AE378" s="82">
        <f t="shared" si="603"/>
        <v>0</v>
      </c>
      <c r="AF378" s="82">
        <f t="shared" si="603"/>
        <v>9812</v>
      </c>
      <c r="AG378" s="82">
        <f t="shared" si="603"/>
        <v>9812</v>
      </c>
      <c r="AH378" s="82">
        <f t="shared" si="603"/>
        <v>0</v>
      </c>
      <c r="AI378" s="82">
        <f t="shared" si="603"/>
        <v>0</v>
      </c>
      <c r="AJ378" s="82">
        <f t="shared" si="603"/>
        <v>0</v>
      </c>
      <c r="AK378" s="82">
        <f t="shared" si="603"/>
        <v>0</v>
      </c>
      <c r="AL378" s="82">
        <f t="shared" si="603"/>
        <v>58500</v>
      </c>
      <c r="AM378" s="82">
        <f t="shared" si="603"/>
        <v>0</v>
      </c>
      <c r="AN378" s="82">
        <f t="shared" si="603"/>
        <v>58500</v>
      </c>
      <c r="AO378" s="82">
        <f t="shared" si="603"/>
        <v>58500</v>
      </c>
      <c r="AP378" s="82">
        <f t="shared" si="603"/>
        <v>0</v>
      </c>
      <c r="AQ378" s="82">
        <f t="shared" si="603"/>
        <v>68312</v>
      </c>
      <c r="AR378" s="82">
        <f t="shared" si="603"/>
        <v>68312</v>
      </c>
      <c r="AS378" s="82">
        <f t="shared" si="603"/>
        <v>3316</v>
      </c>
      <c r="AT378" s="82">
        <f t="shared" si="603"/>
        <v>98</v>
      </c>
      <c r="AU378" s="82">
        <f t="shared" si="603"/>
        <v>0</v>
      </c>
      <c r="AV378" s="82">
        <f t="shared" si="603"/>
        <v>0</v>
      </c>
      <c r="AW378" s="82">
        <f t="shared" si="603"/>
        <v>0</v>
      </c>
      <c r="AX378" s="82">
        <f t="shared" si="603"/>
        <v>0</v>
      </c>
      <c r="AY378" s="82">
        <f t="shared" si="603"/>
        <v>71726</v>
      </c>
      <c r="AZ378" s="83">
        <f t="shared" si="603"/>
        <v>0</v>
      </c>
      <c r="BA378" s="83">
        <f t="shared" si="603"/>
        <v>0</v>
      </c>
      <c r="BB378" s="83">
        <f t="shared" si="603"/>
        <v>0</v>
      </c>
      <c r="BC378" s="83">
        <f t="shared" si="603"/>
        <v>0</v>
      </c>
      <c r="BD378" s="83">
        <f t="shared" si="603"/>
        <v>0.03</v>
      </c>
      <c r="BE378" s="83">
        <f t="shared" si="603"/>
        <v>0</v>
      </c>
      <c r="BF378" s="83">
        <f t="shared" si="603"/>
        <v>0</v>
      </c>
      <c r="BG378" s="83">
        <f t="shared" si="603"/>
        <v>0</v>
      </c>
      <c r="BH378" s="83">
        <f t="shared" si="603"/>
        <v>0</v>
      </c>
      <c r="BI378" s="83">
        <f t="shared" si="603"/>
        <v>0</v>
      </c>
      <c r="BJ378" s="83">
        <f t="shared" si="603"/>
        <v>0.03</v>
      </c>
      <c r="BK378" s="84">
        <f t="shared" si="603"/>
        <v>0.03</v>
      </c>
      <c r="BL378" s="783">
        <f t="shared" si="603"/>
        <v>4775272</v>
      </c>
      <c r="BM378" s="82">
        <f t="shared" si="603"/>
        <v>3475194</v>
      </c>
      <c r="BN378" s="82">
        <f t="shared" si="603"/>
        <v>0</v>
      </c>
      <c r="BO378" s="82">
        <f t="shared" si="603"/>
        <v>3475194</v>
      </c>
      <c r="BP378" s="82">
        <f t="shared" si="603"/>
        <v>58500</v>
      </c>
      <c r="BQ378" s="82">
        <f t="shared" si="603"/>
        <v>0</v>
      </c>
      <c r="BR378" s="82">
        <f t="shared" si="603"/>
        <v>58500</v>
      </c>
      <c r="BS378" s="82">
        <f t="shared" si="603"/>
        <v>1174616</v>
      </c>
      <c r="BT378" s="82">
        <f t="shared" si="603"/>
        <v>34752</v>
      </c>
      <c r="BU378" s="82">
        <f t="shared" si="603"/>
        <v>32210</v>
      </c>
      <c r="BV378" s="83">
        <f t="shared" si="603"/>
        <v>10.423299999999999</v>
      </c>
      <c r="BW378" s="83">
        <f t="shared" si="603"/>
        <v>0</v>
      </c>
      <c r="BX378" s="84">
        <f t="shared" si="603"/>
        <v>10.423299999999999</v>
      </c>
      <c r="BY378" s="793">
        <f t="shared" ref="BY378:CJ378" si="604">SUM(BY377)</f>
        <v>0</v>
      </c>
      <c r="BZ378" s="681">
        <f t="shared" si="604"/>
        <v>0</v>
      </c>
      <c r="CA378" s="681">
        <f t="shared" si="604"/>
        <v>0</v>
      </c>
      <c r="CB378" s="681">
        <f t="shared" si="604"/>
        <v>0</v>
      </c>
      <c r="CC378" s="681">
        <f t="shared" si="604"/>
        <v>0</v>
      </c>
      <c r="CD378" s="949">
        <f t="shared" si="604"/>
        <v>0</v>
      </c>
      <c r="CE378" s="958">
        <f t="shared" si="604"/>
        <v>0</v>
      </c>
      <c r="CF378" s="955">
        <f t="shared" si="604"/>
        <v>0</v>
      </c>
      <c r="CG378" s="955">
        <f t="shared" si="604"/>
        <v>0</v>
      </c>
      <c r="CH378" s="955">
        <f t="shared" si="604"/>
        <v>0</v>
      </c>
      <c r="CI378" s="955">
        <f t="shared" si="604"/>
        <v>0</v>
      </c>
      <c r="CJ378" s="879">
        <f t="shared" si="604"/>
        <v>0</v>
      </c>
    </row>
    <row r="379" spans="1:90" ht="14.1" customHeight="1">
      <c r="A379" s="66">
        <v>76</v>
      </c>
      <c r="B379" s="63">
        <v>2461</v>
      </c>
      <c r="C379" s="64">
        <v>600079805</v>
      </c>
      <c r="D379" s="63">
        <v>72741724</v>
      </c>
      <c r="E379" s="65" t="s">
        <v>685</v>
      </c>
      <c r="F379" s="66">
        <v>3111</v>
      </c>
      <c r="G379" s="65" t="s">
        <v>290</v>
      </c>
      <c r="H379" s="67" t="s">
        <v>271</v>
      </c>
      <c r="I379" s="419">
        <v>1617655</v>
      </c>
      <c r="J379" s="414">
        <v>1194403</v>
      </c>
      <c r="K379" s="414">
        <v>1106194</v>
      </c>
      <c r="L379" s="414">
        <v>88209</v>
      </c>
      <c r="M379" s="414">
        <v>0</v>
      </c>
      <c r="N379" s="414">
        <v>0</v>
      </c>
      <c r="O379" s="414">
        <v>0</v>
      </c>
      <c r="P379" s="595">
        <v>403708</v>
      </c>
      <c r="Q379" s="595">
        <v>11944</v>
      </c>
      <c r="R379" s="414">
        <v>7600</v>
      </c>
      <c r="S379" s="415">
        <v>2.3694999999999999</v>
      </c>
      <c r="T379" s="415">
        <v>2.0160999999999998</v>
      </c>
      <c r="U379" s="422">
        <v>0.35339999999999999</v>
      </c>
      <c r="V379" s="423">
        <f t="shared" si="527"/>
        <v>0</v>
      </c>
      <c r="W379" s="417">
        <f t="shared" si="528"/>
        <v>0</v>
      </c>
      <c r="X379" s="417">
        <v>0</v>
      </c>
      <c r="Y379" s="417">
        <v>0</v>
      </c>
      <c r="Z379" s="417">
        <v>0</v>
      </c>
      <c r="AA379" s="417">
        <v>0</v>
      </c>
      <c r="AB379" s="417">
        <v>0</v>
      </c>
      <c r="AC379" s="417">
        <v>0</v>
      </c>
      <c r="AD379" s="417">
        <v>0</v>
      </c>
      <c r="AE379" s="417">
        <f t="shared" si="529"/>
        <v>0</v>
      </c>
      <c r="AF379" s="417">
        <f t="shared" si="530"/>
        <v>0</v>
      </c>
      <c r="AG379" s="417">
        <f t="shared" si="531"/>
        <v>0</v>
      </c>
      <c r="AH379" s="417">
        <v>0</v>
      </c>
      <c r="AI379" s="417">
        <v>0</v>
      </c>
      <c r="AJ379" s="417">
        <v>0</v>
      </c>
      <c r="AK379" s="417">
        <v>0</v>
      </c>
      <c r="AL379" s="417">
        <v>0</v>
      </c>
      <c r="AM379" s="417">
        <f t="shared" si="532"/>
        <v>0</v>
      </c>
      <c r="AN379" s="417">
        <f t="shared" si="533"/>
        <v>0</v>
      </c>
      <c r="AO379" s="417">
        <f t="shared" si="534"/>
        <v>0</v>
      </c>
      <c r="AP379" s="417">
        <f t="shared" si="535"/>
        <v>0</v>
      </c>
      <c r="AQ379" s="417">
        <f t="shared" si="536"/>
        <v>0</v>
      </c>
      <c r="AR379" s="417">
        <f t="shared" si="537"/>
        <v>0</v>
      </c>
      <c r="AS379" s="68">
        <f t="shared" si="538"/>
        <v>0</v>
      </c>
      <c r="AT379" s="68">
        <f t="shared" si="539"/>
        <v>0</v>
      </c>
      <c r="AU379" s="417">
        <v>0</v>
      </c>
      <c r="AV379" s="417">
        <v>0</v>
      </c>
      <c r="AW379" s="417">
        <v>0</v>
      </c>
      <c r="AX379" s="417">
        <f t="shared" si="540"/>
        <v>0</v>
      </c>
      <c r="AY379" s="417">
        <f t="shared" si="541"/>
        <v>0</v>
      </c>
      <c r="AZ379" s="418">
        <v>0</v>
      </c>
      <c r="BA379" s="418">
        <v>0</v>
      </c>
      <c r="BB379" s="418">
        <v>0</v>
      </c>
      <c r="BC379" s="418">
        <v>0</v>
      </c>
      <c r="BD379" s="418">
        <v>0</v>
      </c>
      <c r="BE379" s="418">
        <v>0</v>
      </c>
      <c r="BF379" s="418">
        <v>0</v>
      </c>
      <c r="BG379" s="418">
        <v>0</v>
      </c>
      <c r="BH379" s="418">
        <v>0</v>
      </c>
      <c r="BI379" s="418">
        <f t="shared" si="542"/>
        <v>0</v>
      </c>
      <c r="BJ379" s="418">
        <f t="shared" si="543"/>
        <v>0</v>
      </c>
      <c r="BK379" s="420">
        <f t="shared" si="544"/>
        <v>0</v>
      </c>
      <c r="BL379" s="772">
        <f t="shared" ref="BL379:BL384" si="605">I379+AY379</f>
        <v>1617655</v>
      </c>
      <c r="BM379" s="417">
        <f t="shared" ref="BM379:BM384" si="606">J379+AG379</f>
        <v>1194403</v>
      </c>
      <c r="BN379" s="417">
        <f t="shared" ref="BN379:BO384" si="607">K379+AE379</f>
        <v>1106194</v>
      </c>
      <c r="BO379" s="417">
        <f t="shared" si="607"/>
        <v>88209</v>
      </c>
      <c r="BP379" s="417">
        <f t="shared" ref="BP379:BP384" si="608">M379+AO379</f>
        <v>0</v>
      </c>
      <c r="BQ379" s="417">
        <f t="shared" ref="BQ379:BR384" si="609">N379+AM379</f>
        <v>0</v>
      </c>
      <c r="BR379" s="417">
        <f t="shared" si="609"/>
        <v>0</v>
      </c>
      <c r="BS379" s="417">
        <f t="shared" ref="BS379:BT384" si="610">P379+AS379</f>
        <v>403708</v>
      </c>
      <c r="BT379" s="417">
        <f t="shared" si="610"/>
        <v>11944</v>
      </c>
      <c r="BU379" s="417">
        <f t="shared" ref="BU379:BU384" si="611">R379+AX379</f>
        <v>7600</v>
      </c>
      <c r="BV379" s="418">
        <f t="shared" ref="BV379:BV384" si="612">S379+BK379</f>
        <v>2.3694999999999999</v>
      </c>
      <c r="BW379" s="418">
        <f t="shared" ref="BW379:BX384" si="613">T379+BI379</f>
        <v>2.0160999999999998</v>
      </c>
      <c r="BX379" s="420">
        <f t="shared" si="613"/>
        <v>0.35339999999999999</v>
      </c>
      <c r="BY379" s="419"/>
      <c r="BZ379" s="414"/>
      <c r="CA379" s="414"/>
      <c r="CB379" s="414"/>
      <c r="CC379" s="414"/>
      <c r="CD379" s="422"/>
      <c r="CE379" s="419">
        <f t="shared" si="549"/>
        <v>40682</v>
      </c>
      <c r="CF379" s="414">
        <v>28305</v>
      </c>
      <c r="CG379" s="414">
        <f>ROUND(CF379*33.8%,0)</f>
        <v>9567</v>
      </c>
      <c r="CH379" s="414">
        <f>ROUND(CF379*1%,0)</f>
        <v>283</v>
      </c>
      <c r="CI379" s="414">
        <v>2527</v>
      </c>
      <c r="CJ379" s="509">
        <v>0.1134</v>
      </c>
      <c r="CK379" s="53"/>
      <c r="CL379" s="53"/>
    </row>
    <row r="380" spans="1:90" ht="14.1" customHeight="1">
      <c r="A380" s="66">
        <v>76</v>
      </c>
      <c r="B380" s="63">
        <v>2461</v>
      </c>
      <c r="C380" s="64">
        <v>600079805</v>
      </c>
      <c r="D380" s="63">
        <v>72741724</v>
      </c>
      <c r="E380" s="65" t="s">
        <v>685</v>
      </c>
      <c r="F380" s="66">
        <v>3117</v>
      </c>
      <c r="G380" s="65" t="s">
        <v>293</v>
      </c>
      <c r="H380" s="67" t="s">
        <v>271</v>
      </c>
      <c r="I380" s="419">
        <v>2860904</v>
      </c>
      <c r="J380" s="414">
        <v>1970904</v>
      </c>
      <c r="K380" s="414">
        <v>1693559</v>
      </c>
      <c r="L380" s="414">
        <v>277345</v>
      </c>
      <c r="M380" s="414">
        <v>125000</v>
      </c>
      <c r="N380" s="414">
        <v>100000</v>
      </c>
      <c r="O380" s="414">
        <v>25000</v>
      </c>
      <c r="P380" s="595">
        <v>708416</v>
      </c>
      <c r="Q380" s="595">
        <v>19709</v>
      </c>
      <c r="R380" s="414">
        <v>36875</v>
      </c>
      <c r="S380" s="415">
        <v>3.1107999999999998</v>
      </c>
      <c r="T380" s="415">
        <v>2.4055000000000004</v>
      </c>
      <c r="U380" s="422">
        <v>0.70530000000000004</v>
      </c>
      <c r="V380" s="423">
        <f t="shared" si="527"/>
        <v>-20000</v>
      </c>
      <c r="W380" s="417">
        <f t="shared" si="528"/>
        <v>-5000</v>
      </c>
      <c r="X380" s="417">
        <v>0</v>
      </c>
      <c r="Y380" s="417">
        <v>0</v>
      </c>
      <c r="Z380" s="417">
        <v>0</v>
      </c>
      <c r="AA380" s="417">
        <v>0</v>
      </c>
      <c r="AB380" s="417">
        <v>0</v>
      </c>
      <c r="AC380" s="417">
        <v>0</v>
      </c>
      <c r="AD380" s="417">
        <v>0</v>
      </c>
      <c r="AE380" s="417">
        <f t="shared" si="529"/>
        <v>-20000</v>
      </c>
      <c r="AF380" s="417">
        <f t="shared" si="530"/>
        <v>-5000</v>
      </c>
      <c r="AG380" s="417">
        <f t="shared" si="531"/>
        <v>-25000</v>
      </c>
      <c r="AH380" s="417">
        <v>20000</v>
      </c>
      <c r="AI380" s="417">
        <v>5000</v>
      </c>
      <c r="AJ380" s="417">
        <v>0</v>
      </c>
      <c r="AK380" s="417">
        <v>0</v>
      </c>
      <c r="AL380" s="417">
        <v>0</v>
      </c>
      <c r="AM380" s="417">
        <f t="shared" si="532"/>
        <v>20000</v>
      </c>
      <c r="AN380" s="417">
        <f t="shared" si="533"/>
        <v>5000</v>
      </c>
      <c r="AO380" s="417">
        <f t="shared" si="534"/>
        <v>25000</v>
      </c>
      <c r="AP380" s="417">
        <f t="shared" si="535"/>
        <v>0</v>
      </c>
      <c r="AQ380" s="417">
        <f t="shared" si="536"/>
        <v>0</v>
      </c>
      <c r="AR380" s="417">
        <f t="shared" si="537"/>
        <v>0</v>
      </c>
      <c r="AS380" s="68">
        <f t="shared" si="538"/>
        <v>0</v>
      </c>
      <c r="AT380" s="68">
        <f t="shared" si="539"/>
        <v>-250</v>
      </c>
      <c r="AU380" s="417">
        <v>0</v>
      </c>
      <c r="AV380" s="417">
        <v>0</v>
      </c>
      <c r="AW380" s="417">
        <v>0</v>
      </c>
      <c r="AX380" s="417">
        <f t="shared" si="540"/>
        <v>0</v>
      </c>
      <c r="AY380" s="417">
        <f t="shared" si="541"/>
        <v>-250</v>
      </c>
      <c r="AZ380" s="418">
        <v>-0.03</v>
      </c>
      <c r="BA380" s="418">
        <v>-0.02</v>
      </c>
      <c r="BB380" s="418">
        <v>0</v>
      </c>
      <c r="BC380" s="418">
        <v>0</v>
      </c>
      <c r="BD380" s="418">
        <v>0</v>
      </c>
      <c r="BE380" s="418">
        <v>0</v>
      </c>
      <c r="BF380" s="418">
        <v>0</v>
      </c>
      <c r="BG380" s="418">
        <v>0</v>
      </c>
      <c r="BH380" s="418">
        <v>0</v>
      </c>
      <c r="BI380" s="418">
        <f t="shared" si="542"/>
        <v>-0.03</v>
      </c>
      <c r="BJ380" s="418">
        <f t="shared" si="543"/>
        <v>-0.02</v>
      </c>
      <c r="BK380" s="420">
        <f t="shared" si="544"/>
        <v>-0.05</v>
      </c>
      <c r="BL380" s="772">
        <f t="shared" si="605"/>
        <v>2860654</v>
      </c>
      <c r="BM380" s="417">
        <f t="shared" si="606"/>
        <v>1945904</v>
      </c>
      <c r="BN380" s="417">
        <f t="shared" si="607"/>
        <v>1673559</v>
      </c>
      <c r="BO380" s="417">
        <f t="shared" si="607"/>
        <v>272345</v>
      </c>
      <c r="BP380" s="417">
        <f t="shared" si="608"/>
        <v>150000</v>
      </c>
      <c r="BQ380" s="417">
        <f t="shared" si="609"/>
        <v>120000</v>
      </c>
      <c r="BR380" s="417">
        <f t="shared" si="609"/>
        <v>30000</v>
      </c>
      <c r="BS380" s="417">
        <f t="shared" si="610"/>
        <v>708416</v>
      </c>
      <c r="BT380" s="417">
        <f t="shared" si="610"/>
        <v>19459</v>
      </c>
      <c r="BU380" s="417">
        <f t="shared" si="611"/>
        <v>36875</v>
      </c>
      <c r="BV380" s="418">
        <f t="shared" si="612"/>
        <v>3.0608</v>
      </c>
      <c r="BW380" s="418">
        <f t="shared" si="613"/>
        <v>2.3755000000000006</v>
      </c>
      <c r="BX380" s="420">
        <f t="shared" si="613"/>
        <v>0.68530000000000002</v>
      </c>
      <c r="BY380" s="419"/>
      <c r="BZ380" s="414"/>
      <c r="CA380" s="414"/>
      <c r="CB380" s="414"/>
      <c r="CC380" s="414"/>
      <c r="CD380" s="422"/>
      <c r="CE380" s="419">
        <f t="shared" si="549"/>
        <v>137274</v>
      </c>
      <c r="CF380" s="414">
        <v>97050</v>
      </c>
      <c r="CG380" s="414">
        <v>32803</v>
      </c>
      <c r="CH380" s="414">
        <v>971</v>
      </c>
      <c r="CI380" s="414">
        <v>6450</v>
      </c>
      <c r="CJ380" s="509">
        <v>0.25209999999999999</v>
      </c>
      <c r="CK380" s="53"/>
      <c r="CL380" s="53"/>
    </row>
    <row r="381" spans="1:90" ht="14.1" customHeight="1">
      <c r="A381" s="66">
        <v>76</v>
      </c>
      <c r="B381" s="63">
        <v>2461</v>
      </c>
      <c r="C381" s="64">
        <v>600079805</v>
      </c>
      <c r="D381" s="63">
        <v>72741724</v>
      </c>
      <c r="E381" s="65" t="s">
        <v>685</v>
      </c>
      <c r="F381" s="66">
        <v>3117</v>
      </c>
      <c r="G381" s="77" t="s">
        <v>291</v>
      </c>
      <c r="H381" s="67" t="s">
        <v>272</v>
      </c>
      <c r="I381" s="419">
        <v>1154007</v>
      </c>
      <c r="J381" s="414">
        <v>853121</v>
      </c>
      <c r="K381" s="414">
        <v>853121</v>
      </c>
      <c r="L381" s="414">
        <v>0</v>
      </c>
      <c r="M381" s="414">
        <v>0</v>
      </c>
      <c r="N381" s="414">
        <v>0</v>
      </c>
      <c r="O381" s="414">
        <v>0</v>
      </c>
      <c r="P381" s="595">
        <v>288355</v>
      </c>
      <c r="Q381" s="595">
        <v>8531</v>
      </c>
      <c r="R381" s="414">
        <v>4000</v>
      </c>
      <c r="S381" s="415">
        <v>2.16</v>
      </c>
      <c r="T381" s="416">
        <v>2.16</v>
      </c>
      <c r="U381" s="422">
        <v>0</v>
      </c>
      <c r="V381" s="423">
        <f t="shared" si="527"/>
        <v>0</v>
      </c>
      <c r="W381" s="417">
        <f t="shared" si="528"/>
        <v>0</v>
      </c>
      <c r="X381" s="417">
        <v>0</v>
      </c>
      <c r="Y381" s="417">
        <v>0</v>
      </c>
      <c r="Z381" s="417">
        <v>0</v>
      </c>
      <c r="AA381" s="417">
        <v>0</v>
      </c>
      <c r="AB381" s="417">
        <v>0</v>
      </c>
      <c r="AC381" s="417">
        <v>0</v>
      </c>
      <c r="AD381" s="417">
        <v>0</v>
      </c>
      <c r="AE381" s="417">
        <f t="shared" si="529"/>
        <v>0</v>
      </c>
      <c r="AF381" s="417">
        <f t="shared" si="530"/>
        <v>0</v>
      </c>
      <c r="AG381" s="417">
        <f t="shared" si="531"/>
        <v>0</v>
      </c>
      <c r="AH381" s="417">
        <v>0</v>
      </c>
      <c r="AI381" s="417">
        <v>0</v>
      </c>
      <c r="AJ381" s="417">
        <v>0</v>
      </c>
      <c r="AK381" s="417">
        <v>0</v>
      </c>
      <c r="AL381" s="417">
        <v>0</v>
      </c>
      <c r="AM381" s="417">
        <f t="shared" si="532"/>
        <v>0</v>
      </c>
      <c r="AN381" s="417">
        <f t="shared" si="533"/>
        <v>0</v>
      </c>
      <c r="AO381" s="417">
        <f t="shared" si="534"/>
        <v>0</v>
      </c>
      <c r="AP381" s="417">
        <f t="shared" si="535"/>
        <v>0</v>
      </c>
      <c r="AQ381" s="417">
        <f t="shared" si="536"/>
        <v>0</v>
      </c>
      <c r="AR381" s="417">
        <f t="shared" si="537"/>
        <v>0</v>
      </c>
      <c r="AS381" s="68">
        <f t="shared" si="538"/>
        <v>0</v>
      </c>
      <c r="AT381" s="68">
        <f t="shared" si="539"/>
        <v>0</v>
      </c>
      <c r="AU381" s="417">
        <v>0</v>
      </c>
      <c r="AV381" s="417">
        <v>0</v>
      </c>
      <c r="AW381" s="417">
        <v>0</v>
      </c>
      <c r="AX381" s="417">
        <f t="shared" si="540"/>
        <v>0</v>
      </c>
      <c r="AY381" s="417">
        <f t="shared" si="541"/>
        <v>0</v>
      </c>
      <c r="AZ381" s="418">
        <v>0</v>
      </c>
      <c r="BA381" s="418">
        <v>0</v>
      </c>
      <c r="BB381" s="418">
        <v>0</v>
      </c>
      <c r="BC381" s="418">
        <v>0</v>
      </c>
      <c r="BD381" s="418">
        <v>0</v>
      </c>
      <c r="BE381" s="418">
        <v>0</v>
      </c>
      <c r="BF381" s="418">
        <v>0</v>
      </c>
      <c r="BG381" s="418">
        <v>0</v>
      </c>
      <c r="BH381" s="418">
        <v>0</v>
      </c>
      <c r="BI381" s="418">
        <f t="shared" si="542"/>
        <v>0</v>
      </c>
      <c r="BJ381" s="418">
        <f t="shared" si="543"/>
        <v>0</v>
      </c>
      <c r="BK381" s="420">
        <f t="shared" si="544"/>
        <v>0</v>
      </c>
      <c r="BL381" s="772">
        <f t="shared" si="605"/>
        <v>1154007</v>
      </c>
      <c r="BM381" s="417">
        <f t="shared" si="606"/>
        <v>853121</v>
      </c>
      <c r="BN381" s="417">
        <f t="shared" si="607"/>
        <v>853121</v>
      </c>
      <c r="BO381" s="417">
        <f t="shared" si="607"/>
        <v>0</v>
      </c>
      <c r="BP381" s="417">
        <f t="shared" si="608"/>
        <v>0</v>
      </c>
      <c r="BQ381" s="417">
        <f t="shared" si="609"/>
        <v>0</v>
      </c>
      <c r="BR381" s="417">
        <f t="shared" si="609"/>
        <v>0</v>
      </c>
      <c r="BS381" s="417">
        <f t="shared" si="610"/>
        <v>288355</v>
      </c>
      <c r="BT381" s="417">
        <f t="shared" si="610"/>
        <v>8531</v>
      </c>
      <c r="BU381" s="417">
        <f t="shared" si="611"/>
        <v>4000</v>
      </c>
      <c r="BV381" s="418">
        <f t="shared" si="612"/>
        <v>2.16</v>
      </c>
      <c r="BW381" s="418">
        <f t="shared" si="613"/>
        <v>2.16</v>
      </c>
      <c r="BX381" s="420">
        <f t="shared" si="613"/>
        <v>0</v>
      </c>
      <c r="BY381" s="419"/>
      <c r="BZ381" s="414"/>
      <c r="CA381" s="414"/>
      <c r="CB381" s="414"/>
      <c r="CC381" s="414"/>
      <c r="CD381" s="422"/>
      <c r="CE381" s="419">
        <f t="shared" si="549"/>
        <v>0</v>
      </c>
      <c r="CF381" s="414">
        <v>0</v>
      </c>
      <c r="CG381" s="414">
        <v>0</v>
      </c>
      <c r="CH381" s="414">
        <v>0</v>
      </c>
      <c r="CI381" s="414">
        <v>0</v>
      </c>
      <c r="CJ381" s="509">
        <v>0</v>
      </c>
      <c r="CK381" s="53"/>
      <c r="CL381" s="53"/>
    </row>
    <row r="382" spans="1:90" ht="14.1" customHeight="1">
      <c r="A382" s="66">
        <v>76</v>
      </c>
      <c r="B382" s="63">
        <v>2461</v>
      </c>
      <c r="C382" s="64">
        <v>600079805</v>
      </c>
      <c r="D382" s="63">
        <v>72741724</v>
      </c>
      <c r="E382" s="65" t="s">
        <v>685</v>
      </c>
      <c r="F382" s="66">
        <v>3141</v>
      </c>
      <c r="G382" s="65" t="s">
        <v>294</v>
      </c>
      <c r="H382" s="67" t="s">
        <v>272</v>
      </c>
      <c r="I382" s="419">
        <v>647146</v>
      </c>
      <c r="J382" s="414">
        <v>478381</v>
      </c>
      <c r="K382" s="414">
        <v>0</v>
      </c>
      <c r="L382" s="744">
        <v>478381</v>
      </c>
      <c r="M382" s="414">
        <v>0</v>
      </c>
      <c r="N382" s="204">
        <v>0</v>
      </c>
      <c r="O382" s="204">
        <v>0</v>
      </c>
      <c r="P382" s="595">
        <v>161693</v>
      </c>
      <c r="Q382" s="595">
        <v>4784</v>
      </c>
      <c r="R382" s="601">
        <v>2288</v>
      </c>
      <c r="S382" s="415">
        <v>1.4333</v>
      </c>
      <c r="T382" s="603">
        <v>0</v>
      </c>
      <c r="U382" s="731">
        <v>1.4333</v>
      </c>
      <c r="V382" s="423">
        <f t="shared" si="527"/>
        <v>0</v>
      </c>
      <c r="W382" s="417">
        <f t="shared" si="528"/>
        <v>0</v>
      </c>
      <c r="X382" s="417">
        <v>0</v>
      </c>
      <c r="Y382" s="417">
        <v>0</v>
      </c>
      <c r="Z382" s="417">
        <v>0</v>
      </c>
      <c r="AA382" s="417">
        <v>-2668</v>
      </c>
      <c r="AB382" s="417">
        <v>0</v>
      </c>
      <c r="AC382" s="417">
        <v>0</v>
      </c>
      <c r="AD382" s="417">
        <v>0</v>
      </c>
      <c r="AE382" s="417">
        <f t="shared" si="529"/>
        <v>0</v>
      </c>
      <c r="AF382" s="417">
        <f t="shared" si="530"/>
        <v>-2668</v>
      </c>
      <c r="AG382" s="417">
        <f t="shared" si="531"/>
        <v>-2668</v>
      </c>
      <c r="AH382" s="417">
        <v>0</v>
      </c>
      <c r="AI382" s="417">
        <v>0</v>
      </c>
      <c r="AJ382" s="417">
        <v>0</v>
      </c>
      <c r="AK382" s="417">
        <v>0</v>
      </c>
      <c r="AL382" s="417">
        <v>0</v>
      </c>
      <c r="AM382" s="417">
        <f t="shared" si="532"/>
        <v>0</v>
      </c>
      <c r="AN382" s="417">
        <f t="shared" si="533"/>
        <v>0</v>
      </c>
      <c r="AO382" s="417">
        <f t="shared" si="534"/>
        <v>0</v>
      </c>
      <c r="AP382" s="417">
        <f t="shared" si="535"/>
        <v>0</v>
      </c>
      <c r="AQ382" s="417">
        <f t="shared" si="536"/>
        <v>-2668</v>
      </c>
      <c r="AR382" s="417">
        <f t="shared" si="537"/>
        <v>-2668</v>
      </c>
      <c r="AS382" s="68">
        <f t="shared" si="538"/>
        <v>-902</v>
      </c>
      <c r="AT382" s="68">
        <f t="shared" si="539"/>
        <v>-27</v>
      </c>
      <c r="AU382" s="417">
        <v>0</v>
      </c>
      <c r="AV382" s="417">
        <v>0</v>
      </c>
      <c r="AW382" s="417">
        <v>0</v>
      </c>
      <c r="AX382" s="417">
        <f t="shared" si="540"/>
        <v>0</v>
      </c>
      <c r="AY382" s="417">
        <f t="shared" si="541"/>
        <v>-3597</v>
      </c>
      <c r="AZ382" s="418">
        <v>0</v>
      </c>
      <c r="BA382" s="418">
        <v>0</v>
      </c>
      <c r="BB382" s="418">
        <v>0</v>
      </c>
      <c r="BC382" s="418">
        <v>0</v>
      </c>
      <c r="BD382" s="418">
        <v>-0.01</v>
      </c>
      <c r="BE382" s="418">
        <v>0</v>
      </c>
      <c r="BF382" s="418">
        <v>0</v>
      </c>
      <c r="BG382" s="418">
        <v>0</v>
      </c>
      <c r="BH382" s="418">
        <v>0</v>
      </c>
      <c r="BI382" s="418">
        <f t="shared" si="542"/>
        <v>0</v>
      </c>
      <c r="BJ382" s="418">
        <f t="shared" si="543"/>
        <v>-0.01</v>
      </c>
      <c r="BK382" s="420">
        <f t="shared" si="544"/>
        <v>-0.01</v>
      </c>
      <c r="BL382" s="772">
        <f t="shared" si="605"/>
        <v>643549</v>
      </c>
      <c r="BM382" s="417">
        <f t="shared" si="606"/>
        <v>475713</v>
      </c>
      <c r="BN382" s="417">
        <f t="shared" si="607"/>
        <v>0</v>
      </c>
      <c r="BO382" s="417">
        <f t="shared" si="607"/>
        <v>475713</v>
      </c>
      <c r="BP382" s="417">
        <f t="shared" si="608"/>
        <v>0</v>
      </c>
      <c r="BQ382" s="417">
        <f t="shared" si="609"/>
        <v>0</v>
      </c>
      <c r="BR382" s="417">
        <f t="shared" si="609"/>
        <v>0</v>
      </c>
      <c r="BS382" s="417">
        <f t="shared" si="610"/>
        <v>160791</v>
      </c>
      <c r="BT382" s="417">
        <f t="shared" si="610"/>
        <v>4757</v>
      </c>
      <c r="BU382" s="417">
        <f t="shared" si="611"/>
        <v>2288</v>
      </c>
      <c r="BV382" s="418">
        <f t="shared" si="612"/>
        <v>1.4233</v>
      </c>
      <c r="BW382" s="418">
        <f t="shared" si="613"/>
        <v>0</v>
      </c>
      <c r="BX382" s="420">
        <f t="shared" si="613"/>
        <v>1.4233</v>
      </c>
      <c r="BY382" s="419"/>
      <c r="BZ382" s="414"/>
      <c r="CA382" s="414"/>
      <c r="CB382" s="414"/>
      <c r="CC382" s="414"/>
      <c r="CD382" s="422"/>
      <c r="CE382" s="419">
        <f t="shared" si="549"/>
        <v>0</v>
      </c>
      <c r="CF382" s="414">
        <v>0</v>
      </c>
      <c r="CG382" s="414">
        <v>0</v>
      </c>
      <c r="CH382" s="414">
        <v>0</v>
      </c>
      <c r="CI382" s="414">
        <v>0</v>
      </c>
      <c r="CJ382" s="509">
        <v>0</v>
      </c>
      <c r="CK382" s="53"/>
      <c r="CL382" s="53"/>
    </row>
    <row r="383" spans="1:90" ht="14.1" customHeight="1">
      <c r="A383" s="66">
        <v>76</v>
      </c>
      <c r="B383" s="63">
        <v>2461</v>
      </c>
      <c r="C383" s="64">
        <v>600079805</v>
      </c>
      <c r="D383" s="63">
        <v>72741724</v>
      </c>
      <c r="E383" s="65" t="s">
        <v>685</v>
      </c>
      <c r="F383" s="66">
        <v>3143</v>
      </c>
      <c r="G383" s="77" t="s">
        <v>595</v>
      </c>
      <c r="H383" s="67" t="s">
        <v>271</v>
      </c>
      <c r="I383" s="419">
        <v>733815</v>
      </c>
      <c r="J383" s="414">
        <v>544373</v>
      </c>
      <c r="K383" s="414">
        <v>544373</v>
      </c>
      <c r="L383" s="414">
        <v>0</v>
      </c>
      <c r="M383" s="414">
        <v>0</v>
      </c>
      <c r="N383" s="414">
        <v>0</v>
      </c>
      <c r="O383" s="414">
        <v>0</v>
      </c>
      <c r="P383" s="595">
        <v>183998</v>
      </c>
      <c r="Q383" s="595">
        <v>5444</v>
      </c>
      <c r="R383" s="414">
        <v>0</v>
      </c>
      <c r="S383" s="415">
        <v>1.0832999999999999</v>
      </c>
      <c r="T383" s="415">
        <v>1.0832999999999999</v>
      </c>
      <c r="U383" s="422">
        <v>0</v>
      </c>
      <c r="V383" s="423">
        <f t="shared" si="527"/>
        <v>0</v>
      </c>
      <c r="W383" s="417">
        <f t="shared" si="528"/>
        <v>0</v>
      </c>
      <c r="X383" s="417">
        <v>0</v>
      </c>
      <c r="Y383" s="417">
        <v>0</v>
      </c>
      <c r="Z383" s="417">
        <v>0</v>
      </c>
      <c r="AA383" s="417">
        <v>0</v>
      </c>
      <c r="AB383" s="417">
        <v>0</v>
      </c>
      <c r="AC383" s="417">
        <v>0</v>
      </c>
      <c r="AD383" s="417">
        <v>0</v>
      </c>
      <c r="AE383" s="417">
        <f t="shared" si="529"/>
        <v>0</v>
      </c>
      <c r="AF383" s="417">
        <f t="shared" si="530"/>
        <v>0</v>
      </c>
      <c r="AG383" s="417">
        <f t="shared" si="531"/>
        <v>0</v>
      </c>
      <c r="AH383" s="417">
        <v>0</v>
      </c>
      <c r="AI383" s="417">
        <v>0</v>
      </c>
      <c r="AJ383" s="417">
        <v>0</v>
      </c>
      <c r="AK383" s="417">
        <v>0</v>
      </c>
      <c r="AL383" s="417">
        <v>0</v>
      </c>
      <c r="AM383" s="417">
        <f t="shared" si="532"/>
        <v>0</v>
      </c>
      <c r="AN383" s="417">
        <f t="shared" si="533"/>
        <v>0</v>
      </c>
      <c r="AO383" s="417">
        <f t="shared" si="534"/>
        <v>0</v>
      </c>
      <c r="AP383" s="417">
        <f t="shared" si="535"/>
        <v>0</v>
      </c>
      <c r="AQ383" s="417">
        <f t="shared" si="536"/>
        <v>0</v>
      </c>
      <c r="AR383" s="417">
        <f t="shared" si="537"/>
        <v>0</v>
      </c>
      <c r="AS383" s="68">
        <f t="shared" si="538"/>
        <v>0</v>
      </c>
      <c r="AT383" s="68">
        <f t="shared" si="539"/>
        <v>0</v>
      </c>
      <c r="AU383" s="417">
        <v>0</v>
      </c>
      <c r="AV383" s="417">
        <v>0</v>
      </c>
      <c r="AW383" s="417">
        <v>0</v>
      </c>
      <c r="AX383" s="417">
        <f t="shared" si="540"/>
        <v>0</v>
      </c>
      <c r="AY383" s="417">
        <f t="shared" si="541"/>
        <v>0</v>
      </c>
      <c r="AZ383" s="418">
        <v>0</v>
      </c>
      <c r="BA383" s="418">
        <v>0</v>
      </c>
      <c r="BB383" s="418">
        <v>0</v>
      </c>
      <c r="BC383" s="418">
        <v>0</v>
      </c>
      <c r="BD383" s="418">
        <v>0</v>
      </c>
      <c r="BE383" s="418">
        <v>0</v>
      </c>
      <c r="BF383" s="418">
        <v>0</v>
      </c>
      <c r="BG383" s="418">
        <v>0</v>
      </c>
      <c r="BH383" s="418">
        <v>0</v>
      </c>
      <c r="BI383" s="418">
        <f t="shared" si="542"/>
        <v>0</v>
      </c>
      <c r="BJ383" s="418">
        <f t="shared" si="543"/>
        <v>0</v>
      </c>
      <c r="BK383" s="420">
        <f t="shared" si="544"/>
        <v>0</v>
      </c>
      <c r="BL383" s="772">
        <f t="shared" si="605"/>
        <v>733815</v>
      </c>
      <c r="BM383" s="417">
        <f t="shared" si="606"/>
        <v>544373</v>
      </c>
      <c r="BN383" s="417">
        <f t="shared" si="607"/>
        <v>544373</v>
      </c>
      <c r="BO383" s="417">
        <f t="shared" si="607"/>
        <v>0</v>
      </c>
      <c r="BP383" s="417">
        <f t="shared" si="608"/>
        <v>0</v>
      </c>
      <c r="BQ383" s="417">
        <f t="shared" si="609"/>
        <v>0</v>
      </c>
      <c r="BR383" s="417">
        <f t="shared" si="609"/>
        <v>0</v>
      </c>
      <c r="BS383" s="417">
        <f t="shared" si="610"/>
        <v>183998</v>
      </c>
      <c r="BT383" s="417">
        <f t="shared" si="610"/>
        <v>5444</v>
      </c>
      <c r="BU383" s="417">
        <f t="shared" si="611"/>
        <v>0</v>
      </c>
      <c r="BV383" s="418">
        <f t="shared" si="612"/>
        <v>1.0832999999999999</v>
      </c>
      <c r="BW383" s="418">
        <f t="shared" si="613"/>
        <v>1.0832999999999999</v>
      </c>
      <c r="BX383" s="420">
        <f t="shared" si="613"/>
        <v>0</v>
      </c>
      <c r="BY383" s="419"/>
      <c r="BZ383" s="414"/>
      <c r="CA383" s="414"/>
      <c r="CB383" s="414"/>
      <c r="CC383" s="414"/>
      <c r="CD383" s="422"/>
      <c r="CE383" s="419">
        <f t="shared" si="549"/>
        <v>0</v>
      </c>
      <c r="CF383" s="414">
        <v>0</v>
      </c>
      <c r="CG383" s="414">
        <v>0</v>
      </c>
      <c r="CH383" s="414">
        <v>0</v>
      </c>
      <c r="CI383" s="414">
        <v>0</v>
      </c>
      <c r="CJ383" s="509">
        <v>0</v>
      </c>
      <c r="CK383" s="53"/>
      <c r="CL383" s="53"/>
    </row>
    <row r="384" spans="1:90" ht="14.1" customHeight="1">
      <c r="A384" s="66">
        <v>76</v>
      </c>
      <c r="B384" s="63">
        <v>2461</v>
      </c>
      <c r="C384" s="64">
        <v>600079805</v>
      </c>
      <c r="D384" s="63">
        <v>72741724</v>
      </c>
      <c r="E384" s="65" t="s">
        <v>685</v>
      </c>
      <c r="F384" s="66">
        <v>3143</v>
      </c>
      <c r="G384" s="77" t="s">
        <v>596</v>
      </c>
      <c r="H384" s="67" t="s">
        <v>272</v>
      </c>
      <c r="I384" s="419">
        <v>19978</v>
      </c>
      <c r="J384" s="414">
        <v>14300</v>
      </c>
      <c r="K384" s="414">
        <v>0</v>
      </c>
      <c r="L384" s="601">
        <v>14300</v>
      </c>
      <c r="M384" s="414">
        <v>0</v>
      </c>
      <c r="N384" s="414">
        <v>0</v>
      </c>
      <c r="O384" s="414">
        <v>0</v>
      </c>
      <c r="P384" s="595">
        <v>4833</v>
      </c>
      <c r="Q384" s="595">
        <v>143</v>
      </c>
      <c r="R384" s="602">
        <v>702</v>
      </c>
      <c r="S384" s="415">
        <v>5.6099999999999997E-2</v>
      </c>
      <c r="T384" s="605">
        <v>0</v>
      </c>
      <c r="U384" s="731">
        <v>5.6099999999999997E-2</v>
      </c>
      <c r="V384" s="423">
        <f t="shared" si="527"/>
        <v>0</v>
      </c>
      <c r="W384" s="417">
        <f t="shared" si="528"/>
        <v>0</v>
      </c>
      <c r="X384" s="417">
        <v>0</v>
      </c>
      <c r="Y384" s="417">
        <v>0</v>
      </c>
      <c r="Z384" s="417">
        <v>0</v>
      </c>
      <c r="AA384" s="417">
        <v>0</v>
      </c>
      <c r="AB384" s="417">
        <v>0</v>
      </c>
      <c r="AC384" s="417">
        <v>0</v>
      </c>
      <c r="AD384" s="417">
        <v>0</v>
      </c>
      <c r="AE384" s="417">
        <f t="shared" si="529"/>
        <v>0</v>
      </c>
      <c r="AF384" s="417">
        <f t="shared" si="530"/>
        <v>0</v>
      </c>
      <c r="AG384" s="417">
        <f t="shared" si="531"/>
        <v>0</v>
      </c>
      <c r="AH384" s="417">
        <v>0</v>
      </c>
      <c r="AI384" s="417">
        <v>0</v>
      </c>
      <c r="AJ384" s="417">
        <v>0</v>
      </c>
      <c r="AK384" s="417">
        <v>0</v>
      </c>
      <c r="AL384" s="417">
        <v>0</v>
      </c>
      <c r="AM384" s="417">
        <f t="shared" si="532"/>
        <v>0</v>
      </c>
      <c r="AN384" s="417">
        <f t="shared" si="533"/>
        <v>0</v>
      </c>
      <c r="AO384" s="417">
        <f t="shared" si="534"/>
        <v>0</v>
      </c>
      <c r="AP384" s="417">
        <f t="shared" si="535"/>
        <v>0</v>
      </c>
      <c r="AQ384" s="417">
        <f t="shared" si="536"/>
        <v>0</v>
      </c>
      <c r="AR384" s="417">
        <f t="shared" si="537"/>
        <v>0</v>
      </c>
      <c r="AS384" s="68">
        <f t="shared" si="538"/>
        <v>0</v>
      </c>
      <c r="AT384" s="68">
        <f t="shared" si="539"/>
        <v>0</v>
      </c>
      <c r="AU384" s="417">
        <v>0</v>
      </c>
      <c r="AV384" s="417">
        <v>0</v>
      </c>
      <c r="AW384" s="417">
        <v>0</v>
      </c>
      <c r="AX384" s="417">
        <f t="shared" si="540"/>
        <v>0</v>
      </c>
      <c r="AY384" s="417">
        <f t="shared" si="541"/>
        <v>0</v>
      </c>
      <c r="AZ384" s="418">
        <v>0</v>
      </c>
      <c r="BA384" s="418">
        <v>0</v>
      </c>
      <c r="BB384" s="418">
        <v>0</v>
      </c>
      <c r="BC384" s="418">
        <v>0</v>
      </c>
      <c r="BD384" s="418">
        <v>0</v>
      </c>
      <c r="BE384" s="418">
        <v>0</v>
      </c>
      <c r="BF384" s="418">
        <v>0</v>
      </c>
      <c r="BG384" s="418">
        <v>0</v>
      </c>
      <c r="BH384" s="418">
        <v>0</v>
      </c>
      <c r="BI384" s="418">
        <f t="shared" si="542"/>
        <v>0</v>
      </c>
      <c r="BJ384" s="418">
        <f t="shared" si="543"/>
        <v>0</v>
      </c>
      <c r="BK384" s="420">
        <f t="shared" si="544"/>
        <v>0</v>
      </c>
      <c r="BL384" s="772">
        <f t="shared" si="605"/>
        <v>19978</v>
      </c>
      <c r="BM384" s="417">
        <f t="shared" si="606"/>
        <v>14300</v>
      </c>
      <c r="BN384" s="417">
        <f t="shared" si="607"/>
        <v>0</v>
      </c>
      <c r="BO384" s="417">
        <f t="shared" si="607"/>
        <v>14300</v>
      </c>
      <c r="BP384" s="417">
        <f t="shared" si="608"/>
        <v>0</v>
      </c>
      <c r="BQ384" s="417">
        <f t="shared" si="609"/>
        <v>0</v>
      </c>
      <c r="BR384" s="417">
        <f t="shared" si="609"/>
        <v>0</v>
      </c>
      <c r="BS384" s="417">
        <f t="shared" si="610"/>
        <v>4833</v>
      </c>
      <c r="BT384" s="417">
        <f t="shared" si="610"/>
        <v>143</v>
      </c>
      <c r="BU384" s="417">
        <f t="shared" si="611"/>
        <v>702</v>
      </c>
      <c r="BV384" s="418">
        <f t="shared" si="612"/>
        <v>5.6099999999999997E-2</v>
      </c>
      <c r="BW384" s="418">
        <f t="shared" si="613"/>
        <v>0</v>
      </c>
      <c r="BX384" s="420">
        <f t="shared" si="613"/>
        <v>5.6099999999999997E-2</v>
      </c>
      <c r="BY384" s="419"/>
      <c r="BZ384" s="414"/>
      <c r="CA384" s="414"/>
      <c r="CB384" s="414"/>
      <c r="CC384" s="414"/>
      <c r="CD384" s="422"/>
      <c r="CE384" s="419">
        <f t="shared" si="549"/>
        <v>0</v>
      </c>
      <c r="CF384" s="414">
        <v>0</v>
      </c>
      <c r="CG384" s="414">
        <v>0</v>
      </c>
      <c r="CH384" s="414">
        <v>0</v>
      </c>
      <c r="CI384" s="414">
        <v>0</v>
      </c>
      <c r="CJ384" s="509">
        <v>0</v>
      </c>
      <c r="CK384" s="53"/>
      <c r="CL384" s="53"/>
    </row>
    <row r="385" spans="1:90" ht="14.1" customHeight="1">
      <c r="A385" s="72">
        <v>76</v>
      </c>
      <c r="B385" s="69">
        <v>2461</v>
      </c>
      <c r="C385" s="70">
        <v>600079805</v>
      </c>
      <c r="D385" s="69">
        <v>72741724</v>
      </c>
      <c r="E385" s="71" t="s">
        <v>686</v>
      </c>
      <c r="F385" s="72"/>
      <c r="G385" s="71"/>
      <c r="H385" s="73"/>
      <c r="I385" s="516">
        <v>7033505</v>
      </c>
      <c r="J385" s="74">
        <v>5055482</v>
      </c>
      <c r="K385" s="74">
        <v>4197247</v>
      </c>
      <c r="L385" s="74">
        <v>858235</v>
      </c>
      <c r="M385" s="74">
        <v>125000</v>
      </c>
      <c r="N385" s="74">
        <v>100000</v>
      </c>
      <c r="O385" s="74">
        <v>25000</v>
      </c>
      <c r="P385" s="74">
        <v>1751003</v>
      </c>
      <c r="Q385" s="74">
        <v>50555</v>
      </c>
      <c r="R385" s="74">
        <v>51465</v>
      </c>
      <c r="S385" s="75">
        <v>10.212999999999999</v>
      </c>
      <c r="T385" s="75">
        <v>7.6648999999999994</v>
      </c>
      <c r="U385" s="653">
        <v>2.5480999999999998</v>
      </c>
      <c r="V385" s="516">
        <f t="shared" ref="V385:BX385" si="614">SUM(V379:V384)</f>
        <v>-20000</v>
      </c>
      <c r="W385" s="74">
        <f t="shared" si="614"/>
        <v>-5000</v>
      </c>
      <c r="X385" s="74">
        <f t="shared" si="614"/>
        <v>0</v>
      </c>
      <c r="Y385" s="74">
        <f t="shared" si="614"/>
        <v>0</v>
      </c>
      <c r="Z385" s="74">
        <f t="shared" si="614"/>
        <v>0</v>
      </c>
      <c r="AA385" s="74">
        <f t="shared" si="614"/>
        <v>-2668</v>
      </c>
      <c r="AB385" s="74">
        <f t="shared" si="614"/>
        <v>0</v>
      </c>
      <c r="AC385" s="74">
        <f t="shared" si="614"/>
        <v>0</v>
      </c>
      <c r="AD385" s="74">
        <f t="shared" si="614"/>
        <v>0</v>
      </c>
      <c r="AE385" s="74">
        <f t="shared" si="614"/>
        <v>-20000</v>
      </c>
      <c r="AF385" s="74">
        <f t="shared" si="614"/>
        <v>-7668</v>
      </c>
      <c r="AG385" s="74">
        <f t="shared" si="614"/>
        <v>-27668</v>
      </c>
      <c r="AH385" s="74">
        <f t="shared" si="614"/>
        <v>20000</v>
      </c>
      <c r="AI385" s="74">
        <f t="shared" si="614"/>
        <v>5000</v>
      </c>
      <c r="AJ385" s="74">
        <f t="shared" si="614"/>
        <v>0</v>
      </c>
      <c r="AK385" s="74">
        <f t="shared" si="614"/>
        <v>0</v>
      </c>
      <c r="AL385" s="74">
        <f t="shared" si="614"/>
        <v>0</v>
      </c>
      <c r="AM385" s="74">
        <f t="shared" si="614"/>
        <v>20000</v>
      </c>
      <c r="AN385" s="74">
        <f t="shared" si="614"/>
        <v>5000</v>
      </c>
      <c r="AO385" s="74">
        <f t="shared" si="614"/>
        <v>25000</v>
      </c>
      <c r="AP385" s="74">
        <f t="shared" si="614"/>
        <v>0</v>
      </c>
      <c r="AQ385" s="74">
        <f t="shared" si="614"/>
        <v>-2668</v>
      </c>
      <c r="AR385" s="74">
        <f t="shared" si="614"/>
        <v>-2668</v>
      </c>
      <c r="AS385" s="74">
        <f t="shared" si="614"/>
        <v>-902</v>
      </c>
      <c r="AT385" s="74">
        <f t="shared" si="614"/>
        <v>-277</v>
      </c>
      <c r="AU385" s="74">
        <f t="shared" si="614"/>
        <v>0</v>
      </c>
      <c r="AV385" s="74">
        <f t="shared" si="614"/>
        <v>0</v>
      </c>
      <c r="AW385" s="74">
        <f t="shared" si="614"/>
        <v>0</v>
      </c>
      <c r="AX385" s="74">
        <f t="shared" si="614"/>
        <v>0</v>
      </c>
      <c r="AY385" s="74">
        <f t="shared" si="614"/>
        <v>-3847</v>
      </c>
      <c r="AZ385" s="75">
        <f t="shared" si="614"/>
        <v>-0.03</v>
      </c>
      <c r="BA385" s="75">
        <f t="shared" si="614"/>
        <v>-0.02</v>
      </c>
      <c r="BB385" s="75">
        <f t="shared" si="614"/>
        <v>0</v>
      </c>
      <c r="BC385" s="75">
        <f t="shared" si="614"/>
        <v>0</v>
      </c>
      <c r="BD385" s="75">
        <f t="shared" si="614"/>
        <v>-0.01</v>
      </c>
      <c r="BE385" s="75">
        <f t="shared" si="614"/>
        <v>0</v>
      </c>
      <c r="BF385" s="75">
        <f t="shared" si="614"/>
        <v>0</v>
      </c>
      <c r="BG385" s="75">
        <f t="shared" si="614"/>
        <v>0</v>
      </c>
      <c r="BH385" s="75">
        <f t="shared" si="614"/>
        <v>0</v>
      </c>
      <c r="BI385" s="75">
        <f t="shared" si="614"/>
        <v>-0.03</v>
      </c>
      <c r="BJ385" s="75">
        <f t="shared" si="614"/>
        <v>-0.03</v>
      </c>
      <c r="BK385" s="76">
        <f t="shared" si="614"/>
        <v>-6.0000000000000005E-2</v>
      </c>
      <c r="BL385" s="781">
        <f t="shared" si="614"/>
        <v>7029658</v>
      </c>
      <c r="BM385" s="74">
        <f t="shared" si="614"/>
        <v>5027814</v>
      </c>
      <c r="BN385" s="74">
        <f t="shared" si="614"/>
        <v>4177247</v>
      </c>
      <c r="BO385" s="74">
        <f t="shared" si="614"/>
        <v>850567</v>
      </c>
      <c r="BP385" s="74">
        <f t="shared" si="614"/>
        <v>150000</v>
      </c>
      <c r="BQ385" s="74">
        <f t="shared" si="614"/>
        <v>120000</v>
      </c>
      <c r="BR385" s="74">
        <f t="shared" si="614"/>
        <v>30000</v>
      </c>
      <c r="BS385" s="74">
        <f t="shared" si="614"/>
        <v>1750101</v>
      </c>
      <c r="BT385" s="74">
        <f t="shared" si="614"/>
        <v>50278</v>
      </c>
      <c r="BU385" s="74">
        <f t="shared" si="614"/>
        <v>51465</v>
      </c>
      <c r="BV385" s="75">
        <f t="shared" si="614"/>
        <v>10.153</v>
      </c>
      <c r="BW385" s="75">
        <f t="shared" si="614"/>
        <v>7.6349</v>
      </c>
      <c r="BX385" s="76">
        <f t="shared" si="614"/>
        <v>2.5180999999999996</v>
      </c>
      <c r="BY385" s="791">
        <f t="shared" ref="BY385:CJ385" si="615">SUM(BY379:BY384)</f>
        <v>0</v>
      </c>
      <c r="BZ385" s="679">
        <f t="shared" si="615"/>
        <v>0</v>
      </c>
      <c r="CA385" s="679">
        <f t="shared" si="615"/>
        <v>0</v>
      </c>
      <c r="CB385" s="679">
        <f t="shared" si="615"/>
        <v>0</v>
      </c>
      <c r="CC385" s="679">
        <f t="shared" si="615"/>
        <v>0</v>
      </c>
      <c r="CD385" s="947">
        <f t="shared" si="615"/>
        <v>0</v>
      </c>
      <c r="CE385" s="956">
        <f t="shared" si="615"/>
        <v>177956</v>
      </c>
      <c r="CF385" s="953">
        <f t="shared" si="615"/>
        <v>125355</v>
      </c>
      <c r="CG385" s="953">
        <f t="shared" si="615"/>
        <v>42370</v>
      </c>
      <c r="CH385" s="953">
        <f t="shared" si="615"/>
        <v>1254</v>
      </c>
      <c r="CI385" s="953">
        <f t="shared" si="615"/>
        <v>8977</v>
      </c>
      <c r="CJ385" s="877">
        <f t="shared" si="615"/>
        <v>0.36549999999999999</v>
      </c>
      <c r="CK385" s="53"/>
      <c r="CL385" s="53"/>
    </row>
    <row r="386" spans="1:90" ht="14.1" customHeight="1">
      <c r="A386" s="66">
        <v>77</v>
      </c>
      <c r="B386" s="63">
        <v>2460</v>
      </c>
      <c r="C386" s="64">
        <v>600079783</v>
      </c>
      <c r="D386" s="63">
        <v>72741643</v>
      </c>
      <c r="E386" s="65" t="s">
        <v>687</v>
      </c>
      <c r="F386" s="66">
        <v>3113</v>
      </c>
      <c r="G386" s="65" t="s">
        <v>293</v>
      </c>
      <c r="H386" s="67" t="s">
        <v>271</v>
      </c>
      <c r="I386" s="419">
        <v>47079388</v>
      </c>
      <c r="J386" s="414">
        <v>34321686</v>
      </c>
      <c r="K386" s="414">
        <v>31195469</v>
      </c>
      <c r="L386" s="414">
        <v>3126217</v>
      </c>
      <c r="M386" s="414">
        <v>0</v>
      </c>
      <c r="N386" s="414">
        <v>0</v>
      </c>
      <c r="O386" s="414">
        <v>0</v>
      </c>
      <c r="P386" s="595">
        <v>11600730</v>
      </c>
      <c r="Q386" s="595">
        <v>343217</v>
      </c>
      <c r="R386" s="414">
        <v>813755</v>
      </c>
      <c r="S386" s="415">
        <v>53.578300000000006</v>
      </c>
      <c r="T386" s="415">
        <v>44.036000000000001</v>
      </c>
      <c r="U386" s="422">
        <v>9.5423000000000009</v>
      </c>
      <c r="V386" s="423">
        <f t="shared" si="527"/>
        <v>0</v>
      </c>
      <c r="W386" s="417">
        <f t="shared" si="528"/>
        <v>0</v>
      </c>
      <c r="X386" s="417">
        <v>0</v>
      </c>
      <c r="Y386" s="417">
        <v>84736</v>
      </c>
      <c r="Z386" s="417">
        <v>-92605</v>
      </c>
      <c r="AA386" s="417">
        <v>0</v>
      </c>
      <c r="AB386" s="417">
        <v>0</v>
      </c>
      <c r="AC386" s="417">
        <v>0</v>
      </c>
      <c r="AD386" s="417">
        <v>0</v>
      </c>
      <c r="AE386" s="417">
        <f t="shared" si="529"/>
        <v>-7869</v>
      </c>
      <c r="AF386" s="417">
        <f t="shared" si="530"/>
        <v>0</v>
      </c>
      <c r="AG386" s="417">
        <f t="shared" si="531"/>
        <v>-7869</v>
      </c>
      <c r="AH386" s="417">
        <v>0</v>
      </c>
      <c r="AI386" s="417">
        <v>0</v>
      </c>
      <c r="AJ386" s="417">
        <v>0</v>
      </c>
      <c r="AK386" s="417">
        <v>0</v>
      </c>
      <c r="AL386" s="417">
        <v>0</v>
      </c>
      <c r="AM386" s="417">
        <f t="shared" si="532"/>
        <v>0</v>
      </c>
      <c r="AN386" s="417">
        <f t="shared" si="533"/>
        <v>0</v>
      </c>
      <c r="AO386" s="417">
        <f t="shared" si="534"/>
        <v>0</v>
      </c>
      <c r="AP386" s="417">
        <f t="shared" si="535"/>
        <v>-7869</v>
      </c>
      <c r="AQ386" s="417">
        <f t="shared" si="536"/>
        <v>0</v>
      </c>
      <c r="AR386" s="417">
        <f t="shared" si="537"/>
        <v>-7869</v>
      </c>
      <c r="AS386" s="68">
        <f t="shared" si="538"/>
        <v>-2660</v>
      </c>
      <c r="AT386" s="68">
        <f t="shared" si="539"/>
        <v>-79</v>
      </c>
      <c r="AU386" s="417">
        <v>0</v>
      </c>
      <c r="AV386" s="417">
        <v>0</v>
      </c>
      <c r="AW386" s="417">
        <v>0</v>
      </c>
      <c r="AX386" s="417">
        <f t="shared" si="540"/>
        <v>0</v>
      </c>
      <c r="AY386" s="417">
        <f t="shared" si="541"/>
        <v>-10608</v>
      </c>
      <c r="AZ386" s="418">
        <v>0</v>
      </c>
      <c r="BA386" s="418">
        <v>0</v>
      </c>
      <c r="BB386" s="418">
        <v>0</v>
      </c>
      <c r="BC386" s="418">
        <v>-0.18</v>
      </c>
      <c r="BD386" s="418">
        <v>0</v>
      </c>
      <c r="BE386" s="418">
        <v>0.12</v>
      </c>
      <c r="BF386" s="418">
        <v>0</v>
      </c>
      <c r="BG386" s="418">
        <v>0</v>
      </c>
      <c r="BH386" s="418">
        <v>0</v>
      </c>
      <c r="BI386" s="418">
        <f t="shared" si="542"/>
        <v>-0.06</v>
      </c>
      <c r="BJ386" s="418">
        <f t="shared" si="543"/>
        <v>0</v>
      </c>
      <c r="BK386" s="420">
        <f t="shared" si="544"/>
        <v>-0.06</v>
      </c>
      <c r="BL386" s="772">
        <f>I386+AY386</f>
        <v>47068780</v>
      </c>
      <c r="BM386" s="417">
        <f>J386+AG386</f>
        <v>34313817</v>
      </c>
      <c r="BN386" s="417">
        <f t="shared" ref="BN386:BO390" si="616">K386+AE386</f>
        <v>31187600</v>
      </c>
      <c r="BO386" s="417">
        <f t="shared" si="616"/>
        <v>3126217</v>
      </c>
      <c r="BP386" s="417">
        <f>M386+AO386</f>
        <v>0</v>
      </c>
      <c r="BQ386" s="417">
        <f t="shared" ref="BQ386:BR390" si="617">N386+AM386</f>
        <v>0</v>
      </c>
      <c r="BR386" s="417">
        <f t="shared" si="617"/>
        <v>0</v>
      </c>
      <c r="BS386" s="417">
        <f t="shared" ref="BS386:BT390" si="618">P386+AS386</f>
        <v>11598070</v>
      </c>
      <c r="BT386" s="417">
        <f t="shared" si="618"/>
        <v>343138</v>
      </c>
      <c r="BU386" s="417">
        <f>R386+AX386</f>
        <v>813755</v>
      </c>
      <c r="BV386" s="418">
        <f>S386+BK386</f>
        <v>53.518300000000004</v>
      </c>
      <c r="BW386" s="418">
        <f t="shared" ref="BW386:BX390" si="619">T386+BI386</f>
        <v>43.975999999999999</v>
      </c>
      <c r="BX386" s="420">
        <f t="shared" si="619"/>
        <v>9.5423000000000009</v>
      </c>
      <c r="BY386" s="419">
        <v>684245</v>
      </c>
      <c r="BZ386" s="414">
        <v>507600</v>
      </c>
      <c r="CA386" s="414">
        <v>0</v>
      </c>
      <c r="CB386" s="414">
        <v>171569</v>
      </c>
      <c r="CC386" s="414">
        <v>5076</v>
      </c>
      <c r="CD386" s="422">
        <v>0.9</v>
      </c>
      <c r="CE386" s="419">
        <f t="shared" si="549"/>
        <v>1550209</v>
      </c>
      <c r="CF386" s="414">
        <v>1003479</v>
      </c>
      <c r="CG386" s="414">
        <v>339176</v>
      </c>
      <c r="CH386" s="414">
        <v>10035</v>
      </c>
      <c r="CI386" s="414">
        <v>197519</v>
      </c>
      <c r="CJ386" s="509">
        <v>3.0632000000000001</v>
      </c>
    </row>
    <row r="387" spans="1:90" ht="14.1" customHeight="1">
      <c r="A387" s="66">
        <v>77</v>
      </c>
      <c r="B387" s="63">
        <v>2460</v>
      </c>
      <c r="C387" s="64">
        <v>600079783</v>
      </c>
      <c r="D387" s="63">
        <v>72741643</v>
      </c>
      <c r="E387" s="65" t="s">
        <v>687</v>
      </c>
      <c r="F387" s="66">
        <v>3113</v>
      </c>
      <c r="G387" s="43" t="s">
        <v>292</v>
      </c>
      <c r="H387" s="67" t="s">
        <v>271</v>
      </c>
      <c r="I387" s="419">
        <v>0</v>
      </c>
      <c r="J387" s="414">
        <v>0</v>
      </c>
      <c r="K387" s="414">
        <v>0</v>
      </c>
      <c r="L387" s="414">
        <v>0</v>
      </c>
      <c r="M387" s="414">
        <v>0</v>
      </c>
      <c r="N387" s="414">
        <v>0</v>
      </c>
      <c r="O387" s="414">
        <v>0</v>
      </c>
      <c r="P387" s="595">
        <v>0</v>
      </c>
      <c r="Q387" s="595">
        <v>0</v>
      </c>
      <c r="R387" s="414">
        <v>0</v>
      </c>
      <c r="S387" s="415">
        <v>0</v>
      </c>
      <c r="T387" s="416">
        <v>0</v>
      </c>
      <c r="U387" s="422">
        <v>0</v>
      </c>
      <c r="V387" s="423">
        <f t="shared" si="527"/>
        <v>0</v>
      </c>
      <c r="W387" s="417">
        <f t="shared" si="528"/>
        <v>0</v>
      </c>
      <c r="X387" s="417">
        <v>0</v>
      </c>
      <c r="Y387" s="417">
        <v>0</v>
      </c>
      <c r="Z387" s="417">
        <v>0</v>
      </c>
      <c r="AA387" s="417">
        <v>0</v>
      </c>
      <c r="AB387" s="417">
        <v>0</v>
      </c>
      <c r="AC387" s="417">
        <v>0</v>
      </c>
      <c r="AD387" s="417">
        <v>0</v>
      </c>
      <c r="AE387" s="417">
        <f t="shared" si="529"/>
        <v>0</v>
      </c>
      <c r="AF387" s="417">
        <f t="shared" si="530"/>
        <v>0</v>
      </c>
      <c r="AG387" s="417">
        <f t="shared" si="531"/>
        <v>0</v>
      </c>
      <c r="AH387" s="417">
        <v>0</v>
      </c>
      <c r="AI387" s="417">
        <v>0</v>
      </c>
      <c r="AJ387" s="417">
        <v>0</v>
      </c>
      <c r="AK387" s="417">
        <v>0</v>
      </c>
      <c r="AL387" s="417">
        <v>0</v>
      </c>
      <c r="AM387" s="417">
        <f t="shared" si="532"/>
        <v>0</v>
      </c>
      <c r="AN387" s="417">
        <f t="shared" si="533"/>
        <v>0</v>
      </c>
      <c r="AO387" s="417">
        <f t="shared" si="534"/>
        <v>0</v>
      </c>
      <c r="AP387" s="417">
        <f t="shared" si="535"/>
        <v>0</v>
      </c>
      <c r="AQ387" s="417">
        <f t="shared" si="536"/>
        <v>0</v>
      </c>
      <c r="AR387" s="417">
        <f t="shared" si="537"/>
        <v>0</v>
      </c>
      <c r="AS387" s="68">
        <f t="shared" si="538"/>
        <v>0</v>
      </c>
      <c r="AT387" s="68">
        <f t="shared" si="539"/>
        <v>0</v>
      </c>
      <c r="AU387" s="417">
        <v>0</v>
      </c>
      <c r="AV387" s="417">
        <v>0</v>
      </c>
      <c r="AW387" s="417">
        <v>0</v>
      </c>
      <c r="AX387" s="417">
        <f t="shared" si="540"/>
        <v>0</v>
      </c>
      <c r="AY387" s="417">
        <f t="shared" si="541"/>
        <v>0</v>
      </c>
      <c r="AZ387" s="418">
        <v>0</v>
      </c>
      <c r="BA387" s="418">
        <v>0</v>
      </c>
      <c r="BB387" s="418">
        <v>0</v>
      </c>
      <c r="BC387" s="418">
        <v>0</v>
      </c>
      <c r="BD387" s="418">
        <v>0</v>
      </c>
      <c r="BE387" s="418">
        <v>0</v>
      </c>
      <c r="BF387" s="418">
        <v>0</v>
      </c>
      <c r="BG387" s="418">
        <v>0</v>
      </c>
      <c r="BH387" s="418">
        <v>0</v>
      </c>
      <c r="BI387" s="418">
        <f t="shared" si="542"/>
        <v>0</v>
      </c>
      <c r="BJ387" s="418">
        <f t="shared" si="543"/>
        <v>0</v>
      </c>
      <c r="BK387" s="420">
        <f t="shared" si="544"/>
        <v>0</v>
      </c>
      <c r="BL387" s="772">
        <f>I387+AY387</f>
        <v>0</v>
      </c>
      <c r="BM387" s="417">
        <f>J387+AG387</f>
        <v>0</v>
      </c>
      <c r="BN387" s="417">
        <f t="shared" si="616"/>
        <v>0</v>
      </c>
      <c r="BO387" s="417">
        <f t="shared" si="616"/>
        <v>0</v>
      </c>
      <c r="BP387" s="417">
        <f>M387+AO387</f>
        <v>0</v>
      </c>
      <c r="BQ387" s="417">
        <f t="shared" si="617"/>
        <v>0</v>
      </c>
      <c r="BR387" s="417">
        <f t="shared" si="617"/>
        <v>0</v>
      </c>
      <c r="BS387" s="417">
        <f t="shared" si="618"/>
        <v>0</v>
      </c>
      <c r="BT387" s="417">
        <f t="shared" si="618"/>
        <v>0</v>
      </c>
      <c r="BU387" s="417">
        <f>R387+AX387</f>
        <v>0</v>
      </c>
      <c r="BV387" s="418">
        <f>S387+BK387</f>
        <v>0</v>
      </c>
      <c r="BW387" s="418">
        <f t="shared" si="619"/>
        <v>0</v>
      </c>
      <c r="BX387" s="420">
        <f t="shared" si="619"/>
        <v>0</v>
      </c>
      <c r="BY387" s="419"/>
      <c r="BZ387" s="414"/>
      <c r="CA387" s="414"/>
      <c r="CB387" s="414"/>
      <c r="CC387" s="414"/>
      <c r="CD387" s="422"/>
      <c r="CE387" s="419">
        <f t="shared" si="549"/>
        <v>0</v>
      </c>
      <c r="CF387" s="414">
        <v>0</v>
      </c>
      <c r="CG387" s="414">
        <v>0</v>
      </c>
      <c r="CH387" s="414">
        <v>0</v>
      </c>
      <c r="CI387" s="414">
        <v>0</v>
      </c>
      <c r="CJ387" s="509">
        <v>0</v>
      </c>
    </row>
    <row r="388" spans="1:90" ht="14.1" customHeight="1">
      <c r="A388" s="66">
        <v>77</v>
      </c>
      <c r="B388" s="63">
        <v>2460</v>
      </c>
      <c r="C388" s="64">
        <v>600079783</v>
      </c>
      <c r="D388" s="63">
        <v>72741643</v>
      </c>
      <c r="E388" s="65" t="s">
        <v>687</v>
      </c>
      <c r="F388" s="66">
        <v>3113</v>
      </c>
      <c r="G388" s="77" t="s">
        <v>291</v>
      </c>
      <c r="H388" s="67" t="s">
        <v>272</v>
      </c>
      <c r="I388" s="419">
        <v>787134</v>
      </c>
      <c r="J388" s="414">
        <v>580960</v>
      </c>
      <c r="K388" s="414">
        <v>580960</v>
      </c>
      <c r="L388" s="414">
        <v>0</v>
      </c>
      <c r="M388" s="414">
        <v>0</v>
      </c>
      <c r="N388" s="414">
        <v>0</v>
      </c>
      <c r="O388" s="414">
        <v>0</v>
      </c>
      <c r="P388" s="595">
        <v>196364</v>
      </c>
      <c r="Q388" s="595">
        <v>5810</v>
      </c>
      <c r="R388" s="414">
        <v>4000</v>
      </c>
      <c r="S388" s="415">
        <v>1.55</v>
      </c>
      <c r="T388" s="416">
        <v>1.55</v>
      </c>
      <c r="U388" s="422">
        <v>0</v>
      </c>
      <c r="V388" s="423">
        <f t="shared" si="527"/>
        <v>0</v>
      </c>
      <c r="W388" s="417">
        <f t="shared" si="528"/>
        <v>0</v>
      </c>
      <c r="X388" s="417">
        <v>46350</v>
      </c>
      <c r="Y388" s="417">
        <v>0</v>
      </c>
      <c r="Z388" s="417">
        <v>0</v>
      </c>
      <c r="AA388" s="417">
        <v>0</v>
      </c>
      <c r="AB388" s="417">
        <v>0</v>
      </c>
      <c r="AC388" s="417">
        <v>0</v>
      </c>
      <c r="AD388" s="417">
        <v>0</v>
      </c>
      <c r="AE388" s="417">
        <f t="shared" si="529"/>
        <v>46350</v>
      </c>
      <c r="AF388" s="417">
        <f t="shared" si="530"/>
        <v>0</v>
      </c>
      <c r="AG388" s="417">
        <f t="shared" si="531"/>
        <v>46350</v>
      </c>
      <c r="AH388" s="417">
        <v>0</v>
      </c>
      <c r="AI388" s="417">
        <v>0</v>
      </c>
      <c r="AJ388" s="417">
        <v>0</v>
      </c>
      <c r="AK388" s="417">
        <v>0</v>
      </c>
      <c r="AL388" s="417">
        <v>0</v>
      </c>
      <c r="AM388" s="417">
        <f t="shared" si="532"/>
        <v>0</v>
      </c>
      <c r="AN388" s="417">
        <f t="shared" si="533"/>
        <v>0</v>
      </c>
      <c r="AO388" s="417">
        <f t="shared" si="534"/>
        <v>0</v>
      </c>
      <c r="AP388" s="417">
        <f t="shared" si="535"/>
        <v>46350</v>
      </c>
      <c r="AQ388" s="417">
        <f t="shared" si="536"/>
        <v>0</v>
      </c>
      <c r="AR388" s="417">
        <f t="shared" si="537"/>
        <v>46350</v>
      </c>
      <c r="AS388" s="68">
        <f t="shared" si="538"/>
        <v>15666</v>
      </c>
      <c r="AT388" s="68">
        <f t="shared" si="539"/>
        <v>464</v>
      </c>
      <c r="AU388" s="417">
        <v>2000</v>
      </c>
      <c r="AV388" s="417">
        <v>0</v>
      </c>
      <c r="AW388" s="417">
        <v>0</v>
      </c>
      <c r="AX388" s="417">
        <f t="shared" si="540"/>
        <v>2000</v>
      </c>
      <c r="AY388" s="417">
        <f t="shared" si="541"/>
        <v>64480</v>
      </c>
      <c r="AZ388" s="418">
        <v>0</v>
      </c>
      <c r="BA388" s="418">
        <v>0</v>
      </c>
      <c r="BB388" s="418">
        <v>0.13</v>
      </c>
      <c r="BC388" s="418">
        <v>0</v>
      </c>
      <c r="BD388" s="418">
        <v>0</v>
      </c>
      <c r="BE388" s="418">
        <v>0</v>
      </c>
      <c r="BF388" s="418">
        <v>0</v>
      </c>
      <c r="BG388" s="418">
        <v>0</v>
      </c>
      <c r="BH388" s="418">
        <v>0</v>
      </c>
      <c r="BI388" s="418">
        <f t="shared" si="542"/>
        <v>0.13</v>
      </c>
      <c r="BJ388" s="418">
        <f t="shared" si="543"/>
        <v>0</v>
      </c>
      <c r="BK388" s="420">
        <f t="shared" si="544"/>
        <v>0.13</v>
      </c>
      <c r="BL388" s="772">
        <f>I388+AY388</f>
        <v>851614</v>
      </c>
      <c r="BM388" s="417">
        <f>J388+AG388</f>
        <v>627310</v>
      </c>
      <c r="BN388" s="417">
        <f t="shared" si="616"/>
        <v>627310</v>
      </c>
      <c r="BO388" s="417">
        <f t="shared" si="616"/>
        <v>0</v>
      </c>
      <c r="BP388" s="417">
        <f>M388+AO388</f>
        <v>0</v>
      </c>
      <c r="BQ388" s="417">
        <f t="shared" si="617"/>
        <v>0</v>
      </c>
      <c r="BR388" s="417">
        <f t="shared" si="617"/>
        <v>0</v>
      </c>
      <c r="BS388" s="417">
        <f t="shared" si="618"/>
        <v>212030</v>
      </c>
      <c r="BT388" s="417">
        <f t="shared" si="618"/>
        <v>6274</v>
      </c>
      <c r="BU388" s="417">
        <f>R388+AX388</f>
        <v>6000</v>
      </c>
      <c r="BV388" s="418">
        <f>S388+BK388</f>
        <v>1.6800000000000002</v>
      </c>
      <c r="BW388" s="418">
        <f t="shared" si="619"/>
        <v>1.6800000000000002</v>
      </c>
      <c r="BX388" s="420">
        <f t="shared" si="619"/>
        <v>0</v>
      </c>
      <c r="BY388" s="419"/>
      <c r="BZ388" s="414"/>
      <c r="CA388" s="414"/>
      <c r="CB388" s="414"/>
      <c r="CC388" s="414"/>
      <c r="CD388" s="422"/>
      <c r="CE388" s="419">
        <f t="shared" si="549"/>
        <v>0</v>
      </c>
      <c r="CF388" s="414">
        <v>0</v>
      </c>
      <c r="CG388" s="414">
        <v>0</v>
      </c>
      <c r="CH388" s="414">
        <v>0</v>
      </c>
      <c r="CI388" s="414">
        <v>0</v>
      </c>
      <c r="CJ388" s="509">
        <v>0</v>
      </c>
    </row>
    <row r="389" spans="1:90" ht="14.1" customHeight="1">
      <c r="A389" s="66">
        <v>77</v>
      </c>
      <c r="B389" s="63">
        <v>2460</v>
      </c>
      <c r="C389" s="64">
        <v>600079783</v>
      </c>
      <c r="D389" s="63">
        <v>72741643</v>
      </c>
      <c r="E389" s="65" t="s">
        <v>687</v>
      </c>
      <c r="F389" s="66">
        <v>3143</v>
      </c>
      <c r="G389" s="77" t="s">
        <v>595</v>
      </c>
      <c r="H389" s="67" t="s">
        <v>271</v>
      </c>
      <c r="I389" s="419">
        <v>2996854</v>
      </c>
      <c r="J389" s="414">
        <v>2223185</v>
      </c>
      <c r="K389" s="414">
        <v>2223185</v>
      </c>
      <c r="L389" s="414">
        <v>0</v>
      </c>
      <c r="M389" s="414">
        <v>0</v>
      </c>
      <c r="N389" s="414">
        <v>0</v>
      </c>
      <c r="O389" s="414">
        <v>0</v>
      </c>
      <c r="P389" s="595">
        <v>751437</v>
      </c>
      <c r="Q389" s="595">
        <v>22232</v>
      </c>
      <c r="R389" s="414">
        <v>0</v>
      </c>
      <c r="S389" s="415">
        <v>4.3213999999999997</v>
      </c>
      <c r="T389" s="415">
        <v>4.3213999999999997</v>
      </c>
      <c r="U389" s="422">
        <v>0</v>
      </c>
      <c r="V389" s="423">
        <f t="shared" si="527"/>
        <v>0</v>
      </c>
      <c r="W389" s="417">
        <f t="shared" si="528"/>
        <v>0</v>
      </c>
      <c r="X389" s="417">
        <v>0</v>
      </c>
      <c r="Y389" s="417">
        <v>0</v>
      </c>
      <c r="Z389" s="417">
        <v>0</v>
      </c>
      <c r="AA389" s="417">
        <v>0</v>
      </c>
      <c r="AB389" s="417">
        <v>0</v>
      </c>
      <c r="AC389" s="417">
        <v>0</v>
      </c>
      <c r="AD389" s="417">
        <v>0</v>
      </c>
      <c r="AE389" s="417">
        <f t="shared" si="529"/>
        <v>0</v>
      </c>
      <c r="AF389" s="417">
        <f t="shared" si="530"/>
        <v>0</v>
      </c>
      <c r="AG389" s="417">
        <f t="shared" si="531"/>
        <v>0</v>
      </c>
      <c r="AH389" s="417">
        <v>0</v>
      </c>
      <c r="AI389" s="417">
        <v>0</v>
      </c>
      <c r="AJ389" s="417">
        <v>0</v>
      </c>
      <c r="AK389" s="417">
        <v>0</v>
      </c>
      <c r="AL389" s="417">
        <v>0</v>
      </c>
      <c r="AM389" s="417">
        <f t="shared" si="532"/>
        <v>0</v>
      </c>
      <c r="AN389" s="417">
        <f t="shared" si="533"/>
        <v>0</v>
      </c>
      <c r="AO389" s="417">
        <f t="shared" si="534"/>
        <v>0</v>
      </c>
      <c r="AP389" s="417">
        <f t="shared" si="535"/>
        <v>0</v>
      </c>
      <c r="AQ389" s="417">
        <f t="shared" si="536"/>
        <v>0</v>
      </c>
      <c r="AR389" s="417">
        <f t="shared" si="537"/>
        <v>0</v>
      </c>
      <c r="AS389" s="68">
        <f t="shared" si="538"/>
        <v>0</v>
      </c>
      <c r="AT389" s="68">
        <f t="shared" si="539"/>
        <v>0</v>
      </c>
      <c r="AU389" s="417">
        <v>0</v>
      </c>
      <c r="AV389" s="417">
        <v>0</v>
      </c>
      <c r="AW389" s="417">
        <v>0</v>
      </c>
      <c r="AX389" s="417">
        <f t="shared" si="540"/>
        <v>0</v>
      </c>
      <c r="AY389" s="417">
        <f t="shared" si="541"/>
        <v>0</v>
      </c>
      <c r="AZ389" s="418">
        <v>0</v>
      </c>
      <c r="BA389" s="418">
        <v>0</v>
      </c>
      <c r="BB389" s="418">
        <v>0</v>
      </c>
      <c r="BC389" s="418">
        <v>0</v>
      </c>
      <c r="BD389" s="418">
        <v>0</v>
      </c>
      <c r="BE389" s="418">
        <v>0</v>
      </c>
      <c r="BF389" s="418">
        <v>0</v>
      </c>
      <c r="BG389" s="418">
        <v>0</v>
      </c>
      <c r="BH389" s="418">
        <v>0</v>
      </c>
      <c r="BI389" s="418">
        <f t="shared" si="542"/>
        <v>0</v>
      </c>
      <c r="BJ389" s="418">
        <f t="shared" si="543"/>
        <v>0</v>
      </c>
      <c r="BK389" s="420">
        <f t="shared" si="544"/>
        <v>0</v>
      </c>
      <c r="BL389" s="772">
        <f>I389+AY389</f>
        <v>2996854</v>
      </c>
      <c r="BM389" s="417">
        <f>J389+AG389</f>
        <v>2223185</v>
      </c>
      <c r="BN389" s="417">
        <f t="shared" si="616"/>
        <v>2223185</v>
      </c>
      <c r="BO389" s="417">
        <f t="shared" si="616"/>
        <v>0</v>
      </c>
      <c r="BP389" s="417">
        <f>M389+AO389</f>
        <v>0</v>
      </c>
      <c r="BQ389" s="417">
        <f t="shared" si="617"/>
        <v>0</v>
      </c>
      <c r="BR389" s="417">
        <f t="shared" si="617"/>
        <v>0</v>
      </c>
      <c r="BS389" s="417">
        <f t="shared" si="618"/>
        <v>751437</v>
      </c>
      <c r="BT389" s="417">
        <f t="shared" si="618"/>
        <v>22232</v>
      </c>
      <c r="BU389" s="417">
        <f>R389+AX389</f>
        <v>0</v>
      </c>
      <c r="BV389" s="418">
        <f>S389+BK389</f>
        <v>4.3213999999999997</v>
      </c>
      <c r="BW389" s="418">
        <f t="shared" si="619"/>
        <v>4.3213999999999997</v>
      </c>
      <c r="BX389" s="420">
        <f t="shared" si="619"/>
        <v>0</v>
      </c>
      <c r="BY389" s="419"/>
      <c r="BZ389" s="414"/>
      <c r="CA389" s="414"/>
      <c r="CB389" s="414"/>
      <c r="CC389" s="414"/>
      <c r="CD389" s="422"/>
      <c r="CE389" s="419">
        <f t="shared" si="549"/>
        <v>0</v>
      </c>
      <c r="CF389" s="414">
        <v>0</v>
      </c>
      <c r="CG389" s="414">
        <v>0</v>
      </c>
      <c r="CH389" s="414">
        <v>0</v>
      </c>
      <c r="CI389" s="414">
        <v>0</v>
      </c>
      <c r="CJ389" s="509">
        <v>0</v>
      </c>
    </row>
    <row r="390" spans="1:90" ht="14.1" customHeight="1">
      <c r="A390" s="66">
        <v>77</v>
      </c>
      <c r="B390" s="63">
        <v>2460</v>
      </c>
      <c r="C390" s="64">
        <v>600079783</v>
      </c>
      <c r="D390" s="63">
        <v>72741643</v>
      </c>
      <c r="E390" s="65" t="s">
        <v>687</v>
      </c>
      <c r="F390" s="66">
        <v>3143</v>
      </c>
      <c r="G390" s="77" t="s">
        <v>596</v>
      </c>
      <c r="H390" s="67" t="s">
        <v>272</v>
      </c>
      <c r="I390" s="419">
        <v>106039</v>
      </c>
      <c r="J390" s="414">
        <v>75900</v>
      </c>
      <c r="K390" s="414">
        <v>0</v>
      </c>
      <c r="L390" s="601">
        <v>75900</v>
      </c>
      <c r="M390" s="414">
        <v>0</v>
      </c>
      <c r="N390" s="414">
        <v>0</v>
      </c>
      <c r="O390" s="414">
        <v>0</v>
      </c>
      <c r="P390" s="595">
        <v>25654</v>
      </c>
      <c r="Q390" s="595">
        <v>759</v>
      </c>
      <c r="R390" s="602">
        <v>3726</v>
      </c>
      <c r="S390" s="415">
        <v>0.29170000000000001</v>
      </c>
      <c r="T390" s="605">
        <v>0</v>
      </c>
      <c r="U390" s="731">
        <v>0.29170000000000001</v>
      </c>
      <c r="V390" s="423">
        <f t="shared" si="527"/>
        <v>0</v>
      </c>
      <c r="W390" s="417">
        <f t="shared" si="528"/>
        <v>0</v>
      </c>
      <c r="X390" s="417">
        <v>0</v>
      </c>
      <c r="Y390" s="417">
        <v>0</v>
      </c>
      <c r="Z390" s="417">
        <v>0</v>
      </c>
      <c r="AA390" s="417">
        <v>0</v>
      </c>
      <c r="AB390" s="417">
        <v>0</v>
      </c>
      <c r="AC390" s="417">
        <v>0</v>
      </c>
      <c r="AD390" s="417">
        <v>0</v>
      </c>
      <c r="AE390" s="417">
        <f t="shared" si="529"/>
        <v>0</v>
      </c>
      <c r="AF390" s="417">
        <f t="shared" si="530"/>
        <v>0</v>
      </c>
      <c r="AG390" s="417">
        <f t="shared" si="531"/>
        <v>0</v>
      </c>
      <c r="AH390" s="417">
        <v>0</v>
      </c>
      <c r="AI390" s="417">
        <v>0</v>
      </c>
      <c r="AJ390" s="417">
        <v>0</v>
      </c>
      <c r="AK390" s="417">
        <v>0</v>
      </c>
      <c r="AL390" s="417">
        <v>0</v>
      </c>
      <c r="AM390" s="417">
        <f t="shared" si="532"/>
        <v>0</v>
      </c>
      <c r="AN390" s="417">
        <f t="shared" si="533"/>
        <v>0</v>
      </c>
      <c r="AO390" s="417">
        <f t="shared" si="534"/>
        <v>0</v>
      </c>
      <c r="AP390" s="417">
        <f t="shared" si="535"/>
        <v>0</v>
      </c>
      <c r="AQ390" s="417">
        <f t="shared" si="536"/>
        <v>0</v>
      </c>
      <c r="AR390" s="417">
        <f t="shared" si="537"/>
        <v>0</v>
      </c>
      <c r="AS390" s="68">
        <f t="shared" si="538"/>
        <v>0</v>
      </c>
      <c r="AT390" s="68">
        <f t="shared" si="539"/>
        <v>0</v>
      </c>
      <c r="AU390" s="417">
        <v>0</v>
      </c>
      <c r="AV390" s="417">
        <v>0</v>
      </c>
      <c r="AW390" s="417">
        <v>0</v>
      </c>
      <c r="AX390" s="417">
        <f t="shared" si="540"/>
        <v>0</v>
      </c>
      <c r="AY390" s="417">
        <f t="shared" si="541"/>
        <v>0</v>
      </c>
      <c r="AZ390" s="418">
        <v>0</v>
      </c>
      <c r="BA390" s="418">
        <v>0</v>
      </c>
      <c r="BB390" s="418">
        <v>0</v>
      </c>
      <c r="BC390" s="418">
        <v>0</v>
      </c>
      <c r="BD390" s="418">
        <v>0</v>
      </c>
      <c r="BE390" s="418">
        <v>0</v>
      </c>
      <c r="BF390" s="418">
        <v>0</v>
      </c>
      <c r="BG390" s="418">
        <v>0</v>
      </c>
      <c r="BH390" s="418">
        <v>0</v>
      </c>
      <c r="BI390" s="418">
        <f t="shared" si="542"/>
        <v>0</v>
      </c>
      <c r="BJ390" s="418">
        <f t="shared" si="543"/>
        <v>0</v>
      </c>
      <c r="BK390" s="420">
        <f t="shared" si="544"/>
        <v>0</v>
      </c>
      <c r="BL390" s="772">
        <f>I390+AY390</f>
        <v>106039</v>
      </c>
      <c r="BM390" s="417">
        <f>J390+AG390</f>
        <v>75900</v>
      </c>
      <c r="BN390" s="417">
        <f t="shared" si="616"/>
        <v>0</v>
      </c>
      <c r="BO390" s="417">
        <f t="shared" si="616"/>
        <v>75900</v>
      </c>
      <c r="BP390" s="417">
        <f>M390+AO390</f>
        <v>0</v>
      </c>
      <c r="BQ390" s="417">
        <f t="shared" si="617"/>
        <v>0</v>
      </c>
      <c r="BR390" s="417">
        <f t="shared" si="617"/>
        <v>0</v>
      </c>
      <c r="BS390" s="417">
        <f t="shared" si="618"/>
        <v>25654</v>
      </c>
      <c r="BT390" s="417">
        <f t="shared" si="618"/>
        <v>759</v>
      </c>
      <c r="BU390" s="417">
        <f>R390+AX390</f>
        <v>3726</v>
      </c>
      <c r="BV390" s="418">
        <f>S390+BK390</f>
        <v>0.29170000000000001</v>
      </c>
      <c r="BW390" s="418">
        <f t="shared" si="619"/>
        <v>0</v>
      </c>
      <c r="BX390" s="420">
        <f t="shared" si="619"/>
        <v>0.29170000000000001</v>
      </c>
      <c r="BY390" s="419"/>
      <c r="BZ390" s="414"/>
      <c r="CA390" s="414"/>
      <c r="CB390" s="414"/>
      <c r="CC390" s="414"/>
      <c r="CD390" s="422"/>
      <c r="CE390" s="419">
        <f t="shared" si="549"/>
        <v>0</v>
      </c>
      <c r="CF390" s="414">
        <v>0</v>
      </c>
      <c r="CG390" s="414">
        <v>0</v>
      </c>
      <c r="CH390" s="414">
        <v>0</v>
      </c>
      <c r="CI390" s="414">
        <v>0</v>
      </c>
      <c r="CJ390" s="509">
        <v>0</v>
      </c>
    </row>
    <row r="391" spans="1:90" ht="14.1" customHeight="1">
      <c r="A391" s="72">
        <v>77</v>
      </c>
      <c r="B391" s="69">
        <v>2460</v>
      </c>
      <c r="C391" s="70">
        <v>600079783</v>
      </c>
      <c r="D391" s="69">
        <v>72741643</v>
      </c>
      <c r="E391" s="71" t="s">
        <v>688</v>
      </c>
      <c r="F391" s="72"/>
      <c r="G391" s="71"/>
      <c r="H391" s="73"/>
      <c r="I391" s="516">
        <v>50969415</v>
      </c>
      <c r="J391" s="74">
        <v>37201731</v>
      </c>
      <c r="K391" s="74">
        <v>33999614</v>
      </c>
      <c r="L391" s="74">
        <v>3202117</v>
      </c>
      <c r="M391" s="74">
        <v>0</v>
      </c>
      <c r="N391" s="74">
        <v>0</v>
      </c>
      <c r="O391" s="74">
        <v>0</v>
      </c>
      <c r="P391" s="74">
        <v>12574185</v>
      </c>
      <c r="Q391" s="74">
        <v>372018</v>
      </c>
      <c r="R391" s="74">
        <v>821481</v>
      </c>
      <c r="S391" s="75">
        <v>59.741399999999999</v>
      </c>
      <c r="T391" s="75">
        <v>49.907399999999996</v>
      </c>
      <c r="U391" s="653">
        <v>9.8340000000000014</v>
      </c>
      <c r="V391" s="516">
        <f t="shared" ref="V391:BX391" si="620">SUM(V386:V390)</f>
        <v>0</v>
      </c>
      <c r="W391" s="74">
        <f t="shared" si="620"/>
        <v>0</v>
      </c>
      <c r="X391" s="74">
        <f t="shared" si="620"/>
        <v>46350</v>
      </c>
      <c r="Y391" s="74">
        <f t="shared" si="620"/>
        <v>84736</v>
      </c>
      <c r="Z391" s="74">
        <f t="shared" si="620"/>
        <v>-92605</v>
      </c>
      <c r="AA391" s="74">
        <f t="shared" si="620"/>
        <v>0</v>
      </c>
      <c r="AB391" s="74">
        <f t="shared" si="620"/>
        <v>0</v>
      </c>
      <c r="AC391" s="74">
        <f t="shared" si="620"/>
        <v>0</v>
      </c>
      <c r="AD391" s="74">
        <f t="shared" si="620"/>
        <v>0</v>
      </c>
      <c r="AE391" s="74">
        <f t="shared" si="620"/>
        <v>38481</v>
      </c>
      <c r="AF391" s="74">
        <f t="shared" si="620"/>
        <v>0</v>
      </c>
      <c r="AG391" s="74">
        <f t="shared" si="620"/>
        <v>38481</v>
      </c>
      <c r="AH391" s="74">
        <f t="shared" si="620"/>
        <v>0</v>
      </c>
      <c r="AI391" s="74">
        <f t="shared" si="620"/>
        <v>0</v>
      </c>
      <c r="AJ391" s="74">
        <f t="shared" si="620"/>
        <v>0</v>
      </c>
      <c r="AK391" s="74">
        <f t="shared" si="620"/>
        <v>0</v>
      </c>
      <c r="AL391" s="74">
        <f t="shared" si="620"/>
        <v>0</v>
      </c>
      <c r="AM391" s="74">
        <f t="shared" si="620"/>
        <v>0</v>
      </c>
      <c r="AN391" s="74">
        <f t="shared" si="620"/>
        <v>0</v>
      </c>
      <c r="AO391" s="74">
        <f t="shared" si="620"/>
        <v>0</v>
      </c>
      <c r="AP391" s="74">
        <f t="shared" si="620"/>
        <v>38481</v>
      </c>
      <c r="AQ391" s="74">
        <f t="shared" si="620"/>
        <v>0</v>
      </c>
      <c r="AR391" s="74">
        <f t="shared" si="620"/>
        <v>38481</v>
      </c>
      <c r="AS391" s="74">
        <f t="shared" si="620"/>
        <v>13006</v>
      </c>
      <c r="AT391" s="74">
        <f t="shared" si="620"/>
        <v>385</v>
      </c>
      <c r="AU391" s="74">
        <f t="shared" si="620"/>
        <v>2000</v>
      </c>
      <c r="AV391" s="74">
        <f t="shared" si="620"/>
        <v>0</v>
      </c>
      <c r="AW391" s="74">
        <f t="shared" si="620"/>
        <v>0</v>
      </c>
      <c r="AX391" s="74">
        <f t="shared" si="620"/>
        <v>2000</v>
      </c>
      <c r="AY391" s="74">
        <f t="shared" si="620"/>
        <v>53872</v>
      </c>
      <c r="AZ391" s="75">
        <f t="shared" si="620"/>
        <v>0</v>
      </c>
      <c r="BA391" s="75">
        <f t="shared" si="620"/>
        <v>0</v>
      </c>
      <c r="BB391" s="75">
        <f t="shared" si="620"/>
        <v>0.13</v>
      </c>
      <c r="BC391" s="75">
        <f t="shared" si="620"/>
        <v>-0.18</v>
      </c>
      <c r="BD391" s="75">
        <f t="shared" si="620"/>
        <v>0</v>
      </c>
      <c r="BE391" s="75">
        <f t="shared" si="620"/>
        <v>0.12</v>
      </c>
      <c r="BF391" s="75">
        <f t="shared" si="620"/>
        <v>0</v>
      </c>
      <c r="BG391" s="75">
        <f t="shared" si="620"/>
        <v>0</v>
      </c>
      <c r="BH391" s="75">
        <f t="shared" si="620"/>
        <v>0</v>
      </c>
      <c r="BI391" s="75">
        <f t="shared" si="620"/>
        <v>7.0000000000000007E-2</v>
      </c>
      <c r="BJ391" s="75">
        <f t="shared" si="620"/>
        <v>0</v>
      </c>
      <c r="BK391" s="76">
        <f t="shared" si="620"/>
        <v>7.0000000000000007E-2</v>
      </c>
      <c r="BL391" s="781">
        <f t="shared" si="620"/>
        <v>51023287</v>
      </c>
      <c r="BM391" s="74">
        <f t="shared" si="620"/>
        <v>37240212</v>
      </c>
      <c r="BN391" s="74">
        <f t="shared" si="620"/>
        <v>34038095</v>
      </c>
      <c r="BO391" s="74">
        <f t="shared" si="620"/>
        <v>3202117</v>
      </c>
      <c r="BP391" s="74">
        <f t="shared" si="620"/>
        <v>0</v>
      </c>
      <c r="BQ391" s="74">
        <f t="shared" si="620"/>
        <v>0</v>
      </c>
      <c r="BR391" s="74">
        <f t="shared" si="620"/>
        <v>0</v>
      </c>
      <c r="BS391" s="74">
        <f t="shared" si="620"/>
        <v>12587191</v>
      </c>
      <c r="BT391" s="74">
        <f t="shared" si="620"/>
        <v>372403</v>
      </c>
      <c r="BU391" s="74">
        <f t="shared" si="620"/>
        <v>823481</v>
      </c>
      <c r="BV391" s="75">
        <f t="shared" si="620"/>
        <v>59.811399999999999</v>
      </c>
      <c r="BW391" s="75">
        <f t="shared" si="620"/>
        <v>49.977399999999996</v>
      </c>
      <c r="BX391" s="76">
        <f t="shared" si="620"/>
        <v>9.8340000000000014</v>
      </c>
      <c r="BY391" s="791">
        <f t="shared" ref="BY391:CJ391" si="621">SUM(BY386:BY390)</f>
        <v>684245</v>
      </c>
      <c r="BZ391" s="679">
        <f t="shared" si="621"/>
        <v>507600</v>
      </c>
      <c r="CA391" s="679">
        <f t="shared" si="621"/>
        <v>0</v>
      </c>
      <c r="CB391" s="679">
        <f t="shared" si="621"/>
        <v>171569</v>
      </c>
      <c r="CC391" s="679">
        <f t="shared" si="621"/>
        <v>5076</v>
      </c>
      <c r="CD391" s="947">
        <f t="shared" si="621"/>
        <v>0.9</v>
      </c>
      <c r="CE391" s="956">
        <f t="shared" si="621"/>
        <v>1550209</v>
      </c>
      <c r="CF391" s="953">
        <f t="shared" si="621"/>
        <v>1003479</v>
      </c>
      <c r="CG391" s="953">
        <f t="shared" si="621"/>
        <v>339176</v>
      </c>
      <c r="CH391" s="953">
        <f t="shared" si="621"/>
        <v>10035</v>
      </c>
      <c r="CI391" s="953">
        <f t="shared" si="621"/>
        <v>197519</v>
      </c>
      <c r="CJ391" s="877">
        <f t="shared" si="621"/>
        <v>3.0632000000000001</v>
      </c>
    </row>
    <row r="392" spans="1:90" ht="14.1" customHeight="1">
      <c r="A392" s="66">
        <v>78</v>
      </c>
      <c r="B392" s="63">
        <v>2324</v>
      </c>
      <c r="C392" s="64">
        <v>600074030</v>
      </c>
      <c r="D392" s="63">
        <v>71013083</v>
      </c>
      <c r="E392" s="189" t="s">
        <v>848</v>
      </c>
      <c r="F392" s="790">
        <v>3111</v>
      </c>
      <c r="G392" s="65" t="s">
        <v>290</v>
      </c>
      <c r="H392" s="67" t="s">
        <v>271</v>
      </c>
      <c r="I392" s="419">
        <v>12283945</v>
      </c>
      <c r="J392" s="414">
        <v>9043622</v>
      </c>
      <c r="K392" s="414">
        <v>7859527</v>
      </c>
      <c r="L392" s="414">
        <v>1184095</v>
      </c>
      <c r="M392" s="414">
        <v>23500</v>
      </c>
      <c r="N392" s="414">
        <v>11750</v>
      </c>
      <c r="O392" s="414">
        <v>11750</v>
      </c>
      <c r="P392" s="595">
        <v>3064687</v>
      </c>
      <c r="Q392" s="595">
        <v>90436</v>
      </c>
      <c r="R392" s="414">
        <v>61700</v>
      </c>
      <c r="S392" s="415">
        <v>17.904500000000002</v>
      </c>
      <c r="T392" s="415">
        <v>13.850900000000001</v>
      </c>
      <c r="U392" s="422">
        <v>4.0536000000000012</v>
      </c>
      <c r="V392" s="423">
        <f t="shared" si="527"/>
        <v>0</v>
      </c>
      <c r="W392" s="417">
        <f t="shared" si="528"/>
        <v>0</v>
      </c>
      <c r="X392" s="417">
        <v>0</v>
      </c>
      <c r="Y392" s="417">
        <v>0</v>
      </c>
      <c r="Z392" s="417">
        <v>0</v>
      </c>
      <c r="AA392" s="417">
        <v>0</v>
      </c>
      <c r="AB392" s="417">
        <v>0</v>
      </c>
      <c r="AC392" s="417">
        <v>0</v>
      </c>
      <c r="AD392" s="417">
        <v>0</v>
      </c>
      <c r="AE392" s="417">
        <f t="shared" si="529"/>
        <v>0</v>
      </c>
      <c r="AF392" s="417">
        <f t="shared" si="530"/>
        <v>0</v>
      </c>
      <c r="AG392" s="417">
        <f t="shared" si="531"/>
        <v>0</v>
      </c>
      <c r="AH392" s="417">
        <v>0</v>
      </c>
      <c r="AI392" s="417">
        <v>0</v>
      </c>
      <c r="AJ392" s="417">
        <v>0</v>
      </c>
      <c r="AK392" s="417">
        <v>0</v>
      </c>
      <c r="AL392" s="417">
        <v>0</v>
      </c>
      <c r="AM392" s="417">
        <f t="shared" si="532"/>
        <v>0</v>
      </c>
      <c r="AN392" s="417">
        <f t="shared" si="533"/>
        <v>0</v>
      </c>
      <c r="AO392" s="417">
        <f t="shared" si="534"/>
        <v>0</v>
      </c>
      <c r="AP392" s="417">
        <f t="shared" si="535"/>
        <v>0</v>
      </c>
      <c r="AQ392" s="417">
        <f t="shared" si="536"/>
        <v>0</v>
      </c>
      <c r="AR392" s="417">
        <f t="shared" si="537"/>
        <v>0</v>
      </c>
      <c r="AS392" s="68">
        <f t="shared" si="538"/>
        <v>0</v>
      </c>
      <c r="AT392" s="68">
        <f t="shared" si="539"/>
        <v>0</v>
      </c>
      <c r="AU392" s="417">
        <v>0</v>
      </c>
      <c r="AV392" s="417">
        <v>0</v>
      </c>
      <c r="AW392" s="417">
        <v>0</v>
      </c>
      <c r="AX392" s="417">
        <f t="shared" si="540"/>
        <v>0</v>
      </c>
      <c r="AY392" s="417">
        <f t="shared" si="541"/>
        <v>0</v>
      </c>
      <c r="AZ392" s="418">
        <v>0</v>
      </c>
      <c r="BA392" s="418">
        <v>0</v>
      </c>
      <c r="BB392" s="418">
        <v>0</v>
      </c>
      <c r="BC392" s="418">
        <v>0</v>
      </c>
      <c r="BD392" s="418">
        <v>0</v>
      </c>
      <c r="BE392" s="418">
        <v>0</v>
      </c>
      <c r="BF392" s="418">
        <v>0</v>
      </c>
      <c r="BG392" s="418">
        <v>0</v>
      </c>
      <c r="BH392" s="418">
        <v>0</v>
      </c>
      <c r="BI392" s="418">
        <f t="shared" si="542"/>
        <v>0</v>
      </c>
      <c r="BJ392" s="418">
        <f t="shared" si="543"/>
        <v>0</v>
      </c>
      <c r="BK392" s="420">
        <f t="shared" si="544"/>
        <v>0</v>
      </c>
      <c r="BL392" s="772">
        <f>I392+AY392</f>
        <v>12283945</v>
      </c>
      <c r="BM392" s="417">
        <f>J392+AG392</f>
        <v>9043622</v>
      </c>
      <c r="BN392" s="417">
        <f t="shared" ref="BN392:BO394" si="622">K392+AE392</f>
        <v>7859527</v>
      </c>
      <c r="BO392" s="417">
        <f t="shared" si="622"/>
        <v>1184095</v>
      </c>
      <c r="BP392" s="417">
        <f>M392+AO392</f>
        <v>23500</v>
      </c>
      <c r="BQ392" s="417">
        <f t="shared" ref="BQ392:BR394" si="623">N392+AM392</f>
        <v>11750</v>
      </c>
      <c r="BR392" s="417">
        <f t="shared" si="623"/>
        <v>11750</v>
      </c>
      <c r="BS392" s="417">
        <f t="shared" ref="BS392:BT394" si="624">P392+AS392</f>
        <v>3064687</v>
      </c>
      <c r="BT392" s="417">
        <f t="shared" si="624"/>
        <v>90436</v>
      </c>
      <c r="BU392" s="417">
        <f>R392+AX392</f>
        <v>61700</v>
      </c>
      <c r="BV392" s="418">
        <f>S392+BK392</f>
        <v>17.904500000000002</v>
      </c>
      <c r="BW392" s="418">
        <f t="shared" ref="BW392:BX394" si="625">T392+BI392</f>
        <v>13.850900000000001</v>
      </c>
      <c r="BX392" s="420">
        <f t="shared" si="625"/>
        <v>4.0536000000000012</v>
      </c>
      <c r="BY392" s="419"/>
      <c r="BZ392" s="414"/>
      <c r="CA392" s="414"/>
      <c r="CB392" s="414"/>
      <c r="CC392" s="414"/>
      <c r="CD392" s="422"/>
      <c r="CE392" s="419">
        <f t="shared" si="549"/>
        <v>537803</v>
      </c>
      <c r="CF392" s="414">
        <v>383742</v>
      </c>
      <c r="CG392" s="414">
        <v>129705</v>
      </c>
      <c r="CH392" s="414">
        <v>3837</v>
      </c>
      <c r="CI392" s="414">
        <v>20519</v>
      </c>
      <c r="CJ392" s="509">
        <v>1.3136000000000001</v>
      </c>
    </row>
    <row r="393" spans="1:90" ht="14.1" customHeight="1">
      <c r="A393" s="66">
        <v>78</v>
      </c>
      <c r="B393" s="63">
        <v>2324</v>
      </c>
      <c r="C393" s="64">
        <v>600074030</v>
      </c>
      <c r="D393" s="63">
        <v>71013083</v>
      </c>
      <c r="E393" s="189" t="s">
        <v>848</v>
      </c>
      <c r="F393" s="790">
        <v>3111</v>
      </c>
      <c r="G393" s="77" t="s">
        <v>291</v>
      </c>
      <c r="H393" s="67" t="s">
        <v>272</v>
      </c>
      <c r="I393" s="419">
        <v>2335048</v>
      </c>
      <c r="J393" s="414">
        <v>1714613</v>
      </c>
      <c r="K393" s="414">
        <v>1714613</v>
      </c>
      <c r="L393" s="414">
        <v>0</v>
      </c>
      <c r="M393" s="414">
        <v>0</v>
      </c>
      <c r="N393" s="414">
        <v>0</v>
      </c>
      <c r="O393" s="414">
        <v>0</v>
      </c>
      <c r="P393" s="595">
        <v>579539</v>
      </c>
      <c r="Q393" s="595">
        <v>17146</v>
      </c>
      <c r="R393" s="414">
        <v>23750</v>
      </c>
      <c r="S393" s="415">
        <v>4.72</v>
      </c>
      <c r="T393" s="416">
        <v>4.72</v>
      </c>
      <c r="U393" s="422">
        <v>0</v>
      </c>
      <c r="V393" s="423">
        <f t="shared" si="527"/>
        <v>0</v>
      </c>
      <c r="W393" s="417">
        <f t="shared" si="528"/>
        <v>0</v>
      </c>
      <c r="X393" s="417">
        <v>0</v>
      </c>
      <c r="Y393" s="417">
        <v>0</v>
      </c>
      <c r="Z393" s="417">
        <v>0</v>
      </c>
      <c r="AA393" s="417">
        <v>0</v>
      </c>
      <c r="AB393" s="417">
        <v>0</v>
      </c>
      <c r="AC393" s="417">
        <v>0</v>
      </c>
      <c r="AD393" s="417">
        <v>0</v>
      </c>
      <c r="AE393" s="417">
        <f t="shared" si="529"/>
        <v>0</v>
      </c>
      <c r="AF393" s="417">
        <f t="shared" si="530"/>
        <v>0</v>
      </c>
      <c r="AG393" s="417">
        <f t="shared" si="531"/>
        <v>0</v>
      </c>
      <c r="AH393" s="417">
        <v>0</v>
      </c>
      <c r="AI393" s="417">
        <v>0</v>
      </c>
      <c r="AJ393" s="417">
        <v>0</v>
      </c>
      <c r="AK393" s="417">
        <v>0</v>
      </c>
      <c r="AL393" s="417">
        <v>0</v>
      </c>
      <c r="AM393" s="417">
        <f t="shared" si="532"/>
        <v>0</v>
      </c>
      <c r="AN393" s="417">
        <f t="shared" si="533"/>
        <v>0</v>
      </c>
      <c r="AO393" s="417">
        <f t="shared" si="534"/>
        <v>0</v>
      </c>
      <c r="AP393" s="417">
        <f t="shared" si="535"/>
        <v>0</v>
      </c>
      <c r="AQ393" s="417">
        <f t="shared" si="536"/>
        <v>0</v>
      </c>
      <c r="AR393" s="417">
        <f t="shared" si="537"/>
        <v>0</v>
      </c>
      <c r="AS393" s="68">
        <f t="shared" si="538"/>
        <v>0</v>
      </c>
      <c r="AT393" s="68">
        <f t="shared" si="539"/>
        <v>0</v>
      </c>
      <c r="AU393" s="417">
        <v>4500</v>
      </c>
      <c r="AV393" s="417">
        <v>0</v>
      </c>
      <c r="AW393" s="417">
        <v>0</v>
      </c>
      <c r="AX393" s="417">
        <f t="shared" si="540"/>
        <v>4500</v>
      </c>
      <c r="AY393" s="417">
        <f t="shared" si="541"/>
        <v>4500</v>
      </c>
      <c r="AZ393" s="418">
        <v>0</v>
      </c>
      <c r="BA393" s="418">
        <v>0</v>
      </c>
      <c r="BB393" s="418">
        <v>0</v>
      </c>
      <c r="BC393" s="418">
        <v>0</v>
      </c>
      <c r="BD393" s="418">
        <v>0</v>
      </c>
      <c r="BE393" s="418">
        <v>0</v>
      </c>
      <c r="BF393" s="418">
        <v>0</v>
      </c>
      <c r="BG393" s="418">
        <v>0</v>
      </c>
      <c r="BH393" s="418">
        <v>0</v>
      </c>
      <c r="BI393" s="418">
        <f t="shared" si="542"/>
        <v>0</v>
      </c>
      <c r="BJ393" s="418">
        <f t="shared" si="543"/>
        <v>0</v>
      </c>
      <c r="BK393" s="420">
        <f t="shared" si="544"/>
        <v>0</v>
      </c>
      <c r="BL393" s="772">
        <f>I393+AY393</f>
        <v>2339548</v>
      </c>
      <c r="BM393" s="417">
        <f>J393+AG393</f>
        <v>1714613</v>
      </c>
      <c r="BN393" s="417">
        <f t="shared" si="622"/>
        <v>1714613</v>
      </c>
      <c r="BO393" s="417">
        <f t="shared" si="622"/>
        <v>0</v>
      </c>
      <c r="BP393" s="417">
        <f>M393+AO393</f>
        <v>0</v>
      </c>
      <c r="BQ393" s="417">
        <f t="shared" si="623"/>
        <v>0</v>
      </c>
      <c r="BR393" s="417">
        <f t="shared" si="623"/>
        <v>0</v>
      </c>
      <c r="BS393" s="417">
        <f t="shared" si="624"/>
        <v>579539</v>
      </c>
      <c r="BT393" s="417">
        <f t="shared" si="624"/>
        <v>17146</v>
      </c>
      <c r="BU393" s="417">
        <f>R393+AX393</f>
        <v>28250</v>
      </c>
      <c r="BV393" s="418">
        <f>S393+BK393</f>
        <v>4.72</v>
      </c>
      <c r="BW393" s="418">
        <f t="shared" si="625"/>
        <v>4.72</v>
      </c>
      <c r="BX393" s="420">
        <f t="shared" si="625"/>
        <v>0</v>
      </c>
      <c r="BY393" s="419"/>
      <c r="BZ393" s="414"/>
      <c r="CA393" s="414"/>
      <c r="CB393" s="414"/>
      <c r="CC393" s="414"/>
      <c r="CD393" s="422"/>
      <c r="CE393" s="419">
        <f t="shared" si="549"/>
        <v>0</v>
      </c>
      <c r="CF393" s="414">
        <v>0</v>
      </c>
      <c r="CG393" s="414">
        <v>0</v>
      </c>
      <c r="CH393" s="414">
        <v>0</v>
      </c>
      <c r="CI393" s="414">
        <v>0</v>
      </c>
      <c r="CJ393" s="509">
        <v>0</v>
      </c>
    </row>
    <row r="394" spans="1:90" ht="14.1" customHeight="1">
      <c r="A394" s="66">
        <v>78</v>
      </c>
      <c r="B394" s="63">
        <v>2324</v>
      </c>
      <c r="C394" s="64">
        <v>600074030</v>
      </c>
      <c r="D394" s="63">
        <v>71013083</v>
      </c>
      <c r="E394" s="189" t="s">
        <v>848</v>
      </c>
      <c r="F394" s="790">
        <v>3141</v>
      </c>
      <c r="G394" s="65" t="s">
        <v>294</v>
      </c>
      <c r="H394" s="67" t="s">
        <v>272</v>
      </c>
      <c r="I394" s="419">
        <v>1175185</v>
      </c>
      <c r="J394" s="414">
        <v>867404</v>
      </c>
      <c r="K394" s="414">
        <v>0</v>
      </c>
      <c r="L394" s="744">
        <v>867404</v>
      </c>
      <c r="M394" s="414">
        <v>0</v>
      </c>
      <c r="N394" s="204">
        <v>0</v>
      </c>
      <c r="O394" s="204">
        <v>0</v>
      </c>
      <c r="P394" s="595">
        <v>293183</v>
      </c>
      <c r="Q394" s="595">
        <v>8674</v>
      </c>
      <c r="R394" s="601">
        <v>5924</v>
      </c>
      <c r="S394" s="415">
        <v>2.6034000000000002</v>
      </c>
      <c r="T394" s="603">
        <v>0</v>
      </c>
      <c r="U394" s="731">
        <v>2.6034000000000002</v>
      </c>
      <c r="V394" s="423">
        <f t="shared" si="527"/>
        <v>0</v>
      </c>
      <c r="W394" s="417">
        <f t="shared" si="528"/>
        <v>0</v>
      </c>
      <c r="X394" s="417">
        <v>0</v>
      </c>
      <c r="Y394" s="417">
        <v>0</v>
      </c>
      <c r="Z394" s="417">
        <v>0</v>
      </c>
      <c r="AA394" s="417">
        <v>-11129</v>
      </c>
      <c r="AB394" s="417">
        <v>0</v>
      </c>
      <c r="AC394" s="417">
        <v>0</v>
      </c>
      <c r="AD394" s="417">
        <v>0</v>
      </c>
      <c r="AE394" s="417">
        <f t="shared" si="529"/>
        <v>0</v>
      </c>
      <c r="AF394" s="417">
        <f t="shared" si="530"/>
        <v>-11129</v>
      </c>
      <c r="AG394" s="417">
        <f t="shared" si="531"/>
        <v>-11129</v>
      </c>
      <c r="AH394" s="417">
        <v>0</v>
      </c>
      <c r="AI394" s="417">
        <v>0</v>
      </c>
      <c r="AJ394" s="417">
        <v>0</v>
      </c>
      <c r="AK394" s="417">
        <v>0</v>
      </c>
      <c r="AL394" s="417">
        <v>0</v>
      </c>
      <c r="AM394" s="417">
        <f t="shared" si="532"/>
        <v>0</v>
      </c>
      <c r="AN394" s="417">
        <f t="shared" si="533"/>
        <v>0</v>
      </c>
      <c r="AO394" s="417">
        <f t="shared" si="534"/>
        <v>0</v>
      </c>
      <c r="AP394" s="417">
        <f t="shared" si="535"/>
        <v>0</v>
      </c>
      <c r="AQ394" s="417">
        <f t="shared" si="536"/>
        <v>-11129</v>
      </c>
      <c r="AR394" s="417">
        <f t="shared" si="537"/>
        <v>-11129</v>
      </c>
      <c r="AS394" s="68">
        <f t="shared" si="538"/>
        <v>-3762</v>
      </c>
      <c r="AT394" s="68">
        <f t="shared" si="539"/>
        <v>-111</v>
      </c>
      <c r="AU394" s="417">
        <v>0</v>
      </c>
      <c r="AV394" s="417">
        <v>0</v>
      </c>
      <c r="AW394" s="417">
        <v>0</v>
      </c>
      <c r="AX394" s="417">
        <f t="shared" si="540"/>
        <v>0</v>
      </c>
      <c r="AY394" s="417">
        <f t="shared" si="541"/>
        <v>-15002</v>
      </c>
      <c r="AZ394" s="418">
        <v>0</v>
      </c>
      <c r="BA394" s="418">
        <v>0</v>
      </c>
      <c r="BB394" s="418">
        <v>0</v>
      </c>
      <c r="BC394" s="418">
        <v>0</v>
      </c>
      <c r="BD394" s="418">
        <v>-0.03</v>
      </c>
      <c r="BE394" s="418">
        <v>0</v>
      </c>
      <c r="BF394" s="418">
        <v>0</v>
      </c>
      <c r="BG394" s="418">
        <v>0</v>
      </c>
      <c r="BH394" s="418">
        <v>0</v>
      </c>
      <c r="BI394" s="418">
        <f t="shared" si="542"/>
        <v>0</v>
      </c>
      <c r="BJ394" s="418">
        <f t="shared" si="543"/>
        <v>-0.03</v>
      </c>
      <c r="BK394" s="420">
        <f t="shared" si="544"/>
        <v>-0.03</v>
      </c>
      <c r="BL394" s="772">
        <f>I394+AY394</f>
        <v>1160183</v>
      </c>
      <c r="BM394" s="417">
        <f>J394+AG394</f>
        <v>856275</v>
      </c>
      <c r="BN394" s="417">
        <f t="shared" si="622"/>
        <v>0</v>
      </c>
      <c r="BO394" s="417">
        <f t="shared" si="622"/>
        <v>856275</v>
      </c>
      <c r="BP394" s="417">
        <f>M394+AO394</f>
        <v>0</v>
      </c>
      <c r="BQ394" s="417">
        <f t="shared" si="623"/>
        <v>0</v>
      </c>
      <c r="BR394" s="417">
        <f t="shared" si="623"/>
        <v>0</v>
      </c>
      <c r="BS394" s="417">
        <f t="shared" si="624"/>
        <v>289421</v>
      </c>
      <c r="BT394" s="417">
        <f t="shared" si="624"/>
        <v>8563</v>
      </c>
      <c r="BU394" s="417">
        <f>R394+AX394</f>
        <v>5924</v>
      </c>
      <c r="BV394" s="418">
        <f>S394+BK394</f>
        <v>2.5734000000000004</v>
      </c>
      <c r="BW394" s="418">
        <f t="shared" si="625"/>
        <v>0</v>
      </c>
      <c r="BX394" s="420">
        <f t="shared" si="625"/>
        <v>2.5734000000000004</v>
      </c>
      <c r="BY394" s="419"/>
      <c r="BZ394" s="414"/>
      <c r="CA394" s="414"/>
      <c r="CB394" s="414"/>
      <c r="CC394" s="414"/>
      <c r="CD394" s="422"/>
      <c r="CE394" s="419">
        <f t="shared" si="549"/>
        <v>0</v>
      </c>
      <c r="CF394" s="414">
        <v>0</v>
      </c>
      <c r="CG394" s="414">
        <v>0</v>
      </c>
      <c r="CH394" s="414">
        <v>0</v>
      </c>
      <c r="CI394" s="414">
        <v>0</v>
      </c>
      <c r="CJ394" s="509">
        <v>0</v>
      </c>
    </row>
    <row r="395" spans="1:90" ht="14.1" customHeight="1">
      <c r="A395" s="72">
        <v>78</v>
      </c>
      <c r="B395" s="69">
        <v>2324</v>
      </c>
      <c r="C395" s="70">
        <v>600074030</v>
      </c>
      <c r="D395" s="69">
        <v>71013083</v>
      </c>
      <c r="E395" s="789" t="s">
        <v>849</v>
      </c>
      <c r="F395" s="72"/>
      <c r="G395" s="71"/>
      <c r="H395" s="73"/>
      <c r="I395" s="516">
        <v>15794178</v>
      </c>
      <c r="J395" s="74">
        <v>11625639</v>
      </c>
      <c r="K395" s="74">
        <v>9574140</v>
      </c>
      <c r="L395" s="74">
        <v>2051499</v>
      </c>
      <c r="M395" s="74">
        <v>23500</v>
      </c>
      <c r="N395" s="74">
        <v>11750</v>
      </c>
      <c r="O395" s="74">
        <v>11750</v>
      </c>
      <c r="P395" s="74">
        <v>3937409</v>
      </c>
      <c r="Q395" s="74">
        <v>116256</v>
      </c>
      <c r="R395" s="74">
        <v>91374</v>
      </c>
      <c r="S395" s="75">
        <v>25.227900000000002</v>
      </c>
      <c r="T395" s="75">
        <v>18.570900000000002</v>
      </c>
      <c r="U395" s="653">
        <v>6.6570000000000018</v>
      </c>
      <c r="V395" s="516">
        <f t="shared" ref="V395:BX395" si="626">SUM(V392:V394)</f>
        <v>0</v>
      </c>
      <c r="W395" s="74">
        <f t="shared" si="626"/>
        <v>0</v>
      </c>
      <c r="X395" s="74">
        <f t="shared" si="626"/>
        <v>0</v>
      </c>
      <c r="Y395" s="74">
        <f t="shared" si="626"/>
        <v>0</v>
      </c>
      <c r="Z395" s="74">
        <f t="shared" si="626"/>
        <v>0</v>
      </c>
      <c r="AA395" s="74">
        <f t="shared" si="626"/>
        <v>-11129</v>
      </c>
      <c r="AB395" s="74">
        <f t="shared" si="626"/>
        <v>0</v>
      </c>
      <c r="AC395" s="74">
        <f t="shared" si="626"/>
        <v>0</v>
      </c>
      <c r="AD395" s="74">
        <f t="shared" si="626"/>
        <v>0</v>
      </c>
      <c r="AE395" s="74">
        <f t="shared" si="626"/>
        <v>0</v>
      </c>
      <c r="AF395" s="74">
        <f t="shared" si="626"/>
        <v>-11129</v>
      </c>
      <c r="AG395" s="74">
        <f t="shared" si="626"/>
        <v>-11129</v>
      </c>
      <c r="AH395" s="74">
        <f t="shared" si="626"/>
        <v>0</v>
      </c>
      <c r="AI395" s="74">
        <f t="shared" si="626"/>
        <v>0</v>
      </c>
      <c r="AJ395" s="74">
        <f t="shared" si="626"/>
        <v>0</v>
      </c>
      <c r="AK395" s="74">
        <f t="shared" si="626"/>
        <v>0</v>
      </c>
      <c r="AL395" s="74">
        <f t="shared" si="626"/>
        <v>0</v>
      </c>
      <c r="AM395" s="74">
        <f t="shared" si="626"/>
        <v>0</v>
      </c>
      <c r="AN395" s="74">
        <f t="shared" si="626"/>
        <v>0</v>
      </c>
      <c r="AO395" s="74">
        <f t="shared" si="626"/>
        <v>0</v>
      </c>
      <c r="AP395" s="74">
        <f t="shared" si="626"/>
        <v>0</v>
      </c>
      <c r="AQ395" s="74">
        <f t="shared" si="626"/>
        <v>-11129</v>
      </c>
      <c r="AR395" s="74">
        <f t="shared" si="626"/>
        <v>-11129</v>
      </c>
      <c r="AS395" s="74">
        <f t="shared" si="626"/>
        <v>-3762</v>
      </c>
      <c r="AT395" s="74">
        <f t="shared" si="626"/>
        <v>-111</v>
      </c>
      <c r="AU395" s="74">
        <f t="shared" si="626"/>
        <v>4500</v>
      </c>
      <c r="AV395" s="74">
        <f t="shared" si="626"/>
        <v>0</v>
      </c>
      <c r="AW395" s="74">
        <f t="shared" si="626"/>
        <v>0</v>
      </c>
      <c r="AX395" s="74">
        <f t="shared" si="626"/>
        <v>4500</v>
      </c>
      <c r="AY395" s="74">
        <f t="shared" si="626"/>
        <v>-10502</v>
      </c>
      <c r="AZ395" s="75">
        <f t="shared" si="626"/>
        <v>0</v>
      </c>
      <c r="BA395" s="75">
        <f t="shared" si="626"/>
        <v>0</v>
      </c>
      <c r="BB395" s="75">
        <f t="shared" si="626"/>
        <v>0</v>
      </c>
      <c r="BC395" s="75">
        <f t="shared" si="626"/>
        <v>0</v>
      </c>
      <c r="BD395" s="75">
        <f t="shared" si="626"/>
        <v>-0.03</v>
      </c>
      <c r="BE395" s="75">
        <f t="shared" si="626"/>
        <v>0</v>
      </c>
      <c r="BF395" s="75">
        <f t="shared" si="626"/>
        <v>0</v>
      </c>
      <c r="BG395" s="75">
        <f t="shared" si="626"/>
        <v>0</v>
      </c>
      <c r="BH395" s="75">
        <f t="shared" si="626"/>
        <v>0</v>
      </c>
      <c r="BI395" s="75">
        <f t="shared" si="626"/>
        <v>0</v>
      </c>
      <c r="BJ395" s="75">
        <f t="shared" si="626"/>
        <v>-0.03</v>
      </c>
      <c r="BK395" s="76">
        <f t="shared" si="626"/>
        <v>-0.03</v>
      </c>
      <c r="BL395" s="781">
        <f t="shared" si="626"/>
        <v>15783676</v>
      </c>
      <c r="BM395" s="74">
        <f t="shared" si="626"/>
        <v>11614510</v>
      </c>
      <c r="BN395" s="74">
        <f t="shared" si="626"/>
        <v>9574140</v>
      </c>
      <c r="BO395" s="74">
        <f t="shared" si="626"/>
        <v>2040370</v>
      </c>
      <c r="BP395" s="74">
        <f t="shared" si="626"/>
        <v>23500</v>
      </c>
      <c r="BQ395" s="74">
        <f t="shared" si="626"/>
        <v>11750</v>
      </c>
      <c r="BR395" s="74">
        <f t="shared" si="626"/>
        <v>11750</v>
      </c>
      <c r="BS395" s="74">
        <f t="shared" si="626"/>
        <v>3933647</v>
      </c>
      <c r="BT395" s="74">
        <f t="shared" si="626"/>
        <v>116145</v>
      </c>
      <c r="BU395" s="74">
        <f t="shared" si="626"/>
        <v>95874</v>
      </c>
      <c r="BV395" s="75">
        <f t="shared" si="626"/>
        <v>25.197900000000001</v>
      </c>
      <c r="BW395" s="75">
        <f t="shared" si="626"/>
        <v>18.570900000000002</v>
      </c>
      <c r="BX395" s="76">
        <f t="shared" si="626"/>
        <v>6.6270000000000016</v>
      </c>
      <c r="BY395" s="791">
        <f t="shared" ref="BY395:CJ395" si="627">SUM(BY392:BY394)</f>
        <v>0</v>
      </c>
      <c r="BZ395" s="679">
        <f t="shared" si="627"/>
        <v>0</v>
      </c>
      <c r="CA395" s="679">
        <f t="shared" si="627"/>
        <v>0</v>
      </c>
      <c r="CB395" s="679">
        <f t="shared" si="627"/>
        <v>0</v>
      </c>
      <c r="CC395" s="679">
        <f t="shared" si="627"/>
        <v>0</v>
      </c>
      <c r="CD395" s="947">
        <f t="shared" si="627"/>
        <v>0</v>
      </c>
      <c r="CE395" s="956">
        <f t="shared" si="627"/>
        <v>537803</v>
      </c>
      <c r="CF395" s="953">
        <f t="shared" si="627"/>
        <v>383742</v>
      </c>
      <c r="CG395" s="953">
        <f t="shared" si="627"/>
        <v>129705</v>
      </c>
      <c r="CH395" s="953">
        <f t="shared" si="627"/>
        <v>3837</v>
      </c>
      <c r="CI395" s="953">
        <f t="shared" si="627"/>
        <v>20519</v>
      </c>
      <c r="CJ395" s="877">
        <f t="shared" si="627"/>
        <v>1.3136000000000001</v>
      </c>
    </row>
    <row r="396" spans="1:90" ht="14.1" customHeight="1">
      <c r="A396" s="66">
        <v>79</v>
      </c>
      <c r="B396" s="63">
        <v>2325</v>
      </c>
      <c r="C396" s="64">
        <v>600074561</v>
      </c>
      <c r="D396" s="63">
        <v>46750321</v>
      </c>
      <c r="E396" s="65" t="s">
        <v>689</v>
      </c>
      <c r="F396" s="66">
        <v>3113</v>
      </c>
      <c r="G396" s="65" t="s">
        <v>293</v>
      </c>
      <c r="H396" s="67" t="s">
        <v>271</v>
      </c>
      <c r="I396" s="419">
        <v>31013621</v>
      </c>
      <c r="J396" s="414">
        <v>22627092</v>
      </c>
      <c r="K396" s="414">
        <v>20517826</v>
      </c>
      <c r="L396" s="414">
        <v>2109266</v>
      </c>
      <c r="M396" s="414">
        <v>0</v>
      </c>
      <c r="N396" s="414">
        <v>0</v>
      </c>
      <c r="O396" s="414">
        <v>0</v>
      </c>
      <c r="P396" s="595">
        <v>7647958</v>
      </c>
      <c r="Q396" s="595">
        <v>226271</v>
      </c>
      <c r="R396" s="414">
        <v>512300</v>
      </c>
      <c r="S396" s="415">
        <v>35.487000000000002</v>
      </c>
      <c r="T396" s="415">
        <v>29.2727</v>
      </c>
      <c r="U396" s="422">
        <v>6.2142999999999997</v>
      </c>
      <c r="V396" s="423">
        <f t="shared" si="527"/>
        <v>0</v>
      </c>
      <c r="W396" s="417">
        <f t="shared" si="528"/>
        <v>0</v>
      </c>
      <c r="X396" s="417">
        <v>0</v>
      </c>
      <c r="Y396" s="417">
        <v>0</v>
      </c>
      <c r="Z396" s="417">
        <v>-294160</v>
      </c>
      <c r="AA396" s="417">
        <v>0</v>
      </c>
      <c r="AB396" s="417">
        <v>0</v>
      </c>
      <c r="AC396" s="417">
        <v>0</v>
      </c>
      <c r="AD396" s="417">
        <v>0</v>
      </c>
      <c r="AE396" s="417">
        <f t="shared" si="529"/>
        <v>-294160</v>
      </c>
      <c r="AF396" s="417">
        <f t="shared" si="530"/>
        <v>0</v>
      </c>
      <c r="AG396" s="417">
        <f t="shared" si="531"/>
        <v>-294160</v>
      </c>
      <c r="AH396" s="417">
        <v>0</v>
      </c>
      <c r="AI396" s="417">
        <v>0</v>
      </c>
      <c r="AJ396" s="417">
        <v>0</v>
      </c>
      <c r="AK396" s="417">
        <v>0</v>
      </c>
      <c r="AL396" s="417">
        <v>0</v>
      </c>
      <c r="AM396" s="417">
        <f t="shared" si="532"/>
        <v>0</v>
      </c>
      <c r="AN396" s="417">
        <f t="shared" si="533"/>
        <v>0</v>
      </c>
      <c r="AO396" s="417">
        <f t="shared" si="534"/>
        <v>0</v>
      </c>
      <c r="AP396" s="417">
        <f t="shared" si="535"/>
        <v>-294160</v>
      </c>
      <c r="AQ396" s="417">
        <f t="shared" si="536"/>
        <v>0</v>
      </c>
      <c r="AR396" s="417">
        <f t="shared" si="537"/>
        <v>-294160</v>
      </c>
      <c r="AS396" s="68">
        <f t="shared" si="538"/>
        <v>-99426</v>
      </c>
      <c r="AT396" s="68">
        <f t="shared" si="539"/>
        <v>-2942</v>
      </c>
      <c r="AU396" s="417">
        <v>0</v>
      </c>
      <c r="AV396" s="417">
        <v>0</v>
      </c>
      <c r="AW396" s="417">
        <v>0</v>
      </c>
      <c r="AX396" s="417">
        <f t="shared" si="540"/>
        <v>0</v>
      </c>
      <c r="AY396" s="417">
        <f t="shared" si="541"/>
        <v>-396528</v>
      </c>
      <c r="AZ396" s="418">
        <v>0</v>
      </c>
      <c r="BA396" s="418">
        <v>0</v>
      </c>
      <c r="BB396" s="418">
        <v>0</v>
      </c>
      <c r="BC396" s="418">
        <v>-0.59</v>
      </c>
      <c r="BD396" s="418">
        <v>0</v>
      </c>
      <c r="BE396" s="418">
        <v>0</v>
      </c>
      <c r="BF396" s="418">
        <v>0</v>
      </c>
      <c r="BG396" s="418">
        <v>0</v>
      </c>
      <c r="BH396" s="418">
        <v>0</v>
      </c>
      <c r="BI396" s="418">
        <f t="shared" si="542"/>
        <v>-0.59</v>
      </c>
      <c r="BJ396" s="418">
        <f t="shared" si="543"/>
        <v>0</v>
      </c>
      <c r="BK396" s="420">
        <f t="shared" si="544"/>
        <v>-0.59</v>
      </c>
      <c r="BL396" s="772">
        <f t="shared" ref="BL396:BL401" si="628">I396+AY396</f>
        <v>30617093</v>
      </c>
      <c r="BM396" s="417">
        <f t="shared" ref="BM396:BM401" si="629">J396+AG396</f>
        <v>22332932</v>
      </c>
      <c r="BN396" s="417">
        <f t="shared" ref="BN396:BO401" si="630">K396+AE396</f>
        <v>20223666</v>
      </c>
      <c r="BO396" s="417">
        <f t="shared" si="630"/>
        <v>2109266</v>
      </c>
      <c r="BP396" s="417">
        <f t="shared" ref="BP396:BP401" si="631">M396+AO396</f>
        <v>0</v>
      </c>
      <c r="BQ396" s="417">
        <f t="shared" ref="BQ396:BR401" si="632">N396+AM396</f>
        <v>0</v>
      </c>
      <c r="BR396" s="417">
        <f t="shared" si="632"/>
        <v>0</v>
      </c>
      <c r="BS396" s="417">
        <f t="shared" ref="BS396:BT401" si="633">P396+AS396</f>
        <v>7548532</v>
      </c>
      <c r="BT396" s="417">
        <f t="shared" si="633"/>
        <v>223329</v>
      </c>
      <c r="BU396" s="417">
        <f t="shared" ref="BU396:BU401" si="634">R396+AX396</f>
        <v>512300</v>
      </c>
      <c r="BV396" s="418">
        <f t="shared" ref="BV396:BV401" si="635">S396+BK396</f>
        <v>34.896999999999998</v>
      </c>
      <c r="BW396" s="418">
        <f t="shared" ref="BW396:BX401" si="636">T396+BI396</f>
        <v>28.682700000000001</v>
      </c>
      <c r="BX396" s="420">
        <f t="shared" si="636"/>
        <v>6.2142999999999997</v>
      </c>
      <c r="BY396" s="419">
        <v>760272</v>
      </c>
      <c r="BZ396" s="414">
        <v>564000</v>
      </c>
      <c r="CA396" s="414">
        <v>0</v>
      </c>
      <c r="CB396" s="414">
        <v>190632</v>
      </c>
      <c r="CC396" s="414">
        <v>5640</v>
      </c>
      <c r="CD396" s="422">
        <v>1</v>
      </c>
      <c r="CE396" s="419">
        <f t="shared" si="549"/>
        <v>1033261</v>
      </c>
      <c r="CF396" s="414">
        <v>677055</v>
      </c>
      <c r="CG396" s="414">
        <v>228845</v>
      </c>
      <c r="CH396" s="414">
        <v>6771</v>
      </c>
      <c r="CI396" s="414">
        <v>120590</v>
      </c>
      <c r="CJ396" s="509">
        <v>1.9948999999999999</v>
      </c>
    </row>
    <row r="397" spans="1:90" ht="14.1" customHeight="1">
      <c r="A397" s="66">
        <v>79</v>
      </c>
      <c r="B397" s="63">
        <v>2325</v>
      </c>
      <c r="C397" s="64">
        <v>600074561</v>
      </c>
      <c r="D397" s="63">
        <v>46750321</v>
      </c>
      <c r="E397" s="65" t="s">
        <v>689</v>
      </c>
      <c r="F397" s="66">
        <v>3113</v>
      </c>
      <c r="G397" s="77" t="s">
        <v>291</v>
      </c>
      <c r="H397" s="67" t="s">
        <v>272</v>
      </c>
      <c r="I397" s="419">
        <v>4262415</v>
      </c>
      <c r="J397" s="414">
        <v>3143854</v>
      </c>
      <c r="K397" s="414">
        <v>3143854</v>
      </c>
      <c r="L397" s="414">
        <v>0</v>
      </c>
      <c r="M397" s="414">
        <v>0</v>
      </c>
      <c r="N397" s="414">
        <v>0</v>
      </c>
      <c r="O397" s="414">
        <v>0</v>
      </c>
      <c r="P397" s="595">
        <v>1062623</v>
      </c>
      <c r="Q397" s="595">
        <v>31438</v>
      </c>
      <c r="R397" s="414">
        <v>24500</v>
      </c>
      <c r="S397" s="415">
        <v>8.35</v>
      </c>
      <c r="T397" s="416">
        <v>8.35</v>
      </c>
      <c r="U397" s="422">
        <v>0</v>
      </c>
      <c r="V397" s="423">
        <f t="shared" si="527"/>
        <v>0</v>
      </c>
      <c r="W397" s="417">
        <f t="shared" si="528"/>
        <v>0</v>
      </c>
      <c r="X397" s="417">
        <v>0</v>
      </c>
      <c r="Y397" s="417">
        <v>0</v>
      </c>
      <c r="Z397" s="417">
        <v>0</v>
      </c>
      <c r="AA397" s="417">
        <v>0</v>
      </c>
      <c r="AB397" s="417">
        <v>0</v>
      </c>
      <c r="AC397" s="417">
        <v>0</v>
      </c>
      <c r="AD397" s="417">
        <v>0</v>
      </c>
      <c r="AE397" s="417">
        <f t="shared" si="529"/>
        <v>0</v>
      </c>
      <c r="AF397" s="417">
        <f t="shared" si="530"/>
        <v>0</v>
      </c>
      <c r="AG397" s="417">
        <f t="shared" si="531"/>
        <v>0</v>
      </c>
      <c r="AH397" s="417">
        <v>0</v>
      </c>
      <c r="AI397" s="417">
        <v>0</v>
      </c>
      <c r="AJ397" s="417">
        <v>0</v>
      </c>
      <c r="AK397" s="417">
        <v>0</v>
      </c>
      <c r="AL397" s="417">
        <v>0</v>
      </c>
      <c r="AM397" s="417">
        <f t="shared" si="532"/>
        <v>0</v>
      </c>
      <c r="AN397" s="417">
        <f t="shared" si="533"/>
        <v>0</v>
      </c>
      <c r="AO397" s="417">
        <f t="shared" si="534"/>
        <v>0</v>
      </c>
      <c r="AP397" s="417">
        <f t="shared" si="535"/>
        <v>0</v>
      </c>
      <c r="AQ397" s="417">
        <f t="shared" si="536"/>
        <v>0</v>
      </c>
      <c r="AR397" s="417">
        <f t="shared" si="537"/>
        <v>0</v>
      </c>
      <c r="AS397" s="68">
        <f t="shared" si="538"/>
        <v>0</v>
      </c>
      <c r="AT397" s="68">
        <f t="shared" si="539"/>
        <v>0</v>
      </c>
      <c r="AU397" s="417">
        <v>0</v>
      </c>
      <c r="AV397" s="417">
        <v>0</v>
      </c>
      <c r="AW397" s="417">
        <v>0</v>
      </c>
      <c r="AX397" s="417">
        <f t="shared" si="540"/>
        <v>0</v>
      </c>
      <c r="AY397" s="417">
        <f t="shared" si="541"/>
        <v>0</v>
      </c>
      <c r="AZ397" s="418">
        <v>0</v>
      </c>
      <c r="BA397" s="418">
        <v>0</v>
      </c>
      <c r="BB397" s="418">
        <v>0</v>
      </c>
      <c r="BC397" s="418">
        <v>0</v>
      </c>
      <c r="BD397" s="418">
        <v>0</v>
      </c>
      <c r="BE397" s="418">
        <v>0</v>
      </c>
      <c r="BF397" s="418">
        <v>0</v>
      </c>
      <c r="BG397" s="418">
        <v>0</v>
      </c>
      <c r="BH397" s="418">
        <v>0</v>
      </c>
      <c r="BI397" s="418">
        <f t="shared" si="542"/>
        <v>0</v>
      </c>
      <c r="BJ397" s="418">
        <f t="shared" si="543"/>
        <v>0</v>
      </c>
      <c r="BK397" s="420">
        <f t="shared" si="544"/>
        <v>0</v>
      </c>
      <c r="BL397" s="772">
        <f t="shared" si="628"/>
        <v>4262415</v>
      </c>
      <c r="BM397" s="417">
        <f t="shared" si="629"/>
        <v>3143854</v>
      </c>
      <c r="BN397" s="417">
        <f t="shared" si="630"/>
        <v>3143854</v>
      </c>
      <c r="BO397" s="417">
        <f t="shared" si="630"/>
        <v>0</v>
      </c>
      <c r="BP397" s="417">
        <f t="shared" si="631"/>
        <v>0</v>
      </c>
      <c r="BQ397" s="417">
        <f t="shared" si="632"/>
        <v>0</v>
      </c>
      <c r="BR397" s="417">
        <f t="shared" si="632"/>
        <v>0</v>
      </c>
      <c r="BS397" s="417">
        <f t="shared" si="633"/>
        <v>1062623</v>
      </c>
      <c r="BT397" s="417">
        <f t="shared" si="633"/>
        <v>31438</v>
      </c>
      <c r="BU397" s="417">
        <f t="shared" si="634"/>
        <v>24500</v>
      </c>
      <c r="BV397" s="418">
        <f t="shared" si="635"/>
        <v>8.35</v>
      </c>
      <c r="BW397" s="418">
        <f t="shared" si="636"/>
        <v>8.35</v>
      </c>
      <c r="BX397" s="420">
        <f t="shared" si="636"/>
        <v>0</v>
      </c>
      <c r="BY397" s="419"/>
      <c r="BZ397" s="414"/>
      <c r="CA397" s="414"/>
      <c r="CB397" s="414"/>
      <c r="CC397" s="414"/>
      <c r="CD397" s="422"/>
      <c r="CE397" s="419">
        <f t="shared" si="549"/>
        <v>0</v>
      </c>
      <c r="CF397" s="414">
        <v>0</v>
      </c>
      <c r="CG397" s="414">
        <v>0</v>
      </c>
      <c r="CH397" s="414">
        <v>0</v>
      </c>
      <c r="CI397" s="414">
        <v>0</v>
      </c>
      <c r="CJ397" s="509">
        <v>0</v>
      </c>
    </row>
    <row r="398" spans="1:90" ht="14.1" customHeight="1">
      <c r="A398" s="66">
        <v>79</v>
      </c>
      <c r="B398" s="63">
        <v>2325</v>
      </c>
      <c r="C398" s="64">
        <v>600074561</v>
      </c>
      <c r="D398" s="63">
        <v>46750321</v>
      </c>
      <c r="E398" s="65" t="s">
        <v>689</v>
      </c>
      <c r="F398" s="66">
        <v>3141</v>
      </c>
      <c r="G398" s="65" t="s">
        <v>294</v>
      </c>
      <c r="H398" s="67" t="s">
        <v>272</v>
      </c>
      <c r="I398" s="419">
        <v>2764064</v>
      </c>
      <c r="J398" s="414">
        <v>2036415</v>
      </c>
      <c r="K398" s="414">
        <v>0</v>
      </c>
      <c r="L398" s="744">
        <v>2036415</v>
      </c>
      <c r="M398" s="414">
        <v>0</v>
      </c>
      <c r="N398" s="204">
        <v>0</v>
      </c>
      <c r="O398" s="204">
        <v>0</v>
      </c>
      <c r="P398" s="595">
        <v>688308</v>
      </c>
      <c r="Q398" s="595">
        <v>20365</v>
      </c>
      <c r="R398" s="601">
        <v>18976</v>
      </c>
      <c r="S398" s="415">
        <v>6.1132999999999997</v>
      </c>
      <c r="T398" s="603">
        <v>0</v>
      </c>
      <c r="U398" s="731">
        <v>6.1132999999999997</v>
      </c>
      <c r="V398" s="423">
        <f t="shared" ref="V398:V460" si="637">AH398*-1</f>
        <v>0</v>
      </c>
      <c r="W398" s="417">
        <f t="shared" ref="W398:W460" si="638">AI398*-1</f>
        <v>0</v>
      </c>
      <c r="X398" s="417">
        <v>0</v>
      </c>
      <c r="Y398" s="417">
        <v>0</v>
      </c>
      <c r="Z398" s="417">
        <v>0</v>
      </c>
      <c r="AA398" s="417">
        <v>-27585</v>
      </c>
      <c r="AB398" s="417">
        <v>0</v>
      </c>
      <c r="AC398" s="417">
        <v>0</v>
      </c>
      <c r="AD398" s="417">
        <v>0</v>
      </c>
      <c r="AE398" s="417">
        <f t="shared" ref="AE398:AE460" si="639">V398+X398+Y398+Z398+AC398</f>
        <v>0</v>
      </c>
      <c r="AF398" s="417">
        <f t="shared" ref="AF398:AF460" si="640">W398+AA398+AD398+AB398</f>
        <v>-27585</v>
      </c>
      <c r="AG398" s="417">
        <f t="shared" ref="AG398:AG460" si="641">SUM(AE398:AF398)</f>
        <v>-27585</v>
      </c>
      <c r="AH398" s="417">
        <v>0</v>
      </c>
      <c r="AI398" s="417">
        <v>0</v>
      </c>
      <c r="AJ398" s="417">
        <v>0</v>
      </c>
      <c r="AK398" s="417">
        <v>0</v>
      </c>
      <c r="AL398" s="417">
        <v>0</v>
      </c>
      <c r="AM398" s="417">
        <f t="shared" ref="AM398:AM460" si="642">AH398+AJ398+AK398</f>
        <v>0</v>
      </c>
      <c r="AN398" s="417">
        <f t="shared" ref="AN398:AN460" si="643">AI398+AL398</f>
        <v>0</v>
      </c>
      <c r="AO398" s="417">
        <f t="shared" ref="AO398:AO460" si="644">SUM(AM398:AN398)</f>
        <v>0</v>
      </c>
      <c r="AP398" s="417">
        <f t="shared" ref="AP398:AP460" si="645">AE398+AM398</f>
        <v>0</v>
      </c>
      <c r="AQ398" s="417">
        <f t="shared" ref="AQ398:AQ460" si="646">AF398+AN398</f>
        <v>-27585</v>
      </c>
      <c r="AR398" s="417">
        <f t="shared" ref="AR398:AR460" si="647">SUM(AP398:AQ398)</f>
        <v>-27585</v>
      </c>
      <c r="AS398" s="68">
        <f t="shared" ref="AS398:AS460" si="648">ROUND((AG398+AH398+AI398+AJ398)*33.8%,0)</f>
        <v>-9324</v>
      </c>
      <c r="AT398" s="68">
        <f t="shared" ref="AT398:AT460" si="649">ROUND(AG398*1%,0)</f>
        <v>-276</v>
      </c>
      <c r="AU398" s="417">
        <v>0</v>
      </c>
      <c r="AV398" s="417">
        <v>0</v>
      </c>
      <c r="AW398" s="417">
        <v>0</v>
      </c>
      <c r="AX398" s="417">
        <f t="shared" ref="AX398:AX460" si="650">SUM(AU398:AW398)</f>
        <v>0</v>
      </c>
      <c r="AY398" s="417">
        <f t="shared" ref="AY398:AY460" si="651">AR398+AS398+AT398+AX398</f>
        <v>-37185</v>
      </c>
      <c r="AZ398" s="418">
        <v>0</v>
      </c>
      <c r="BA398" s="418">
        <v>0</v>
      </c>
      <c r="BB398" s="418">
        <v>0</v>
      </c>
      <c r="BC398" s="418">
        <v>0</v>
      </c>
      <c r="BD398" s="418">
        <v>-0.09</v>
      </c>
      <c r="BE398" s="418">
        <v>0</v>
      </c>
      <c r="BF398" s="418">
        <v>0</v>
      </c>
      <c r="BG398" s="418">
        <v>0</v>
      </c>
      <c r="BH398" s="418">
        <v>0</v>
      </c>
      <c r="BI398" s="418">
        <f t="shared" ref="BI398:BI460" si="652">AZ398+BB398+BC398+BE398+BG398</f>
        <v>0</v>
      </c>
      <c r="BJ398" s="418">
        <f t="shared" ref="BJ398:BJ460" si="653">BA398+BD398+BH398+BF398</f>
        <v>-0.09</v>
      </c>
      <c r="BK398" s="420">
        <f t="shared" ref="BK398:BK460" si="654">SUM(BI398:BJ398)</f>
        <v>-0.09</v>
      </c>
      <c r="BL398" s="772">
        <f t="shared" si="628"/>
        <v>2726879</v>
      </c>
      <c r="BM398" s="417">
        <f t="shared" si="629"/>
        <v>2008830</v>
      </c>
      <c r="BN398" s="417">
        <f t="shared" si="630"/>
        <v>0</v>
      </c>
      <c r="BO398" s="417">
        <f t="shared" si="630"/>
        <v>2008830</v>
      </c>
      <c r="BP398" s="417">
        <f t="shared" si="631"/>
        <v>0</v>
      </c>
      <c r="BQ398" s="417">
        <f t="shared" si="632"/>
        <v>0</v>
      </c>
      <c r="BR398" s="417">
        <f t="shared" si="632"/>
        <v>0</v>
      </c>
      <c r="BS398" s="417">
        <f t="shared" si="633"/>
        <v>678984</v>
      </c>
      <c r="BT398" s="417">
        <f t="shared" si="633"/>
        <v>20089</v>
      </c>
      <c r="BU398" s="417">
        <f t="shared" si="634"/>
        <v>18976</v>
      </c>
      <c r="BV398" s="418">
        <f t="shared" si="635"/>
        <v>6.0232999999999999</v>
      </c>
      <c r="BW398" s="418">
        <f t="shared" si="636"/>
        <v>0</v>
      </c>
      <c r="BX398" s="420">
        <f t="shared" si="636"/>
        <v>6.0232999999999999</v>
      </c>
      <c r="BY398" s="419"/>
      <c r="BZ398" s="414"/>
      <c r="CA398" s="414"/>
      <c r="CB398" s="414"/>
      <c r="CC398" s="414"/>
      <c r="CD398" s="422"/>
      <c r="CE398" s="419">
        <f t="shared" ref="CE398:CE460" si="655">SUM(CF398:CI398)</f>
        <v>0</v>
      </c>
      <c r="CF398" s="414">
        <v>0</v>
      </c>
      <c r="CG398" s="414">
        <v>0</v>
      </c>
      <c r="CH398" s="414">
        <v>0</v>
      </c>
      <c r="CI398" s="414">
        <v>0</v>
      </c>
      <c r="CJ398" s="509">
        <v>0</v>
      </c>
    </row>
    <row r="399" spans="1:90" ht="14.1" customHeight="1">
      <c r="A399" s="66">
        <v>79</v>
      </c>
      <c r="B399" s="63">
        <v>2325</v>
      </c>
      <c r="C399" s="64">
        <v>600074561</v>
      </c>
      <c r="D399" s="63">
        <v>46750321</v>
      </c>
      <c r="E399" s="65" t="s">
        <v>689</v>
      </c>
      <c r="F399" s="66">
        <v>3143</v>
      </c>
      <c r="G399" s="77" t="s">
        <v>595</v>
      </c>
      <c r="H399" s="67" t="s">
        <v>271</v>
      </c>
      <c r="I399" s="419">
        <v>2242365</v>
      </c>
      <c r="J399" s="414">
        <v>1645609</v>
      </c>
      <c r="K399" s="414">
        <v>1645609</v>
      </c>
      <c r="L399" s="414">
        <v>0</v>
      </c>
      <c r="M399" s="414">
        <v>18000</v>
      </c>
      <c r="N399" s="414">
        <v>18000</v>
      </c>
      <c r="O399" s="414">
        <v>0</v>
      </c>
      <c r="P399" s="595">
        <v>562300</v>
      </c>
      <c r="Q399" s="595">
        <v>16456</v>
      </c>
      <c r="R399" s="414">
        <v>0</v>
      </c>
      <c r="S399" s="415">
        <v>3.5</v>
      </c>
      <c r="T399" s="415">
        <v>3.5</v>
      </c>
      <c r="U399" s="422">
        <v>0</v>
      </c>
      <c r="V399" s="423">
        <f t="shared" si="637"/>
        <v>-12000</v>
      </c>
      <c r="W399" s="417">
        <f t="shared" si="638"/>
        <v>0</v>
      </c>
      <c r="X399" s="417">
        <v>0</v>
      </c>
      <c r="Y399" s="417">
        <v>0</v>
      </c>
      <c r="Z399" s="417">
        <v>115189</v>
      </c>
      <c r="AA399" s="417">
        <v>0</v>
      </c>
      <c r="AB399" s="417">
        <v>0</v>
      </c>
      <c r="AC399" s="417">
        <v>0</v>
      </c>
      <c r="AD399" s="417">
        <v>0</v>
      </c>
      <c r="AE399" s="417">
        <f t="shared" si="639"/>
        <v>103189</v>
      </c>
      <c r="AF399" s="417">
        <f t="shared" si="640"/>
        <v>0</v>
      </c>
      <c r="AG399" s="417">
        <f t="shared" si="641"/>
        <v>103189</v>
      </c>
      <c r="AH399" s="417">
        <v>12000</v>
      </c>
      <c r="AI399" s="417">
        <v>0</v>
      </c>
      <c r="AJ399" s="417">
        <v>0</v>
      </c>
      <c r="AK399" s="417">
        <v>0</v>
      </c>
      <c r="AL399" s="417">
        <v>0</v>
      </c>
      <c r="AM399" s="417">
        <f t="shared" si="642"/>
        <v>12000</v>
      </c>
      <c r="AN399" s="417">
        <f t="shared" si="643"/>
        <v>0</v>
      </c>
      <c r="AO399" s="417">
        <f t="shared" si="644"/>
        <v>12000</v>
      </c>
      <c r="AP399" s="417">
        <f t="shared" si="645"/>
        <v>115189</v>
      </c>
      <c r="AQ399" s="417">
        <f t="shared" si="646"/>
        <v>0</v>
      </c>
      <c r="AR399" s="417">
        <f t="shared" si="647"/>
        <v>115189</v>
      </c>
      <c r="AS399" s="68">
        <f t="shared" si="648"/>
        <v>38934</v>
      </c>
      <c r="AT399" s="68">
        <f t="shared" si="649"/>
        <v>1032</v>
      </c>
      <c r="AU399" s="417">
        <v>0</v>
      </c>
      <c r="AV399" s="417">
        <v>0</v>
      </c>
      <c r="AW399" s="417">
        <v>0</v>
      </c>
      <c r="AX399" s="417">
        <f t="shared" si="650"/>
        <v>0</v>
      </c>
      <c r="AY399" s="417">
        <f t="shared" si="651"/>
        <v>155155</v>
      </c>
      <c r="AZ399" s="418">
        <v>0</v>
      </c>
      <c r="BA399" s="418">
        <v>0</v>
      </c>
      <c r="BB399" s="418">
        <v>0</v>
      </c>
      <c r="BC399" s="418">
        <v>0.3</v>
      </c>
      <c r="BD399" s="418">
        <v>0</v>
      </c>
      <c r="BE399" s="418">
        <v>0</v>
      </c>
      <c r="BF399" s="418">
        <v>0</v>
      </c>
      <c r="BG399" s="418">
        <v>0</v>
      </c>
      <c r="BH399" s="418">
        <v>0</v>
      </c>
      <c r="BI399" s="418">
        <f t="shared" si="652"/>
        <v>0.3</v>
      </c>
      <c r="BJ399" s="418">
        <f t="shared" si="653"/>
        <v>0</v>
      </c>
      <c r="BK399" s="420">
        <f t="shared" si="654"/>
        <v>0.3</v>
      </c>
      <c r="BL399" s="772">
        <f t="shared" si="628"/>
        <v>2397520</v>
      </c>
      <c r="BM399" s="417">
        <f t="shared" si="629"/>
        <v>1748798</v>
      </c>
      <c r="BN399" s="417">
        <f t="shared" si="630"/>
        <v>1748798</v>
      </c>
      <c r="BO399" s="417">
        <f t="shared" si="630"/>
        <v>0</v>
      </c>
      <c r="BP399" s="417">
        <f t="shared" si="631"/>
        <v>30000</v>
      </c>
      <c r="BQ399" s="417">
        <f t="shared" si="632"/>
        <v>30000</v>
      </c>
      <c r="BR399" s="417">
        <f t="shared" si="632"/>
        <v>0</v>
      </c>
      <c r="BS399" s="417">
        <f t="shared" si="633"/>
        <v>601234</v>
      </c>
      <c r="BT399" s="417">
        <f t="shared" si="633"/>
        <v>17488</v>
      </c>
      <c r="BU399" s="417">
        <f t="shared" si="634"/>
        <v>0</v>
      </c>
      <c r="BV399" s="418">
        <f t="shared" si="635"/>
        <v>3.8</v>
      </c>
      <c r="BW399" s="418">
        <f t="shared" si="636"/>
        <v>3.8</v>
      </c>
      <c r="BX399" s="420">
        <f t="shared" si="636"/>
        <v>0</v>
      </c>
      <c r="BY399" s="419"/>
      <c r="BZ399" s="414"/>
      <c r="CA399" s="414"/>
      <c r="CB399" s="414"/>
      <c r="CC399" s="414"/>
      <c r="CD399" s="422"/>
      <c r="CE399" s="419">
        <f t="shared" si="655"/>
        <v>0</v>
      </c>
      <c r="CF399" s="414">
        <v>0</v>
      </c>
      <c r="CG399" s="414">
        <v>0</v>
      </c>
      <c r="CH399" s="414">
        <v>0</v>
      </c>
      <c r="CI399" s="414">
        <v>0</v>
      </c>
      <c r="CJ399" s="509">
        <v>0</v>
      </c>
    </row>
    <row r="400" spans="1:90" ht="14.1" customHeight="1">
      <c r="A400" s="66">
        <v>79</v>
      </c>
      <c r="B400" s="63">
        <v>2325</v>
      </c>
      <c r="C400" s="64">
        <v>600074561</v>
      </c>
      <c r="D400" s="63">
        <v>46750321</v>
      </c>
      <c r="E400" s="65" t="s">
        <v>689</v>
      </c>
      <c r="F400" s="66">
        <v>3143</v>
      </c>
      <c r="G400" s="77" t="s">
        <v>596</v>
      </c>
      <c r="H400" s="67" t="s">
        <v>272</v>
      </c>
      <c r="I400" s="419">
        <v>92208</v>
      </c>
      <c r="J400" s="414">
        <v>66000</v>
      </c>
      <c r="K400" s="414">
        <v>0</v>
      </c>
      <c r="L400" s="601">
        <v>66000</v>
      </c>
      <c r="M400" s="414">
        <v>0</v>
      </c>
      <c r="N400" s="414">
        <v>0</v>
      </c>
      <c r="O400" s="414">
        <v>0</v>
      </c>
      <c r="P400" s="595">
        <v>22308</v>
      </c>
      <c r="Q400" s="595">
        <v>660</v>
      </c>
      <c r="R400" s="602">
        <v>3240</v>
      </c>
      <c r="S400" s="415">
        <v>0.24669999999999997</v>
      </c>
      <c r="T400" s="605">
        <v>0</v>
      </c>
      <c r="U400" s="731">
        <v>0.24669999999999997</v>
      </c>
      <c r="V400" s="423">
        <f t="shared" si="637"/>
        <v>0</v>
      </c>
      <c r="W400" s="417">
        <f t="shared" si="638"/>
        <v>0</v>
      </c>
      <c r="X400" s="417">
        <v>0</v>
      </c>
      <c r="Y400" s="417">
        <v>0</v>
      </c>
      <c r="Z400" s="417">
        <v>0</v>
      </c>
      <c r="AA400" s="417">
        <v>0</v>
      </c>
      <c r="AB400" s="417">
        <v>0</v>
      </c>
      <c r="AC400" s="417">
        <v>0</v>
      </c>
      <c r="AD400" s="417">
        <v>0</v>
      </c>
      <c r="AE400" s="417">
        <f t="shared" si="639"/>
        <v>0</v>
      </c>
      <c r="AF400" s="417">
        <f t="shared" si="640"/>
        <v>0</v>
      </c>
      <c r="AG400" s="417">
        <f t="shared" si="641"/>
        <v>0</v>
      </c>
      <c r="AH400" s="417">
        <v>0</v>
      </c>
      <c r="AI400" s="417">
        <v>0</v>
      </c>
      <c r="AJ400" s="417">
        <v>0</v>
      </c>
      <c r="AK400" s="417">
        <v>0</v>
      </c>
      <c r="AL400" s="417">
        <v>0</v>
      </c>
      <c r="AM400" s="417">
        <f t="shared" si="642"/>
        <v>0</v>
      </c>
      <c r="AN400" s="417">
        <f t="shared" si="643"/>
        <v>0</v>
      </c>
      <c r="AO400" s="417">
        <f t="shared" si="644"/>
        <v>0</v>
      </c>
      <c r="AP400" s="417">
        <f t="shared" si="645"/>
        <v>0</v>
      </c>
      <c r="AQ400" s="417">
        <f t="shared" si="646"/>
        <v>0</v>
      </c>
      <c r="AR400" s="417">
        <f t="shared" si="647"/>
        <v>0</v>
      </c>
      <c r="AS400" s="68">
        <f t="shared" si="648"/>
        <v>0</v>
      </c>
      <c r="AT400" s="68">
        <f t="shared" si="649"/>
        <v>0</v>
      </c>
      <c r="AU400" s="417">
        <v>0</v>
      </c>
      <c r="AV400" s="417">
        <v>0</v>
      </c>
      <c r="AW400" s="417">
        <v>0</v>
      </c>
      <c r="AX400" s="417">
        <f t="shared" si="650"/>
        <v>0</v>
      </c>
      <c r="AY400" s="417">
        <f t="shared" si="651"/>
        <v>0</v>
      </c>
      <c r="AZ400" s="418">
        <v>0</v>
      </c>
      <c r="BA400" s="418">
        <v>0</v>
      </c>
      <c r="BB400" s="418">
        <v>0</v>
      </c>
      <c r="BC400" s="418">
        <v>0</v>
      </c>
      <c r="BD400" s="418">
        <v>0</v>
      </c>
      <c r="BE400" s="418">
        <v>0</v>
      </c>
      <c r="BF400" s="418">
        <v>0</v>
      </c>
      <c r="BG400" s="418">
        <v>0</v>
      </c>
      <c r="BH400" s="418">
        <v>0</v>
      </c>
      <c r="BI400" s="418">
        <f t="shared" si="652"/>
        <v>0</v>
      </c>
      <c r="BJ400" s="418">
        <f t="shared" si="653"/>
        <v>0</v>
      </c>
      <c r="BK400" s="420">
        <f t="shared" si="654"/>
        <v>0</v>
      </c>
      <c r="BL400" s="772">
        <f t="shared" si="628"/>
        <v>92208</v>
      </c>
      <c r="BM400" s="417">
        <f t="shared" si="629"/>
        <v>66000</v>
      </c>
      <c r="BN400" s="417">
        <f t="shared" si="630"/>
        <v>0</v>
      </c>
      <c r="BO400" s="417">
        <f t="shared" si="630"/>
        <v>66000</v>
      </c>
      <c r="BP400" s="417">
        <f t="shared" si="631"/>
        <v>0</v>
      </c>
      <c r="BQ400" s="417">
        <f t="shared" si="632"/>
        <v>0</v>
      </c>
      <c r="BR400" s="417">
        <f t="shared" si="632"/>
        <v>0</v>
      </c>
      <c r="BS400" s="417">
        <f t="shared" si="633"/>
        <v>22308</v>
      </c>
      <c r="BT400" s="417">
        <f t="shared" si="633"/>
        <v>660</v>
      </c>
      <c r="BU400" s="417">
        <f t="shared" si="634"/>
        <v>3240</v>
      </c>
      <c r="BV400" s="418">
        <f t="shared" si="635"/>
        <v>0.24669999999999997</v>
      </c>
      <c r="BW400" s="418">
        <f t="shared" si="636"/>
        <v>0</v>
      </c>
      <c r="BX400" s="420">
        <f t="shared" si="636"/>
        <v>0.24669999999999997</v>
      </c>
      <c r="BY400" s="419"/>
      <c r="BZ400" s="414"/>
      <c r="CA400" s="414"/>
      <c r="CB400" s="414"/>
      <c r="CC400" s="414"/>
      <c r="CD400" s="422"/>
      <c r="CE400" s="419">
        <f t="shared" si="655"/>
        <v>0</v>
      </c>
      <c r="CF400" s="414">
        <v>0</v>
      </c>
      <c r="CG400" s="414">
        <v>0</v>
      </c>
      <c r="CH400" s="414">
        <v>0</v>
      </c>
      <c r="CI400" s="414">
        <v>0</v>
      </c>
      <c r="CJ400" s="509">
        <v>0</v>
      </c>
    </row>
    <row r="401" spans="1:90" ht="14.1" customHeight="1">
      <c r="A401" s="66">
        <v>79</v>
      </c>
      <c r="B401" s="63">
        <v>2325</v>
      </c>
      <c r="C401" s="64">
        <v>600074561</v>
      </c>
      <c r="D401" s="63">
        <v>46750321</v>
      </c>
      <c r="E401" s="65" t="s">
        <v>689</v>
      </c>
      <c r="F401" s="66">
        <v>3231</v>
      </c>
      <c r="G401" s="65" t="s">
        <v>295</v>
      </c>
      <c r="H401" s="67" t="s">
        <v>271</v>
      </c>
      <c r="I401" s="419">
        <v>3915726</v>
      </c>
      <c r="J401" s="414">
        <v>2896628</v>
      </c>
      <c r="K401" s="414">
        <v>2744180</v>
      </c>
      <c r="L401" s="414">
        <v>152448</v>
      </c>
      <c r="M401" s="414">
        <v>0</v>
      </c>
      <c r="N401" s="414">
        <v>0</v>
      </c>
      <c r="O401" s="414">
        <v>0</v>
      </c>
      <c r="P401" s="595">
        <v>979060</v>
      </c>
      <c r="Q401" s="595">
        <v>28966</v>
      </c>
      <c r="R401" s="414">
        <v>11072</v>
      </c>
      <c r="S401" s="415">
        <v>4.7005999999999997</v>
      </c>
      <c r="T401" s="415">
        <v>4.2699999999999996</v>
      </c>
      <c r="U401" s="422">
        <v>0.43059999999999998</v>
      </c>
      <c r="V401" s="423">
        <f t="shared" si="637"/>
        <v>0</v>
      </c>
      <c r="W401" s="417">
        <f t="shared" si="638"/>
        <v>0</v>
      </c>
      <c r="X401" s="417">
        <v>0</v>
      </c>
      <c r="Y401" s="417">
        <v>0</v>
      </c>
      <c r="Z401" s="417">
        <v>0</v>
      </c>
      <c r="AA401" s="417">
        <v>0</v>
      </c>
      <c r="AB401" s="417">
        <v>0</v>
      </c>
      <c r="AC401" s="417">
        <v>0</v>
      </c>
      <c r="AD401" s="417">
        <v>0</v>
      </c>
      <c r="AE401" s="417">
        <f t="shared" si="639"/>
        <v>0</v>
      </c>
      <c r="AF401" s="417">
        <f t="shared" si="640"/>
        <v>0</v>
      </c>
      <c r="AG401" s="417">
        <f t="shared" si="641"/>
        <v>0</v>
      </c>
      <c r="AH401" s="417">
        <v>0</v>
      </c>
      <c r="AI401" s="417">
        <v>0</v>
      </c>
      <c r="AJ401" s="417">
        <v>0</v>
      </c>
      <c r="AK401" s="417">
        <v>0</v>
      </c>
      <c r="AL401" s="417">
        <v>0</v>
      </c>
      <c r="AM401" s="417">
        <f t="shared" si="642"/>
        <v>0</v>
      </c>
      <c r="AN401" s="417">
        <f t="shared" si="643"/>
        <v>0</v>
      </c>
      <c r="AO401" s="417">
        <f t="shared" si="644"/>
        <v>0</v>
      </c>
      <c r="AP401" s="417">
        <f t="shared" si="645"/>
        <v>0</v>
      </c>
      <c r="AQ401" s="417">
        <f t="shared" si="646"/>
        <v>0</v>
      </c>
      <c r="AR401" s="417">
        <f t="shared" si="647"/>
        <v>0</v>
      </c>
      <c r="AS401" s="68">
        <f t="shared" si="648"/>
        <v>0</v>
      </c>
      <c r="AT401" s="68">
        <f t="shared" si="649"/>
        <v>0</v>
      </c>
      <c r="AU401" s="417">
        <v>0</v>
      </c>
      <c r="AV401" s="417">
        <v>0</v>
      </c>
      <c r="AW401" s="417">
        <v>0</v>
      </c>
      <c r="AX401" s="417">
        <f t="shared" si="650"/>
        <v>0</v>
      </c>
      <c r="AY401" s="417">
        <f t="shared" si="651"/>
        <v>0</v>
      </c>
      <c r="AZ401" s="418">
        <v>0</v>
      </c>
      <c r="BA401" s="418">
        <v>0</v>
      </c>
      <c r="BB401" s="418">
        <v>0</v>
      </c>
      <c r="BC401" s="418">
        <v>0</v>
      </c>
      <c r="BD401" s="418">
        <v>0</v>
      </c>
      <c r="BE401" s="418">
        <v>0</v>
      </c>
      <c r="BF401" s="418">
        <v>0</v>
      </c>
      <c r="BG401" s="418">
        <v>0</v>
      </c>
      <c r="BH401" s="418">
        <v>0</v>
      </c>
      <c r="BI401" s="418">
        <f t="shared" si="652"/>
        <v>0</v>
      </c>
      <c r="BJ401" s="418">
        <f t="shared" si="653"/>
        <v>0</v>
      </c>
      <c r="BK401" s="420">
        <f t="shared" si="654"/>
        <v>0</v>
      </c>
      <c r="BL401" s="772">
        <f t="shared" si="628"/>
        <v>3915726</v>
      </c>
      <c r="BM401" s="417">
        <f t="shared" si="629"/>
        <v>2896628</v>
      </c>
      <c r="BN401" s="417">
        <f t="shared" si="630"/>
        <v>2744180</v>
      </c>
      <c r="BO401" s="417">
        <f t="shared" si="630"/>
        <v>152448</v>
      </c>
      <c r="BP401" s="417">
        <f t="shared" si="631"/>
        <v>0</v>
      </c>
      <c r="BQ401" s="417">
        <f t="shared" si="632"/>
        <v>0</v>
      </c>
      <c r="BR401" s="417">
        <f t="shared" si="632"/>
        <v>0</v>
      </c>
      <c r="BS401" s="417">
        <f t="shared" si="633"/>
        <v>979060</v>
      </c>
      <c r="BT401" s="417">
        <f t="shared" si="633"/>
        <v>28966</v>
      </c>
      <c r="BU401" s="417">
        <f t="shared" si="634"/>
        <v>11072</v>
      </c>
      <c r="BV401" s="418">
        <f t="shared" si="635"/>
        <v>4.7005999999999997</v>
      </c>
      <c r="BW401" s="418">
        <f t="shared" si="636"/>
        <v>4.2699999999999996</v>
      </c>
      <c r="BX401" s="420">
        <f t="shared" si="636"/>
        <v>0.43059999999999998</v>
      </c>
      <c r="BY401" s="419"/>
      <c r="BZ401" s="414"/>
      <c r="CA401" s="414"/>
      <c r="CB401" s="414"/>
      <c r="CC401" s="414"/>
      <c r="CD401" s="422"/>
      <c r="CE401" s="419">
        <f t="shared" si="655"/>
        <v>71224</v>
      </c>
      <c r="CF401" s="414">
        <v>50130</v>
      </c>
      <c r="CG401" s="414">
        <v>16944</v>
      </c>
      <c r="CH401" s="414">
        <v>501</v>
      </c>
      <c r="CI401" s="414">
        <v>3649</v>
      </c>
      <c r="CJ401" s="509">
        <v>0.1406</v>
      </c>
    </row>
    <row r="402" spans="1:90" ht="14.1" customHeight="1">
      <c r="A402" s="72">
        <v>79</v>
      </c>
      <c r="B402" s="69">
        <v>2325</v>
      </c>
      <c r="C402" s="70">
        <v>600074561</v>
      </c>
      <c r="D402" s="69">
        <v>46750321</v>
      </c>
      <c r="E402" s="71" t="s">
        <v>690</v>
      </c>
      <c r="F402" s="72"/>
      <c r="G402" s="71"/>
      <c r="H402" s="73"/>
      <c r="I402" s="517">
        <v>44290399</v>
      </c>
      <c r="J402" s="78">
        <v>32415598</v>
      </c>
      <c r="K402" s="78">
        <v>28051469</v>
      </c>
      <c r="L402" s="78">
        <v>4364129</v>
      </c>
      <c r="M402" s="78">
        <v>18000</v>
      </c>
      <c r="N402" s="78">
        <v>18000</v>
      </c>
      <c r="O402" s="78">
        <v>0</v>
      </c>
      <c r="P402" s="78">
        <v>10962557</v>
      </c>
      <c r="Q402" s="78">
        <v>324156</v>
      </c>
      <c r="R402" s="78">
        <v>570088</v>
      </c>
      <c r="S402" s="79">
        <v>58.397600000000004</v>
      </c>
      <c r="T402" s="79">
        <v>45.392700000000005</v>
      </c>
      <c r="U402" s="654">
        <v>13.004900000000001</v>
      </c>
      <c r="V402" s="517">
        <f t="shared" ref="V402:BX402" si="656">SUM(V396:V401)</f>
        <v>-12000</v>
      </c>
      <c r="W402" s="78">
        <f t="shared" si="656"/>
        <v>0</v>
      </c>
      <c r="X402" s="78">
        <f t="shared" si="656"/>
        <v>0</v>
      </c>
      <c r="Y402" s="78">
        <f t="shared" si="656"/>
        <v>0</v>
      </c>
      <c r="Z402" s="78">
        <f t="shared" si="656"/>
        <v>-178971</v>
      </c>
      <c r="AA402" s="78">
        <f t="shared" si="656"/>
        <v>-27585</v>
      </c>
      <c r="AB402" s="78">
        <f t="shared" si="656"/>
        <v>0</v>
      </c>
      <c r="AC402" s="78">
        <f t="shared" si="656"/>
        <v>0</v>
      </c>
      <c r="AD402" s="78">
        <f t="shared" si="656"/>
        <v>0</v>
      </c>
      <c r="AE402" s="78">
        <f t="shared" si="656"/>
        <v>-190971</v>
      </c>
      <c r="AF402" s="78">
        <f t="shared" si="656"/>
        <v>-27585</v>
      </c>
      <c r="AG402" s="78">
        <f t="shared" si="656"/>
        <v>-218556</v>
      </c>
      <c r="AH402" s="78">
        <f t="shared" si="656"/>
        <v>12000</v>
      </c>
      <c r="AI402" s="78">
        <f t="shared" si="656"/>
        <v>0</v>
      </c>
      <c r="AJ402" s="78">
        <f t="shared" si="656"/>
        <v>0</v>
      </c>
      <c r="AK402" s="78">
        <f t="shared" si="656"/>
        <v>0</v>
      </c>
      <c r="AL402" s="78">
        <f t="shared" si="656"/>
        <v>0</v>
      </c>
      <c r="AM402" s="78">
        <f t="shared" si="656"/>
        <v>12000</v>
      </c>
      <c r="AN402" s="78">
        <f t="shared" si="656"/>
        <v>0</v>
      </c>
      <c r="AO402" s="78">
        <f t="shared" si="656"/>
        <v>12000</v>
      </c>
      <c r="AP402" s="78">
        <f t="shared" si="656"/>
        <v>-178971</v>
      </c>
      <c r="AQ402" s="78">
        <f t="shared" si="656"/>
        <v>-27585</v>
      </c>
      <c r="AR402" s="78">
        <f t="shared" si="656"/>
        <v>-206556</v>
      </c>
      <c r="AS402" s="78">
        <f t="shared" si="656"/>
        <v>-69816</v>
      </c>
      <c r="AT402" s="78">
        <f t="shared" si="656"/>
        <v>-2186</v>
      </c>
      <c r="AU402" s="78">
        <f t="shared" si="656"/>
        <v>0</v>
      </c>
      <c r="AV402" s="78">
        <f t="shared" si="656"/>
        <v>0</v>
      </c>
      <c r="AW402" s="78">
        <f t="shared" si="656"/>
        <v>0</v>
      </c>
      <c r="AX402" s="78">
        <f t="shared" si="656"/>
        <v>0</v>
      </c>
      <c r="AY402" s="78">
        <f t="shared" si="656"/>
        <v>-278558</v>
      </c>
      <c r="AZ402" s="79">
        <f t="shared" si="656"/>
        <v>0</v>
      </c>
      <c r="BA402" s="79">
        <f t="shared" si="656"/>
        <v>0</v>
      </c>
      <c r="BB402" s="79">
        <f t="shared" si="656"/>
        <v>0</v>
      </c>
      <c r="BC402" s="79">
        <f t="shared" si="656"/>
        <v>-0.28999999999999998</v>
      </c>
      <c r="BD402" s="79">
        <f t="shared" si="656"/>
        <v>-0.09</v>
      </c>
      <c r="BE402" s="79">
        <f t="shared" si="656"/>
        <v>0</v>
      </c>
      <c r="BF402" s="79">
        <f t="shared" si="656"/>
        <v>0</v>
      </c>
      <c r="BG402" s="79">
        <f t="shared" si="656"/>
        <v>0</v>
      </c>
      <c r="BH402" s="79">
        <f t="shared" si="656"/>
        <v>0</v>
      </c>
      <c r="BI402" s="79">
        <f t="shared" si="656"/>
        <v>-0.28999999999999998</v>
      </c>
      <c r="BJ402" s="79">
        <f t="shared" si="656"/>
        <v>-0.09</v>
      </c>
      <c r="BK402" s="80">
        <f t="shared" si="656"/>
        <v>-0.37999999999999995</v>
      </c>
      <c r="BL402" s="782">
        <f t="shared" si="656"/>
        <v>44011841</v>
      </c>
      <c r="BM402" s="78">
        <f t="shared" si="656"/>
        <v>32197042</v>
      </c>
      <c r="BN402" s="78">
        <f t="shared" si="656"/>
        <v>27860498</v>
      </c>
      <c r="BO402" s="78">
        <f t="shared" si="656"/>
        <v>4336544</v>
      </c>
      <c r="BP402" s="78">
        <f t="shared" si="656"/>
        <v>30000</v>
      </c>
      <c r="BQ402" s="78">
        <f t="shared" si="656"/>
        <v>30000</v>
      </c>
      <c r="BR402" s="78">
        <f t="shared" si="656"/>
        <v>0</v>
      </c>
      <c r="BS402" s="78">
        <f t="shared" si="656"/>
        <v>10892741</v>
      </c>
      <c r="BT402" s="78">
        <f t="shared" si="656"/>
        <v>321970</v>
      </c>
      <c r="BU402" s="78">
        <f t="shared" si="656"/>
        <v>570088</v>
      </c>
      <c r="BV402" s="79">
        <f t="shared" si="656"/>
        <v>58.017599999999995</v>
      </c>
      <c r="BW402" s="79">
        <f t="shared" si="656"/>
        <v>45.102699999999999</v>
      </c>
      <c r="BX402" s="80">
        <f t="shared" si="656"/>
        <v>12.914900000000001</v>
      </c>
      <c r="BY402" s="792">
        <f t="shared" ref="BY402:CJ402" si="657">SUM(BY396:BY401)</f>
        <v>760272</v>
      </c>
      <c r="BZ402" s="680">
        <f t="shared" si="657"/>
        <v>564000</v>
      </c>
      <c r="CA402" s="680">
        <f t="shared" si="657"/>
        <v>0</v>
      </c>
      <c r="CB402" s="680">
        <f t="shared" si="657"/>
        <v>190632</v>
      </c>
      <c r="CC402" s="680">
        <f t="shared" si="657"/>
        <v>5640</v>
      </c>
      <c r="CD402" s="948">
        <f t="shared" si="657"/>
        <v>1</v>
      </c>
      <c r="CE402" s="957">
        <f t="shared" si="657"/>
        <v>1104485</v>
      </c>
      <c r="CF402" s="954">
        <f t="shared" si="657"/>
        <v>727185</v>
      </c>
      <c r="CG402" s="954">
        <f t="shared" si="657"/>
        <v>245789</v>
      </c>
      <c r="CH402" s="954">
        <f t="shared" si="657"/>
        <v>7272</v>
      </c>
      <c r="CI402" s="954">
        <f t="shared" si="657"/>
        <v>124239</v>
      </c>
      <c r="CJ402" s="878">
        <f t="shared" si="657"/>
        <v>2.1355</v>
      </c>
    </row>
    <row r="403" spans="1:90" ht="14.1" customHeight="1">
      <c r="A403" s="66">
        <v>80</v>
      </c>
      <c r="B403" s="63">
        <v>2329</v>
      </c>
      <c r="C403" s="64">
        <v>691007331</v>
      </c>
      <c r="D403" s="63">
        <v>71294171</v>
      </c>
      <c r="E403" s="65" t="s">
        <v>760</v>
      </c>
      <c r="F403" s="66">
        <v>3114</v>
      </c>
      <c r="G403" s="165" t="s">
        <v>525</v>
      </c>
      <c r="H403" s="67" t="s">
        <v>271</v>
      </c>
      <c r="I403" s="419">
        <v>8048337</v>
      </c>
      <c r="J403" s="414">
        <v>5920042</v>
      </c>
      <c r="K403" s="414">
        <v>5183594</v>
      </c>
      <c r="L403" s="414">
        <v>736448</v>
      </c>
      <c r="M403" s="414">
        <v>0</v>
      </c>
      <c r="N403" s="414">
        <v>0</v>
      </c>
      <c r="O403" s="414">
        <v>0</v>
      </c>
      <c r="P403" s="595">
        <v>2000975</v>
      </c>
      <c r="Q403" s="595">
        <v>59200</v>
      </c>
      <c r="R403" s="414">
        <v>68120</v>
      </c>
      <c r="S403" s="415">
        <v>9.065100000000001</v>
      </c>
      <c r="T403" s="415">
        <v>6.9545000000000003</v>
      </c>
      <c r="U403" s="422">
        <v>2.1105999999999998</v>
      </c>
      <c r="V403" s="423">
        <f t="shared" si="637"/>
        <v>0</v>
      </c>
      <c r="W403" s="417">
        <f t="shared" si="638"/>
        <v>0</v>
      </c>
      <c r="X403" s="417">
        <v>0</v>
      </c>
      <c r="Y403" s="417">
        <v>0</v>
      </c>
      <c r="Z403" s="417">
        <v>0</v>
      </c>
      <c r="AA403" s="417">
        <v>0</v>
      </c>
      <c r="AB403" s="417">
        <v>0</v>
      </c>
      <c r="AC403" s="417">
        <v>0</v>
      </c>
      <c r="AD403" s="417">
        <v>0</v>
      </c>
      <c r="AE403" s="417">
        <f t="shared" si="639"/>
        <v>0</v>
      </c>
      <c r="AF403" s="417">
        <f t="shared" si="640"/>
        <v>0</v>
      </c>
      <c r="AG403" s="417">
        <f t="shared" si="641"/>
        <v>0</v>
      </c>
      <c r="AH403" s="417">
        <v>0</v>
      </c>
      <c r="AI403" s="417">
        <v>0</v>
      </c>
      <c r="AJ403" s="417">
        <v>0</v>
      </c>
      <c r="AK403" s="417">
        <v>0</v>
      </c>
      <c r="AL403" s="417">
        <v>0</v>
      </c>
      <c r="AM403" s="417">
        <f t="shared" si="642"/>
        <v>0</v>
      </c>
      <c r="AN403" s="417">
        <f t="shared" si="643"/>
        <v>0</v>
      </c>
      <c r="AO403" s="417">
        <f t="shared" si="644"/>
        <v>0</v>
      </c>
      <c r="AP403" s="417">
        <f t="shared" si="645"/>
        <v>0</v>
      </c>
      <c r="AQ403" s="417">
        <f t="shared" si="646"/>
        <v>0</v>
      </c>
      <c r="AR403" s="417">
        <f t="shared" si="647"/>
        <v>0</v>
      </c>
      <c r="AS403" s="68">
        <f t="shared" si="648"/>
        <v>0</v>
      </c>
      <c r="AT403" s="68">
        <f t="shared" si="649"/>
        <v>0</v>
      </c>
      <c r="AU403" s="417">
        <v>0</v>
      </c>
      <c r="AV403" s="417">
        <v>0</v>
      </c>
      <c r="AW403" s="417">
        <v>0</v>
      </c>
      <c r="AX403" s="417">
        <f t="shared" si="650"/>
        <v>0</v>
      </c>
      <c r="AY403" s="417">
        <f t="shared" si="651"/>
        <v>0</v>
      </c>
      <c r="AZ403" s="418">
        <v>0</v>
      </c>
      <c r="BA403" s="418">
        <v>0</v>
      </c>
      <c r="BB403" s="418">
        <v>0</v>
      </c>
      <c r="BC403" s="418">
        <v>0</v>
      </c>
      <c r="BD403" s="418">
        <v>0</v>
      </c>
      <c r="BE403" s="418">
        <v>0</v>
      </c>
      <c r="BF403" s="418">
        <v>0</v>
      </c>
      <c r="BG403" s="418">
        <v>0</v>
      </c>
      <c r="BH403" s="418">
        <v>0</v>
      </c>
      <c r="BI403" s="418">
        <f t="shared" si="652"/>
        <v>0</v>
      </c>
      <c r="BJ403" s="418">
        <f t="shared" si="653"/>
        <v>0</v>
      </c>
      <c r="BK403" s="420">
        <f t="shared" si="654"/>
        <v>0</v>
      </c>
      <c r="BL403" s="772">
        <f t="shared" ref="BL403:BL408" si="658">I403+AY403</f>
        <v>8048337</v>
      </c>
      <c r="BM403" s="417">
        <f t="shared" ref="BM403:BM408" si="659">J403+AG403</f>
        <v>5920042</v>
      </c>
      <c r="BN403" s="417">
        <f t="shared" ref="BN403:BO408" si="660">K403+AE403</f>
        <v>5183594</v>
      </c>
      <c r="BO403" s="417">
        <f t="shared" si="660"/>
        <v>736448</v>
      </c>
      <c r="BP403" s="417">
        <f t="shared" ref="BP403:BP408" si="661">M403+AO403</f>
        <v>0</v>
      </c>
      <c r="BQ403" s="417">
        <f t="shared" ref="BQ403:BR408" si="662">N403+AM403</f>
        <v>0</v>
      </c>
      <c r="BR403" s="417">
        <f t="shared" si="662"/>
        <v>0</v>
      </c>
      <c r="BS403" s="417">
        <f t="shared" ref="BS403:BT408" si="663">P403+AS403</f>
        <v>2000975</v>
      </c>
      <c r="BT403" s="417">
        <f t="shared" si="663"/>
        <v>59200</v>
      </c>
      <c r="BU403" s="417">
        <f t="shared" ref="BU403:BU408" si="664">R403+AX403</f>
        <v>68120</v>
      </c>
      <c r="BV403" s="418">
        <f t="shared" ref="BV403:BV408" si="665">S403+BK403</f>
        <v>9.065100000000001</v>
      </c>
      <c r="BW403" s="418">
        <f t="shared" ref="BW403:BX408" si="666">T403+BI403</f>
        <v>6.9545000000000003</v>
      </c>
      <c r="BX403" s="420">
        <f t="shared" si="666"/>
        <v>2.1105999999999998</v>
      </c>
      <c r="BY403" s="419"/>
      <c r="BZ403" s="414"/>
      <c r="CA403" s="414"/>
      <c r="CB403" s="414"/>
      <c r="CC403" s="414"/>
      <c r="CD403" s="422"/>
      <c r="CE403" s="419">
        <f t="shared" si="655"/>
        <v>336736</v>
      </c>
      <c r="CF403" s="414">
        <v>236332</v>
      </c>
      <c r="CG403" s="414">
        <v>79880</v>
      </c>
      <c r="CH403" s="414">
        <v>2363</v>
      </c>
      <c r="CI403" s="414">
        <v>18161</v>
      </c>
      <c r="CJ403" s="509">
        <v>0.67730000000000001</v>
      </c>
    </row>
    <row r="404" spans="1:90" ht="14.1" customHeight="1">
      <c r="A404" s="66">
        <v>80</v>
      </c>
      <c r="B404" s="63">
        <v>2329</v>
      </c>
      <c r="C404" s="64">
        <v>691007331</v>
      </c>
      <c r="D404" s="63">
        <v>71294171</v>
      </c>
      <c r="E404" s="65" t="s">
        <v>760</v>
      </c>
      <c r="F404" s="66">
        <v>3114</v>
      </c>
      <c r="G404" s="43" t="s">
        <v>292</v>
      </c>
      <c r="H404" s="67" t="s">
        <v>271</v>
      </c>
      <c r="I404" s="419">
        <v>1583582</v>
      </c>
      <c r="J404" s="414">
        <v>1174764</v>
      </c>
      <c r="K404" s="414">
        <v>1174764</v>
      </c>
      <c r="L404" s="414">
        <v>0</v>
      </c>
      <c r="M404" s="414">
        <v>0</v>
      </c>
      <c r="N404" s="414">
        <v>0</v>
      </c>
      <c r="O404" s="414">
        <v>0</v>
      </c>
      <c r="P404" s="595">
        <v>397070</v>
      </c>
      <c r="Q404" s="595">
        <v>11748</v>
      </c>
      <c r="R404" s="414">
        <v>0</v>
      </c>
      <c r="S404" s="415">
        <v>2.9167000000000001</v>
      </c>
      <c r="T404" s="415">
        <v>2.9167000000000001</v>
      </c>
      <c r="U404" s="422">
        <v>0</v>
      </c>
      <c r="V404" s="423">
        <f t="shared" si="637"/>
        <v>0</v>
      </c>
      <c r="W404" s="417">
        <f t="shared" si="638"/>
        <v>0</v>
      </c>
      <c r="X404" s="417">
        <v>0</v>
      </c>
      <c r="Y404" s="417">
        <v>0</v>
      </c>
      <c r="Z404" s="417">
        <v>0</v>
      </c>
      <c r="AA404" s="417">
        <v>0</v>
      </c>
      <c r="AB404" s="417">
        <v>0</v>
      </c>
      <c r="AC404" s="417">
        <v>0</v>
      </c>
      <c r="AD404" s="417">
        <v>0</v>
      </c>
      <c r="AE404" s="417">
        <f t="shared" si="639"/>
        <v>0</v>
      </c>
      <c r="AF404" s="417">
        <f t="shared" si="640"/>
        <v>0</v>
      </c>
      <c r="AG404" s="417">
        <f t="shared" si="641"/>
        <v>0</v>
      </c>
      <c r="AH404" s="417">
        <v>0</v>
      </c>
      <c r="AI404" s="417">
        <v>0</v>
      </c>
      <c r="AJ404" s="417">
        <v>0</v>
      </c>
      <c r="AK404" s="417">
        <v>0</v>
      </c>
      <c r="AL404" s="417">
        <v>0</v>
      </c>
      <c r="AM404" s="417">
        <f t="shared" si="642"/>
        <v>0</v>
      </c>
      <c r="AN404" s="417">
        <f t="shared" si="643"/>
        <v>0</v>
      </c>
      <c r="AO404" s="417">
        <f t="shared" si="644"/>
        <v>0</v>
      </c>
      <c r="AP404" s="417">
        <f t="shared" si="645"/>
        <v>0</v>
      </c>
      <c r="AQ404" s="417">
        <f t="shared" si="646"/>
        <v>0</v>
      </c>
      <c r="AR404" s="417">
        <f t="shared" si="647"/>
        <v>0</v>
      </c>
      <c r="AS404" s="68">
        <f t="shared" si="648"/>
        <v>0</v>
      </c>
      <c r="AT404" s="68">
        <f t="shared" si="649"/>
        <v>0</v>
      </c>
      <c r="AU404" s="417">
        <v>0</v>
      </c>
      <c r="AV404" s="417">
        <v>0</v>
      </c>
      <c r="AW404" s="417">
        <v>0</v>
      </c>
      <c r="AX404" s="417">
        <f t="shared" si="650"/>
        <v>0</v>
      </c>
      <c r="AY404" s="417">
        <f t="shared" si="651"/>
        <v>0</v>
      </c>
      <c r="AZ404" s="418">
        <v>0</v>
      </c>
      <c r="BA404" s="418">
        <v>0</v>
      </c>
      <c r="BB404" s="418">
        <v>0</v>
      </c>
      <c r="BC404" s="418">
        <v>0</v>
      </c>
      <c r="BD404" s="418">
        <v>0</v>
      </c>
      <c r="BE404" s="418">
        <v>0</v>
      </c>
      <c r="BF404" s="418">
        <v>0</v>
      </c>
      <c r="BG404" s="418">
        <v>0</v>
      </c>
      <c r="BH404" s="418">
        <v>0</v>
      </c>
      <c r="BI404" s="418">
        <f t="shared" si="652"/>
        <v>0</v>
      </c>
      <c r="BJ404" s="418">
        <f t="shared" si="653"/>
        <v>0</v>
      </c>
      <c r="BK404" s="420">
        <f t="shared" si="654"/>
        <v>0</v>
      </c>
      <c r="BL404" s="772">
        <f t="shared" si="658"/>
        <v>1583582</v>
      </c>
      <c r="BM404" s="417">
        <f t="shared" si="659"/>
        <v>1174764</v>
      </c>
      <c r="BN404" s="417">
        <f t="shared" si="660"/>
        <v>1174764</v>
      </c>
      <c r="BO404" s="417">
        <f t="shared" si="660"/>
        <v>0</v>
      </c>
      <c r="BP404" s="417">
        <f t="shared" si="661"/>
        <v>0</v>
      </c>
      <c r="BQ404" s="417">
        <f t="shared" si="662"/>
        <v>0</v>
      </c>
      <c r="BR404" s="417">
        <f t="shared" si="662"/>
        <v>0</v>
      </c>
      <c r="BS404" s="417">
        <f t="shared" si="663"/>
        <v>397070</v>
      </c>
      <c r="BT404" s="417">
        <f t="shared" si="663"/>
        <v>11748</v>
      </c>
      <c r="BU404" s="417">
        <f t="shared" si="664"/>
        <v>0</v>
      </c>
      <c r="BV404" s="418">
        <f t="shared" si="665"/>
        <v>2.9167000000000001</v>
      </c>
      <c r="BW404" s="418">
        <f t="shared" si="666"/>
        <v>2.9167000000000001</v>
      </c>
      <c r="BX404" s="420">
        <f t="shared" si="666"/>
        <v>0</v>
      </c>
      <c r="BY404" s="419"/>
      <c r="BZ404" s="414"/>
      <c r="CA404" s="414"/>
      <c r="CB404" s="414"/>
      <c r="CC404" s="414"/>
      <c r="CD404" s="422"/>
      <c r="CE404" s="419">
        <f t="shared" si="655"/>
        <v>0</v>
      </c>
      <c r="CF404" s="414">
        <v>0</v>
      </c>
      <c r="CG404" s="414">
        <v>0</v>
      </c>
      <c r="CH404" s="414">
        <v>0</v>
      </c>
      <c r="CI404" s="414">
        <v>0</v>
      </c>
      <c r="CJ404" s="509">
        <v>0</v>
      </c>
    </row>
    <row r="405" spans="1:90" ht="14.1" customHeight="1">
      <c r="A405" s="66">
        <v>80</v>
      </c>
      <c r="B405" s="63">
        <v>2329</v>
      </c>
      <c r="C405" s="64">
        <v>691007331</v>
      </c>
      <c r="D405" s="63">
        <v>71294171</v>
      </c>
      <c r="E405" s="65" t="s">
        <v>760</v>
      </c>
      <c r="F405" s="66">
        <v>3114</v>
      </c>
      <c r="G405" s="77" t="s">
        <v>291</v>
      </c>
      <c r="H405" s="67" t="s">
        <v>272</v>
      </c>
      <c r="I405" s="419">
        <v>0</v>
      </c>
      <c r="J405" s="414">
        <v>0</v>
      </c>
      <c r="K405" s="414">
        <v>0</v>
      </c>
      <c r="L405" s="414">
        <v>0</v>
      </c>
      <c r="M405" s="414">
        <v>0</v>
      </c>
      <c r="N405" s="414">
        <v>0</v>
      </c>
      <c r="O405" s="414">
        <v>0</v>
      </c>
      <c r="P405" s="595">
        <v>0</v>
      </c>
      <c r="Q405" s="595">
        <v>0</v>
      </c>
      <c r="R405" s="414">
        <v>0</v>
      </c>
      <c r="S405" s="415">
        <v>0</v>
      </c>
      <c r="T405" s="416">
        <v>0</v>
      </c>
      <c r="U405" s="422">
        <v>0</v>
      </c>
      <c r="V405" s="423">
        <f t="shared" si="637"/>
        <v>0</v>
      </c>
      <c r="W405" s="417">
        <f t="shared" si="638"/>
        <v>0</v>
      </c>
      <c r="X405" s="417">
        <v>0</v>
      </c>
      <c r="Y405" s="417">
        <v>0</v>
      </c>
      <c r="Z405" s="417">
        <v>0</v>
      </c>
      <c r="AA405" s="417">
        <v>0</v>
      </c>
      <c r="AB405" s="417">
        <v>0</v>
      </c>
      <c r="AC405" s="417">
        <v>0</v>
      </c>
      <c r="AD405" s="417">
        <v>0</v>
      </c>
      <c r="AE405" s="417">
        <f t="shared" si="639"/>
        <v>0</v>
      </c>
      <c r="AF405" s="417">
        <f t="shared" si="640"/>
        <v>0</v>
      </c>
      <c r="AG405" s="417">
        <f t="shared" si="641"/>
        <v>0</v>
      </c>
      <c r="AH405" s="417">
        <v>0</v>
      </c>
      <c r="AI405" s="417">
        <v>0</v>
      </c>
      <c r="AJ405" s="417">
        <v>0</v>
      </c>
      <c r="AK405" s="417">
        <v>0</v>
      </c>
      <c r="AL405" s="417">
        <v>0</v>
      </c>
      <c r="AM405" s="417">
        <f t="shared" si="642"/>
        <v>0</v>
      </c>
      <c r="AN405" s="417">
        <f t="shared" si="643"/>
        <v>0</v>
      </c>
      <c r="AO405" s="417">
        <f t="shared" si="644"/>
        <v>0</v>
      </c>
      <c r="AP405" s="417">
        <f t="shared" si="645"/>
        <v>0</v>
      </c>
      <c r="AQ405" s="417">
        <f t="shared" si="646"/>
        <v>0</v>
      </c>
      <c r="AR405" s="417">
        <f t="shared" si="647"/>
        <v>0</v>
      </c>
      <c r="AS405" s="68">
        <f t="shared" si="648"/>
        <v>0</v>
      </c>
      <c r="AT405" s="68">
        <f t="shared" si="649"/>
        <v>0</v>
      </c>
      <c r="AU405" s="417">
        <v>2000</v>
      </c>
      <c r="AV405" s="417">
        <v>0</v>
      </c>
      <c r="AW405" s="417">
        <v>0</v>
      </c>
      <c r="AX405" s="417">
        <f t="shared" si="650"/>
        <v>2000</v>
      </c>
      <c r="AY405" s="417">
        <f t="shared" si="651"/>
        <v>2000</v>
      </c>
      <c r="AZ405" s="418">
        <v>0</v>
      </c>
      <c r="BA405" s="418">
        <v>0</v>
      </c>
      <c r="BB405" s="418">
        <v>0</v>
      </c>
      <c r="BC405" s="418">
        <v>0</v>
      </c>
      <c r="BD405" s="418">
        <v>0</v>
      </c>
      <c r="BE405" s="418">
        <v>0</v>
      </c>
      <c r="BF405" s="418">
        <v>0</v>
      </c>
      <c r="BG405" s="418">
        <v>0</v>
      </c>
      <c r="BH405" s="418">
        <v>0</v>
      </c>
      <c r="BI405" s="418">
        <f t="shared" si="652"/>
        <v>0</v>
      </c>
      <c r="BJ405" s="418">
        <f t="shared" si="653"/>
        <v>0</v>
      </c>
      <c r="BK405" s="420">
        <f t="shared" si="654"/>
        <v>0</v>
      </c>
      <c r="BL405" s="772">
        <f t="shared" si="658"/>
        <v>2000</v>
      </c>
      <c r="BM405" s="417">
        <f t="shared" si="659"/>
        <v>0</v>
      </c>
      <c r="BN405" s="417">
        <f t="shared" si="660"/>
        <v>0</v>
      </c>
      <c r="BO405" s="417">
        <f t="shared" si="660"/>
        <v>0</v>
      </c>
      <c r="BP405" s="417">
        <f t="shared" si="661"/>
        <v>0</v>
      </c>
      <c r="BQ405" s="417">
        <f t="shared" si="662"/>
        <v>0</v>
      </c>
      <c r="BR405" s="417">
        <f t="shared" si="662"/>
        <v>0</v>
      </c>
      <c r="BS405" s="417">
        <f t="shared" si="663"/>
        <v>0</v>
      </c>
      <c r="BT405" s="417">
        <f t="shared" si="663"/>
        <v>0</v>
      </c>
      <c r="BU405" s="417">
        <f t="shared" si="664"/>
        <v>2000</v>
      </c>
      <c r="BV405" s="418">
        <f t="shared" si="665"/>
        <v>0</v>
      </c>
      <c r="BW405" s="418">
        <f t="shared" si="666"/>
        <v>0</v>
      </c>
      <c r="BX405" s="420">
        <f t="shared" si="666"/>
        <v>0</v>
      </c>
      <c r="BY405" s="419"/>
      <c r="BZ405" s="414"/>
      <c r="CA405" s="414"/>
      <c r="CB405" s="414"/>
      <c r="CC405" s="414"/>
      <c r="CD405" s="422"/>
      <c r="CE405" s="419">
        <f t="shared" si="655"/>
        <v>0</v>
      </c>
      <c r="CF405" s="414">
        <v>0</v>
      </c>
      <c r="CG405" s="414">
        <v>0</v>
      </c>
      <c r="CH405" s="414">
        <v>0</v>
      </c>
      <c r="CI405" s="414">
        <v>0</v>
      </c>
      <c r="CJ405" s="509">
        <v>0</v>
      </c>
    </row>
    <row r="406" spans="1:90" ht="14.1" customHeight="1">
      <c r="A406" s="66">
        <v>80</v>
      </c>
      <c r="B406" s="63">
        <v>2329</v>
      </c>
      <c r="C406" s="64">
        <v>691007331</v>
      </c>
      <c r="D406" s="63">
        <v>71294171</v>
      </c>
      <c r="E406" s="65" t="s">
        <v>760</v>
      </c>
      <c r="F406" s="66">
        <v>3141</v>
      </c>
      <c r="G406" s="65" t="s">
        <v>294</v>
      </c>
      <c r="H406" s="67" t="s">
        <v>272</v>
      </c>
      <c r="I406" s="419">
        <v>112989</v>
      </c>
      <c r="J406" s="414">
        <v>83240</v>
      </c>
      <c r="K406" s="414">
        <v>0</v>
      </c>
      <c r="L406" s="744">
        <v>83240</v>
      </c>
      <c r="M406" s="414">
        <v>0</v>
      </c>
      <c r="N406" s="204">
        <v>0</v>
      </c>
      <c r="O406" s="204">
        <v>0</v>
      </c>
      <c r="P406" s="595">
        <v>28135</v>
      </c>
      <c r="Q406" s="595">
        <v>832</v>
      </c>
      <c r="R406" s="601">
        <v>782</v>
      </c>
      <c r="S406" s="415">
        <v>0.24669999999999997</v>
      </c>
      <c r="T406" s="603">
        <v>0</v>
      </c>
      <c r="U406" s="731">
        <v>0.24669999999999997</v>
      </c>
      <c r="V406" s="423">
        <f t="shared" si="637"/>
        <v>0</v>
      </c>
      <c r="W406" s="417">
        <f t="shared" si="638"/>
        <v>0</v>
      </c>
      <c r="X406" s="417">
        <v>0</v>
      </c>
      <c r="Y406" s="417">
        <v>0</v>
      </c>
      <c r="Z406" s="417">
        <v>0</v>
      </c>
      <c r="AA406" s="417">
        <v>-8445</v>
      </c>
      <c r="AB406" s="417">
        <v>0</v>
      </c>
      <c r="AC406" s="417">
        <v>0</v>
      </c>
      <c r="AD406" s="417">
        <v>0</v>
      </c>
      <c r="AE406" s="417">
        <f t="shared" si="639"/>
        <v>0</v>
      </c>
      <c r="AF406" s="417">
        <f t="shared" si="640"/>
        <v>-8445</v>
      </c>
      <c r="AG406" s="417">
        <f t="shared" si="641"/>
        <v>-8445</v>
      </c>
      <c r="AH406" s="417">
        <v>0</v>
      </c>
      <c r="AI406" s="417">
        <v>0</v>
      </c>
      <c r="AJ406" s="417">
        <v>0</v>
      </c>
      <c r="AK406" s="417">
        <v>0</v>
      </c>
      <c r="AL406" s="417">
        <v>0</v>
      </c>
      <c r="AM406" s="417">
        <f t="shared" si="642"/>
        <v>0</v>
      </c>
      <c r="AN406" s="417">
        <f t="shared" si="643"/>
        <v>0</v>
      </c>
      <c r="AO406" s="417">
        <f t="shared" si="644"/>
        <v>0</v>
      </c>
      <c r="AP406" s="417">
        <f t="shared" si="645"/>
        <v>0</v>
      </c>
      <c r="AQ406" s="417">
        <f t="shared" si="646"/>
        <v>-8445</v>
      </c>
      <c r="AR406" s="417">
        <f t="shared" si="647"/>
        <v>-8445</v>
      </c>
      <c r="AS406" s="68">
        <f t="shared" si="648"/>
        <v>-2854</v>
      </c>
      <c r="AT406" s="68">
        <f t="shared" si="649"/>
        <v>-84</v>
      </c>
      <c r="AU406" s="417">
        <v>0</v>
      </c>
      <c r="AV406" s="417">
        <v>0</v>
      </c>
      <c r="AW406" s="417">
        <v>0</v>
      </c>
      <c r="AX406" s="417">
        <f t="shared" si="650"/>
        <v>0</v>
      </c>
      <c r="AY406" s="417">
        <f t="shared" si="651"/>
        <v>-11383</v>
      </c>
      <c r="AZ406" s="418">
        <v>0</v>
      </c>
      <c r="BA406" s="418">
        <v>0</v>
      </c>
      <c r="BB406" s="418">
        <v>0</v>
      </c>
      <c r="BC406" s="418">
        <v>0</v>
      </c>
      <c r="BD406" s="418">
        <v>-0.02</v>
      </c>
      <c r="BE406" s="418">
        <v>0</v>
      </c>
      <c r="BF406" s="418">
        <v>0</v>
      </c>
      <c r="BG406" s="418">
        <v>0</v>
      </c>
      <c r="BH406" s="418">
        <v>0</v>
      </c>
      <c r="BI406" s="418">
        <f t="shared" si="652"/>
        <v>0</v>
      </c>
      <c r="BJ406" s="418">
        <f t="shared" si="653"/>
        <v>-0.02</v>
      </c>
      <c r="BK406" s="420">
        <f t="shared" si="654"/>
        <v>-0.02</v>
      </c>
      <c r="BL406" s="772">
        <f t="shared" si="658"/>
        <v>101606</v>
      </c>
      <c r="BM406" s="417">
        <f t="shared" si="659"/>
        <v>74795</v>
      </c>
      <c r="BN406" s="417">
        <f t="shared" si="660"/>
        <v>0</v>
      </c>
      <c r="BO406" s="417">
        <f t="shared" si="660"/>
        <v>74795</v>
      </c>
      <c r="BP406" s="417">
        <f t="shared" si="661"/>
        <v>0</v>
      </c>
      <c r="BQ406" s="417">
        <f t="shared" si="662"/>
        <v>0</v>
      </c>
      <c r="BR406" s="417">
        <f t="shared" si="662"/>
        <v>0</v>
      </c>
      <c r="BS406" s="417">
        <f t="shared" si="663"/>
        <v>25281</v>
      </c>
      <c r="BT406" s="417">
        <f t="shared" si="663"/>
        <v>748</v>
      </c>
      <c r="BU406" s="417">
        <f t="shared" si="664"/>
        <v>782</v>
      </c>
      <c r="BV406" s="418">
        <f t="shared" si="665"/>
        <v>0.22669999999999998</v>
      </c>
      <c r="BW406" s="418">
        <f t="shared" si="666"/>
        <v>0</v>
      </c>
      <c r="BX406" s="420">
        <f t="shared" si="666"/>
        <v>0.22669999999999998</v>
      </c>
      <c r="BY406" s="419"/>
      <c r="BZ406" s="414"/>
      <c r="CA406" s="414"/>
      <c r="CB406" s="414"/>
      <c r="CC406" s="414"/>
      <c r="CD406" s="422"/>
      <c r="CE406" s="419">
        <f t="shared" si="655"/>
        <v>0</v>
      </c>
      <c r="CF406" s="414">
        <v>0</v>
      </c>
      <c r="CG406" s="414">
        <v>0</v>
      </c>
      <c r="CH406" s="414">
        <v>0</v>
      </c>
      <c r="CI406" s="414">
        <v>0</v>
      </c>
      <c r="CJ406" s="509">
        <v>0</v>
      </c>
    </row>
    <row r="407" spans="1:90" ht="14.1" customHeight="1">
      <c r="A407" s="66">
        <v>80</v>
      </c>
      <c r="B407" s="63">
        <v>2329</v>
      </c>
      <c r="C407" s="64">
        <v>691007331</v>
      </c>
      <c r="D407" s="63">
        <v>71294171</v>
      </c>
      <c r="E407" s="65" t="s">
        <v>760</v>
      </c>
      <c r="F407" s="66">
        <v>3143</v>
      </c>
      <c r="G407" s="77" t="s">
        <v>595</v>
      </c>
      <c r="H407" s="67" t="s">
        <v>271</v>
      </c>
      <c r="I407" s="419">
        <v>537690</v>
      </c>
      <c r="J407" s="414">
        <v>398880</v>
      </c>
      <c r="K407" s="414">
        <v>398880</v>
      </c>
      <c r="L407" s="414">
        <v>0</v>
      </c>
      <c r="M407" s="414">
        <v>0</v>
      </c>
      <c r="N407" s="414">
        <v>0</v>
      </c>
      <c r="O407" s="414">
        <v>0</v>
      </c>
      <c r="P407" s="595">
        <v>134821</v>
      </c>
      <c r="Q407" s="595">
        <v>3989</v>
      </c>
      <c r="R407" s="414">
        <v>0</v>
      </c>
      <c r="S407" s="415">
        <v>0.75</v>
      </c>
      <c r="T407" s="415">
        <v>0.75</v>
      </c>
      <c r="U407" s="422">
        <v>0</v>
      </c>
      <c r="V407" s="423">
        <f t="shared" si="637"/>
        <v>0</v>
      </c>
      <c r="W407" s="417">
        <f t="shared" si="638"/>
        <v>0</v>
      </c>
      <c r="X407" s="417">
        <v>0</v>
      </c>
      <c r="Y407" s="417">
        <v>0</v>
      </c>
      <c r="Z407" s="417">
        <v>0</v>
      </c>
      <c r="AA407" s="417">
        <v>0</v>
      </c>
      <c r="AB407" s="417">
        <v>0</v>
      </c>
      <c r="AC407" s="417">
        <v>0</v>
      </c>
      <c r="AD407" s="417">
        <v>0</v>
      </c>
      <c r="AE407" s="417">
        <f t="shared" si="639"/>
        <v>0</v>
      </c>
      <c r="AF407" s="417">
        <f t="shared" si="640"/>
        <v>0</v>
      </c>
      <c r="AG407" s="417">
        <f t="shared" si="641"/>
        <v>0</v>
      </c>
      <c r="AH407" s="417">
        <v>0</v>
      </c>
      <c r="AI407" s="417">
        <v>0</v>
      </c>
      <c r="AJ407" s="417">
        <v>0</v>
      </c>
      <c r="AK407" s="417">
        <v>0</v>
      </c>
      <c r="AL407" s="417">
        <v>0</v>
      </c>
      <c r="AM407" s="417">
        <f t="shared" si="642"/>
        <v>0</v>
      </c>
      <c r="AN407" s="417">
        <f t="shared" si="643"/>
        <v>0</v>
      </c>
      <c r="AO407" s="417">
        <f t="shared" si="644"/>
        <v>0</v>
      </c>
      <c r="AP407" s="417">
        <f t="shared" si="645"/>
        <v>0</v>
      </c>
      <c r="AQ407" s="417">
        <f t="shared" si="646"/>
        <v>0</v>
      </c>
      <c r="AR407" s="417">
        <f t="shared" si="647"/>
        <v>0</v>
      </c>
      <c r="AS407" s="68">
        <f t="shared" si="648"/>
        <v>0</v>
      </c>
      <c r="AT407" s="68">
        <f t="shared" si="649"/>
        <v>0</v>
      </c>
      <c r="AU407" s="417">
        <v>0</v>
      </c>
      <c r="AV407" s="417">
        <v>0</v>
      </c>
      <c r="AW407" s="417">
        <v>0</v>
      </c>
      <c r="AX407" s="417">
        <f t="shared" si="650"/>
        <v>0</v>
      </c>
      <c r="AY407" s="417">
        <f t="shared" si="651"/>
        <v>0</v>
      </c>
      <c r="AZ407" s="418">
        <v>0</v>
      </c>
      <c r="BA407" s="418">
        <v>0</v>
      </c>
      <c r="BB407" s="418">
        <v>0</v>
      </c>
      <c r="BC407" s="418">
        <v>0</v>
      </c>
      <c r="BD407" s="418">
        <v>0</v>
      </c>
      <c r="BE407" s="418">
        <v>0</v>
      </c>
      <c r="BF407" s="418">
        <v>0</v>
      </c>
      <c r="BG407" s="418">
        <v>0</v>
      </c>
      <c r="BH407" s="418">
        <v>0</v>
      </c>
      <c r="BI407" s="418">
        <f t="shared" si="652"/>
        <v>0</v>
      </c>
      <c r="BJ407" s="418">
        <f t="shared" si="653"/>
        <v>0</v>
      </c>
      <c r="BK407" s="420">
        <f t="shared" si="654"/>
        <v>0</v>
      </c>
      <c r="BL407" s="772">
        <f t="shared" si="658"/>
        <v>537690</v>
      </c>
      <c r="BM407" s="417">
        <f t="shared" si="659"/>
        <v>398880</v>
      </c>
      <c r="BN407" s="417">
        <f t="shared" si="660"/>
        <v>398880</v>
      </c>
      <c r="BO407" s="417">
        <f t="shared" si="660"/>
        <v>0</v>
      </c>
      <c r="BP407" s="417">
        <f t="shared" si="661"/>
        <v>0</v>
      </c>
      <c r="BQ407" s="417">
        <f t="shared" si="662"/>
        <v>0</v>
      </c>
      <c r="BR407" s="417">
        <f t="shared" si="662"/>
        <v>0</v>
      </c>
      <c r="BS407" s="417">
        <f t="shared" si="663"/>
        <v>134821</v>
      </c>
      <c r="BT407" s="417">
        <f t="shared" si="663"/>
        <v>3989</v>
      </c>
      <c r="BU407" s="417">
        <f t="shared" si="664"/>
        <v>0</v>
      </c>
      <c r="BV407" s="418">
        <f t="shared" si="665"/>
        <v>0.75</v>
      </c>
      <c r="BW407" s="418">
        <f t="shared" si="666"/>
        <v>0.75</v>
      </c>
      <c r="BX407" s="420">
        <f t="shared" si="666"/>
        <v>0</v>
      </c>
      <c r="BY407" s="419"/>
      <c r="BZ407" s="414"/>
      <c r="CA407" s="414"/>
      <c r="CB407" s="414"/>
      <c r="CC407" s="414"/>
      <c r="CD407" s="422"/>
      <c r="CE407" s="419">
        <f t="shared" si="655"/>
        <v>0</v>
      </c>
      <c r="CF407" s="414">
        <v>0</v>
      </c>
      <c r="CG407" s="414">
        <v>0</v>
      </c>
      <c r="CH407" s="414">
        <v>0</v>
      </c>
      <c r="CI407" s="414">
        <v>0</v>
      </c>
      <c r="CJ407" s="509">
        <v>0</v>
      </c>
    </row>
    <row r="408" spans="1:90" ht="14.1" customHeight="1">
      <c r="A408" s="66">
        <v>80</v>
      </c>
      <c r="B408" s="63">
        <v>2329</v>
      </c>
      <c r="C408" s="64">
        <v>691007331</v>
      </c>
      <c r="D408" s="63">
        <v>71294171</v>
      </c>
      <c r="E408" s="65" t="s">
        <v>760</v>
      </c>
      <c r="F408" s="66">
        <v>3143</v>
      </c>
      <c r="G408" s="77" t="s">
        <v>596</v>
      </c>
      <c r="H408" s="67" t="s">
        <v>272</v>
      </c>
      <c r="I408" s="419">
        <v>10757</v>
      </c>
      <c r="J408" s="414">
        <v>7700</v>
      </c>
      <c r="K408" s="414">
        <v>0</v>
      </c>
      <c r="L408" s="601">
        <v>7700</v>
      </c>
      <c r="M408" s="414">
        <v>0</v>
      </c>
      <c r="N408" s="414">
        <v>0</v>
      </c>
      <c r="O408" s="414">
        <v>0</v>
      </c>
      <c r="P408" s="595">
        <v>2602</v>
      </c>
      <c r="Q408" s="595">
        <v>77</v>
      </c>
      <c r="R408" s="602">
        <v>378</v>
      </c>
      <c r="S408" s="415">
        <v>2.9400000000000003E-2</v>
      </c>
      <c r="T408" s="605">
        <v>0</v>
      </c>
      <c r="U408" s="731">
        <v>2.9400000000000003E-2</v>
      </c>
      <c r="V408" s="423">
        <f t="shared" si="637"/>
        <v>0</v>
      </c>
      <c r="W408" s="417">
        <f t="shared" si="638"/>
        <v>0</v>
      </c>
      <c r="X408" s="417">
        <v>0</v>
      </c>
      <c r="Y408" s="417">
        <v>0</v>
      </c>
      <c r="Z408" s="417">
        <v>0</v>
      </c>
      <c r="AA408" s="417">
        <v>0</v>
      </c>
      <c r="AB408" s="417">
        <v>0</v>
      </c>
      <c r="AC408" s="417">
        <v>0</v>
      </c>
      <c r="AD408" s="417">
        <v>0</v>
      </c>
      <c r="AE408" s="417">
        <f t="shared" si="639"/>
        <v>0</v>
      </c>
      <c r="AF408" s="417">
        <f t="shared" si="640"/>
        <v>0</v>
      </c>
      <c r="AG408" s="417">
        <f t="shared" si="641"/>
        <v>0</v>
      </c>
      <c r="AH408" s="417">
        <v>0</v>
      </c>
      <c r="AI408" s="417">
        <v>0</v>
      </c>
      <c r="AJ408" s="417">
        <v>0</v>
      </c>
      <c r="AK408" s="417">
        <v>0</v>
      </c>
      <c r="AL408" s="417">
        <v>0</v>
      </c>
      <c r="AM408" s="417">
        <f t="shared" si="642"/>
        <v>0</v>
      </c>
      <c r="AN408" s="417">
        <f t="shared" si="643"/>
        <v>0</v>
      </c>
      <c r="AO408" s="417">
        <f t="shared" si="644"/>
        <v>0</v>
      </c>
      <c r="AP408" s="417">
        <f t="shared" si="645"/>
        <v>0</v>
      </c>
      <c r="AQ408" s="417">
        <f t="shared" si="646"/>
        <v>0</v>
      </c>
      <c r="AR408" s="417">
        <f t="shared" si="647"/>
        <v>0</v>
      </c>
      <c r="AS408" s="68">
        <f t="shared" si="648"/>
        <v>0</v>
      </c>
      <c r="AT408" s="68">
        <f t="shared" si="649"/>
        <v>0</v>
      </c>
      <c r="AU408" s="417">
        <v>0</v>
      </c>
      <c r="AV408" s="417">
        <v>0</v>
      </c>
      <c r="AW408" s="417">
        <v>0</v>
      </c>
      <c r="AX408" s="417">
        <f t="shared" si="650"/>
        <v>0</v>
      </c>
      <c r="AY408" s="417">
        <f t="shared" si="651"/>
        <v>0</v>
      </c>
      <c r="AZ408" s="418">
        <v>0</v>
      </c>
      <c r="BA408" s="418">
        <v>0</v>
      </c>
      <c r="BB408" s="418">
        <v>0</v>
      </c>
      <c r="BC408" s="418">
        <v>0</v>
      </c>
      <c r="BD408" s="418">
        <v>0</v>
      </c>
      <c r="BE408" s="418">
        <v>0</v>
      </c>
      <c r="BF408" s="418">
        <v>0</v>
      </c>
      <c r="BG408" s="418">
        <v>0</v>
      </c>
      <c r="BH408" s="418">
        <v>0</v>
      </c>
      <c r="BI408" s="418">
        <f t="shared" si="652"/>
        <v>0</v>
      </c>
      <c r="BJ408" s="418">
        <f t="shared" si="653"/>
        <v>0</v>
      </c>
      <c r="BK408" s="420">
        <f t="shared" si="654"/>
        <v>0</v>
      </c>
      <c r="BL408" s="772">
        <f t="shared" si="658"/>
        <v>10757</v>
      </c>
      <c r="BM408" s="417">
        <f t="shared" si="659"/>
        <v>7700</v>
      </c>
      <c r="BN408" s="417">
        <f t="shared" si="660"/>
        <v>0</v>
      </c>
      <c r="BO408" s="417">
        <f t="shared" si="660"/>
        <v>7700</v>
      </c>
      <c r="BP408" s="417">
        <f t="shared" si="661"/>
        <v>0</v>
      </c>
      <c r="BQ408" s="417">
        <f t="shared" si="662"/>
        <v>0</v>
      </c>
      <c r="BR408" s="417">
        <f t="shared" si="662"/>
        <v>0</v>
      </c>
      <c r="BS408" s="417">
        <f t="shared" si="663"/>
        <v>2602</v>
      </c>
      <c r="BT408" s="417">
        <f t="shared" si="663"/>
        <v>77</v>
      </c>
      <c r="BU408" s="417">
        <f t="shared" si="664"/>
        <v>378</v>
      </c>
      <c r="BV408" s="418">
        <f t="shared" si="665"/>
        <v>2.9400000000000003E-2</v>
      </c>
      <c r="BW408" s="418">
        <f t="shared" si="666"/>
        <v>0</v>
      </c>
      <c r="BX408" s="420">
        <f t="shared" si="666"/>
        <v>2.9400000000000003E-2</v>
      </c>
      <c r="BY408" s="419"/>
      <c r="BZ408" s="414"/>
      <c r="CA408" s="414"/>
      <c r="CB408" s="414"/>
      <c r="CC408" s="414"/>
      <c r="CD408" s="422"/>
      <c r="CE408" s="419">
        <f t="shared" si="655"/>
        <v>0</v>
      </c>
      <c r="CF408" s="414">
        <v>0</v>
      </c>
      <c r="CG408" s="414">
        <v>0</v>
      </c>
      <c r="CH408" s="414">
        <v>0</v>
      </c>
      <c r="CI408" s="414">
        <v>0</v>
      </c>
      <c r="CJ408" s="509">
        <v>0</v>
      </c>
    </row>
    <row r="409" spans="1:90" ht="14.1" customHeight="1">
      <c r="A409" s="72">
        <v>80</v>
      </c>
      <c r="B409" s="69">
        <v>2329</v>
      </c>
      <c r="C409" s="70">
        <v>691007331</v>
      </c>
      <c r="D409" s="69">
        <v>71294171</v>
      </c>
      <c r="E409" s="71" t="s">
        <v>781</v>
      </c>
      <c r="F409" s="72"/>
      <c r="G409" s="71"/>
      <c r="H409" s="73"/>
      <c r="I409" s="518">
        <v>10293355</v>
      </c>
      <c r="J409" s="82">
        <v>7584626</v>
      </c>
      <c r="K409" s="82">
        <v>6757238</v>
      </c>
      <c r="L409" s="82">
        <v>827388</v>
      </c>
      <c r="M409" s="82">
        <v>0</v>
      </c>
      <c r="N409" s="82">
        <v>0</v>
      </c>
      <c r="O409" s="82">
        <v>0</v>
      </c>
      <c r="P409" s="82">
        <v>2563603</v>
      </c>
      <c r="Q409" s="82">
        <v>75846</v>
      </c>
      <c r="R409" s="82">
        <v>69280</v>
      </c>
      <c r="S409" s="83">
        <v>13.007900000000003</v>
      </c>
      <c r="T409" s="83">
        <v>10.6212</v>
      </c>
      <c r="U409" s="655">
        <v>2.3866999999999998</v>
      </c>
      <c r="V409" s="518">
        <f t="shared" ref="V409:BX409" si="667">SUM(V403:V408)</f>
        <v>0</v>
      </c>
      <c r="W409" s="82">
        <f t="shared" si="667"/>
        <v>0</v>
      </c>
      <c r="X409" s="82">
        <f t="shared" si="667"/>
        <v>0</v>
      </c>
      <c r="Y409" s="82">
        <f t="shared" si="667"/>
        <v>0</v>
      </c>
      <c r="Z409" s="82">
        <f t="shared" si="667"/>
        <v>0</v>
      </c>
      <c r="AA409" s="82">
        <f t="shared" si="667"/>
        <v>-8445</v>
      </c>
      <c r="AB409" s="82">
        <f t="shared" si="667"/>
        <v>0</v>
      </c>
      <c r="AC409" s="82">
        <f t="shared" si="667"/>
        <v>0</v>
      </c>
      <c r="AD409" s="82">
        <f t="shared" si="667"/>
        <v>0</v>
      </c>
      <c r="AE409" s="82">
        <f t="shared" si="667"/>
        <v>0</v>
      </c>
      <c r="AF409" s="82">
        <f t="shared" si="667"/>
        <v>-8445</v>
      </c>
      <c r="AG409" s="82">
        <f t="shared" si="667"/>
        <v>-8445</v>
      </c>
      <c r="AH409" s="82">
        <f t="shared" si="667"/>
        <v>0</v>
      </c>
      <c r="AI409" s="82">
        <f t="shared" si="667"/>
        <v>0</v>
      </c>
      <c r="AJ409" s="82">
        <f t="shared" si="667"/>
        <v>0</v>
      </c>
      <c r="AK409" s="82">
        <f t="shared" si="667"/>
        <v>0</v>
      </c>
      <c r="AL409" s="82">
        <f t="shared" si="667"/>
        <v>0</v>
      </c>
      <c r="AM409" s="82">
        <f t="shared" si="667"/>
        <v>0</v>
      </c>
      <c r="AN409" s="82">
        <f t="shared" si="667"/>
        <v>0</v>
      </c>
      <c r="AO409" s="82">
        <f t="shared" si="667"/>
        <v>0</v>
      </c>
      <c r="AP409" s="82">
        <f t="shared" si="667"/>
        <v>0</v>
      </c>
      <c r="AQ409" s="82">
        <f t="shared" si="667"/>
        <v>-8445</v>
      </c>
      <c r="AR409" s="82">
        <f t="shared" si="667"/>
        <v>-8445</v>
      </c>
      <c r="AS409" s="82">
        <f t="shared" si="667"/>
        <v>-2854</v>
      </c>
      <c r="AT409" s="82">
        <f t="shared" si="667"/>
        <v>-84</v>
      </c>
      <c r="AU409" s="82">
        <f t="shared" si="667"/>
        <v>2000</v>
      </c>
      <c r="AV409" s="82">
        <f t="shared" si="667"/>
        <v>0</v>
      </c>
      <c r="AW409" s="82">
        <f t="shared" si="667"/>
        <v>0</v>
      </c>
      <c r="AX409" s="82">
        <f t="shared" si="667"/>
        <v>2000</v>
      </c>
      <c r="AY409" s="82">
        <f t="shared" si="667"/>
        <v>-9383</v>
      </c>
      <c r="AZ409" s="83">
        <f t="shared" si="667"/>
        <v>0</v>
      </c>
      <c r="BA409" s="83">
        <f t="shared" si="667"/>
        <v>0</v>
      </c>
      <c r="BB409" s="83">
        <f t="shared" si="667"/>
        <v>0</v>
      </c>
      <c r="BC409" s="83">
        <f t="shared" si="667"/>
        <v>0</v>
      </c>
      <c r="BD409" s="83">
        <f t="shared" si="667"/>
        <v>-0.02</v>
      </c>
      <c r="BE409" s="83">
        <f t="shared" si="667"/>
        <v>0</v>
      </c>
      <c r="BF409" s="83">
        <f t="shared" si="667"/>
        <v>0</v>
      </c>
      <c r="BG409" s="83">
        <f t="shared" si="667"/>
        <v>0</v>
      </c>
      <c r="BH409" s="83">
        <f t="shared" si="667"/>
        <v>0</v>
      </c>
      <c r="BI409" s="83">
        <f t="shared" si="667"/>
        <v>0</v>
      </c>
      <c r="BJ409" s="83">
        <f t="shared" si="667"/>
        <v>-0.02</v>
      </c>
      <c r="BK409" s="84">
        <f t="shared" si="667"/>
        <v>-0.02</v>
      </c>
      <c r="BL409" s="783">
        <f t="shared" si="667"/>
        <v>10283972</v>
      </c>
      <c r="BM409" s="82">
        <f t="shared" si="667"/>
        <v>7576181</v>
      </c>
      <c r="BN409" s="82">
        <f t="shared" si="667"/>
        <v>6757238</v>
      </c>
      <c r="BO409" s="82">
        <f t="shared" si="667"/>
        <v>818943</v>
      </c>
      <c r="BP409" s="82">
        <f t="shared" si="667"/>
        <v>0</v>
      </c>
      <c r="BQ409" s="82">
        <f t="shared" si="667"/>
        <v>0</v>
      </c>
      <c r="BR409" s="82">
        <f t="shared" si="667"/>
        <v>0</v>
      </c>
      <c r="BS409" s="82">
        <f t="shared" si="667"/>
        <v>2560749</v>
      </c>
      <c r="BT409" s="82">
        <f t="shared" si="667"/>
        <v>75762</v>
      </c>
      <c r="BU409" s="82">
        <f t="shared" si="667"/>
        <v>71280</v>
      </c>
      <c r="BV409" s="83">
        <f t="shared" si="667"/>
        <v>12.987900000000002</v>
      </c>
      <c r="BW409" s="83">
        <f t="shared" si="667"/>
        <v>10.6212</v>
      </c>
      <c r="BX409" s="84">
        <f t="shared" si="667"/>
        <v>2.3666999999999998</v>
      </c>
      <c r="BY409" s="793">
        <f t="shared" ref="BY409:CJ409" si="668">SUM(BY403:BY408)</f>
        <v>0</v>
      </c>
      <c r="BZ409" s="681">
        <f t="shared" si="668"/>
        <v>0</v>
      </c>
      <c r="CA409" s="681">
        <f t="shared" si="668"/>
        <v>0</v>
      </c>
      <c r="CB409" s="681">
        <f t="shared" si="668"/>
        <v>0</v>
      </c>
      <c r="CC409" s="681">
        <f t="shared" si="668"/>
        <v>0</v>
      </c>
      <c r="CD409" s="949">
        <f t="shared" si="668"/>
        <v>0</v>
      </c>
      <c r="CE409" s="958">
        <f t="shared" si="668"/>
        <v>336736</v>
      </c>
      <c r="CF409" s="955">
        <f t="shared" si="668"/>
        <v>236332</v>
      </c>
      <c r="CG409" s="955">
        <f t="shared" si="668"/>
        <v>79880</v>
      </c>
      <c r="CH409" s="955">
        <f t="shared" si="668"/>
        <v>2363</v>
      </c>
      <c r="CI409" s="955">
        <f t="shared" si="668"/>
        <v>18161</v>
      </c>
      <c r="CJ409" s="879">
        <f t="shared" si="668"/>
        <v>0.67730000000000001</v>
      </c>
    </row>
    <row r="410" spans="1:90" ht="14.1" customHeight="1">
      <c r="A410" s="66">
        <v>81</v>
      </c>
      <c r="B410" s="63">
        <v>2466</v>
      </c>
      <c r="C410" s="64">
        <v>600079821</v>
      </c>
      <c r="D410" s="63">
        <v>70695083</v>
      </c>
      <c r="E410" s="65" t="s">
        <v>792</v>
      </c>
      <c r="F410" s="66">
        <v>3111</v>
      </c>
      <c r="G410" s="65" t="s">
        <v>290</v>
      </c>
      <c r="H410" s="67" t="s">
        <v>271</v>
      </c>
      <c r="I410" s="419">
        <v>3120755</v>
      </c>
      <c r="J410" s="414">
        <v>2305605</v>
      </c>
      <c r="K410" s="414">
        <v>2129187</v>
      </c>
      <c r="L410" s="414">
        <v>176418</v>
      </c>
      <c r="M410" s="414">
        <v>0</v>
      </c>
      <c r="N410" s="414">
        <v>0</v>
      </c>
      <c r="O410" s="414">
        <v>0</v>
      </c>
      <c r="P410" s="595">
        <v>779294</v>
      </c>
      <c r="Q410" s="595">
        <v>23056</v>
      </c>
      <c r="R410" s="414">
        <v>12800</v>
      </c>
      <c r="S410" s="415">
        <v>4.7068000000000003</v>
      </c>
      <c r="T410" s="415">
        <v>4</v>
      </c>
      <c r="U410" s="422">
        <v>0.70679999999999998</v>
      </c>
      <c r="V410" s="423">
        <f t="shared" si="637"/>
        <v>0</v>
      </c>
      <c r="W410" s="417">
        <f t="shared" si="638"/>
        <v>0</v>
      </c>
      <c r="X410" s="417">
        <v>0</v>
      </c>
      <c r="Y410" s="417">
        <v>0</v>
      </c>
      <c r="Z410" s="417">
        <v>0</v>
      </c>
      <c r="AA410" s="417">
        <v>0</v>
      </c>
      <c r="AB410" s="417">
        <v>0</v>
      </c>
      <c r="AC410" s="417">
        <v>0</v>
      </c>
      <c r="AD410" s="417">
        <v>0</v>
      </c>
      <c r="AE410" s="417">
        <f t="shared" si="639"/>
        <v>0</v>
      </c>
      <c r="AF410" s="417">
        <f t="shared" si="640"/>
        <v>0</v>
      </c>
      <c r="AG410" s="417">
        <f t="shared" si="641"/>
        <v>0</v>
      </c>
      <c r="AH410" s="417">
        <v>0</v>
      </c>
      <c r="AI410" s="417">
        <v>0</v>
      </c>
      <c r="AJ410" s="417">
        <v>0</v>
      </c>
      <c r="AK410" s="417">
        <v>0</v>
      </c>
      <c r="AL410" s="417">
        <v>0</v>
      </c>
      <c r="AM410" s="417">
        <f t="shared" si="642"/>
        <v>0</v>
      </c>
      <c r="AN410" s="417">
        <f t="shared" si="643"/>
        <v>0</v>
      </c>
      <c r="AO410" s="417">
        <f t="shared" si="644"/>
        <v>0</v>
      </c>
      <c r="AP410" s="417">
        <f t="shared" si="645"/>
        <v>0</v>
      </c>
      <c r="AQ410" s="417">
        <f t="shared" si="646"/>
        <v>0</v>
      </c>
      <c r="AR410" s="417">
        <f t="shared" si="647"/>
        <v>0</v>
      </c>
      <c r="AS410" s="68">
        <f t="shared" si="648"/>
        <v>0</v>
      </c>
      <c r="AT410" s="68">
        <f t="shared" si="649"/>
        <v>0</v>
      </c>
      <c r="AU410" s="417">
        <v>0</v>
      </c>
      <c r="AV410" s="417">
        <v>0</v>
      </c>
      <c r="AW410" s="417">
        <v>0</v>
      </c>
      <c r="AX410" s="417">
        <f t="shared" si="650"/>
        <v>0</v>
      </c>
      <c r="AY410" s="417">
        <f t="shared" si="651"/>
        <v>0</v>
      </c>
      <c r="AZ410" s="418">
        <v>0</v>
      </c>
      <c r="BA410" s="418">
        <v>0</v>
      </c>
      <c r="BB410" s="418">
        <v>0</v>
      </c>
      <c r="BC410" s="418">
        <v>0</v>
      </c>
      <c r="BD410" s="418">
        <v>0</v>
      </c>
      <c r="BE410" s="418">
        <v>0</v>
      </c>
      <c r="BF410" s="418">
        <v>0</v>
      </c>
      <c r="BG410" s="418">
        <v>0</v>
      </c>
      <c r="BH410" s="418">
        <v>0</v>
      </c>
      <c r="BI410" s="418">
        <f t="shared" si="652"/>
        <v>0</v>
      </c>
      <c r="BJ410" s="418">
        <f t="shared" si="653"/>
        <v>0</v>
      </c>
      <c r="BK410" s="420">
        <f t="shared" si="654"/>
        <v>0</v>
      </c>
      <c r="BL410" s="772">
        <f t="shared" ref="BL410:BL415" si="669">I410+AY410</f>
        <v>3120755</v>
      </c>
      <c r="BM410" s="417">
        <f t="shared" ref="BM410:BM415" si="670">J410+AG410</f>
        <v>2305605</v>
      </c>
      <c r="BN410" s="417">
        <f t="shared" ref="BN410:BO415" si="671">K410+AE410</f>
        <v>2129187</v>
      </c>
      <c r="BO410" s="417">
        <f t="shared" si="671"/>
        <v>176418</v>
      </c>
      <c r="BP410" s="417">
        <f t="shared" ref="BP410:BP415" si="672">M410+AO410</f>
        <v>0</v>
      </c>
      <c r="BQ410" s="417">
        <f t="shared" ref="BQ410:BR415" si="673">N410+AM410</f>
        <v>0</v>
      </c>
      <c r="BR410" s="417">
        <f t="shared" si="673"/>
        <v>0</v>
      </c>
      <c r="BS410" s="417">
        <f t="shared" ref="BS410:BT415" si="674">P410+AS410</f>
        <v>779294</v>
      </c>
      <c r="BT410" s="417">
        <f t="shared" si="674"/>
        <v>23056</v>
      </c>
      <c r="BU410" s="417">
        <f t="shared" ref="BU410:BU415" si="675">R410+AX410</f>
        <v>12800</v>
      </c>
      <c r="BV410" s="418">
        <f t="shared" ref="BV410:BV415" si="676">S410+BK410</f>
        <v>4.7068000000000003</v>
      </c>
      <c r="BW410" s="418">
        <f t="shared" ref="BW410:BX415" si="677">T410+BI410</f>
        <v>4</v>
      </c>
      <c r="BX410" s="420">
        <f t="shared" si="677"/>
        <v>0.70679999999999998</v>
      </c>
      <c r="BY410" s="419"/>
      <c r="BZ410" s="414"/>
      <c r="CA410" s="414"/>
      <c r="CB410" s="414"/>
      <c r="CC410" s="414"/>
      <c r="CD410" s="422"/>
      <c r="CE410" s="419">
        <f t="shared" si="655"/>
        <v>80566</v>
      </c>
      <c r="CF410" s="414">
        <v>56610</v>
      </c>
      <c r="CG410" s="414">
        <f>ROUND(CF410*33.8%,0)</f>
        <v>19134</v>
      </c>
      <c r="CH410" s="414">
        <f>ROUND(CF410*1%,0)</f>
        <v>566</v>
      </c>
      <c r="CI410" s="414">
        <v>4256</v>
      </c>
      <c r="CJ410" s="509">
        <v>0.2268</v>
      </c>
      <c r="CK410" s="53"/>
      <c r="CL410" s="53"/>
    </row>
    <row r="411" spans="1:90" ht="14.1" customHeight="1">
      <c r="A411" s="66">
        <v>81</v>
      </c>
      <c r="B411" s="63">
        <v>2466</v>
      </c>
      <c r="C411" s="64">
        <v>600079821</v>
      </c>
      <c r="D411" s="63">
        <v>70695083</v>
      </c>
      <c r="E411" s="65" t="s">
        <v>792</v>
      </c>
      <c r="F411" s="66">
        <v>3113</v>
      </c>
      <c r="G411" s="65" t="s">
        <v>293</v>
      </c>
      <c r="H411" s="67" t="s">
        <v>271</v>
      </c>
      <c r="I411" s="419">
        <v>9702575</v>
      </c>
      <c r="J411" s="414">
        <v>6932986</v>
      </c>
      <c r="K411" s="414">
        <v>5877237</v>
      </c>
      <c r="L411" s="414">
        <v>1055749</v>
      </c>
      <c r="M411" s="414">
        <v>170000</v>
      </c>
      <c r="N411" s="414">
        <v>50000</v>
      </c>
      <c r="O411" s="414">
        <v>120000</v>
      </c>
      <c r="P411" s="595">
        <v>2400809</v>
      </c>
      <c r="Q411" s="595">
        <v>69330</v>
      </c>
      <c r="R411" s="414">
        <v>129450</v>
      </c>
      <c r="S411" s="415">
        <v>12.480199999999998</v>
      </c>
      <c r="T411" s="415">
        <v>9.5907999999999998</v>
      </c>
      <c r="U411" s="422">
        <v>2.8893999999999997</v>
      </c>
      <c r="V411" s="423">
        <f t="shared" si="637"/>
        <v>0</v>
      </c>
      <c r="W411" s="417">
        <f t="shared" si="638"/>
        <v>68270</v>
      </c>
      <c r="X411" s="417">
        <v>0</v>
      </c>
      <c r="Y411" s="417">
        <v>0</v>
      </c>
      <c r="Z411" s="417">
        <v>0</v>
      </c>
      <c r="AA411" s="417">
        <v>0</v>
      </c>
      <c r="AB411" s="417">
        <v>0</v>
      </c>
      <c r="AC411" s="417">
        <v>0</v>
      </c>
      <c r="AD411" s="417">
        <v>0</v>
      </c>
      <c r="AE411" s="417">
        <f t="shared" si="639"/>
        <v>0</v>
      </c>
      <c r="AF411" s="417">
        <f t="shared" si="640"/>
        <v>68270</v>
      </c>
      <c r="AG411" s="417">
        <f t="shared" si="641"/>
        <v>68270</v>
      </c>
      <c r="AH411" s="417">
        <v>0</v>
      </c>
      <c r="AI411" s="417">
        <v>-68270</v>
      </c>
      <c r="AJ411" s="417">
        <v>0</v>
      </c>
      <c r="AK411" s="417">
        <v>0</v>
      </c>
      <c r="AL411" s="417">
        <v>18270</v>
      </c>
      <c r="AM411" s="417">
        <f t="shared" si="642"/>
        <v>0</v>
      </c>
      <c r="AN411" s="417">
        <f t="shared" si="643"/>
        <v>-50000</v>
      </c>
      <c r="AO411" s="417">
        <f t="shared" si="644"/>
        <v>-50000</v>
      </c>
      <c r="AP411" s="417">
        <f t="shared" si="645"/>
        <v>0</v>
      </c>
      <c r="AQ411" s="417">
        <f t="shared" si="646"/>
        <v>18270</v>
      </c>
      <c r="AR411" s="417">
        <f t="shared" si="647"/>
        <v>18270</v>
      </c>
      <c r="AS411" s="68">
        <f t="shared" si="648"/>
        <v>0</v>
      </c>
      <c r="AT411" s="68">
        <f t="shared" si="649"/>
        <v>683</v>
      </c>
      <c r="AU411" s="417">
        <v>0</v>
      </c>
      <c r="AV411" s="417">
        <v>0</v>
      </c>
      <c r="AW411" s="417">
        <v>0</v>
      </c>
      <c r="AX411" s="417">
        <f t="shared" si="650"/>
        <v>0</v>
      </c>
      <c r="AY411" s="417">
        <f t="shared" si="651"/>
        <v>18953</v>
      </c>
      <c r="AZ411" s="418">
        <v>-7.0000000000000007E-2</v>
      </c>
      <c r="BA411" s="418">
        <v>0.21</v>
      </c>
      <c r="BB411" s="418">
        <v>0</v>
      </c>
      <c r="BC411" s="418">
        <v>0</v>
      </c>
      <c r="BD411" s="418">
        <v>0</v>
      </c>
      <c r="BE411" s="418">
        <v>0</v>
      </c>
      <c r="BF411" s="418">
        <v>0</v>
      </c>
      <c r="BG411" s="418">
        <v>0</v>
      </c>
      <c r="BH411" s="418">
        <v>0</v>
      </c>
      <c r="BI411" s="418">
        <f t="shared" si="652"/>
        <v>-7.0000000000000007E-2</v>
      </c>
      <c r="BJ411" s="418">
        <f t="shared" si="653"/>
        <v>0.21</v>
      </c>
      <c r="BK411" s="420">
        <f t="shared" si="654"/>
        <v>0.13999999999999999</v>
      </c>
      <c r="BL411" s="772">
        <f t="shared" si="669"/>
        <v>9721528</v>
      </c>
      <c r="BM411" s="417">
        <f t="shared" si="670"/>
        <v>7001256</v>
      </c>
      <c r="BN411" s="417">
        <f t="shared" si="671"/>
        <v>5877237</v>
      </c>
      <c r="BO411" s="417">
        <f t="shared" si="671"/>
        <v>1124019</v>
      </c>
      <c r="BP411" s="417">
        <f t="shared" si="672"/>
        <v>120000</v>
      </c>
      <c r="BQ411" s="417">
        <f t="shared" si="673"/>
        <v>50000</v>
      </c>
      <c r="BR411" s="417">
        <f t="shared" si="673"/>
        <v>70000</v>
      </c>
      <c r="BS411" s="417">
        <f t="shared" si="674"/>
        <v>2400809</v>
      </c>
      <c r="BT411" s="417">
        <f t="shared" si="674"/>
        <v>70013</v>
      </c>
      <c r="BU411" s="417">
        <f t="shared" si="675"/>
        <v>129450</v>
      </c>
      <c r="BV411" s="418">
        <f t="shared" si="676"/>
        <v>12.620199999999999</v>
      </c>
      <c r="BW411" s="418">
        <f t="shared" si="677"/>
        <v>9.5207999999999995</v>
      </c>
      <c r="BX411" s="420">
        <f t="shared" si="677"/>
        <v>3.0993999999999997</v>
      </c>
      <c r="BY411" s="419"/>
      <c r="BZ411" s="414"/>
      <c r="CA411" s="414"/>
      <c r="CB411" s="414"/>
      <c r="CC411" s="414"/>
      <c r="CD411" s="422"/>
      <c r="CE411" s="419">
        <f t="shared" si="655"/>
        <v>539717</v>
      </c>
      <c r="CF411" s="414">
        <v>377374</v>
      </c>
      <c r="CG411" s="414">
        <v>127553</v>
      </c>
      <c r="CH411" s="414">
        <v>3774</v>
      </c>
      <c r="CI411" s="414">
        <v>31016</v>
      </c>
      <c r="CJ411" s="509">
        <v>1.0429999999999997</v>
      </c>
      <c r="CK411" s="53"/>
      <c r="CL411" s="53"/>
    </row>
    <row r="412" spans="1:90" ht="14.1" customHeight="1">
      <c r="A412" s="66">
        <v>81</v>
      </c>
      <c r="B412" s="63">
        <v>2466</v>
      </c>
      <c r="C412" s="64">
        <v>600079821</v>
      </c>
      <c r="D412" s="63">
        <v>70695083</v>
      </c>
      <c r="E412" s="65" t="s">
        <v>792</v>
      </c>
      <c r="F412" s="66">
        <v>3113</v>
      </c>
      <c r="G412" s="77" t="s">
        <v>291</v>
      </c>
      <c r="H412" s="67" t="s">
        <v>272</v>
      </c>
      <c r="I412" s="419">
        <v>2718256</v>
      </c>
      <c r="J412" s="414">
        <v>2009093</v>
      </c>
      <c r="K412" s="414">
        <v>2009093</v>
      </c>
      <c r="L412" s="414">
        <v>0</v>
      </c>
      <c r="M412" s="414">
        <v>0</v>
      </c>
      <c r="N412" s="414">
        <v>0</v>
      </c>
      <c r="O412" s="414">
        <v>0</v>
      </c>
      <c r="P412" s="595">
        <v>679073</v>
      </c>
      <c r="Q412" s="595">
        <v>20090</v>
      </c>
      <c r="R412" s="414">
        <v>10000</v>
      </c>
      <c r="S412" s="415">
        <v>5.669999999999999</v>
      </c>
      <c r="T412" s="416">
        <v>5.669999999999999</v>
      </c>
      <c r="U412" s="422">
        <v>0</v>
      </c>
      <c r="V412" s="423">
        <f t="shared" si="637"/>
        <v>0</v>
      </c>
      <c r="W412" s="417">
        <f t="shared" si="638"/>
        <v>0</v>
      </c>
      <c r="X412" s="417">
        <v>0</v>
      </c>
      <c r="Y412" s="417">
        <v>0</v>
      </c>
      <c r="Z412" s="417">
        <v>0</v>
      </c>
      <c r="AA412" s="417">
        <v>0</v>
      </c>
      <c r="AB412" s="417">
        <v>0</v>
      </c>
      <c r="AC412" s="417">
        <v>0</v>
      </c>
      <c r="AD412" s="417">
        <v>0</v>
      </c>
      <c r="AE412" s="417">
        <f t="shared" si="639"/>
        <v>0</v>
      </c>
      <c r="AF412" s="417">
        <f t="shared" si="640"/>
        <v>0</v>
      </c>
      <c r="AG412" s="417">
        <f t="shared" si="641"/>
        <v>0</v>
      </c>
      <c r="AH412" s="417">
        <v>0</v>
      </c>
      <c r="AI412" s="417">
        <v>0</v>
      </c>
      <c r="AJ412" s="417">
        <v>0</v>
      </c>
      <c r="AK412" s="417">
        <v>0</v>
      </c>
      <c r="AL412" s="417">
        <v>0</v>
      </c>
      <c r="AM412" s="417">
        <f t="shared" si="642"/>
        <v>0</v>
      </c>
      <c r="AN412" s="417">
        <f t="shared" si="643"/>
        <v>0</v>
      </c>
      <c r="AO412" s="417">
        <f t="shared" si="644"/>
        <v>0</v>
      </c>
      <c r="AP412" s="417">
        <f t="shared" si="645"/>
        <v>0</v>
      </c>
      <c r="AQ412" s="417">
        <f t="shared" si="646"/>
        <v>0</v>
      </c>
      <c r="AR412" s="417">
        <f t="shared" si="647"/>
        <v>0</v>
      </c>
      <c r="AS412" s="68">
        <f t="shared" si="648"/>
        <v>0</v>
      </c>
      <c r="AT412" s="68">
        <f t="shared" si="649"/>
        <v>0</v>
      </c>
      <c r="AU412" s="417">
        <v>0</v>
      </c>
      <c r="AV412" s="417">
        <v>0</v>
      </c>
      <c r="AW412" s="417">
        <v>0</v>
      </c>
      <c r="AX412" s="417">
        <f t="shared" si="650"/>
        <v>0</v>
      </c>
      <c r="AY412" s="417">
        <f t="shared" si="651"/>
        <v>0</v>
      </c>
      <c r="AZ412" s="418">
        <v>0</v>
      </c>
      <c r="BA412" s="418">
        <v>0</v>
      </c>
      <c r="BB412" s="418">
        <v>0</v>
      </c>
      <c r="BC412" s="418">
        <v>0</v>
      </c>
      <c r="BD412" s="418">
        <v>0</v>
      </c>
      <c r="BE412" s="418">
        <v>0</v>
      </c>
      <c r="BF412" s="418">
        <v>0</v>
      </c>
      <c r="BG412" s="418">
        <v>0</v>
      </c>
      <c r="BH412" s="418">
        <v>0</v>
      </c>
      <c r="BI412" s="418">
        <f t="shared" si="652"/>
        <v>0</v>
      </c>
      <c r="BJ412" s="418">
        <f t="shared" si="653"/>
        <v>0</v>
      </c>
      <c r="BK412" s="420">
        <f t="shared" si="654"/>
        <v>0</v>
      </c>
      <c r="BL412" s="772">
        <f t="shared" si="669"/>
        <v>2718256</v>
      </c>
      <c r="BM412" s="417">
        <f t="shared" si="670"/>
        <v>2009093</v>
      </c>
      <c r="BN412" s="417">
        <f t="shared" si="671"/>
        <v>2009093</v>
      </c>
      <c r="BO412" s="417">
        <f t="shared" si="671"/>
        <v>0</v>
      </c>
      <c r="BP412" s="417">
        <f t="shared" si="672"/>
        <v>0</v>
      </c>
      <c r="BQ412" s="417">
        <f t="shared" si="673"/>
        <v>0</v>
      </c>
      <c r="BR412" s="417">
        <f t="shared" si="673"/>
        <v>0</v>
      </c>
      <c r="BS412" s="417">
        <f t="shared" si="674"/>
        <v>679073</v>
      </c>
      <c r="BT412" s="417">
        <f t="shared" si="674"/>
        <v>20090</v>
      </c>
      <c r="BU412" s="417">
        <f t="shared" si="675"/>
        <v>10000</v>
      </c>
      <c r="BV412" s="418">
        <f t="shared" si="676"/>
        <v>5.669999999999999</v>
      </c>
      <c r="BW412" s="418">
        <f t="shared" si="677"/>
        <v>5.669999999999999</v>
      </c>
      <c r="BX412" s="420">
        <f t="shared" si="677"/>
        <v>0</v>
      </c>
      <c r="BY412" s="419"/>
      <c r="BZ412" s="414"/>
      <c r="CA412" s="414"/>
      <c r="CB412" s="414"/>
      <c r="CC412" s="414"/>
      <c r="CD412" s="422"/>
      <c r="CE412" s="419">
        <f t="shared" si="655"/>
        <v>0</v>
      </c>
      <c r="CF412" s="414">
        <v>0</v>
      </c>
      <c r="CG412" s="414">
        <v>0</v>
      </c>
      <c r="CH412" s="414">
        <v>0</v>
      </c>
      <c r="CI412" s="414">
        <v>0</v>
      </c>
      <c r="CJ412" s="509">
        <v>0</v>
      </c>
      <c r="CK412" s="53"/>
      <c r="CL412" s="53"/>
    </row>
    <row r="413" spans="1:90" ht="14.1" customHeight="1">
      <c r="A413" s="66">
        <v>81</v>
      </c>
      <c r="B413" s="63">
        <v>2466</v>
      </c>
      <c r="C413" s="64">
        <v>600079821</v>
      </c>
      <c r="D413" s="63">
        <v>70695083</v>
      </c>
      <c r="E413" s="65" t="s">
        <v>792</v>
      </c>
      <c r="F413" s="66">
        <v>3141</v>
      </c>
      <c r="G413" s="65" t="s">
        <v>294</v>
      </c>
      <c r="H413" s="67" t="s">
        <v>272</v>
      </c>
      <c r="I413" s="419">
        <v>1349520</v>
      </c>
      <c r="J413" s="414">
        <v>996652</v>
      </c>
      <c r="K413" s="414">
        <v>0</v>
      </c>
      <c r="L413" s="744">
        <v>996652</v>
      </c>
      <c r="M413" s="414">
        <v>0</v>
      </c>
      <c r="N413" s="204">
        <v>0</v>
      </c>
      <c r="O413" s="204">
        <v>0</v>
      </c>
      <c r="P413" s="595">
        <v>336869</v>
      </c>
      <c r="Q413" s="595">
        <v>9967</v>
      </c>
      <c r="R413" s="601">
        <v>6032</v>
      </c>
      <c r="S413" s="415">
        <v>2.9934000000000003</v>
      </c>
      <c r="T413" s="603">
        <v>0</v>
      </c>
      <c r="U413" s="731">
        <v>2.9934000000000003</v>
      </c>
      <c r="V413" s="423">
        <f t="shared" si="637"/>
        <v>0</v>
      </c>
      <c r="W413" s="417">
        <f t="shared" si="638"/>
        <v>0</v>
      </c>
      <c r="X413" s="417">
        <v>0</v>
      </c>
      <c r="Y413" s="417">
        <v>0</v>
      </c>
      <c r="Z413" s="417">
        <v>0</v>
      </c>
      <c r="AA413" s="417">
        <v>-8897</v>
      </c>
      <c r="AB413" s="417">
        <v>0</v>
      </c>
      <c r="AC413" s="417">
        <v>0</v>
      </c>
      <c r="AD413" s="417">
        <v>0</v>
      </c>
      <c r="AE413" s="417">
        <f t="shared" si="639"/>
        <v>0</v>
      </c>
      <c r="AF413" s="417">
        <f t="shared" si="640"/>
        <v>-8897</v>
      </c>
      <c r="AG413" s="417">
        <f t="shared" si="641"/>
        <v>-8897</v>
      </c>
      <c r="AH413" s="417">
        <v>0</v>
      </c>
      <c r="AI413" s="417">
        <v>0</v>
      </c>
      <c r="AJ413" s="417">
        <v>0</v>
      </c>
      <c r="AK413" s="417">
        <v>0</v>
      </c>
      <c r="AL413" s="417">
        <v>0</v>
      </c>
      <c r="AM413" s="417">
        <f t="shared" si="642"/>
        <v>0</v>
      </c>
      <c r="AN413" s="417">
        <f t="shared" si="643"/>
        <v>0</v>
      </c>
      <c r="AO413" s="417">
        <f t="shared" si="644"/>
        <v>0</v>
      </c>
      <c r="AP413" s="417">
        <f t="shared" si="645"/>
        <v>0</v>
      </c>
      <c r="AQ413" s="417">
        <f t="shared" si="646"/>
        <v>-8897</v>
      </c>
      <c r="AR413" s="417">
        <f t="shared" si="647"/>
        <v>-8897</v>
      </c>
      <c r="AS413" s="68">
        <f t="shared" si="648"/>
        <v>-3007</v>
      </c>
      <c r="AT413" s="68">
        <f t="shared" si="649"/>
        <v>-89</v>
      </c>
      <c r="AU413" s="417">
        <v>0</v>
      </c>
      <c r="AV413" s="417">
        <v>0</v>
      </c>
      <c r="AW413" s="417">
        <v>0</v>
      </c>
      <c r="AX413" s="417">
        <f t="shared" si="650"/>
        <v>0</v>
      </c>
      <c r="AY413" s="417">
        <f t="shared" si="651"/>
        <v>-11993</v>
      </c>
      <c r="AZ413" s="418">
        <v>0</v>
      </c>
      <c r="BA413" s="418">
        <v>0</v>
      </c>
      <c r="BB413" s="418">
        <v>0</v>
      </c>
      <c r="BC413" s="418">
        <v>0</v>
      </c>
      <c r="BD413" s="418">
        <v>-0.02</v>
      </c>
      <c r="BE413" s="418">
        <v>0</v>
      </c>
      <c r="BF413" s="418">
        <v>0</v>
      </c>
      <c r="BG413" s="418">
        <v>0</v>
      </c>
      <c r="BH413" s="418">
        <v>0</v>
      </c>
      <c r="BI413" s="418">
        <f t="shared" si="652"/>
        <v>0</v>
      </c>
      <c r="BJ413" s="418">
        <f t="shared" si="653"/>
        <v>-0.02</v>
      </c>
      <c r="BK413" s="420">
        <f t="shared" si="654"/>
        <v>-0.02</v>
      </c>
      <c r="BL413" s="772">
        <f t="shared" si="669"/>
        <v>1337527</v>
      </c>
      <c r="BM413" s="417">
        <f t="shared" si="670"/>
        <v>987755</v>
      </c>
      <c r="BN413" s="417">
        <f t="shared" si="671"/>
        <v>0</v>
      </c>
      <c r="BO413" s="417">
        <f t="shared" si="671"/>
        <v>987755</v>
      </c>
      <c r="BP413" s="417">
        <f t="shared" si="672"/>
        <v>0</v>
      </c>
      <c r="BQ413" s="417">
        <f t="shared" si="673"/>
        <v>0</v>
      </c>
      <c r="BR413" s="417">
        <f t="shared" si="673"/>
        <v>0</v>
      </c>
      <c r="BS413" s="417">
        <f t="shared" si="674"/>
        <v>333862</v>
      </c>
      <c r="BT413" s="417">
        <f t="shared" si="674"/>
        <v>9878</v>
      </c>
      <c r="BU413" s="417">
        <f t="shared" si="675"/>
        <v>6032</v>
      </c>
      <c r="BV413" s="418">
        <f t="shared" si="676"/>
        <v>2.9734000000000003</v>
      </c>
      <c r="BW413" s="418">
        <f t="shared" si="677"/>
        <v>0</v>
      </c>
      <c r="BX413" s="420">
        <f t="shared" si="677"/>
        <v>2.9734000000000003</v>
      </c>
      <c r="BY413" s="419"/>
      <c r="BZ413" s="414"/>
      <c r="CA413" s="414"/>
      <c r="CB413" s="414"/>
      <c r="CC413" s="414"/>
      <c r="CD413" s="422"/>
      <c r="CE413" s="419">
        <f t="shared" si="655"/>
        <v>0</v>
      </c>
      <c r="CF413" s="414">
        <v>0</v>
      </c>
      <c r="CG413" s="414">
        <v>0</v>
      </c>
      <c r="CH413" s="414">
        <v>0</v>
      </c>
      <c r="CI413" s="414">
        <v>0</v>
      </c>
      <c r="CJ413" s="509">
        <v>0</v>
      </c>
      <c r="CK413" s="53"/>
      <c r="CL413" s="53"/>
    </row>
    <row r="414" spans="1:90" ht="14.1" customHeight="1">
      <c r="A414" s="66">
        <v>81</v>
      </c>
      <c r="B414" s="63">
        <v>2466</v>
      </c>
      <c r="C414" s="64">
        <v>600079821</v>
      </c>
      <c r="D414" s="63">
        <v>70695083</v>
      </c>
      <c r="E414" s="65" t="s">
        <v>792</v>
      </c>
      <c r="F414" s="66">
        <v>3143</v>
      </c>
      <c r="G414" s="77" t="s">
        <v>595</v>
      </c>
      <c r="H414" s="67" t="s">
        <v>271</v>
      </c>
      <c r="I414" s="419">
        <v>703675</v>
      </c>
      <c r="J414" s="414">
        <v>522014</v>
      </c>
      <c r="K414" s="414">
        <v>522014</v>
      </c>
      <c r="L414" s="414">
        <v>0</v>
      </c>
      <c r="M414" s="414">
        <v>0</v>
      </c>
      <c r="N414" s="414">
        <v>0</v>
      </c>
      <c r="O414" s="414">
        <v>0</v>
      </c>
      <c r="P414" s="595">
        <v>176441</v>
      </c>
      <c r="Q414" s="595">
        <v>5220</v>
      </c>
      <c r="R414" s="414">
        <v>0</v>
      </c>
      <c r="S414" s="415">
        <v>1.1608000000000001</v>
      </c>
      <c r="T414" s="415">
        <v>1.1608000000000001</v>
      </c>
      <c r="U414" s="422">
        <v>0</v>
      </c>
      <c r="V414" s="423">
        <f t="shared" si="637"/>
        <v>0</v>
      </c>
      <c r="W414" s="417">
        <f t="shared" si="638"/>
        <v>0</v>
      </c>
      <c r="X414" s="417">
        <v>0</v>
      </c>
      <c r="Y414" s="417">
        <v>0</v>
      </c>
      <c r="Z414" s="417">
        <v>91538</v>
      </c>
      <c r="AA414" s="417">
        <v>0</v>
      </c>
      <c r="AB414" s="417">
        <v>0</v>
      </c>
      <c r="AC414" s="417">
        <v>0</v>
      </c>
      <c r="AD414" s="417">
        <v>0</v>
      </c>
      <c r="AE414" s="417">
        <f t="shared" si="639"/>
        <v>91538</v>
      </c>
      <c r="AF414" s="417">
        <f t="shared" si="640"/>
        <v>0</v>
      </c>
      <c r="AG414" s="417">
        <f t="shared" si="641"/>
        <v>91538</v>
      </c>
      <c r="AH414" s="417">
        <v>0</v>
      </c>
      <c r="AI414" s="417">
        <v>0</v>
      </c>
      <c r="AJ414" s="417">
        <v>0</v>
      </c>
      <c r="AK414" s="417">
        <v>0</v>
      </c>
      <c r="AL414" s="417">
        <v>0</v>
      </c>
      <c r="AM414" s="417">
        <f t="shared" si="642"/>
        <v>0</v>
      </c>
      <c r="AN414" s="417">
        <f t="shared" si="643"/>
        <v>0</v>
      </c>
      <c r="AO414" s="417">
        <f t="shared" si="644"/>
        <v>0</v>
      </c>
      <c r="AP414" s="417">
        <f t="shared" si="645"/>
        <v>91538</v>
      </c>
      <c r="AQ414" s="417">
        <f t="shared" si="646"/>
        <v>0</v>
      </c>
      <c r="AR414" s="417">
        <f t="shared" si="647"/>
        <v>91538</v>
      </c>
      <c r="AS414" s="68">
        <f t="shared" si="648"/>
        <v>30940</v>
      </c>
      <c r="AT414" s="68">
        <f t="shared" si="649"/>
        <v>915</v>
      </c>
      <c r="AU414" s="417">
        <v>0</v>
      </c>
      <c r="AV414" s="417">
        <v>0</v>
      </c>
      <c r="AW414" s="417">
        <v>0</v>
      </c>
      <c r="AX414" s="417">
        <f t="shared" si="650"/>
        <v>0</v>
      </c>
      <c r="AY414" s="417">
        <f t="shared" si="651"/>
        <v>123393</v>
      </c>
      <c r="AZ414" s="418">
        <v>0</v>
      </c>
      <c r="BA414" s="418">
        <v>0</v>
      </c>
      <c r="BB414" s="418">
        <v>0</v>
      </c>
      <c r="BC414" s="418">
        <v>0.23</v>
      </c>
      <c r="BD414" s="418">
        <v>0</v>
      </c>
      <c r="BE414" s="418">
        <v>0</v>
      </c>
      <c r="BF414" s="418">
        <v>0</v>
      </c>
      <c r="BG414" s="418">
        <v>0</v>
      </c>
      <c r="BH414" s="418">
        <v>0</v>
      </c>
      <c r="BI414" s="418">
        <f t="shared" si="652"/>
        <v>0.23</v>
      </c>
      <c r="BJ414" s="418">
        <f t="shared" si="653"/>
        <v>0</v>
      </c>
      <c r="BK414" s="420">
        <f t="shared" si="654"/>
        <v>0.23</v>
      </c>
      <c r="BL414" s="772">
        <f t="shared" si="669"/>
        <v>827068</v>
      </c>
      <c r="BM414" s="417">
        <f t="shared" si="670"/>
        <v>613552</v>
      </c>
      <c r="BN414" s="417">
        <f t="shared" si="671"/>
        <v>613552</v>
      </c>
      <c r="BO414" s="417">
        <f t="shared" si="671"/>
        <v>0</v>
      </c>
      <c r="BP414" s="417">
        <f t="shared" si="672"/>
        <v>0</v>
      </c>
      <c r="BQ414" s="417">
        <f t="shared" si="673"/>
        <v>0</v>
      </c>
      <c r="BR414" s="417">
        <f t="shared" si="673"/>
        <v>0</v>
      </c>
      <c r="BS414" s="417">
        <f t="shared" si="674"/>
        <v>207381</v>
      </c>
      <c r="BT414" s="417">
        <f t="shared" si="674"/>
        <v>6135</v>
      </c>
      <c r="BU414" s="417">
        <f t="shared" si="675"/>
        <v>0</v>
      </c>
      <c r="BV414" s="418">
        <f t="shared" si="676"/>
        <v>1.3908</v>
      </c>
      <c r="BW414" s="418">
        <f t="shared" si="677"/>
        <v>1.3908</v>
      </c>
      <c r="BX414" s="420">
        <f t="shared" si="677"/>
        <v>0</v>
      </c>
      <c r="BY414" s="419"/>
      <c r="BZ414" s="414"/>
      <c r="CA414" s="414"/>
      <c r="CB414" s="414"/>
      <c r="CC414" s="414"/>
      <c r="CD414" s="422"/>
      <c r="CE414" s="419">
        <f t="shared" si="655"/>
        <v>0</v>
      </c>
      <c r="CF414" s="414">
        <v>0</v>
      </c>
      <c r="CG414" s="414">
        <v>0</v>
      </c>
      <c r="CH414" s="414">
        <v>0</v>
      </c>
      <c r="CI414" s="414">
        <v>0</v>
      </c>
      <c r="CJ414" s="509">
        <v>0</v>
      </c>
      <c r="CK414" s="53"/>
      <c r="CL414" s="53"/>
    </row>
    <row r="415" spans="1:90" ht="14.1" customHeight="1">
      <c r="A415" s="66">
        <v>81</v>
      </c>
      <c r="B415" s="63">
        <v>2466</v>
      </c>
      <c r="C415" s="64">
        <v>600079821</v>
      </c>
      <c r="D415" s="63">
        <v>70695083</v>
      </c>
      <c r="E415" s="65" t="s">
        <v>792</v>
      </c>
      <c r="F415" s="66">
        <v>3143</v>
      </c>
      <c r="G415" s="77" t="s">
        <v>596</v>
      </c>
      <c r="H415" s="67" t="s">
        <v>272</v>
      </c>
      <c r="I415" s="419">
        <v>23052</v>
      </c>
      <c r="J415" s="414">
        <v>16500</v>
      </c>
      <c r="K415" s="414">
        <v>0</v>
      </c>
      <c r="L415" s="601">
        <v>16500</v>
      </c>
      <c r="M415" s="414">
        <v>0</v>
      </c>
      <c r="N415" s="414">
        <v>0</v>
      </c>
      <c r="O415" s="414">
        <v>0</v>
      </c>
      <c r="P415" s="595">
        <v>5577</v>
      </c>
      <c r="Q415" s="595">
        <v>165</v>
      </c>
      <c r="R415" s="602">
        <v>810</v>
      </c>
      <c r="S415" s="415">
        <v>6.1700000000000005E-2</v>
      </c>
      <c r="T415" s="605">
        <v>0</v>
      </c>
      <c r="U415" s="731">
        <v>6.1700000000000005E-2</v>
      </c>
      <c r="V415" s="423">
        <f t="shared" si="637"/>
        <v>0</v>
      </c>
      <c r="W415" s="417">
        <f t="shared" si="638"/>
        <v>0</v>
      </c>
      <c r="X415" s="417">
        <v>0</v>
      </c>
      <c r="Y415" s="417">
        <v>0</v>
      </c>
      <c r="Z415" s="417">
        <v>0</v>
      </c>
      <c r="AA415" s="417">
        <v>0</v>
      </c>
      <c r="AB415" s="417">
        <v>0</v>
      </c>
      <c r="AC415" s="417">
        <v>0</v>
      </c>
      <c r="AD415" s="417">
        <v>0</v>
      </c>
      <c r="AE415" s="417">
        <f t="shared" si="639"/>
        <v>0</v>
      </c>
      <c r="AF415" s="417">
        <f t="shared" si="640"/>
        <v>0</v>
      </c>
      <c r="AG415" s="417">
        <f t="shared" si="641"/>
        <v>0</v>
      </c>
      <c r="AH415" s="417">
        <v>0</v>
      </c>
      <c r="AI415" s="417">
        <v>0</v>
      </c>
      <c r="AJ415" s="417">
        <v>0</v>
      </c>
      <c r="AK415" s="417">
        <v>0</v>
      </c>
      <c r="AL415" s="417">
        <v>0</v>
      </c>
      <c r="AM415" s="417">
        <f t="shared" si="642"/>
        <v>0</v>
      </c>
      <c r="AN415" s="417">
        <f t="shared" si="643"/>
        <v>0</v>
      </c>
      <c r="AO415" s="417">
        <f t="shared" si="644"/>
        <v>0</v>
      </c>
      <c r="AP415" s="417">
        <f t="shared" si="645"/>
        <v>0</v>
      </c>
      <c r="AQ415" s="417">
        <f t="shared" si="646"/>
        <v>0</v>
      </c>
      <c r="AR415" s="417">
        <f t="shared" si="647"/>
        <v>0</v>
      </c>
      <c r="AS415" s="68">
        <f t="shared" si="648"/>
        <v>0</v>
      </c>
      <c r="AT415" s="68">
        <f t="shared" si="649"/>
        <v>0</v>
      </c>
      <c r="AU415" s="417">
        <v>0</v>
      </c>
      <c r="AV415" s="417">
        <v>0</v>
      </c>
      <c r="AW415" s="417">
        <v>0</v>
      </c>
      <c r="AX415" s="417">
        <f t="shared" si="650"/>
        <v>0</v>
      </c>
      <c r="AY415" s="417">
        <f t="shared" si="651"/>
        <v>0</v>
      </c>
      <c r="AZ415" s="418">
        <v>0</v>
      </c>
      <c r="BA415" s="418">
        <v>0</v>
      </c>
      <c r="BB415" s="418">
        <v>0</v>
      </c>
      <c r="BC415" s="418">
        <v>0</v>
      </c>
      <c r="BD415" s="418">
        <v>0</v>
      </c>
      <c r="BE415" s="418">
        <v>0</v>
      </c>
      <c r="BF415" s="418">
        <v>0</v>
      </c>
      <c r="BG415" s="418">
        <v>0</v>
      </c>
      <c r="BH415" s="418">
        <v>0</v>
      </c>
      <c r="BI415" s="418">
        <f t="shared" si="652"/>
        <v>0</v>
      </c>
      <c r="BJ415" s="418">
        <f t="shared" si="653"/>
        <v>0</v>
      </c>
      <c r="BK415" s="420">
        <f t="shared" si="654"/>
        <v>0</v>
      </c>
      <c r="BL415" s="772">
        <f t="shared" si="669"/>
        <v>23052</v>
      </c>
      <c r="BM415" s="417">
        <f t="shared" si="670"/>
        <v>16500</v>
      </c>
      <c r="BN415" s="417">
        <f t="shared" si="671"/>
        <v>0</v>
      </c>
      <c r="BO415" s="417">
        <f t="shared" si="671"/>
        <v>16500</v>
      </c>
      <c r="BP415" s="417">
        <f t="shared" si="672"/>
        <v>0</v>
      </c>
      <c r="BQ415" s="417">
        <f t="shared" si="673"/>
        <v>0</v>
      </c>
      <c r="BR415" s="417">
        <f t="shared" si="673"/>
        <v>0</v>
      </c>
      <c r="BS415" s="417">
        <f t="shared" si="674"/>
        <v>5577</v>
      </c>
      <c r="BT415" s="417">
        <f t="shared" si="674"/>
        <v>165</v>
      </c>
      <c r="BU415" s="417">
        <f t="shared" si="675"/>
        <v>810</v>
      </c>
      <c r="BV415" s="418">
        <f t="shared" si="676"/>
        <v>6.1700000000000005E-2</v>
      </c>
      <c r="BW415" s="418">
        <f t="shared" si="677"/>
        <v>0</v>
      </c>
      <c r="BX415" s="420">
        <f t="shared" si="677"/>
        <v>6.1700000000000005E-2</v>
      </c>
      <c r="BY415" s="419"/>
      <c r="BZ415" s="414"/>
      <c r="CA415" s="414"/>
      <c r="CB415" s="414"/>
      <c r="CC415" s="414"/>
      <c r="CD415" s="422"/>
      <c r="CE415" s="419">
        <f t="shared" si="655"/>
        <v>0</v>
      </c>
      <c r="CF415" s="414">
        <v>0</v>
      </c>
      <c r="CG415" s="414">
        <v>0</v>
      </c>
      <c r="CH415" s="414">
        <v>0</v>
      </c>
      <c r="CI415" s="414">
        <v>0</v>
      </c>
      <c r="CJ415" s="509">
        <v>0</v>
      </c>
      <c r="CK415" s="53"/>
      <c r="CL415" s="53"/>
    </row>
    <row r="416" spans="1:90" ht="14.1" customHeight="1">
      <c r="A416" s="72">
        <v>81</v>
      </c>
      <c r="B416" s="69">
        <v>2466</v>
      </c>
      <c r="C416" s="70">
        <v>600079821</v>
      </c>
      <c r="D416" s="69">
        <v>70695083</v>
      </c>
      <c r="E416" s="71" t="s">
        <v>793</v>
      </c>
      <c r="F416" s="72"/>
      <c r="G416" s="71"/>
      <c r="H416" s="73"/>
      <c r="I416" s="516">
        <v>17617833</v>
      </c>
      <c r="J416" s="74">
        <v>12782850</v>
      </c>
      <c r="K416" s="74">
        <v>10537531</v>
      </c>
      <c r="L416" s="74">
        <v>2245319</v>
      </c>
      <c r="M416" s="74">
        <v>170000</v>
      </c>
      <c r="N416" s="74">
        <v>50000</v>
      </c>
      <c r="O416" s="74">
        <v>120000</v>
      </c>
      <c r="P416" s="74">
        <v>4378063</v>
      </c>
      <c r="Q416" s="74">
        <v>127828</v>
      </c>
      <c r="R416" s="74">
        <v>159092</v>
      </c>
      <c r="S416" s="75">
        <v>27.072899999999994</v>
      </c>
      <c r="T416" s="75">
        <v>20.421599999999998</v>
      </c>
      <c r="U416" s="653">
        <v>6.6513</v>
      </c>
      <c r="V416" s="516">
        <f t="shared" ref="V416:BX416" si="678">SUM(V410:V415)</f>
        <v>0</v>
      </c>
      <c r="W416" s="74">
        <f t="shared" si="678"/>
        <v>68270</v>
      </c>
      <c r="X416" s="74">
        <f t="shared" si="678"/>
        <v>0</v>
      </c>
      <c r="Y416" s="74">
        <f t="shared" si="678"/>
        <v>0</v>
      </c>
      <c r="Z416" s="74">
        <f t="shared" si="678"/>
        <v>91538</v>
      </c>
      <c r="AA416" s="74">
        <f t="shared" si="678"/>
        <v>-8897</v>
      </c>
      <c r="AB416" s="74">
        <f t="shared" si="678"/>
        <v>0</v>
      </c>
      <c r="AC416" s="74">
        <f t="shared" si="678"/>
        <v>0</v>
      </c>
      <c r="AD416" s="74">
        <f t="shared" si="678"/>
        <v>0</v>
      </c>
      <c r="AE416" s="74">
        <f t="shared" si="678"/>
        <v>91538</v>
      </c>
      <c r="AF416" s="74">
        <f t="shared" si="678"/>
        <v>59373</v>
      </c>
      <c r="AG416" s="74">
        <f t="shared" si="678"/>
        <v>150911</v>
      </c>
      <c r="AH416" s="74">
        <f t="shared" si="678"/>
        <v>0</v>
      </c>
      <c r="AI416" s="74">
        <f t="shared" si="678"/>
        <v>-68270</v>
      </c>
      <c r="AJ416" s="74">
        <f t="shared" si="678"/>
        <v>0</v>
      </c>
      <c r="AK416" s="74">
        <f t="shared" si="678"/>
        <v>0</v>
      </c>
      <c r="AL416" s="74">
        <f t="shared" si="678"/>
        <v>18270</v>
      </c>
      <c r="AM416" s="74">
        <f t="shared" si="678"/>
        <v>0</v>
      </c>
      <c r="AN416" s="74">
        <f t="shared" si="678"/>
        <v>-50000</v>
      </c>
      <c r="AO416" s="74">
        <f t="shared" si="678"/>
        <v>-50000</v>
      </c>
      <c r="AP416" s="74">
        <f t="shared" si="678"/>
        <v>91538</v>
      </c>
      <c r="AQ416" s="74">
        <f t="shared" si="678"/>
        <v>9373</v>
      </c>
      <c r="AR416" s="74">
        <f t="shared" si="678"/>
        <v>100911</v>
      </c>
      <c r="AS416" s="74">
        <f t="shared" si="678"/>
        <v>27933</v>
      </c>
      <c r="AT416" s="74">
        <f t="shared" si="678"/>
        <v>1509</v>
      </c>
      <c r="AU416" s="74">
        <f t="shared" si="678"/>
        <v>0</v>
      </c>
      <c r="AV416" s="74">
        <f t="shared" si="678"/>
        <v>0</v>
      </c>
      <c r="AW416" s="74">
        <f t="shared" si="678"/>
        <v>0</v>
      </c>
      <c r="AX416" s="74">
        <f t="shared" si="678"/>
        <v>0</v>
      </c>
      <c r="AY416" s="74">
        <f t="shared" si="678"/>
        <v>130353</v>
      </c>
      <c r="AZ416" s="75">
        <f t="shared" si="678"/>
        <v>-7.0000000000000007E-2</v>
      </c>
      <c r="BA416" s="75">
        <f t="shared" si="678"/>
        <v>0.21</v>
      </c>
      <c r="BB416" s="75">
        <f t="shared" si="678"/>
        <v>0</v>
      </c>
      <c r="BC416" s="75">
        <f t="shared" si="678"/>
        <v>0.23</v>
      </c>
      <c r="BD416" s="75">
        <f t="shared" si="678"/>
        <v>-0.02</v>
      </c>
      <c r="BE416" s="75">
        <f t="shared" si="678"/>
        <v>0</v>
      </c>
      <c r="BF416" s="75">
        <f t="shared" si="678"/>
        <v>0</v>
      </c>
      <c r="BG416" s="75">
        <f t="shared" si="678"/>
        <v>0</v>
      </c>
      <c r="BH416" s="75">
        <f t="shared" si="678"/>
        <v>0</v>
      </c>
      <c r="BI416" s="75">
        <f t="shared" si="678"/>
        <v>0.16</v>
      </c>
      <c r="BJ416" s="75">
        <f t="shared" si="678"/>
        <v>0.19</v>
      </c>
      <c r="BK416" s="76">
        <f t="shared" si="678"/>
        <v>0.35</v>
      </c>
      <c r="BL416" s="781">
        <f t="shared" si="678"/>
        <v>17748186</v>
      </c>
      <c r="BM416" s="74">
        <f t="shared" si="678"/>
        <v>12933761</v>
      </c>
      <c r="BN416" s="74">
        <f t="shared" si="678"/>
        <v>10629069</v>
      </c>
      <c r="BO416" s="74">
        <f t="shared" si="678"/>
        <v>2304692</v>
      </c>
      <c r="BP416" s="74">
        <f t="shared" si="678"/>
        <v>120000</v>
      </c>
      <c r="BQ416" s="74">
        <f t="shared" si="678"/>
        <v>50000</v>
      </c>
      <c r="BR416" s="74">
        <f t="shared" si="678"/>
        <v>70000</v>
      </c>
      <c r="BS416" s="74">
        <f t="shared" si="678"/>
        <v>4405996</v>
      </c>
      <c r="BT416" s="74">
        <f t="shared" si="678"/>
        <v>129337</v>
      </c>
      <c r="BU416" s="74">
        <f t="shared" si="678"/>
        <v>159092</v>
      </c>
      <c r="BV416" s="75">
        <f t="shared" si="678"/>
        <v>27.422899999999995</v>
      </c>
      <c r="BW416" s="75">
        <f t="shared" si="678"/>
        <v>20.581599999999998</v>
      </c>
      <c r="BX416" s="76">
        <f t="shared" si="678"/>
        <v>6.8413000000000004</v>
      </c>
      <c r="BY416" s="791">
        <f t="shared" ref="BY416:CJ416" si="679">SUM(BY410:BY415)</f>
        <v>0</v>
      </c>
      <c r="BZ416" s="679">
        <f t="shared" si="679"/>
        <v>0</v>
      </c>
      <c r="CA416" s="679">
        <f t="shared" si="679"/>
        <v>0</v>
      </c>
      <c r="CB416" s="679">
        <f t="shared" si="679"/>
        <v>0</v>
      </c>
      <c r="CC416" s="679">
        <f t="shared" si="679"/>
        <v>0</v>
      </c>
      <c r="CD416" s="947">
        <f t="shared" si="679"/>
        <v>0</v>
      </c>
      <c r="CE416" s="956">
        <f t="shared" si="679"/>
        <v>620283</v>
      </c>
      <c r="CF416" s="953">
        <f t="shared" si="679"/>
        <v>433984</v>
      </c>
      <c r="CG416" s="953">
        <f t="shared" si="679"/>
        <v>146687</v>
      </c>
      <c r="CH416" s="953">
        <f t="shared" si="679"/>
        <v>4340</v>
      </c>
      <c r="CI416" s="953">
        <f t="shared" si="679"/>
        <v>35272</v>
      </c>
      <c r="CJ416" s="877">
        <f t="shared" si="679"/>
        <v>1.2697999999999996</v>
      </c>
      <c r="CK416" s="53"/>
      <c r="CL416" s="53"/>
    </row>
    <row r="417" spans="1:90" ht="14.1" customHeight="1">
      <c r="A417" s="66">
        <v>82</v>
      </c>
      <c r="B417" s="63">
        <v>2493</v>
      </c>
      <c r="C417" s="64">
        <v>600080021</v>
      </c>
      <c r="D417" s="63">
        <v>72742399</v>
      </c>
      <c r="E417" s="65" t="s">
        <v>691</v>
      </c>
      <c r="F417" s="66">
        <v>3111</v>
      </c>
      <c r="G417" s="65" t="s">
        <v>290</v>
      </c>
      <c r="H417" s="67" t="s">
        <v>271</v>
      </c>
      <c r="I417" s="419">
        <v>8015670</v>
      </c>
      <c r="J417" s="414">
        <v>5912003</v>
      </c>
      <c r="K417" s="414">
        <v>5470958</v>
      </c>
      <c r="L417" s="414">
        <v>441045</v>
      </c>
      <c r="M417" s="414">
        <v>5000</v>
      </c>
      <c r="N417" s="414">
        <v>5000</v>
      </c>
      <c r="O417" s="414">
        <v>0</v>
      </c>
      <c r="P417" s="595">
        <v>1999947</v>
      </c>
      <c r="Q417" s="595">
        <v>59120</v>
      </c>
      <c r="R417" s="414">
        <v>39600</v>
      </c>
      <c r="S417" s="415">
        <v>11.5573</v>
      </c>
      <c r="T417" s="415">
        <v>9.7903000000000002</v>
      </c>
      <c r="U417" s="422">
        <v>1.7669999999999999</v>
      </c>
      <c r="V417" s="423">
        <f>(AH417*-1)-AK417</f>
        <v>-108228</v>
      </c>
      <c r="W417" s="417">
        <f t="shared" si="638"/>
        <v>0</v>
      </c>
      <c r="X417" s="417">
        <v>0</v>
      </c>
      <c r="Y417" s="417">
        <v>0</v>
      </c>
      <c r="Z417" s="417">
        <v>0</v>
      </c>
      <c r="AA417" s="417">
        <v>0</v>
      </c>
      <c r="AB417" s="417">
        <v>0</v>
      </c>
      <c r="AC417" s="417">
        <v>0</v>
      </c>
      <c r="AD417" s="417">
        <v>0</v>
      </c>
      <c r="AE417" s="417">
        <f t="shared" si="639"/>
        <v>-108228</v>
      </c>
      <c r="AF417" s="417">
        <f t="shared" si="640"/>
        <v>0</v>
      </c>
      <c r="AG417" s="417">
        <f t="shared" si="641"/>
        <v>-108228</v>
      </c>
      <c r="AH417" s="417">
        <v>-5000</v>
      </c>
      <c r="AI417" s="417">
        <v>0</v>
      </c>
      <c r="AJ417" s="417">
        <v>0</v>
      </c>
      <c r="AK417" s="417">
        <v>113228</v>
      </c>
      <c r="AL417" s="417">
        <v>0</v>
      </c>
      <c r="AM417" s="417">
        <f t="shared" si="642"/>
        <v>108228</v>
      </c>
      <c r="AN417" s="417">
        <f t="shared" si="643"/>
        <v>0</v>
      </c>
      <c r="AO417" s="417">
        <f t="shared" si="644"/>
        <v>108228</v>
      </c>
      <c r="AP417" s="417">
        <f t="shared" si="645"/>
        <v>0</v>
      </c>
      <c r="AQ417" s="417">
        <f t="shared" si="646"/>
        <v>0</v>
      </c>
      <c r="AR417" s="417">
        <f t="shared" si="647"/>
        <v>0</v>
      </c>
      <c r="AS417" s="68">
        <f t="shared" si="648"/>
        <v>-38271</v>
      </c>
      <c r="AT417" s="68">
        <f t="shared" si="649"/>
        <v>-1082</v>
      </c>
      <c r="AU417" s="417">
        <v>0</v>
      </c>
      <c r="AV417" s="417">
        <v>0</v>
      </c>
      <c r="AW417" s="417">
        <v>0</v>
      </c>
      <c r="AX417" s="417">
        <f t="shared" si="650"/>
        <v>0</v>
      </c>
      <c r="AY417" s="417">
        <f t="shared" si="651"/>
        <v>-39353</v>
      </c>
      <c r="AZ417" s="418">
        <v>0</v>
      </c>
      <c r="BA417" s="418">
        <v>0</v>
      </c>
      <c r="BB417" s="418">
        <v>0</v>
      </c>
      <c r="BC417" s="418">
        <v>0</v>
      </c>
      <c r="BD417" s="418">
        <v>0</v>
      </c>
      <c r="BE417" s="418">
        <v>0</v>
      </c>
      <c r="BF417" s="418">
        <v>0</v>
      </c>
      <c r="BG417" s="418">
        <v>0</v>
      </c>
      <c r="BH417" s="418">
        <v>0</v>
      </c>
      <c r="BI417" s="418">
        <f t="shared" si="652"/>
        <v>0</v>
      </c>
      <c r="BJ417" s="418">
        <f t="shared" si="653"/>
        <v>0</v>
      </c>
      <c r="BK417" s="420">
        <f t="shared" si="654"/>
        <v>0</v>
      </c>
      <c r="BL417" s="772">
        <f t="shared" ref="BL417:BL422" si="680">I417+AY417</f>
        <v>7976317</v>
      </c>
      <c r="BM417" s="417">
        <f t="shared" ref="BM417:BM422" si="681">J417+AG417</f>
        <v>5803775</v>
      </c>
      <c r="BN417" s="417">
        <f t="shared" ref="BN417:BO422" si="682">K417+AE417</f>
        <v>5362730</v>
      </c>
      <c r="BO417" s="417">
        <f t="shared" si="682"/>
        <v>441045</v>
      </c>
      <c r="BP417" s="417">
        <f t="shared" ref="BP417:BP422" si="683">M417+AO417</f>
        <v>113228</v>
      </c>
      <c r="BQ417" s="417">
        <f t="shared" ref="BQ417:BR422" si="684">N417+AM417</f>
        <v>113228</v>
      </c>
      <c r="BR417" s="417">
        <f t="shared" si="684"/>
        <v>0</v>
      </c>
      <c r="BS417" s="417">
        <f t="shared" ref="BS417:BT422" si="685">P417+AS417</f>
        <v>1961676</v>
      </c>
      <c r="BT417" s="417">
        <f t="shared" si="685"/>
        <v>58038</v>
      </c>
      <c r="BU417" s="417">
        <f t="shared" ref="BU417:BU422" si="686">R417+AX417</f>
        <v>39600</v>
      </c>
      <c r="BV417" s="418">
        <f t="shared" ref="BV417:BV422" si="687">S417+BK417</f>
        <v>11.5573</v>
      </c>
      <c r="BW417" s="418">
        <f t="shared" ref="BW417:BX422" si="688">T417+BI417</f>
        <v>9.7903000000000002</v>
      </c>
      <c r="BX417" s="420">
        <f t="shared" si="688"/>
        <v>1.7669999999999999</v>
      </c>
      <c r="BY417" s="419"/>
      <c r="BZ417" s="414"/>
      <c r="CA417" s="414"/>
      <c r="CB417" s="414"/>
      <c r="CC417" s="414"/>
      <c r="CD417" s="422"/>
      <c r="CE417" s="419">
        <f t="shared" si="655"/>
        <v>203942</v>
      </c>
      <c r="CF417" s="414">
        <v>141525</v>
      </c>
      <c r="CG417" s="414">
        <f>ROUND(CF417*33.8%,0)</f>
        <v>47835</v>
      </c>
      <c r="CH417" s="414">
        <f>ROUND(CF417*1%,0)</f>
        <v>1415</v>
      </c>
      <c r="CI417" s="414">
        <v>13167</v>
      </c>
      <c r="CJ417" s="509">
        <v>0.56699999999999995</v>
      </c>
      <c r="CK417" s="53"/>
      <c r="CL417" s="53"/>
    </row>
    <row r="418" spans="1:90" ht="14.1" customHeight="1">
      <c r="A418" s="66">
        <v>82</v>
      </c>
      <c r="B418" s="63">
        <v>2493</v>
      </c>
      <c r="C418" s="64">
        <v>600080021</v>
      </c>
      <c r="D418" s="63">
        <v>72742399</v>
      </c>
      <c r="E418" s="65" t="s">
        <v>691</v>
      </c>
      <c r="F418" s="66">
        <v>3113</v>
      </c>
      <c r="G418" s="65" t="s">
        <v>293</v>
      </c>
      <c r="H418" s="67" t="s">
        <v>271</v>
      </c>
      <c r="I418" s="419">
        <v>19369706</v>
      </c>
      <c r="J418" s="414">
        <v>14097235</v>
      </c>
      <c r="K418" s="414">
        <v>12415510</v>
      </c>
      <c r="L418" s="414">
        <v>1681725</v>
      </c>
      <c r="M418" s="414">
        <v>35000</v>
      </c>
      <c r="N418" s="414">
        <v>5000</v>
      </c>
      <c r="O418" s="414">
        <v>30000</v>
      </c>
      <c r="P418" s="595">
        <v>4776694</v>
      </c>
      <c r="Q418" s="595">
        <v>140972</v>
      </c>
      <c r="R418" s="414">
        <v>319805</v>
      </c>
      <c r="S418" s="415">
        <v>21.256099999999996</v>
      </c>
      <c r="T418" s="415">
        <v>16.2</v>
      </c>
      <c r="U418" s="422">
        <v>5.0560999999999998</v>
      </c>
      <c r="V418" s="423">
        <f t="shared" si="637"/>
        <v>5000</v>
      </c>
      <c r="W418" s="417">
        <f t="shared" si="638"/>
        <v>-21772</v>
      </c>
      <c r="X418" s="417">
        <v>0</v>
      </c>
      <c r="Y418" s="417">
        <v>0</v>
      </c>
      <c r="Z418" s="417">
        <v>0</v>
      </c>
      <c r="AA418" s="417">
        <v>0</v>
      </c>
      <c r="AB418" s="417">
        <v>0</v>
      </c>
      <c r="AC418" s="417">
        <v>0</v>
      </c>
      <c r="AD418" s="417">
        <v>0</v>
      </c>
      <c r="AE418" s="417">
        <f t="shared" si="639"/>
        <v>5000</v>
      </c>
      <c r="AF418" s="417">
        <f t="shared" si="640"/>
        <v>-21772</v>
      </c>
      <c r="AG418" s="417">
        <f t="shared" si="641"/>
        <v>-16772</v>
      </c>
      <c r="AH418" s="417">
        <v>-5000</v>
      </c>
      <c r="AI418" s="417">
        <v>21772</v>
      </c>
      <c r="AJ418" s="417">
        <v>0</v>
      </c>
      <c r="AK418" s="417">
        <v>0</v>
      </c>
      <c r="AL418" s="417">
        <v>0</v>
      </c>
      <c r="AM418" s="417">
        <f t="shared" si="642"/>
        <v>-5000</v>
      </c>
      <c r="AN418" s="417">
        <f t="shared" si="643"/>
        <v>21772</v>
      </c>
      <c r="AO418" s="417">
        <f t="shared" si="644"/>
        <v>16772</v>
      </c>
      <c r="AP418" s="417">
        <f t="shared" si="645"/>
        <v>0</v>
      </c>
      <c r="AQ418" s="417">
        <f t="shared" si="646"/>
        <v>0</v>
      </c>
      <c r="AR418" s="417">
        <f t="shared" si="647"/>
        <v>0</v>
      </c>
      <c r="AS418" s="68">
        <f t="shared" si="648"/>
        <v>0</v>
      </c>
      <c r="AT418" s="68">
        <f t="shared" si="649"/>
        <v>-168</v>
      </c>
      <c r="AU418" s="417">
        <v>0</v>
      </c>
      <c r="AV418" s="417">
        <v>0</v>
      </c>
      <c r="AW418" s="417">
        <v>0</v>
      </c>
      <c r="AX418" s="417">
        <f t="shared" si="650"/>
        <v>0</v>
      </c>
      <c r="AY418" s="417">
        <f t="shared" si="651"/>
        <v>-168</v>
      </c>
      <c r="AZ418" s="418">
        <v>0</v>
      </c>
      <c r="BA418" s="418">
        <v>-0.16</v>
      </c>
      <c r="BB418" s="418">
        <v>0</v>
      </c>
      <c r="BC418" s="418">
        <v>0</v>
      </c>
      <c r="BD418" s="418">
        <v>0</v>
      </c>
      <c r="BE418" s="418">
        <v>0</v>
      </c>
      <c r="BF418" s="418">
        <v>0</v>
      </c>
      <c r="BG418" s="418">
        <v>0</v>
      </c>
      <c r="BH418" s="418">
        <v>0</v>
      </c>
      <c r="BI418" s="418">
        <f t="shared" si="652"/>
        <v>0</v>
      </c>
      <c r="BJ418" s="418">
        <f t="shared" si="653"/>
        <v>-0.16</v>
      </c>
      <c r="BK418" s="420">
        <f t="shared" si="654"/>
        <v>-0.16</v>
      </c>
      <c r="BL418" s="772">
        <f t="shared" si="680"/>
        <v>19369538</v>
      </c>
      <c r="BM418" s="417">
        <f t="shared" si="681"/>
        <v>14080463</v>
      </c>
      <c r="BN418" s="417">
        <f t="shared" si="682"/>
        <v>12420510</v>
      </c>
      <c r="BO418" s="417">
        <f t="shared" si="682"/>
        <v>1659953</v>
      </c>
      <c r="BP418" s="417">
        <f t="shared" si="683"/>
        <v>51772</v>
      </c>
      <c r="BQ418" s="417">
        <f t="shared" si="684"/>
        <v>0</v>
      </c>
      <c r="BR418" s="417">
        <f t="shared" si="684"/>
        <v>51772</v>
      </c>
      <c r="BS418" s="417">
        <f t="shared" si="685"/>
        <v>4776694</v>
      </c>
      <c r="BT418" s="417">
        <f t="shared" si="685"/>
        <v>140804</v>
      </c>
      <c r="BU418" s="417">
        <f t="shared" si="686"/>
        <v>319805</v>
      </c>
      <c r="BV418" s="418">
        <f t="shared" si="687"/>
        <v>21.096099999999996</v>
      </c>
      <c r="BW418" s="418">
        <f t="shared" si="688"/>
        <v>16.2</v>
      </c>
      <c r="BX418" s="420">
        <f t="shared" si="688"/>
        <v>4.8960999999999997</v>
      </c>
      <c r="BY418" s="419">
        <v>152054</v>
      </c>
      <c r="BZ418" s="414">
        <v>112800</v>
      </c>
      <c r="CA418" s="414">
        <v>0</v>
      </c>
      <c r="CB418" s="414">
        <v>38126</v>
      </c>
      <c r="CC418" s="414">
        <v>1128</v>
      </c>
      <c r="CD418" s="422">
        <v>0.2</v>
      </c>
      <c r="CE418" s="419">
        <f t="shared" si="655"/>
        <v>814195</v>
      </c>
      <c r="CF418" s="414">
        <v>549335</v>
      </c>
      <c r="CG418" s="414">
        <v>185676</v>
      </c>
      <c r="CH418" s="414">
        <v>5494</v>
      </c>
      <c r="CI418" s="414">
        <v>73690</v>
      </c>
      <c r="CJ418" s="509">
        <v>1.6226999999999998</v>
      </c>
      <c r="CK418" s="53"/>
      <c r="CL418" s="53"/>
    </row>
    <row r="419" spans="1:90" ht="14.1" customHeight="1">
      <c r="A419" s="66">
        <v>82</v>
      </c>
      <c r="B419" s="63">
        <v>2493</v>
      </c>
      <c r="C419" s="64">
        <v>600080021</v>
      </c>
      <c r="D419" s="63">
        <v>72742399</v>
      </c>
      <c r="E419" s="65" t="s">
        <v>691</v>
      </c>
      <c r="F419" s="66">
        <v>3113</v>
      </c>
      <c r="G419" s="77" t="s">
        <v>291</v>
      </c>
      <c r="H419" s="67" t="s">
        <v>272</v>
      </c>
      <c r="I419" s="419">
        <v>3276145</v>
      </c>
      <c r="J419" s="414">
        <v>2414796</v>
      </c>
      <c r="K419" s="414">
        <v>2414796</v>
      </c>
      <c r="L419" s="414">
        <v>0</v>
      </c>
      <c r="M419" s="414">
        <v>0</v>
      </c>
      <c r="N419" s="414">
        <v>0</v>
      </c>
      <c r="O419" s="414">
        <v>0</v>
      </c>
      <c r="P419" s="595">
        <v>816201</v>
      </c>
      <c r="Q419" s="595">
        <v>24148</v>
      </c>
      <c r="R419" s="414">
        <v>21000</v>
      </c>
      <c r="S419" s="415">
        <v>6.87</v>
      </c>
      <c r="T419" s="416">
        <v>6.87</v>
      </c>
      <c r="U419" s="422">
        <v>0</v>
      </c>
      <c r="V419" s="423">
        <f t="shared" si="637"/>
        <v>0</v>
      </c>
      <c r="W419" s="417">
        <f t="shared" si="638"/>
        <v>0</v>
      </c>
      <c r="X419" s="417">
        <v>30900</v>
      </c>
      <c r="Y419" s="417">
        <v>0</v>
      </c>
      <c r="Z419" s="417">
        <v>0</v>
      </c>
      <c r="AA419" s="417">
        <v>0</v>
      </c>
      <c r="AB419" s="417">
        <v>0</v>
      </c>
      <c r="AC419" s="417">
        <v>0</v>
      </c>
      <c r="AD419" s="417">
        <v>0</v>
      </c>
      <c r="AE419" s="417">
        <f t="shared" si="639"/>
        <v>30900</v>
      </c>
      <c r="AF419" s="417">
        <f t="shared" si="640"/>
        <v>0</v>
      </c>
      <c r="AG419" s="417">
        <f t="shared" si="641"/>
        <v>30900</v>
      </c>
      <c r="AH419" s="417">
        <v>0</v>
      </c>
      <c r="AI419" s="417">
        <v>0</v>
      </c>
      <c r="AJ419" s="417">
        <v>0</v>
      </c>
      <c r="AK419" s="417">
        <v>0</v>
      </c>
      <c r="AL419" s="417">
        <v>0</v>
      </c>
      <c r="AM419" s="417">
        <f t="shared" si="642"/>
        <v>0</v>
      </c>
      <c r="AN419" s="417">
        <f t="shared" si="643"/>
        <v>0</v>
      </c>
      <c r="AO419" s="417">
        <f t="shared" si="644"/>
        <v>0</v>
      </c>
      <c r="AP419" s="417">
        <f t="shared" si="645"/>
        <v>30900</v>
      </c>
      <c r="AQ419" s="417">
        <f t="shared" si="646"/>
        <v>0</v>
      </c>
      <c r="AR419" s="417">
        <f t="shared" si="647"/>
        <v>30900</v>
      </c>
      <c r="AS419" s="68">
        <f t="shared" si="648"/>
        <v>10444</v>
      </c>
      <c r="AT419" s="68">
        <f t="shared" si="649"/>
        <v>309</v>
      </c>
      <c r="AU419" s="417">
        <v>0</v>
      </c>
      <c r="AV419" s="417">
        <v>0</v>
      </c>
      <c r="AW419" s="417">
        <v>0</v>
      </c>
      <c r="AX419" s="417">
        <f t="shared" si="650"/>
        <v>0</v>
      </c>
      <c r="AY419" s="417">
        <f t="shared" si="651"/>
        <v>41653</v>
      </c>
      <c r="AZ419" s="418">
        <v>0</v>
      </c>
      <c r="BA419" s="418">
        <v>0</v>
      </c>
      <c r="BB419" s="418">
        <v>0.08</v>
      </c>
      <c r="BC419" s="418">
        <v>0</v>
      </c>
      <c r="BD419" s="418">
        <v>0</v>
      </c>
      <c r="BE419" s="418">
        <v>0</v>
      </c>
      <c r="BF419" s="418">
        <v>0</v>
      </c>
      <c r="BG419" s="418">
        <v>0</v>
      </c>
      <c r="BH419" s="418">
        <v>0</v>
      </c>
      <c r="BI419" s="418">
        <f t="shared" si="652"/>
        <v>0.08</v>
      </c>
      <c r="BJ419" s="418">
        <f t="shared" si="653"/>
        <v>0</v>
      </c>
      <c r="BK419" s="420">
        <f t="shared" si="654"/>
        <v>0.08</v>
      </c>
      <c r="BL419" s="772">
        <f t="shared" si="680"/>
        <v>3317798</v>
      </c>
      <c r="BM419" s="417">
        <f t="shared" si="681"/>
        <v>2445696</v>
      </c>
      <c r="BN419" s="417">
        <f t="shared" si="682"/>
        <v>2445696</v>
      </c>
      <c r="BO419" s="417">
        <f t="shared" si="682"/>
        <v>0</v>
      </c>
      <c r="BP419" s="417">
        <f t="shared" si="683"/>
        <v>0</v>
      </c>
      <c r="BQ419" s="417">
        <f t="shared" si="684"/>
        <v>0</v>
      </c>
      <c r="BR419" s="417">
        <f t="shared" si="684"/>
        <v>0</v>
      </c>
      <c r="BS419" s="417">
        <f t="shared" si="685"/>
        <v>826645</v>
      </c>
      <c r="BT419" s="417">
        <f t="shared" si="685"/>
        <v>24457</v>
      </c>
      <c r="BU419" s="417">
        <f t="shared" si="686"/>
        <v>21000</v>
      </c>
      <c r="BV419" s="418">
        <f t="shared" si="687"/>
        <v>6.95</v>
      </c>
      <c r="BW419" s="418">
        <f t="shared" si="688"/>
        <v>6.95</v>
      </c>
      <c r="BX419" s="420">
        <f t="shared" si="688"/>
        <v>0</v>
      </c>
      <c r="BY419" s="419"/>
      <c r="BZ419" s="414"/>
      <c r="CA419" s="414"/>
      <c r="CB419" s="414"/>
      <c r="CC419" s="414"/>
      <c r="CD419" s="422"/>
      <c r="CE419" s="419">
        <f t="shared" si="655"/>
        <v>0</v>
      </c>
      <c r="CF419" s="414">
        <v>0</v>
      </c>
      <c r="CG419" s="414">
        <v>0</v>
      </c>
      <c r="CH419" s="414">
        <v>0</v>
      </c>
      <c r="CI419" s="414">
        <v>0</v>
      </c>
      <c r="CJ419" s="509">
        <v>0</v>
      </c>
      <c r="CK419" s="53"/>
      <c r="CL419" s="53"/>
    </row>
    <row r="420" spans="1:90" ht="14.1" customHeight="1">
      <c r="A420" s="66">
        <v>82</v>
      </c>
      <c r="B420" s="63">
        <v>2493</v>
      </c>
      <c r="C420" s="64">
        <v>600080021</v>
      </c>
      <c r="D420" s="63">
        <v>72742399</v>
      </c>
      <c r="E420" s="65" t="s">
        <v>691</v>
      </c>
      <c r="F420" s="66">
        <v>3141</v>
      </c>
      <c r="G420" s="65" t="s">
        <v>294</v>
      </c>
      <c r="H420" s="67" t="s">
        <v>272</v>
      </c>
      <c r="I420" s="419">
        <v>2833377</v>
      </c>
      <c r="J420" s="414">
        <v>2089143</v>
      </c>
      <c r="K420" s="414">
        <v>0</v>
      </c>
      <c r="L420" s="744">
        <v>2089143</v>
      </c>
      <c r="M420" s="414">
        <v>0</v>
      </c>
      <c r="N420" s="204">
        <v>0</v>
      </c>
      <c r="O420" s="204">
        <v>0</v>
      </c>
      <c r="P420" s="595">
        <v>706131</v>
      </c>
      <c r="Q420" s="595">
        <v>20891</v>
      </c>
      <c r="R420" s="601">
        <v>17212</v>
      </c>
      <c r="S420" s="415">
        <v>6.27</v>
      </c>
      <c r="T420" s="603">
        <v>0</v>
      </c>
      <c r="U420" s="731">
        <v>6.27</v>
      </c>
      <c r="V420" s="423">
        <f t="shared" si="637"/>
        <v>0</v>
      </c>
      <c r="W420" s="417">
        <f t="shared" si="638"/>
        <v>0</v>
      </c>
      <c r="X420" s="417">
        <v>0</v>
      </c>
      <c r="Y420" s="417">
        <v>0</v>
      </c>
      <c r="Z420" s="417">
        <v>0</v>
      </c>
      <c r="AA420" s="417">
        <v>-25114</v>
      </c>
      <c r="AB420" s="417">
        <v>0</v>
      </c>
      <c r="AC420" s="417">
        <v>0</v>
      </c>
      <c r="AD420" s="417">
        <v>0</v>
      </c>
      <c r="AE420" s="417">
        <f t="shared" si="639"/>
        <v>0</v>
      </c>
      <c r="AF420" s="417">
        <f t="shared" si="640"/>
        <v>-25114</v>
      </c>
      <c r="AG420" s="417">
        <f t="shared" si="641"/>
        <v>-25114</v>
      </c>
      <c r="AH420" s="417">
        <v>0</v>
      </c>
      <c r="AI420" s="417">
        <v>0</v>
      </c>
      <c r="AJ420" s="417">
        <v>0</v>
      </c>
      <c r="AK420" s="417">
        <v>0</v>
      </c>
      <c r="AL420" s="417">
        <v>0</v>
      </c>
      <c r="AM420" s="417">
        <f t="shared" si="642"/>
        <v>0</v>
      </c>
      <c r="AN420" s="417">
        <f t="shared" si="643"/>
        <v>0</v>
      </c>
      <c r="AO420" s="417">
        <f t="shared" si="644"/>
        <v>0</v>
      </c>
      <c r="AP420" s="417">
        <f t="shared" si="645"/>
        <v>0</v>
      </c>
      <c r="AQ420" s="417">
        <f t="shared" si="646"/>
        <v>-25114</v>
      </c>
      <c r="AR420" s="417">
        <f t="shared" si="647"/>
        <v>-25114</v>
      </c>
      <c r="AS420" s="68">
        <f t="shared" si="648"/>
        <v>-8489</v>
      </c>
      <c r="AT420" s="68">
        <f t="shared" si="649"/>
        <v>-251</v>
      </c>
      <c r="AU420" s="417">
        <v>0</v>
      </c>
      <c r="AV420" s="417">
        <v>0</v>
      </c>
      <c r="AW420" s="417">
        <v>0</v>
      </c>
      <c r="AX420" s="417">
        <f t="shared" si="650"/>
        <v>0</v>
      </c>
      <c r="AY420" s="417">
        <f t="shared" si="651"/>
        <v>-33854</v>
      </c>
      <c r="AZ420" s="418">
        <v>0</v>
      </c>
      <c r="BA420" s="418">
        <v>0</v>
      </c>
      <c r="BB420" s="418">
        <v>0</v>
      </c>
      <c r="BC420" s="418">
        <v>0</v>
      </c>
      <c r="BD420" s="418">
        <v>-7.0000000000000007E-2</v>
      </c>
      <c r="BE420" s="418">
        <v>0</v>
      </c>
      <c r="BF420" s="418">
        <v>0</v>
      </c>
      <c r="BG420" s="418">
        <v>0</v>
      </c>
      <c r="BH420" s="418">
        <v>0</v>
      </c>
      <c r="BI420" s="418">
        <f t="shared" si="652"/>
        <v>0</v>
      </c>
      <c r="BJ420" s="418">
        <f t="shared" si="653"/>
        <v>-7.0000000000000007E-2</v>
      </c>
      <c r="BK420" s="420">
        <f t="shared" si="654"/>
        <v>-7.0000000000000007E-2</v>
      </c>
      <c r="BL420" s="772">
        <f t="shared" si="680"/>
        <v>2799523</v>
      </c>
      <c r="BM420" s="417">
        <f t="shared" si="681"/>
        <v>2064029</v>
      </c>
      <c r="BN420" s="417">
        <f t="shared" si="682"/>
        <v>0</v>
      </c>
      <c r="BO420" s="417">
        <f t="shared" si="682"/>
        <v>2064029</v>
      </c>
      <c r="BP420" s="417">
        <f t="shared" si="683"/>
        <v>0</v>
      </c>
      <c r="BQ420" s="417">
        <f t="shared" si="684"/>
        <v>0</v>
      </c>
      <c r="BR420" s="417">
        <f t="shared" si="684"/>
        <v>0</v>
      </c>
      <c r="BS420" s="417">
        <f t="shared" si="685"/>
        <v>697642</v>
      </c>
      <c r="BT420" s="417">
        <f t="shared" si="685"/>
        <v>20640</v>
      </c>
      <c r="BU420" s="417">
        <f t="shared" si="686"/>
        <v>17212</v>
      </c>
      <c r="BV420" s="418">
        <f t="shared" si="687"/>
        <v>6.1999999999999993</v>
      </c>
      <c r="BW420" s="418">
        <f t="shared" si="688"/>
        <v>0</v>
      </c>
      <c r="BX420" s="420">
        <f t="shared" si="688"/>
        <v>6.1999999999999993</v>
      </c>
      <c r="BY420" s="419"/>
      <c r="BZ420" s="414"/>
      <c r="CA420" s="414"/>
      <c r="CB420" s="414"/>
      <c r="CC420" s="414"/>
      <c r="CD420" s="422"/>
      <c r="CE420" s="419">
        <f t="shared" si="655"/>
        <v>0</v>
      </c>
      <c r="CF420" s="414">
        <v>0</v>
      </c>
      <c r="CG420" s="414">
        <v>0</v>
      </c>
      <c r="CH420" s="414">
        <v>0</v>
      </c>
      <c r="CI420" s="414">
        <v>0</v>
      </c>
      <c r="CJ420" s="509">
        <v>0</v>
      </c>
      <c r="CK420" s="53"/>
      <c r="CL420" s="53"/>
    </row>
    <row r="421" spans="1:90" ht="14.1" customHeight="1">
      <c r="A421" s="66">
        <v>82</v>
      </c>
      <c r="B421" s="63">
        <v>2493</v>
      </c>
      <c r="C421" s="64">
        <v>600080021</v>
      </c>
      <c r="D421" s="63">
        <v>72742399</v>
      </c>
      <c r="E421" s="65" t="s">
        <v>691</v>
      </c>
      <c r="F421" s="66">
        <v>3143</v>
      </c>
      <c r="G421" s="77" t="s">
        <v>595</v>
      </c>
      <c r="H421" s="67" t="s">
        <v>271</v>
      </c>
      <c r="I421" s="419">
        <v>2026434</v>
      </c>
      <c r="J421" s="414">
        <v>1503289</v>
      </c>
      <c r="K421" s="414">
        <v>1503289</v>
      </c>
      <c r="L421" s="414">
        <v>0</v>
      </c>
      <c r="M421" s="414">
        <v>0</v>
      </c>
      <c r="N421" s="414">
        <v>0</v>
      </c>
      <c r="O421" s="414">
        <v>0</v>
      </c>
      <c r="P421" s="595">
        <v>508112</v>
      </c>
      <c r="Q421" s="595">
        <v>15033</v>
      </c>
      <c r="R421" s="414">
        <v>0</v>
      </c>
      <c r="S421" s="415">
        <v>2.9641999999999999</v>
      </c>
      <c r="T421" s="415">
        <v>2.9641999999999999</v>
      </c>
      <c r="U421" s="422">
        <v>0</v>
      </c>
      <c r="V421" s="423">
        <f t="shared" si="637"/>
        <v>0</v>
      </c>
      <c r="W421" s="417">
        <f t="shared" si="638"/>
        <v>0</v>
      </c>
      <c r="X421" s="417">
        <v>0</v>
      </c>
      <c r="Y421" s="417">
        <v>0</v>
      </c>
      <c r="Z421" s="417">
        <v>0</v>
      </c>
      <c r="AA421" s="417">
        <v>0</v>
      </c>
      <c r="AB421" s="417">
        <v>0</v>
      </c>
      <c r="AC421" s="417">
        <v>0</v>
      </c>
      <c r="AD421" s="417">
        <v>0</v>
      </c>
      <c r="AE421" s="417">
        <f t="shared" si="639"/>
        <v>0</v>
      </c>
      <c r="AF421" s="417">
        <f t="shared" si="640"/>
        <v>0</v>
      </c>
      <c r="AG421" s="417">
        <f t="shared" si="641"/>
        <v>0</v>
      </c>
      <c r="AH421" s="417">
        <v>0</v>
      </c>
      <c r="AI421" s="417">
        <v>0</v>
      </c>
      <c r="AJ421" s="417">
        <v>0</v>
      </c>
      <c r="AK421" s="417">
        <v>0</v>
      </c>
      <c r="AL421" s="417">
        <v>0</v>
      </c>
      <c r="AM421" s="417">
        <f t="shared" si="642"/>
        <v>0</v>
      </c>
      <c r="AN421" s="417">
        <f t="shared" si="643"/>
        <v>0</v>
      </c>
      <c r="AO421" s="417">
        <f t="shared" si="644"/>
        <v>0</v>
      </c>
      <c r="AP421" s="417">
        <f t="shared" si="645"/>
        <v>0</v>
      </c>
      <c r="AQ421" s="417">
        <f t="shared" si="646"/>
        <v>0</v>
      </c>
      <c r="AR421" s="417">
        <f t="shared" si="647"/>
        <v>0</v>
      </c>
      <c r="AS421" s="68">
        <f t="shared" si="648"/>
        <v>0</v>
      </c>
      <c r="AT421" s="68">
        <f t="shared" si="649"/>
        <v>0</v>
      </c>
      <c r="AU421" s="417">
        <v>0</v>
      </c>
      <c r="AV421" s="417">
        <v>0</v>
      </c>
      <c r="AW421" s="417">
        <v>0</v>
      </c>
      <c r="AX421" s="417">
        <f t="shared" si="650"/>
        <v>0</v>
      </c>
      <c r="AY421" s="417">
        <f t="shared" si="651"/>
        <v>0</v>
      </c>
      <c r="AZ421" s="418">
        <v>0</v>
      </c>
      <c r="BA421" s="418">
        <v>0</v>
      </c>
      <c r="BB421" s="418">
        <v>0</v>
      </c>
      <c r="BC421" s="418">
        <v>0</v>
      </c>
      <c r="BD421" s="418">
        <v>0</v>
      </c>
      <c r="BE421" s="418">
        <v>0</v>
      </c>
      <c r="BF421" s="418">
        <v>0</v>
      </c>
      <c r="BG421" s="418">
        <v>0</v>
      </c>
      <c r="BH421" s="418">
        <v>0</v>
      </c>
      <c r="BI421" s="418">
        <f t="shared" si="652"/>
        <v>0</v>
      </c>
      <c r="BJ421" s="418">
        <f t="shared" si="653"/>
        <v>0</v>
      </c>
      <c r="BK421" s="420">
        <f t="shared" si="654"/>
        <v>0</v>
      </c>
      <c r="BL421" s="772">
        <f t="shared" si="680"/>
        <v>2026434</v>
      </c>
      <c r="BM421" s="417">
        <f t="shared" si="681"/>
        <v>1503289</v>
      </c>
      <c r="BN421" s="417">
        <f t="shared" si="682"/>
        <v>1503289</v>
      </c>
      <c r="BO421" s="417">
        <f t="shared" si="682"/>
        <v>0</v>
      </c>
      <c r="BP421" s="417">
        <f t="shared" si="683"/>
        <v>0</v>
      </c>
      <c r="BQ421" s="417">
        <f t="shared" si="684"/>
        <v>0</v>
      </c>
      <c r="BR421" s="417">
        <f t="shared" si="684"/>
        <v>0</v>
      </c>
      <c r="BS421" s="417">
        <f t="shared" si="685"/>
        <v>508112</v>
      </c>
      <c r="BT421" s="417">
        <f t="shared" si="685"/>
        <v>15033</v>
      </c>
      <c r="BU421" s="417">
        <f t="shared" si="686"/>
        <v>0</v>
      </c>
      <c r="BV421" s="418">
        <f t="shared" si="687"/>
        <v>2.9641999999999999</v>
      </c>
      <c r="BW421" s="418">
        <f t="shared" si="688"/>
        <v>2.9641999999999999</v>
      </c>
      <c r="BX421" s="420">
        <f t="shared" si="688"/>
        <v>0</v>
      </c>
      <c r="BY421" s="419"/>
      <c r="BZ421" s="414"/>
      <c r="CA421" s="414"/>
      <c r="CB421" s="414"/>
      <c r="CC421" s="414"/>
      <c r="CD421" s="422"/>
      <c r="CE421" s="419">
        <f t="shared" si="655"/>
        <v>0</v>
      </c>
      <c r="CF421" s="414">
        <v>0</v>
      </c>
      <c r="CG421" s="414">
        <v>0</v>
      </c>
      <c r="CH421" s="414">
        <v>0</v>
      </c>
      <c r="CI421" s="414">
        <v>0</v>
      </c>
      <c r="CJ421" s="509">
        <v>0</v>
      </c>
      <c r="CK421" s="53"/>
      <c r="CL421" s="53"/>
    </row>
    <row r="422" spans="1:90" ht="14.1" customHeight="1">
      <c r="A422" s="66">
        <v>82</v>
      </c>
      <c r="B422" s="63">
        <v>2493</v>
      </c>
      <c r="C422" s="64">
        <v>600080021</v>
      </c>
      <c r="D422" s="63">
        <v>72742399</v>
      </c>
      <c r="E422" s="65" t="s">
        <v>691</v>
      </c>
      <c r="F422" s="66">
        <v>3143</v>
      </c>
      <c r="G422" s="77" t="s">
        <v>596</v>
      </c>
      <c r="H422" s="67" t="s">
        <v>272</v>
      </c>
      <c r="I422" s="419">
        <v>57629</v>
      </c>
      <c r="J422" s="414">
        <v>41250</v>
      </c>
      <c r="K422" s="414">
        <v>0</v>
      </c>
      <c r="L422" s="601">
        <v>41250</v>
      </c>
      <c r="M422" s="414">
        <v>0</v>
      </c>
      <c r="N422" s="414">
        <v>0</v>
      </c>
      <c r="O422" s="414">
        <v>0</v>
      </c>
      <c r="P422" s="595">
        <v>13942</v>
      </c>
      <c r="Q422" s="595">
        <v>412</v>
      </c>
      <c r="R422" s="602">
        <v>2025</v>
      </c>
      <c r="S422" s="415">
        <v>0.1542</v>
      </c>
      <c r="T422" s="605">
        <v>0</v>
      </c>
      <c r="U422" s="731">
        <v>0.1542</v>
      </c>
      <c r="V422" s="423">
        <f t="shared" si="637"/>
        <v>0</v>
      </c>
      <c r="W422" s="417">
        <f t="shared" si="638"/>
        <v>0</v>
      </c>
      <c r="X422" s="417">
        <v>0</v>
      </c>
      <c r="Y422" s="417">
        <v>0</v>
      </c>
      <c r="Z422" s="417">
        <v>0</v>
      </c>
      <c r="AA422" s="417">
        <v>0</v>
      </c>
      <c r="AB422" s="417">
        <v>0</v>
      </c>
      <c r="AC422" s="417">
        <v>0</v>
      </c>
      <c r="AD422" s="417">
        <v>0</v>
      </c>
      <c r="AE422" s="417">
        <f t="shared" si="639"/>
        <v>0</v>
      </c>
      <c r="AF422" s="417">
        <f t="shared" si="640"/>
        <v>0</v>
      </c>
      <c r="AG422" s="417">
        <f t="shared" si="641"/>
        <v>0</v>
      </c>
      <c r="AH422" s="417">
        <v>0</v>
      </c>
      <c r="AI422" s="417">
        <v>0</v>
      </c>
      <c r="AJ422" s="417">
        <v>0</v>
      </c>
      <c r="AK422" s="417">
        <v>0</v>
      </c>
      <c r="AL422" s="417">
        <v>0</v>
      </c>
      <c r="AM422" s="417">
        <f t="shared" si="642"/>
        <v>0</v>
      </c>
      <c r="AN422" s="417">
        <f t="shared" si="643"/>
        <v>0</v>
      </c>
      <c r="AO422" s="417">
        <f t="shared" si="644"/>
        <v>0</v>
      </c>
      <c r="AP422" s="417">
        <f t="shared" si="645"/>
        <v>0</v>
      </c>
      <c r="AQ422" s="417">
        <f t="shared" si="646"/>
        <v>0</v>
      </c>
      <c r="AR422" s="417">
        <f t="shared" si="647"/>
        <v>0</v>
      </c>
      <c r="AS422" s="68">
        <f t="shared" si="648"/>
        <v>0</v>
      </c>
      <c r="AT422" s="68">
        <f t="shared" si="649"/>
        <v>0</v>
      </c>
      <c r="AU422" s="417">
        <v>0</v>
      </c>
      <c r="AV422" s="417">
        <v>0</v>
      </c>
      <c r="AW422" s="417">
        <v>0</v>
      </c>
      <c r="AX422" s="417">
        <f t="shared" si="650"/>
        <v>0</v>
      </c>
      <c r="AY422" s="417">
        <f t="shared" si="651"/>
        <v>0</v>
      </c>
      <c r="AZ422" s="418">
        <v>0</v>
      </c>
      <c r="BA422" s="418">
        <v>0</v>
      </c>
      <c r="BB422" s="418">
        <v>0</v>
      </c>
      <c r="BC422" s="418">
        <v>0</v>
      </c>
      <c r="BD422" s="418">
        <v>0</v>
      </c>
      <c r="BE422" s="418">
        <v>0</v>
      </c>
      <c r="BF422" s="418">
        <v>0</v>
      </c>
      <c r="BG422" s="418">
        <v>0</v>
      </c>
      <c r="BH422" s="418">
        <v>0</v>
      </c>
      <c r="BI422" s="418">
        <f t="shared" si="652"/>
        <v>0</v>
      </c>
      <c r="BJ422" s="418">
        <f t="shared" si="653"/>
        <v>0</v>
      </c>
      <c r="BK422" s="420">
        <f t="shared" si="654"/>
        <v>0</v>
      </c>
      <c r="BL422" s="772">
        <f t="shared" si="680"/>
        <v>57629</v>
      </c>
      <c r="BM422" s="417">
        <f t="shared" si="681"/>
        <v>41250</v>
      </c>
      <c r="BN422" s="417">
        <f t="shared" si="682"/>
        <v>0</v>
      </c>
      <c r="BO422" s="417">
        <f t="shared" si="682"/>
        <v>41250</v>
      </c>
      <c r="BP422" s="417">
        <f t="shared" si="683"/>
        <v>0</v>
      </c>
      <c r="BQ422" s="417">
        <f t="shared" si="684"/>
        <v>0</v>
      </c>
      <c r="BR422" s="417">
        <f t="shared" si="684"/>
        <v>0</v>
      </c>
      <c r="BS422" s="417">
        <f t="shared" si="685"/>
        <v>13942</v>
      </c>
      <c r="BT422" s="417">
        <f t="shared" si="685"/>
        <v>412</v>
      </c>
      <c r="BU422" s="417">
        <f t="shared" si="686"/>
        <v>2025</v>
      </c>
      <c r="BV422" s="418">
        <f t="shared" si="687"/>
        <v>0.1542</v>
      </c>
      <c r="BW422" s="418">
        <f t="shared" si="688"/>
        <v>0</v>
      </c>
      <c r="BX422" s="420">
        <f t="shared" si="688"/>
        <v>0.1542</v>
      </c>
      <c r="BY422" s="419"/>
      <c r="BZ422" s="414"/>
      <c r="CA422" s="414"/>
      <c r="CB422" s="414"/>
      <c r="CC422" s="414"/>
      <c r="CD422" s="422"/>
      <c r="CE422" s="419">
        <f t="shared" si="655"/>
        <v>0</v>
      </c>
      <c r="CF422" s="414">
        <v>0</v>
      </c>
      <c r="CG422" s="414">
        <v>0</v>
      </c>
      <c r="CH422" s="414">
        <v>0</v>
      </c>
      <c r="CI422" s="414">
        <v>0</v>
      </c>
      <c r="CJ422" s="509">
        <v>0</v>
      </c>
      <c r="CK422" s="53"/>
      <c r="CL422" s="53"/>
    </row>
    <row r="423" spans="1:90" ht="14.1" customHeight="1">
      <c r="A423" s="72">
        <v>82</v>
      </c>
      <c r="B423" s="69">
        <v>2493</v>
      </c>
      <c r="C423" s="70">
        <v>600080021</v>
      </c>
      <c r="D423" s="69">
        <v>72742399</v>
      </c>
      <c r="E423" s="71" t="s">
        <v>692</v>
      </c>
      <c r="F423" s="72"/>
      <c r="G423" s="71"/>
      <c r="H423" s="73"/>
      <c r="I423" s="516">
        <v>35578961</v>
      </c>
      <c r="J423" s="74">
        <v>26057716</v>
      </c>
      <c r="K423" s="74">
        <v>21804553</v>
      </c>
      <c r="L423" s="74">
        <v>4253163</v>
      </c>
      <c r="M423" s="74">
        <v>40000</v>
      </c>
      <c r="N423" s="74">
        <v>10000</v>
      </c>
      <c r="O423" s="74">
        <v>30000</v>
      </c>
      <c r="P423" s="74">
        <v>8821027</v>
      </c>
      <c r="Q423" s="74">
        <v>260576</v>
      </c>
      <c r="R423" s="74">
        <v>399642</v>
      </c>
      <c r="S423" s="75">
        <v>49.071799999999989</v>
      </c>
      <c r="T423" s="75">
        <v>35.824499999999993</v>
      </c>
      <c r="U423" s="653">
        <v>13.247299999999999</v>
      </c>
      <c r="V423" s="516">
        <f t="shared" ref="V423:BX423" si="689">SUM(V417:V422)</f>
        <v>-103228</v>
      </c>
      <c r="W423" s="74">
        <f t="shared" si="689"/>
        <v>-21772</v>
      </c>
      <c r="X423" s="74">
        <f t="shared" si="689"/>
        <v>30900</v>
      </c>
      <c r="Y423" s="74">
        <f t="shared" si="689"/>
        <v>0</v>
      </c>
      <c r="Z423" s="74">
        <f t="shared" si="689"/>
        <v>0</v>
      </c>
      <c r="AA423" s="74">
        <f t="shared" si="689"/>
        <v>-25114</v>
      </c>
      <c r="AB423" s="74">
        <f t="shared" si="689"/>
        <v>0</v>
      </c>
      <c r="AC423" s="74">
        <f t="shared" si="689"/>
        <v>0</v>
      </c>
      <c r="AD423" s="74">
        <f t="shared" si="689"/>
        <v>0</v>
      </c>
      <c r="AE423" s="74">
        <f t="shared" si="689"/>
        <v>-72328</v>
      </c>
      <c r="AF423" s="74">
        <f t="shared" si="689"/>
        <v>-46886</v>
      </c>
      <c r="AG423" s="74">
        <f t="shared" si="689"/>
        <v>-119214</v>
      </c>
      <c r="AH423" s="74">
        <f t="shared" si="689"/>
        <v>-10000</v>
      </c>
      <c r="AI423" s="74">
        <f t="shared" si="689"/>
        <v>21772</v>
      </c>
      <c r="AJ423" s="74">
        <f t="shared" si="689"/>
        <v>0</v>
      </c>
      <c r="AK423" s="74">
        <f t="shared" si="689"/>
        <v>113228</v>
      </c>
      <c r="AL423" s="74">
        <f t="shared" si="689"/>
        <v>0</v>
      </c>
      <c r="AM423" s="74">
        <f t="shared" si="689"/>
        <v>103228</v>
      </c>
      <c r="AN423" s="74">
        <f t="shared" si="689"/>
        <v>21772</v>
      </c>
      <c r="AO423" s="74">
        <f t="shared" si="689"/>
        <v>125000</v>
      </c>
      <c r="AP423" s="74">
        <f t="shared" si="689"/>
        <v>30900</v>
      </c>
      <c r="AQ423" s="74">
        <f t="shared" si="689"/>
        <v>-25114</v>
      </c>
      <c r="AR423" s="74">
        <f t="shared" si="689"/>
        <v>5786</v>
      </c>
      <c r="AS423" s="74">
        <f t="shared" si="689"/>
        <v>-36316</v>
      </c>
      <c r="AT423" s="74">
        <f t="shared" si="689"/>
        <v>-1192</v>
      </c>
      <c r="AU423" s="74">
        <f t="shared" si="689"/>
        <v>0</v>
      </c>
      <c r="AV423" s="74">
        <f t="shared" si="689"/>
        <v>0</v>
      </c>
      <c r="AW423" s="74">
        <f t="shared" si="689"/>
        <v>0</v>
      </c>
      <c r="AX423" s="74">
        <f t="shared" si="689"/>
        <v>0</v>
      </c>
      <c r="AY423" s="74">
        <f t="shared" si="689"/>
        <v>-31722</v>
      </c>
      <c r="AZ423" s="75">
        <f t="shared" si="689"/>
        <v>0</v>
      </c>
      <c r="BA423" s="75">
        <f t="shared" si="689"/>
        <v>-0.16</v>
      </c>
      <c r="BB423" s="75">
        <f t="shared" si="689"/>
        <v>0.08</v>
      </c>
      <c r="BC423" s="75">
        <f t="shared" si="689"/>
        <v>0</v>
      </c>
      <c r="BD423" s="75">
        <f t="shared" si="689"/>
        <v>-7.0000000000000007E-2</v>
      </c>
      <c r="BE423" s="75">
        <f t="shared" si="689"/>
        <v>0</v>
      </c>
      <c r="BF423" s="75">
        <f t="shared" si="689"/>
        <v>0</v>
      </c>
      <c r="BG423" s="75">
        <f t="shared" si="689"/>
        <v>0</v>
      </c>
      <c r="BH423" s="75">
        <f t="shared" si="689"/>
        <v>0</v>
      </c>
      <c r="BI423" s="75">
        <f t="shared" si="689"/>
        <v>0.08</v>
      </c>
      <c r="BJ423" s="75">
        <f t="shared" si="689"/>
        <v>-0.23</v>
      </c>
      <c r="BK423" s="76">
        <f t="shared" si="689"/>
        <v>-0.15000000000000002</v>
      </c>
      <c r="BL423" s="781">
        <f t="shared" si="689"/>
        <v>35547239</v>
      </c>
      <c r="BM423" s="74">
        <f t="shared" si="689"/>
        <v>25938502</v>
      </c>
      <c r="BN423" s="74">
        <f t="shared" si="689"/>
        <v>21732225</v>
      </c>
      <c r="BO423" s="74">
        <f t="shared" si="689"/>
        <v>4206277</v>
      </c>
      <c r="BP423" s="74">
        <f t="shared" si="689"/>
        <v>165000</v>
      </c>
      <c r="BQ423" s="74">
        <f t="shared" si="689"/>
        <v>113228</v>
      </c>
      <c r="BR423" s="74">
        <f t="shared" si="689"/>
        <v>51772</v>
      </c>
      <c r="BS423" s="74">
        <f t="shared" si="689"/>
        <v>8784711</v>
      </c>
      <c r="BT423" s="74">
        <f t="shared" si="689"/>
        <v>259384</v>
      </c>
      <c r="BU423" s="74">
        <f t="shared" si="689"/>
        <v>399642</v>
      </c>
      <c r="BV423" s="75">
        <f t="shared" si="689"/>
        <v>48.921799999999998</v>
      </c>
      <c r="BW423" s="75">
        <f t="shared" si="689"/>
        <v>35.904499999999999</v>
      </c>
      <c r="BX423" s="76">
        <f t="shared" si="689"/>
        <v>13.017299999999999</v>
      </c>
      <c r="BY423" s="791">
        <f t="shared" ref="BY423:CJ423" si="690">SUM(BY417:BY422)</f>
        <v>152054</v>
      </c>
      <c r="BZ423" s="679">
        <f t="shared" si="690"/>
        <v>112800</v>
      </c>
      <c r="CA423" s="679">
        <f t="shared" si="690"/>
        <v>0</v>
      </c>
      <c r="CB423" s="679">
        <f t="shared" si="690"/>
        <v>38126</v>
      </c>
      <c r="CC423" s="679">
        <f t="shared" si="690"/>
        <v>1128</v>
      </c>
      <c r="CD423" s="947">
        <f t="shared" si="690"/>
        <v>0.2</v>
      </c>
      <c r="CE423" s="956">
        <f t="shared" si="690"/>
        <v>1018137</v>
      </c>
      <c r="CF423" s="953">
        <f t="shared" si="690"/>
        <v>690860</v>
      </c>
      <c r="CG423" s="953">
        <f t="shared" si="690"/>
        <v>233511</v>
      </c>
      <c r="CH423" s="953">
        <f t="shared" si="690"/>
        <v>6909</v>
      </c>
      <c r="CI423" s="953">
        <f t="shared" si="690"/>
        <v>86857</v>
      </c>
      <c r="CJ423" s="877">
        <f t="shared" si="690"/>
        <v>2.1896999999999998</v>
      </c>
      <c r="CK423" s="53"/>
      <c r="CL423" s="53"/>
    </row>
    <row r="424" spans="1:90" ht="14.1" customHeight="1">
      <c r="A424" s="66">
        <v>83</v>
      </c>
      <c r="B424" s="63">
        <v>2445</v>
      </c>
      <c r="C424" s="64">
        <v>600080030</v>
      </c>
      <c r="D424" s="63">
        <v>70695997</v>
      </c>
      <c r="E424" s="65" t="s">
        <v>693</v>
      </c>
      <c r="F424" s="66">
        <v>3111</v>
      </c>
      <c r="G424" s="65" t="s">
        <v>290</v>
      </c>
      <c r="H424" s="67" t="s">
        <v>271</v>
      </c>
      <c r="I424" s="419">
        <v>3204245</v>
      </c>
      <c r="J424" s="414">
        <v>2366354</v>
      </c>
      <c r="K424" s="414">
        <v>2189936</v>
      </c>
      <c r="L424" s="414">
        <v>176418</v>
      </c>
      <c r="M424" s="414">
        <v>0</v>
      </c>
      <c r="N424" s="414">
        <v>0</v>
      </c>
      <c r="O424" s="414">
        <v>0</v>
      </c>
      <c r="P424" s="595">
        <v>799827</v>
      </c>
      <c r="Q424" s="595">
        <v>23664</v>
      </c>
      <c r="R424" s="414">
        <v>14400</v>
      </c>
      <c r="S424" s="415">
        <v>4.7068000000000003</v>
      </c>
      <c r="T424" s="415">
        <v>4</v>
      </c>
      <c r="U424" s="422">
        <v>0.70679999999999998</v>
      </c>
      <c r="V424" s="423">
        <f t="shared" si="637"/>
        <v>0</v>
      </c>
      <c r="W424" s="417">
        <f t="shared" si="638"/>
        <v>0</v>
      </c>
      <c r="X424" s="417">
        <v>0</v>
      </c>
      <c r="Y424" s="417">
        <v>0</v>
      </c>
      <c r="Z424" s="417">
        <v>0</v>
      </c>
      <c r="AA424" s="417">
        <v>0</v>
      </c>
      <c r="AB424" s="417">
        <v>0</v>
      </c>
      <c r="AC424" s="417">
        <v>0</v>
      </c>
      <c r="AD424" s="417">
        <v>0</v>
      </c>
      <c r="AE424" s="417">
        <f t="shared" si="639"/>
        <v>0</v>
      </c>
      <c r="AF424" s="417">
        <f t="shared" si="640"/>
        <v>0</v>
      </c>
      <c r="AG424" s="417">
        <f t="shared" si="641"/>
        <v>0</v>
      </c>
      <c r="AH424" s="417">
        <v>0</v>
      </c>
      <c r="AI424" s="417">
        <v>0</v>
      </c>
      <c r="AJ424" s="417">
        <v>0</v>
      </c>
      <c r="AK424" s="417">
        <v>0</v>
      </c>
      <c r="AL424" s="417">
        <v>0</v>
      </c>
      <c r="AM424" s="417">
        <f t="shared" si="642"/>
        <v>0</v>
      </c>
      <c r="AN424" s="417">
        <f t="shared" si="643"/>
        <v>0</v>
      </c>
      <c r="AO424" s="417">
        <f t="shared" si="644"/>
        <v>0</v>
      </c>
      <c r="AP424" s="417">
        <f t="shared" si="645"/>
        <v>0</v>
      </c>
      <c r="AQ424" s="417">
        <f t="shared" si="646"/>
        <v>0</v>
      </c>
      <c r="AR424" s="417">
        <f t="shared" si="647"/>
        <v>0</v>
      </c>
      <c r="AS424" s="68">
        <f t="shared" si="648"/>
        <v>0</v>
      </c>
      <c r="AT424" s="68">
        <f t="shared" si="649"/>
        <v>0</v>
      </c>
      <c r="AU424" s="417">
        <v>0</v>
      </c>
      <c r="AV424" s="417">
        <v>0</v>
      </c>
      <c r="AW424" s="417">
        <v>0</v>
      </c>
      <c r="AX424" s="417">
        <f t="shared" si="650"/>
        <v>0</v>
      </c>
      <c r="AY424" s="417">
        <f t="shared" si="651"/>
        <v>0</v>
      </c>
      <c r="AZ424" s="418">
        <v>0</v>
      </c>
      <c r="BA424" s="418">
        <v>0</v>
      </c>
      <c r="BB424" s="418">
        <v>0</v>
      </c>
      <c r="BC424" s="418">
        <v>0</v>
      </c>
      <c r="BD424" s="418">
        <v>0</v>
      </c>
      <c r="BE424" s="418">
        <v>0</v>
      </c>
      <c r="BF424" s="418">
        <v>0</v>
      </c>
      <c r="BG424" s="418">
        <v>0</v>
      </c>
      <c r="BH424" s="418">
        <v>0</v>
      </c>
      <c r="BI424" s="418">
        <f t="shared" si="652"/>
        <v>0</v>
      </c>
      <c r="BJ424" s="418">
        <f t="shared" si="653"/>
        <v>0</v>
      </c>
      <c r="BK424" s="420">
        <f t="shared" si="654"/>
        <v>0</v>
      </c>
      <c r="BL424" s="772">
        <f t="shared" ref="BL424:BL429" si="691">I424+AY424</f>
        <v>3204245</v>
      </c>
      <c r="BM424" s="417">
        <f t="shared" ref="BM424:BM429" si="692">J424+AG424</f>
        <v>2366354</v>
      </c>
      <c r="BN424" s="417">
        <f t="shared" ref="BN424:BO429" si="693">K424+AE424</f>
        <v>2189936</v>
      </c>
      <c r="BO424" s="417">
        <f t="shared" si="693"/>
        <v>176418</v>
      </c>
      <c r="BP424" s="417">
        <f t="shared" ref="BP424:BP429" si="694">M424+AO424</f>
        <v>0</v>
      </c>
      <c r="BQ424" s="417">
        <f t="shared" ref="BQ424:BR429" si="695">N424+AM424</f>
        <v>0</v>
      </c>
      <c r="BR424" s="417">
        <f t="shared" si="695"/>
        <v>0</v>
      </c>
      <c r="BS424" s="417">
        <f t="shared" ref="BS424:BT429" si="696">P424+AS424</f>
        <v>799827</v>
      </c>
      <c r="BT424" s="417">
        <f t="shared" si="696"/>
        <v>23664</v>
      </c>
      <c r="BU424" s="417">
        <f t="shared" ref="BU424:BU429" si="697">R424+AX424</f>
        <v>14400</v>
      </c>
      <c r="BV424" s="418">
        <f t="shared" ref="BV424:BV429" si="698">S424+BK424</f>
        <v>4.7068000000000003</v>
      </c>
      <c r="BW424" s="418">
        <f t="shared" ref="BW424:BX429" si="699">T424+BI424</f>
        <v>4</v>
      </c>
      <c r="BX424" s="420">
        <f t="shared" si="699"/>
        <v>0.70679999999999998</v>
      </c>
      <c r="BY424" s="419"/>
      <c r="BZ424" s="414"/>
      <c r="CA424" s="414"/>
      <c r="CB424" s="414"/>
      <c r="CC424" s="414"/>
      <c r="CD424" s="422"/>
      <c r="CE424" s="419">
        <f t="shared" si="655"/>
        <v>81098</v>
      </c>
      <c r="CF424" s="414">
        <v>56610</v>
      </c>
      <c r="CG424" s="414">
        <f>ROUND(CF424*33.8%,0)</f>
        <v>19134</v>
      </c>
      <c r="CH424" s="414">
        <f>ROUND(CF424*1%,0)</f>
        <v>566</v>
      </c>
      <c r="CI424" s="414">
        <v>4788</v>
      </c>
      <c r="CJ424" s="509">
        <v>0.2268</v>
      </c>
      <c r="CK424" s="53"/>
      <c r="CL424" s="53"/>
    </row>
    <row r="425" spans="1:90" ht="14.1" customHeight="1">
      <c r="A425" s="66">
        <v>83</v>
      </c>
      <c r="B425" s="63">
        <v>2445</v>
      </c>
      <c r="C425" s="64">
        <v>600080030</v>
      </c>
      <c r="D425" s="63">
        <v>70695997</v>
      </c>
      <c r="E425" s="65" t="s">
        <v>693</v>
      </c>
      <c r="F425" s="66">
        <v>3117</v>
      </c>
      <c r="G425" s="65" t="s">
        <v>293</v>
      </c>
      <c r="H425" s="67" t="s">
        <v>271</v>
      </c>
      <c r="I425" s="419">
        <v>4514520</v>
      </c>
      <c r="J425" s="414">
        <v>3211539</v>
      </c>
      <c r="K425" s="414">
        <v>2569876</v>
      </c>
      <c r="L425" s="414">
        <v>641663</v>
      </c>
      <c r="M425" s="414">
        <v>80000</v>
      </c>
      <c r="N425" s="414">
        <v>80000</v>
      </c>
      <c r="O425" s="414">
        <v>0</v>
      </c>
      <c r="P425" s="595">
        <v>1112540</v>
      </c>
      <c r="Q425" s="595">
        <v>32116</v>
      </c>
      <c r="R425" s="414">
        <v>78325</v>
      </c>
      <c r="S425" s="415">
        <v>5.7161999999999997</v>
      </c>
      <c r="T425" s="415">
        <v>4.0800999999999998</v>
      </c>
      <c r="U425" s="422">
        <v>1.6360999999999999</v>
      </c>
      <c r="V425" s="423">
        <f t="shared" si="637"/>
        <v>0</v>
      </c>
      <c r="W425" s="417">
        <f t="shared" si="638"/>
        <v>0</v>
      </c>
      <c r="X425" s="417">
        <v>0</v>
      </c>
      <c r="Y425" s="417">
        <v>0</v>
      </c>
      <c r="Z425" s="417">
        <v>0</v>
      </c>
      <c r="AA425" s="417">
        <v>0</v>
      </c>
      <c r="AB425" s="417">
        <v>0</v>
      </c>
      <c r="AC425" s="417">
        <v>0</v>
      </c>
      <c r="AD425" s="417">
        <v>0</v>
      </c>
      <c r="AE425" s="417">
        <f t="shared" si="639"/>
        <v>0</v>
      </c>
      <c r="AF425" s="417">
        <f t="shared" si="640"/>
        <v>0</v>
      </c>
      <c r="AG425" s="417">
        <f t="shared" si="641"/>
        <v>0</v>
      </c>
      <c r="AH425" s="417">
        <v>0</v>
      </c>
      <c r="AI425" s="417">
        <v>0</v>
      </c>
      <c r="AJ425" s="417">
        <v>0</v>
      </c>
      <c r="AK425" s="417">
        <v>0</v>
      </c>
      <c r="AL425" s="417">
        <v>0</v>
      </c>
      <c r="AM425" s="417">
        <f t="shared" si="642"/>
        <v>0</v>
      </c>
      <c r="AN425" s="417">
        <f t="shared" si="643"/>
        <v>0</v>
      </c>
      <c r="AO425" s="417">
        <f t="shared" si="644"/>
        <v>0</v>
      </c>
      <c r="AP425" s="417">
        <f t="shared" si="645"/>
        <v>0</v>
      </c>
      <c r="AQ425" s="417">
        <f t="shared" si="646"/>
        <v>0</v>
      </c>
      <c r="AR425" s="417">
        <f t="shared" si="647"/>
        <v>0</v>
      </c>
      <c r="AS425" s="68">
        <f t="shared" si="648"/>
        <v>0</v>
      </c>
      <c r="AT425" s="68">
        <f t="shared" si="649"/>
        <v>0</v>
      </c>
      <c r="AU425" s="417">
        <v>0</v>
      </c>
      <c r="AV425" s="417">
        <v>0</v>
      </c>
      <c r="AW425" s="417">
        <v>0</v>
      </c>
      <c r="AX425" s="417">
        <f t="shared" si="650"/>
        <v>0</v>
      </c>
      <c r="AY425" s="417">
        <f t="shared" si="651"/>
        <v>0</v>
      </c>
      <c r="AZ425" s="418">
        <v>0</v>
      </c>
      <c r="BA425" s="418">
        <v>0</v>
      </c>
      <c r="BB425" s="418">
        <v>0</v>
      </c>
      <c r="BC425" s="418">
        <v>0</v>
      </c>
      <c r="BD425" s="418">
        <v>0</v>
      </c>
      <c r="BE425" s="418">
        <v>0</v>
      </c>
      <c r="BF425" s="418">
        <v>0</v>
      </c>
      <c r="BG425" s="418">
        <v>0</v>
      </c>
      <c r="BH425" s="418">
        <v>0</v>
      </c>
      <c r="BI425" s="418">
        <f t="shared" si="652"/>
        <v>0</v>
      </c>
      <c r="BJ425" s="418">
        <f t="shared" si="653"/>
        <v>0</v>
      </c>
      <c r="BK425" s="420">
        <f t="shared" si="654"/>
        <v>0</v>
      </c>
      <c r="BL425" s="772">
        <f t="shared" si="691"/>
        <v>4514520</v>
      </c>
      <c r="BM425" s="417">
        <f t="shared" si="692"/>
        <v>3211539</v>
      </c>
      <c r="BN425" s="417">
        <f t="shared" si="693"/>
        <v>2569876</v>
      </c>
      <c r="BO425" s="417">
        <f t="shared" si="693"/>
        <v>641663</v>
      </c>
      <c r="BP425" s="417">
        <f t="shared" si="694"/>
        <v>80000</v>
      </c>
      <c r="BQ425" s="417">
        <f t="shared" si="695"/>
        <v>80000</v>
      </c>
      <c r="BR425" s="417">
        <f t="shared" si="695"/>
        <v>0</v>
      </c>
      <c r="BS425" s="417">
        <f t="shared" si="696"/>
        <v>1112540</v>
      </c>
      <c r="BT425" s="417">
        <f t="shared" si="696"/>
        <v>32116</v>
      </c>
      <c r="BU425" s="417">
        <f t="shared" si="697"/>
        <v>78325</v>
      </c>
      <c r="BV425" s="418">
        <f t="shared" si="698"/>
        <v>5.7161999999999997</v>
      </c>
      <c r="BW425" s="418">
        <f t="shared" si="699"/>
        <v>4.0800999999999998</v>
      </c>
      <c r="BX425" s="420">
        <f t="shared" si="699"/>
        <v>1.6360999999999999</v>
      </c>
      <c r="BY425" s="419">
        <v>152054</v>
      </c>
      <c r="BZ425" s="414">
        <v>112800</v>
      </c>
      <c r="CA425" s="414">
        <v>0</v>
      </c>
      <c r="CB425" s="414">
        <v>38126</v>
      </c>
      <c r="CC425" s="414">
        <v>1128</v>
      </c>
      <c r="CD425" s="422">
        <v>0.2</v>
      </c>
      <c r="CE425" s="419">
        <f t="shared" si="655"/>
        <v>292758</v>
      </c>
      <c r="CF425" s="414">
        <v>205958</v>
      </c>
      <c r="CG425" s="414">
        <v>69614</v>
      </c>
      <c r="CH425" s="414">
        <v>2060</v>
      </c>
      <c r="CI425" s="414">
        <v>15126</v>
      </c>
      <c r="CJ425" s="509">
        <v>0.5252</v>
      </c>
      <c r="CK425" s="53"/>
      <c r="CL425" s="53"/>
    </row>
    <row r="426" spans="1:90" ht="14.1" customHeight="1">
      <c r="A426" s="66">
        <v>83</v>
      </c>
      <c r="B426" s="63">
        <v>2445</v>
      </c>
      <c r="C426" s="64">
        <v>600080030</v>
      </c>
      <c r="D426" s="63">
        <v>70695997</v>
      </c>
      <c r="E426" s="65" t="s">
        <v>693</v>
      </c>
      <c r="F426" s="66">
        <v>3117</v>
      </c>
      <c r="G426" s="77" t="s">
        <v>291</v>
      </c>
      <c r="H426" s="67" t="s">
        <v>272</v>
      </c>
      <c r="I426" s="419">
        <v>1847620</v>
      </c>
      <c r="J426" s="414">
        <v>1363962</v>
      </c>
      <c r="K426" s="414">
        <v>1363962</v>
      </c>
      <c r="L426" s="414">
        <v>0</v>
      </c>
      <c r="M426" s="414">
        <v>0</v>
      </c>
      <c r="N426" s="414">
        <v>0</v>
      </c>
      <c r="O426" s="414">
        <v>0</v>
      </c>
      <c r="P426" s="595">
        <v>461019</v>
      </c>
      <c r="Q426" s="595">
        <v>13639</v>
      </c>
      <c r="R426" s="414">
        <v>9000</v>
      </c>
      <c r="S426" s="415">
        <v>3.57</v>
      </c>
      <c r="T426" s="416">
        <v>3.57</v>
      </c>
      <c r="U426" s="422">
        <v>0</v>
      </c>
      <c r="V426" s="423">
        <f t="shared" si="637"/>
        <v>0</v>
      </c>
      <c r="W426" s="417">
        <f t="shared" si="638"/>
        <v>0</v>
      </c>
      <c r="X426" s="417">
        <v>0</v>
      </c>
      <c r="Y426" s="417">
        <v>0</v>
      </c>
      <c r="Z426" s="417">
        <v>0</v>
      </c>
      <c r="AA426" s="417">
        <v>0</v>
      </c>
      <c r="AB426" s="417">
        <v>0</v>
      </c>
      <c r="AC426" s="417">
        <v>0</v>
      </c>
      <c r="AD426" s="417">
        <v>0</v>
      </c>
      <c r="AE426" s="417">
        <f t="shared" si="639"/>
        <v>0</v>
      </c>
      <c r="AF426" s="417">
        <f t="shared" si="640"/>
        <v>0</v>
      </c>
      <c r="AG426" s="417">
        <f t="shared" si="641"/>
        <v>0</v>
      </c>
      <c r="AH426" s="417">
        <v>0</v>
      </c>
      <c r="AI426" s="417">
        <v>0</v>
      </c>
      <c r="AJ426" s="417">
        <v>0</v>
      </c>
      <c r="AK426" s="417">
        <v>0</v>
      </c>
      <c r="AL426" s="417">
        <v>0</v>
      </c>
      <c r="AM426" s="417">
        <f t="shared" si="642"/>
        <v>0</v>
      </c>
      <c r="AN426" s="417">
        <f t="shared" si="643"/>
        <v>0</v>
      </c>
      <c r="AO426" s="417">
        <f t="shared" si="644"/>
        <v>0</v>
      </c>
      <c r="AP426" s="417">
        <f t="shared" si="645"/>
        <v>0</v>
      </c>
      <c r="AQ426" s="417">
        <f t="shared" si="646"/>
        <v>0</v>
      </c>
      <c r="AR426" s="417">
        <f t="shared" si="647"/>
        <v>0</v>
      </c>
      <c r="AS426" s="68">
        <f t="shared" si="648"/>
        <v>0</v>
      </c>
      <c r="AT426" s="68">
        <f t="shared" si="649"/>
        <v>0</v>
      </c>
      <c r="AU426" s="417">
        <v>0</v>
      </c>
      <c r="AV426" s="417">
        <v>0</v>
      </c>
      <c r="AW426" s="417">
        <v>0</v>
      </c>
      <c r="AX426" s="417">
        <f t="shared" si="650"/>
        <v>0</v>
      </c>
      <c r="AY426" s="417">
        <f t="shared" si="651"/>
        <v>0</v>
      </c>
      <c r="AZ426" s="418">
        <v>0</v>
      </c>
      <c r="BA426" s="418">
        <v>0</v>
      </c>
      <c r="BB426" s="418">
        <v>0</v>
      </c>
      <c r="BC426" s="418">
        <v>0</v>
      </c>
      <c r="BD426" s="418">
        <v>0</v>
      </c>
      <c r="BE426" s="418">
        <v>0</v>
      </c>
      <c r="BF426" s="418">
        <v>0</v>
      </c>
      <c r="BG426" s="418">
        <v>0</v>
      </c>
      <c r="BH426" s="418">
        <v>0</v>
      </c>
      <c r="BI426" s="418">
        <f t="shared" si="652"/>
        <v>0</v>
      </c>
      <c r="BJ426" s="418">
        <f t="shared" si="653"/>
        <v>0</v>
      </c>
      <c r="BK426" s="420">
        <f t="shared" si="654"/>
        <v>0</v>
      </c>
      <c r="BL426" s="772">
        <f t="shared" si="691"/>
        <v>1847620</v>
      </c>
      <c r="BM426" s="417">
        <f t="shared" si="692"/>
        <v>1363962</v>
      </c>
      <c r="BN426" s="417">
        <f t="shared" si="693"/>
        <v>1363962</v>
      </c>
      <c r="BO426" s="417">
        <f t="shared" si="693"/>
        <v>0</v>
      </c>
      <c r="BP426" s="417">
        <f t="shared" si="694"/>
        <v>0</v>
      </c>
      <c r="BQ426" s="417">
        <f t="shared" si="695"/>
        <v>0</v>
      </c>
      <c r="BR426" s="417">
        <f t="shared" si="695"/>
        <v>0</v>
      </c>
      <c r="BS426" s="417">
        <f t="shared" si="696"/>
        <v>461019</v>
      </c>
      <c r="BT426" s="417">
        <f t="shared" si="696"/>
        <v>13639</v>
      </c>
      <c r="BU426" s="417">
        <f t="shared" si="697"/>
        <v>9000</v>
      </c>
      <c r="BV426" s="418">
        <f t="shared" si="698"/>
        <v>3.57</v>
      </c>
      <c r="BW426" s="418">
        <f t="shared" si="699"/>
        <v>3.57</v>
      </c>
      <c r="BX426" s="420">
        <f t="shared" si="699"/>
        <v>0</v>
      </c>
      <c r="BY426" s="419"/>
      <c r="BZ426" s="414"/>
      <c r="CA426" s="414"/>
      <c r="CB426" s="414"/>
      <c r="CC426" s="414"/>
      <c r="CD426" s="422"/>
      <c r="CE426" s="419">
        <f t="shared" si="655"/>
        <v>0</v>
      </c>
      <c r="CF426" s="414">
        <v>0</v>
      </c>
      <c r="CG426" s="414">
        <v>0</v>
      </c>
      <c r="CH426" s="414">
        <v>0</v>
      </c>
      <c r="CI426" s="414">
        <v>0</v>
      </c>
      <c r="CJ426" s="509">
        <v>0</v>
      </c>
      <c r="CK426" s="53"/>
      <c r="CL426" s="53"/>
    </row>
    <row r="427" spans="1:90" ht="14.1" customHeight="1">
      <c r="A427" s="66">
        <v>83</v>
      </c>
      <c r="B427" s="63">
        <v>2445</v>
      </c>
      <c r="C427" s="64">
        <v>600080030</v>
      </c>
      <c r="D427" s="63">
        <v>70695997</v>
      </c>
      <c r="E427" s="65" t="s">
        <v>693</v>
      </c>
      <c r="F427" s="66">
        <v>3141</v>
      </c>
      <c r="G427" s="65" t="s">
        <v>294</v>
      </c>
      <c r="H427" s="67" t="s">
        <v>272</v>
      </c>
      <c r="I427" s="419">
        <v>1062207</v>
      </c>
      <c r="J427" s="414">
        <v>784786</v>
      </c>
      <c r="K427" s="414">
        <v>0</v>
      </c>
      <c r="L427" s="744">
        <v>784786</v>
      </c>
      <c r="M427" s="414">
        <v>0</v>
      </c>
      <c r="N427" s="204">
        <v>0</v>
      </c>
      <c r="O427" s="204">
        <v>0</v>
      </c>
      <c r="P427" s="595">
        <v>265257</v>
      </c>
      <c r="Q427" s="595">
        <v>7848</v>
      </c>
      <c r="R427" s="601">
        <v>4316</v>
      </c>
      <c r="S427" s="415">
        <v>2.3467000000000002</v>
      </c>
      <c r="T427" s="603">
        <v>0</v>
      </c>
      <c r="U427" s="731">
        <v>2.3467000000000002</v>
      </c>
      <c r="V427" s="423">
        <f t="shared" si="637"/>
        <v>0</v>
      </c>
      <c r="W427" s="417">
        <f t="shared" si="638"/>
        <v>0</v>
      </c>
      <c r="X427" s="417">
        <v>0</v>
      </c>
      <c r="Y427" s="417">
        <v>0</v>
      </c>
      <c r="Z427" s="417">
        <v>0</v>
      </c>
      <c r="AA427" s="417">
        <v>9881</v>
      </c>
      <c r="AB427" s="417">
        <v>0</v>
      </c>
      <c r="AC427" s="417">
        <v>0</v>
      </c>
      <c r="AD427" s="417">
        <v>0</v>
      </c>
      <c r="AE427" s="417">
        <f t="shared" si="639"/>
        <v>0</v>
      </c>
      <c r="AF427" s="417">
        <f t="shared" si="640"/>
        <v>9881</v>
      </c>
      <c r="AG427" s="417">
        <f t="shared" si="641"/>
        <v>9881</v>
      </c>
      <c r="AH427" s="417">
        <v>0</v>
      </c>
      <c r="AI427" s="417">
        <v>0</v>
      </c>
      <c r="AJ427" s="417">
        <v>0</v>
      </c>
      <c r="AK427" s="417">
        <v>0</v>
      </c>
      <c r="AL427" s="417">
        <v>0</v>
      </c>
      <c r="AM427" s="417">
        <f t="shared" si="642"/>
        <v>0</v>
      </c>
      <c r="AN427" s="417">
        <f t="shared" si="643"/>
        <v>0</v>
      </c>
      <c r="AO427" s="417">
        <f t="shared" si="644"/>
        <v>0</v>
      </c>
      <c r="AP427" s="417">
        <f t="shared" si="645"/>
        <v>0</v>
      </c>
      <c r="AQ427" s="417">
        <f t="shared" si="646"/>
        <v>9881</v>
      </c>
      <c r="AR427" s="417">
        <f t="shared" si="647"/>
        <v>9881</v>
      </c>
      <c r="AS427" s="68">
        <f t="shared" si="648"/>
        <v>3340</v>
      </c>
      <c r="AT427" s="68">
        <f t="shared" si="649"/>
        <v>99</v>
      </c>
      <c r="AU427" s="417">
        <v>0</v>
      </c>
      <c r="AV427" s="417">
        <v>0</v>
      </c>
      <c r="AW427" s="417">
        <v>0</v>
      </c>
      <c r="AX427" s="417">
        <f t="shared" si="650"/>
        <v>0</v>
      </c>
      <c r="AY427" s="417">
        <f t="shared" si="651"/>
        <v>13320</v>
      </c>
      <c r="AZ427" s="418">
        <v>0</v>
      </c>
      <c r="BA427" s="418">
        <v>0</v>
      </c>
      <c r="BB427" s="418">
        <v>0</v>
      </c>
      <c r="BC427" s="418">
        <v>0</v>
      </c>
      <c r="BD427" s="418">
        <v>0.03</v>
      </c>
      <c r="BE427" s="418">
        <v>0</v>
      </c>
      <c r="BF427" s="418">
        <v>0</v>
      </c>
      <c r="BG427" s="418">
        <v>0</v>
      </c>
      <c r="BH427" s="418">
        <v>0</v>
      </c>
      <c r="BI427" s="418">
        <f t="shared" si="652"/>
        <v>0</v>
      </c>
      <c r="BJ427" s="418">
        <f t="shared" si="653"/>
        <v>0.03</v>
      </c>
      <c r="BK427" s="420">
        <f t="shared" si="654"/>
        <v>0.03</v>
      </c>
      <c r="BL427" s="772">
        <f t="shared" si="691"/>
        <v>1075527</v>
      </c>
      <c r="BM427" s="417">
        <f t="shared" si="692"/>
        <v>794667</v>
      </c>
      <c r="BN427" s="417">
        <f t="shared" si="693"/>
        <v>0</v>
      </c>
      <c r="BO427" s="417">
        <f t="shared" si="693"/>
        <v>794667</v>
      </c>
      <c r="BP427" s="417">
        <f t="shared" si="694"/>
        <v>0</v>
      </c>
      <c r="BQ427" s="417">
        <f t="shared" si="695"/>
        <v>0</v>
      </c>
      <c r="BR427" s="417">
        <f t="shared" si="695"/>
        <v>0</v>
      </c>
      <c r="BS427" s="417">
        <f t="shared" si="696"/>
        <v>268597</v>
      </c>
      <c r="BT427" s="417">
        <f t="shared" si="696"/>
        <v>7947</v>
      </c>
      <c r="BU427" s="417">
        <f t="shared" si="697"/>
        <v>4316</v>
      </c>
      <c r="BV427" s="418">
        <f t="shared" si="698"/>
        <v>2.3767</v>
      </c>
      <c r="BW427" s="418">
        <f t="shared" si="699"/>
        <v>0</v>
      </c>
      <c r="BX427" s="420">
        <f t="shared" si="699"/>
        <v>2.3767</v>
      </c>
      <c r="BY427" s="419"/>
      <c r="BZ427" s="414"/>
      <c r="CA427" s="414"/>
      <c r="CB427" s="414"/>
      <c r="CC427" s="414"/>
      <c r="CD427" s="422"/>
      <c r="CE427" s="419">
        <f t="shared" si="655"/>
        <v>0</v>
      </c>
      <c r="CF427" s="414">
        <v>0</v>
      </c>
      <c r="CG427" s="414">
        <v>0</v>
      </c>
      <c r="CH427" s="414">
        <v>0</v>
      </c>
      <c r="CI427" s="414">
        <v>0</v>
      </c>
      <c r="CJ427" s="509">
        <v>0</v>
      </c>
      <c r="CK427" s="53"/>
      <c r="CL427" s="53"/>
    </row>
    <row r="428" spans="1:90" ht="14.1" customHeight="1">
      <c r="A428" s="66">
        <v>83</v>
      </c>
      <c r="B428" s="63">
        <v>2445</v>
      </c>
      <c r="C428" s="64">
        <v>600080030</v>
      </c>
      <c r="D428" s="63">
        <v>70695997</v>
      </c>
      <c r="E428" s="65" t="s">
        <v>693</v>
      </c>
      <c r="F428" s="66">
        <v>3143</v>
      </c>
      <c r="G428" s="77" t="s">
        <v>595</v>
      </c>
      <c r="H428" s="67" t="s">
        <v>271</v>
      </c>
      <c r="I428" s="419">
        <v>1401819</v>
      </c>
      <c r="J428" s="414">
        <v>1039925</v>
      </c>
      <c r="K428" s="414">
        <v>1039925</v>
      </c>
      <c r="L428" s="414">
        <v>0</v>
      </c>
      <c r="M428" s="414">
        <v>0</v>
      </c>
      <c r="N428" s="414">
        <v>0</v>
      </c>
      <c r="O428" s="414">
        <v>0</v>
      </c>
      <c r="P428" s="595">
        <v>351495</v>
      </c>
      <c r="Q428" s="595">
        <v>10399</v>
      </c>
      <c r="R428" s="414">
        <v>0</v>
      </c>
      <c r="S428" s="415">
        <v>2.1432000000000002</v>
      </c>
      <c r="T428" s="415">
        <v>2.1432000000000002</v>
      </c>
      <c r="U428" s="422">
        <v>0</v>
      </c>
      <c r="V428" s="423">
        <f t="shared" si="637"/>
        <v>0</v>
      </c>
      <c r="W428" s="417">
        <f t="shared" si="638"/>
        <v>0</v>
      </c>
      <c r="X428" s="417">
        <v>0</v>
      </c>
      <c r="Y428" s="417">
        <v>0</v>
      </c>
      <c r="Z428" s="417">
        <v>0</v>
      </c>
      <c r="AA428" s="417">
        <v>0</v>
      </c>
      <c r="AB428" s="417">
        <v>0</v>
      </c>
      <c r="AC428" s="417">
        <v>0</v>
      </c>
      <c r="AD428" s="417">
        <v>0</v>
      </c>
      <c r="AE428" s="417">
        <f t="shared" si="639"/>
        <v>0</v>
      </c>
      <c r="AF428" s="417">
        <f t="shared" si="640"/>
        <v>0</v>
      </c>
      <c r="AG428" s="417">
        <f t="shared" si="641"/>
        <v>0</v>
      </c>
      <c r="AH428" s="417">
        <v>0</v>
      </c>
      <c r="AI428" s="417">
        <v>0</v>
      </c>
      <c r="AJ428" s="417">
        <v>0</v>
      </c>
      <c r="AK428" s="417">
        <v>0</v>
      </c>
      <c r="AL428" s="417">
        <v>0</v>
      </c>
      <c r="AM428" s="417">
        <f t="shared" si="642"/>
        <v>0</v>
      </c>
      <c r="AN428" s="417">
        <f t="shared" si="643"/>
        <v>0</v>
      </c>
      <c r="AO428" s="417">
        <f t="shared" si="644"/>
        <v>0</v>
      </c>
      <c r="AP428" s="417">
        <f t="shared" si="645"/>
        <v>0</v>
      </c>
      <c r="AQ428" s="417">
        <f t="shared" si="646"/>
        <v>0</v>
      </c>
      <c r="AR428" s="417">
        <f t="shared" si="647"/>
        <v>0</v>
      </c>
      <c r="AS428" s="68">
        <f t="shared" si="648"/>
        <v>0</v>
      </c>
      <c r="AT428" s="68">
        <f t="shared" si="649"/>
        <v>0</v>
      </c>
      <c r="AU428" s="417">
        <v>0</v>
      </c>
      <c r="AV428" s="417">
        <v>0</v>
      </c>
      <c r="AW428" s="417">
        <v>0</v>
      </c>
      <c r="AX428" s="417">
        <f t="shared" si="650"/>
        <v>0</v>
      </c>
      <c r="AY428" s="417">
        <f t="shared" si="651"/>
        <v>0</v>
      </c>
      <c r="AZ428" s="418">
        <v>0</v>
      </c>
      <c r="BA428" s="418">
        <v>0</v>
      </c>
      <c r="BB428" s="418">
        <v>0</v>
      </c>
      <c r="BC428" s="418">
        <v>0</v>
      </c>
      <c r="BD428" s="418">
        <v>0</v>
      </c>
      <c r="BE428" s="418">
        <v>0</v>
      </c>
      <c r="BF428" s="418">
        <v>0</v>
      </c>
      <c r="BG428" s="418">
        <v>0</v>
      </c>
      <c r="BH428" s="418">
        <v>0</v>
      </c>
      <c r="BI428" s="418">
        <f t="shared" si="652"/>
        <v>0</v>
      </c>
      <c r="BJ428" s="418">
        <f t="shared" si="653"/>
        <v>0</v>
      </c>
      <c r="BK428" s="420">
        <f t="shared" si="654"/>
        <v>0</v>
      </c>
      <c r="BL428" s="772">
        <f t="shared" si="691"/>
        <v>1401819</v>
      </c>
      <c r="BM428" s="417">
        <f t="shared" si="692"/>
        <v>1039925</v>
      </c>
      <c r="BN428" s="417">
        <f t="shared" si="693"/>
        <v>1039925</v>
      </c>
      <c r="BO428" s="417">
        <f t="shared" si="693"/>
        <v>0</v>
      </c>
      <c r="BP428" s="417">
        <f t="shared" si="694"/>
        <v>0</v>
      </c>
      <c r="BQ428" s="417">
        <f t="shared" si="695"/>
        <v>0</v>
      </c>
      <c r="BR428" s="417">
        <f t="shared" si="695"/>
        <v>0</v>
      </c>
      <c r="BS428" s="417">
        <f t="shared" si="696"/>
        <v>351495</v>
      </c>
      <c r="BT428" s="417">
        <f t="shared" si="696"/>
        <v>10399</v>
      </c>
      <c r="BU428" s="417">
        <f t="shared" si="697"/>
        <v>0</v>
      </c>
      <c r="BV428" s="418">
        <f t="shared" si="698"/>
        <v>2.1432000000000002</v>
      </c>
      <c r="BW428" s="418">
        <f t="shared" si="699"/>
        <v>2.1432000000000002</v>
      </c>
      <c r="BX428" s="420">
        <f t="shared" si="699"/>
        <v>0</v>
      </c>
      <c r="BY428" s="419"/>
      <c r="BZ428" s="414"/>
      <c r="CA428" s="414"/>
      <c r="CB428" s="414"/>
      <c r="CC428" s="414"/>
      <c r="CD428" s="422"/>
      <c r="CE428" s="419">
        <f t="shared" si="655"/>
        <v>0</v>
      </c>
      <c r="CF428" s="414">
        <v>0</v>
      </c>
      <c r="CG428" s="414">
        <v>0</v>
      </c>
      <c r="CH428" s="414">
        <v>0</v>
      </c>
      <c r="CI428" s="414">
        <v>0</v>
      </c>
      <c r="CJ428" s="509">
        <v>0</v>
      </c>
      <c r="CK428" s="53"/>
      <c r="CL428" s="53"/>
    </row>
    <row r="429" spans="1:90" ht="14.1" customHeight="1">
      <c r="A429" s="66">
        <v>83</v>
      </c>
      <c r="B429" s="63">
        <v>2445</v>
      </c>
      <c r="C429" s="64">
        <v>600080030</v>
      </c>
      <c r="D429" s="63">
        <v>70695997</v>
      </c>
      <c r="E429" s="65" t="s">
        <v>693</v>
      </c>
      <c r="F429" s="66">
        <v>3143</v>
      </c>
      <c r="G429" s="77" t="s">
        <v>596</v>
      </c>
      <c r="H429" s="67" t="s">
        <v>272</v>
      </c>
      <c r="I429" s="419">
        <v>36115</v>
      </c>
      <c r="J429" s="414">
        <v>25850</v>
      </c>
      <c r="K429" s="414">
        <v>0</v>
      </c>
      <c r="L429" s="601">
        <v>25850</v>
      </c>
      <c r="M429" s="414">
        <v>0</v>
      </c>
      <c r="N429" s="414">
        <v>0</v>
      </c>
      <c r="O429" s="414">
        <v>0</v>
      </c>
      <c r="P429" s="595">
        <v>8738</v>
      </c>
      <c r="Q429" s="595">
        <v>258</v>
      </c>
      <c r="R429" s="602">
        <v>1269</v>
      </c>
      <c r="S429" s="415">
        <v>9.5299999999999996E-2</v>
      </c>
      <c r="T429" s="605">
        <v>0</v>
      </c>
      <c r="U429" s="731">
        <v>9.5299999999999996E-2</v>
      </c>
      <c r="V429" s="423">
        <f t="shared" si="637"/>
        <v>0</v>
      </c>
      <c r="W429" s="417">
        <f t="shared" si="638"/>
        <v>0</v>
      </c>
      <c r="X429" s="417">
        <v>0</v>
      </c>
      <c r="Y429" s="417">
        <v>0</v>
      </c>
      <c r="Z429" s="417">
        <v>0</v>
      </c>
      <c r="AA429" s="417">
        <v>0</v>
      </c>
      <c r="AB429" s="417">
        <v>0</v>
      </c>
      <c r="AC429" s="417">
        <v>0</v>
      </c>
      <c r="AD429" s="417">
        <v>0</v>
      </c>
      <c r="AE429" s="417">
        <f t="shared" si="639"/>
        <v>0</v>
      </c>
      <c r="AF429" s="417">
        <f t="shared" si="640"/>
        <v>0</v>
      </c>
      <c r="AG429" s="417">
        <f t="shared" si="641"/>
        <v>0</v>
      </c>
      <c r="AH429" s="417">
        <v>0</v>
      </c>
      <c r="AI429" s="417">
        <v>0</v>
      </c>
      <c r="AJ429" s="417">
        <v>0</v>
      </c>
      <c r="AK429" s="417">
        <v>0</v>
      </c>
      <c r="AL429" s="417">
        <v>0</v>
      </c>
      <c r="AM429" s="417">
        <f t="shared" si="642"/>
        <v>0</v>
      </c>
      <c r="AN429" s="417">
        <f t="shared" si="643"/>
        <v>0</v>
      </c>
      <c r="AO429" s="417">
        <f t="shared" si="644"/>
        <v>0</v>
      </c>
      <c r="AP429" s="417">
        <f t="shared" si="645"/>
        <v>0</v>
      </c>
      <c r="AQ429" s="417">
        <f t="shared" si="646"/>
        <v>0</v>
      </c>
      <c r="AR429" s="417">
        <f t="shared" si="647"/>
        <v>0</v>
      </c>
      <c r="AS429" s="68">
        <f t="shared" si="648"/>
        <v>0</v>
      </c>
      <c r="AT429" s="68">
        <f t="shared" si="649"/>
        <v>0</v>
      </c>
      <c r="AU429" s="417">
        <v>0</v>
      </c>
      <c r="AV429" s="417">
        <v>0</v>
      </c>
      <c r="AW429" s="417">
        <v>0</v>
      </c>
      <c r="AX429" s="417">
        <f t="shared" si="650"/>
        <v>0</v>
      </c>
      <c r="AY429" s="417">
        <f t="shared" si="651"/>
        <v>0</v>
      </c>
      <c r="AZ429" s="418">
        <v>0</v>
      </c>
      <c r="BA429" s="418">
        <v>0</v>
      </c>
      <c r="BB429" s="418">
        <v>0</v>
      </c>
      <c r="BC429" s="418">
        <v>0</v>
      </c>
      <c r="BD429" s="418">
        <v>0</v>
      </c>
      <c r="BE429" s="418">
        <v>0</v>
      </c>
      <c r="BF429" s="418">
        <v>0</v>
      </c>
      <c r="BG429" s="418">
        <v>0</v>
      </c>
      <c r="BH429" s="418">
        <v>0</v>
      </c>
      <c r="BI429" s="418">
        <f t="shared" si="652"/>
        <v>0</v>
      </c>
      <c r="BJ429" s="418">
        <f t="shared" si="653"/>
        <v>0</v>
      </c>
      <c r="BK429" s="420">
        <f t="shared" si="654"/>
        <v>0</v>
      </c>
      <c r="BL429" s="772">
        <f t="shared" si="691"/>
        <v>36115</v>
      </c>
      <c r="BM429" s="417">
        <f t="shared" si="692"/>
        <v>25850</v>
      </c>
      <c r="BN429" s="417">
        <f t="shared" si="693"/>
        <v>0</v>
      </c>
      <c r="BO429" s="417">
        <f t="shared" si="693"/>
        <v>25850</v>
      </c>
      <c r="BP429" s="417">
        <f t="shared" si="694"/>
        <v>0</v>
      </c>
      <c r="BQ429" s="417">
        <f t="shared" si="695"/>
        <v>0</v>
      </c>
      <c r="BR429" s="417">
        <f t="shared" si="695"/>
        <v>0</v>
      </c>
      <c r="BS429" s="417">
        <f t="shared" si="696"/>
        <v>8738</v>
      </c>
      <c r="BT429" s="417">
        <f t="shared" si="696"/>
        <v>258</v>
      </c>
      <c r="BU429" s="417">
        <f t="shared" si="697"/>
        <v>1269</v>
      </c>
      <c r="BV429" s="418">
        <f t="shared" si="698"/>
        <v>9.5299999999999996E-2</v>
      </c>
      <c r="BW429" s="418">
        <f t="shared" si="699"/>
        <v>0</v>
      </c>
      <c r="BX429" s="420">
        <f t="shared" si="699"/>
        <v>9.5299999999999996E-2</v>
      </c>
      <c r="BY429" s="419"/>
      <c r="BZ429" s="414"/>
      <c r="CA429" s="414"/>
      <c r="CB429" s="414"/>
      <c r="CC429" s="414"/>
      <c r="CD429" s="422"/>
      <c r="CE429" s="419">
        <f t="shared" si="655"/>
        <v>0</v>
      </c>
      <c r="CF429" s="414">
        <v>0</v>
      </c>
      <c r="CG429" s="414">
        <v>0</v>
      </c>
      <c r="CH429" s="414">
        <v>0</v>
      </c>
      <c r="CI429" s="414">
        <v>0</v>
      </c>
      <c r="CJ429" s="509">
        <v>0</v>
      </c>
      <c r="CK429" s="53"/>
      <c r="CL429" s="53"/>
    </row>
    <row r="430" spans="1:90" ht="14.1" customHeight="1">
      <c r="A430" s="72">
        <v>83</v>
      </c>
      <c r="B430" s="69">
        <v>2445</v>
      </c>
      <c r="C430" s="70">
        <v>600080030</v>
      </c>
      <c r="D430" s="69">
        <v>70695997</v>
      </c>
      <c r="E430" s="71" t="s">
        <v>694</v>
      </c>
      <c r="F430" s="72"/>
      <c r="G430" s="71"/>
      <c r="H430" s="73"/>
      <c r="I430" s="516">
        <v>12066526</v>
      </c>
      <c r="J430" s="74">
        <v>8792416</v>
      </c>
      <c r="K430" s="74">
        <v>7163699</v>
      </c>
      <c r="L430" s="74">
        <v>1628717</v>
      </c>
      <c r="M430" s="74">
        <v>80000</v>
      </c>
      <c r="N430" s="74">
        <v>80000</v>
      </c>
      <c r="O430" s="74">
        <v>0</v>
      </c>
      <c r="P430" s="74">
        <v>2998876</v>
      </c>
      <c r="Q430" s="74">
        <v>87924</v>
      </c>
      <c r="R430" s="74">
        <v>107310</v>
      </c>
      <c r="S430" s="75">
        <v>18.578200000000002</v>
      </c>
      <c r="T430" s="75">
        <v>13.7933</v>
      </c>
      <c r="U430" s="653">
        <v>4.7849000000000004</v>
      </c>
      <c r="V430" s="516">
        <f t="shared" ref="V430:BX430" si="700">SUM(V424:V429)</f>
        <v>0</v>
      </c>
      <c r="W430" s="74">
        <f t="shared" si="700"/>
        <v>0</v>
      </c>
      <c r="X430" s="74">
        <f t="shared" si="700"/>
        <v>0</v>
      </c>
      <c r="Y430" s="74">
        <f t="shared" si="700"/>
        <v>0</v>
      </c>
      <c r="Z430" s="74">
        <f t="shared" si="700"/>
        <v>0</v>
      </c>
      <c r="AA430" s="74">
        <f t="shared" si="700"/>
        <v>9881</v>
      </c>
      <c r="AB430" s="74">
        <f t="shared" si="700"/>
        <v>0</v>
      </c>
      <c r="AC430" s="74">
        <f t="shared" si="700"/>
        <v>0</v>
      </c>
      <c r="AD430" s="74">
        <f t="shared" si="700"/>
        <v>0</v>
      </c>
      <c r="AE430" s="74">
        <f t="shared" si="700"/>
        <v>0</v>
      </c>
      <c r="AF430" s="74">
        <f t="shared" si="700"/>
        <v>9881</v>
      </c>
      <c r="AG430" s="74">
        <f t="shared" si="700"/>
        <v>9881</v>
      </c>
      <c r="AH430" s="74">
        <f t="shared" si="700"/>
        <v>0</v>
      </c>
      <c r="AI430" s="74">
        <f t="shared" si="700"/>
        <v>0</v>
      </c>
      <c r="AJ430" s="74">
        <f t="shared" si="700"/>
        <v>0</v>
      </c>
      <c r="AK430" s="74">
        <f t="shared" si="700"/>
        <v>0</v>
      </c>
      <c r="AL430" s="74">
        <f t="shared" si="700"/>
        <v>0</v>
      </c>
      <c r="AM430" s="74">
        <f t="shared" si="700"/>
        <v>0</v>
      </c>
      <c r="AN430" s="74">
        <f t="shared" si="700"/>
        <v>0</v>
      </c>
      <c r="AO430" s="74">
        <f t="shared" si="700"/>
        <v>0</v>
      </c>
      <c r="AP430" s="74">
        <f t="shared" si="700"/>
        <v>0</v>
      </c>
      <c r="AQ430" s="74">
        <f t="shared" si="700"/>
        <v>9881</v>
      </c>
      <c r="AR430" s="74">
        <f t="shared" si="700"/>
        <v>9881</v>
      </c>
      <c r="AS430" s="74">
        <f t="shared" si="700"/>
        <v>3340</v>
      </c>
      <c r="AT430" s="74">
        <f t="shared" si="700"/>
        <v>99</v>
      </c>
      <c r="AU430" s="74">
        <f t="shared" si="700"/>
        <v>0</v>
      </c>
      <c r="AV430" s="74">
        <f t="shared" si="700"/>
        <v>0</v>
      </c>
      <c r="AW430" s="74">
        <f t="shared" si="700"/>
        <v>0</v>
      </c>
      <c r="AX430" s="74">
        <f t="shared" si="700"/>
        <v>0</v>
      </c>
      <c r="AY430" s="74">
        <f t="shared" si="700"/>
        <v>13320</v>
      </c>
      <c r="AZ430" s="75">
        <f t="shared" si="700"/>
        <v>0</v>
      </c>
      <c r="BA430" s="75">
        <f t="shared" si="700"/>
        <v>0</v>
      </c>
      <c r="BB430" s="75">
        <f t="shared" si="700"/>
        <v>0</v>
      </c>
      <c r="BC430" s="75">
        <f t="shared" si="700"/>
        <v>0</v>
      </c>
      <c r="BD430" s="75">
        <f t="shared" si="700"/>
        <v>0.03</v>
      </c>
      <c r="BE430" s="75">
        <f t="shared" si="700"/>
        <v>0</v>
      </c>
      <c r="BF430" s="75">
        <f t="shared" si="700"/>
        <v>0</v>
      </c>
      <c r="BG430" s="75">
        <f t="shared" si="700"/>
        <v>0</v>
      </c>
      <c r="BH430" s="75">
        <f t="shared" si="700"/>
        <v>0</v>
      </c>
      <c r="BI430" s="75">
        <f t="shared" si="700"/>
        <v>0</v>
      </c>
      <c r="BJ430" s="75">
        <f t="shared" si="700"/>
        <v>0.03</v>
      </c>
      <c r="BK430" s="76">
        <f t="shared" si="700"/>
        <v>0.03</v>
      </c>
      <c r="BL430" s="781">
        <f t="shared" si="700"/>
        <v>12079846</v>
      </c>
      <c r="BM430" s="74">
        <f t="shared" si="700"/>
        <v>8802297</v>
      </c>
      <c r="BN430" s="74">
        <f t="shared" si="700"/>
        <v>7163699</v>
      </c>
      <c r="BO430" s="74">
        <f t="shared" si="700"/>
        <v>1638598</v>
      </c>
      <c r="BP430" s="74">
        <f t="shared" si="700"/>
        <v>80000</v>
      </c>
      <c r="BQ430" s="74">
        <f t="shared" si="700"/>
        <v>80000</v>
      </c>
      <c r="BR430" s="74">
        <f t="shared" si="700"/>
        <v>0</v>
      </c>
      <c r="BS430" s="74">
        <f t="shared" si="700"/>
        <v>3002216</v>
      </c>
      <c r="BT430" s="74">
        <f t="shared" si="700"/>
        <v>88023</v>
      </c>
      <c r="BU430" s="74">
        <f t="shared" si="700"/>
        <v>107310</v>
      </c>
      <c r="BV430" s="75">
        <f t="shared" si="700"/>
        <v>18.608200000000004</v>
      </c>
      <c r="BW430" s="75">
        <f t="shared" si="700"/>
        <v>13.7933</v>
      </c>
      <c r="BX430" s="76">
        <f t="shared" si="700"/>
        <v>4.8148999999999997</v>
      </c>
      <c r="BY430" s="791">
        <f t="shared" ref="BY430:CJ430" si="701">SUM(BY424:BY429)</f>
        <v>152054</v>
      </c>
      <c r="BZ430" s="679">
        <f t="shared" si="701"/>
        <v>112800</v>
      </c>
      <c r="CA430" s="679">
        <f t="shared" si="701"/>
        <v>0</v>
      </c>
      <c r="CB430" s="679">
        <f t="shared" si="701"/>
        <v>38126</v>
      </c>
      <c r="CC430" s="679">
        <f t="shared" si="701"/>
        <v>1128</v>
      </c>
      <c r="CD430" s="947">
        <f t="shared" si="701"/>
        <v>0.2</v>
      </c>
      <c r="CE430" s="956">
        <f t="shared" si="701"/>
        <v>373856</v>
      </c>
      <c r="CF430" s="953">
        <f t="shared" si="701"/>
        <v>262568</v>
      </c>
      <c r="CG430" s="953">
        <f t="shared" si="701"/>
        <v>88748</v>
      </c>
      <c r="CH430" s="953">
        <f t="shared" si="701"/>
        <v>2626</v>
      </c>
      <c r="CI430" s="953">
        <f t="shared" si="701"/>
        <v>19914</v>
      </c>
      <c r="CJ430" s="877">
        <f t="shared" si="701"/>
        <v>0.752</v>
      </c>
      <c r="CK430" s="53"/>
      <c r="CL430" s="53"/>
    </row>
    <row r="431" spans="1:90" ht="14.1" customHeight="1">
      <c r="A431" s="66">
        <v>84</v>
      </c>
      <c r="B431" s="63">
        <v>2495</v>
      </c>
      <c r="C431" s="64">
        <v>600080196</v>
      </c>
      <c r="D431" s="63">
        <v>70983810</v>
      </c>
      <c r="E431" s="65" t="s">
        <v>695</v>
      </c>
      <c r="F431" s="66">
        <v>3111</v>
      </c>
      <c r="G431" s="65" t="s">
        <v>290</v>
      </c>
      <c r="H431" s="67" t="s">
        <v>271</v>
      </c>
      <c r="I431" s="419">
        <v>4957800</v>
      </c>
      <c r="J431" s="414">
        <v>3655267</v>
      </c>
      <c r="K431" s="414">
        <v>3361213</v>
      </c>
      <c r="L431" s="414">
        <v>294054</v>
      </c>
      <c r="M431" s="414">
        <v>0</v>
      </c>
      <c r="N431" s="414">
        <v>0</v>
      </c>
      <c r="O431" s="414">
        <v>0</v>
      </c>
      <c r="P431" s="595">
        <v>1235480</v>
      </c>
      <c r="Q431" s="595">
        <v>36553</v>
      </c>
      <c r="R431" s="414">
        <v>30500</v>
      </c>
      <c r="S431" s="415">
        <v>7.0106999999999999</v>
      </c>
      <c r="T431" s="415">
        <v>5.8326000000000002</v>
      </c>
      <c r="U431" s="422">
        <v>1.1781000000000001</v>
      </c>
      <c r="V431" s="423">
        <f t="shared" si="637"/>
        <v>0</v>
      </c>
      <c r="W431" s="417">
        <f t="shared" si="638"/>
        <v>0</v>
      </c>
      <c r="X431" s="417">
        <v>0</v>
      </c>
      <c r="Y431" s="417">
        <v>0</v>
      </c>
      <c r="Z431" s="417">
        <v>0</v>
      </c>
      <c r="AA431" s="417">
        <v>0</v>
      </c>
      <c r="AB431" s="417">
        <v>0</v>
      </c>
      <c r="AC431" s="417">
        <v>0</v>
      </c>
      <c r="AD431" s="417">
        <v>0</v>
      </c>
      <c r="AE431" s="417">
        <f t="shared" si="639"/>
        <v>0</v>
      </c>
      <c r="AF431" s="417">
        <f t="shared" si="640"/>
        <v>0</v>
      </c>
      <c r="AG431" s="417">
        <f t="shared" si="641"/>
        <v>0</v>
      </c>
      <c r="AH431" s="417">
        <v>0</v>
      </c>
      <c r="AI431" s="417">
        <v>0</v>
      </c>
      <c r="AJ431" s="417">
        <v>0</v>
      </c>
      <c r="AK431" s="417">
        <v>0</v>
      </c>
      <c r="AL431" s="417">
        <v>0</v>
      </c>
      <c r="AM431" s="417">
        <f t="shared" si="642"/>
        <v>0</v>
      </c>
      <c r="AN431" s="417">
        <f t="shared" si="643"/>
        <v>0</v>
      </c>
      <c r="AO431" s="417">
        <f t="shared" si="644"/>
        <v>0</v>
      </c>
      <c r="AP431" s="417">
        <f t="shared" si="645"/>
        <v>0</v>
      </c>
      <c r="AQ431" s="417">
        <f t="shared" si="646"/>
        <v>0</v>
      </c>
      <c r="AR431" s="417">
        <f t="shared" si="647"/>
        <v>0</v>
      </c>
      <c r="AS431" s="68">
        <f t="shared" si="648"/>
        <v>0</v>
      </c>
      <c r="AT431" s="68">
        <f t="shared" si="649"/>
        <v>0</v>
      </c>
      <c r="AU431" s="417">
        <v>0</v>
      </c>
      <c r="AV431" s="417">
        <v>0</v>
      </c>
      <c r="AW431" s="417">
        <v>0</v>
      </c>
      <c r="AX431" s="417">
        <f t="shared" si="650"/>
        <v>0</v>
      </c>
      <c r="AY431" s="417">
        <f t="shared" si="651"/>
        <v>0</v>
      </c>
      <c r="AZ431" s="418">
        <v>0</v>
      </c>
      <c r="BA431" s="418">
        <v>0</v>
      </c>
      <c r="BB431" s="418">
        <v>0</v>
      </c>
      <c r="BC431" s="418">
        <v>0</v>
      </c>
      <c r="BD431" s="418">
        <v>0</v>
      </c>
      <c r="BE431" s="418">
        <v>0</v>
      </c>
      <c r="BF431" s="418">
        <v>0</v>
      </c>
      <c r="BG431" s="418">
        <v>0</v>
      </c>
      <c r="BH431" s="418">
        <v>0</v>
      </c>
      <c r="BI431" s="418">
        <f t="shared" si="652"/>
        <v>0</v>
      </c>
      <c r="BJ431" s="418">
        <f t="shared" si="653"/>
        <v>0</v>
      </c>
      <c r="BK431" s="420">
        <f t="shared" si="654"/>
        <v>0</v>
      </c>
      <c r="BL431" s="772">
        <f t="shared" ref="BL431:BL436" si="702">I431+AY431</f>
        <v>4957800</v>
      </c>
      <c r="BM431" s="417">
        <f t="shared" ref="BM431:BM436" si="703">J431+AG431</f>
        <v>3655267</v>
      </c>
      <c r="BN431" s="417">
        <f t="shared" ref="BN431:BO436" si="704">K431+AE431</f>
        <v>3361213</v>
      </c>
      <c r="BO431" s="417">
        <f t="shared" si="704"/>
        <v>294054</v>
      </c>
      <c r="BP431" s="417">
        <f t="shared" ref="BP431:BP436" si="705">M431+AO431</f>
        <v>0</v>
      </c>
      <c r="BQ431" s="417">
        <f t="shared" ref="BQ431:BR436" si="706">N431+AM431</f>
        <v>0</v>
      </c>
      <c r="BR431" s="417">
        <f t="shared" si="706"/>
        <v>0</v>
      </c>
      <c r="BS431" s="417">
        <f t="shared" ref="BS431:BT436" si="707">P431+AS431</f>
        <v>1235480</v>
      </c>
      <c r="BT431" s="417">
        <f t="shared" si="707"/>
        <v>36553</v>
      </c>
      <c r="BU431" s="417">
        <f t="shared" ref="BU431:BU436" si="708">R431+AX431</f>
        <v>30500</v>
      </c>
      <c r="BV431" s="418">
        <f t="shared" ref="BV431:BV436" si="709">S431+BK431</f>
        <v>7.0106999999999999</v>
      </c>
      <c r="BW431" s="418">
        <f t="shared" ref="BW431:BX436" si="710">T431+BI431</f>
        <v>5.8326000000000002</v>
      </c>
      <c r="BX431" s="420">
        <f t="shared" si="710"/>
        <v>1.1781000000000001</v>
      </c>
      <c r="BY431" s="419"/>
      <c r="BZ431" s="414"/>
      <c r="CA431" s="414"/>
      <c r="CB431" s="414"/>
      <c r="CC431" s="414"/>
      <c r="CD431" s="422"/>
      <c r="CE431" s="419">
        <f t="shared" si="655"/>
        <v>137329</v>
      </c>
      <c r="CF431" s="414">
        <v>94350</v>
      </c>
      <c r="CG431" s="414">
        <f>ROUND(CF431*33.8%,0)</f>
        <v>31890</v>
      </c>
      <c r="CH431" s="414">
        <f>ROUND(CF431*1%,0)</f>
        <v>944</v>
      </c>
      <c r="CI431" s="414">
        <v>10145</v>
      </c>
      <c r="CJ431" s="509">
        <v>0.378</v>
      </c>
      <c r="CK431" s="53"/>
      <c r="CL431" s="53"/>
    </row>
    <row r="432" spans="1:90" ht="14.1" customHeight="1">
      <c r="A432" s="66">
        <v>84</v>
      </c>
      <c r="B432" s="63">
        <v>2495</v>
      </c>
      <c r="C432" s="64">
        <v>600080196</v>
      </c>
      <c r="D432" s="63">
        <v>70983810</v>
      </c>
      <c r="E432" s="65" t="s">
        <v>695</v>
      </c>
      <c r="F432" s="66">
        <v>3113</v>
      </c>
      <c r="G432" s="65" t="s">
        <v>293</v>
      </c>
      <c r="H432" s="67" t="s">
        <v>271</v>
      </c>
      <c r="I432" s="419">
        <v>16026597</v>
      </c>
      <c r="J432" s="414">
        <v>11688454</v>
      </c>
      <c r="K432" s="414">
        <v>10129360</v>
      </c>
      <c r="L432" s="414">
        <v>1559094</v>
      </c>
      <c r="M432" s="414">
        <v>0</v>
      </c>
      <c r="N432" s="414">
        <v>0</v>
      </c>
      <c r="O432" s="414">
        <v>0</v>
      </c>
      <c r="P432" s="595">
        <v>3950698</v>
      </c>
      <c r="Q432" s="595">
        <v>116885</v>
      </c>
      <c r="R432" s="414">
        <v>270560</v>
      </c>
      <c r="S432" s="415">
        <v>18.243199999999998</v>
      </c>
      <c r="T432" s="415">
        <v>13.6388</v>
      </c>
      <c r="U432" s="422">
        <v>4.6044</v>
      </c>
      <c r="V432" s="423">
        <f t="shared" si="637"/>
        <v>0</v>
      </c>
      <c r="W432" s="417">
        <f t="shared" si="638"/>
        <v>0</v>
      </c>
      <c r="X432" s="417">
        <v>0</v>
      </c>
      <c r="Y432" s="417">
        <v>0</v>
      </c>
      <c r="Z432" s="417">
        <v>0</v>
      </c>
      <c r="AA432" s="417">
        <v>0</v>
      </c>
      <c r="AB432" s="417">
        <v>0</v>
      </c>
      <c r="AC432" s="417">
        <v>0</v>
      </c>
      <c r="AD432" s="417">
        <v>0</v>
      </c>
      <c r="AE432" s="417">
        <f t="shared" si="639"/>
        <v>0</v>
      </c>
      <c r="AF432" s="417">
        <f t="shared" si="640"/>
        <v>0</v>
      </c>
      <c r="AG432" s="417">
        <f t="shared" si="641"/>
        <v>0</v>
      </c>
      <c r="AH432" s="417">
        <v>0</v>
      </c>
      <c r="AI432" s="417">
        <v>0</v>
      </c>
      <c r="AJ432" s="417">
        <v>0</v>
      </c>
      <c r="AK432" s="417">
        <v>0</v>
      </c>
      <c r="AL432" s="417">
        <v>0</v>
      </c>
      <c r="AM432" s="417">
        <f t="shared" si="642"/>
        <v>0</v>
      </c>
      <c r="AN432" s="417">
        <f t="shared" si="643"/>
        <v>0</v>
      </c>
      <c r="AO432" s="417">
        <f t="shared" si="644"/>
        <v>0</v>
      </c>
      <c r="AP432" s="417">
        <f t="shared" si="645"/>
        <v>0</v>
      </c>
      <c r="AQ432" s="417">
        <f t="shared" si="646"/>
        <v>0</v>
      </c>
      <c r="AR432" s="417">
        <f t="shared" si="647"/>
        <v>0</v>
      </c>
      <c r="AS432" s="68">
        <f t="shared" si="648"/>
        <v>0</v>
      </c>
      <c r="AT432" s="68">
        <f t="shared" si="649"/>
        <v>0</v>
      </c>
      <c r="AU432" s="417">
        <v>0</v>
      </c>
      <c r="AV432" s="417">
        <v>0</v>
      </c>
      <c r="AW432" s="417">
        <v>0</v>
      </c>
      <c r="AX432" s="417">
        <f t="shared" si="650"/>
        <v>0</v>
      </c>
      <c r="AY432" s="417">
        <f t="shared" si="651"/>
        <v>0</v>
      </c>
      <c r="AZ432" s="418">
        <v>0</v>
      </c>
      <c r="BA432" s="418">
        <v>0</v>
      </c>
      <c r="BB432" s="418">
        <v>0</v>
      </c>
      <c r="BC432" s="418">
        <v>0</v>
      </c>
      <c r="BD432" s="418">
        <v>0</v>
      </c>
      <c r="BE432" s="418">
        <v>0</v>
      </c>
      <c r="BF432" s="418">
        <v>0</v>
      </c>
      <c r="BG432" s="418">
        <v>0</v>
      </c>
      <c r="BH432" s="418">
        <v>0</v>
      </c>
      <c r="BI432" s="418">
        <f t="shared" si="652"/>
        <v>0</v>
      </c>
      <c r="BJ432" s="418">
        <f t="shared" si="653"/>
        <v>0</v>
      </c>
      <c r="BK432" s="420">
        <f t="shared" si="654"/>
        <v>0</v>
      </c>
      <c r="BL432" s="772">
        <f t="shared" si="702"/>
        <v>16026597</v>
      </c>
      <c r="BM432" s="417">
        <f t="shared" si="703"/>
        <v>11688454</v>
      </c>
      <c r="BN432" s="417">
        <f t="shared" si="704"/>
        <v>10129360</v>
      </c>
      <c r="BO432" s="417">
        <f t="shared" si="704"/>
        <v>1559094</v>
      </c>
      <c r="BP432" s="417">
        <f t="shared" si="705"/>
        <v>0</v>
      </c>
      <c r="BQ432" s="417">
        <f t="shared" si="706"/>
        <v>0</v>
      </c>
      <c r="BR432" s="417">
        <f t="shared" si="706"/>
        <v>0</v>
      </c>
      <c r="BS432" s="417">
        <f t="shared" si="707"/>
        <v>3950698</v>
      </c>
      <c r="BT432" s="417">
        <f t="shared" si="707"/>
        <v>116885</v>
      </c>
      <c r="BU432" s="417">
        <f t="shared" si="708"/>
        <v>270560</v>
      </c>
      <c r="BV432" s="418">
        <f t="shared" si="709"/>
        <v>18.243199999999998</v>
      </c>
      <c r="BW432" s="418">
        <f t="shared" si="710"/>
        <v>13.6388</v>
      </c>
      <c r="BX432" s="420">
        <f t="shared" si="710"/>
        <v>4.6044</v>
      </c>
      <c r="BY432" s="419"/>
      <c r="BZ432" s="414"/>
      <c r="CA432" s="414"/>
      <c r="CB432" s="414"/>
      <c r="CC432" s="414"/>
      <c r="CD432" s="422"/>
      <c r="CE432" s="419">
        <f t="shared" si="655"/>
        <v>738791</v>
      </c>
      <c r="CF432" s="414">
        <v>500378</v>
      </c>
      <c r="CG432" s="414">
        <v>169128</v>
      </c>
      <c r="CH432" s="414">
        <v>5003</v>
      </c>
      <c r="CI432" s="414">
        <v>64282</v>
      </c>
      <c r="CJ432" s="509">
        <v>1.4777999999999998</v>
      </c>
      <c r="CK432" s="53"/>
      <c r="CL432" s="53"/>
    </row>
    <row r="433" spans="1:90" ht="14.1" customHeight="1">
      <c r="A433" s="66">
        <v>84</v>
      </c>
      <c r="B433" s="63">
        <v>2495</v>
      </c>
      <c r="C433" s="64">
        <v>600080196</v>
      </c>
      <c r="D433" s="63">
        <v>70983810</v>
      </c>
      <c r="E433" s="65" t="s">
        <v>695</v>
      </c>
      <c r="F433" s="66">
        <v>3113</v>
      </c>
      <c r="G433" s="77" t="s">
        <v>291</v>
      </c>
      <c r="H433" s="67" t="s">
        <v>272</v>
      </c>
      <c r="I433" s="419">
        <v>2713507</v>
      </c>
      <c r="J433" s="414">
        <v>2010020</v>
      </c>
      <c r="K433" s="414">
        <v>2010020</v>
      </c>
      <c r="L433" s="414">
        <v>0</v>
      </c>
      <c r="M433" s="414">
        <v>0</v>
      </c>
      <c r="N433" s="414">
        <v>0</v>
      </c>
      <c r="O433" s="414">
        <v>0</v>
      </c>
      <c r="P433" s="595">
        <v>679387</v>
      </c>
      <c r="Q433" s="595">
        <v>20100</v>
      </c>
      <c r="R433" s="414">
        <v>4000</v>
      </c>
      <c r="S433" s="415">
        <v>5.03</v>
      </c>
      <c r="T433" s="416">
        <v>5.03</v>
      </c>
      <c r="U433" s="422">
        <v>0</v>
      </c>
      <c r="V433" s="423">
        <f t="shared" si="637"/>
        <v>0</v>
      </c>
      <c r="W433" s="417">
        <f t="shared" si="638"/>
        <v>0</v>
      </c>
      <c r="X433" s="417">
        <v>-6189</v>
      </c>
      <c r="Y433" s="417">
        <v>0</v>
      </c>
      <c r="Z433" s="417">
        <v>0</v>
      </c>
      <c r="AA433" s="417">
        <v>0</v>
      </c>
      <c r="AB433" s="417">
        <v>0</v>
      </c>
      <c r="AC433" s="417">
        <v>0</v>
      </c>
      <c r="AD433" s="417">
        <v>0</v>
      </c>
      <c r="AE433" s="417">
        <f t="shared" si="639"/>
        <v>-6189</v>
      </c>
      <c r="AF433" s="417">
        <f t="shared" si="640"/>
        <v>0</v>
      </c>
      <c r="AG433" s="417">
        <f t="shared" si="641"/>
        <v>-6189</v>
      </c>
      <c r="AH433" s="417">
        <v>0</v>
      </c>
      <c r="AI433" s="417">
        <v>0</v>
      </c>
      <c r="AJ433" s="417">
        <v>0</v>
      </c>
      <c r="AK433" s="417">
        <v>0</v>
      </c>
      <c r="AL433" s="417">
        <v>0</v>
      </c>
      <c r="AM433" s="417">
        <f t="shared" si="642"/>
        <v>0</v>
      </c>
      <c r="AN433" s="417">
        <f t="shared" si="643"/>
        <v>0</v>
      </c>
      <c r="AO433" s="417">
        <f t="shared" si="644"/>
        <v>0</v>
      </c>
      <c r="AP433" s="417">
        <f t="shared" si="645"/>
        <v>-6189</v>
      </c>
      <c r="AQ433" s="417">
        <f t="shared" si="646"/>
        <v>0</v>
      </c>
      <c r="AR433" s="417">
        <f t="shared" si="647"/>
        <v>-6189</v>
      </c>
      <c r="AS433" s="68">
        <f t="shared" si="648"/>
        <v>-2092</v>
      </c>
      <c r="AT433" s="68">
        <f t="shared" si="649"/>
        <v>-62</v>
      </c>
      <c r="AU433" s="417">
        <v>0</v>
      </c>
      <c r="AV433" s="417">
        <v>0</v>
      </c>
      <c r="AW433" s="417">
        <v>0</v>
      </c>
      <c r="AX433" s="417">
        <f t="shared" si="650"/>
        <v>0</v>
      </c>
      <c r="AY433" s="417">
        <f t="shared" si="651"/>
        <v>-8343</v>
      </c>
      <c r="AZ433" s="418">
        <v>0</v>
      </c>
      <c r="BA433" s="418">
        <v>0</v>
      </c>
      <c r="BB433" s="418">
        <v>-0.01</v>
      </c>
      <c r="BC433" s="418">
        <v>0</v>
      </c>
      <c r="BD433" s="418">
        <v>0</v>
      </c>
      <c r="BE433" s="418">
        <v>0</v>
      </c>
      <c r="BF433" s="418">
        <v>0</v>
      </c>
      <c r="BG433" s="418">
        <v>0</v>
      </c>
      <c r="BH433" s="418">
        <v>0</v>
      </c>
      <c r="BI433" s="418">
        <f t="shared" si="652"/>
        <v>-0.01</v>
      </c>
      <c r="BJ433" s="418">
        <f t="shared" si="653"/>
        <v>0</v>
      </c>
      <c r="BK433" s="420">
        <f t="shared" si="654"/>
        <v>-0.01</v>
      </c>
      <c r="BL433" s="772">
        <f t="shared" si="702"/>
        <v>2705164</v>
      </c>
      <c r="BM433" s="417">
        <f t="shared" si="703"/>
        <v>2003831</v>
      </c>
      <c r="BN433" s="417">
        <f t="shared" si="704"/>
        <v>2003831</v>
      </c>
      <c r="BO433" s="417">
        <f t="shared" si="704"/>
        <v>0</v>
      </c>
      <c r="BP433" s="417">
        <f t="shared" si="705"/>
        <v>0</v>
      </c>
      <c r="BQ433" s="417">
        <f t="shared" si="706"/>
        <v>0</v>
      </c>
      <c r="BR433" s="417">
        <f t="shared" si="706"/>
        <v>0</v>
      </c>
      <c r="BS433" s="417">
        <f t="shared" si="707"/>
        <v>677295</v>
      </c>
      <c r="BT433" s="417">
        <f t="shared" si="707"/>
        <v>20038</v>
      </c>
      <c r="BU433" s="417">
        <f t="shared" si="708"/>
        <v>4000</v>
      </c>
      <c r="BV433" s="418">
        <f t="shared" si="709"/>
        <v>5.0200000000000005</v>
      </c>
      <c r="BW433" s="418">
        <f t="shared" si="710"/>
        <v>5.0200000000000005</v>
      </c>
      <c r="BX433" s="420">
        <f t="shared" si="710"/>
        <v>0</v>
      </c>
      <c r="BY433" s="419"/>
      <c r="BZ433" s="414"/>
      <c r="CA433" s="414"/>
      <c r="CB433" s="414"/>
      <c r="CC433" s="414"/>
      <c r="CD433" s="422"/>
      <c r="CE433" s="419">
        <f t="shared" si="655"/>
        <v>0</v>
      </c>
      <c r="CF433" s="414">
        <v>0</v>
      </c>
      <c r="CG433" s="414">
        <v>0</v>
      </c>
      <c r="CH433" s="414">
        <v>0</v>
      </c>
      <c r="CI433" s="414">
        <v>0</v>
      </c>
      <c r="CJ433" s="509">
        <v>0</v>
      </c>
      <c r="CK433" s="53"/>
      <c r="CL433" s="53"/>
    </row>
    <row r="434" spans="1:90" ht="14.1" customHeight="1">
      <c r="A434" s="66">
        <v>84</v>
      </c>
      <c r="B434" s="63">
        <v>2495</v>
      </c>
      <c r="C434" s="64">
        <v>600080196</v>
      </c>
      <c r="D434" s="63">
        <v>70983810</v>
      </c>
      <c r="E434" s="65" t="s">
        <v>695</v>
      </c>
      <c r="F434" s="66">
        <v>3141</v>
      </c>
      <c r="G434" s="65" t="s">
        <v>294</v>
      </c>
      <c r="H434" s="67" t="s">
        <v>272</v>
      </c>
      <c r="I434" s="419">
        <v>2467598</v>
      </c>
      <c r="J434" s="414">
        <v>1820526</v>
      </c>
      <c r="K434" s="414">
        <v>0</v>
      </c>
      <c r="L434" s="744">
        <v>1820526</v>
      </c>
      <c r="M434" s="414">
        <v>0</v>
      </c>
      <c r="N434" s="204">
        <v>0</v>
      </c>
      <c r="O434" s="204">
        <v>0</v>
      </c>
      <c r="P434" s="595">
        <v>615338</v>
      </c>
      <c r="Q434" s="595">
        <v>18206</v>
      </c>
      <c r="R434" s="601">
        <v>13528</v>
      </c>
      <c r="S434" s="415">
        <v>5.46</v>
      </c>
      <c r="T434" s="603">
        <v>0</v>
      </c>
      <c r="U434" s="731">
        <v>5.46</v>
      </c>
      <c r="V434" s="423">
        <f t="shared" si="637"/>
        <v>0</v>
      </c>
      <c r="W434" s="417">
        <f t="shared" si="638"/>
        <v>0</v>
      </c>
      <c r="X434" s="417">
        <v>0</v>
      </c>
      <c r="Y434" s="417">
        <v>0</v>
      </c>
      <c r="Z434" s="417">
        <v>0</v>
      </c>
      <c r="AA434" s="417">
        <v>0</v>
      </c>
      <c r="AB434" s="417">
        <v>0</v>
      </c>
      <c r="AC434" s="417">
        <v>0</v>
      </c>
      <c r="AD434" s="417">
        <v>0</v>
      </c>
      <c r="AE434" s="417">
        <f t="shared" si="639"/>
        <v>0</v>
      </c>
      <c r="AF434" s="417">
        <f t="shared" si="640"/>
        <v>0</v>
      </c>
      <c r="AG434" s="417">
        <f t="shared" si="641"/>
        <v>0</v>
      </c>
      <c r="AH434" s="417">
        <v>0</v>
      </c>
      <c r="AI434" s="417">
        <v>0</v>
      </c>
      <c r="AJ434" s="417">
        <v>0</v>
      </c>
      <c r="AK434" s="417">
        <v>0</v>
      </c>
      <c r="AL434" s="417">
        <v>0</v>
      </c>
      <c r="AM434" s="417">
        <f t="shared" si="642"/>
        <v>0</v>
      </c>
      <c r="AN434" s="417">
        <f t="shared" si="643"/>
        <v>0</v>
      </c>
      <c r="AO434" s="417">
        <f t="shared" si="644"/>
        <v>0</v>
      </c>
      <c r="AP434" s="417">
        <f t="shared" si="645"/>
        <v>0</v>
      </c>
      <c r="AQ434" s="417">
        <f t="shared" si="646"/>
        <v>0</v>
      </c>
      <c r="AR434" s="417">
        <f t="shared" si="647"/>
        <v>0</v>
      </c>
      <c r="AS434" s="68">
        <f t="shared" si="648"/>
        <v>0</v>
      </c>
      <c r="AT434" s="68">
        <f t="shared" si="649"/>
        <v>0</v>
      </c>
      <c r="AU434" s="417">
        <v>0</v>
      </c>
      <c r="AV434" s="417">
        <v>0</v>
      </c>
      <c r="AW434" s="417">
        <v>0</v>
      </c>
      <c r="AX434" s="417">
        <f t="shared" si="650"/>
        <v>0</v>
      </c>
      <c r="AY434" s="417">
        <f t="shared" si="651"/>
        <v>0</v>
      </c>
      <c r="AZ434" s="418">
        <v>0</v>
      </c>
      <c r="BA434" s="418">
        <v>0</v>
      </c>
      <c r="BB434" s="418">
        <v>0</v>
      </c>
      <c r="BC434" s="418">
        <v>0</v>
      </c>
      <c r="BD434" s="418">
        <v>0</v>
      </c>
      <c r="BE434" s="418">
        <v>0</v>
      </c>
      <c r="BF434" s="418">
        <v>0</v>
      </c>
      <c r="BG434" s="418">
        <v>0</v>
      </c>
      <c r="BH434" s="418">
        <v>0</v>
      </c>
      <c r="BI434" s="418">
        <f t="shared" si="652"/>
        <v>0</v>
      </c>
      <c r="BJ434" s="418">
        <f t="shared" si="653"/>
        <v>0</v>
      </c>
      <c r="BK434" s="420">
        <f t="shared" si="654"/>
        <v>0</v>
      </c>
      <c r="BL434" s="772">
        <f t="shared" si="702"/>
        <v>2467598</v>
      </c>
      <c r="BM434" s="417">
        <f t="shared" si="703"/>
        <v>1820526</v>
      </c>
      <c r="BN434" s="417">
        <f t="shared" si="704"/>
        <v>0</v>
      </c>
      <c r="BO434" s="417">
        <f t="shared" si="704"/>
        <v>1820526</v>
      </c>
      <c r="BP434" s="417">
        <f t="shared" si="705"/>
        <v>0</v>
      </c>
      <c r="BQ434" s="417">
        <f t="shared" si="706"/>
        <v>0</v>
      </c>
      <c r="BR434" s="417">
        <f t="shared" si="706"/>
        <v>0</v>
      </c>
      <c r="BS434" s="417">
        <f t="shared" si="707"/>
        <v>615338</v>
      </c>
      <c r="BT434" s="417">
        <f t="shared" si="707"/>
        <v>18206</v>
      </c>
      <c r="BU434" s="417">
        <f t="shared" si="708"/>
        <v>13528</v>
      </c>
      <c r="BV434" s="418">
        <f t="shared" si="709"/>
        <v>5.46</v>
      </c>
      <c r="BW434" s="418">
        <f t="shared" si="710"/>
        <v>0</v>
      </c>
      <c r="BX434" s="420">
        <f t="shared" si="710"/>
        <v>5.46</v>
      </c>
      <c r="BY434" s="419"/>
      <c r="BZ434" s="414"/>
      <c r="CA434" s="414"/>
      <c r="CB434" s="414"/>
      <c r="CC434" s="414"/>
      <c r="CD434" s="422"/>
      <c r="CE434" s="419">
        <f t="shared" si="655"/>
        <v>0</v>
      </c>
      <c r="CF434" s="414">
        <v>0</v>
      </c>
      <c r="CG434" s="414">
        <v>0</v>
      </c>
      <c r="CH434" s="414">
        <v>0</v>
      </c>
      <c r="CI434" s="414">
        <v>0</v>
      </c>
      <c r="CJ434" s="509">
        <v>0</v>
      </c>
      <c r="CK434" s="53"/>
      <c r="CL434" s="53"/>
    </row>
    <row r="435" spans="1:90" ht="14.1" customHeight="1">
      <c r="A435" s="66">
        <v>84</v>
      </c>
      <c r="B435" s="63">
        <v>2495</v>
      </c>
      <c r="C435" s="64">
        <v>600080196</v>
      </c>
      <c r="D435" s="63">
        <v>70983810</v>
      </c>
      <c r="E435" s="65" t="s">
        <v>695</v>
      </c>
      <c r="F435" s="66">
        <v>3143</v>
      </c>
      <c r="G435" s="77" t="s">
        <v>595</v>
      </c>
      <c r="H435" s="67" t="s">
        <v>271</v>
      </c>
      <c r="I435" s="419">
        <v>2090533</v>
      </c>
      <c r="J435" s="414">
        <v>1550841</v>
      </c>
      <c r="K435" s="414">
        <v>1550841</v>
      </c>
      <c r="L435" s="414">
        <v>0</v>
      </c>
      <c r="M435" s="414">
        <v>0</v>
      </c>
      <c r="N435" s="414">
        <v>0</v>
      </c>
      <c r="O435" s="414">
        <v>0</v>
      </c>
      <c r="P435" s="595">
        <v>524184</v>
      </c>
      <c r="Q435" s="595">
        <v>15508</v>
      </c>
      <c r="R435" s="414">
        <v>0</v>
      </c>
      <c r="S435" s="415">
        <v>2.9630000000000001</v>
      </c>
      <c r="T435" s="415">
        <v>2.9630000000000001</v>
      </c>
      <c r="U435" s="422">
        <v>0</v>
      </c>
      <c r="V435" s="423">
        <f t="shared" si="637"/>
        <v>0</v>
      </c>
      <c r="W435" s="417">
        <f t="shared" si="638"/>
        <v>0</v>
      </c>
      <c r="X435" s="417">
        <v>0</v>
      </c>
      <c r="Y435" s="417">
        <v>0</v>
      </c>
      <c r="Z435" s="417">
        <v>0</v>
      </c>
      <c r="AA435" s="417">
        <v>0</v>
      </c>
      <c r="AB435" s="417">
        <v>0</v>
      </c>
      <c r="AC435" s="417">
        <v>0</v>
      </c>
      <c r="AD435" s="417">
        <v>0</v>
      </c>
      <c r="AE435" s="417">
        <f t="shared" si="639"/>
        <v>0</v>
      </c>
      <c r="AF435" s="417">
        <f t="shared" si="640"/>
        <v>0</v>
      </c>
      <c r="AG435" s="417">
        <f t="shared" si="641"/>
        <v>0</v>
      </c>
      <c r="AH435" s="417">
        <v>0</v>
      </c>
      <c r="AI435" s="417">
        <v>0</v>
      </c>
      <c r="AJ435" s="417">
        <v>0</v>
      </c>
      <c r="AK435" s="417">
        <v>0</v>
      </c>
      <c r="AL435" s="417">
        <v>0</v>
      </c>
      <c r="AM435" s="417">
        <f t="shared" si="642"/>
        <v>0</v>
      </c>
      <c r="AN435" s="417">
        <f t="shared" si="643"/>
        <v>0</v>
      </c>
      <c r="AO435" s="417">
        <f t="shared" si="644"/>
        <v>0</v>
      </c>
      <c r="AP435" s="417">
        <f t="shared" si="645"/>
        <v>0</v>
      </c>
      <c r="AQ435" s="417">
        <f t="shared" si="646"/>
        <v>0</v>
      </c>
      <c r="AR435" s="417">
        <f t="shared" si="647"/>
        <v>0</v>
      </c>
      <c r="AS435" s="68">
        <f t="shared" si="648"/>
        <v>0</v>
      </c>
      <c r="AT435" s="68">
        <f t="shared" si="649"/>
        <v>0</v>
      </c>
      <c r="AU435" s="417">
        <v>0</v>
      </c>
      <c r="AV435" s="417">
        <v>0</v>
      </c>
      <c r="AW435" s="417">
        <v>0</v>
      </c>
      <c r="AX435" s="417">
        <f t="shared" si="650"/>
        <v>0</v>
      </c>
      <c r="AY435" s="417">
        <f t="shared" si="651"/>
        <v>0</v>
      </c>
      <c r="AZ435" s="418">
        <v>0</v>
      </c>
      <c r="BA435" s="418">
        <v>0</v>
      </c>
      <c r="BB435" s="418">
        <v>0</v>
      </c>
      <c r="BC435" s="418">
        <v>0</v>
      </c>
      <c r="BD435" s="418">
        <v>0</v>
      </c>
      <c r="BE435" s="418">
        <v>0</v>
      </c>
      <c r="BF435" s="418">
        <v>0</v>
      </c>
      <c r="BG435" s="418">
        <v>0</v>
      </c>
      <c r="BH435" s="418">
        <v>0</v>
      </c>
      <c r="BI435" s="418">
        <f t="shared" si="652"/>
        <v>0</v>
      </c>
      <c r="BJ435" s="418">
        <f t="shared" si="653"/>
        <v>0</v>
      </c>
      <c r="BK435" s="420">
        <f t="shared" si="654"/>
        <v>0</v>
      </c>
      <c r="BL435" s="772">
        <f t="shared" si="702"/>
        <v>2090533</v>
      </c>
      <c r="BM435" s="417">
        <f t="shared" si="703"/>
        <v>1550841</v>
      </c>
      <c r="BN435" s="417">
        <f t="shared" si="704"/>
        <v>1550841</v>
      </c>
      <c r="BO435" s="417">
        <f t="shared" si="704"/>
        <v>0</v>
      </c>
      <c r="BP435" s="417">
        <f t="shared" si="705"/>
        <v>0</v>
      </c>
      <c r="BQ435" s="417">
        <f t="shared" si="706"/>
        <v>0</v>
      </c>
      <c r="BR435" s="417">
        <f t="shared" si="706"/>
        <v>0</v>
      </c>
      <c r="BS435" s="417">
        <f t="shared" si="707"/>
        <v>524184</v>
      </c>
      <c r="BT435" s="417">
        <f t="shared" si="707"/>
        <v>15508</v>
      </c>
      <c r="BU435" s="417">
        <f t="shared" si="708"/>
        <v>0</v>
      </c>
      <c r="BV435" s="418">
        <f t="shared" si="709"/>
        <v>2.9630000000000001</v>
      </c>
      <c r="BW435" s="418">
        <f t="shared" si="710"/>
        <v>2.9630000000000001</v>
      </c>
      <c r="BX435" s="420">
        <f t="shared" si="710"/>
        <v>0</v>
      </c>
      <c r="BY435" s="419"/>
      <c r="BZ435" s="414"/>
      <c r="CA435" s="414"/>
      <c r="CB435" s="414"/>
      <c r="CC435" s="414"/>
      <c r="CD435" s="422"/>
      <c r="CE435" s="419">
        <f t="shared" si="655"/>
        <v>0</v>
      </c>
      <c r="CF435" s="414">
        <v>0</v>
      </c>
      <c r="CG435" s="414">
        <v>0</v>
      </c>
      <c r="CH435" s="414">
        <v>0</v>
      </c>
      <c r="CI435" s="414">
        <v>0</v>
      </c>
      <c r="CJ435" s="509">
        <v>0</v>
      </c>
      <c r="CK435" s="53"/>
      <c r="CL435" s="53"/>
    </row>
    <row r="436" spans="1:90" ht="14.1" customHeight="1">
      <c r="A436" s="66">
        <v>84</v>
      </c>
      <c r="B436" s="63">
        <v>2495</v>
      </c>
      <c r="C436" s="64">
        <v>600080196</v>
      </c>
      <c r="D436" s="63">
        <v>70983810</v>
      </c>
      <c r="E436" s="65" t="s">
        <v>695</v>
      </c>
      <c r="F436" s="66">
        <v>3143</v>
      </c>
      <c r="G436" s="77" t="s">
        <v>596</v>
      </c>
      <c r="H436" s="67" t="s">
        <v>272</v>
      </c>
      <c r="I436" s="419">
        <v>76840</v>
      </c>
      <c r="J436" s="414">
        <v>55000</v>
      </c>
      <c r="K436" s="414">
        <v>0</v>
      </c>
      <c r="L436" s="601">
        <v>55000</v>
      </c>
      <c r="M436" s="414">
        <v>0</v>
      </c>
      <c r="N436" s="414">
        <v>0</v>
      </c>
      <c r="O436" s="414">
        <v>0</v>
      </c>
      <c r="P436" s="595">
        <v>18590</v>
      </c>
      <c r="Q436" s="595">
        <v>550</v>
      </c>
      <c r="R436" s="602">
        <v>2700</v>
      </c>
      <c r="S436" s="415">
        <v>0.2089</v>
      </c>
      <c r="T436" s="605">
        <v>0</v>
      </c>
      <c r="U436" s="731">
        <v>0.2089</v>
      </c>
      <c r="V436" s="423">
        <f t="shared" si="637"/>
        <v>0</v>
      </c>
      <c r="W436" s="417">
        <f t="shared" si="638"/>
        <v>0</v>
      </c>
      <c r="X436" s="417">
        <v>0</v>
      </c>
      <c r="Y436" s="417">
        <v>0</v>
      </c>
      <c r="Z436" s="417">
        <v>0</v>
      </c>
      <c r="AA436" s="417">
        <v>0</v>
      </c>
      <c r="AB436" s="417">
        <v>0</v>
      </c>
      <c r="AC436" s="417">
        <v>0</v>
      </c>
      <c r="AD436" s="417">
        <v>0</v>
      </c>
      <c r="AE436" s="417">
        <f t="shared" si="639"/>
        <v>0</v>
      </c>
      <c r="AF436" s="417">
        <f t="shared" si="640"/>
        <v>0</v>
      </c>
      <c r="AG436" s="417">
        <f t="shared" si="641"/>
        <v>0</v>
      </c>
      <c r="AH436" s="417">
        <v>0</v>
      </c>
      <c r="AI436" s="417">
        <v>0</v>
      </c>
      <c r="AJ436" s="417">
        <v>0</v>
      </c>
      <c r="AK436" s="417">
        <v>0</v>
      </c>
      <c r="AL436" s="417">
        <v>0</v>
      </c>
      <c r="AM436" s="417">
        <f t="shared" si="642"/>
        <v>0</v>
      </c>
      <c r="AN436" s="417">
        <f t="shared" si="643"/>
        <v>0</v>
      </c>
      <c r="AO436" s="417">
        <f t="shared" si="644"/>
        <v>0</v>
      </c>
      <c r="AP436" s="417">
        <f t="shared" si="645"/>
        <v>0</v>
      </c>
      <c r="AQ436" s="417">
        <f t="shared" si="646"/>
        <v>0</v>
      </c>
      <c r="AR436" s="417">
        <f t="shared" si="647"/>
        <v>0</v>
      </c>
      <c r="AS436" s="68">
        <f t="shared" si="648"/>
        <v>0</v>
      </c>
      <c r="AT436" s="68">
        <f t="shared" si="649"/>
        <v>0</v>
      </c>
      <c r="AU436" s="417">
        <v>0</v>
      </c>
      <c r="AV436" s="417">
        <v>0</v>
      </c>
      <c r="AW436" s="417">
        <v>0</v>
      </c>
      <c r="AX436" s="417">
        <f t="shared" si="650"/>
        <v>0</v>
      </c>
      <c r="AY436" s="417">
        <f t="shared" si="651"/>
        <v>0</v>
      </c>
      <c r="AZ436" s="418">
        <v>0</v>
      </c>
      <c r="BA436" s="418">
        <v>0</v>
      </c>
      <c r="BB436" s="418">
        <v>0</v>
      </c>
      <c r="BC436" s="418">
        <v>0</v>
      </c>
      <c r="BD436" s="418">
        <v>0</v>
      </c>
      <c r="BE436" s="418">
        <v>0</v>
      </c>
      <c r="BF436" s="418">
        <v>0</v>
      </c>
      <c r="BG436" s="418">
        <v>0</v>
      </c>
      <c r="BH436" s="418">
        <v>0</v>
      </c>
      <c r="BI436" s="418">
        <f t="shared" si="652"/>
        <v>0</v>
      </c>
      <c r="BJ436" s="418">
        <f t="shared" si="653"/>
        <v>0</v>
      </c>
      <c r="BK436" s="420">
        <f t="shared" si="654"/>
        <v>0</v>
      </c>
      <c r="BL436" s="772">
        <f t="shared" si="702"/>
        <v>76840</v>
      </c>
      <c r="BM436" s="417">
        <f t="shared" si="703"/>
        <v>55000</v>
      </c>
      <c r="BN436" s="417">
        <f t="shared" si="704"/>
        <v>0</v>
      </c>
      <c r="BO436" s="417">
        <f t="shared" si="704"/>
        <v>55000</v>
      </c>
      <c r="BP436" s="417">
        <f t="shared" si="705"/>
        <v>0</v>
      </c>
      <c r="BQ436" s="417">
        <f t="shared" si="706"/>
        <v>0</v>
      </c>
      <c r="BR436" s="417">
        <f t="shared" si="706"/>
        <v>0</v>
      </c>
      <c r="BS436" s="417">
        <f t="shared" si="707"/>
        <v>18590</v>
      </c>
      <c r="BT436" s="417">
        <f t="shared" si="707"/>
        <v>550</v>
      </c>
      <c r="BU436" s="417">
        <f t="shared" si="708"/>
        <v>2700</v>
      </c>
      <c r="BV436" s="418">
        <f t="shared" si="709"/>
        <v>0.2089</v>
      </c>
      <c r="BW436" s="418">
        <f t="shared" si="710"/>
        <v>0</v>
      </c>
      <c r="BX436" s="420">
        <f t="shared" si="710"/>
        <v>0.2089</v>
      </c>
      <c r="BY436" s="419"/>
      <c r="BZ436" s="414"/>
      <c r="CA436" s="414"/>
      <c r="CB436" s="414"/>
      <c r="CC436" s="414"/>
      <c r="CD436" s="422"/>
      <c r="CE436" s="419">
        <f t="shared" si="655"/>
        <v>0</v>
      </c>
      <c r="CF436" s="414">
        <v>0</v>
      </c>
      <c r="CG436" s="414">
        <v>0</v>
      </c>
      <c r="CH436" s="414">
        <v>0</v>
      </c>
      <c r="CI436" s="414">
        <v>0</v>
      </c>
      <c r="CJ436" s="509">
        <v>0</v>
      </c>
      <c r="CK436" s="53"/>
      <c r="CL436" s="53"/>
    </row>
    <row r="437" spans="1:90" ht="14.1" customHeight="1">
      <c r="A437" s="72">
        <v>84</v>
      </c>
      <c r="B437" s="69">
        <v>2495</v>
      </c>
      <c r="C437" s="70">
        <v>600080196</v>
      </c>
      <c r="D437" s="69">
        <v>70983810</v>
      </c>
      <c r="E437" s="71" t="s">
        <v>696</v>
      </c>
      <c r="F437" s="72"/>
      <c r="G437" s="71"/>
      <c r="H437" s="73"/>
      <c r="I437" s="516">
        <v>28332875</v>
      </c>
      <c r="J437" s="74">
        <v>20780108</v>
      </c>
      <c r="K437" s="74">
        <v>17051434</v>
      </c>
      <c r="L437" s="74">
        <v>3728674</v>
      </c>
      <c r="M437" s="74">
        <v>0</v>
      </c>
      <c r="N437" s="74">
        <v>0</v>
      </c>
      <c r="O437" s="74">
        <v>0</v>
      </c>
      <c r="P437" s="74">
        <v>7023677</v>
      </c>
      <c r="Q437" s="74">
        <v>207802</v>
      </c>
      <c r="R437" s="74">
        <v>321288</v>
      </c>
      <c r="S437" s="75">
        <v>38.915799999999997</v>
      </c>
      <c r="T437" s="75">
        <v>27.464400000000001</v>
      </c>
      <c r="U437" s="653">
        <v>11.4514</v>
      </c>
      <c r="V437" s="516">
        <f t="shared" ref="V437:BX437" si="711">SUM(V431:V436)</f>
        <v>0</v>
      </c>
      <c r="W437" s="74">
        <f t="shared" si="711"/>
        <v>0</v>
      </c>
      <c r="X437" s="74">
        <f t="shared" si="711"/>
        <v>-6189</v>
      </c>
      <c r="Y437" s="74">
        <f t="shared" si="711"/>
        <v>0</v>
      </c>
      <c r="Z437" s="74">
        <f t="shared" si="711"/>
        <v>0</v>
      </c>
      <c r="AA437" s="74">
        <f t="shared" si="711"/>
        <v>0</v>
      </c>
      <c r="AB437" s="74">
        <f t="shared" si="711"/>
        <v>0</v>
      </c>
      <c r="AC437" s="74">
        <f t="shared" si="711"/>
        <v>0</v>
      </c>
      <c r="AD437" s="74">
        <f t="shared" si="711"/>
        <v>0</v>
      </c>
      <c r="AE437" s="74">
        <f t="shared" si="711"/>
        <v>-6189</v>
      </c>
      <c r="AF437" s="74">
        <f t="shared" si="711"/>
        <v>0</v>
      </c>
      <c r="AG437" s="74">
        <f t="shared" si="711"/>
        <v>-6189</v>
      </c>
      <c r="AH437" s="74">
        <f t="shared" si="711"/>
        <v>0</v>
      </c>
      <c r="AI437" s="74">
        <f t="shared" si="711"/>
        <v>0</v>
      </c>
      <c r="AJ437" s="74">
        <f t="shared" si="711"/>
        <v>0</v>
      </c>
      <c r="AK437" s="74">
        <f t="shared" si="711"/>
        <v>0</v>
      </c>
      <c r="AL437" s="74">
        <f t="shared" si="711"/>
        <v>0</v>
      </c>
      <c r="AM437" s="74">
        <f t="shared" si="711"/>
        <v>0</v>
      </c>
      <c r="AN437" s="74">
        <f t="shared" si="711"/>
        <v>0</v>
      </c>
      <c r="AO437" s="74">
        <f t="shared" si="711"/>
        <v>0</v>
      </c>
      <c r="AP437" s="74">
        <f t="shared" si="711"/>
        <v>-6189</v>
      </c>
      <c r="AQ437" s="74">
        <f t="shared" si="711"/>
        <v>0</v>
      </c>
      <c r="AR437" s="74">
        <f t="shared" si="711"/>
        <v>-6189</v>
      </c>
      <c r="AS437" s="74">
        <f t="shared" si="711"/>
        <v>-2092</v>
      </c>
      <c r="AT437" s="74">
        <f t="shared" si="711"/>
        <v>-62</v>
      </c>
      <c r="AU437" s="74">
        <f t="shared" si="711"/>
        <v>0</v>
      </c>
      <c r="AV437" s="74">
        <f t="shared" si="711"/>
        <v>0</v>
      </c>
      <c r="AW437" s="74">
        <f t="shared" si="711"/>
        <v>0</v>
      </c>
      <c r="AX437" s="74">
        <f t="shared" si="711"/>
        <v>0</v>
      </c>
      <c r="AY437" s="74">
        <f t="shared" si="711"/>
        <v>-8343</v>
      </c>
      <c r="AZ437" s="75">
        <f t="shared" si="711"/>
        <v>0</v>
      </c>
      <c r="BA437" s="75">
        <f t="shared" si="711"/>
        <v>0</v>
      </c>
      <c r="BB437" s="75">
        <f t="shared" si="711"/>
        <v>-0.01</v>
      </c>
      <c r="BC437" s="75">
        <f t="shared" si="711"/>
        <v>0</v>
      </c>
      <c r="BD437" s="75">
        <f t="shared" si="711"/>
        <v>0</v>
      </c>
      <c r="BE437" s="75">
        <f t="shared" si="711"/>
        <v>0</v>
      </c>
      <c r="BF437" s="75">
        <f t="shared" si="711"/>
        <v>0</v>
      </c>
      <c r="BG437" s="75">
        <f t="shared" si="711"/>
        <v>0</v>
      </c>
      <c r="BH437" s="75">
        <f t="shared" si="711"/>
        <v>0</v>
      </c>
      <c r="BI437" s="75">
        <f t="shared" si="711"/>
        <v>-0.01</v>
      </c>
      <c r="BJ437" s="75">
        <f t="shared" si="711"/>
        <v>0</v>
      </c>
      <c r="BK437" s="76">
        <f t="shared" si="711"/>
        <v>-0.01</v>
      </c>
      <c r="BL437" s="781">
        <f t="shared" si="711"/>
        <v>28324532</v>
      </c>
      <c r="BM437" s="74">
        <f t="shared" si="711"/>
        <v>20773919</v>
      </c>
      <c r="BN437" s="74">
        <f t="shared" si="711"/>
        <v>17045245</v>
      </c>
      <c r="BO437" s="74">
        <f t="shared" si="711"/>
        <v>3728674</v>
      </c>
      <c r="BP437" s="74">
        <f t="shared" si="711"/>
        <v>0</v>
      </c>
      <c r="BQ437" s="74">
        <f t="shared" si="711"/>
        <v>0</v>
      </c>
      <c r="BR437" s="74">
        <f t="shared" si="711"/>
        <v>0</v>
      </c>
      <c r="BS437" s="74">
        <f t="shared" si="711"/>
        <v>7021585</v>
      </c>
      <c r="BT437" s="74">
        <f t="shared" si="711"/>
        <v>207740</v>
      </c>
      <c r="BU437" s="74">
        <f t="shared" si="711"/>
        <v>321288</v>
      </c>
      <c r="BV437" s="75">
        <f t="shared" si="711"/>
        <v>38.905799999999999</v>
      </c>
      <c r="BW437" s="75">
        <f t="shared" si="711"/>
        <v>27.4544</v>
      </c>
      <c r="BX437" s="76">
        <f t="shared" si="711"/>
        <v>11.4514</v>
      </c>
      <c r="BY437" s="791">
        <f t="shared" ref="BY437:CJ437" si="712">SUM(BY431:BY436)</f>
        <v>0</v>
      </c>
      <c r="BZ437" s="679">
        <f t="shared" si="712"/>
        <v>0</v>
      </c>
      <c r="CA437" s="679">
        <f t="shared" si="712"/>
        <v>0</v>
      </c>
      <c r="CB437" s="679">
        <f t="shared" si="712"/>
        <v>0</v>
      </c>
      <c r="CC437" s="679">
        <f t="shared" si="712"/>
        <v>0</v>
      </c>
      <c r="CD437" s="947">
        <f t="shared" si="712"/>
        <v>0</v>
      </c>
      <c r="CE437" s="956">
        <f t="shared" si="712"/>
        <v>876120</v>
      </c>
      <c r="CF437" s="953">
        <f t="shared" si="712"/>
        <v>594728</v>
      </c>
      <c r="CG437" s="953">
        <f t="shared" si="712"/>
        <v>201018</v>
      </c>
      <c r="CH437" s="953">
        <f t="shared" si="712"/>
        <v>5947</v>
      </c>
      <c r="CI437" s="953">
        <f t="shared" si="712"/>
        <v>74427</v>
      </c>
      <c r="CJ437" s="877">
        <f t="shared" si="712"/>
        <v>1.8557999999999999</v>
      </c>
      <c r="CK437" s="53"/>
      <c r="CL437" s="53"/>
    </row>
    <row r="438" spans="1:90" ht="14.1" customHeight="1">
      <c r="A438" s="66">
        <v>85</v>
      </c>
      <c r="B438" s="63">
        <v>2305</v>
      </c>
      <c r="C438" s="64">
        <v>650026080</v>
      </c>
      <c r="D438" s="63">
        <v>72741686</v>
      </c>
      <c r="E438" s="65" t="s">
        <v>697</v>
      </c>
      <c r="F438" s="66">
        <v>3111</v>
      </c>
      <c r="G438" s="65" t="s">
        <v>290</v>
      </c>
      <c r="H438" s="67" t="s">
        <v>271</v>
      </c>
      <c r="I438" s="419">
        <v>3270820</v>
      </c>
      <c r="J438" s="414">
        <v>2413961</v>
      </c>
      <c r="K438" s="414">
        <v>2217925</v>
      </c>
      <c r="L438" s="414">
        <v>196036</v>
      </c>
      <c r="M438" s="414">
        <v>0</v>
      </c>
      <c r="N438" s="414">
        <v>0</v>
      </c>
      <c r="O438" s="414">
        <v>0</v>
      </c>
      <c r="P438" s="595">
        <v>815919</v>
      </c>
      <c r="Q438" s="595">
        <v>24140</v>
      </c>
      <c r="R438" s="414">
        <v>16800</v>
      </c>
      <c r="S438" s="415">
        <v>4.6563999999999997</v>
      </c>
      <c r="T438" s="415">
        <v>3.871</v>
      </c>
      <c r="U438" s="422">
        <v>0.78539999999999999</v>
      </c>
      <c r="V438" s="423">
        <f t="shared" si="637"/>
        <v>0</v>
      </c>
      <c r="W438" s="417">
        <f t="shared" si="638"/>
        <v>0</v>
      </c>
      <c r="X438" s="417">
        <v>0</v>
      </c>
      <c r="Y438" s="417">
        <v>0</v>
      </c>
      <c r="Z438" s="417">
        <v>0</v>
      </c>
      <c r="AA438" s="417">
        <v>0</v>
      </c>
      <c r="AB438" s="417">
        <v>0</v>
      </c>
      <c r="AC438" s="417">
        <v>0</v>
      </c>
      <c r="AD438" s="417">
        <v>0</v>
      </c>
      <c r="AE438" s="417">
        <f t="shared" si="639"/>
        <v>0</v>
      </c>
      <c r="AF438" s="417">
        <f t="shared" si="640"/>
        <v>0</v>
      </c>
      <c r="AG438" s="417">
        <f t="shared" si="641"/>
        <v>0</v>
      </c>
      <c r="AH438" s="417">
        <v>0</v>
      </c>
      <c r="AI438" s="417">
        <v>0</v>
      </c>
      <c r="AJ438" s="417">
        <v>0</v>
      </c>
      <c r="AK438" s="417">
        <v>0</v>
      </c>
      <c r="AL438" s="417">
        <v>0</v>
      </c>
      <c r="AM438" s="417">
        <f t="shared" si="642"/>
        <v>0</v>
      </c>
      <c r="AN438" s="417">
        <f t="shared" si="643"/>
        <v>0</v>
      </c>
      <c r="AO438" s="417">
        <f t="shared" si="644"/>
        <v>0</v>
      </c>
      <c r="AP438" s="417">
        <f t="shared" si="645"/>
        <v>0</v>
      </c>
      <c r="AQ438" s="417">
        <f t="shared" si="646"/>
        <v>0</v>
      </c>
      <c r="AR438" s="417">
        <f t="shared" si="647"/>
        <v>0</v>
      </c>
      <c r="AS438" s="68">
        <f t="shared" si="648"/>
        <v>0</v>
      </c>
      <c r="AT438" s="68">
        <f t="shared" si="649"/>
        <v>0</v>
      </c>
      <c r="AU438" s="417">
        <v>0</v>
      </c>
      <c r="AV438" s="417">
        <v>0</v>
      </c>
      <c r="AW438" s="417">
        <v>0</v>
      </c>
      <c r="AX438" s="417">
        <f t="shared" si="650"/>
        <v>0</v>
      </c>
      <c r="AY438" s="417">
        <f t="shared" si="651"/>
        <v>0</v>
      </c>
      <c r="AZ438" s="418">
        <v>0</v>
      </c>
      <c r="BA438" s="418">
        <v>0</v>
      </c>
      <c r="BB438" s="418">
        <v>0</v>
      </c>
      <c r="BC438" s="418">
        <v>0</v>
      </c>
      <c r="BD438" s="418">
        <v>0</v>
      </c>
      <c r="BE438" s="418">
        <v>0</v>
      </c>
      <c r="BF438" s="418">
        <v>0</v>
      </c>
      <c r="BG438" s="418">
        <v>0</v>
      </c>
      <c r="BH438" s="418">
        <v>0</v>
      </c>
      <c r="BI438" s="418">
        <f t="shared" si="652"/>
        <v>0</v>
      </c>
      <c r="BJ438" s="418">
        <f t="shared" si="653"/>
        <v>0</v>
      </c>
      <c r="BK438" s="420">
        <f t="shared" si="654"/>
        <v>0</v>
      </c>
      <c r="BL438" s="772">
        <f t="shared" ref="BL438:BL443" si="713">I438+AY438</f>
        <v>3270820</v>
      </c>
      <c r="BM438" s="417">
        <f t="shared" ref="BM438:BM443" si="714">J438+AG438</f>
        <v>2413961</v>
      </c>
      <c r="BN438" s="417">
        <f t="shared" ref="BN438:BO443" si="715">K438+AE438</f>
        <v>2217925</v>
      </c>
      <c r="BO438" s="417">
        <f t="shared" si="715"/>
        <v>196036</v>
      </c>
      <c r="BP438" s="417">
        <f t="shared" ref="BP438:BP443" si="716">M438+AO438</f>
        <v>0</v>
      </c>
      <c r="BQ438" s="417">
        <f t="shared" ref="BQ438:BR443" si="717">N438+AM438</f>
        <v>0</v>
      </c>
      <c r="BR438" s="417">
        <f t="shared" si="717"/>
        <v>0</v>
      </c>
      <c r="BS438" s="417">
        <f t="shared" ref="BS438:BT443" si="718">P438+AS438</f>
        <v>815919</v>
      </c>
      <c r="BT438" s="417">
        <f t="shared" si="718"/>
        <v>24140</v>
      </c>
      <c r="BU438" s="417">
        <f t="shared" ref="BU438:BU443" si="719">R438+AX438</f>
        <v>16800</v>
      </c>
      <c r="BV438" s="418">
        <f t="shared" ref="BV438:BV443" si="720">S438+BK438</f>
        <v>4.6563999999999997</v>
      </c>
      <c r="BW438" s="418">
        <f t="shared" ref="BW438:BX443" si="721">T438+BI438</f>
        <v>3.871</v>
      </c>
      <c r="BX438" s="420">
        <f t="shared" si="721"/>
        <v>0.78539999999999999</v>
      </c>
      <c r="BY438" s="419"/>
      <c r="BZ438" s="414"/>
      <c r="CA438" s="414"/>
      <c r="CB438" s="414"/>
      <c r="CC438" s="414"/>
      <c r="CD438" s="422"/>
      <c r="CE438" s="419">
        <f t="shared" si="655"/>
        <v>90375</v>
      </c>
      <c r="CF438" s="414">
        <v>62900</v>
      </c>
      <c r="CG438" s="414">
        <f>ROUND(CF438*33.8%,0)</f>
        <v>21260</v>
      </c>
      <c r="CH438" s="414">
        <f>ROUND(CF438*1%,0)</f>
        <v>629</v>
      </c>
      <c r="CI438" s="414">
        <v>5586</v>
      </c>
      <c r="CJ438" s="509">
        <v>0.252</v>
      </c>
      <c r="CK438" s="53"/>
      <c r="CL438" s="53"/>
    </row>
    <row r="439" spans="1:90" ht="14.1" customHeight="1">
      <c r="A439" s="66">
        <v>85</v>
      </c>
      <c r="B439" s="63">
        <v>2305</v>
      </c>
      <c r="C439" s="64">
        <v>650026080</v>
      </c>
      <c r="D439" s="63">
        <v>72741686</v>
      </c>
      <c r="E439" s="65" t="s">
        <v>697</v>
      </c>
      <c r="F439" s="66">
        <v>3117</v>
      </c>
      <c r="G439" s="65" t="s">
        <v>293</v>
      </c>
      <c r="H439" s="67" t="s">
        <v>271</v>
      </c>
      <c r="I439" s="419">
        <v>7215588</v>
      </c>
      <c r="J439" s="414">
        <v>5217083</v>
      </c>
      <c r="K439" s="414">
        <v>4351789</v>
      </c>
      <c r="L439" s="414">
        <v>865294</v>
      </c>
      <c r="M439" s="414">
        <v>50000</v>
      </c>
      <c r="N439" s="414">
        <v>50000</v>
      </c>
      <c r="O439" s="414">
        <v>0</v>
      </c>
      <c r="P439" s="595">
        <v>1780274</v>
      </c>
      <c r="Q439" s="595">
        <v>52171</v>
      </c>
      <c r="R439" s="414">
        <v>116060</v>
      </c>
      <c r="S439" s="415">
        <v>9.1242000000000001</v>
      </c>
      <c r="T439" s="415">
        <v>6.7844000000000007</v>
      </c>
      <c r="U439" s="422">
        <v>2.3398000000000003</v>
      </c>
      <c r="V439" s="423">
        <f t="shared" si="637"/>
        <v>20000</v>
      </c>
      <c r="W439" s="417">
        <f t="shared" si="638"/>
        <v>0</v>
      </c>
      <c r="X439" s="417">
        <v>0</v>
      </c>
      <c r="Y439" s="417">
        <v>0</v>
      </c>
      <c r="Z439" s="417">
        <v>0</v>
      </c>
      <c r="AA439" s="417">
        <v>0</v>
      </c>
      <c r="AB439" s="417">
        <v>0</v>
      </c>
      <c r="AC439" s="417">
        <v>0</v>
      </c>
      <c r="AD439" s="417">
        <v>0</v>
      </c>
      <c r="AE439" s="417">
        <f t="shared" si="639"/>
        <v>20000</v>
      </c>
      <c r="AF439" s="417">
        <f t="shared" si="640"/>
        <v>0</v>
      </c>
      <c r="AG439" s="417">
        <f t="shared" si="641"/>
        <v>20000</v>
      </c>
      <c r="AH439" s="417">
        <v>-20000</v>
      </c>
      <c r="AI439" s="417">
        <v>0</v>
      </c>
      <c r="AJ439" s="417">
        <v>0</v>
      </c>
      <c r="AK439" s="417">
        <v>0</v>
      </c>
      <c r="AL439" s="417">
        <v>0</v>
      </c>
      <c r="AM439" s="417">
        <f t="shared" si="642"/>
        <v>-20000</v>
      </c>
      <c r="AN439" s="417">
        <f t="shared" si="643"/>
        <v>0</v>
      </c>
      <c r="AO439" s="417">
        <f t="shared" si="644"/>
        <v>-20000</v>
      </c>
      <c r="AP439" s="417">
        <f t="shared" si="645"/>
        <v>0</v>
      </c>
      <c r="AQ439" s="417">
        <f t="shared" si="646"/>
        <v>0</v>
      </c>
      <c r="AR439" s="417">
        <f t="shared" si="647"/>
        <v>0</v>
      </c>
      <c r="AS439" s="68">
        <f t="shared" si="648"/>
        <v>0</v>
      </c>
      <c r="AT439" s="68">
        <f t="shared" si="649"/>
        <v>200</v>
      </c>
      <c r="AU439" s="417">
        <v>0</v>
      </c>
      <c r="AV439" s="417">
        <v>0</v>
      </c>
      <c r="AW439" s="417">
        <v>0</v>
      </c>
      <c r="AX439" s="417">
        <f t="shared" si="650"/>
        <v>0</v>
      </c>
      <c r="AY439" s="417">
        <f t="shared" si="651"/>
        <v>200</v>
      </c>
      <c r="AZ439" s="418">
        <v>0.03</v>
      </c>
      <c r="BA439" s="418">
        <v>0</v>
      </c>
      <c r="BB439" s="418">
        <v>0</v>
      </c>
      <c r="BC439" s="418">
        <v>0</v>
      </c>
      <c r="BD439" s="418">
        <v>0</v>
      </c>
      <c r="BE439" s="418">
        <v>0</v>
      </c>
      <c r="BF439" s="418">
        <v>0</v>
      </c>
      <c r="BG439" s="418">
        <v>0</v>
      </c>
      <c r="BH439" s="418">
        <v>0</v>
      </c>
      <c r="BI439" s="418">
        <f t="shared" si="652"/>
        <v>0.03</v>
      </c>
      <c r="BJ439" s="418">
        <f t="shared" si="653"/>
        <v>0</v>
      </c>
      <c r="BK439" s="420">
        <f t="shared" si="654"/>
        <v>0.03</v>
      </c>
      <c r="BL439" s="772">
        <f t="shared" si="713"/>
        <v>7215788</v>
      </c>
      <c r="BM439" s="417">
        <f t="shared" si="714"/>
        <v>5237083</v>
      </c>
      <c r="BN439" s="417">
        <f t="shared" si="715"/>
        <v>4371789</v>
      </c>
      <c r="BO439" s="417">
        <f t="shared" si="715"/>
        <v>865294</v>
      </c>
      <c r="BP439" s="417">
        <f t="shared" si="716"/>
        <v>30000</v>
      </c>
      <c r="BQ439" s="417">
        <f t="shared" si="717"/>
        <v>30000</v>
      </c>
      <c r="BR439" s="417">
        <f t="shared" si="717"/>
        <v>0</v>
      </c>
      <c r="BS439" s="417">
        <f t="shared" si="718"/>
        <v>1780274</v>
      </c>
      <c r="BT439" s="417">
        <f t="shared" si="718"/>
        <v>52371</v>
      </c>
      <c r="BU439" s="417">
        <f t="shared" si="719"/>
        <v>116060</v>
      </c>
      <c r="BV439" s="418">
        <f t="shared" si="720"/>
        <v>9.1541999999999994</v>
      </c>
      <c r="BW439" s="418">
        <f t="shared" si="721"/>
        <v>6.8144000000000009</v>
      </c>
      <c r="BX439" s="420">
        <f t="shared" si="721"/>
        <v>2.3398000000000003</v>
      </c>
      <c r="BY439" s="419"/>
      <c r="BZ439" s="414"/>
      <c r="CA439" s="414"/>
      <c r="CB439" s="414"/>
      <c r="CC439" s="414"/>
      <c r="CD439" s="422"/>
      <c r="CE439" s="419">
        <f t="shared" si="655"/>
        <v>398068</v>
      </c>
      <c r="CF439" s="414">
        <v>277694</v>
      </c>
      <c r="CG439" s="414">
        <v>93861</v>
      </c>
      <c r="CH439" s="414">
        <v>2777</v>
      </c>
      <c r="CI439" s="414">
        <v>23736</v>
      </c>
      <c r="CJ439" s="509">
        <v>0.75100000000000011</v>
      </c>
      <c r="CK439" s="53"/>
      <c r="CL439" s="53"/>
    </row>
    <row r="440" spans="1:90" ht="14.1" customHeight="1">
      <c r="A440" s="66">
        <v>85</v>
      </c>
      <c r="B440" s="63">
        <v>2305</v>
      </c>
      <c r="C440" s="64">
        <v>650026080</v>
      </c>
      <c r="D440" s="63">
        <v>72741686</v>
      </c>
      <c r="E440" s="65" t="s">
        <v>697</v>
      </c>
      <c r="F440" s="66">
        <v>3117</v>
      </c>
      <c r="G440" s="77" t="s">
        <v>291</v>
      </c>
      <c r="H440" s="67" t="s">
        <v>272</v>
      </c>
      <c r="I440" s="419">
        <v>1745485</v>
      </c>
      <c r="J440" s="414">
        <v>1294870</v>
      </c>
      <c r="K440" s="414">
        <v>1294870</v>
      </c>
      <c r="L440" s="414">
        <v>0</v>
      </c>
      <c r="M440" s="414">
        <v>0</v>
      </c>
      <c r="N440" s="414">
        <v>0</v>
      </c>
      <c r="O440" s="414">
        <v>0</v>
      </c>
      <c r="P440" s="595">
        <v>437666</v>
      </c>
      <c r="Q440" s="595">
        <v>12949</v>
      </c>
      <c r="R440" s="414">
        <v>0</v>
      </c>
      <c r="S440" s="415">
        <v>3.43</v>
      </c>
      <c r="T440" s="416">
        <v>3.43</v>
      </c>
      <c r="U440" s="422">
        <v>0</v>
      </c>
      <c r="V440" s="423">
        <f t="shared" si="637"/>
        <v>0</v>
      </c>
      <c r="W440" s="417">
        <f t="shared" si="638"/>
        <v>0</v>
      </c>
      <c r="X440" s="417">
        <v>6189</v>
      </c>
      <c r="Y440" s="417">
        <v>0</v>
      </c>
      <c r="Z440" s="417">
        <v>0</v>
      </c>
      <c r="AA440" s="417">
        <v>0</v>
      </c>
      <c r="AB440" s="417">
        <v>0</v>
      </c>
      <c r="AC440" s="417">
        <v>0</v>
      </c>
      <c r="AD440" s="417">
        <v>0</v>
      </c>
      <c r="AE440" s="417">
        <f t="shared" si="639"/>
        <v>6189</v>
      </c>
      <c r="AF440" s="417">
        <f t="shared" si="640"/>
        <v>0</v>
      </c>
      <c r="AG440" s="417">
        <f t="shared" si="641"/>
        <v>6189</v>
      </c>
      <c r="AH440" s="417">
        <v>0</v>
      </c>
      <c r="AI440" s="417">
        <v>0</v>
      </c>
      <c r="AJ440" s="417">
        <v>0</v>
      </c>
      <c r="AK440" s="417">
        <v>0</v>
      </c>
      <c r="AL440" s="417">
        <v>0</v>
      </c>
      <c r="AM440" s="417">
        <f t="shared" si="642"/>
        <v>0</v>
      </c>
      <c r="AN440" s="417">
        <f t="shared" si="643"/>
        <v>0</v>
      </c>
      <c r="AO440" s="417">
        <f t="shared" si="644"/>
        <v>0</v>
      </c>
      <c r="AP440" s="417">
        <f t="shared" si="645"/>
        <v>6189</v>
      </c>
      <c r="AQ440" s="417">
        <f t="shared" si="646"/>
        <v>0</v>
      </c>
      <c r="AR440" s="417">
        <f t="shared" si="647"/>
        <v>6189</v>
      </c>
      <c r="AS440" s="68">
        <f t="shared" si="648"/>
        <v>2092</v>
      </c>
      <c r="AT440" s="68">
        <f t="shared" si="649"/>
        <v>62</v>
      </c>
      <c r="AU440" s="417">
        <v>0</v>
      </c>
      <c r="AV440" s="417">
        <v>0</v>
      </c>
      <c r="AW440" s="417">
        <v>0</v>
      </c>
      <c r="AX440" s="417">
        <f t="shared" si="650"/>
        <v>0</v>
      </c>
      <c r="AY440" s="417">
        <f t="shared" si="651"/>
        <v>8343</v>
      </c>
      <c r="AZ440" s="418">
        <v>0</v>
      </c>
      <c r="BA440" s="418">
        <v>0</v>
      </c>
      <c r="BB440" s="418">
        <v>0.01</v>
      </c>
      <c r="BC440" s="418">
        <v>0</v>
      </c>
      <c r="BD440" s="418">
        <v>0</v>
      </c>
      <c r="BE440" s="418">
        <v>0</v>
      </c>
      <c r="BF440" s="418">
        <v>0</v>
      </c>
      <c r="BG440" s="418">
        <v>0</v>
      </c>
      <c r="BH440" s="418">
        <v>0</v>
      </c>
      <c r="BI440" s="418">
        <f t="shared" si="652"/>
        <v>0.01</v>
      </c>
      <c r="BJ440" s="418">
        <f t="shared" si="653"/>
        <v>0</v>
      </c>
      <c r="BK440" s="420">
        <f t="shared" si="654"/>
        <v>0.01</v>
      </c>
      <c r="BL440" s="772">
        <f t="shared" si="713"/>
        <v>1753828</v>
      </c>
      <c r="BM440" s="417">
        <f t="shared" si="714"/>
        <v>1301059</v>
      </c>
      <c r="BN440" s="417">
        <f t="shared" si="715"/>
        <v>1301059</v>
      </c>
      <c r="BO440" s="417">
        <f t="shared" si="715"/>
        <v>0</v>
      </c>
      <c r="BP440" s="417">
        <f t="shared" si="716"/>
        <v>0</v>
      </c>
      <c r="BQ440" s="417">
        <f t="shared" si="717"/>
        <v>0</v>
      </c>
      <c r="BR440" s="417">
        <f t="shared" si="717"/>
        <v>0</v>
      </c>
      <c r="BS440" s="417">
        <f t="shared" si="718"/>
        <v>439758</v>
      </c>
      <c r="BT440" s="417">
        <f t="shared" si="718"/>
        <v>13011</v>
      </c>
      <c r="BU440" s="417">
        <f t="shared" si="719"/>
        <v>0</v>
      </c>
      <c r="BV440" s="418">
        <f t="shared" si="720"/>
        <v>3.44</v>
      </c>
      <c r="BW440" s="418">
        <f t="shared" si="721"/>
        <v>3.44</v>
      </c>
      <c r="BX440" s="420">
        <f t="shared" si="721"/>
        <v>0</v>
      </c>
      <c r="BY440" s="419"/>
      <c r="BZ440" s="414"/>
      <c r="CA440" s="414"/>
      <c r="CB440" s="414"/>
      <c r="CC440" s="414"/>
      <c r="CD440" s="422"/>
      <c r="CE440" s="419">
        <f t="shared" si="655"/>
        <v>0</v>
      </c>
      <c r="CF440" s="414">
        <v>0</v>
      </c>
      <c r="CG440" s="414">
        <v>0</v>
      </c>
      <c r="CH440" s="414">
        <v>0</v>
      </c>
      <c r="CI440" s="414">
        <v>0</v>
      </c>
      <c r="CJ440" s="509">
        <v>0</v>
      </c>
      <c r="CK440" s="53"/>
      <c r="CL440" s="53"/>
    </row>
    <row r="441" spans="1:90" ht="14.1" customHeight="1">
      <c r="A441" s="66">
        <v>85</v>
      </c>
      <c r="B441" s="63">
        <v>2305</v>
      </c>
      <c r="C441" s="64">
        <v>650026080</v>
      </c>
      <c r="D441" s="63">
        <v>72741686</v>
      </c>
      <c r="E441" s="65" t="s">
        <v>697</v>
      </c>
      <c r="F441" s="66">
        <v>3141</v>
      </c>
      <c r="G441" s="65" t="s">
        <v>294</v>
      </c>
      <c r="H441" s="67" t="s">
        <v>272</v>
      </c>
      <c r="I441" s="419">
        <v>1321239</v>
      </c>
      <c r="J441" s="414">
        <v>975213</v>
      </c>
      <c r="K441" s="414">
        <v>0</v>
      </c>
      <c r="L441" s="744">
        <v>975213</v>
      </c>
      <c r="M441" s="414">
        <v>0</v>
      </c>
      <c r="N441" s="204">
        <v>0</v>
      </c>
      <c r="O441" s="204">
        <v>0</v>
      </c>
      <c r="P441" s="595">
        <v>329622</v>
      </c>
      <c r="Q441" s="595">
        <v>9752</v>
      </c>
      <c r="R441" s="601">
        <v>6652</v>
      </c>
      <c r="S441" s="415">
        <v>2.9333999999999998</v>
      </c>
      <c r="T441" s="603">
        <v>0</v>
      </c>
      <c r="U441" s="731">
        <v>2.9333999999999998</v>
      </c>
      <c r="V441" s="423">
        <f t="shared" si="637"/>
        <v>0</v>
      </c>
      <c r="W441" s="417">
        <f t="shared" si="638"/>
        <v>-20000</v>
      </c>
      <c r="X441" s="417">
        <v>0</v>
      </c>
      <c r="Y441" s="417">
        <v>0</v>
      </c>
      <c r="Z441" s="417">
        <v>0</v>
      </c>
      <c r="AA441" s="417">
        <v>40568</v>
      </c>
      <c r="AB441" s="417">
        <v>0</v>
      </c>
      <c r="AC441" s="417">
        <v>0</v>
      </c>
      <c r="AD441" s="417">
        <v>0</v>
      </c>
      <c r="AE441" s="417">
        <f t="shared" si="639"/>
        <v>0</v>
      </c>
      <c r="AF441" s="417">
        <f t="shared" si="640"/>
        <v>20568</v>
      </c>
      <c r="AG441" s="417">
        <f t="shared" si="641"/>
        <v>20568</v>
      </c>
      <c r="AH441" s="417">
        <v>0</v>
      </c>
      <c r="AI441" s="417">
        <v>20000</v>
      </c>
      <c r="AJ441" s="417">
        <v>0</v>
      </c>
      <c r="AK441" s="417">
        <v>0</v>
      </c>
      <c r="AL441" s="417">
        <v>0</v>
      </c>
      <c r="AM441" s="417">
        <f t="shared" si="642"/>
        <v>0</v>
      </c>
      <c r="AN441" s="417">
        <f t="shared" si="643"/>
        <v>20000</v>
      </c>
      <c r="AO441" s="417">
        <f t="shared" si="644"/>
        <v>20000</v>
      </c>
      <c r="AP441" s="417">
        <f t="shared" si="645"/>
        <v>0</v>
      </c>
      <c r="AQ441" s="417">
        <f t="shared" si="646"/>
        <v>40568</v>
      </c>
      <c r="AR441" s="417">
        <f t="shared" si="647"/>
        <v>40568</v>
      </c>
      <c r="AS441" s="68">
        <f t="shared" si="648"/>
        <v>13712</v>
      </c>
      <c r="AT441" s="68">
        <f t="shared" si="649"/>
        <v>206</v>
      </c>
      <c r="AU441" s="417">
        <v>0</v>
      </c>
      <c r="AV441" s="417">
        <v>0</v>
      </c>
      <c r="AW441" s="417">
        <v>0</v>
      </c>
      <c r="AX441" s="417">
        <f t="shared" si="650"/>
        <v>0</v>
      </c>
      <c r="AY441" s="417">
        <f t="shared" si="651"/>
        <v>54486</v>
      </c>
      <c r="AZ441" s="418">
        <v>0</v>
      </c>
      <c r="BA441" s="418">
        <v>-0.06</v>
      </c>
      <c r="BB441" s="418">
        <v>0</v>
      </c>
      <c r="BC441" s="418">
        <v>0</v>
      </c>
      <c r="BD441" s="418">
        <v>0.13</v>
      </c>
      <c r="BE441" s="418">
        <v>0</v>
      </c>
      <c r="BF441" s="418">
        <v>0</v>
      </c>
      <c r="BG441" s="418">
        <v>0</v>
      </c>
      <c r="BH441" s="418">
        <v>0</v>
      </c>
      <c r="BI441" s="418">
        <f t="shared" si="652"/>
        <v>0</v>
      </c>
      <c r="BJ441" s="418">
        <f t="shared" si="653"/>
        <v>7.0000000000000007E-2</v>
      </c>
      <c r="BK441" s="420">
        <f t="shared" si="654"/>
        <v>7.0000000000000007E-2</v>
      </c>
      <c r="BL441" s="772">
        <f t="shared" si="713"/>
        <v>1375725</v>
      </c>
      <c r="BM441" s="417">
        <f t="shared" si="714"/>
        <v>995781</v>
      </c>
      <c r="BN441" s="417">
        <f t="shared" si="715"/>
        <v>0</v>
      </c>
      <c r="BO441" s="417">
        <f t="shared" si="715"/>
        <v>995781</v>
      </c>
      <c r="BP441" s="417">
        <f t="shared" si="716"/>
        <v>20000</v>
      </c>
      <c r="BQ441" s="417">
        <f t="shared" si="717"/>
        <v>0</v>
      </c>
      <c r="BR441" s="417">
        <f t="shared" si="717"/>
        <v>20000</v>
      </c>
      <c r="BS441" s="417">
        <f t="shared" si="718"/>
        <v>343334</v>
      </c>
      <c r="BT441" s="417">
        <f t="shared" si="718"/>
        <v>9958</v>
      </c>
      <c r="BU441" s="417">
        <f t="shared" si="719"/>
        <v>6652</v>
      </c>
      <c r="BV441" s="418">
        <f t="shared" si="720"/>
        <v>3.0033999999999996</v>
      </c>
      <c r="BW441" s="418">
        <f t="shared" si="721"/>
        <v>0</v>
      </c>
      <c r="BX441" s="420">
        <f t="shared" si="721"/>
        <v>3.0033999999999996</v>
      </c>
      <c r="BY441" s="419"/>
      <c r="BZ441" s="414"/>
      <c r="CA441" s="414"/>
      <c r="CB441" s="414"/>
      <c r="CC441" s="414"/>
      <c r="CD441" s="422"/>
      <c r="CE441" s="419">
        <f t="shared" si="655"/>
        <v>0</v>
      </c>
      <c r="CF441" s="414">
        <v>0</v>
      </c>
      <c r="CG441" s="414">
        <v>0</v>
      </c>
      <c r="CH441" s="414">
        <v>0</v>
      </c>
      <c r="CI441" s="414">
        <v>0</v>
      </c>
      <c r="CJ441" s="509">
        <v>0</v>
      </c>
      <c r="CK441" s="53"/>
      <c r="CL441" s="53"/>
    </row>
    <row r="442" spans="1:90" ht="14.1" customHeight="1">
      <c r="A442" s="66">
        <v>85</v>
      </c>
      <c r="B442" s="63">
        <v>2305</v>
      </c>
      <c r="C442" s="64">
        <v>650026080</v>
      </c>
      <c r="D442" s="63">
        <v>72741686</v>
      </c>
      <c r="E442" s="65" t="s">
        <v>697</v>
      </c>
      <c r="F442" s="66">
        <v>3143</v>
      </c>
      <c r="G442" s="77" t="s">
        <v>595</v>
      </c>
      <c r="H442" s="67" t="s">
        <v>271</v>
      </c>
      <c r="I442" s="419">
        <v>1455341</v>
      </c>
      <c r="J442" s="414">
        <v>1079630</v>
      </c>
      <c r="K442" s="414">
        <v>1079630</v>
      </c>
      <c r="L442" s="414">
        <v>0</v>
      </c>
      <c r="M442" s="414">
        <v>0</v>
      </c>
      <c r="N442" s="414">
        <v>0</v>
      </c>
      <c r="O442" s="414">
        <v>0</v>
      </c>
      <c r="P442" s="595">
        <v>364915</v>
      </c>
      <c r="Q442" s="595">
        <v>10796</v>
      </c>
      <c r="R442" s="414">
        <v>0</v>
      </c>
      <c r="S442" s="415">
        <v>2</v>
      </c>
      <c r="T442" s="415">
        <v>2</v>
      </c>
      <c r="U442" s="422">
        <v>0</v>
      </c>
      <c r="V442" s="423">
        <f t="shared" si="637"/>
        <v>0</v>
      </c>
      <c r="W442" s="417">
        <f t="shared" si="638"/>
        <v>0</v>
      </c>
      <c r="X442" s="417">
        <v>0</v>
      </c>
      <c r="Y442" s="417">
        <v>0</v>
      </c>
      <c r="Z442" s="417">
        <v>0</v>
      </c>
      <c r="AA442" s="417">
        <v>0</v>
      </c>
      <c r="AB442" s="417">
        <v>0</v>
      </c>
      <c r="AC442" s="417">
        <v>0</v>
      </c>
      <c r="AD442" s="417">
        <v>0</v>
      </c>
      <c r="AE442" s="417">
        <f t="shared" si="639"/>
        <v>0</v>
      </c>
      <c r="AF442" s="417">
        <f t="shared" si="640"/>
        <v>0</v>
      </c>
      <c r="AG442" s="417">
        <f t="shared" si="641"/>
        <v>0</v>
      </c>
      <c r="AH442" s="417">
        <v>0</v>
      </c>
      <c r="AI442" s="417">
        <v>0</v>
      </c>
      <c r="AJ442" s="417">
        <v>0</v>
      </c>
      <c r="AK442" s="417">
        <v>0</v>
      </c>
      <c r="AL442" s="417">
        <v>0</v>
      </c>
      <c r="AM442" s="417">
        <f t="shared" si="642"/>
        <v>0</v>
      </c>
      <c r="AN442" s="417">
        <f t="shared" si="643"/>
        <v>0</v>
      </c>
      <c r="AO442" s="417">
        <f t="shared" si="644"/>
        <v>0</v>
      </c>
      <c r="AP442" s="417">
        <f t="shared" si="645"/>
        <v>0</v>
      </c>
      <c r="AQ442" s="417">
        <f t="shared" si="646"/>
        <v>0</v>
      </c>
      <c r="AR442" s="417">
        <f t="shared" si="647"/>
        <v>0</v>
      </c>
      <c r="AS442" s="68">
        <f t="shared" si="648"/>
        <v>0</v>
      </c>
      <c r="AT442" s="68">
        <f t="shared" si="649"/>
        <v>0</v>
      </c>
      <c r="AU442" s="417">
        <v>0</v>
      </c>
      <c r="AV442" s="417">
        <v>0</v>
      </c>
      <c r="AW442" s="417">
        <v>0</v>
      </c>
      <c r="AX442" s="417">
        <f t="shared" si="650"/>
        <v>0</v>
      </c>
      <c r="AY442" s="417">
        <f t="shared" si="651"/>
        <v>0</v>
      </c>
      <c r="AZ442" s="418">
        <v>0</v>
      </c>
      <c r="BA442" s="418">
        <v>0</v>
      </c>
      <c r="BB442" s="418">
        <v>0</v>
      </c>
      <c r="BC442" s="418">
        <v>0</v>
      </c>
      <c r="BD442" s="418">
        <v>0</v>
      </c>
      <c r="BE442" s="418">
        <v>0</v>
      </c>
      <c r="BF442" s="418">
        <v>0</v>
      </c>
      <c r="BG442" s="418">
        <v>0</v>
      </c>
      <c r="BH442" s="418">
        <v>0</v>
      </c>
      <c r="BI442" s="418">
        <f t="shared" si="652"/>
        <v>0</v>
      </c>
      <c r="BJ442" s="418">
        <f t="shared" si="653"/>
        <v>0</v>
      </c>
      <c r="BK442" s="420">
        <f t="shared" si="654"/>
        <v>0</v>
      </c>
      <c r="BL442" s="772">
        <f t="shared" si="713"/>
        <v>1455341</v>
      </c>
      <c r="BM442" s="417">
        <f t="shared" si="714"/>
        <v>1079630</v>
      </c>
      <c r="BN442" s="417">
        <f t="shared" si="715"/>
        <v>1079630</v>
      </c>
      <c r="BO442" s="417">
        <f t="shared" si="715"/>
        <v>0</v>
      </c>
      <c r="BP442" s="417">
        <f t="shared" si="716"/>
        <v>0</v>
      </c>
      <c r="BQ442" s="417">
        <f t="shared" si="717"/>
        <v>0</v>
      </c>
      <c r="BR442" s="417">
        <f t="shared" si="717"/>
        <v>0</v>
      </c>
      <c r="BS442" s="417">
        <f t="shared" si="718"/>
        <v>364915</v>
      </c>
      <c r="BT442" s="417">
        <f t="shared" si="718"/>
        <v>10796</v>
      </c>
      <c r="BU442" s="417">
        <f t="shared" si="719"/>
        <v>0</v>
      </c>
      <c r="BV442" s="418">
        <f t="shared" si="720"/>
        <v>2</v>
      </c>
      <c r="BW442" s="418">
        <f t="shared" si="721"/>
        <v>2</v>
      </c>
      <c r="BX442" s="420">
        <f t="shared" si="721"/>
        <v>0</v>
      </c>
      <c r="BY442" s="419"/>
      <c r="BZ442" s="414"/>
      <c r="CA442" s="414"/>
      <c r="CB442" s="414"/>
      <c r="CC442" s="414"/>
      <c r="CD442" s="422"/>
      <c r="CE442" s="419">
        <f t="shared" si="655"/>
        <v>0</v>
      </c>
      <c r="CF442" s="414">
        <v>0</v>
      </c>
      <c r="CG442" s="414">
        <v>0</v>
      </c>
      <c r="CH442" s="414">
        <v>0</v>
      </c>
      <c r="CI442" s="414">
        <v>0</v>
      </c>
      <c r="CJ442" s="509">
        <v>0</v>
      </c>
      <c r="CK442" s="53"/>
      <c r="CL442" s="53"/>
    </row>
    <row r="443" spans="1:90" ht="14.1" customHeight="1">
      <c r="A443" s="66">
        <v>85</v>
      </c>
      <c r="B443" s="63">
        <v>2305</v>
      </c>
      <c r="C443" s="64">
        <v>650026080</v>
      </c>
      <c r="D443" s="63">
        <v>72741686</v>
      </c>
      <c r="E443" s="65" t="s">
        <v>697</v>
      </c>
      <c r="F443" s="66">
        <v>3143</v>
      </c>
      <c r="G443" s="77" t="s">
        <v>596</v>
      </c>
      <c r="H443" s="67" t="s">
        <v>272</v>
      </c>
      <c r="I443" s="419">
        <v>46104</v>
      </c>
      <c r="J443" s="414">
        <v>33000</v>
      </c>
      <c r="K443" s="414">
        <v>0</v>
      </c>
      <c r="L443" s="601">
        <v>33000</v>
      </c>
      <c r="M443" s="414">
        <v>0</v>
      </c>
      <c r="N443" s="414">
        <v>0</v>
      </c>
      <c r="O443" s="414">
        <v>0</v>
      </c>
      <c r="P443" s="595">
        <v>11154</v>
      </c>
      <c r="Q443" s="595">
        <v>330</v>
      </c>
      <c r="R443" s="602">
        <v>1620</v>
      </c>
      <c r="S443" s="415">
        <v>0.12329999999999999</v>
      </c>
      <c r="T443" s="605">
        <v>0</v>
      </c>
      <c r="U443" s="731">
        <v>0.12329999999999999</v>
      </c>
      <c r="V443" s="423">
        <f t="shared" si="637"/>
        <v>0</v>
      </c>
      <c r="W443" s="417">
        <f t="shared" si="638"/>
        <v>0</v>
      </c>
      <c r="X443" s="417">
        <v>0</v>
      </c>
      <c r="Y443" s="417">
        <v>0</v>
      </c>
      <c r="Z443" s="417">
        <v>0</v>
      </c>
      <c r="AA443" s="417">
        <v>0</v>
      </c>
      <c r="AB443" s="417">
        <v>0</v>
      </c>
      <c r="AC443" s="417">
        <v>0</v>
      </c>
      <c r="AD443" s="417">
        <v>0</v>
      </c>
      <c r="AE443" s="417">
        <f t="shared" si="639"/>
        <v>0</v>
      </c>
      <c r="AF443" s="417">
        <f t="shared" si="640"/>
        <v>0</v>
      </c>
      <c r="AG443" s="417">
        <f t="shared" si="641"/>
        <v>0</v>
      </c>
      <c r="AH443" s="417">
        <v>0</v>
      </c>
      <c r="AI443" s="417">
        <v>0</v>
      </c>
      <c r="AJ443" s="417">
        <v>0</v>
      </c>
      <c r="AK443" s="417">
        <v>0</v>
      </c>
      <c r="AL443" s="417">
        <v>0</v>
      </c>
      <c r="AM443" s="417">
        <f t="shared" si="642"/>
        <v>0</v>
      </c>
      <c r="AN443" s="417">
        <f t="shared" si="643"/>
        <v>0</v>
      </c>
      <c r="AO443" s="417">
        <f t="shared" si="644"/>
        <v>0</v>
      </c>
      <c r="AP443" s="417">
        <f t="shared" si="645"/>
        <v>0</v>
      </c>
      <c r="AQ443" s="417">
        <f t="shared" si="646"/>
        <v>0</v>
      </c>
      <c r="AR443" s="417">
        <f t="shared" si="647"/>
        <v>0</v>
      </c>
      <c r="AS443" s="68">
        <f t="shared" si="648"/>
        <v>0</v>
      </c>
      <c r="AT443" s="68">
        <f t="shared" si="649"/>
        <v>0</v>
      </c>
      <c r="AU443" s="417">
        <v>0</v>
      </c>
      <c r="AV443" s="417">
        <v>0</v>
      </c>
      <c r="AW443" s="417">
        <v>0</v>
      </c>
      <c r="AX443" s="417">
        <f t="shared" si="650"/>
        <v>0</v>
      </c>
      <c r="AY443" s="417">
        <f t="shared" si="651"/>
        <v>0</v>
      </c>
      <c r="AZ443" s="418">
        <v>0</v>
      </c>
      <c r="BA443" s="418">
        <v>0</v>
      </c>
      <c r="BB443" s="418">
        <v>0</v>
      </c>
      <c r="BC443" s="418">
        <v>0</v>
      </c>
      <c r="BD443" s="418">
        <v>0</v>
      </c>
      <c r="BE443" s="418">
        <v>0</v>
      </c>
      <c r="BF443" s="418">
        <v>0</v>
      </c>
      <c r="BG443" s="418">
        <v>0</v>
      </c>
      <c r="BH443" s="418">
        <v>0</v>
      </c>
      <c r="BI443" s="418">
        <f t="shared" si="652"/>
        <v>0</v>
      </c>
      <c r="BJ443" s="418">
        <f t="shared" si="653"/>
        <v>0</v>
      </c>
      <c r="BK443" s="420">
        <f t="shared" si="654"/>
        <v>0</v>
      </c>
      <c r="BL443" s="772">
        <f t="shared" si="713"/>
        <v>46104</v>
      </c>
      <c r="BM443" s="417">
        <f t="shared" si="714"/>
        <v>33000</v>
      </c>
      <c r="BN443" s="417">
        <f t="shared" si="715"/>
        <v>0</v>
      </c>
      <c r="BO443" s="417">
        <f t="shared" si="715"/>
        <v>33000</v>
      </c>
      <c r="BP443" s="417">
        <f t="shared" si="716"/>
        <v>0</v>
      </c>
      <c r="BQ443" s="417">
        <f t="shared" si="717"/>
        <v>0</v>
      </c>
      <c r="BR443" s="417">
        <f t="shared" si="717"/>
        <v>0</v>
      </c>
      <c r="BS443" s="417">
        <f t="shared" si="718"/>
        <v>11154</v>
      </c>
      <c r="BT443" s="417">
        <f t="shared" si="718"/>
        <v>330</v>
      </c>
      <c r="BU443" s="417">
        <f t="shared" si="719"/>
        <v>1620</v>
      </c>
      <c r="BV443" s="418">
        <f t="shared" si="720"/>
        <v>0.12329999999999999</v>
      </c>
      <c r="BW443" s="418">
        <f t="shared" si="721"/>
        <v>0</v>
      </c>
      <c r="BX443" s="420">
        <f t="shared" si="721"/>
        <v>0.12329999999999999</v>
      </c>
      <c r="BY443" s="419"/>
      <c r="BZ443" s="414"/>
      <c r="CA443" s="414"/>
      <c r="CB443" s="414"/>
      <c r="CC443" s="414"/>
      <c r="CD443" s="422"/>
      <c r="CE443" s="419">
        <f t="shared" si="655"/>
        <v>0</v>
      </c>
      <c r="CF443" s="414">
        <v>0</v>
      </c>
      <c r="CG443" s="414">
        <v>0</v>
      </c>
      <c r="CH443" s="414">
        <v>0</v>
      </c>
      <c r="CI443" s="414">
        <v>0</v>
      </c>
      <c r="CJ443" s="509">
        <v>0</v>
      </c>
      <c r="CK443" s="53"/>
      <c r="CL443" s="53"/>
    </row>
    <row r="444" spans="1:90" ht="14.1" customHeight="1">
      <c r="A444" s="72">
        <v>85</v>
      </c>
      <c r="B444" s="69">
        <v>2305</v>
      </c>
      <c r="C444" s="70">
        <v>650026080</v>
      </c>
      <c r="D444" s="69">
        <v>72741686</v>
      </c>
      <c r="E444" s="71" t="s">
        <v>698</v>
      </c>
      <c r="F444" s="72"/>
      <c r="G444" s="71"/>
      <c r="H444" s="73"/>
      <c r="I444" s="516">
        <v>15054577</v>
      </c>
      <c r="J444" s="74">
        <v>11013757</v>
      </c>
      <c r="K444" s="74">
        <v>8944214</v>
      </c>
      <c r="L444" s="74">
        <v>2069543</v>
      </c>
      <c r="M444" s="74">
        <v>50000</v>
      </c>
      <c r="N444" s="74">
        <v>50000</v>
      </c>
      <c r="O444" s="74">
        <v>0</v>
      </c>
      <c r="P444" s="74">
        <v>3739550</v>
      </c>
      <c r="Q444" s="74">
        <v>110138</v>
      </c>
      <c r="R444" s="74">
        <v>141132</v>
      </c>
      <c r="S444" s="75">
        <v>22.267299999999999</v>
      </c>
      <c r="T444" s="75">
        <v>16.0854</v>
      </c>
      <c r="U444" s="653">
        <v>6.1819000000000006</v>
      </c>
      <c r="V444" s="516">
        <f t="shared" ref="V444:BX444" si="722">SUM(V438:V443)</f>
        <v>20000</v>
      </c>
      <c r="W444" s="74">
        <f t="shared" si="722"/>
        <v>-20000</v>
      </c>
      <c r="X444" s="74">
        <f t="shared" si="722"/>
        <v>6189</v>
      </c>
      <c r="Y444" s="74">
        <f t="shared" si="722"/>
        <v>0</v>
      </c>
      <c r="Z444" s="74">
        <f t="shared" si="722"/>
        <v>0</v>
      </c>
      <c r="AA444" s="74">
        <f t="shared" si="722"/>
        <v>40568</v>
      </c>
      <c r="AB444" s="74">
        <f t="shared" si="722"/>
        <v>0</v>
      </c>
      <c r="AC444" s="74">
        <f t="shared" si="722"/>
        <v>0</v>
      </c>
      <c r="AD444" s="74">
        <f t="shared" si="722"/>
        <v>0</v>
      </c>
      <c r="AE444" s="74">
        <f t="shared" si="722"/>
        <v>26189</v>
      </c>
      <c r="AF444" s="74">
        <f t="shared" si="722"/>
        <v>20568</v>
      </c>
      <c r="AG444" s="74">
        <f t="shared" si="722"/>
        <v>46757</v>
      </c>
      <c r="AH444" s="74">
        <f t="shared" si="722"/>
        <v>-20000</v>
      </c>
      <c r="AI444" s="74">
        <f t="shared" si="722"/>
        <v>20000</v>
      </c>
      <c r="AJ444" s="74">
        <f t="shared" si="722"/>
        <v>0</v>
      </c>
      <c r="AK444" s="74">
        <f t="shared" si="722"/>
        <v>0</v>
      </c>
      <c r="AL444" s="74">
        <f t="shared" si="722"/>
        <v>0</v>
      </c>
      <c r="AM444" s="74">
        <f t="shared" si="722"/>
        <v>-20000</v>
      </c>
      <c r="AN444" s="74">
        <f t="shared" si="722"/>
        <v>20000</v>
      </c>
      <c r="AO444" s="74">
        <f t="shared" si="722"/>
        <v>0</v>
      </c>
      <c r="AP444" s="74">
        <f t="shared" si="722"/>
        <v>6189</v>
      </c>
      <c r="AQ444" s="74">
        <f t="shared" si="722"/>
        <v>40568</v>
      </c>
      <c r="AR444" s="74">
        <f t="shared" si="722"/>
        <v>46757</v>
      </c>
      <c r="AS444" s="74">
        <f t="shared" si="722"/>
        <v>15804</v>
      </c>
      <c r="AT444" s="74">
        <f t="shared" si="722"/>
        <v>468</v>
      </c>
      <c r="AU444" s="74">
        <f t="shared" si="722"/>
        <v>0</v>
      </c>
      <c r="AV444" s="74">
        <f t="shared" si="722"/>
        <v>0</v>
      </c>
      <c r="AW444" s="74">
        <f t="shared" si="722"/>
        <v>0</v>
      </c>
      <c r="AX444" s="74">
        <f t="shared" si="722"/>
        <v>0</v>
      </c>
      <c r="AY444" s="74">
        <f t="shared" si="722"/>
        <v>63029</v>
      </c>
      <c r="AZ444" s="75">
        <f t="shared" si="722"/>
        <v>0.03</v>
      </c>
      <c r="BA444" s="75">
        <f t="shared" si="722"/>
        <v>-0.06</v>
      </c>
      <c r="BB444" s="75">
        <f t="shared" si="722"/>
        <v>0.01</v>
      </c>
      <c r="BC444" s="75">
        <f t="shared" si="722"/>
        <v>0</v>
      </c>
      <c r="BD444" s="75">
        <f t="shared" si="722"/>
        <v>0.13</v>
      </c>
      <c r="BE444" s="75">
        <f t="shared" si="722"/>
        <v>0</v>
      </c>
      <c r="BF444" s="75">
        <f t="shared" si="722"/>
        <v>0</v>
      </c>
      <c r="BG444" s="75">
        <f t="shared" si="722"/>
        <v>0</v>
      </c>
      <c r="BH444" s="75">
        <f t="shared" si="722"/>
        <v>0</v>
      </c>
      <c r="BI444" s="75">
        <f t="shared" si="722"/>
        <v>0.04</v>
      </c>
      <c r="BJ444" s="75">
        <f t="shared" si="722"/>
        <v>7.0000000000000007E-2</v>
      </c>
      <c r="BK444" s="76">
        <f t="shared" si="722"/>
        <v>0.11000000000000001</v>
      </c>
      <c r="BL444" s="781">
        <f t="shared" si="722"/>
        <v>15117606</v>
      </c>
      <c r="BM444" s="74">
        <f t="shared" si="722"/>
        <v>11060514</v>
      </c>
      <c r="BN444" s="74">
        <f t="shared" si="722"/>
        <v>8970403</v>
      </c>
      <c r="BO444" s="74">
        <f t="shared" si="722"/>
        <v>2090111</v>
      </c>
      <c r="BP444" s="74">
        <f t="shared" si="722"/>
        <v>50000</v>
      </c>
      <c r="BQ444" s="74">
        <f t="shared" si="722"/>
        <v>30000</v>
      </c>
      <c r="BR444" s="74">
        <f t="shared" si="722"/>
        <v>20000</v>
      </c>
      <c r="BS444" s="74">
        <f t="shared" si="722"/>
        <v>3755354</v>
      </c>
      <c r="BT444" s="74">
        <f t="shared" si="722"/>
        <v>110606</v>
      </c>
      <c r="BU444" s="74">
        <f t="shared" si="722"/>
        <v>141132</v>
      </c>
      <c r="BV444" s="75">
        <f t="shared" si="722"/>
        <v>22.377299999999998</v>
      </c>
      <c r="BW444" s="75">
        <f t="shared" si="722"/>
        <v>16.125399999999999</v>
      </c>
      <c r="BX444" s="76">
        <f t="shared" si="722"/>
        <v>6.2519000000000009</v>
      </c>
      <c r="BY444" s="791">
        <f t="shared" ref="BY444:CJ444" si="723">SUM(BY438:BY443)</f>
        <v>0</v>
      </c>
      <c r="BZ444" s="679">
        <f t="shared" si="723"/>
        <v>0</v>
      </c>
      <c r="CA444" s="679">
        <f t="shared" si="723"/>
        <v>0</v>
      </c>
      <c r="CB444" s="679">
        <f t="shared" si="723"/>
        <v>0</v>
      </c>
      <c r="CC444" s="679">
        <f t="shared" si="723"/>
        <v>0</v>
      </c>
      <c r="CD444" s="947">
        <f t="shared" si="723"/>
        <v>0</v>
      </c>
      <c r="CE444" s="956">
        <f t="shared" si="723"/>
        <v>488443</v>
      </c>
      <c r="CF444" s="953">
        <f t="shared" si="723"/>
        <v>340594</v>
      </c>
      <c r="CG444" s="953">
        <f t="shared" si="723"/>
        <v>115121</v>
      </c>
      <c r="CH444" s="953">
        <f t="shared" si="723"/>
        <v>3406</v>
      </c>
      <c r="CI444" s="953">
        <f t="shared" si="723"/>
        <v>29322</v>
      </c>
      <c r="CJ444" s="877">
        <f t="shared" si="723"/>
        <v>1.0030000000000001</v>
      </c>
      <c r="CK444" s="53"/>
      <c r="CL444" s="53"/>
    </row>
    <row r="445" spans="1:90" ht="14.1" customHeight="1">
      <c r="A445" s="66">
        <v>86</v>
      </c>
      <c r="B445" s="63">
        <v>2498</v>
      </c>
      <c r="C445" s="64">
        <v>650021576</v>
      </c>
      <c r="D445" s="63">
        <v>70695539</v>
      </c>
      <c r="E445" s="65" t="s">
        <v>699</v>
      </c>
      <c r="F445" s="66">
        <v>3111</v>
      </c>
      <c r="G445" s="65" t="s">
        <v>290</v>
      </c>
      <c r="H445" s="67" t="s">
        <v>271</v>
      </c>
      <c r="I445" s="419">
        <v>5383550</v>
      </c>
      <c r="J445" s="414">
        <v>3913999</v>
      </c>
      <c r="K445" s="414">
        <v>3619945</v>
      </c>
      <c r="L445" s="414">
        <v>294054</v>
      </c>
      <c r="M445" s="414">
        <v>60000</v>
      </c>
      <c r="N445" s="414">
        <v>60000</v>
      </c>
      <c r="O445" s="414">
        <v>0</v>
      </c>
      <c r="P445" s="595">
        <v>1343211</v>
      </c>
      <c r="Q445" s="595">
        <v>39140</v>
      </c>
      <c r="R445" s="414">
        <v>27200</v>
      </c>
      <c r="S445" s="415">
        <v>7.0781000000000001</v>
      </c>
      <c r="T445" s="415">
        <v>5.8999999999999995</v>
      </c>
      <c r="U445" s="422">
        <v>1.1781000000000001</v>
      </c>
      <c r="V445" s="423">
        <f t="shared" si="637"/>
        <v>60000</v>
      </c>
      <c r="W445" s="417">
        <f t="shared" si="638"/>
        <v>0</v>
      </c>
      <c r="X445" s="417">
        <v>0</v>
      </c>
      <c r="Y445" s="417">
        <v>0</v>
      </c>
      <c r="Z445" s="417">
        <v>0</v>
      </c>
      <c r="AA445" s="417">
        <v>0</v>
      </c>
      <c r="AB445" s="417">
        <v>0</v>
      </c>
      <c r="AC445" s="417">
        <v>0</v>
      </c>
      <c r="AD445" s="417">
        <v>0</v>
      </c>
      <c r="AE445" s="417">
        <f t="shared" si="639"/>
        <v>60000</v>
      </c>
      <c r="AF445" s="417">
        <f t="shared" si="640"/>
        <v>0</v>
      </c>
      <c r="AG445" s="417">
        <f t="shared" si="641"/>
        <v>60000</v>
      </c>
      <c r="AH445" s="417">
        <v>-60000</v>
      </c>
      <c r="AI445" s="417">
        <v>0</v>
      </c>
      <c r="AJ445" s="417">
        <v>0</v>
      </c>
      <c r="AK445" s="417">
        <v>0</v>
      </c>
      <c r="AL445" s="417">
        <v>0</v>
      </c>
      <c r="AM445" s="417">
        <f t="shared" si="642"/>
        <v>-60000</v>
      </c>
      <c r="AN445" s="417">
        <f t="shared" si="643"/>
        <v>0</v>
      </c>
      <c r="AO445" s="417">
        <f t="shared" si="644"/>
        <v>-60000</v>
      </c>
      <c r="AP445" s="417">
        <f t="shared" si="645"/>
        <v>0</v>
      </c>
      <c r="AQ445" s="417">
        <f t="shared" si="646"/>
        <v>0</v>
      </c>
      <c r="AR445" s="417">
        <f t="shared" si="647"/>
        <v>0</v>
      </c>
      <c r="AS445" s="68">
        <f t="shared" si="648"/>
        <v>0</v>
      </c>
      <c r="AT445" s="68">
        <f t="shared" si="649"/>
        <v>600</v>
      </c>
      <c r="AU445" s="417">
        <v>0</v>
      </c>
      <c r="AV445" s="417">
        <v>0</v>
      </c>
      <c r="AW445" s="417">
        <v>0</v>
      </c>
      <c r="AX445" s="417">
        <f t="shared" si="650"/>
        <v>0</v>
      </c>
      <c r="AY445" s="417">
        <f t="shared" si="651"/>
        <v>600</v>
      </c>
      <c r="AZ445" s="418">
        <v>0.1</v>
      </c>
      <c r="BA445" s="418">
        <v>0</v>
      </c>
      <c r="BB445" s="418">
        <v>0</v>
      </c>
      <c r="BC445" s="418">
        <v>0</v>
      </c>
      <c r="BD445" s="418">
        <v>0</v>
      </c>
      <c r="BE445" s="418">
        <v>0</v>
      </c>
      <c r="BF445" s="418">
        <v>0</v>
      </c>
      <c r="BG445" s="418">
        <v>0</v>
      </c>
      <c r="BH445" s="418">
        <v>0</v>
      </c>
      <c r="BI445" s="418">
        <f t="shared" si="652"/>
        <v>0.1</v>
      </c>
      <c r="BJ445" s="418">
        <f t="shared" si="653"/>
        <v>0</v>
      </c>
      <c r="BK445" s="420">
        <f t="shared" si="654"/>
        <v>0.1</v>
      </c>
      <c r="BL445" s="772">
        <f t="shared" ref="BL445:BL450" si="724">I445+AY445</f>
        <v>5384150</v>
      </c>
      <c r="BM445" s="417">
        <f t="shared" ref="BM445:BM450" si="725">J445+AG445</f>
        <v>3973999</v>
      </c>
      <c r="BN445" s="417">
        <f t="shared" ref="BN445:BO450" si="726">K445+AE445</f>
        <v>3679945</v>
      </c>
      <c r="BO445" s="417">
        <f t="shared" si="726"/>
        <v>294054</v>
      </c>
      <c r="BP445" s="417">
        <f t="shared" ref="BP445:BP450" si="727">M445+AO445</f>
        <v>0</v>
      </c>
      <c r="BQ445" s="417">
        <f t="shared" ref="BQ445:BR450" si="728">N445+AM445</f>
        <v>0</v>
      </c>
      <c r="BR445" s="417">
        <f t="shared" si="728"/>
        <v>0</v>
      </c>
      <c r="BS445" s="417">
        <f t="shared" ref="BS445:BT450" si="729">P445+AS445</f>
        <v>1343211</v>
      </c>
      <c r="BT445" s="417">
        <f t="shared" si="729"/>
        <v>39740</v>
      </c>
      <c r="BU445" s="417">
        <f t="shared" ref="BU445:BU450" si="730">R445+AX445</f>
        <v>27200</v>
      </c>
      <c r="BV445" s="418">
        <f t="shared" ref="BV445:BV450" si="731">S445+BK445</f>
        <v>7.1780999999999997</v>
      </c>
      <c r="BW445" s="418">
        <f t="shared" ref="BW445:BX450" si="732">T445+BI445</f>
        <v>5.9999999999999991</v>
      </c>
      <c r="BX445" s="420">
        <f t="shared" si="732"/>
        <v>1.1781000000000001</v>
      </c>
      <c r="BY445" s="419"/>
      <c r="BZ445" s="414"/>
      <c r="CA445" s="414"/>
      <c r="CB445" s="414"/>
      <c r="CC445" s="414"/>
      <c r="CD445" s="422"/>
      <c r="CE445" s="419">
        <f t="shared" si="655"/>
        <v>136228</v>
      </c>
      <c r="CF445" s="414">
        <v>94350</v>
      </c>
      <c r="CG445" s="414">
        <f>ROUND(CF445*33.8%,0)</f>
        <v>31890</v>
      </c>
      <c r="CH445" s="414">
        <f>ROUND(CF445*1%,0)</f>
        <v>944</v>
      </c>
      <c r="CI445" s="414">
        <v>9044</v>
      </c>
      <c r="CJ445" s="509">
        <v>0.378</v>
      </c>
      <c r="CK445" s="53"/>
      <c r="CL445" s="53"/>
    </row>
    <row r="446" spans="1:90" ht="14.1" customHeight="1">
      <c r="A446" s="66">
        <v>86</v>
      </c>
      <c r="B446" s="63">
        <v>2498</v>
      </c>
      <c r="C446" s="64">
        <v>650021576</v>
      </c>
      <c r="D446" s="63">
        <v>70695539</v>
      </c>
      <c r="E446" s="65" t="s">
        <v>699</v>
      </c>
      <c r="F446" s="66">
        <v>3113</v>
      </c>
      <c r="G446" s="65" t="s">
        <v>293</v>
      </c>
      <c r="H446" s="67" t="s">
        <v>271</v>
      </c>
      <c r="I446" s="419">
        <v>20815771</v>
      </c>
      <c r="J446" s="414">
        <v>15112642</v>
      </c>
      <c r="K446" s="414">
        <v>13297111</v>
      </c>
      <c r="L446" s="414">
        <v>1815531</v>
      </c>
      <c r="M446" s="414">
        <v>80000</v>
      </c>
      <c r="N446" s="414">
        <v>30000</v>
      </c>
      <c r="O446" s="414">
        <v>50000</v>
      </c>
      <c r="P446" s="595">
        <v>5135113</v>
      </c>
      <c r="Q446" s="595">
        <v>151126</v>
      </c>
      <c r="R446" s="414">
        <v>336890</v>
      </c>
      <c r="S446" s="415">
        <v>24.618000000000002</v>
      </c>
      <c r="T446" s="415">
        <v>19.090900000000001</v>
      </c>
      <c r="U446" s="422">
        <v>5.5270999999999999</v>
      </c>
      <c r="V446" s="423">
        <f t="shared" si="637"/>
        <v>30000</v>
      </c>
      <c r="W446" s="417">
        <f t="shared" si="638"/>
        <v>30400</v>
      </c>
      <c r="X446" s="417">
        <v>0</v>
      </c>
      <c r="Y446" s="417">
        <v>0</v>
      </c>
      <c r="Z446" s="417">
        <v>128985</v>
      </c>
      <c r="AA446" s="417">
        <v>0</v>
      </c>
      <c r="AB446" s="417">
        <v>0</v>
      </c>
      <c r="AC446" s="417">
        <v>0</v>
      </c>
      <c r="AD446" s="417">
        <v>0</v>
      </c>
      <c r="AE446" s="417">
        <f t="shared" si="639"/>
        <v>158985</v>
      </c>
      <c r="AF446" s="417">
        <f t="shared" si="640"/>
        <v>30400</v>
      </c>
      <c r="AG446" s="417">
        <f t="shared" si="641"/>
        <v>189385</v>
      </c>
      <c r="AH446" s="417">
        <v>-30000</v>
      </c>
      <c r="AI446" s="417">
        <v>-30400</v>
      </c>
      <c r="AJ446" s="417">
        <v>0</v>
      </c>
      <c r="AK446" s="417">
        <v>0</v>
      </c>
      <c r="AL446" s="417">
        <v>0</v>
      </c>
      <c r="AM446" s="417">
        <f t="shared" si="642"/>
        <v>-30000</v>
      </c>
      <c r="AN446" s="417">
        <f t="shared" si="643"/>
        <v>-30400</v>
      </c>
      <c r="AO446" s="417">
        <f t="shared" si="644"/>
        <v>-60400</v>
      </c>
      <c r="AP446" s="417">
        <f t="shared" si="645"/>
        <v>128985</v>
      </c>
      <c r="AQ446" s="417">
        <f t="shared" si="646"/>
        <v>0</v>
      </c>
      <c r="AR446" s="417">
        <f t="shared" si="647"/>
        <v>128985</v>
      </c>
      <c r="AS446" s="68">
        <f t="shared" si="648"/>
        <v>43597</v>
      </c>
      <c r="AT446" s="68">
        <f t="shared" si="649"/>
        <v>1894</v>
      </c>
      <c r="AU446" s="417">
        <v>0</v>
      </c>
      <c r="AV446" s="417">
        <v>0</v>
      </c>
      <c r="AW446" s="417">
        <v>0</v>
      </c>
      <c r="AX446" s="417">
        <f t="shared" si="650"/>
        <v>0</v>
      </c>
      <c r="AY446" s="417">
        <f t="shared" si="651"/>
        <v>174476</v>
      </c>
      <c r="AZ446" s="418">
        <v>0</v>
      </c>
      <c r="BA446" s="418">
        <v>-0.06</v>
      </c>
      <c r="BB446" s="418">
        <v>0</v>
      </c>
      <c r="BC446" s="418">
        <v>0.26</v>
      </c>
      <c r="BD446" s="418">
        <v>0</v>
      </c>
      <c r="BE446" s="418">
        <v>0</v>
      </c>
      <c r="BF446" s="418">
        <v>0</v>
      </c>
      <c r="BG446" s="418">
        <v>0</v>
      </c>
      <c r="BH446" s="418">
        <v>0</v>
      </c>
      <c r="BI446" s="418">
        <f t="shared" si="652"/>
        <v>0.26</v>
      </c>
      <c r="BJ446" s="418">
        <f t="shared" si="653"/>
        <v>-0.06</v>
      </c>
      <c r="BK446" s="420">
        <f t="shared" si="654"/>
        <v>0.2</v>
      </c>
      <c r="BL446" s="772">
        <f t="shared" si="724"/>
        <v>20990247</v>
      </c>
      <c r="BM446" s="417">
        <f t="shared" si="725"/>
        <v>15302027</v>
      </c>
      <c r="BN446" s="417">
        <f t="shared" si="726"/>
        <v>13456096</v>
      </c>
      <c r="BO446" s="417">
        <f t="shared" si="726"/>
        <v>1845931</v>
      </c>
      <c r="BP446" s="417">
        <f t="shared" si="727"/>
        <v>19600</v>
      </c>
      <c r="BQ446" s="417">
        <f t="shared" si="728"/>
        <v>0</v>
      </c>
      <c r="BR446" s="417">
        <f t="shared" si="728"/>
        <v>19600</v>
      </c>
      <c r="BS446" s="417">
        <f t="shared" si="729"/>
        <v>5178710</v>
      </c>
      <c r="BT446" s="417">
        <f t="shared" si="729"/>
        <v>153020</v>
      </c>
      <c r="BU446" s="417">
        <f t="shared" si="730"/>
        <v>336890</v>
      </c>
      <c r="BV446" s="418">
        <f t="shared" si="731"/>
        <v>24.818000000000001</v>
      </c>
      <c r="BW446" s="418">
        <f t="shared" si="732"/>
        <v>19.350900000000003</v>
      </c>
      <c r="BX446" s="420">
        <f t="shared" si="732"/>
        <v>5.4671000000000003</v>
      </c>
      <c r="BY446" s="419">
        <v>380136</v>
      </c>
      <c r="BZ446" s="414">
        <v>282000</v>
      </c>
      <c r="CA446" s="414">
        <v>0</v>
      </c>
      <c r="CB446" s="414">
        <v>95316</v>
      </c>
      <c r="CC446" s="414">
        <v>2820</v>
      </c>
      <c r="CD446" s="422">
        <v>0.5</v>
      </c>
      <c r="CE446" s="419">
        <f t="shared" si="655"/>
        <v>885773</v>
      </c>
      <c r="CF446" s="414">
        <v>598728</v>
      </c>
      <c r="CG446" s="414">
        <v>202370</v>
      </c>
      <c r="CH446" s="414">
        <v>5987</v>
      </c>
      <c r="CI446" s="414">
        <v>78688</v>
      </c>
      <c r="CJ446" s="509">
        <v>1.774</v>
      </c>
      <c r="CK446" s="53"/>
      <c r="CL446" s="53"/>
    </row>
    <row r="447" spans="1:90" ht="14.1" customHeight="1">
      <c r="A447" s="66">
        <v>86</v>
      </c>
      <c r="B447" s="63">
        <v>2498</v>
      </c>
      <c r="C447" s="64">
        <v>650021576</v>
      </c>
      <c r="D447" s="63">
        <v>70695539</v>
      </c>
      <c r="E447" s="65" t="s">
        <v>699</v>
      </c>
      <c r="F447" s="66">
        <v>3113</v>
      </c>
      <c r="G447" s="77" t="s">
        <v>291</v>
      </c>
      <c r="H447" s="67" t="s">
        <v>272</v>
      </c>
      <c r="I447" s="419">
        <v>2744962</v>
      </c>
      <c r="J447" s="414">
        <v>2033355</v>
      </c>
      <c r="K447" s="414">
        <v>2033355</v>
      </c>
      <c r="L447" s="414">
        <v>0</v>
      </c>
      <c r="M447" s="414">
        <v>0</v>
      </c>
      <c r="N447" s="414">
        <v>0</v>
      </c>
      <c r="O447" s="414">
        <v>0</v>
      </c>
      <c r="P447" s="595">
        <v>687274</v>
      </c>
      <c r="Q447" s="595">
        <v>20333</v>
      </c>
      <c r="R447" s="414">
        <v>4000</v>
      </c>
      <c r="S447" s="415">
        <v>5.3299999999999992</v>
      </c>
      <c r="T447" s="416">
        <v>5.3299999999999992</v>
      </c>
      <c r="U447" s="422">
        <v>0</v>
      </c>
      <c r="V447" s="423">
        <f t="shared" si="637"/>
        <v>0</v>
      </c>
      <c r="W447" s="417">
        <f t="shared" si="638"/>
        <v>0</v>
      </c>
      <c r="X447" s="417">
        <v>0</v>
      </c>
      <c r="Y447" s="417">
        <v>0</v>
      </c>
      <c r="Z447" s="417">
        <v>0</v>
      </c>
      <c r="AA447" s="417">
        <v>0</v>
      </c>
      <c r="AB447" s="417">
        <v>0</v>
      </c>
      <c r="AC447" s="417">
        <v>0</v>
      </c>
      <c r="AD447" s="417">
        <v>0</v>
      </c>
      <c r="AE447" s="417">
        <f t="shared" si="639"/>
        <v>0</v>
      </c>
      <c r="AF447" s="417">
        <f t="shared" si="640"/>
        <v>0</v>
      </c>
      <c r="AG447" s="417">
        <f t="shared" si="641"/>
        <v>0</v>
      </c>
      <c r="AH447" s="417">
        <v>0</v>
      </c>
      <c r="AI447" s="417">
        <v>0</v>
      </c>
      <c r="AJ447" s="417">
        <v>0</v>
      </c>
      <c r="AK447" s="417">
        <v>0</v>
      </c>
      <c r="AL447" s="417">
        <v>0</v>
      </c>
      <c r="AM447" s="417">
        <f t="shared" si="642"/>
        <v>0</v>
      </c>
      <c r="AN447" s="417">
        <f t="shared" si="643"/>
        <v>0</v>
      </c>
      <c r="AO447" s="417">
        <f t="shared" si="644"/>
        <v>0</v>
      </c>
      <c r="AP447" s="417">
        <f t="shared" si="645"/>
        <v>0</v>
      </c>
      <c r="AQ447" s="417">
        <f t="shared" si="646"/>
        <v>0</v>
      </c>
      <c r="AR447" s="417">
        <f t="shared" si="647"/>
        <v>0</v>
      </c>
      <c r="AS447" s="68">
        <f t="shared" si="648"/>
        <v>0</v>
      </c>
      <c r="AT447" s="68">
        <f t="shared" si="649"/>
        <v>0</v>
      </c>
      <c r="AU447" s="417">
        <v>0</v>
      </c>
      <c r="AV447" s="417">
        <v>0</v>
      </c>
      <c r="AW447" s="417">
        <v>0</v>
      </c>
      <c r="AX447" s="417">
        <f t="shared" si="650"/>
        <v>0</v>
      </c>
      <c r="AY447" s="417">
        <f t="shared" si="651"/>
        <v>0</v>
      </c>
      <c r="AZ447" s="418">
        <v>0</v>
      </c>
      <c r="BA447" s="418">
        <v>0</v>
      </c>
      <c r="BB447" s="418">
        <v>0</v>
      </c>
      <c r="BC447" s="418">
        <v>0</v>
      </c>
      <c r="BD447" s="418">
        <v>0</v>
      </c>
      <c r="BE447" s="418">
        <v>0</v>
      </c>
      <c r="BF447" s="418">
        <v>0</v>
      </c>
      <c r="BG447" s="418">
        <v>0</v>
      </c>
      <c r="BH447" s="418">
        <v>0</v>
      </c>
      <c r="BI447" s="418">
        <f t="shared" si="652"/>
        <v>0</v>
      </c>
      <c r="BJ447" s="418">
        <f t="shared" si="653"/>
        <v>0</v>
      </c>
      <c r="BK447" s="420">
        <f t="shared" si="654"/>
        <v>0</v>
      </c>
      <c r="BL447" s="772">
        <f t="shared" si="724"/>
        <v>2744962</v>
      </c>
      <c r="BM447" s="417">
        <f t="shared" si="725"/>
        <v>2033355</v>
      </c>
      <c r="BN447" s="417">
        <f t="shared" si="726"/>
        <v>2033355</v>
      </c>
      <c r="BO447" s="417">
        <f t="shared" si="726"/>
        <v>0</v>
      </c>
      <c r="BP447" s="417">
        <f t="shared" si="727"/>
        <v>0</v>
      </c>
      <c r="BQ447" s="417">
        <f t="shared" si="728"/>
        <v>0</v>
      </c>
      <c r="BR447" s="417">
        <f t="shared" si="728"/>
        <v>0</v>
      </c>
      <c r="BS447" s="417">
        <f t="shared" si="729"/>
        <v>687274</v>
      </c>
      <c r="BT447" s="417">
        <f t="shared" si="729"/>
        <v>20333</v>
      </c>
      <c r="BU447" s="417">
        <f t="shared" si="730"/>
        <v>4000</v>
      </c>
      <c r="BV447" s="418">
        <f t="shared" si="731"/>
        <v>5.3299999999999992</v>
      </c>
      <c r="BW447" s="418">
        <f t="shared" si="732"/>
        <v>5.3299999999999992</v>
      </c>
      <c r="BX447" s="420">
        <f t="shared" si="732"/>
        <v>0</v>
      </c>
      <c r="BY447" s="419"/>
      <c r="BZ447" s="414"/>
      <c r="CA447" s="414"/>
      <c r="CB447" s="414"/>
      <c r="CC447" s="414"/>
      <c r="CD447" s="422"/>
      <c r="CE447" s="419">
        <f t="shared" si="655"/>
        <v>0</v>
      </c>
      <c r="CF447" s="414">
        <v>0</v>
      </c>
      <c r="CG447" s="414">
        <v>0</v>
      </c>
      <c r="CH447" s="414">
        <v>0</v>
      </c>
      <c r="CI447" s="414">
        <v>0</v>
      </c>
      <c r="CJ447" s="509">
        <v>0</v>
      </c>
      <c r="CK447" s="53"/>
      <c r="CL447" s="53"/>
    </row>
    <row r="448" spans="1:90" ht="14.1" customHeight="1">
      <c r="A448" s="66">
        <v>86</v>
      </c>
      <c r="B448" s="63">
        <v>2498</v>
      </c>
      <c r="C448" s="64">
        <v>650021576</v>
      </c>
      <c r="D448" s="63">
        <v>70695539</v>
      </c>
      <c r="E448" s="65" t="s">
        <v>699</v>
      </c>
      <c r="F448" s="66">
        <v>3141</v>
      </c>
      <c r="G448" s="65" t="s">
        <v>294</v>
      </c>
      <c r="H448" s="67" t="s">
        <v>272</v>
      </c>
      <c r="I448" s="419">
        <v>2754326</v>
      </c>
      <c r="J448" s="414">
        <v>1971903</v>
      </c>
      <c r="K448" s="414">
        <v>0</v>
      </c>
      <c r="L448" s="744">
        <v>1971903</v>
      </c>
      <c r="M448" s="414">
        <v>60000</v>
      </c>
      <c r="N448" s="204">
        <v>0</v>
      </c>
      <c r="O448" s="204">
        <v>60000</v>
      </c>
      <c r="P448" s="595">
        <v>686784</v>
      </c>
      <c r="Q448" s="595">
        <v>19719</v>
      </c>
      <c r="R448" s="601">
        <v>15920</v>
      </c>
      <c r="S448" s="415">
        <v>6.0966000000000005</v>
      </c>
      <c r="T448" s="603">
        <v>0</v>
      </c>
      <c r="U448" s="731">
        <v>6.0966000000000005</v>
      </c>
      <c r="V448" s="423">
        <f t="shared" si="637"/>
        <v>0</v>
      </c>
      <c r="W448" s="417">
        <f t="shared" si="638"/>
        <v>-24122</v>
      </c>
      <c r="X448" s="417">
        <v>0</v>
      </c>
      <c r="Y448" s="417">
        <v>0</v>
      </c>
      <c r="Z448" s="417">
        <v>0</v>
      </c>
      <c r="AA448" s="417">
        <v>-31780</v>
      </c>
      <c r="AB448" s="417">
        <v>0</v>
      </c>
      <c r="AC448" s="417">
        <v>0</v>
      </c>
      <c r="AD448" s="417">
        <v>0</v>
      </c>
      <c r="AE448" s="417">
        <f t="shared" si="639"/>
        <v>0</v>
      </c>
      <c r="AF448" s="417">
        <f t="shared" si="640"/>
        <v>-55902</v>
      </c>
      <c r="AG448" s="417">
        <f t="shared" si="641"/>
        <v>-55902</v>
      </c>
      <c r="AH448" s="417">
        <v>0</v>
      </c>
      <c r="AI448" s="417">
        <v>24122</v>
      </c>
      <c r="AJ448" s="417">
        <v>0</v>
      </c>
      <c r="AK448" s="417">
        <v>0</v>
      </c>
      <c r="AL448" s="417">
        <v>0</v>
      </c>
      <c r="AM448" s="417">
        <f t="shared" si="642"/>
        <v>0</v>
      </c>
      <c r="AN448" s="417">
        <f t="shared" si="643"/>
        <v>24122</v>
      </c>
      <c r="AO448" s="417">
        <f t="shared" si="644"/>
        <v>24122</v>
      </c>
      <c r="AP448" s="417">
        <f t="shared" si="645"/>
        <v>0</v>
      </c>
      <c r="AQ448" s="417">
        <f t="shared" si="646"/>
        <v>-31780</v>
      </c>
      <c r="AR448" s="417">
        <f t="shared" si="647"/>
        <v>-31780</v>
      </c>
      <c r="AS448" s="68">
        <f t="shared" si="648"/>
        <v>-10742</v>
      </c>
      <c r="AT448" s="68">
        <f t="shared" si="649"/>
        <v>-559</v>
      </c>
      <c r="AU448" s="417">
        <v>0</v>
      </c>
      <c r="AV448" s="417">
        <v>0</v>
      </c>
      <c r="AW448" s="417">
        <v>0</v>
      </c>
      <c r="AX448" s="417">
        <f t="shared" si="650"/>
        <v>0</v>
      </c>
      <c r="AY448" s="417">
        <f t="shared" si="651"/>
        <v>-43081</v>
      </c>
      <c r="AZ448" s="418">
        <v>0</v>
      </c>
      <c r="BA448" s="418">
        <v>-0.25</v>
      </c>
      <c r="BB448" s="418">
        <v>0</v>
      </c>
      <c r="BC448" s="418">
        <v>0</v>
      </c>
      <c r="BD448" s="418">
        <v>-0.1</v>
      </c>
      <c r="BE448" s="418">
        <v>0</v>
      </c>
      <c r="BF448" s="418">
        <v>0</v>
      </c>
      <c r="BG448" s="418">
        <v>0</v>
      </c>
      <c r="BH448" s="418">
        <v>0</v>
      </c>
      <c r="BI448" s="418">
        <f t="shared" si="652"/>
        <v>0</v>
      </c>
      <c r="BJ448" s="418">
        <f t="shared" si="653"/>
        <v>-0.35</v>
      </c>
      <c r="BK448" s="420">
        <f t="shared" si="654"/>
        <v>-0.35</v>
      </c>
      <c r="BL448" s="772">
        <f t="shared" si="724"/>
        <v>2711245</v>
      </c>
      <c r="BM448" s="417">
        <f t="shared" si="725"/>
        <v>1916001</v>
      </c>
      <c r="BN448" s="417">
        <f t="shared" si="726"/>
        <v>0</v>
      </c>
      <c r="BO448" s="417">
        <f t="shared" si="726"/>
        <v>1916001</v>
      </c>
      <c r="BP448" s="417">
        <f t="shared" si="727"/>
        <v>84122</v>
      </c>
      <c r="BQ448" s="417">
        <f t="shared" si="728"/>
        <v>0</v>
      </c>
      <c r="BR448" s="417">
        <f t="shared" si="728"/>
        <v>84122</v>
      </c>
      <c r="BS448" s="417">
        <f t="shared" si="729"/>
        <v>676042</v>
      </c>
      <c r="BT448" s="417">
        <f t="shared" si="729"/>
        <v>19160</v>
      </c>
      <c r="BU448" s="417">
        <f t="shared" si="730"/>
        <v>15920</v>
      </c>
      <c r="BV448" s="418">
        <f t="shared" si="731"/>
        <v>5.7466000000000008</v>
      </c>
      <c r="BW448" s="418">
        <f t="shared" si="732"/>
        <v>0</v>
      </c>
      <c r="BX448" s="420">
        <f t="shared" si="732"/>
        <v>5.7466000000000008</v>
      </c>
      <c r="BY448" s="419"/>
      <c r="BZ448" s="414"/>
      <c r="CA448" s="414"/>
      <c r="CB448" s="414"/>
      <c r="CC448" s="414"/>
      <c r="CD448" s="422"/>
      <c r="CE448" s="419">
        <f t="shared" si="655"/>
        <v>0</v>
      </c>
      <c r="CF448" s="414">
        <v>0</v>
      </c>
      <c r="CG448" s="414">
        <v>0</v>
      </c>
      <c r="CH448" s="414">
        <v>0</v>
      </c>
      <c r="CI448" s="414">
        <v>0</v>
      </c>
      <c r="CJ448" s="509">
        <v>0</v>
      </c>
      <c r="CK448" s="53"/>
      <c r="CL448" s="53"/>
    </row>
    <row r="449" spans="1:90" ht="14.1" customHeight="1">
      <c r="A449" s="66">
        <v>86</v>
      </c>
      <c r="B449" s="63">
        <v>2498</v>
      </c>
      <c r="C449" s="64">
        <v>650021576</v>
      </c>
      <c r="D449" s="63">
        <v>70695539</v>
      </c>
      <c r="E449" s="65" t="s">
        <v>699</v>
      </c>
      <c r="F449" s="66">
        <v>3143</v>
      </c>
      <c r="G449" s="77" t="s">
        <v>595</v>
      </c>
      <c r="H449" s="67" t="s">
        <v>271</v>
      </c>
      <c r="I449" s="419">
        <v>1668649</v>
      </c>
      <c r="J449" s="414">
        <v>1237870</v>
      </c>
      <c r="K449" s="414">
        <v>1237870</v>
      </c>
      <c r="L449" s="414">
        <v>0</v>
      </c>
      <c r="M449" s="414">
        <v>0</v>
      </c>
      <c r="N449" s="414">
        <v>0</v>
      </c>
      <c r="O449" s="414">
        <v>0</v>
      </c>
      <c r="P449" s="595">
        <v>418400</v>
      </c>
      <c r="Q449" s="595">
        <v>12379</v>
      </c>
      <c r="R449" s="414">
        <v>0</v>
      </c>
      <c r="S449" s="415">
        <v>2.5</v>
      </c>
      <c r="T449" s="415">
        <v>2.5</v>
      </c>
      <c r="U449" s="422">
        <v>0</v>
      </c>
      <c r="V449" s="423">
        <f t="shared" si="637"/>
        <v>0</v>
      </c>
      <c r="W449" s="417">
        <f t="shared" si="638"/>
        <v>0</v>
      </c>
      <c r="X449" s="417">
        <v>0</v>
      </c>
      <c r="Y449" s="417">
        <v>0</v>
      </c>
      <c r="Z449" s="417">
        <v>0</v>
      </c>
      <c r="AA449" s="417">
        <v>0</v>
      </c>
      <c r="AB449" s="417">
        <v>0</v>
      </c>
      <c r="AC449" s="417">
        <v>0</v>
      </c>
      <c r="AD449" s="417">
        <v>0</v>
      </c>
      <c r="AE449" s="417">
        <f t="shared" si="639"/>
        <v>0</v>
      </c>
      <c r="AF449" s="417">
        <f t="shared" si="640"/>
        <v>0</v>
      </c>
      <c r="AG449" s="417">
        <f t="shared" si="641"/>
        <v>0</v>
      </c>
      <c r="AH449" s="417">
        <v>0</v>
      </c>
      <c r="AI449" s="417">
        <v>0</v>
      </c>
      <c r="AJ449" s="417">
        <v>0</v>
      </c>
      <c r="AK449" s="417">
        <v>0</v>
      </c>
      <c r="AL449" s="417">
        <v>0</v>
      </c>
      <c r="AM449" s="417">
        <f t="shared" si="642"/>
        <v>0</v>
      </c>
      <c r="AN449" s="417">
        <f t="shared" si="643"/>
        <v>0</v>
      </c>
      <c r="AO449" s="417">
        <f t="shared" si="644"/>
        <v>0</v>
      </c>
      <c r="AP449" s="417">
        <f t="shared" si="645"/>
        <v>0</v>
      </c>
      <c r="AQ449" s="417">
        <f t="shared" si="646"/>
        <v>0</v>
      </c>
      <c r="AR449" s="417">
        <f t="shared" si="647"/>
        <v>0</v>
      </c>
      <c r="AS449" s="68">
        <f t="shared" si="648"/>
        <v>0</v>
      </c>
      <c r="AT449" s="68">
        <f t="shared" si="649"/>
        <v>0</v>
      </c>
      <c r="AU449" s="417">
        <v>0</v>
      </c>
      <c r="AV449" s="417">
        <v>0</v>
      </c>
      <c r="AW449" s="417">
        <v>0</v>
      </c>
      <c r="AX449" s="417">
        <f t="shared" si="650"/>
        <v>0</v>
      </c>
      <c r="AY449" s="417">
        <f t="shared" si="651"/>
        <v>0</v>
      </c>
      <c r="AZ449" s="418">
        <v>0</v>
      </c>
      <c r="BA449" s="418">
        <v>0</v>
      </c>
      <c r="BB449" s="418">
        <v>0</v>
      </c>
      <c r="BC449" s="418">
        <v>0</v>
      </c>
      <c r="BD449" s="418">
        <v>0</v>
      </c>
      <c r="BE449" s="418">
        <v>0</v>
      </c>
      <c r="BF449" s="418">
        <v>0</v>
      </c>
      <c r="BG449" s="418">
        <v>0</v>
      </c>
      <c r="BH449" s="418">
        <v>0</v>
      </c>
      <c r="BI449" s="418">
        <f t="shared" si="652"/>
        <v>0</v>
      </c>
      <c r="BJ449" s="418">
        <f t="shared" si="653"/>
        <v>0</v>
      </c>
      <c r="BK449" s="420">
        <f t="shared" si="654"/>
        <v>0</v>
      </c>
      <c r="BL449" s="772">
        <f t="shared" si="724"/>
        <v>1668649</v>
      </c>
      <c r="BM449" s="417">
        <f t="shared" si="725"/>
        <v>1237870</v>
      </c>
      <c r="BN449" s="417">
        <f t="shared" si="726"/>
        <v>1237870</v>
      </c>
      <c r="BO449" s="417">
        <f t="shared" si="726"/>
        <v>0</v>
      </c>
      <c r="BP449" s="417">
        <f t="shared" si="727"/>
        <v>0</v>
      </c>
      <c r="BQ449" s="417">
        <f t="shared" si="728"/>
        <v>0</v>
      </c>
      <c r="BR449" s="417">
        <f t="shared" si="728"/>
        <v>0</v>
      </c>
      <c r="BS449" s="417">
        <f t="shared" si="729"/>
        <v>418400</v>
      </c>
      <c r="BT449" s="417">
        <f t="shared" si="729"/>
        <v>12379</v>
      </c>
      <c r="BU449" s="417">
        <f t="shared" si="730"/>
        <v>0</v>
      </c>
      <c r="BV449" s="418">
        <f t="shared" si="731"/>
        <v>2.5</v>
      </c>
      <c r="BW449" s="418">
        <f t="shared" si="732"/>
        <v>2.5</v>
      </c>
      <c r="BX449" s="420">
        <f t="shared" si="732"/>
        <v>0</v>
      </c>
      <c r="BY449" s="419"/>
      <c r="BZ449" s="414"/>
      <c r="CA449" s="414"/>
      <c r="CB449" s="414"/>
      <c r="CC449" s="414"/>
      <c r="CD449" s="422"/>
      <c r="CE449" s="419">
        <f t="shared" si="655"/>
        <v>0</v>
      </c>
      <c r="CF449" s="414">
        <v>0</v>
      </c>
      <c r="CG449" s="414">
        <v>0</v>
      </c>
      <c r="CH449" s="414">
        <v>0</v>
      </c>
      <c r="CI449" s="414">
        <v>0</v>
      </c>
      <c r="CJ449" s="509">
        <v>0</v>
      </c>
      <c r="CK449" s="53"/>
      <c r="CL449" s="53"/>
    </row>
    <row r="450" spans="1:90" ht="14.1" customHeight="1">
      <c r="A450" s="66">
        <v>86</v>
      </c>
      <c r="B450" s="63">
        <v>2498</v>
      </c>
      <c r="C450" s="64">
        <v>650021576</v>
      </c>
      <c r="D450" s="63">
        <v>70695539</v>
      </c>
      <c r="E450" s="65" t="s">
        <v>699</v>
      </c>
      <c r="F450" s="66">
        <v>3143</v>
      </c>
      <c r="G450" s="77" t="s">
        <v>596</v>
      </c>
      <c r="H450" s="67" t="s">
        <v>272</v>
      </c>
      <c r="I450" s="419">
        <v>59166</v>
      </c>
      <c r="J450" s="414">
        <v>42350</v>
      </c>
      <c r="K450" s="414">
        <v>0</v>
      </c>
      <c r="L450" s="601">
        <v>42350</v>
      </c>
      <c r="M450" s="414">
        <v>0</v>
      </c>
      <c r="N450" s="414">
        <v>0</v>
      </c>
      <c r="O450" s="414">
        <v>0</v>
      </c>
      <c r="P450" s="595">
        <v>14314</v>
      </c>
      <c r="Q450" s="595">
        <v>423</v>
      </c>
      <c r="R450" s="602">
        <v>2079</v>
      </c>
      <c r="S450" s="415">
        <v>0.15689999999999998</v>
      </c>
      <c r="T450" s="605">
        <v>0</v>
      </c>
      <c r="U450" s="731">
        <v>0.15689999999999998</v>
      </c>
      <c r="V450" s="423">
        <f t="shared" si="637"/>
        <v>0</v>
      </c>
      <c r="W450" s="417">
        <f t="shared" si="638"/>
        <v>0</v>
      </c>
      <c r="X450" s="417">
        <v>0</v>
      </c>
      <c r="Y450" s="417">
        <v>0</v>
      </c>
      <c r="Z450" s="417">
        <v>0</v>
      </c>
      <c r="AA450" s="417">
        <v>0</v>
      </c>
      <c r="AB450" s="417">
        <v>0</v>
      </c>
      <c r="AC450" s="417">
        <v>0</v>
      </c>
      <c r="AD450" s="417">
        <v>0</v>
      </c>
      <c r="AE450" s="417">
        <f t="shared" si="639"/>
        <v>0</v>
      </c>
      <c r="AF450" s="417">
        <f t="shared" si="640"/>
        <v>0</v>
      </c>
      <c r="AG450" s="417">
        <f t="shared" si="641"/>
        <v>0</v>
      </c>
      <c r="AH450" s="417">
        <v>0</v>
      </c>
      <c r="AI450" s="417">
        <v>0</v>
      </c>
      <c r="AJ450" s="417">
        <v>0</v>
      </c>
      <c r="AK450" s="417">
        <v>0</v>
      </c>
      <c r="AL450" s="417">
        <v>0</v>
      </c>
      <c r="AM450" s="417">
        <f t="shared" si="642"/>
        <v>0</v>
      </c>
      <c r="AN450" s="417">
        <f t="shared" si="643"/>
        <v>0</v>
      </c>
      <c r="AO450" s="417">
        <f t="shared" si="644"/>
        <v>0</v>
      </c>
      <c r="AP450" s="417">
        <f t="shared" si="645"/>
        <v>0</v>
      </c>
      <c r="AQ450" s="417">
        <f t="shared" si="646"/>
        <v>0</v>
      </c>
      <c r="AR450" s="417">
        <f t="shared" si="647"/>
        <v>0</v>
      </c>
      <c r="AS450" s="68">
        <f t="shared" si="648"/>
        <v>0</v>
      </c>
      <c r="AT450" s="68">
        <f t="shared" si="649"/>
        <v>0</v>
      </c>
      <c r="AU450" s="417">
        <v>0</v>
      </c>
      <c r="AV450" s="417">
        <v>0</v>
      </c>
      <c r="AW450" s="417">
        <v>0</v>
      </c>
      <c r="AX450" s="417">
        <f t="shared" si="650"/>
        <v>0</v>
      </c>
      <c r="AY450" s="417">
        <f t="shared" si="651"/>
        <v>0</v>
      </c>
      <c r="AZ450" s="418">
        <v>0</v>
      </c>
      <c r="BA450" s="418">
        <v>0</v>
      </c>
      <c r="BB450" s="418">
        <v>0</v>
      </c>
      <c r="BC450" s="418">
        <v>0</v>
      </c>
      <c r="BD450" s="418">
        <v>0</v>
      </c>
      <c r="BE450" s="418">
        <v>0</v>
      </c>
      <c r="BF450" s="418">
        <v>0</v>
      </c>
      <c r="BG450" s="418">
        <v>0</v>
      </c>
      <c r="BH450" s="418">
        <v>0</v>
      </c>
      <c r="BI450" s="418">
        <f t="shared" si="652"/>
        <v>0</v>
      </c>
      <c r="BJ450" s="418">
        <f t="shared" si="653"/>
        <v>0</v>
      </c>
      <c r="BK450" s="420">
        <f t="shared" si="654"/>
        <v>0</v>
      </c>
      <c r="BL450" s="772">
        <f t="shared" si="724"/>
        <v>59166</v>
      </c>
      <c r="BM450" s="417">
        <f t="shared" si="725"/>
        <v>42350</v>
      </c>
      <c r="BN450" s="417">
        <f t="shared" si="726"/>
        <v>0</v>
      </c>
      <c r="BO450" s="417">
        <f t="shared" si="726"/>
        <v>42350</v>
      </c>
      <c r="BP450" s="417">
        <f t="shared" si="727"/>
        <v>0</v>
      </c>
      <c r="BQ450" s="417">
        <f t="shared" si="728"/>
        <v>0</v>
      </c>
      <c r="BR450" s="417">
        <f t="shared" si="728"/>
        <v>0</v>
      </c>
      <c r="BS450" s="417">
        <f t="shared" si="729"/>
        <v>14314</v>
      </c>
      <c r="BT450" s="417">
        <f t="shared" si="729"/>
        <v>423</v>
      </c>
      <c r="BU450" s="417">
        <f t="shared" si="730"/>
        <v>2079</v>
      </c>
      <c r="BV450" s="418">
        <f t="shared" si="731"/>
        <v>0.15689999999999998</v>
      </c>
      <c r="BW450" s="418">
        <f t="shared" si="732"/>
        <v>0</v>
      </c>
      <c r="BX450" s="420">
        <f t="shared" si="732"/>
        <v>0.15689999999999998</v>
      </c>
      <c r="BY450" s="419"/>
      <c r="BZ450" s="414"/>
      <c r="CA450" s="414"/>
      <c r="CB450" s="414"/>
      <c r="CC450" s="414"/>
      <c r="CD450" s="422"/>
      <c r="CE450" s="419">
        <f t="shared" si="655"/>
        <v>0</v>
      </c>
      <c r="CF450" s="414">
        <v>0</v>
      </c>
      <c r="CG450" s="414">
        <v>0</v>
      </c>
      <c r="CH450" s="414">
        <v>0</v>
      </c>
      <c r="CI450" s="414">
        <v>0</v>
      </c>
      <c r="CJ450" s="509">
        <v>0</v>
      </c>
      <c r="CK450" s="53"/>
      <c r="CL450" s="53"/>
    </row>
    <row r="451" spans="1:90" ht="14.1" customHeight="1">
      <c r="A451" s="72">
        <v>86</v>
      </c>
      <c r="B451" s="69">
        <v>2498</v>
      </c>
      <c r="C451" s="70">
        <v>650021576</v>
      </c>
      <c r="D451" s="69">
        <v>70695539</v>
      </c>
      <c r="E451" s="71" t="s">
        <v>700</v>
      </c>
      <c r="F451" s="72"/>
      <c r="G451" s="71"/>
      <c r="H451" s="73"/>
      <c r="I451" s="516">
        <v>33426424</v>
      </c>
      <c r="J451" s="74">
        <v>24312119</v>
      </c>
      <c r="K451" s="74">
        <v>20188281</v>
      </c>
      <c r="L451" s="74">
        <v>4123838</v>
      </c>
      <c r="M451" s="74">
        <v>200000</v>
      </c>
      <c r="N451" s="74">
        <v>90000</v>
      </c>
      <c r="O451" s="74">
        <v>110000</v>
      </c>
      <c r="P451" s="74">
        <v>8285096</v>
      </c>
      <c r="Q451" s="74">
        <v>243120</v>
      </c>
      <c r="R451" s="74">
        <v>386089</v>
      </c>
      <c r="S451" s="75">
        <v>45.779600000000002</v>
      </c>
      <c r="T451" s="75">
        <v>32.820899999999995</v>
      </c>
      <c r="U451" s="653">
        <v>12.9587</v>
      </c>
      <c r="V451" s="516">
        <f t="shared" ref="V451:BX451" si="733">SUM(V445:V450)</f>
        <v>90000</v>
      </c>
      <c r="W451" s="74">
        <f t="shared" si="733"/>
        <v>6278</v>
      </c>
      <c r="X451" s="74">
        <f t="shared" si="733"/>
        <v>0</v>
      </c>
      <c r="Y451" s="74">
        <f t="shared" si="733"/>
        <v>0</v>
      </c>
      <c r="Z451" s="74">
        <f t="shared" si="733"/>
        <v>128985</v>
      </c>
      <c r="AA451" s="74">
        <f t="shared" si="733"/>
        <v>-31780</v>
      </c>
      <c r="AB451" s="74">
        <f t="shared" si="733"/>
        <v>0</v>
      </c>
      <c r="AC451" s="74">
        <f t="shared" si="733"/>
        <v>0</v>
      </c>
      <c r="AD451" s="74">
        <f t="shared" si="733"/>
        <v>0</v>
      </c>
      <c r="AE451" s="74">
        <f t="shared" si="733"/>
        <v>218985</v>
      </c>
      <c r="AF451" s="74">
        <f t="shared" si="733"/>
        <v>-25502</v>
      </c>
      <c r="AG451" s="74">
        <f t="shared" si="733"/>
        <v>193483</v>
      </c>
      <c r="AH451" s="74">
        <f t="shared" si="733"/>
        <v>-90000</v>
      </c>
      <c r="AI451" s="74">
        <f t="shared" si="733"/>
        <v>-6278</v>
      </c>
      <c r="AJ451" s="74">
        <f t="shared" si="733"/>
        <v>0</v>
      </c>
      <c r="AK451" s="74">
        <f t="shared" si="733"/>
        <v>0</v>
      </c>
      <c r="AL451" s="74">
        <f t="shared" si="733"/>
        <v>0</v>
      </c>
      <c r="AM451" s="74">
        <f t="shared" si="733"/>
        <v>-90000</v>
      </c>
      <c r="AN451" s="74">
        <f t="shared" si="733"/>
        <v>-6278</v>
      </c>
      <c r="AO451" s="74">
        <f t="shared" si="733"/>
        <v>-96278</v>
      </c>
      <c r="AP451" s="74">
        <f t="shared" si="733"/>
        <v>128985</v>
      </c>
      <c r="AQ451" s="74">
        <f t="shared" si="733"/>
        <v>-31780</v>
      </c>
      <c r="AR451" s="74">
        <f t="shared" si="733"/>
        <v>97205</v>
      </c>
      <c r="AS451" s="74">
        <f t="shared" si="733"/>
        <v>32855</v>
      </c>
      <c r="AT451" s="74">
        <f t="shared" si="733"/>
        <v>1935</v>
      </c>
      <c r="AU451" s="74">
        <f t="shared" si="733"/>
        <v>0</v>
      </c>
      <c r="AV451" s="74">
        <f t="shared" si="733"/>
        <v>0</v>
      </c>
      <c r="AW451" s="74">
        <f t="shared" si="733"/>
        <v>0</v>
      </c>
      <c r="AX451" s="74">
        <f t="shared" si="733"/>
        <v>0</v>
      </c>
      <c r="AY451" s="74">
        <f t="shared" si="733"/>
        <v>131995</v>
      </c>
      <c r="AZ451" s="75">
        <f t="shared" si="733"/>
        <v>0.1</v>
      </c>
      <c r="BA451" s="75">
        <f t="shared" si="733"/>
        <v>-0.31</v>
      </c>
      <c r="BB451" s="75">
        <f t="shared" si="733"/>
        <v>0</v>
      </c>
      <c r="BC451" s="75">
        <f t="shared" si="733"/>
        <v>0.26</v>
      </c>
      <c r="BD451" s="75">
        <f t="shared" si="733"/>
        <v>-0.1</v>
      </c>
      <c r="BE451" s="75">
        <f t="shared" si="733"/>
        <v>0</v>
      </c>
      <c r="BF451" s="75">
        <f t="shared" si="733"/>
        <v>0</v>
      </c>
      <c r="BG451" s="75">
        <f t="shared" si="733"/>
        <v>0</v>
      </c>
      <c r="BH451" s="75">
        <f t="shared" si="733"/>
        <v>0</v>
      </c>
      <c r="BI451" s="75">
        <f t="shared" si="733"/>
        <v>0.36</v>
      </c>
      <c r="BJ451" s="75">
        <f t="shared" si="733"/>
        <v>-0.41</v>
      </c>
      <c r="BK451" s="76">
        <f t="shared" si="733"/>
        <v>-4.9999999999999933E-2</v>
      </c>
      <c r="BL451" s="781">
        <f t="shared" si="733"/>
        <v>33558419</v>
      </c>
      <c r="BM451" s="74">
        <f t="shared" si="733"/>
        <v>24505602</v>
      </c>
      <c r="BN451" s="74">
        <f t="shared" si="733"/>
        <v>20407266</v>
      </c>
      <c r="BO451" s="74">
        <f t="shared" si="733"/>
        <v>4098336</v>
      </c>
      <c r="BP451" s="74">
        <f t="shared" si="733"/>
        <v>103722</v>
      </c>
      <c r="BQ451" s="74">
        <f t="shared" si="733"/>
        <v>0</v>
      </c>
      <c r="BR451" s="74">
        <f t="shared" si="733"/>
        <v>103722</v>
      </c>
      <c r="BS451" s="74">
        <f t="shared" si="733"/>
        <v>8317951</v>
      </c>
      <c r="BT451" s="74">
        <f t="shared" si="733"/>
        <v>245055</v>
      </c>
      <c r="BU451" s="74">
        <f t="shared" si="733"/>
        <v>386089</v>
      </c>
      <c r="BV451" s="75">
        <f t="shared" si="733"/>
        <v>45.729600000000005</v>
      </c>
      <c r="BW451" s="75">
        <f t="shared" si="733"/>
        <v>33.180900000000001</v>
      </c>
      <c r="BX451" s="76">
        <f t="shared" si="733"/>
        <v>12.548700000000002</v>
      </c>
      <c r="BY451" s="791">
        <f t="shared" ref="BY451:CJ451" si="734">SUM(BY445:BY450)</f>
        <v>380136</v>
      </c>
      <c r="BZ451" s="679">
        <f t="shared" si="734"/>
        <v>282000</v>
      </c>
      <c r="CA451" s="679">
        <f t="shared" si="734"/>
        <v>0</v>
      </c>
      <c r="CB451" s="679">
        <f t="shared" si="734"/>
        <v>95316</v>
      </c>
      <c r="CC451" s="679">
        <f t="shared" si="734"/>
        <v>2820</v>
      </c>
      <c r="CD451" s="947">
        <f t="shared" si="734"/>
        <v>0.5</v>
      </c>
      <c r="CE451" s="956">
        <f t="shared" si="734"/>
        <v>1022001</v>
      </c>
      <c r="CF451" s="953">
        <f t="shared" si="734"/>
        <v>693078</v>
      </c>
      <c r="CG451" s="953">
        <f t="shared" si="734"/>
        <v>234260</v>
      </c>
      <c r="CH451" s="953">
        <f t="shared" si="734"/>
        <v>6931</v>
      </c>
      <c r="CI451" s="953">
        <f t="shared" si="734"/>
        <v>87732</v>
      </c>
      <c r="CJ451" s="877">
        <f t="shared" si="734"/>
        <v>2.1520000000000001</v>
      </c>
      <c r="CK451" s="53"/>
      <c r="CL451" s="53"/>
    </row>
    <row r="452" spans="1:90" ht="14.1" customHeight="1">
      <c r="A452" s="66">
        <v>87</v>
      </c>
      <c r="B452" s="63">
        <v>2499</v>
      </c>
      <c r="C452" s="64">
        <v>650025288</v>
      </c>
      <c r="D452" s="63">
        <v>70983283</v>
      </c>
      <c r="E452" s="65" t="s">
        <v>701</v>
      </c>
      <c r="F452" s="66">
        <v>3111</v>
      </c>
      <c r="G452" s="65" t="s">
        <v>290</v>
      </c>
      <c r="H452" s="67" t="s">
        <v>271</v>
      </c>
      <c r="I452" s="419">
        <v>3247545</v>
      </c>
      <c r="J452" s="414">
        <v>2395731</v>
      </c>
      <c r="K452" s="414">
        <v>2219313</v>
      </c>
      <c r="L452" s="414">
        <v>176418</v>
      </c>
      <c r="M452" s="414">
        <v>0</v>
      </c>
      <c r="N452" s="414">
        <v>0</v>
      </c>
      <c r="O452" s="414">
        <v>0</v>
      </c>
      <c r="P452" s="595">
        <v>809757</v>
      </c>
      <c r="Q452" s="595">
        <v>23957</v>
      </c>
      <c r="R452" s="414">
        <v>18100</v>
      </c>
      <c r="S452" s="415">
        <v>4.6907000000000005</v>
      </c>
      <c r="T452" s="415">
        <v>3.9839000000000002</v>
      </c>
      <c r="U452" s="422">
        <v>0.70679999999999998</v>
      </c>
      <c r="V452" s="423">
        <f t="shared" si="637"/>
        <v>0</v>
      </c>
      <c r="W452" s="417">
        <f t="shared" si="638"/>
        <v>0</v>
      </c>
      <c r="X452" s="417">
        <v>0</v>
      </c>
      <c r="Y452" s="417">
        <v>0</v>
      </c>
      <c r="Z452" s="417">
        <v>0</v>
      </c>
      <c r="AA452" s="417">
        <v>0</v>
      </c>
      <c r="AB452" s="417">
        <v>0</v>
      </c>
      <c r="AC452" s="417">
        <v>0</v>
      </c>
      <c r="AD452" s="417">
        <v>0</v>
      </c>
      <c r="AE452" s="417">
        <f t="shared" si="639"/>
        <v>0</v>
      </c>
      <c r="AF452" s="417">
        <f t="shared" si="640"/>
        <v>0</v>
      </c>
      <c r="AG452" s="417">
        <f t="shared" si="641"/>
        <v>0</v>
      </c>
      <c r="AH452" s="417">
        <v>0</v>
      </c>
      <c r="AI452" s="417">
        <v>0</v>
      </c>
      <c r="AJ452" s="417">
        <v>0</v>
      </c>
      <c r="AK452" s="417">
        <v>0</v>
      </c>
      <c r="AL452" s="417">
        <v>0</v>
      </c>
      <c r="AM452" s="417">
        <f t="shared" si="642"/>
        <v>0</v>
      </c>
      <c r="AN452" s="417">
        <f t="shared" si="643"/>
        <v>0</v>
      </c>
      <c r="AO452" s="417">
        <f t="shared" si="644"/>
        <v>0</v>
      </c>
      <c r="AP452" s="417">
        <f t="shared" si="645"/>
        <v>0</v>
      </c>
      <c r="AQ452" s="417">
        <f t="shared" si="646"/>
        <v>0</v>
      </c>
      <c r="AR452" s="417">
        <f t="shared" si="647"/>
        <v>0</v>
      </c>
      <c r="AS452" s="68">
        <f t="shared" si="648"/>
        <v>0</v>
      </c>
      <c r="AT452" s="68">
        <f t="shared" si="649"/>
        <v>0</v>
      </c>
      <c r="AU452" s="417">
        <v>0</v>
      </c>
      <c r="AV452" s="417">
        <v>0</v>
      </c>
      <c r="AW452" s="417">
        <v>0</v>
      </c>
      <c r="AX452" s="417">
        <f t="shared" si="650"/>
        <v>0</v>
      </c>
      <c r="AY452" s="417">
        <f t="shared" si="651"/>
        <v>0</v>
      </c>
      <c r="AZ452" s="418">
        <v>0</v>
      </c>
      <c r="BA452" s="418">
        <v>0</v>
      </c>
      <c r="BB452" s="418">
        <v>0</v>
      </c>
      <c r="BC452" s="418">
        <v>0</v>
      </c>
      <c r="BD452" s="418">
        <v>0</v>
      </c>
      <c r="BE452" s="418">
        <v>0</v>
      </c>
      <c r="BF452" s="418">
        <v>0</v>
      </c>
      <c r="BG452" s="418">
        <v>0</v>
      </c>
      <c r="BH452" s="418">
        <v>0</v>
      </c>
      <c r="BI452" s="418">
        <f t="shared" si="652"/>
        <v>0</v>
      </c>
      <c r="BJ452" s="418">
        <f t="shared" si="653"/>
        <v>0</v>
      </c>
      <c r="BK452" s="420">
        <f t="shared" si="654"/>
        <v>0</v>
      </c>
      <c r="BL452" s="772">
        <f t="shared" ref="BL452:BL457" si="735">I452+AY452</f>
        <v>3247545</v>
      </c>
      <c r="BM452" s="417">
        <f t="shared" ref="BM452:BM457" si="736">J452+AG452</f>
        <v>2395731</v>
      </c>
      <c r="BN452" s="417">
        <f t="shared" ref="BN452:BO457" si="737">K452+AE452</f>
        <v>2219313</v>
      </c>
      <c r="BO452" s="417">
        <f t="shared" si="737"/>
        <v>176418</v>
      </c>
      <c r="BP452" s="417">
        <f t="shared" ref="BP452:BP457" si="738">M452+AO452</f>
        <v>0</v>
      </c>
      <c r="BQ452" s="417">
        <f t="shared" ref="BQ452:BR457" si="739">N452+AM452</f>
        <v>0</v>
      </c>
      <c r="BR452" s="417">
        <f t="shared" si="739"/>
        <v>0</v>
      </c>
      <c r="BS452" s="417">
        <f t="shared" ref="BS452:BT457" si="740">P452+AS452</f>
        <v>809757</v>
      </c>
      <c r="BT452" s="417">
        <f t="shared" si="740"/>
        <v>23957</v>
      </c>
      <c r="BU452" s="417">
        <f t="shared" ref="BU452:BU457" si="741">R452+AX452</f>
        <v>18100</v>
      </c>
      <c r="BV452" s="418">
        <f t="shared" ref="BV452:BV457" si="742">S452+BK452</f>
        <v>4.6907000000000005</v>
      </c>
      <c r="BW452" s="418">
        <f t="shared" ref="BW452:BX457" si="743">T452+BI452</f>
        <v>3.9839000000000002</v>
      </c>
      <c r="BX452" s="420">
        <f t="shared" si="743"/>
        <v>0.70679999999999998</v>
      </c>
      <c r="BY452" s="419"/>
      <c r="BZ452" s="414"/>
      <c r="CA452" s="414"/>
      <c r="CB452" s="414"/>
      <c r="CC452" s="414"/>
      <c r="CD452" s="422"/>
      <c r="CE452" s="419">
        <f t="shared" si="655"/>
        <v>82332</v>
      </c>
      <c r="CF452" s="414">
        <v>56610</v>
      </c>
      <c r="CG452" s="414">
        <f>ROUND(CF452*33.8%,0)</f>
        <v>19134</v>
      </c>
      <c r="CH452" s="414">
        <f>ROUND(CF452*1%,0)</f>
        <v>566</v>
      </c>
      <c r="CI452" s="414">
        <v>6022</v>
      </c>
      <c r="CJ452" s="509">
        <v>0.2268</v>
      </c>
      <c r="CK452" s="53"/>
      <c r="CL452" s="53"/>
    </row>
    <row r="453" spans="1:90" ht="14.1" customHeight="1">
      <c r="A453" s="66">
        <v>87</v>
      </c>
      <c r="B453" s="63">
        <v>2499</v>
      </c>
      <c r="C453" s="64">
        <v>650025288</v>
      </c>
      <c r="D453" s="63">
        <v>70983283</v>
      </c>
      <c r="E453" s="65" t="s">
        <v>701</v>
      </c>
      <c r="F453" s="66">
        <v>3117</v>
      </c>
      <c r="G453" s="65" t="s">
        <v>293</v>
      </c>
      <c r="H453" s="67" t="s">
        <v>271</v>
      </c>
      <c r="I453" s="419">
        <v>4732923</v>
      </c>
      <c r="J453" s="414">
        <v>3448700</v>
      </c>
      <c r="K453" s="414">
        <v>2758996</v>
      </c>
      <c r="L453" s="414">
        <v>689704</v>
      </c>
      <c r="M453" s="414">
        <v>0</v>
      </c>
      <c r="N453" s="414">
        <v>0</v>
      </c>
      <c r="O453" s="414">
        <v>0</v>
      </c>
      <c r="P453" s="595">
        <v>1165660</v>
      </c>
      <c r="Q453" s="595">
        <v>34488</v>
      </c>
      <c r="R453" s="414">
        <v>84075</v>
      </c>
      <c r="S453" s="415">
        <v>6.1494</v>
      </c>
      <c r="T453" s="415">
        <v>4.1368</v>
      </c>
      <c r="U453" s="422">
        <v>2.0125999999999999</v>
      </c>
      <c r="V453" s="423">
        <f t="shared" si="637"/>
        <v>0</v>
      </c>
      <c r="W453" s="417">
        <f t="shared" si="638"/>
        <v>0</v>
      </c>
      <c r="X453" s="417">
        <v>0</v>
      </c>
      <c r="Y453" s="417">
        <v>0</v>
      </c>
      <c r="Z453" s="417">
        <v>0</v>
      </c>
      <c r="AA453" s="417">
        <v>0</v>
      </c>
      <c r="AB453" s="417">
        <v>0</v>
      </c>
      <c r="AC453" s="417">
        <v>0</v>
      </c>
      <c r="AD453" s="417">
        <v>0</v>
      </c>
      <c r="AE453" s="417">
        <f t="shared" si="639"/>
        <v>0</v>
      </c>
      <c r="AF453" s="417">
        <f t="shared" si="640"/>
        <v>0</v>
      </c>
      <c r="AG453" s="417">
        <f t="shared" si="641"/>
        <v>0</v>
      </c>
      <c r="AH453" s="417">
        <v>0</v>
      </c>
      <c r="AI453" s="417">
        <v>0</v>
      </c>
      <c r="AJ453" s="417">
        <v>0</v>
      </c>
      <c r="AK453" s="417">
        <v>0</v>
      </c>
      <c r="AL453" s="417">
        <v>0</v>
      </c>
      <c r="AM453" s="417">
        <f t="shared" si="642"/>
        <v>0</v>
      </c>
      <c r="AN453" s="417">
        <f t="shared" si="643"/>
        <v>0</v>
      </c>
      <c r="AO453" s="417">
        <f t="shared" si="644"/>
        <v>0</v>
      </c>
      <c r="AP453" s="417">
        <f t="shared" si="645"/>
        <v>0</v>
      </c>
      <c r="AQ453" s="417">
        <f t="shared" si="646"/>
        <v>0</v>
      </c>
      <c r="AR453" s="417">
        <f t="shared" si="647"/>
        <v>0</v>
      </c>
      <c r="AS453" s="68">
        <f t="shared" si="648"/>
        <v>0</v>
      </c>
      <c r="AT453" s="68">
        <f t="shared" si="649"/>
        <v>0</v>
      </c>
      <c r="AU453" s="417">
        <v>0</v>
      </c>
      <c r="AV453" s="417">
        <v>0</v>
      </c>
      <c r="AW453" s="417">
        <v>0</v>
      </c>
      <c r="AX453" s="417">
        <f t="shared" si="650"/>
        <v>0</v>
      </c>
      <c r="AY453" s="417">
        <f t="shared" si="651"/>
        <v>0</v>
      </c>
      <c r="AZ453" s="418">
        <v>0</v>
      </c>
      <c r="BA453" s="418">
        <v>0</v>
      </c>
      <c r="BB453" s="418">
        <v>0</v>
      </c>
      <c r="BC453" s="418">
        <v>0</v>
      </c>
      <c r="BD453" s="418">
        <v>0</v>
      </c>
      <c r="BE453" s="418">
        <v>0</v>
      </c>
      <c r="BF453" s="418">
        <v>0</v>
      </c>
      <c r="BG453" s="418">
        <v>0</v>
      </c>
      <c r="BH453" s="418">
        <v>0</v>
      </c>
      <c r="BI453" s="418">
        <f t="shared" si="652"/>
        <v>0</v>
      </c>
      <c r="BJ453" s="418">
        <f t="shared" si="653"/>
        <v>0</v>
      </c>
      <c r="BK453" s="420">
        <f t="shared" si="654"/>
        <v>0</v>
      </c>
      <c r="BL453" s="772">
        <f t="shared" si="735"/>
        <v>4732923</v>
      </c>
      <c r="BM453" s="417">
        <f t="shared" si="736"/>
        <v>3448700</v>
      </c>
      <c r="BN453" s="417">
        <f t="shared" si="737"/>
        <v>2758996</v>
      </c>
      <c r="BO453" s="417">
        <f t="shared" si="737"/>
        <v>689704</v>
      </c>
      <c r="BP453" s="417">
        <f t="shared" si="738"/>
        <v>0</v>
      </c>
      <c r="BQ453" s="417">
        <f t="shared" si="739"/>
        <v>0</v>
      </c>
      <c r="BR453" s="417">
        <f t="shared" si="739"/>
        <v>0</v>
      </c>
      <c r="BS453" s="417">
        <f t="shared" si="740"/>
        <v>1165660</v>
      </c>
      <c r="BT453" s="417">
        <f t="shared" si="740"/>
        <v>34488</v>
      </c>
      <c r="BU453" s="417">
        <f t="shared" si="741"/>
        <v>84075</v>
      </c>
      <c r="BV453" s="418">
        <f t="shared" si="742"/>
        <v>6.1494</v>
      </c>
      <c r="BW453" s="418">
        <f t="shared" si="743"/>
        <v>4.1368</v>
      </c>
      <c r="BX453" s="420">
        <f t="shared" si="743"/>
        <v>2.0125999999999999</v>
      </c>
      <c r="BY453" s="419"/>
      <c r="BZ453" s="414"/>
      <c r="CA453" s="414"/>
      <c r="CB453" s="414"/>
      <c r="CC453" s="414"/>
      <c r="CD453" s="422"/>
      <c r="CE453" s="419">
        <f t="shared" si="655"/>
        <v>313119</v>
      </c>
      <c r="CF453" s="414">
        <v>221374</v>
      </c>
      <c r="CG453" s="414">
        <v>74825</v>
      </c>
      <c r="CH453" s="414">
        <v>2214</v>
      </c>
      <c r="CI453" s="414">
        <v>14706</v>
      </c>
      <c r="CJ453" s="509">
        <v>0.64600000000000002</v>
      </c>
      <c r="CK453" s="53"/>
      <c r="CL453" s="53"/>
    </row>
    <row r="454" spans="1:90" ht="14.1" customHeight="1">
      <c r="A454" s="66">
        <v>87</v>
      </c>
      <c r="B454" s="63">
        <v>2499</v>
      </c>
      <c r="C454" s="64">
        <v>650025288</v>
      </c>
      <c r="D454" s="63">
        <v>70983283</v>
      </c>
      <c r="E454" s="65" t="s">
        <v>701</v>
      </c>
      <c r="F454" s="66">
        <v>3117</v>
      </c>
      <c r="G454" s="65" t="s">
        <v>291</v>
      </c>
      <c r="H454" s="67" t="s">
        <v>272</v>
      </c>
      <c r="I454" s="419">
        <v>249921</v>
      </c>
      <c r="J454" s="414">
        <v>185401</v>
      </c>
      <c r="K454" s="414">
        <v>185401</v>
      </c>
      <c r="L454" s="414">
        <v>0</v>
      </c>
      <c r="M454" s="414">
        <v>0</v>
      </c>
      <c r="N454" s="414">
        <v>0</v>
      </c>
      <c r="O454" s="414">
        <v>0</v>
      </c>
      <c r="P454" s="595">
        <v>62666</v>
      </c>
      <c r="Q454" s="595">
        <v>1854</v>
      </c>
      <c r="R454" s="414">
        <v>0</v>
      </c>
      <c r="S454" s="415">
        <v>0.5</v>
      </c>
      <c r="T454" s="416">
        <v>0.5</v>
      </c>
      <c r="U454" s="422">
        <v>0</v>
      </c>
      <c r="V454" s="423">
        <f t="shared" si="637"/>
        <v>0</v>
      </c>
      <c r="W454" s="417">
        <f t="shared" si="638"/>
        <v>0</v>
      </c>
      <c r="X454" s="417">
        <v>-61800</v>
      </c>
      <c r="Y454" s="417">
        <v>0</v>
      </c>
      <c r="Z454" s="417">
        <v>0</v>
      </c>
      <c r="AA454" s="417">
        <v>0</v>
      </c>
      <c r="AB454" s="417">
        <v>0</v>
      </c>
      <c r="AC454" s="417">
        <v>0</v>
      </c>
      <c r="AD454" s="417">
        <v>0</v>
      </c>
      <c r="AE454" s="417">
        <f t="shared" si="639"/>
        <v>-61800</v>
      </c>
      <c r="AF454" s="417">
        <f t="shared" si="640"/>
        <v>0</v>
      </c>
      <c r="AG454" s="417">
        <f t="shared" si="641"/>
        <v>-61800</v>
      </c>
      <c r="AH454" s="417">
        <v>0</v>
      </c>
      <c r="AI454" s="417">
        <v>0</v>
      </c>
      <c r="AJ454" s="417">
        <v>0</v>
      </c>
      <c r="AK454" s="417">
        <v>0</v>
      </c>
      <c r="AL454" s="417">
        <v>0</v>
      </c>
      <c r="AM454" s="417">
        <f t="shared" si="642"/>
        <v>0</v>
      </c>
      <c r="AN454" s="417">
        <f t="shared" si="643"/>
        <v>0</v>
      </c>
      <c r="AO454" s="417">
        <f t="shared" si="644"/>
        <v>0</v>
      </c>
      <c r="AP454" s="417">
        <f t="shared" si="645"/>
        <v>-61800</v>
      </c>
      <c r="AQ454" s="417">
        <f t="shared" si="646"/>
        <v>0</v>
      </c>
      <c r="AR454" s="417">
        <f t="shared" si="647"/>
        <v>-61800</v>
      </c>
      <c r="AS454" s="68">
        <f t="shared" si="648"/>
        <v>-20888</v>
      </c>
      <c r="AT454" s="68">
        <f t="shared" si="649"/>
        <v>-618</v>
      </c>
      <c r="AU454" s="417">
        <v>0</v>
      </c>
      <c r="AV454" s="417">
        <v>0</v>
      </c>
      <c r="AW454" s="417">
        <v>0</v>
      </c>
      <c r="AX454" s="417">
        <f t="shared" si="650"/>
        <v>0</v>
      </c>
      <c r="AY454" s="417">
        <f t="shared" si="651"/>
        <v>-83306</v>
      </c>
      <c r="AZ454" s="418">
        <v>0</v>
      </c>
      <c r="BA454" s="418">
        <v>0</v>
      </c>
      <c r="BB454" s="418">
        <v>-0.17</v>
      </c>
      <c r="BC454" s="418">
        <v>0</v>
      </c>
      <c r="BD454" s="418">
        <v>0</v>
      </c>
      <c r="BE454" s="418">
        <v>0</v>
      </c>
      <c r="BF454" s="418">
        <v>0</v>
      </c>
      <c r="BG454" s="418">
        <v>0</v>
      </c>
      <c r="BH454" s="418">
        <v>0</v>
      </c>
      <c r="BI454" s="418">
        <f t="shared" si="652"/>
        <v>-0.17</v>
      </c>
      <c r="BJ454" s="418">
        <f t="shared" si="653"/>
        <v>0</v>
      </c>
      <c r="BK454" s="420">
        <f t="shared" si="654"/>
        <v>-0.17</v>
      </c>
      <c r="BL454" s="772">
        <f t="shared" si="735"/>
        <v>166615</v>
      </c>
      <c r="BM454" s="417">
        <f t="shared" si="736"/>
        <v>123601</v>
      </c>
      <c r="BN454" s="417">
        <f t="shared" si="737"/>
        <v>123601</v>
      </c>
      <c r="BO454" s="417">
        <f t="shared" si="737"/>
        <v>0</v>
      </c>
      <c r="BP454" s="417">
        <f t="shared" si="738"/>
        <v>0</v>
      </c>
      <c r="BQ454" s="417">
        <f t="shared" si="739"/>
        <v>0</v>
      </c>
      <c r="BR454" s="417">
        <f t="shared" si="739"/>
        <v>0</v>
      </c>
      <c r="BS454" s="417">
        <f t="shared" si="740"/>
        <v>41778</v>
      </c>
      <c r="BT454" s="417">
        <f t="shared" si="740"/>
        <v>1236</v>
      </c>
      <c r="BU454" s="417">
        <f t="shared" si="741"/>
        <v>0</v>
      </c>
      <c r="BV454" s="418">
        <f t="shared" si="742"/>
        <v>0.32999999999999996</v>
      </c>
      <c r="BW454" s="418">
        <f t="shared" si="743"/>
        <v>0.32999999999999996</v>
      </c>
      <c r="BX454" s="420">
        <f t="shared" si="743"/>
        <v>0</v>
      </c>
      <c r="BY454" s="419"/>
      <c r="BZ454" s="414"/>
      <c r="CA454" s="414"/>
      <c r="CB454" s="414"/>
      <c r="CC454" s="414"/>
      <c r="CD454" s="422"/>
      <c r="CE454" s="419">
        <f t="shared" si="655"/>
        <v>0</v>
      </c>
      <c r="CF454" s="414">
        <v>0</v>
      </c>
      <c r="CG454" s="414">
        <v>0</v>
      </c>
      <c r="CH454" s="414">
        <v>0</v>
      </c>
      <c r="CI454" s="414">
        <v>0</v>
      </c>
      <c r="CJ454" s="509">
        <v>0</v>
      </c>
      <c r="CK454" s="53"/>
      <c r="CL454" s="53"/>
    </row>
    <row r="455" spans="1:90" ht="14.1" customHeight="1">
      <c r="A455" s="66">
        <v>87</v>
      </c>
      <c r="B455" s="63">
        <v>2499</v>
      </c>
      <c r="C455" s="64">
        <v>650025288</v>
      </c>
      <c r="D455" s="63">
        <v>70983283</v>
      </c>
      <c r="E455" s="65" t="s">
        <v>701</v>
      </c>
      <c r="F455" s="66">
        <v>3141</v>
      </c>
      <c r="G455" s="65" t="s">
        <v>294</v>
      </c>
      <c r="H455" s="67" t="s">
        <v>272</v>
      </c>
      <c r="I455" s="419">
        <v>1101505</v>
      </c>
      <c r="J455" s="414">
        <v>813707</v>
      </c>
      <c r="K455" s="414">
        <v>0</v>
      </c>
      <c r="L455" s="744">
        <v>813707</v>
      </c>
      <c r="M455" s="414">
        <v>0</v>
      </c>
      <c r="N455" s="204">
        <v>0</v>
      </c>
      <c r="O455" s="204">
        <v>0</v>
      </c>
      <c r="P455" s="595">
        <v>275033</v>
      </c>
      <c r="Q455" s="595">
        <v>8137</v>
      </c>
      <c r="R455" s="601">
        <v>4628</v>
      </c>
      <c r="S455" s="415">
        <v>2.4367000000000001</v>
      </c>
      <c r="T455" s="603">
        <v>0</v>
      </c>
      <c r="U455" s="731">
        <v>2.4367000000000001</v>
      </c>
      <c r="V455" s="423">
        <f t="shared" si="637"/>
        <v>0</v>
      </c>
      <c r="W455" s="417">
        <f t="shared" si="638"/>
        <v>0</v>
      </c>
      <c r="X455" s="417">
        <v>0</v>
      </c>
      <c r="Y455" s="417">
        <v>0</v>
      </c>
      <c r="Z455" s="417">
        <v>0</v>
      </c>
      <c r="AA455" s="417">
        <v>-7508</v>
      </c>
      <c r="AB455" s="417">
        <v>0</v>
      </c>
      <c r="AC455" s="417">
        <v>0</v>
      </c>
      <c r="AD455" s="417">
        <v>0</v>
      </c>
      <c r="AE455" s="417">
        <f t="shared" si="639"/>
        <v>0</v>
      </c>
      <c r="AF455" s="417">
        <f t="shared" si="640"/>
        <v>-7508</v>
      </c>
      <c r="AG455" s="417">
        <f t="shared" si="641"/>
        <v>-7508</v>
      </c>
      <c r="AH455" s="417">
        <v>0</v>
      </c>
      <c r="AI455" s="417">
        <v>0</v>
      </c>
      <c r="AJ455" s="417">
        <v>0</v>
      </c>
      <c r="AK455" s="417">
        <v>0</v>
      </c>
      <c r="AL455" s="417">
        <v>0</v>
      </c>
      <c r="AM455" s="417">
        <f t="shared" si="642"/>
        <v>0</v>
      </c>
      <c r="AN455" s="417">
        <f t="shared" si="643"/>
        <v>0</v>
      </c>
      <c r="AO455" s="417">
        <f t="shared" si="644"/>
        <v>0</v>
      </c>
      <c r="AP455" s="417">
        <f t="shared" si="645"/>
        <v>0</v>
      </c>
      <c r="AQ455" s="417">
        <f t="shared" si="646"/>
        <v>-7508</v>
      </c>
      <c r="AR455" s="417">
        <f t="shared" si="647"/>
        <v>-7508</v>
      </c>
      <c r="AS455" s="68">
        <f t="shared" si="648"/>
        <v>-2538</v>
      </c>
      <c r="AT455" s="68">
        <f t="shared" si="649"/>
        <v>-75</v>
      </c>
      <c r="AU455" s="417">
        <v>0</v>
      </c>
      <c r="AV455" s="417">
        <v>0</v>
      </c>
      <c r="AW455" s="417">
        <v>0</v>
      </c>
      <c r="AX455" s="417">
        <f t="shared" si="650"/>
        <v>0</v>
      </c>
      <c r="AY455" s="417">
        <f t="shared" si="651"/>
        <v>-10121</v>
      </c>
      <c r="AZ455" s="418">
        <v>0</v>
      </c>
      <c r="BA455" s="418">
        <v>0</v>
      </c>
      <c r="BB455" s="418">
        <v>0</v>
      </c>
      <c r="BC455" s="418">
        <v>0</v>
      </c>
      <c r="BD455" s="418">
        <v>-0.02</v>
      </c>
      <c r="BE455" s="418">
        <v>0</v>
      </c>
      <c r="BF455" s="418">
        <v>0</v>
      </c>
      <c r="BG455" s="418">
        <v>0</v>
      </c>
      <c r="BH455" s="418">
        <v>0</v>
      </c>
      <c r="BI455" s="418">
        <f t="shared" si="652"/>
        <v>0</v>
      </c>
      <c r="BJ455" s="418">
        <f t="shared" si="653"/>
        <v>-0.02</v>
      </c>
      <c r="BK455" s="420">
        <f t="shared" si="654"/>
        <v>-0.02</v>
      </c>
      <c r="BL455" s="772">
        <f t="shared" si="735"/>
        <v>1091384</v>
      </c>
      <c r="BM455" s="417">
        <f t="shared" si="736"/>
        <v>806199</v>
      </c>
      <c r="BN455" s="417">
        <f t="shared" si="737"/>
        <v>0</v>
      </c>
      <c r="BO455" s="417">
        <f t="shared" si="737"/>
        <v>806199</v>
      </c>
      <c r="BP455" s="417">
        <f t="shared" si="738"/>
        <v>0</v>
      </c>
      <c r="BQ455" s="417">
        <f t="shared" si="739"/>
        <v>0</v>
      </c>
      <c r="BR455" s="417">
        <f t="shared" si="739"/>
        <v>0</v>
      </c>
      <c r="BS455" s="417">
        <f t="shared" si="740"/>
        <v>272495</v>
      </c>
      <c r="BT455" s="417">
        <f t="shared" si="740"/>
        <v>8062</v>
      </c>
      <c r="BU455" s="417">
        <f t="shared" si="741"/>
        <v>4628</v>
      </c>
      <c r="BV455" s="418">
        <f t="shared" si="742"/>
        <v>2.4167000000000001</v>
      </c>
      <c r="BW455" s="418">
        <f t="shared" si="743"/>
        <v>0</v>
      </c>
      <c r="BX455" s="420">
        <f t="shared" si="743"/>
        <v>2.4167000000000001</v>
      </c>
      <c r="BY455" s="419"/>
      <c r="BZ455" s="414"/>
      <c r="CA455" s="414"/>
      <c r="CB455" s="414"/>
      <c r="CC455" s="414"/>
      <c r="CD455" s="422"/>
      <c r="CE455" s="419">
        <f t="shared" si="655"/>
        <v>0</v>
      </c>
      <c r="CF455" s="414">
        <v>0</v>
      </c>
      <c r="CG455" s="414">
        <v>0</v>
      </c>
      <c r="CH455" s="414">
        <v>0</v>
      </c>
      <c r="CI455" s="414">
        <v>0</v>
      </c>
      <c r="CJ455" s="509">
        <v>0</v>
      </c>
      <c r="CK455" s="53"/>
      <c r="CL455" s="53"/>
    </row>
    <row r="456" spans="1:90" ht="14.1" customHeight="1">
      <c r="A456" s="66">
        <v>87</v>
      </c>
      <c r="B456" s="63">
        <v>2499</v>
      </c>
      <c r="C456" s="64">
        <v>650025288</v>
      </c>
      <c r="D456" s="63">
        <v>70983283</v>
      </c>
      <c r="E456" s="65" t="s">
        <v>701</v>
      </c>
      <c r="F456" s="66">
        <v>3143</v>
      </c>
      <c r="G456" s="77" t="s">
        <v>595</v>
      </c>
      <c r="H456" s="67" t="s">
        <v>271</v>
      </c>
      <c r="I456" s="419">
        <v>1073188</v>
      </c>
      <c r="J456" s="414">
        <v>796134</v>
      </c>
      <c r="K456" s="414">
        <v>796134</v>
      </c>
      <c r="L456" s="414">
        <v>0</v>
      </c>
      <c r="M456" s="414">
        <v>0</v>
      </c>
      <c r="N456" s="414">
        <v>0</v>
      </c>
      <c r="O456" s="414">
        <v>0</v>
      </c>
      <c r="P456" s="595">
        <v>269093</v>
      </c>
      <c r="Q456" s="595">
        <v>7961</v>
      </c>
      <c r="R456" s="414">
        <v>0</v>
      </c>
      <c r="S456" s="415">
        <v>1.6106</v>
      </c>
      <c r="T456" s="415">
        <v>1.6106</v>
      </c>
      <c r="U456" s="422">
        <v>0</v>
      </c>
      <c r="V456" s="423">
        <f t="shared" si="637"/>
        <v>0</v>
      </c>
      <c r="W456" s="417">
        <f t="shared" si="638"/>
        <v>0</v>
      </c>
      <c r="X456" s="417">
        <v>0</v>
      </c>
      <c r="Y456" s="417">
        <v>0</v>
      </c>
      <c r="Z456" s="417">
        <v>0</v>
      </c>
      <c r="AA456" s="417">
        <v>0</v>
      </c>
      <c r="AB456" s="417">
        <v>0</v>
      </c>
      <c r="AC456" s="417">
        <v>0</v>
      </c>
      <c r="AD456" s="417">
        <v>0</v>
      </c>
      <c r="AE456" s="417">
        <f t="shared" si="639"/>
        <v>0</v>
      </c>
      <c r="AF456" s="417">
        <f t="shared" si="640"/>
        <v>0</v>
      </c>
      <c r="AG456" s="417">
        <f t="shared" si="641"/>
        <v>0</v>
      </c>
      <c r="AH456" s="417">
        <v>0</v>
      </c>
      <c r="AI456" s="417">
        <v>0</v>
      </c>
      <c r="AJ456" s="417">
        <v>0</v>
      </c>
      <c r="AK456" s="417">
        <v>0</v>
      </c>
      <c r="AL456" s="417">
        <v>0</v>
      </c>
      <c r="AM456" s="417">
        <f t="shared" si="642"/>
        <v>0</v>
      </c>
      <c r="AN456" s="417">
        <f t="shared" si="643"/>
        <v>0</v>
      </c>
      <c r="AO456" s="417">
        <f t="shared" si="644"/>
        <v>0</v>
      </c>
      <c r="AP456" s="417">
        <f t="shared" si="645"/>
        <v>0</v>
      </c>
      <c r="AQ456" s="417">
        <f t="shared" si="646"/>
        <v>0</v>
      </c>
      <c r="AR456" s="417">
        <f t="shared" si="647"/>
        <v>0</v>
      </c>
      <c r="AS456" s="68">
        <f t="shared" si="648"/>
        <v>0</v>
      </c>
      <c r="AT456" s="68">
        <f t="shared" si="649"/>
        <v>0</v>
      </c>
      <c r="AU456" s="417">
        <v>0</v>
      </c>
      <c r="AV456" s="417">
        <v>0</v>
      </c>
      <c r="AW456" s="417">
        <v>0</v>
      </c>
      <c r="AX456" s="417">
        <f t="shared" si="650"/>
        <v>0</v>
      </c>
      <c r="AY456" s="417">
        <f t="shared" si="651"/>
        <v>0</v>
      </c>
      <c r="AZ456" s="418">
        <v>0</v>
      </c>
      <c r="BA456" s="418">
        <v>0</v>
      </c>
      <c r="BB456" s="418">
        <v>0</v>
      </c>
      <c r="BC456" s="418">
        <v>0</v>
      </c>
      <c r="BD456" s="418">
        <v>0</v>
      </c>
      <c r="BE456" s="418">
        <v>0</v>
      </c>
      <c r="BF456" s="418">
        <v>0</v>
      </c>
      <c r="BG456" s="418">
        <v>0</v>
      </c>
      <c r="BH456" s="418">
        <v>0</v>
      </c>
      <c r="BI456" s="418">
        <f t="shared" si="652"/>
        <v>0</v>
      </c>
      <c r="BJ456" s="418">
        <f t="shared" si="653"/>
        <v>0</v>
      </c>
      <c r="BK456" s="420">
        <f t="shared" si="654"/>
        <v>0</v>
      </c>
      <c r="BL456" s="772">
        <f t="shared" si="735"/>
        <v>1073188</v>
      </c>
      <c r="BM456" s="417">
        <f t="shared" si="736"/>
        <v>796134</v>
      </c>
      <c r="BN456" s="417">
        <f t="shared" si="737"/>
        <v>796134</v>
      </c>
      <c r="BO456" s="417">
        <f t="shared" si="737"/>
        <v>0</v>
      </c>
      <c r="BP456" s="417">
        <f t="shared" si="738"/>
        <v>0</v>
      </c>
      <c r="BQ456" s="417">
        <f t="shared" si="739"/>
        <v>0</v>
      </c>
      <c r="BR456" s="417">
        <f t="shared" si="739"/>
        <v>0</v>
      </c>
      <c r="BS456" s="417">
        <f t="shared" si="740"/>
        <v>269093</v>
      </c>
      <c r="BT456" s="417">
        <f t="shared" si="740"/>
        <v>7961</v>
      </c>
      <c r="BU456" s="417">
        <f t="shared" si="741"/>
        <v>0</v>
      </c>
      <c r="BV456" s="418">
        <f t="shared" si="742"/>
        <v>1.6106</v>
      </c>
      <c r="BW456" s="418">
        <f t="shared" si="743"/>
        <v>1.6106</v>
      </c>
      <c r="BX456" s="420">
        <f t="shared" si="743"/>
        <v>0</v>
      </c>
      <c r="BY456" s="419"/>
      <c r="BZ456" s="414"/>
      <c r="CA456" s="414"/>
      <c r="CB456" s="414"/>
      <c r="CC456" s="414"/>
      <c r="CD456" s="422"/>
      <c r="CE456" s="419">
        <f t="shared" si="655"/>
        <v>0</v>
      </c>
      <c r="CF456" s="414">
        <v>0</v>
      </c>
      <c r="CG456" s="414">
        <v>0</v>
      </c>
      <c r="CH456" s="414">
        <v>0</v>
      </c>
      <c r="CI456" s="414">
        <v>0</v>
      </c>
      <c r="CJ456" s="509">
        <v>0</v>
      </c>
      <c r="CK456" s="53"/>
      <c r="CL456" s="53"/>
    </row>
    <row r="457" spans="1:90" ht="14.1" customHeight="1">
      <c r="A457" s="66">
        <v>87</v>
      </c>
      <c r="B457" s="63">
        <v>2499</v>
      </c>
      <c r="C457" s="64">
        <v>650025288</v>
      </c>
      <c r="D457" s="63">
        <v>70983283</v>
      </c>
      <c r="E457" s="65" t="s">
        <v>701</v>
      </c>
      <c r="F457" s="66">
        <v>3143</v>
      </c>
      <c r="G457" s="77" t="s">
        <v>596</v>
      </c>
      <c r="H457" s="67" t="s">
        <v>272</v>
      </c>
      <c r="I457" s="419">
        <v>30736</v>
      </c>
      <c r="J457" s="414">
        <v>22000</v>
      </c>
      <c r="K457" s="414">
        <v>0</v>
      </c>
      <c r="L457" s="601">
        <v>22000</v>
      </c>
      <c r="M457" s="414">
        <v>0</v>
      </c>
      <c r="N457" s="414">
        <v>0</v>
      </c>
      <c r="O457" s="414">
        <v>0</v>
      </c>
      <c r="P457" s="595">
        <v>7436</v>
      </c>
      <c r="Q457" s="595">
        <v>220</v>
      </c>
      <c r="R457" s="602">
        <v>1080</v>
      </c>
      <c r="S457" s="415">
        <v>8.5599999999999996E-2</v>
      </c>
      <c r="T457" s="605">
        <v>0</v>
      </c>
      <c r="U457" s="731">
        <v>8.5599999999999996E-2</v>
      </c>
      <c r="V457" s="423">
        <f t="shared" si="637"/>
        <v>0</v>
      </c>
      <c r="W457" s="417">
        <f t="shared" si="638"/>
        <v>0</v>
      </c>
      <c r="X457" s="417">
        <v>0</v>
      </c>
      <c r="Y457" s="417">
        <v>0</v>
      </c>
      <c r="Z457" s="417">
        <v>0</v>
      </c>
      <c r="AA457" s="417">
        <v>0</v>
      </c>
      <c r="AB457" s="417">
        <v>0</v>
      </c>
      <c r="AC457" s="417">
        <v>0</v>
      </c>
      <c r="AD457" s="417">
        <v>0</v>
      </c>
      <c r="AE457" s="417">
        <f t="shared" si="639"/>
        <v>0</v>
      </c>
      <c r="AF457" s="417">
        <f t="shared" si="640"/>
        <v>0</v>
      </c>
      <c r="AG457" s="417">
        <f t="shared" si="641"/>
        <v>0</v>
      </c>
      <c r="AH457" s="417">
        <v>0</v>
      </c>
      <c r="AI457" s="417">
        <v>0</v>
      </c>
      <c r="AJ457" s="417">
        <v>0</v>
      </c>
      <c r="AK457" s="417">
        <v>0</v>
      </c>
      <c r="AL457" s="417">
        <v>0</v>
      </c>
      <c r="AM457" s="417">
        <f t="shared" si="642"/>
        <v>0</v>
      </c>
      <c r="AN457" s="417">
        <f t="shared" si="643"/>
        <v>0</v>
      </c>
      <c r="AO457" s="417">
        <f t="shared" si="644"/>
        <v>0</v>
      </c>
      <c r="AP457" s="417">
        <f t="shared" si="645"/>
        <v>0</v>
      </c>
      <c r="AQ457" s="417">
        <f t="shared" si="646"/>
        <v>0</v>
      </c>
      <c r="AR457" s="417">
        <f t="shared" si="647"/>
        <v>0</v>
      </c>
      <c r="AS457" s="68">
        <f t="shared" si="648"/>
        <v>0</v>
      </c>
      <c r="AT457" s="68">
        <f t="shared" si="649"/>
        <v>0</v>
      </c>
      <c r="AU457" s="417">
        <v>0</v>
      </c>
      <c r="AV457" s="417">
        <v>0</v>
      </c>
      <c r="AW457" s="417">
        <v>0</v>
      </c>
      <c r="AX457" s="417">
        <f t="shared" si="650"/>
        <v>0</v>
      </c>
      <c r="AY457" s="417">
        <f t="shared" si="651"/>
        <v>0</v>
      </c>
      <c r="AZ457" s="418">
        <v>0</v>
      </c>
      <c r="BA457" s="418">
        <v>0</v>
      </c>
      <c r="BB457" s="418">
        <v>0</v>
      </c>
      <c r="BC457" s="418">
        <v>0</v>
      </c>
      <c r="BD457" s="418">
        <v>0</v>
      </c>
      <c r="BE457" s="418">
        <v>0</v>
      </c>
      <c r="BF457" s="418">
        <v>0</v>
      </c>
      <c r="BG457" s="418">
        <v>0</v>
      </c>
      <c r="BH457" s="418">
        <v>0</v>
      </c>
      <c r="BI457" s="418">
        <f t="shared" si="652"/>
        <v>0</v>
      </c>
      <c r="BJ457" s="418">
        <f t="shared" si="653"/>
        <v>0</v>
      </c>
      <c r="BK457" s="420">
        <f t="shared" si="654"/>
        <v>0</v>
      </c>
      <c r="BL457" s="772">
        <f t="shared" si="735"/>
        <v>30736</v>
      </c>
      <c r="BM457" s="417">
        <f t="shared" si="736"/>
        <v>22000</v>
      </c>
      <c r="BN457" s="417">
        <f t="shared" si="737"/>
        <v>0</v>
      </c>
      <c r="BO457" s="417">
        <f t="shared" si="737"/>
        <v>22000</v>
      </c>
      <c r="BP457" s="417">
        <f t="shared" si="738"/>
        <v>0</v>
      </c>
      <c r="BQ457" s="417">
        <f t="shared" si="739"/>
        <v>0</v>
      </c>
      <c r="BR457" s="417">
        <f t="shared" si="739"/>
        <v>0</v>
      </c>
      <c r="BS457" s="417">
        <f t="shared" si="740"/>
        <v>7436</v>
      </c>
      <c r="BT457" s="417">
        <f t="shared" si="740"/>
        <v>220</v>
      </c>
      <c r="BU457" s="417">
        <f t="shared" si="741"/>
        <v>1080</v>
      </c>
      <c r="BV457" s="418">
        <f t="shared" si="742"/>
        <v>8.5599999999999996E-2</v>
      </c>
      <c r="BW457" s="418">
        <f t="shared" si="743"/>
        <v>0</v>
      </c>
      <c r="BX457" s="420">
        <f t="shared" si="743"/>
        <v>8.5599999999999996E-2</v>
      </c>
      <c r="BY457" s="419"/>
      <c r="BZ457" s="414"/>
      <c r="CA457" s="414"/>
      <c r="CB457" s="414"/>
      <c r="CC457" s="414"/>
      <c r="CD457" s="422"/>
      <c r="CE457" s="419">
        <f t="shared" si="655"/>
        <v>0</v>
      </c>
      <c r="CF457" s="414">
        <v>0</v>
      </c>
      <c r="CG457" s="414">
        <v>0</v>
      </c>
      <c r="CH457" s="414">
        <v>0</v>
      </c>
      <c r="CI457" s="414">
        <v>0</v>
      </c>
      <c r="CJ457" s="509">
        <v>0</v>
      </c>
      <c r="CK457" s="53"/>
      <c r="CL457" s="53"/>
    </row>
    <row r="458" spans="1:90" ht="14.1" customHeight="1">
      <c r="A458" s="72">
        <v>87</v>
      </c>
      <c r="B458" s="69">
        <v>2499</v>
      </c>
      <c r="C458" s="70">
        <v>650025288</v>
      </c>
      <c r="D458" s="69">
        <v>70983283</v>
      </c>
      <c r="E458" s="71" t="s">
        <v>702</v>
      </c>
      <c r="F458" s="72"/>
      <c r="G458" s="71"/>
      <c r="H458" s="73"/>
      <c r="I458" s="516">
        <v>10435818</v>
      </c>
      <c r="J458" s="74">
        <v>7661673</v>
      </c>
      <c r="K458" s="74">
        <v>5959844</v>
      </c>
      <c r="L458" s="74">
        <v>1701829</v>
      </c>
      <c r="M458" s="74">
        <v>0</v>
      </c>
      <c r="N458" s="74">
        <v>0</v>
      </c>
      <c r="O458" s="74">
        <v>0</v>
      </c>
      <c r="P458" s="74">
        <v>2589645</v>
      </c>
      <c r="Q458" s="74">
        <v>76617</v>
      </c>
      <c r="R458" s="74">
        <v>107883</v>
      </c>
      <c r="S458" s="75">
        <v>15.472999999999999</v>
      </c>
      <c r="T458" s="75">
        <v>10.231299999999999</v>
      </c>
      <c r="U458" s="653">
        <v>5.2417000000000007</v>
      </c>
      <c r="V458" s="516">
        <f t="shared" ref="V458:BX458" si="744">SUM(V452:V457)</f>
        <v>0</v>
      </c>
      <c r="W458" s="74">
        <f t="shared" si="744"/>
        <v>0</v>
      </c>
      <c r="X458" s="74">
        <f t="shared" si="744"/>
        <v>-61800</v>
      </c>
      <c r="Y458" s="74">
        <f t="shared" si="744"/>
        <v>0</v>
      </c>
      <c r="Z458" s="74">
        <f t="shared" si="744"/>
        <v>0</v>
      </c>
      <c r="AA458" s="74">
        <f t="shared" si="744"/>
        <v>-7508</v>
      </c>
      <c r="AB458" s="74">
        <f t="shared" si="744"/>
        <v>0</v>
      </c>
      <c r="AC458" s="74">
        <f t="shared" si="744"/>
        <v>0</v>
      </c>
      <c r="AD458" s="74">
        <f t="shared" si="744"/>
        <v>0</v>
      </c>
      <c r="AE458" s="74">
        <f t="shared" si="744"/>
        <v>-61800</v>
      </c>
      <c r="AF458" s="74">
        <f t="shared" si="744"/>
        <v>-7508</v>
      </c>
      <c r="AG458" s="74">
        <f t="shared" si="744"/>
        <v>-69308</v>
      </c>
      <c r="AH458" s="74">
        <f t="shared" si="744"/>
        <v>0</v>
      </c>
      <c r="AI458" s="74">
        <f t="shared" si="744"/>
        <v>0</v>
      </c>
      <c r="AJ458" s="74">
        <f t="shared" si="744"/>
        <v>0</v>
      </c>
      <c r="AK458" s="74">
        <f t="shared" si="744"/>
        <v>0</v>
      </c>
      <c r="AL458" s="74">
        <f t="shared" si="744"/>
        <v>0</v>
      </c>
      <c r="AM458" s="74">
        <f t="shared" si="744"/>
        <v>0</v>
      </c>
      <c r="AN458" s="74">
        <f t="shared" si="744"/>
        <v>0</v>
      </c>
      <c r="AO458" s="74">
        <f t="shared" si="744"/>
        <v>0</v>
      </c>
      <c r="AP458" s="74">
        <f t="shared" si="744"/>
        <v>-61800</v>
      </c>
      <c r="AQ458" s="74">
        <f t="shared" si="744"/>
        <v>-7508</v>
      </c>
      <c r="AR458" s="74">
        <f t="shared" si="744"/>
        <v>-69308</v>
      </c>
      <c r="AS458" s="74">
        <f t="shared" si="744"/>
        <v>-23426</v>
      </c>
      <c r="AT458" s="74">
        <f t="shared" si="744"/>
        <v>-693</v>
      </c>
      <c r="AU458" s="74">
        <f t="shared" si="744"/>
        <v>0</v>
      </c>
      <c r="AV458" s="74">
        <f t="shared" si="744"/>
        <v>0</v>
      </c>
      <c r="AW458" s="74">
        <f t="shared" si="744"/>
        <v>0</v>
      </c>
      <c r="AX458" s="74">
        <f t="shared" si="744"/>
        <v>0</v>
      </c>
      <c r="AY458" s="74">
        <f t="shared" si="744"/>
        <v>-93427</v>
      </c>
      <c r="AZ458" s="75">
        <f t="shared" si="744"/>
        <v>0</v>
      </c>
      <c r="BA458" s="75">
        <f t="shared" si="744"/>
        <v>0</v>
      </c>
      <c r="BB458" s="75">
        <f t="shared" si="744"/>
        <v>-0.17</v>
      </c>
      <c r="BC458" s="75">
        <f t="shared" si="744"/>
        <v>0</v>
      </c>
      <c r="BD458" s="75">
        <f t="shared" si="744"/>
        <v>-0.02</v>
      </c>
      <c r="BE458" s="75">
        <f t="shared" si="744"/>
        <v>0</v>
      </c>
      <c r="BF458" s="75">
        <f t="shared" si="744"/>
        <v>0</v>
      </c>
      <c r="BG458" s="75">
        <f t="shared" si="744"/>
        <v>0</v>
      </c>
      <c r="BH458" s="75">
        <f t="shared" si="744"/>
        <v>0</v>
      </c>
      <c r="BI458" s="75">
        <f t="shared" si="744"/>
        <v>-0.17</v>
      </c>
      <c r="BJ458" s="75">
        <f t="shared" si="744"/>
        <v>-0.02</v>
      </c>
      <c r="BK458" s="76">
        <f t="shared" si="744"/>
        <v>-0.19</v>
      </c>
      <c r="BL458" s="781">
        <f t="shared" si="744"/>
        <v>10342391</v>
      </c>
      <c r="BM458" s="74">
        <f t="shared" si="744"/>
        <v>7592365</v>
      </c>
      <c r="BN458" s="74">
        <f t="shared" si="744"/>
        <v>5898044</v>
      </c>
      <c r="BO458" s="74">
        <f t="shared" si="744"/>
        <v>1694321</v>
      </c>
      <c r="BP458" s="74">
        <f t="shared" si="744"/>
        <v>0</v>
      </c>
      <c r="BQ458" s="74">
        <f t="shared" si="744"/>
        <v>0</v>
      </c>
      <c r="BR458" s="74">
        <f t="shared" si="744"/>
        <v>0</v>
      </c>
      <c r="BS458" s="74">
        <f t="shared" si="744"/>
        <v>2566219</v>
      </c>
      <c r="BT458" s="74">
        <f t="shared" si="744"/>
        <v>75924</v>
      </c>
      <c r="BU458" s="74">
        <f t="shared" si="744"/>
        <v>107883</v>
      </c>
      <c r="BV458" s="75">
        <f t="shared" si="744"/>
        <v>15.282999999999999</v>
      </c>
      <c r="BW458" s="75">
        <f t="shared" si="744"/>
        <v>10.061299999999999</v>
      </c>
      <c r="BX458" s="76">
        <f t="shared" si="744"/>
        <v>5.2217000000000002</v>
      </c>
      <c r="BY458" s="791">
        <f t="shared" ref="BY458:CJ458" si="745">SUM(BY452:BY457)</f>
        <v>0</v>
      </c>
      <c r="BZ458" s="679">
        <f t="shared" si="745"/>
        <v>0</v>
      </c>
      <c r="CA458" s="679">
        <f t="shared" si="745"/>
        <v>0</v>
      </c>
      <c r="CB458" s="679">
        <f t="shared" si="745"/>
        <v>0</v>
      </c>
      <c r="CC458" s="679">
        <f t="shared" si="745"/>
        <v>0</v>
      </c>
      <c r="CD458" s="947">
        <f t="shared" si="745"/>
        <v>0</v>
      </c>
      <c r="CE458" s="956">
        <f t="shared" si="745"/>
        <v>395451</v>
      </c>
      <c r="CF458" s="953">
        <f t="shared" si="745"/>
        <v>277984</v>
      </c>
      <c r="CG458" s="953">
        <f t="shared" si="745"/>
        <v>93959</v>
      </c>
      <c r="CH458" s="953">
        <f t="shared" si="745"/>
        <v>2780</v>
      </c>
      <c r="CI458" s="953">
        <f t="shared" si="745"/>
        <v>20728</v>
      </c>
      <c r="CJ458" s="877">
        <f t="shared" si="745"/>
        <v>0.87280000000000002</v>
      </c>
      <c r="CK458" s="53"/>
      <c r="CL458" s="53"/>
    </row>
    <row r="459" spans="1:90" ht="14.1" customHeight="1">
      <c r="A459" s="66">
        <v>88</v>
      </c>
      <c r="B459" s="63">
        <v>2331</v>
      </c>
      <c r="C459" s="64">
        <v>691014302</v>
      </c>
      <c r="D459" s="63" t="s">
        <v>761</v>
      </c>
      <c r="E459" s="65" t="s">
        <v>767</v>
      </c>
      <c r="F459" s="66">
        <v>3111</v>
      </c>
      <c r="G459" s="65" t="s">
        <v>290</v>
      </c>
      <c r="H459" s="67" t="s">
        <v>271</v>
      </c>
      <c r="I459" s="419">
        <v>3435698</v>
      </c>
      <c r="J459" s="414">
        <v>2540429</v>
      </c>
      <c r="K459" s="414">
        <v>2213846</v>
      </c>
      <c r="L459" s="414">
        <v>326583</v>
      </c>
      <c r="M459" s="414">
        <v>0</v>
      </c>
      <c r="N459" s="414">
        <v>0</v>
      </c>
      <c r="O459" s="414">
        <v>0</v>
      </c>
      <c r="P459" s="595">
        <v>858665</v>
      </c>
      <c r="Q459" s="595">
        <v>25404</v>
      </c>
      <c r="R459" s="414">
        <v>11200</v>
      </c>
      <c r="S459" s="415">
        <v>5.3194999999999997</v>
      </c>
      <c r="T459" s="415">
        <v>4.22</v>
      </c>
      <c r="U459" s="422">
        <v>1.0994999999999999</v>
      </c>
      <c r="V459" s="423">
        <f t="shared" si="637"/>
        <v>0</v>
      </c>
      <c r="W459" s="417">
        <f t="shared" si="638"/>
        <v>0</v>
      </c>
      <c r="X459" s="417">
        <v>0</v>
      </c>
      <c r="Y459" s="417">
        <v>0</v>
      </c>
      <c r="Z459" s="417">
        <v>0</v>
      </c>
      <c r="AA459" s="417">
        <v>0</v>
      </c>
      <c r="AB459" s="417">
        <v>0</v>
      </c>
      <c r="AC459" s="417">
        <v>0</v>
      </c>
      <c r="AD459" s="417">
        <v>0</v>
      </c>
      <c r="AE459" s="417">
        <f t="shared" si="639"/>
        <v>0</v>
      </c>
      <c r="AF459" s="417">
        <f t="shared" si="640"/>
        <v>0</v>
      </c>
      <c r="AG459" s="417">
        <f t="shared" si="641"/>
        <v>0</v>
      </c>
      <c r="AH459" s="417">
        <v>0</v>
      </c>
      <c r="AI459" s="417">
        <v>0</v>
      </c>
      <c r="AJ459" s="417">
        <v>0</v>
      </c>
      <c r="AK459" s="417">
        <v>0</v>
      </c>
      <c r="AL459" s="417">
        <v>0</v>
      </c>
      <c r="AM459" s="417">
        <f t="shared" si="642"/>
        <v>0</v>
      </c>
      <c r="AN459" s="417">
        <f t="shared" si="643"/>
        <v>0</v>
      </c>
      <c r="AO459" s="417">
        <f t="shared" si="644"/>
        <v>0</v>
      </c>
      <c r="AP459" s="417">
        <f t="shared" si="645"/>
        <v>0</v>
      </c>
      <c r="AQ459" s="417">
        <f t="shared" si="646"/>
        <v>0</v>
      </c>
      <c r="AR459" s="417">
        <f t="shared" si="647"/>
        <v>0</v>
      </c>
      <c r="AS459" s="68">
        <f t="shared" si="648"/>
        <v>0</v>
      </c>
      <c r="AT459" s="68">
        <f t="shared" si="649"/>
        <v>0</v>
      </c>
      <c r="AU459" s="417">
        <v>0</v>
      </c>
      <c r="AV459" s="417">
        <v>0</v>
      </c>
      <c r="AW459" s="417">
        <v>0</v>
      </c>
      <c r="AX459" s="417">
        <f t="shared" si="650"/>
        <v>0</v>
      </c>
      <c r="AY459" s="417">
        <f t="shared" si="651"/>
        <v>0</v>
      </c>
      <c r="AZ459" s="418">
        <v>0</v>
      </c>
      <c r="BA459" s="418">
        <v>0</v>
      </c>
      <c r="BB459" s="418">
        <v>0</v>
      </c>
      <c r="BC459" s="418">
        <v>0</v>
      </c>
      <c r="BD459" s="418">
        <v>0</v>
      </c>
      <c r="BE459" s="418">
        <v>0</v>
      </c>
      <c r="BF459" s="418">
        <v>0</v>
      </c>
      <c r="BG459" s="418">
        <v>0</v>
      </c>
      <c r="BH459" s="418">
        <v>0</v>
      </c>
      <c r="BI459" s="418">
        <f t="shared" si="652"/>
        <v>0</v>
      </c>
      <c r="BJ459" s="418">
        <f t="shared" si="653"/>
        <v>0</v>
      </c>
      <c r="BK459" s="420">
        <f t="shared" si="654"/>
        <v>0</v>
      </c>
      <c r="BL459" s="772">
        <f>I459+AY459</f>
        <v>3435698</v>
      </c>
      <c r="BM459" s="417">
        <f>J459+AG459</f>
        <v>2540429</v>
      </c>
      <c r="BN459" s="417">
        <f>K459+AE459</f>
        <v>2213846</v>
      </c>
      <c r="BO459" s="417">
        <f>L459+AF459</f>
        <v>326583</v>
      </c>
      <c r="BP459" s="417">
        <f>M459+AO459</f>
        <v>0</v>
      </c>
      <c r="BQ459" s="417">
        <f>N459+AM459</f>
        <v>0</v>
      </c>
      <c r="BR459" s="417">
        <f>O459+AN459</f>
        <v>0</v>
      </c>
      <c r="BS459" s="417">
        <f>P459+AS459</f>
        <v>858665</v>
      </c>
      <c r="BT459" s="417">
        <f>Q459+AT459</f>
        <v>25404</v>
      </c>
      <c r="BU459" s="417">
        <f>R459+AX459</f>
        <v>11200</v>
      </c>
      <c r="BV459" s="418">
        <f>S459+BK459</f>
        <v>5.3194999999999997</v>
      </c>
      <c r="BW459" s="418">
        <f>T459+BI459</f>
        <v>4.22</v>
      </c>
      <c r="BX459" s="420">
        <f>U459+BJ459</f>
        <v>1.0994999999999999</v>
      </c>
      <c r="BY459" s="419"/>
      <c r="BZ459" s="414"/>
      <c r="CA459" s="414"/>
      <c r="CB459" s="414"/>
      <c r="CC459" s="414"/>
      <c r="CD459" s="422"/>
      <c r="CE459" s="419">
        <f t="shared" si="655"/>
        <v>144982</v>
      </c>
      <c r="CF459" s="414">
        <v>104791</v>
      </c>
      <c r="CG459" s="414">
        <v>35419</v>
      </c>
      <c r="CH459" s="414">
        <v>1048</v>
      </c>
      <c r="CI459" s="414">
        <v>3724</v>
      </c>
      <c r="CJ459" s="509">
        <v>0.3528</v>
      </c>
    </row>
    <row r="460" spans="1:90" ht="14.1" customHeight="1">
      <c r="A460" s="66">
        <v>88</v>
      </c>
      <c r="B460" s="63">
        <v>2331</v>
      </c>
      <c r="C460" s="64">
        <v>691014302</v>
      </c>
      <c r="D460" s="63" t="s">
        <v>761</v>
      </c>
      <c r="E460" s="65" t="s">
        <v>767</v>
      </c>
      <c r="F460" s="66">
        <v>3141</v>
      </c>
      <c r="G460" s="65" t="s">
        <v>294</v>
      </c>
      <c r="H460" s="67" t="s">
        <v>272</v>
      </c>
      <c r="I460" s="419">
        <v>460295</v>
      </c>
      <c r="J460" s="414">
        <v>340385</v>
      </c>
      <c r="K460" s="414">
        <v>0</v>
      </c>
      <c r="L460" s="744">
        <v>340385</v>
      </c>
      <c r="M460" s="414">
        <v>0</v>
      </c>
      <c r="N460" s="204">
        <v>0</v>
      </c>
      <c r="O460" s="204">
        <v>0</v>
      </c>
      <c r="P460" s="595">
        <v>115050</v>
      </c>
      <c r="Q460" s="595">
        <v>3404</v>
      </c>
      <c r="R460" s="601">
        <v>1456</v>
      </c>
      <c r="S460" s="415">
        <v>1.02</v>
      </c>
      <c r="T460" s="603">
        <v>0</v>
      </c>
      <c r="U460" s="731">
        <v>1.02</v>
      </c>
      <c r="V460" s="423">
        <f t="shared" si="637"/>
        <v>0</v>
      </c>
      <c r="W460" s="417">
        <f t="shared" si="638"/>
        <v>0</v>
      </c>
      <c r="X460" s="417">
        <v>0</v>
      </c>
      <c r="Y460" s="417">
        <v>0</v>
      </c>
      <c r="Z460" s="417">
        <v>0</v>
      </c>
      <c r="AA460" s="417">
        <v>0</v>
      </c>
      <c r="AB460" s="417">
        <v>0</v>
      </c>
      <c r="AC460" s="417">
        <v>0</v>
      </c>
      <c r="AD460" s="417">
        <v>0</v>
      </c>
      <c r="AE460" s="417">
        <f t="shared" si="639"/>
        <v>0</v>
      </c>
      <c r="AF460" s="417">
        <f t="shared" si="640"/>
        <v>0</v>
      </c>
      <c r="AG460" s="417">
        <f t="shared" si="641"/>
        <v>0</v>
      </c>
      <c r="AH460" s="417">
        <v>0</v>
      </c>
      <c r="AI460" s="417">
        <v>0</v>
      </c>
      <c r="AJ460" s="417">
        <v>0</v>
      </c>
      <c r="AK460" s="417">
        <v>0</v>
      </c>
      <c r="AL460" s="417">
        <v>0</v>
      </c>
      <c r="AM460" s="417">
        <f t="shared" si="642"/>
        <v>0</v>
      </c>
      <c r="AN460" s="417">
        <f t="shared" si="643"/>
        <v>0</v>
      </c>
      <c r="AO460" s="417">
        <f t="shared" si="644"/>
        <v>0</v>
      </c>
      <c r="AP460" s="417">
        <f t="shared" si="645"/>
        <v>0</v>
      </c>
      <c r="AQ460" s="417">
        <f t="shared" si="646"/>
        <v>0</v>
      </c>
      <c r="AR460" s="417">
        <f t="shared" si="647"/>
        <v>0</v>
      </c>
      <c r="AS460" s="68">
        <f t="shared" si="648"/>
        <v>0</v>
      </c>
      <c r="AT460" s="68">
        <f t="shared" si="649"/>
        <v>0</v>
      </c>
      <c r="AU460" s="417">
        <v>0</v>
      </c>
      <c r="AV460" s="417">
        <v>0</v>
      </c>
      <c r="AW460" s="417">
        <v>0</v>
      </c>
      <c r="AX460" s="417">
        <f t="shared" si="650"/>
        <v>0</v>
      </c>
      <c r="AY460" s="417">
        <f t="shared" si="651"/>
        <v>0</v>
      </c>
      <c r="AZ460" s="418">
        <v>0</v>
      </c>
      <c r="BA460" s="418">
        <v>0</v>
      </c>
      <c r="BB460" s="418">
        <v>0</v>
      </c>
      <c r="BC460" s="418">
        <v>0</v>
      </c>
      <c r="BD460" s="418">
        <v>0</v>
      </c>
      <c r="BE460" s="418">
        <v>0</v>
      </c>
      <c r="BF460" s="418">
        <v>0</v>
      </c>
      <c r="BG460" s="418">
        <v>0</v>
      </c>
      <c r="BH460" s="418">
        <v>0</v>
      </c>
      <c r="BI460" s="418">
        <f t="shared" si="652"/>
        <v>0</v>
      </c>
      <c r="BJ460" s="418">
        <f t="shared" si="653"/>
        <v>0</v>
      </c>
      <c r="BK460" s="420">
        <f t="shared" si="654"/>
        <v>0</v>
      </c>
      <c r="BL460" s="772">
        <f>I460+AY460</f>
        <v>460295</v>
      </c>
      <c r="BM460" s="417">
        <f>J460+AG460</f>
        <v>340385</v>
      </c>
      <c r="BN460" s="417">
        <f>K460+AE460</f>
        <v>0</v>
      </c>
      <c r="BO460" s="417">
        <f>L460+AF460</f>
        <v>340385</v>
      </c>
      <c r="BP460" s="417">
        <f>M460+AO460</f>
        <v>0</v>
      </c>
      <c r="BQ460" s="417">
        <f>N460+AM460</f>
        <v>0</v>
      </c>
      <c r="BR460" s="417">
        <f>O460+AN460</f>
        <v>0</v>
      </c>
      <c r="BS460" s="417">
        <f>P460+AS460</f>
        <v>115050</v>
      </c>
      <c r="BT460" s="417">
        <f>Q460+AT460</f>
        <v>3404</v>
      </c>
      <c r="BU460" s="417">
        <f>R460+AX460</f>
        <v>1456</v>
      </c>
      <c r="BV460" s="418">
        <f>S460+BK460</f>
        <v>1.02</v>
      </c>
      <c r="BW460" s="418">
        <f>T460+BI460</f>
        <v>0</v>
      </c>
      <c r="BX460" s="420">
        <f>U460+BJ460</f>
        <v>1.02</v>
      </c>
      <c r="BY460" s="419"/>
      <c r="BZ460" s="414"/>
      <c r="CA460" s="414"/>
      <c r="CB460" s="414"/>
      <c r="CC460" s="414"/>
      <c r="CD460" s="422"/>
      <c r="CE460" s="419">
        <f t="shared" si="655"/>
        <v>0</v>
      </c>
      <c r="CF460" s="414">
        <v>0</v>
      </c>
      <c r="CG460" s="414">
        <v>0</v>
      </c>
      <c r="CH460" s="414">
        <v>0</v>
      </c>
      <c r="CI460" s="414">
        <v>0</v>
      </c>
      <c r="CJ460" s="509">
        <v>0</v>
      </c>
    </row>
    <row r="461" spans="1:90" ht="14.1" customHeight="1">
      <c r="A461" s="72">
        <v>88</v>
      </c>
      <c r="B461" s="69">
        <v>2331</v>
      </c>
      <c r="C461" s="70">
        <v>691014302</v>
      </c>
      <c r="D461" s="69" t="s">
        <v>761</v>
      </c>
      <c r="E461" s="71" t="s">
        <v>768</v>
      </c>
      <c r="F461" s="201"/>
      <c r="G461" s="71"/>
      <c r="H461" s="73"/>
      <c r="I461" s="516">
        <v>3895993</v>
      </c>
      <c r="J461" s="74">
        <v>2880814</v>
      </c>
      <c r="K461" s="74">
        <v>2213846</v>
      </c>
      <c r="L461" s="74">
        <v>666968</v>
      </c>
      <c r="M461" s="74">
        <v>0</v>
      </c>
      <c r="N461" s="74">
        <v>0</v>
      </c>
      <c r="O461" s="74">
        <v>0</v>
      </c>
      <c r="P461" s="74">
        <v>973715</v>
      </c>
      <c r="Q461" s="74">
        <v>28808</v>
      </c>
      <c r="R461" s="74">
        <v>12656</v>
      </c>
      <c r="S461" s="75">
        <v>6.3394999999999992</v>
      </c>
      <c r="T461" s="75">
        <v>4.22</v>
      </c>
      <c r="U461" s="653">
        <v>2.1194999999999999</v>
      </c>
      <c r="V461" s="516">
        <f t="shared" ref="V461:BX461" si="746">SUM(V459:V460)</f>
        <v>0</v>
      </c>
      <c r="W461" s="74">
        <f t="shared" si="746"/>
        <v>0</v>
      </c>
      <c r="X461" s="74">
        <f t="shared" si="746"/>
        <v>0</v>
      </c>
      <c r="Y461" s="74">
        <f t="shared" si="746"/>
        <v>0</v>
      </c>
      <c r="Z461" s="74">
        <f t="shared" si="746"/>
        <v>0</v>
      </c>
      <c r="AA461" s="74">
        <f t="shared" si="746"/>
        <v>0</v>
      </c>
      <c r="AB461" s="74">
        <f t="shared" si="746"/>
        <v>0</v>
      </c>
      <c r="AC461" s="74">
        <f t="shared" si="746"/>
        <v>0</v>
      </c>
      <c r="AD461" s="74">
        <f t="shared" si="746"/>
        <v>0</v>
      </c>
      <c r="AE461" s="74">
        <f t="shared" si="746"/>
        <v>0</v>
      </c>
      <c r="AF461" s="74">
        <f t="shared" si="746"/>
        <v>0</v>
      </c>
      <c r="AG461" s="74">
        <f t="shared" si="746"/>
        <v>0</v>
      </c>
      <c r="AH461" s="74">
        <f t="shared" si="746"/>
        <v>0</v>
      </c>
      <c r="AI461" s="74">
        <f t="shared" si="746"/>
        <v>0</v>
      </c>
      <c r="AJ461" s="74">
        <f t="shared" si="746"/>
        <v>0</v>
      </c>
      <c r="AK461" s="74">
        <f t="shared" si="746"/>
        <v>0</v>
      </c>
      <c r="AL461" s="74">
        <f t="shared" si="746"/>
        <v>0</v>
      </c>
      <c r="AM461" s="74">
        <f t="shared" si="746"/>
        <v>0</v>
      </c>
      <c r="AN461" s="74">
        <f t="shared" si="746"/>
        <v>0</v>
      </c>
      <c r="AO461" s="74">
        <f t="shared" si="746"/>
        <v>0</v>
      </c>
      <c r="AP461" s="74">
        <f t="shared" si="746"/>
        <v>0</v>
      </c>
      <c r="AQ461" s="74">
        <f t="shared" si="746"/>
        <v>0</v>
      </c>
      <c r="AR461" s="74">
        <f t="shared" si="746"/>
        <v>0</v>
      </c>
      <c r="AS461" s="74">
        <f t="shared" si="746"/>
        <v>0</v>
      </c>
      <c r="AT461" s="74">
        <f t="shared" si="746"/>
        <v>0</v>
      </c>
      <c r="AU461" s="74">
        <f t="shared" si="746"/>
        <v>0</v>
      </c>
      <c r="AV461" s="74">
        <f t="shared" si="746"/>
        <v>0</v>
      </c>
      <c r="AW461" s="74">
        <f t="shared" si="746"/>
        <v>0</v>
      </c>
      <c r="AX461" s="74">
        <f t="shared" si="746"/>
        <v>0</v>
      </c>
      <c r="AY461" s="74">
        <f t="shared" si="746"/>
        <v>0</v>
      </c>
      <c r="AZ461" s="75">
        <f t="shared" si="746"/>
        <v>0</v>
      </c>
      <c r="BA461" s="75">
        <f t="shared" si="746"/>
        <v>0</v>
      </c>
      <c r="BB461" s="75">
        <f t="shared" si="746"/>
        <v>0</v>
      </c>
      <c r="BC461" s="75">
        <f t="shared" si="746"/>
        <v>0</v>
      </c>
      <c r="BD461" s="75">
        <f t="shared" si="746"/>
        <v>0</v>
      </c>
      <c r="BE461" s="75">
        <f t="shared" si="746"/>
        <v>0</v>
      </c>
      <c r="BF461" s="75">
        <f t="shared" si="746"/>
        <v>0</v>
      </c>
      <c r="BG461" s="75">
        <f t="shared" si="746"/>
        <v>0</v>
      </c>
      <c r="BH461" s="75">
        <f t="shared" si="746"/>
        <v>0</v>
      </c>
      <c r="BI461" s="75">
        <f t="shared" si="746"/>
        <v>0</v>
      </c>
      <c r="BJ461" s="75">
        <f t="shared" si="746"/>
        <v>0</v>
      </c>
      <c r="BK461" s="76">
        <f t="shared" si="746"/>
        <v>0</v>
      </c>
      <c r="BL461" s="781">
        <f t="shared" si="746"/>
        <v>3895993</v>
      </c>
      <c r="BM461" s="74">
        <f t="shared" si="746"/>
        <v>2880814</v>
      </c>
      <c r="BN461" s="74">
        <f t="shared" si="746"/>
        <v>2213846</v>
      </c>
      <c r="BO461" s="74">
        <f t="shared" si="746"/>
        <v>666968</v>
      </c>
      <c r="BP461" s="74">
        <f t="shared" si="746"/>
        <v>0</v>
      </c>
      <c r="BQ461" s="74">
        <f t="shared" si="746"/>
        <v>0</v>
      </c>
      <c r="BR461" s="74">
        <f t="shared" si="746"/>
        <v>0</v>
      </c>
      <c r="BS461" s="74">
        <f t="shared" si="746"/>
        <v>973715</v>
      </c>
      <c r="BT461" s="74">
        <f t="shared" si="746"/>
        <v>28808</v>
      </c>
      <c r="BU461" s="74">
        <f t="shared" si="746"/>
        <v>12656</v>
      </c>
      <c r="BV461" s="75">
        <f t="shared" si="746"/>
        <v>6.3394999999999992</v>
      </c>
      <c r="BW461" s="75">
        <f t="shared" si="746"/>
        <v>4.22</v>
      </c>
      <c r="BX461" s="76">
        <f t="shared" si="746"/>
        <v>2.1194999999999999</v>
      </c>
      <c r="BY461" s="791">
        <f t="shared" ref="BY461:CJ461" si="747">SUM(BY459:BY460)</f>
        <v>0</v>
      </c>
      <c r="BZ461" s="679">
        <f t="shared" si="747"/>
        <v>0</v>
      </c>
      <c r="CA461" s="679">
        <f t="shared" si="747"/>
        <v>0</v>
      </c>
      <c r="CB461" s="679">
        <f t="shared" si="747"/>
        <v>0</v>
      </c>
      <c r="CC461" s="679">
        <f t="shared" si="747"/>
        <v>0</v>
      </c>
      <c r="CD461" s="947">
        <f t="shared" si="747"/>
        <v>0</v>
      </c>
      <c r="CE461" s="956">
        <f t="shared" si="747"/>
        <v>144982</v>
      </c>
      <c r="CF461" s="953">
        <f t="shared" si="747"/>
        <v>104791</v>
      </c>
      <c r="CG461" s="953">
        <f t="shared" si="747"/>
        <v>35419</v>
      </c>
      <c r="CH461" s="953">
        <f t="shared" si="747"/>
        <v>1048</v>
      </c>
      <c r="CI461" s="953">
        <f t="shared" si="747"/>
        <v>3724</v>
      </c>
      <c r="CJ461" s="877">
        <f t="shared" si="747"/>
        <v>0.3528</v>
      </c>
    </row>
    <row r="462" spans="1:90" ht="14.1" customHeight="1">
      <c r="A462" s="66">
        <v>89</v>
      </c>
      <c r="B462" s="191">
        <v>2332</v>
      </c>
      <c r="C462" s="191">
        <v>691015295</v>
      </c>
      <c r="D462" s="192">
        <v>10988122</v>
      </c>
      <c r="E462" s="189" t="s">
        <v>779</v>
      </c>
      <c r="F462" s="202">
        <v>3111</v>
      </c>
      <c r="G462" s="203" t="s">
        <v>290</v>
      </c>
      <c r="H462" s="67" t="s">
        <v>271</v>
      </c>
      <c r="I462" s="419">
        <v>5521133</v>
      </c>
      <c r="J462" s="414">
        <v>4027539</v>
      </c>
      <c r="K462" s="414">
        <v>3582683</v>
      </c>
      <c r="L462" s="414">
        <v>444856</v>
      </c>
      <c r="M462" s="414">
        <v>45000</v>
      </c>
      <c r="N462" s="414">
        <v>0</v>
      </c>
      <c r="O462" s="414">
        <v>45000</v>
      </c>
      <c r="P462" s="595">
        <v>1376518</v>
      </c>
      <c r="Q462" s="595">
        <v>40276</v>
      </c>
      <c r="R462" s="414">
        <v>31800</v>
      </c>
      <c r="S462" s="415">
        <v>8.1766000000000005</v>
      </c>
      <c r="T462" s="415">
        <v>6.6773999999999996</v>
      </c>
      <c r="U462" s="422">
        <v>1.4992000000000001</v>
      </c>
      <c r="V462" s="423">
        <f t="shared" ref="V462:V464" si="748">AH462*-1</f>
        <v>0</v>
      </c>
      <c r="W462" s="417">
        <f t="shared" ref="W462:W464" si="749">AI462*-1</f>
        <v>0</v>
      </c>
      <c r="X462" s="417">
        <v>0</v>
      </c>
      <c r="Y462" s="417">
        <v>0</v>
      </c>
      <c r="Z462" s="417">
        <v>0</v>
      </c>
      <c r="AA462" s="417">
        <v>0</v>
      </c>
      <c r="AB462" s="417">
        <v>0</v>
      </c>
      <c r="AC462" s="417">
        <v>0</v>
      </c>
      <c r="AD462" s="417">
        <v>0</v>
      </c>
      <c r="AE462" s="417">
        <f t="shared" ref="AE462:AE464" si="750">V462+X462+Y462+Z462+AC462</f>
        <v>0</v>
      </c>
      <c r="AF462" s="417">
        <f t="shared" ref="AF462:AF464" si="751">W462+AA462+AD462+AB462</f>
        <v>0</v>
      </c>
      <c r="AG462" s="417">
        <f t="shared" ref="AG462:AG464" si="752">SUM(AE462:AF462)</f>
        <v>0</v>
      </c>
      <c r="AH462" s="417">
        <v>0</v>
      </c>
      <c r="AI462" s="417">
        <v>0</v>
      </c>
      <c r="AJ462" s="417">
        <v>0</v>
      </c>
      <c r="AK462" s="417">
        <v>0</v>
      </c>
      <c r="AL462" s="417">
        <v>0</v>
      </c>
      <c r="AM462" s="417">
        <f t="shared" ref="AM462:AM464" si="753">AH462+AJ462+AK462</f>
        <v>0</v>
      </c>
      <c r="AN462" s="417">
        <f t="shared" ref="AN462:AN464" si="754">AI462+AL462</f>
        <v>0</v>
      </c>
      <c r="AO462" s="417">
        <f t="shared" ref="AO462:AO464" si="755">SUM(AM462:AN462)</f>
        <v>0</v>
      </c>
      <c r="AP462" s="417">
        <f t="shared" ref="AP462:AP464" si="756">AE462+AM462</f>
        <v>0</v>
      </c>
      <c r="AQ462" s="417">
        <f t="shared" ref="AQ462:AQ464" si="757">AF462+AN462</f>
        <v>0</v>
      </c>
      <c r="AR462" s="417">
        <f t="shared" ref="AR462:AR464" si="758">SUM(AP462:AQ462)</f>
        <v>0</v>
      </c>
      <c r="AS462" s="68">
        <f t="shared" ref="AS462:AS464" si="759">ROUND((AG462+AH462+AI462+AJ462)*33.8%,0)</f>
        <v>0</v>
      </c>
      <c r="AT462" s="68">
        <f t="shared" ref="AT462:AT464" si="760">ROUND(AG462*1%,0)</f>
        <v>0</v>
      </c>
      <c r="AU462" s="417">
        <v>0</v>
      </c>
      <c r="AV462" s="417">
        <v>0</v>
      </c>
      <c r="AW462" s="417">
        <v>0</v>
      </c>
      <c r="AX462" s="417">
        <f t="shared" ref="AX462:AX464" si="761">SUM(AU462:AW462)</f>
        <v>0</v>
      </c>
      <c r="AY462" s="417">
        <f t="shared" ref="AY462:AY464" si="762">AR462+AS462+AT462+AX462</f>
        <v>0</v>
      </c>
      <c r="AZ462" s="418">
        <v>0</v>
      </c>
      <c r="BA462" s="418">
        <v>0</v>
      </c>
      <c r="BB462" s="418">
        <v>0</v>
      </c>
      <c r="BC462" s="418">
        <v>0</v>
      </c>
      <c r="BD462" s="418">
        <v>0</v>
      </c>
      <c r="BE462" s="418">
        <v>0</v>
      </c>
      <c r="BF462" s="418">
        <v>0</v>
      </c>
      <c r="BG462" s="418">
        <v>0</v>
      </c>
      <c r="BH462" s="418">
        <v>0</v>
      </c>
      <c r="BI462" s="418">
        <f t="shared" ref="BI462:BI464" si="763">AZ462+BB462+BC462+BE462+BG462</f>
        <v>0</v>
      </c>
      <c r="BJ462" s="418">
        <f t="shared" ref="BJ462:BJ464" si="764">BA462+BD462+BH462+BF462</f>
        <v>0</v>
      </c>
      <c r="BK462" s="420">
        <f t="shared" ref="BK462:BK464" si="765">SUM(BI462:BJ462)</f>
        <v>0</v>
      </c>
      <c r="BL462" s="772">
        <f>I462+AY462</f>
        <v>5521133</v>
      </c>
      <c r="BM462" s="417">
        <f>J462+AG462</f>
        <v>4027539</v>
      </c>
      <c r="BN462" s="417">
        <f t="shared" ref="BN462:BO464" si="766">K462+AE462</f>
        <v>3582683</v>
      </c>
      <c r="BO462" s="417">
        <f t="shared" si="766"/>
        <v>444856</v>
      </c>
      <c r="BP462" s="417">
        <f>M462+AO462</f>
        <v>45000</v>
      </c>
      <c r="BQ462" s="417">
        <f t="shared" ref="BQ462:BR464" si="767">N462+AM462</f>
        <v>0</v>
      </c>
      <c r="BR462" s="417">
        <f t="shared" si="767"/>
        <v>45000</v>
      </c>
      <c r="BS462" s="417">
        <f t="shared" ref="BS462:BT464" si="768">P462+AS462</f>
        <v>1376518</v>
      </c>
      <c r="BT462" s="417">
        <f t="shared" si="768"/>
        <v>40276</v>
      </c>
      <c r="BU462" s="417">
        <f>R462+AX462</f>
        <v>31800</v>
      </c>
      <c r="BV462" s="418">
        <f>S462+BK462</f>
        <v>8.1766000000000005</v>
      </c>
      <c r="BW462" s="418">
        <f t="shared" ref="BW462:BX464" si="769">T462+BI462</f>
        <v>6.6773999999999996</v>
      </c>
      <c r="BX462" s="420">
        <f t="shared" si="769"/>
        <v>1.4992000000000001</v>
      </c>
      <c r="BY462" s="419"/>
      <c r="BZ462" s="414"/>
      <c r="CA462" s="414"/>
      <c r="CB462" s="414"/>
      <c r="CC462" s="414"/>
      <c r="CD462" s="422"/>
      <c r="CE462" s="419">
        <f t="shared" ref="CE462:CE464" si="770">SUM(CF462:CI462)</f>
        <v>222469</v>
      </c>
      <c r="CF462" s="414">
        <v>157187</v>
      </c>
      <c r="CG462" s="414">
        <v>53129</v>
      </c>
      <c r="CH462" s="414">
        <v>1572</v>
      </c>
      <c r="CI462" s="414">
        <v>10581</v>
      </c>
      <c r="CJ462" s="509">
        <v>0.5292</v>
      </c>
    </row>
    <row r="463" spans="1:90" ht="14.1" customHeight="1">
      <c r="A463" s="66">
        <v>89</v>
      </c>
      <c r="B463" s="191">
        <v>2332</v>
      </c>
      <c r="C463" s="191">
        <v>691015295</v>
      </c>
      <c r="D463" s="192">
        <v>10988122</v>
      </c>
      <c r="E463" s="189" t="s">
        <v>779</v>
      </c>
      <c r="F463" s="202">
        <v>3111</v>
      </c>
      <c r="G463" s="203" t="s">
        <v>291</v>
      </c>
      <c r="H463" s="67" t="s">
        <v>272</v>
      </c>
      <c r="I463" s="419">
        <v>499840</v>
      </c>
      <c r="J463" s="414">
        <v>370801</v>
      </c>
      <c r="K463" s="414">
        <v>370801</v>
      </c>
      <c r="L463" s="414">
        <v>0</v>
      </c>
      <c r="M463" s="414">
        <v>0</v>
      </c>
      <c r="N463" s="414">
        <v>0</v>
      </c>
      <c r="O463" s="414">
        <v>0</v>
      </c>
      <c r="P463" s="595">
        <v>125331</v>
      </c>
      <c r="Q463" s="595">
        <v>3708</v>
      </c>
      <c r="R463" s="414">
        <v>0</v>
      </c>
      <c r="S463" s="415">
        <v>1</v>
      </c>
      <c r="T463" s="416">
        <v>1</v>
      </c>
      <c r="U463" s="422">
        <v>0</v>
      </c>
      <c r="V463" s="423">
        <f t="shared" si="748"/>
        <v>0</v>
      </c>
      <c r="W463" s="417">
        <f t="shared" si="749"/>
        <v>0</v>
      </c>
      <c r="X463" s="417">
        <v>0</v>
      </c>
      <c r="Y463" s="417">
        <v>0</v>
      </c>
      <c r="Z463" s="417">
        <v>0</v>
      </c>
      <c r="AA463" s="417">
        <v>0</v>
      </c>
      <c r="AB463" s="417">
        <v>0</v>
      </c>
      <c r="AC463" s="417">
        <v>0</v>
      </c>
      <c r="AD463" s="417">
        <v>0</v>
      </c>
      <c r="AE463" s="417">
        <f t="shared" si="750"/>
        <v>0</v>
      </c>
      <c r="AF463" s="417">
        <f t="shared" si="751"/>
        <v>0</v>
      </c>
      <c r="AG463" s="417">
        <f t="shared" si="752"/>
        <v>0</v>
      </c>
      <c r="AH463" s="417">
        <v>0</v>
      </c>
      <c r="AI463" s="417">
        <v>0</v>
      </c>
      <c r="AJ463" s="417">
        <v>0</v>
      </c>
      <c r="AK463" s="417">
        <v>0</v>
      </c>
      <c r="AL463" s="417">
        <v>0</v>
      </c>
      <c r="AM463" s="417">
        <f t="shared" si="753"/>
        <v>0</v>
      </c>
      <c r="AN463" s="417">
        <f t="shared" si="754"/>
        <v>0</v>
      </c>
      <c r="AO463" s="417">
        <f t="shared" si="755"/>
        <v>0</v>
      </c>
      <c r="AP463" s="417">
        <f t="shared" si="756"/>
        <v>0</v>
      </c>
      <c r="AQ463" s="417">
        <f t="shared" si="757"/>
        <v>0</v>
      </c>
      <c r="AR463" s="417">
        <f t="shared" si="758"/>
        <v>0</v>
      </c>
      <c r="AS463" s="68">
        <f t="shared" si="759"/>
        <v>0</v>
      </c>
      <c r="AT463" s="68">
        <f t="shared" si="760"/>
        <v>0</v>
      </c>
      <c r="AU463" s="417">
        <v>0</v>
      </c>
      <c r="AV463" s="417">
        <v>0</v>
      </c>
      <c r="AW463" s="417">
        <v>0</v>
      </c>
      <c r="AX463" s="417">
        <f t="shared" si="761"/>
        <v>0</v>
      </c>
      <c r="AY463" s="417">
        <f t="shared" si="762"/>
        <v>0</v>
      </c>
      <c r="AZ463" s="418">
        <v>0</v>
      </c>
      <c r="BA463" s="418">
        <v>0</v>
      </c>
      <c r="BB463" s="418">
        <v>0</v>
      </c>
      <c r="BC463" s="418">
        <v>0</v>
      </c>
      <c r="BD463" s="418">
        <v>0</v>
      </c>
      <c r="BE463" s="418">
        <v>0</v>
      </c>
      <c r="BF463" s="418">
        <v>0</v>
      </c>
      <c r="BG463" s="418">
        <v>0</v>
      </c>
      <c r="BH463" s="418">
        <v>0</v>
      </c>
      <c r="BI463" s="418">
        <f t="shared" si="763"/>
        <v>0</v>
      </c>
      <c r="BJ463" s="418">
        <f t="shared" si="764"/>
        <v>0</v>
      </c>
      <c r="BK463" s="420">
        <f t="shared" si="765"/>
        <v>0</v>
      </c>
      <c r="BL463" s="772">
        <f>I463+AY463</f>
        <v>499840</v>
      </c>
      <c r="BM463" s="417">
        <f>J463+AG463</f>
        <v>370801</v>
      </c>
      <c r="BN463" s="417">
        <f t="shared" si="766"/>
        <v>370801</v>
      </c>
      <c r="BO463" s="417">
        <f t="shared" si="766"/>
        <v>0</v>
      </c>
      <c r="BP463" s="417">
        <f>M463+AO463</f>
        <v>0</v>
      </c>
      <c r="BQ463" s="417">
        <f t="shared" si="767"/>
        <v>0</v>
      </c>
      <c r="BR463" s="417">
        <f t="shared" si="767"/>
        <v>0</v>
      </c>
      <c r="BS463" s="417">
        <f t="shared" si="768"/>
        <v>125331</v>
      </c>
      <c r="BT463" s="417">
        <f t="shared" si="768"/>
        <v>3708</v>
      </c>
      <c r="BU463" s="417">
        <f>R463+AX463</f>
        <v>0</v>
      </c>
      <c r="BV463" s="418">
        <f>S463+BK463</f>
        <v>1</v>
      </c>
      <c r="BW463" s="418">
        <f t="shared" si="769"/>
        <v>1</v>
      </c>
      <c r="BX463" s="420">
        <f t="shared" si="769"/>
        <v>0</v>
      </c>
      <c r="BY463" s="419"/>
      <c r="BZ463" s="414"/>
      <c r="CA463" s="414"/>
      <c r="CB463" s="414"/>
      <c r="CC463" s="414"/>
      <c r="CD463" s="422"/>
      <c r="CE463" s="419">
        <f t="shared" si="770"/>
        <v>0</v>
      </c>
      <c r="CF463" s="414">
        <v>0</v>
      </c>
      <c r="CG463" s="414">
        <v>0</v>
      </c>
      <c r="CH463" s="414">
        <v>0</v>
      </c>
      <c r="CI463" s="414">
        <v>0</v>
      </c>
      <c r="CJ463" s="509">
        <v>0</v>
      </c>
    </row>
    <row r="464" spans="1:90" ht="14.1" customHeight="1">
      <c r="A464" s="66">
        <v>89</v>
      </c>
      <c r="B464" s="193">
        <v>2332</v>
      </c>
      <c r="C464" s="191">
        <v>691015295</v>
      </c>
      <c r="D464" s="192">
        <v>10988122</v>
      </c>
      <c r="E464" s="189" t="s">
        <v>779</v>
      </c>
      <c r="F464" s="194">
        <v>3141</v>
      </c>
      <c r="G464" s="195" t="s">
        <v>294</v>
      </c>
      <c r="H464" s="67" t="s">
        <v>272</v>
      </c>
      <c r="I464" s="419">
        <v>304957</v>
      </c>
      <c r="J464" s="414">
        <v>224791</v>
      </c>
      <c r="K464" s="414">
        <v>0</v>
      </c>
      <c r="L464" s="744">
        <v>224791</v>
      </c>
      <c r="M464" s="414">
        <v>0</v>
      </c>
      <c r="N464" s="204">
        <v>0</v>
      </c>
      <c r="O464" s="204">
        <v>0</v>
      </c>
      <c r="P464" s="595">
        <v>75980</v>
      </c>
      <c r="Q464" s="595">
        <v>2248</v>
      </c>
      <c r="R464" s="601">
        <v>1938</v>
      </c>
      <c r="S464" s="415">
        <v>0.66669999999999996</v>
      </c>
      <c r="T464" s="603">
        <v>0</v>
      </c>
      <c r="U464" s="731">
        <v>0.66669999999999996</v>
      </c>
      <c r="V464" s="423">
        <f t="shared" si="748"/>
        <v>0</v>
      </c>
      <c r="W464" s="417">
        <f t="shared" si="749"/>
        <v>0</v>
      </c>
      <c r="X464" s="417">
        <v>0</v>
      </c>
      <c r="Y464" s="417">
        <v>0</v>
      </c>
      <c r="Z464" s="417">
        <v>0</v>
      </c>
      <c r="AA464" s="417">
        <v>-2689</v>
      </c>
      <c r="AB464" s="417">
        <v>0</v>
      </c>
      <c r="AC464" s="417">
        <v>0</v>
      </c>
      <c r="AD464" s="417">
        <v>0</v>
      </c>
      <c r="AE464" s="417">
        <f t="shared" si="750"/>
        <v>0</v>
      </c>
      <c r="AF464" s="417">
        <f t="shared" si="751"/>
        <v>-2689</v>
      </c>
      <c r="AG464" s="417">
        <f t="shared" si="752"/>
        <v>-2689</v>
      </c>
      <c r="AH464" s="417">
        <v>0</v>
      </c>
      <c r="AI464" s="417">
        <v>0</v>
      </c>
      <c r="AJ464" s="417">
        <v>0</v>
      </c>
      <c r="AK464" s="417">
        <v>0</v>
      </c>
      <c r="AL464" s="417">
        <v>0</v>
      </c>
      <c r="AM464" s="417">
        <f t="shared" si="753"/>
        <v>0</v>
      </c>
      <c r="AN464" s="417">
        <f t="shared" si="754"/>
        <v>0</v>
      </c>
      <c r="AO464" s="417">
        <f t="shared" si="755"/>
        <v>0</v>
      </c>
      <c r="AP464" s="417">
        <f t="shared" si="756"/>
        <v>0</v>
      </c>
      <c r="AQ464" s="417">
        <f t="shared" si="757"/>
        <v>-2689</v>
      </c>
      <c r="AR464" s="417">
        <f t="shared" si="758"/>
        <v>-2689</v>
      </c>
      <c r="AS464" s="68">
        <f t="shared" si="759"/>
        <v>-909</v>
      </c>
      <c r="AT464" s="68">
        <f t="shared" si="760"/>
        <v>-27</v>
      </c>
      <c r="AU464" s="417">
        <v>0</v>
      </c>
      <c r="AV464" s="417">
        <v>0</v>
      </c>
      <c r="AW464" s="417">
        <v>0</v>
      </c>
      <c r="AX464" s="417">
        <f t="shared" si="761"/>
        <v>0</v>
      </c>
      <c r="AY464" s="417">
        <f t="shared" si="762"/>
        <v>-3625</v>
      </c>
      <c r="AZ464" s="418">
        <v>0</v>
      </c>
      <c r="BA464" s="418">
        <v>0</v>
      </c>
      <c r="BB464" s="418">
        <v>0</v>
      </c>
      <c r="BC464" s="418">
        <v>0</v>
      </c>
      <c r="BD464" s="418">
        <v>0</v>
      </c>
      <c r="BE464" s="418">
        <v>0</v>
      </c>
      <c r="BF464" s="418">
        <v>0</v>
      </c>
      <c r="BG464" s="418">
        <v>0</v>
      </c>
      <c r="BH464" s="418">
        <v>0</v>
      </c>
      <c r="BI464" s="418">
        <f t="shared" si="763"/>
        <v>0</v>
      </c>
      <c r="BJ464" s="418">
        <f t="shared" si="764"/>
        <v>0</v>
      </c>
      <c r="BK464" s="420">
        <f t="shared" si="765"/>
        <v>0</v>
      </c>
      <c r="BL464" s="772">
        <f>I464+AY464</f>
        <v>301332</v>
      </c>
      <c r="BM464" s="417">
        <f>J464+AG464</f>
        <v>222102</v>
      </c>
      <c r="BN464" s="417">
        <f t="shared" si="766"/>
        <v>0</v>
      </c>
      <c r="BO464" s="417">
        <f t="shared" si="766"/>
        <v>222102</v>
      </c>
      <c r="BP464" s="417">
        <f>M464+AO464</f>
        <v>0</v>
      </c>
      <c r="BQ464" s="417">
        <f t="shared" si="767"/>
        <v>0</v>
      </c>
      <c r="BR464" s="417">
        <f t="shared" si="767"/>
        <v>0</v>
      </c>
      <c r="BS464" s="417">
        <f t="shared" si="768"/>
        <v>75071</v>
      </c>
      <c r="BT464" s="417">
        <f t="shared" si="768"/>
        <v>2221</v>
      </c>
      <c r="BU464" s="417">
        <f>R464+AX464</f>
        <v>1938</v>
      </c>
      <c r="BV464" s="418">
        <f>S464+BK464</f>
        <v>0.66669999999999996</v>
      </c>
      <c r="BW464" s="418">
        <f t="shared" si="769"/>
        <v>0</v>
      </c>
      <c r="BX464" s="420">
        <f t="shared" si="769"/>
        <v>0.66669999999999996</v>
      </c>
      <c r="BY464" s="419"/>
      <c r="BZ464" s="414"/>
      <c r="CA464" s="414"/>
      <c r="CB464" s="414"/>
      <c r="CC464" s="414"/>
      <c r="CD464" s="422"/>
      <c r="CE464" s="419">
        <f t="shared" si="770"/>
        <v>0</v>
      </c>
      <c r="CF464" s="414">
        <v>0</v>
      </c>
      <c r="CG464" s="414">
        <v>0</v>
      </c>
      <c r="CH464" s="414">
        <v>0</v>
      </c>
      <c r="CI464" s="414">
        <v>0</v>
      </c>
      <c r="CJ464" s="509">
        <v>0</v>
      </c>
    </row>
    <row r="465" spans="1:88" ht="14.1" customHeight="1" thickBot="1">
      <c r="A465" s="196">
        <v>89</v>
      </c>
      <c r="B465" s="197">
        <v>2332</v>
      </c>
      <c r="C465" s="197">
        <v>691015295</v>
      </c>
      <c r="D465" s="198">
        <v>10988122</v>
      </c>
      <c r="E465" s="190" t="s">
        <v>780</v>
      </c>
      <c r="F465" s="199"/>
      <c r="G465" s="200"/>
      <c r="H465" s="200"/>
      <c r="I465" s="519">
        <v>6325930</v>
      </c>
      <c r="J465" s="520">
        <v>4623131</v>
      </c>
      <c r="K465" s="520">
        <v>3953484</v>
      </c>
      <c r="L465" s="520">
        <v>669647</v>
      </c>
      <c r="M465" s="520">
        <v>45000</v>
      </c>
      <c r="N465" s="520">
        <v>0</v>
      </c>
      <c r="O465" s="520">
        <v>45000</v>
      </c>
      <c r="P465" s="520">
        <v>1577829</v>
      </c>
      <c r="Q465" s="520">
        <v>46232</v>
      </c>
      <c r="R465" s="520">
        <v>33738</v>
      </c>
      <c r="S465" s="521">
        <v>9.843300000000001</v>
      </c>
      <c r="T465" s="521">
        <v>7.6773999999999996</v>
      </c>
      <c r="U465" s="656">
        <v>2.1659000000000002</v>
      </c>
      <c r="V465" s="519">
        <f t="shared" ref="V465:BX465" si="771">SUM(V462:V464)</f>
        <v>0</v>
      </c>
      <c r="W465" s="520">
        <f t="shared" si="771"/>
        <v>0</v>
      </c>
      <c r="X465" s="520">
        <f t="shared" si="771"/>
        <v>0</v>
      </c>
      <c r="Y465" s="520">
        <f t="shared" si="771"/>
        <v>0</v>
      </c>
      <c r="Z465" s="520">
        <f t="shared" si="771"/>
        <v>0</v>
      </c>
      <c r="AA465" s="520">
        <f t="shared" si="771"/>
        <v>-2689</v>
      </c>
      <c r="AB465" s="520">
        <f t="shared" si="771"/>
        <v>0</v>
      </c>
      <c r="AC465" s="520">
        <f t="shared" si="771"/>
        <v>0</v>
      </c>
      <c r="AD465" s="520">
        <f t="shared" si="771"/>
        <v>0</v>
      </c>
      <c r="AE465" s="520">
        <f t="shared" si="771"/>
        <v>0</v>
      </c>
      <c r="AF465" s="520">
        <f t="shared" si="771"/>
        <v>-2689</v>
      </c>
      <c r="AG465" s="520">
        <f t="shared" si="771"/>
        <v>-2689</v>
      </c>
      <c r="AH465" s="520">
        <f t="shared" si="771"/>
        <v>0</v>
      </c>
      <c r="AI465" s="520">
        <f t="shared" si="771"/>
        <v>0</v>
      </c>
      <c r="AJ465" s="520">
        <f t="shared" si="771"/>
        <v>0</v>
      </c>
      <c r="AK465" s="520">
        <f t="shared" si="771"/>
        <v>0</v>
      </c>
      <c r="AL465" s="520">
        <f t="shared" si="771"/>
        <v>0</v>
      </c>
      <c r="AM465" s="520">
        <f t="shared" si="771"/>
        <v>0</v>
      </c>
      <c r="AN465" s="520">
        <f t="shared" si="771"/>
        <v>0</v>
      </c>
      <c r="AO465" s="520">
        <f t="shared" si="771"/>
        <v>0</v>
      </c>
      <c r="AP465" s="520">
        <f t="shared" si="771"/>
        <v>0</v>
      </c>
      <c r="AQ465" s="520">
        <f t="shared" si="771"/>
        <v>-2689</v>
      </c>
      <c r="AR465" s="520">
        <f t="shared" si="771"/>
        <v>-2689</v>
      </c>
      <c r="AS465" s="520">
        <f t="shared" si="771"/>
        <v>-909</v>
      </c>
      <c r="AT465" s="520">
        <f t="shared" si="771"/>
        <v>-27</v>
      </c>
      <c r="AU465" s="520">
        <f t="shared" si="771"/>
        <v>0</v>
      </c>
      <c r="AV465" s="520">
        <f t="shared" si="771"/>
        <v>0</v>
      </c>
      <c r="AW465" s="520">
        <f t="shared" si="771"/>
        <v>0</v>
      </c>
      <c r="AX465" s="520">
        <f t="shared" si="771"/>
        <v>0</v>
      </c>
      <c r="AY465" s="520">
        <f t="shared" si="771"/>
        <v>-3625</v>
      </c>
      <c r="AZ465" s="521">
        <f t="shared" si="771"/>
        <v>0</v>
      </c>
      <c r="BA465" s="521">
        <f t="shared" si="771"/>
        <v>0</v>
      </c>
      <c r="BB465" s="521">
        <f t="shared" si="771"/>
        <v>0</v>
      </c>
      <c r="BC465" s="521">
        <f t="shared" si="771"/>
        <v>0</v>
      </c>
      <c r="BD465" s="521">
        <f t="shared" si="771"/>
        <v>0</v>
      </c>
      <c r="BE465" s="521">
        <f t="shared" si="771"/>
        <v>0</v>
      </c>
      <c r="BF465" s="521">
        <f t="shared" si="771"/>
        <v>0</v>
      </c>
      <c r="BG465" s="521">
        <f t="shared" si="771"/>
        <v>0</v>
      </c>
      <c r="BH465" s="521">
        <f t="shared" si="771"/>
        <v>0</v>
      </c>
      <c r="BI465" s="521">
        <f t="shared" si="771"/>
        <v>0</v>
      </c>
      <c r="BJ465" s="521">
        <f t="shared" si="771"/>
        <v>0</v>
      </c>
      <c r="BK465" s="522">
        <f t="shared" si="771"/>
        <v>0</v>
      </c>
      <c r="BL465" s="784">
        <f t="shared" si="771"/>
        <v>6322305</v>
      </c>
      <c r="BM465" s="520">
        <f t="shared" si="771"/>
        <v>4620442</v>
      </c>
      <c r="BN465" s="520">
        <f t="shared" si="771"/>
        <v>3953484</v>
      </c>
      <c r="BO465" s="520">
        <f t="shared" si="771"/>
        <v>666958</v>
      </c>
      <c r="BP465" s="520">
        <f t="shared" si="771"/>
        <v>45000</v>
      </c>
      <c r="BQ465" s="520">
        <f t="shared" si="771"/>
        <v>0</v>
      </c>
      <c r="BR465" s="520">
        <f t="shared" si="771"/>
        <v>45000</v>
      </c>
      <c r="BS465" s="520">
        <f t="shared" si="771"/>
        <v>1576920</v>
      </c>
      <c r="BT465" s="520">
        <f t="shared" si="771"/>
        <v>46205</v>
      </c>
      <c r="BU465" s="520">
        <f t="shared" si="771"/>
        <v>33738</v>
      </c>
      <c r="BV465" s="521">
        <f t="shared" si="771"/>
        <v>9.843300000000001</v>
      </c>
      <c r="BW465" s="521">
        <f t="shared" si="771"/>
        <v>7.6773999999999996</v>
      </c>
      <c r="BX465" s="522">
        <f t="shared" si="771"/>
        <v>2.1659000000000002</v>
      </c>
      <c r="BY465" s="794">
        <f t="shared" ref="BY465:CJ465" si="772">SUM(BY462:BY464)</f>
        <v>0</v>
      </c>
      <c r="BZ465" s="682">
        <f t="shared" si="772"/>
        <v>0</v>
      </c>
      <c r="CA465" s="682">
        <f t="shared" si="772"/>
        <v>0</v>
      </c>
      <c r="CB465" s="682">
        <f t="shared" si="772"/>
        <v>0</v>
      </c>
      <c r="CC465" s="682">
        <f t="shared" si="772"/>
        <v>0</v>
      </c>
      <c r="CD465" s="950">
        <f t="shared" si="772"/>
        <v>0</v>
      </c>
      <c r="CE465" s="959">
        <f t="shared" si="772"/>
        <v>222469</v>
      </c>
      <c r="CF465" s="960">
        <f t="shared" si="772"/>
        <v>157187</v>
      </c>
      <c r="CG465" s="960">
        <f t="shared" si="772"/>
        <v>53129</v>
      </c>
      <c r="CH465" s="960">
        <f t="shared" si="772"/>
        <v>1572</v>
      </c>
      <c r="CI465" s="960">
        <f t="shared" si="772"/>
        <v>10581</v>
      </c>
      <c r="CJ465" s="880">
        <f t="shared" si="772"/>
        <v>0.5292</v>
      </c>
    </row>
    <row r="466" spans="1:88" ht="14.1" customHeight="1" thickBot="1">
      <c r="A466" s="241"/>
      <c r="B466" s="242"/>
      <c r="C466" s="242"/>
      <c r="D466" s="242"/>
      <c r="E466" s="243" t="s">
        <v>703</v>
      </c>
      <c r="F466" s="242"/>
      <c r="G466" s="242"/>
      <c r="H466" s="242"/>
      <c r="I466" s="524">
        <f t="shared" ref="I466:BR466" si="773">I465+I461+I458+I451+I444+I437+I430+I423+I416+I409+I402+I395+I391+I385+I378+I376+I372+I365+I360+I353+I347+I338+I334+I330+I326+I324+I318+I314+I307+I300+I298+I290+I285+I278+I274+I268+I264+I260+I258+I251+I245+I239+I233+I227+I221+I215+I208+I202+I196+I189+I182+I176+I170+I164+I159+I153+I147+I141+I134+I127+I122+I118+I115+I111+I107+I104+I100+I96+I92+I88+I84+I80+I76+I71+I68+I64+I60+I56+I53+I50+I47+I43+I39+I35+I31+I27+I22+I18+I13</f>
        <v>2001441572</v>
      </c>
      <c r="J466" s="597">
        <f t="shared" si="773"/>
        <v>1461782758</v>
      </c>
      <c r="K466" s="597">
        <f t="shared" si="773"/>
        <v>1249896373</v>
      </c>
      <c r="L466" s="597">
        <f t="shared" si="773"/>
        <v>211886385</v>
      </c>
      <c r="M466" s="597">
        <f t="shared" si="773"/>
        <v>6878806</v>
      </c>
      <c r="N466" s="597">
        <f t="shared" si="773"/>
        <v>4536046</v>
      </c>
      <c r="O466" s="597">
        <f t="shared" si="773"/>
        <v>2342760</v>
      </c>
      <c r="P466" s="597">
        <f t="shared" si="773"/>
        <v>496372384</v>
      </c>
      <c r="Q466" s="597">
        <f t="shared" si="773"/>
        <v>14617832</v>
      </c>
      <c r="R466" s="597">
        <f t="shared" si="773"/>
        <v>21789792</v>
      </c>
      <c r="S466" s="598">
        <f t="shared" si="773"/>
        <v>2720.3154</v>
      </c>
      <c r="T466" s="598">
        <f t="shared" si="773"/>
        <v>2065.7833999999998</v>
      </c>
      <c r="U466" s="674">
        <f t="shared" si="773"/>
        <v>654.53200000000015</v>
      </c>
      <c r="V466" s="768">
        <f t="shared" si="773"/>
        <v>-81769</v>
      </c>
      <c r="W466" s="597">
        <f t="shared" si="773"/>
        <v>-607314</v>
      </c>
      <c r="X466" s="597">
        <f t="shared" si="773"/>
        <v>-640388</v>
      </c>
      <c r="Y466" s="597">
        <f t="shared" si="773"/>
        <v>681198</v>
      </c>
      <c r="Z466" s="752">
        <f t="shared" si="773"/>
        <v>25597</v>
      </c>
      <c r="AA466" s="752">
        <f t="shared" si="773"/>
        <v>275217</v>
      </c>
      <c r="AB466" s="752">
        <f t="shared" si="773"/>
        <v>0</v>
      </c>
      <c r="AC466" s="597">
        <f t="shared" si="773"/>
        <v>0</v>
      </c>
      <c r="AD466" s="597">
        <f t="shared" si="773"/>
        <v>-81402</v>
      </c>
      <c r="AE466" s="597">
        <f t="shared" si="773"/>
        <v>-15362</v>
      </c>
      <c r="AF466" s="597">
        <f t="shared" si="773"/>
        <v>-413499</v>
      </c>
      <c r="AG466" s="597">
        <f t="shared" si="773"/>
        <v>-428861</v>
      </c>
      <c r="AH466" s="597">
        <f t="shared" si="773"/>
        <v>-31459</v>
      </c>
      <c r="AI466" s="597">
        <f t="shared" si="773"/>
        <v>607314</v>
      </c>
      <c r="AJ466" s="597">
        <f t="shared" si="773"/>
        <v>0</v>
      </c>
      <c r="AK466" s="597">
        <f t="shared" si="773"/>
        <v>158979</v>
      </c>
      <c r="AL466" s="597">
        <f t="shared" si="773"/>
        <v>76770</v>
      </c>
      <c r="AM466" s="597">
        <f t="shared" si="773"/>
        <v>127520</v>
      </c>
      <c r="AN466" s="597">
        <f t="shared" si="773"/>
        <v>684084</v>
      </c>
      <c r="AO466" s="597">
        <f t="shared" si="773"/>
        <v>811604</v>
      </c>
      <c r="AP466" s="597">
        <f t="shared" si="773"/>
        <v>112158</v>
      </c>
      <c r="AQ466" s="597">
        <f t="shared" si="773"/>
        <v>270585</v>
      </c>
      <c r="AR466" s="597">
        <f t="shared" si="773"/>
        <v>382743</v>
      </c>
      <c r="AS466" s="597">
        <f t="shared" si="773"/>
        <v>49687</v>
      </c>
      <c r="AT466" s="597">
        <f t="shared" si="773"/>
        <v>-4284</v>
      </c>
      <c r="AU466" s="597">
        <f t="shared" si="773"/>
        <v>108450</v>
      </c>
      <c r="AV466" s="597">
        <f t="shared" ref="AV466:AW466" si="774">AV465+AV461+AV458+AV451+AV444+AV437+AV430+AV423+AV416+AV409+AV402+AV395+AV391+AV385+AV378+AV376+AV372+AV365+AV360+AV353+AV347+AV338+AV334+AV330+AV326+AV324+AV318+AV314+AV307+AV300+AV298+AV290+AV285+AV278+AV274+AV268+AV264+AV260+AV258+AV251+AV245+AV239+AV233+AV227+AV221+AV215+AV208+AV202+AV196+AV189+AV182+AV176+AV170+AV164+AV159+AV153+AV147+AV141+AV134+AV127+AV122+AV118+AV115+AV111+AV107+AV104+AV100+AV96+AV92+AV88+AV84+AV80+AV76+AV71+AV68+AV64+AV60+AV56+AV53+AV50+AV47+AV43+AV39+AV35+AV31+AV27+AV22+AV18+AV13</f>
        <v>0</v>
      </c>
      <c r="AW466" s="597">
        <f t="shared" si="774"/>
        <v>0</v>
      </c>
      <c r="AX466" s="597">
        <f t="shared" si="773"/>
        <v>108450</v>
      </c>
      <c r="AY466" s="597">
        <f t="shared" si="773"/>
        <v>536596</v>
      </c>
      <c r="AZ466" s="598">
        <f t="shared" si="773"/>
        <v>-0.14000000000000004</v>
      </c>
      <c r="BA466" s="598">
        <f t="shared" si="773"/>
        <v>-2.1</v>
      </c>
      <c r="BB466" s="598">
        <f t="shared" si="773"/>
        <v>-1.3199999999999998</v>
      </c>
      <c r="BC466" s="598">
        <f>BC465+BC461+BC458+BC451+BC444+BC437+BC430+BC423+BC416+BC409+BC402+BC395+BC391+BC385+BC378+BC376+BC372+BC365+BC360+BC353+BC347+BC338+BC334+BC330+BC326+BC324+BC318+BC314+BC307+BC300+BC298+BC290+BC285+BC278+BC274+BC268+BC264+BC260+BC258+BC251+BC245+BC239+BC233+BC227+BC221+BC215+BC208+BC202+BC196+BC189+BC182+BC176+BC170+BC164+BC159+BC153+BC147+BC141+BC134+BC127+BC122+BC118+BC115+BC111+BC107+BC104+BC100+BC96+BC92+BC88+BC84+BC80+BC76+BC71+BC68+BC64+BC60+BC56+BC53+BC50+BC47+BC43+BC39+BC35+BC31+BC27+BC22+BC18+BC13</f>
        <v>0.35999999999999965</v>
      </c>
      <c r="BD466" s="598">
        <f>BD465+BD461+BD458+BD451+BD444+BD437+BD430+BD423+BD416+BD409+BD402+BD395+BD391+BD385+BD378+BD376+BD372+BD365+BD360+BD353+BD347+BD338+BD334+BD330+BD326+BD324+BD318+BD314+BD307+BD300+BD298+BD290+BD285+BD278+BD274+BD268+BD264+BD260+BD258+BD251+BD245+BD239+BD233+BD227+BD221+BD215+BD208+BD202+BD196+BD189+BD182+BD176+BD170+BD164+BD159+BD153+BD147+BD141+BD134+BD127+BD122+BD118+BD115+BD111+BD107+BD104+BD100+BD96+BD92+BD88+BD84+BD80+BD76+BD71+BD68+BD64+BD60+BD56+BD53+BD50+BD47+BD43+BD39+BD35+BD31+BD27+BD22+BD18+BD13</f>
        <v>0.87999999999999923</v>
      </c>
      <c r="BE466" s="598">
        <f t="shared" si="773"/>
        <v>0.98</v>
      </c>
      <c r="BF466" s="598">
        <f t="shared" si="773"/>
        <v>0</v>
      </c>
      <c r="BG466" s="598">
        <f t="shared" si="773"/>
        <v>0</v>
      </c>
      <c r="BH466" s="598">
        <f t="shared" si="773"/>
        <v>-0.25</v>
      </c>
      <c r="BI466" s="598">
        <f t="shared" si="773"/>
        <v>-0.12000000000000026</v>
      </c>
      <c r="BJ466" s="598">
        <f t="shared" si="773"/>
        <v>-1.4700000000000004</v>
      </c>
      <c r="BK466" s="599">
        <f t="shared" si="773"/>
        <v>-1.5900000000000012</v>
      </c>
      <c r="BL466" s="548">
        <f t="shared" si="773"/>
        <v>2001978168</v>
      </c>
      <c r="BM466" s="597">
        <f t="shared" si="773"/>
        <v>1461353897</v>
      </c>
      <c r="BN466" s="597">
        <f t="shared" si="773"/>
        <v>1249881011</v>
      </c>
      <c r="BO466" s="597">
        <f t="shared" si="773"/>
        <v>211472886</v>
      </c>
      <c r="BP466" s="597">
        <f t="shared" si="773"/>
        <v>7690410</v>
      </c>
      <c r="BQ466" s="597">
        <f t="shared" si="773"/>
        <v>4663566</v>
      </c>
      <c r="BR466" s="597">
        <f t="shared" si="773"/>
        <v>3026844</v>
      </c>
      <c r="BS466" s="597">
        <f t="shared" ref="BS466:CD466" si="775">BS465+BS461+BS458+BS451+BS444+BS437+BS430+BS423+BS416+BS409+BS402+BS395+BS391+BS385+BS378+BS376+BS372+BS365+BS360+BS353+BS347+BS338+BS334+BS330+BS326+BS324+BS318+BS314+BS307+BS300+BS298+BS290+BS285+BS278+BS274+BS268+BS264+BS260+BS258+BS251+BS245+BS239+BS233+BS227+BS221+BS215+BS208+BS202+BS196+BS189+BS182+BS176+BS170+BS164+BS159+BS153+BS147+BS141+BS134+BS127+BS122+BS118+BS115+BS111+BS107+BS104+BS100+BS96+BS92+BS88+BS84+BS80+BS76+BS71+BS68+BS64+BS60+BS56+BS53+BS50+BS47+BS43+BS39+BS35+BS31+BS27+BS22+BS18+BS13</f>
        <v>496422071</v>
      </c>
      <c r="BT466" s="597">
        <f t="shared" si="775"/>
        <v>14613548</v>
      </c>
      <c r="BU466" s="597">
        <f t="shared" si="775"/>
        <v>21898242</v>
      </c>
      <c r="BV466" s="598">
        <f t="shared" si="775"/>
        <v>2718.7253999999994</v>
      </c>
      <c r="BW466" s="598">
        <f t="shared" si="775"/>
        <v>2065.6634000000004</v>
      </c>
      <c r="BX466" s="674">
        <f t="shared" si="775"/>
        <v>653.06200000000001</v>
      </c>
      <c r="BY466" s="685">
        <f t="shared" si="775"/>
        <v>12690902</v>
      </c>
      <c r="BZ466" s="686">
        <f t="shared" si="775"/>
        <v>8854800</v>
      </c>
      <c r="CA466" s="686">
        <f t="shared" si="775"/>
        <v>564000</v>
      </c>
      <c r="CB466" s="686">
        <f t="shared" si="775"/>
        <v>3183554</v>
      </c>
      <c r="CC466" s="686">
        <f t="shared" si="775"/>
        <v>88548</v>
      </c>
      <c r="CD466" s="675">
        <f t="shared" si="775"/>
        <v>15.7</v>
      </c>
      <c r="CE466" s="951">
        <f t="shared" ref="CE466:CJ466" si="776">CE465+CE461+CE458+CE451+CE444+CE437+CE430+CE423+CE416+CE409+CE402+CE395+CE391+CE385+CE378+CE376+CE372+CE365+CE360+CE353+CE347+CE338+CE334+CE330+CE326+CE324+CE318+CE314+CE307+CE300+CE298+CE290+CE285+CE278+CE274+CE268+CE264+CE260+CE258+CE251+CE245+CE239+CE233+CE227+CE221+CE215+CE208+CE202+CE196+CE189+CE182+CE176+CE170+CE164+CE159+CE153+CE147+CE141+CE134+CE127+CE122+CE118+CE115+CE111+CE107+CE104+CE100+CE96+CE92+CE88+CE84+CE80+CE76+CE71+CE68+CE64+CE60+CE56+CE53+CE50+CE47+CE43+CE39+CE35+CE31+CE27+CE22+CE18+CE13</f>
        <v>56629434</v>
      </c>
      <c r="CF466" s="952">
        <f t="shared" si="776"/>
        <v>38281936</v>
      </c>
      <c r="CG466" s="952">
        <f t="shared" si="776"/>
        <v>12939292</v>
      </c>
      <c r="CH466" s="952">
        <f t="shared" si="776"/>
        <v>382823</v>
      </c>
      <c r="CI466" s="952">
        <f t="shared" si="776"/>
        <v>5025383</v>
      </c>
      <c r="CJ466" s="1070">
        <f t="shared" si="776"/>
        <v>119.39839999999998</v>
      </c>
    </row>
    <row r="467" spans="1:88" ht="14.1" customHeight="1">
      <c r="I467" s="427">
        <f>J466+M466+P466+Q466+R466</f>
        <v>2001441572</v>
      </c>
      <c r="J467" s="427">
        <f>SUM(K466:L466)</f>
        <v>1461782758</v>
      </c>
      <c r="K467" s="427"/>
      <c r="L467" s="427"/>
      <c r="M467" s="427">
        <f>SUM(N466:O466)</f>
        <v>6878806</v>
      </c>
      <c r="N467" s="427"/>
      <c r="O467" s="427"/>
      <c r="P467" s="427"/>
      <c r="Q467" s="427"/>
      <c r="R467" s="427"/>
      <c r="S467" s="428">
        <f>SUM(T466:U466)</f>
        <v>2720.3154</v>
      </c>
      <c r="T467" s="428"/>
      <c r="U467" s="428"/>
      <c r="V467" s="427">
        <f>AH466</f>
        <v>-31459</v>
      </c>
      <c r="W467" s="427">
        <f>AI466</f>
        <v>607314</v>
      </c>
      <c r="X467" s="428"/>
      <c r="Y467" s="428"/>
      <c r="Z467" s="428"/>
      <c r="AA467" s="428"/>
      <c r="AB467" s="427"/>
      <c r="AC467" s="428"/>
      <c r="AD467" s="428"/>
      <c r="AE467" s="429"/>
      <c r="AF467" s="429"/>
      <c r="AG467" s="429">
        <f>SUM(AE466:AF466)</f>
        <v>-428861</v>
      </c>
      <c r="AH467" s="429">
        <f>V466</f>
        <v>-81769</v>
      </c>
      <c r="AI467" s="429">
        <f>W466</f>
        <v>-607314</v>
      </c>
      <c r="AJ467" s="430"/>
      <c r="AK467" s="430"/>
      <c r="AL467" s="430"/>
      <c r="AM467" s="429"/>
      <c r="AN467" s="429"/>
      <c r="AO467" s="429">
        <f>SUM(AM466:AN466)</f>
        <v>811604</v>
      </c>
      <c r="AP467" s="429"/>
      <c r="AQ467" s="429"/>
      <c r="AR467" s="429">
        <f>SUM(AP466:AQ466)</f>
        <v>382743</v>
      </c>
      <c r="AS467" s="431"/>
      <c r="AT467" s="431"/>
      <c r="AU467" s="430"/>
      <c r="AV467" s="430"/>
      <c r="AW467" s="429"/>
      <c r="AX467" s="429">
        <f>SUM(AU466:AW466)</f>
        <v>108450</v>
      </c>
      <c r="AY467" s="429">
        <f>AG466+AO466+AS466+AT466+AX466</f>
        <v>536596</v>
      </c>
      <c r="AZ467" s="432"/>
      <c r="BA467" s="432"/>
      <c r="BB467" s="432"/>
      <c r="BC467" s="432"/>
      <c r="BD467" s="432"/>
      <c r="BE467" s="432"/>
      <c r="BF467" s="507"/>
      <c r="BG467" s="432"/>
      <c r="BH467" s="432"/>
      <c r="BI467" s="507">
        <f>AZ466+BB466+BC466+BE466+BG466</f>
        <v>-0.12000000000000033</v>
      </c>
      <c r="BJ467" s="507">
        <f>BA466+BD466+BF466+BH466</f>
        <v>-1.4700000000000009</v>
      </c>
      <c r="BK467" s="507">
        <f>SUM(BI466:BJ466)</f>
        <v>-1.5900000000000007</v>
      </c>
      <c r="BL467" s="427">
        <f>BM466+BP466+BS466+BT466+BU466</f>
        <v>2001978168</v>
      </c>
      <c r="BM467" s="427">
        <f>SUM(BN466:BO466)</f>
        <v>1461353897</v>
      </c>
      <c r="BN467" s="429">
        <f>K466+AE466</f>
        <v>1249881011</v>
      </c>
      <c r="BO467" s="429">
        <f>L466+AF466</f>
        <v>211472886</v>
      </c>
      <c r="BP467" s="86">
        <f>SUM(BQ466:BR466)</f>
        <v>7690410</v>
      </c>
      <c r="BQ467" s="429">
        <f>N466+AM466</f>
        <v>4663566</v>
      </c>
      <c r="BR467" s="429">
        <f>O466+AN466</f>
        <v>3026844</v>
      </c>
      <c r="BS467" s="429">
        <f>P466+AS466</f>
        <v>496422071</v>
      </c>
      <c r="BT467" s="429">
        <f>Q466+AT466</f>
        <v>14613548</v>
      </c>
      <c r="BU467" s="429">
        <f>R466+AX466</f>
        <v>21898242</v>
      </c>
      <c r="BV467" s="428">
        <f>SUM(BW466:BX466)</f>
        <v>2718.7254000000003</v>
      </c>
      <c r="BW467" s="507">
        <f>T466+BI466</f>
        <v>2065.6633999999999</v>
      </c>
      <c r="BX467" s="507">
        <f>U466+BJ466</f>
        <v>653.06200000000013</v>
      </c>
      <c r="BY467" s="235">
        <f>SUM(BZ466:CC466)</f>
        <v>12690902</v>
      </c>
      <c r="BZ467" s="8"/>
      <c r="CA467" s="8"/>
      <c r="CB467" s="8"/>
      <c r="CC467" s="8"/>
      <c r="CD467" s="7"/>
      <c r="CE467" s="235">
        <f>SUM(CF466:CI466)</f>
        <v>56629434</v>
      </c>
      <c r="CF467" s="8"/>
      <c r="CG467" s="8"/>
      <c r="CH467" s="8"/>
      <c r="CI467" s="8"/>
      <c r="CJ467" s="7"/>
    </row>
    <row r="468" spans="1:88" ht="14.1" customHeight="1" thickBot="1">
      <c r="H468" s="51"/>
      <c r="I468" s="427">
        <f>J469+M469+P469+Q469+R469</f>
        <v>2001441572</v>
      </c>
      <c r="J468" s="427">
        <f>SUM(K469:L469)</f>
        <v>1461782758</v>
      </c>
      <c r="K468" s="427"/>
      <c r="L468" s="427"/>
      <c r="M468" s="427">
        <f>SUM(N469:O469)</f>
        <v>6878806</v>
      </c>
      <c r="N468" s="427"/>
      <c r="O468" s="427"/>
      <c r="P468" s="427"/>
      <c r="Q468" s="427"/>
      <c r="R468" s="427"/>
      <c r="S468" s="428">
        <f>SUM(T469:U469)</f>
        <v>2720.3153999999995</v>
      </c>
      <c r="T468" s="428"/>
      <c r="U468" s="428"/>
      <c r="V468" s="427">
        <f>AH469</f>
        <v>-31459</v>
      </c>
      <c r="W468" s="427">
        <f>AI469</f>
        <v>607314</v>
      </c>
      <c r="X468" s="428"/>
      <c r="Y468" s="428"/>
      <c r="Z468" s="428"/>
      <c r="AA468" s="428"/>
      <c r="AB468" s="427"/>
      <c r="AC468" s="428"/>
      <c r="AD468" s="428"/>
      <c r="AE468" s="429"/>
      <c r="AF468" s="429"/>
      <c r="AG468" s="429">
        <f>SUM(AE469:AF469)</f>
        <v>-428861</v>
      </c>
      <c r="AH468" s="429"/>
      <c r="AI468" s="429"/>
      <c r="AJ468" s="430"/>
      <c r="AK468" s="430"/>
      <c r="AL468" s="430"/>
      <c r="AM468" s="429"/>
      <c r="AN468" s="429"/>
      <c r="AO468" s="429">
        <f>SUM(AM469:AN469)</f>
        <v>811604</v>
      </c>
      <c r="AP468" s="429"/>
      <c r="AQ468" s="429"/>
      <c r="AR468" s="429">
        <f>SUM(AP469:AQ469)</f>
        <v>382743</v>
      </c>
      <c r="AS468" s="431"/>
      <c r="AT468" s="431"/>
      <c r="AU468" s="430"/>
      <c r="AV468" s="430"/>
      <c r="AW468" s="429"/>
      <c r="AX468" s="429">
        <f>SUM(AU469:AW469)</f>
        <v>108450</v>
      </c>
      <c r="AY468" s="429">
        <f>AG469+AO469+AS469+AT469+AX469</f>
        <v>536596</v>
      </c>
      <c r="AZ468" s="432"/>
      <c r="BA468" s="432"/>
      <c r="BB468" s="432"/>
      <c r="BC468" s="432"/>
      <c r="BD468" s="432"/>
      <c r="BE468" s="432"/>
      <c r="BF468" s="507"/>
      <c r="BG468" s="432"/>
      <c r="BH468" s="432"/>
      <c r="BI468" s="507">
        <f>AZ469+BB469+BC469+BE469+BG469</f>
        <v>-0.12000000000000011</v>
      </c>
      <c r="BJ468" s="507">
        <f>BA469+BD469+BF469+BH469</f>
        <v>-1.4700000000000004</v>
      </c>
      <c r="BK468" s="507">
        <f>SUM(BI469:BJ469)</f>
        <v>-1.5899999999999996</v>
      </c>
      <c r="BL468" s="427">
        <f>BM469+BP469+BS469+BT469+BU469</f>
        <v>2001978168</v>
      </c>
      <c r="BM468" s="427">
        <f>SUM(BN469:BO469)</f>
        <v>1461353897</v>
      </c>
      <c r="BP468" s="86">
        <f>SUM(BQ469:BR469)</f>
        <v>7690410</v>
      </c>
      <c r="BV468" s="428">
        <f>SUM(BW469:BX469)</f>
        <v>2718.7253999999994</v>
      </c>
      <c r="BY468" s="235">
        <f>SUM(BZ469:CC469)</f>
        <v>12690902</v>
      </c>
      <c r="BZ468" s="8"/>
      <c r="CA468" s="8"/>
      <c r="CB468" s="8"/>
      <c r="CC468" s="8"/>
      <c r="CD468" s="7"/>
      <c r="CE468" s="235">
        <f>SUM(CF469:CI469)</f>
        <v>56629434</v>
      </c>
      <c r="CF468" s="8"/>
      <c r="CG468" s="8"/>
      <c r="CH468" s="8"/>
      <c r="CI468" s="8"/>
      <c r="CJ468" s="7"/>
    </row>
    <row r="469" spans="1:88" customFormat="1" ht="13.5" thickBot="1">
      <c r="D469" s="23"/>
      <c r="E469" s="24"/>
      <c r="F469" s="23"/>
      <c r="G469" s="41"/>
      <c r="H469" s="22" t="s">
        <v>0</v>
      </c>
      <c r="I469" s="139">
        <f>SUM(I470:I479)</f>
        <v>2001441572</v>
      </c>
      <c r="J469" s="34">
        <f t="shared" ref="J469:BT469" si="777">SUM(J470:J479)</f>
        <v>1461782758</v>
      </c>
      <c r="K469" s="34">
        <f t="shared" si="777"/>
        <v>1249896373</v>
      </c>
      <c r="L469" s="34">
        <f t="shared" si="777"/>
        <v>211886385</v>
      </c>
      <c r="M469" s="34">
        <f t="shared" si="777"/>
        <v>6878806</v>
      </c>
      <c r="N469" s="34">
        <f t="shared" si="777"/>
        <v>4536046</v>
      </c>
      <c r="O469" s="34">
        <f t="shared" si="777"/>
        <v>2342760</v>
      </c>
      <c r="P469" s="34">
        <f t="shared" si="777"/>
        <v>496372384</v>
      </c>
      <c r="Q469" s="34">
        <f t="shared" si="777"/>
        <v>14617832</v>
      </c>
      <c r="R469" s="34">
        <f t="shared" si="777"/>
        <v>21789792</v>
      </c>
      <c r="S469" s="35">
        <f t="shared" si="777"/>
        <v>2720.3153999999995</v>
      </c>
      <c r="T469" s="35">
        <f t="shared" si="777"/>
        <v>2065.7833999999993</v>
      </c>
      <c r="U469" s="36">
        <f t="shared" si="777"/>
        <v>654.53199999999993</v>
      </c>
      <c r="V469" s="149">
        <f t="shared" si="777"/>
        <v>-81769</v>
      </c>
      <c r="W469" s="34">
        <f t="shared" si="777"/>
        <v>-607314</v>
      </c>
      <c r="X469" s="34">
        <f t="shared" si="777"/>
        <v>-640388</v>
      </c>
      <c r="Y469" s="34">
        <f t="shared" si="777"/>
        <v>681198</v>
      </c>
      <c r="Z469" s="34">
        <f t="shared" si="777"/>
        <v>25597</v>
      </c>
      <c r="AA469" s="34">
        <f t="shared" ref="AA469:AB469" si="778">SUM(AA470:AA479)</f>
        <v>275217</v>
      </c>
      <c r="AB469" s="34">
        <f t="shared" si="778"/>
        <v>0</v>
      </c>
      <c r="AC469" s="34">
        <f t="shared" si="777"/>
        <v>0</v>
      </c>
      <c r="AD469" s="34">
        <f t="shared" si="777"/>
        <v>-81402</v>
      </c>
      <c r="AE469" s="34">
        <f t="shared" si="777"/>
        <v>-15362</v>
      </c>
      <c r="AF469" s="34">
        <f t="shared" si="777"/>
        <v>-413499</v>
      </c>
      <c r="AG469" s="34">
        <f t="shared" si="777"/>
        <v>-428861</v>
      </c>
      <c r="AH469" s="34">
        <f t="shared" si="777"/>
        <v>-31459</v>
      </c>
      <c r="AI469" s="34">
        <f t="shared" si="777"/>
        <v>607314</v>
      </c>
      <c r="AJ469" s="34">
        <f t="shared" si="777"/>
        <v>0</v>
      </c>
      <c r="AK469" s="34">
        <f t="shared" si="777"/>
        <v>158979</v>
      </c>
      <c r="AL469" s="34">
        <f t="shared" si="777"/>
        <v>76770</v>
      </c>
      <c r="AM469" s="34">
        <f t="shared" si="777"/>
        <v>127520</v>
      </c>
      <c r="AN469" s="34">
        <f t="shared" si="777"/>
        <v>684084</v>
      </c>
      <c r="AO469" s="34">
        <f t="shared" si="777"/>
        <v>811604</v>
      </c>
      <c r="AP469" s="34">
        <f t="shared" si="777"/>
        <v>112158</v>
      </c>
      <c r="AQ469" s="34">
        <f t="shared" si="777"/>
        <v>270585</v>
      </c>
      <c r="AR469" s="34">
        <f t="shared" si="777"/>
        <v>382743</v>
      </c>
      <c r="AS469" s="34">
        <f t="shared" si="777"/>
        <v>49687</v>
      </c>
      <c r="AT469" s="34">
        <f t="shared" si="777"/>
        <v>-4284</v>
      </c>
      <c r="AU469" s="34">
        <f t="shared" si="777"/>
        <v>108450</v>
      </c>
      <c r="AV469" s="34">
        <f t="shared" ref="AV469:AW469" si="779">SUM(AV470:AV479)</f>
        <v>0</v>
      </c>
      <c r="AW469" s="34">
        <f t="shared" si="779"/>
        <v>0</v>
      </c>
      <c r="AX469" s="34">
        <f t="shared" si="777"/>
        <v>108450</v>
      </c>
      <c r="AY469" s="34">
        <f t="shared" si="777"/>
        <v>536596</v>
      </c>
      <c r="AZ469" s="35">
        <f t="shared" si="777"/>
        <v>-0.14000000000000001</v>
      </c>
      <c r="BA469" s="35">
        <f t="shared" si="777"/>
        <v>-2.1</v>
      </c>
      <c r="BB469" s="35">
        <f t="shared" si="777"/>
        <v>-1.3199999999999998</v>
      </c>
      <c r="BC469" s="35">
        <f t="shared" si="777"/>
        <v>0.35999999999999988</v>
      </c>
      <c r="BD469" s="35">
        <f t="shared" ref="BD469" si="780">SUM(BD470:BD479)</f>
        <v>0.87999999999999967</v>
      </c>
      <c r="BE469" s="35">
        <f t="shared" si="777"/>
        <v>0.98</v>
      </c>
      <c r="BF469" s="35">
        <f t="shared" si="777"/>
        <v>0</v>
      </c>
      <c r="BG469" s="35">
        <f t="shared" si="777"/>
        <v>0</v>
      </c>
      <c r="BH469" s="35">
        <f t="shared" si="777"/>
        <v>-0.25</v>
      </c>
      <c r="BI469" s="35">
        <f t="shared" si="777"/>
        <v>-0.11999999999999934</v>
      </c>
      <c r="BJ469" s="35">
        <f t="shared" si="777"/>
        <v>-1.4700000000000002</v>
      </c>
      <c r="BK469" s="148">
        <f t="shared" si="777"/>
        <v>-1.590000000000001</v>
      </c>
      <c r="BL469" s="139">
        <f t="shared" si="777"/>
        <v>2001978168</v>
      </c>
      <c r="BM469" s="34">
        <f t="shared" si="777"/>
        <v>1461353897</v>
      </c>
      <c r="BN469" s="34">
        <f t="shared" si="777"/>
        <v>1249881011</v>
      </c>
      <c r="BO469" s="34">
        <f t="shared" si="777"/>
        <v>211472886</v>
      </c>
      <c r="BP469" s="34">
        <f t="shared" si="777"/>
        <v>7690410</v>
      </c>
      <c r="BQ469" s="34">
        <f t="shared" si="777"/>
        <v>4663566</v>
      </c>
      <c r="BR469" s="34">
        <f t="shared" si="777"/>
        <v>3026844</v>
      </c>
      <c r="BS469" s="34">
        <f t="shared" si="777"/>
        <v>496422071</v>
      </c>
      <c r="BT469" s="34">
        <f t="shared" si="777"/>
        <v>14613548</v>
      </c>
      <c r="BU469" s="34">
        <f t="shared" ref="BU469:BX469" si="781">SUM(BU470:BU479)</f>
        <v>21898242</v>
      </c>
      <c r="BV469" s="35">
        <f t="shared" si="781"/>
        <v>2718.7253999999994</v>
      </c>
      <c r="BW469" s="35">
        <f t="shared" si="781"/>
        <v>2065.6633999999995</v>
      </c>
      <c r="BX469" s="148">
        <f t="shared" si="781"/>
        <v>653.0619999999999</v>
      </c>
      <c r="BY469" s="691">
        <f t="shared" ref="BY469:CD469" si="782">SUM(BY470:BY479)</f>
        <v>12690902</v>
      </c>
      <c r="BZ469" s="690">
        <f t="shared" si="782"/>
        <v>8854800</v>
      </c>
      <c r="CA469" s="690">
        <f t="shared" si="782"/>
        <v>564000</v>
      </c>
      <c r="CB469" s="690">
        <f t="shared" si="782"/>
        <v>3183554</v>
      </c>
      <c r="CC469" s="690">
        <f t="shared" si="782"/>
        <v>88548</v>
      </c>
      <c r="CD469" s="672">
        <f t="shared" si="782"/>
        <v>15.700000000000001</v>
      </c>
      <c r="CE469" s="886">
        <f t="shared" ref="CE469:CJ469" si="783">SUM(CE470:CE479)</f>
        <v>56629434</v>
      </c>
      <c r="CF469" s="884">
        <f t="shared" si="783"/>
        <v>38281936</v>
      </c>
      <c r="CG469" s="884">
        <f t="shared" si="783"/>
        <v>12939292</v>
      </c>
      <c r="CH469" s="884">
        <f t="shared" si="783"/>
        <v>382823</v>
      </c>
      <c r="CI469" s="884">
        <f t="shared" ref="CI469" si="784">SUM(CI470:CI479)</f>
        <v>5025383</v>
      </c>
      <c r="CJ469" s="885">
        <f t="shared" si="783"/>
        <v>119.39840000000001</v>
      </c>
    </row>
    <row r="470" spans="1:88" customFormat="1" ht="12.75">
      <c r="D470" s="23"/>
      <c r="E470" s="24"/>
      <c r="F470" s="23"/>
      <c r="G470" s="41"/>
      <c r="H470" s="1">
        <v>3111</v>
      </c>
      <c r="I470" s="31">
        <f t="shared" ref="I470:BS470" si="785">SUMIF($F$12:$F$466,"=3111",I$12:I$466)</f>
        <v>422818864</v>
      </c>
      <c r="J470" s="146">
        <f t="shared" si="785"/>
        <v>311345788</v>
      </c>
      <c r="K470" s="146">
        <f t="shared" si="785"/>
        <v>277409086</v>
      </c>
      <c r="L470" s="146">
        <f t="shared" si="785"/>
        <v>33936702</v>
      </c>
      <c r="M470" s="146">
        <f t="shared" si="785"/>
        <v>828718</v>
      </c>
      <c r="N470" s="146">
        <f t="shared" si="785"/>
        <v>415558</v>
      </c>
      <c r="O470" s="146">
        <f t="shared" si="785"/>
        <v>413160</v>
      </c>
      <c r="P470" s="146">
        <f t="shared" si="785"/>
        <v>105514980</v>
      </c>
      <c r="Q470" s="146">
        <f t="shared" si="785"/>
        <v>3113458</v>
      </c>
      <c r="R470" s="146">
        <f t="shared" si="785"/>
        <v>2015920</v>
      </c>
      <c r="S470" s="147">
        <f t="shared" si="785"/>
        <v>620.66420000000028</v>
      </c>
      <c r="T470" s="147">
        <f t="shared" si="785"/>
        <v>502.13229999999987</v>
      </c>
      <c r="U470" s="238">
        <f t="shared" si="785"/>
        <v>118.53189999999996</v>
      </c>
      <c r="V470" s="32">
        <f t="shared" si="785"/>
        <v>-123874</v>
      </c>
      <c r="W470" s="146">
        <f t="shared" si="785"/>
        <v>200</v>
      </c>
      <c r="X470" s="146">
        <f t="shared" si="785"/>
        <v>184209</v>
      </c>
      <c r="Y470" s="146">
        <f t="shared" si="785"/>
        <v>0</v>
      </c>
      <c r="Z470" s="146">
        <f t="shared" si="785"/>
        <v>44635</v>
      </c>
      <c r="AA470" s="146">
        <f t="shared" si="785"/>
        <v>0</v>
      </c>
      <c r="AB470" s="146">
        <f t="shared" si="785"/>
        <v>0</v>
      </c>
      <c r="AC470" s="146">
        <f t="shared" si="785"/>
        <v>0</v>
      </c>
      <c r="AD470" s="146">
        <f t="shared" si="785"/>
        <v>0</v>
      </c>
      <c r="AE470" s="146">
        <f t="shared" si="785"/>
        <v>104970</v>
      </c>
      <c r="AF470" s="146">
        <f t="shared" si="785"/>
        <v>200</v>
      </c>
      <c r="AG470" s="146">
        <f t="shared" si="785"/>
        <v>105170</v>
      </c>
      <c r="AH470" s="146">
        <f t="shared" si="785"/>
        <v>10646</v>
      </c>
      <c r="AI470" s="146">
        <f t="shared" si="785"/>
        <v>-200</v>
      </c>
      <c r="AJ470" s="146">
        <f t="shared" si="785"/>
        <v>0</v>
      </c>
      <c r="AK470" s="146">
        <f t="shared" si="785"/>
        <v>113228</v>
      </c>
      <c r="AL470" s="146">
        <f t="shared" si="785"/>
        <v>0</v>
      </c>
      <c r="AM470" s="146">
        <f t="shared" si="785"/>
        <v>123874</v>
      </c>
      <c r="AN470" s="146">
        <f t="shared" si="785"/>
        <v>-200</v>
      </c>
      <c r="AO470" s="146">
        <f t="shared" si="785"/>
        <v>123674</v>
      </c>
      <c r="AP470" s="146">
        <f t="shared" si="785"/>
        <v>228844</v>
      </c>
      <c r="AQ470" s="146">
        <f t="shared" si="785"/>
        <v>0</v>
      </c>
      <c r="AR470" s="146">
        <f t="shared" si="785"/>
        <v>228844</v>
      </c>
      <c r="AS470" s="146">
        <f t="shared" si="785"/>
        <v>39077</v>
      </c>
      <c r="AT470" s="146">
        <f t="shared" si="785"/>
        <v>1054</v>
      </c>
      <c r="AU470" s="146">
        <f t="shared" si="785"/>
        <v>13750</v>
      </c>
      <c r="AV470" s="146">
        <f t="shared" si="785"/>
        <v>0</v>
      </c>
      <c r="AW470" s="146">
        <f t="shared" si="785"/>
        <v>0</v>
      </c>
      <c r="AX470" s="146">
        <f t="shared" si="785"/>
        <v>13750</v>
      </c>
      <c r="AY470" s="146">
        <f t="shared" si="785"/>
        <v>282725</v>
      </c>
      <c r="AZ470" s="147">
        <f t="shared" si="785"/>
        <v>0.08</v>
      </c>
      <c r="BA470" s="147">
        <f t="shared" si="785"/>
        <v>1.0000000000000002E-2</v>
      </c>
      <c r="BB470" s="147">
        <f t="shared" si="785"/>
        <v>0.41000000000000003</v>
      </c>
      <c r="BC470" s="147">
        <f>SUMIF($F$12:$F$466,"=3111",BC$12:BC$466)</f>
        <v>4.9999999999999933E-2</v>
      </c>
      <c r="BD470" s="147">
        <f>SUMIF($F$12:$F$466,"=3111",BD$12:BD$466)</f>
        <v>0</v>
      </c>
      <c r="BE470" s="147">
        <f t="shared" si="785"/>
        <v>0</v>
      </c>
      <c r="BF470" s="147">
        <f t="shared" si="785"/>
        <v>0</v>
      </c>
      <c r="BG470" s="147">
        <f t="shared" si="785"/>
        <v>0</v>
      </c>
      <c r="BH470" s="147">
        <f t="shared" si="785"/>
        <v>0</v>
      </c>
      <c r="BI470" s="147">
        <f t="shared" si="785"/>
        <v>0.53999999999999992</v>
      </c>
      <c r="BJ470" s="147">
        <f t="shared" si="785"/>
        <v>1.0000000000000002E-2</v>
      </c>
      <c r="BK470" s="424">
        <f t="shared" si="785"/>
        <v>0.54999999999999993</v>
      </c>
      <c r="BL470" s="31">
        <f t="shared" si="785"/>
        <v>423101589</v>
      </c>
      <c r="BM470" s="146">
        <f t="shared" si="785"/>
        <v>311450958</v>
      </c>
      <c r="BN470" s="146">
        <f t="shared" si="785"/>
        <v>277514056</v>
      </c>
      <c r="BO470" s="146">
        <f t="shared" si="785"/>
        <v>33936902</v>
      </c>
      <c r="BP470" s="146">
        <f t="shared" si="785"/>
        <v>952392</v>
      </c>
      <c r="BQ470" s="146">
        <f t="shared" si="785"/>
        <v>539432</v>
      </c>
      <c r="BR470" s="146">
        <f t="shared" si="785"/>
        <v>412960</v>
      </c>
      <c r="BS470" s="146">
        <f t="shared" si="785"/>
        <v>105554057</v>
      </c>
      <c r="BT470" s="146">
        <f t="shared" ref="BT470:CJ470" si="786">SUMIF($F$12:$F$466,"=3111",BT$12:BT$466)</f>
        <v>3114512</v>
      </c>
      <c r="BU470" s="146">
        <f t="shared" si="786"/>
        <v>2029670</v>
      </c>
      <c r="BV470" s="147">
        <f t="shared" si="786"/>
        <v>621.21420000000012</v>
      </c>
      <c r="BW470" s="147">
        <f t="shared" si="786"/>
        <v>502.67229999999995</v>
      </c>
      <c r="BX470" s="424">
        <f t="shared" si="786"/>
        <v>118.54189999999996</v>
      </c>
      <c r="BY470" s="692">
        <f t="shared" si="786"/>
        <v>0</v>
      </c>
      <c r="BZ470" s="687">
        <f t="shared" si="786"/>
        <v>0</v>
      </c>
      <c r="CA470" s="687">
        <f t="shared" si="786"/>
        <v>0</v>
      </c>
      <c r="CB470" s="687">
        <f t="shared" si="786"/>
        <v>0</v>
      </c>
      <c r="CC470" s="687">
        <f t="shared" si="786"/>
        <v>0</v>
      </c>
      <c r="CD470" s="238">
        <f t="shared" si="786"/>
        <v>0</v>
      </c>
      <c r="CE470" s="692">
        <f t="shared" si="786"/>
        <v>15505432</v>
      </c>
      <c r="CF470" s="687">
        <f t="shared" si="786"/>
        <v>11022143</v>
      </c>
      <c r="CG470" s="687">
        <f t="shared" si="786"/>
        <v>3725474</v>
      </c>
      <c r="CH470" s="687">
        <f t="shared" si="786"/>
        <v>110222</v>
      </c>
      <c r="CI470" s="687">
        <f t="shared" si="786"/>
        <v>647593</v>
      </c>
      <c r="CJ470" s="238">
        <f t="shared" si="786"/>
        <v>38.380400000000002</v>
      </c>
    </row>
    <row r="471" spans="1:88" customFormat="1" ht="12.75">
      <c r="D471" s="23"/>
      <c r="E471" s="24"/>
      <c r="F471" s="23"/>
      <c r="G471" s="41"/>
      <c r="H471" s="2">
        <v>3113</v>
      </c>
      <c r="I471" s="25">
        <f t="shared" ref="I471:BS471" si="787">SUMIF($F$12:$F$466,"=3113",I$12:I$466)</f>
        <v>1118350581</v>
      </c>
      <c r="J471" s="26">
        <f t="shared" si="787"/>
        <v>812948048</v>
      </c>
      <c r="K471" s="26">
        <f t="shared" si="787"/>
        <v>742379108</v>
      </c>
      <c r="L471" s="26">
        <f t="shared" si="787"/>
        <v>70568940</v>
      </c>
      <c r="M471" s="26">
        <f t="shared" si="787"/>
        <v>3757779</v>
      </c>
      <c r="N471" s="26">
        <f t="shared" si="787"/>
        <v>2743779</v>
      </c>
      <c r="O471" s="26">
        <f t="shared" si="787"/>
        <v>1014000</v>
      </c>
      <c r="P471" s="26">
        <f t="shared" si="787"/>
        <v>276046575</v>
      </c>
      <c r="Q471" s="26">
        <f t="shared" si="787"/>
        <v>8129484</v>
      </c>
      <c r="R471" s="26">
        <f t="shared" si="787"/>
        <v>17468695</v>
      </c>
      <c r="S471" s="27">
        <f t="shared" si="787"/>
        <v>1366.3890999999992</v>
      </c>
      <c r="T471" s="27">
        <f t="shared" si="787"/>
        <v>1153.8429999999998</v>
      </c>
      <c r="U471" s="239">
        <f t="shared" si="787"/>
        <v>212.54610000000002</v>
      </c>
      <c r="V471" s="38">
        <f t="shared" si="787"/>
        <v>116105</v>
      </c>
      <c r="W471" s="26">
        <f t="shared" si="787"/>
        <v>-439902</v>
      </c>
      <c r="X471" s="26">
        <f t="shared" si="787"/>
        <v>-885385</v>
      </c>
      <c r="Y471" s="26">
        <f t="shared" si="787"/>
        <v>681198</v>
      </c>
      <c r="Z471" s="26">
        <f t="shared" si="787"/>
        <v>-596640</v>
      </c>
      <c r="AA471" s="26">
        <f t="shared" si="787"/>
        <v>0</v>
      </c>
      <c r="AB471" s="26">
        <f t="shared" si="787"/>
        <v>0</v>
      </c>
      <c r="AC471" s="26">
        <f t="shared" si="787"/>
        <v>0</v>
      </c>
      <c r="AD471" s="26">
        <f t="shared" si="787"/>
        <v>0</v>
      </c>
      <c r="AE471" s="26">
        <f t="shared" si="787"/>
        <v>-684722</v>
      </c>
      <c r="AF471" s="26">
        <f t="shared" si="787"/>
        <v>-439902</v>
      </c>
      <c r="AG471" s="26">
        <f t="shared" si="787"/>
        <v>-1124624</v>
      </c>
      <c r="AH471" s="26">
        <f t="shared" si="787"/>
        <v>-116105</v>
      </c>
      <c r="AI471" s="26">
        <f t="shared" si="787"/>
        <v>439902</v>
      </c>
      <c r="AJ471" s="26">
        <f t="shared" si="787"/>
        <v>0</v>
      </c>
      <c r="AK471" s="26">
        <f t="shared" si="787"/>
        <v>0</v>
      </c>
      <c r="AL471" s="26">
        <f t="shared" si="787"/>
        <v>18270</v>
      </c>
      <c r="AM471" s="26">
        <f t="shared" si="787"/>
        <v>-116105</v>
      </c>
      <c r="AN471" s="26">
        <f t="shared" si="787"/>
        <v>458172</v>
      </c>
      <c r="AO471" s="26">
        <f t="shared" si="787"/>
        <v>342067</v>
      </c>
      <c r="AP471" s="26">
        <f t="shared" si="787"/>
        <v>-800827</v>
      </c>
      <c r="AQ471" s="26">
        <f t="shared" si="787"/>
        <v>18270</v>
      </c>
      <c r="AR471" s="26">
        <f t="shared" si="787"/>
        <v>-782557</v>
      </c>
      <c r="AS471" s="26">
        <f t="shared" si="787"/>
        <v>-270679</v>
      </c>
      <c r="AT471" s="26">
        <f t="shared" si="787"/>
        <v>-11243</v>
      </c>
      <c r="AU471" s="26">
        <f t="shared" si="787"/>
        <v>86700</v>
      </c>
      <c r="AV471" s="26">
        <f t="shared" si="787"/>
        <v>0</v>
      </c>
      <c r="AW471" s="26">
        <f t="shared" si="787"/>
        <v>0</v>
      </c>
      <c r="AX471" s="26">
        <f t="shared" si="787"/>
        <v>86700</v>
      </c>
      <c r="AY471" s="26">
        <f t="shared" si="787"/>
        <v>-977779</v>
      </c>
      <c r="AZ471" s="27">
        <f t="shared" si="787"/>
        <v>-5.0000000000000017E-2</v>
      </c>
      <c r="BA471" s="27">
        <f t="shared" si="787"/>
        <v>-1.45</v>
      </c>
      <c r="BB471" s="27">
        <f t="shared" si="787"/>
        <v>-1.95</v>
      </c>
      <c r="BC471" s="27">
        <f>SUMIF($F$12:$F$466,"=3113",BC$12:BC$466)</f>
        <v>-1.18</v>
      </c>
      <c r="BD471" s="27">
        <f>SUMIF($F$12:$F$466,"=3113",BD$12:BD$466)</f>
        <v>0</v>
      </c>
      <c r="BE471" s="27">
        <f t="shared" si="787"/>
        <v>0.98</v>
      </c>
      <c r="BF471" s="27">
        <f t="shared" si="787"/>
        <v>0</v>
      </c>
      <c r="BG471" s="27">
        <f t="shared" si="787"/>
        <v>0</v>
      </c>
      <c r="BH471" s="27">
        <f t="shared" si="787"/>
        <v>0</v>
      </c>
      <c r="BI471" s="27">
        <f t="shared" si="787"/>
        <v>-2.1999999999999993</v>
      </c>
      <c r="BJ471" s="27">
        <f t="shared" si="787"/>
        <v>-1.45</v>
      </c>
      <c r="BK471" s="425">
        <f t="shared" si="787"/>
        <v>-3.6499999999999995</v>
      </c>
      <c r="BL471" s="25">
        <f t="shared" si="787"/>
        <v>1117372802</v>
      </c>
      <c r="BM471" s="26">
        <f t="shared" si="787"/>
        <v>811823424</v>
      </c>
      <c r="BN471" s="26">
        <f t="shared" si="787"/>
        <v>741694386</v>
      </c>
      <c r="BO471" s="26">
        <f t="shared" si="787"/>
        <v>70129038</v>
      </c>
      <c r="BP471" s="26">
        <f t="shared" si="787"/>
        <v>4099846</v>
      </c>
      <c r="BQ471" s="26">
        <f t="shared" si="787"/>
        <v>2627674</v>
      </c>
      <c r="BR471" s="26">
        <f t="shared" si="787"/>
        <v>1472172</v>
      </c>
      <c r="BS471" s="26">
        <f t="shared" si="787"/>
        <v>275775896</v>
      </c>
      <c r="BT471" s="26">
        <f t="shared" ref="BT471:CJ471" si="788">SUMIF($F$12:$F$466,"=3113",BT$12:BT$466)</f>
        <v>8118241</v>
      </c>
      <c r="BU471" s="26">
        <f t="shared" si="788"/>
        <v>17555395</v>
      </c>
      <c r="BV471" s="27">
        <f t="shared" si="788"/>
        <v>1362.7390999999996</v>
      </c>
      <c r="BW471" s="27">
        <f t="shared" si="788"/>
        <v>1151.6429999999998</v>
      </c>
      <c r="BX471" s="425">
        <f t="shared" si="788"/>
        <v>211.09610000000004</v>
      </c>
      <c r="BY471" s="693">
        <f t="shared" si="788"/>
        <v>12538848</v>
      </c>
      <c r="BZ471" s="688">
        <f t="shared" si="788"/>
        <v>8742000</v>
      </c>
      <c r="CA471" s="688">
        <f t="shared" si="788"/>
        <v>564000</v>
      </c>
      <c r="CB471" s="688">
        <f t="shared" si="788"/>
        <v>3145428</v>
      </c>
      <c r="CC471" s="688">
        <f t="shared" si="788"/>
        <v>87420</v>
      </c>
      <c r="CD471" s="239">
        <f t="shared" si="788"/>
        <v>15.500000000000002</v>
      </c>
      <c r="CE471" s="693">
        <f t="shared" si="788"/>
        <v>35045163</v>
      </c>
      <c r="CF471" s="688">
        <f t="shared" si="788"/>
        <v>22982586</v>
      </c>
      <c r="CG471" s="688">
        <f t="shared" si="788"/>
        <v>7768120</v>
      </c>
      <c r="CH471" s="688">
        <f t="shared" si="788"/>
        <v>229828</v>
      </c>
      <c r="CI471" s="688">
        <f t="shared" si="788"/>
        <v>4064629</v>
      </c>
      <c r="CJ471" s="239">
        <f t="shared" si="788"/>
        <v>68.964300000000009</v>
      </c>
    </row>
    <row r="472" spans="1:88" customFormat="1" ht="12.75">
      <c r="D472" s="23"/>
      <c r="E472" s="24"/>
      <c r="F472" s="23"/>
      <c r="G472" s="41"/>
      <c r="H472" s="2">
        <v>3114</v>
      </c>
      <c r="I472" s="25">
        <f t="shared" ref="I472:BS472" si="789">SUMIF($F$12:$F$466,"=3114",I$12:I$466)</f>
        <v>66953415</v>
      </c>
      <c r="J472" s="26">
        <f t="shared" si="789"/>
        <v>49191784</v>
      </c>
      <c r="K472" s="26">
        <f t="shared" si="789"/>
        <v>45173766</v>
      </c>
      <c r="L472" s="26">
        <f t="shared" si="789"/>
        <v>4018018</v>
      </c>
      <c r="M472" s="26">
        <f t="shared" si="789"/>
        <v>154000</v>
      </c>
      <c r="N472" s="26">
        <f t="shared" si="789"/>
        <v>0</v>
      </c>
      <c r="O472" s="26">
        <f t="shared" si="789"/>
        <v>154000</v>
      </c>
      <c r="P472" s="26">
        <f t="shared" si="789"/>
        <v>16678875</v>
      </c>
      <c r="Q472" s="26">
        <f t="shared" si="789"/>
        <v>491916</v>
      </c>
      <c r="R472" s="26">
        <f t="shared" si="789"/>
        <v>436840</v>
      </c>
      <c r="S472" s="27">
        <f t="shared" si="789"/>
        <v>89.022499999999994</v>
      </c>
      <c r="T472" s="27">
        <f t="shared" si="789"/>
        <v>77.030500000000004</v>
      </c>
      <c r="U472" s="239">
        <f t="shared" si="789"/>
        <v>11.991999999999999</v>
      </c>
      <c r="V472" s="38">
        <f t="shared" si="789"/>
        <v>0</v>
      </c>
      <c r="W472" s="26">
        <f t="shared" si="789"/>
        <v>-47000</v>
      </c>
      <c r="X472" s="26">
        <f t="shared" si="789"/>
        <v>-77251</v>
      </c>
      <c r="Y472" s="26">
        <f t="shared" si="789"/>
        <v>0</v>
      </c>
      <c r="Z472" s="26">
        <f t="shared" si="789"/>
        <v>-287167</v>
      </c>
      <c r="AA472" s="26">
        <f t="shared" si="789"/>
        <v>0</v>
      </c>
      <c r="AB472" s="26">
        <f t="shared" si="789"/>
        <v>0</v>
      </c>
      <c r="AC472" s="26">
        <f t="shared" si="789"/>
        <v>0</v>
      </c>
      <c r="AD472" s="26">
        <f t="shared" si="789"/>
        <v>0</v>
      </c>
      <c r="AE472" s="26">
        <f t="shared" si="789"/>
        <v>-364418</v>
      </c>
      <c r="AF472" s="26">
        <f t="shared" si="789"/>
        <v>-47000</v>
      </c>
      <c r="AG472" s="26">
        <f t="shared" si="789"/>
        <v>-411418</v>
      </c>
      <c r="AH472" s="26">
        <f t="shared" si="789"/>
        <v>0</v>
      </c>
      <c r="AI472" s="26">
        <f t="shared" si="789"/>
        <v>47000</v>
      </c>
      <c r="AJ472" s="26">
        <f t="shared" si="789"/>
        <v>0</v>
      </c>
      <c r="AK472" s="26">
        <f t="shared" si="789"/>
        <v>0</v>
      </c>
      <c r="AL472" s="26">
        <f t="shared" si="789"/>
        <v>0</v>
      </c>
      <c r="AM472" s="26">
        <f t="shared" si="789"/>
        <v>0</v>
      </c>
      <c r="AN472" s="26">
        <f t="shared" si="789"/>
        <v>47000</v>
      </c>
      <c r="AO472" s="26">
        <f t="shared" si="789"/>
        <v>47000</v>
      </c>
      <c r="AP472" s="26">
        <f t="shared" si="789"/>
        <v>-364418</v>
      </c>
      <c r="AQ472" s="26">
        <f t="shared" si="789"/>
        <v>0</v>
      </c>
      <c r="AR472" s="26">
        <f t="shared" si="789"/>
        <v>-364418</v>
      </c>
      <c r="AS472" s="26">
        <f t="shared" si="789"/>
        <v>-123173</v>
      </c>
      <c r="AT472" s="26">
        <f t="shared" si="789"/>
        <v>-4115</v>
      </c>
      <c r="AU472" s="26">
        <f t="shared" si="789"/>
        <v>6500</v>
      </c>
      <c r="AV472" s="26">
        <f t="shared" si="789"/>
        <v>0</v>
      </c>
      <c r="AW472" s="26">
        <f t="shared" si="789"/>
        <v>0</v>
      </c>
      <c r="AX472" s="26">
        <f t="shared" si="789"/>
        <v>6500</v>
      </c>
      <c r="AY472" s="26">
        <f t="shared" si="789"/>
        <v>-485206</v>
      </c>
      <c r="AZ472" s="27">
        <f t="shared" si="789"/>
        <v>0</v>
      </c>
      <c r="BA472" s="27">
        <f t="shared" si="789"/>
        <v>-0.14000000000000001</v>
      </c>
      <c r="BB472" s="27">
        <f t="shared" si="789"/>
        <v>-0.2</v>
      </c>
      <c r="BC472" s="27">
        <f>SUMIF($F$12:$F$466,"=3114",BC$12:BC$466)</f>
        <v>-0.63000000000000012</v>
      </c>
      <c r="BD472" s="27">
        <f>SUMIF($F$12:$F$466,"=3114",BD$12:BD$466)</f>
        <v>0</v>
      </c>
      <c r="BE472" s="27">
        <f t="shared" si="789"/>
        <v>0</v>
      </c>
      <c r="BF472" s="27">
        <f t="shared" si="789"/>
        <v>0</v>
      </c>
      <c r="BG472" s="27">
        <f t="shared" si="789"/>
        <v>0</v>
      </c>
      <c r="BH472" s="27">
        <f t="shared" si="789"/>
        <v>0</v>
      </c>
      <c r="BI472" s="27">
        <f t="shared" si="789"/>
        <v>-0.83000000000000007</v>
      </c>
      <c r="BJ472" s="27">
        <f t="shared" si="789"/>
        <v>-0.14000000000000001</v>
      </c>
      <c r="BK472" s="425">
        <f t="shared" si="789"/>
        <v>-0.9700000000000002</v>
      </c>
      <c r="BL472" s="25">
        <f t="shared" si="789"/>
        <v>66468209</v>
      </c>
      <c r="BM472" s="26">
        <f t="shared" si="789"/>
        <v>48780366</v>
      </c>
      <c r="BN472" s="26">
        <f t="shared" si="789"/>
        <v>44809348</v>
      </c>
      <c r="BO472" s="26">
        <f t="shared" si="789"/>
        <v>3971018</v>
      </c>
      <c r="BP472" s="26">
        <f t="shared" si="789"/>
        <v>201000</v>
      </c>
      <c r="BQ472" s="26">
        <f t="shared" si="789"/>
        <v>0</v>
      </c>
      <c r="BR472" s="26">
        <f t="shared" si="789"/>
        <v>201000</v>
      </c>
      <c r="BS472" s="26">
        <f t="shared" si="789"/>
        <v>16555702</v>
      </c>
      <c r="BT472" s="26">
        <f t="shared" ref="BT472:CJ472" si="790">SUMIF($F$12:$F$466,"=3114",BT$12:BT$466)</f>
        <v>487801</v>
      </c>
      <c r="BU472" s="26">
        <f t="shared" si="790"/>
        <v>443340</v>
      </c>
      <c r="BV472" s="27">
        <f t="shared" si="790"/>
        <v>88.052499999999995</v>
      </c>
      <c r="BW472" s="27">
        <f t="shared" si="790"/>
        <v>76.200500000000005</v>
      </c>
      <c r="BX472" s="425">
        <f t="shared" si="790"/>
        <v>11.852</v>
      </c>
      <c r="BY472" s="693">
        <f t="shared" si="790"/>
        <v>0</v>
      </c>
      <c r="BZ472" s="688">
        <f t="shared" si="790"/>
        <v>0</v>
      </c>
      <c r="CA472" s="688">
        <f t="shared" si="790"/>
        <v>0</v>
      </c>
      <c r="CB472" s="688">
        <f t="shared" si="790"/>
        <v>0</v>
      </c>
      <c r="CC472" s="688">
        <f t="shared" si="790"/>
        <v>0</v>
      </c>
      <c r="CD472" s="239">
        <f t="shared" si="790"/>
        <v>0</v>
      </c>
      <c r="CE472" s="693">
        <f t="shared" si="790"/>
        <v>1925901</v>
      </c>
      <c r="CF472" s="688">
        <f t="shared" si="790"/>
        <v>1338756</v>
      </c>
      <c r="CG472" s="688">
        <f t="shared" si="790"/>
        <v>452499</v>
      </c>
      <c r="CH472" s="688">
        <f t="shared" si="790"/>
        <v>13388</v>
      </c>
      <c r="CI472" s="688">
        <f t="shared" si="790"/>
        <v>121258</v>
      </c>
      <c r="CJ472" s="239">
        <f t="shared" si="790"/>
        <v>3.9187000000000003</v>
      </c>
    </row>
    <row r="473" spans="1:88" customFormat="1" ht="12.75">
      <c r="D473" s="23"/>
      <c r="E473" s="24"/>
      <c r="F473" s="23"/>
      <c r="G473" s="41"/>
      <c r="H473" s="2">
        <v>3117</v>
      </c>
      <c r="I473" s="25">
        <f t="shared" ref="I473:BS473" si="791">SUMIF($F$12:$F$466,"=3117",I$12:I$466)</f>
        <v>52688251</v>
      </c>
      <c r="J473" s="26">
        <f t="shared" si="791"/>
        <v>38189613</v>
      </c>
      <c r="K473" s="26">
        <f t="shared" si="791"/>
        <v>32736363</v>
      </c>
      <c r="L473" s="26">
        <f t="shared" si="791"/>
        <v>5453250</v>
      </c>
      <c r="M473" s="26">
        <f t="shared" si="791"/>
        <v>336000</v>
      </c>
      <c r="N473" s="26">
        <f t="shared" si="791"/>
        <v>271000</v>
      </c>
      <c r="O473" s="26">
        <f t="shared" si="791"/>
        <v>65000</v>
      </c>
      <c r="P473" s="26">
        <f t="shared" si="791"/>
        <v>13021654</v>
      </c>
      <c r="Q473" s="26">
        <f t="shared" si="791"/>
        <v>381899</v>
      </c>
      <c r="R473" s="26">
        <f t="shared" si="791"/>
        <v>759085</v>
      </c>
      <c r="S473" s="27">
        <f t="shared" si="791"/>
        <v>72.500900000000001</v>
      </c>
      <c r="T473" s="27">
        <f t="shared" si="791"/>
        <v>57.559399999999997</v>
      </c>
      <c r="U473" s="239">
        <f t="shared" si="791"/>
        <v>14.941499999999998</v>
      </c>
      <c r="V473" s="38">
        <f t="shared" si="791"/>
        <v>-4000</v>
      </c>
      <c r="W473" s="26">
        <f t="shared" si="791"/>
        <v>-45000</v>
      </c>
      <c r="X473" s="26">
        <f t="shared" si="791"/>
        <v>138039</v>
      </c>
      <c r="Y473" s="26">
        <f t="shared" si="791"/>
        <v>0</v>
      </c>
      <c r="Z473" s="26">
        <f t="shared" si="791"/>
        <v>80953</v>
      </c>
      <c r="AA473" s="26">
        <f t="shared" si="791"/>
        <v>0</v>
      </c>
      <c r="AB473" s="26">
        <f t="shared" si="791"/>
        <v>0</v>
      </c>
      <c r="AC473" s="26">
        <f t="shared" si="791"/>
        <v>0</v>
      </c>
      <c r="AD473" s="26">
        <f t="shared" si="791"/>
        <v>0</v>
      </c>
      <c r="AE473" s="26">
        <f t="shared" si="791"/>
        <v>214992</v>
      </c>
      <c r="AF473" s="26">
        <f t="shared" si="791"/>
        <v>-45000</v>
      </c>
      <c r="AG473" s="26">
        <f t="shared" si="791"/>
        <v>169992</v>
      </c>
      <c r="AH473" s="26">
        <f t="shared" si="791"/>
        <v>4000</v>
      </c>
      <c r="AI473" s="26">
        <f t="shared" si="791"/>
        <v>45000</v>
      </c>
      <c r="AJ473" s="26">
        <f t="shared" si="791"/>
        <v>0</v>
      </c>
      <c r="AK473" s="26">
        <f t="shared" si="791"/>
        <v>0</v>
      </c>
      <c r="AL473" s="26">
        <f t="shared" si="791"/>
        <v>0</v>
      </c>
      <c r="AM473" s="26">
        <f t="shared" si="791"/>
        <v>4000</v>
      </c>
      <c r="AN473" s="26">
        <f t="shared" si="791"/>
        <v>45000</v>
      </c>
      <c r="AO473" s="26">
        <f t="shared" si="791"/>
        <v>49000</v>
      </c>
      <c r="AP473" s="26">
        <f t="shared" si="791"/>
        <v>218992</v>
      </c>
      <c r="AQ473" s="26">
        <f t="shared" si="791"/>
        <v>0</v>
      </c>
      <c r="AR473" s="26">
        <f t="shared" si="791"/>
        <v>218992</v>
      </c>
      <c r="AS473" s="26">
        <f t="shared" si="791"/>
        <v>74020</v>
      </c>
      <c r="AT473" s="26">
        <f t="shared" si="791"/>
        <v>1701</v>
      </c>
      <c r="AU473" s="26">
        <f t="shared" si="791"/>
        <v>1500</v>
      </c>
      <c r="AV473" s="26">
        <f t="shared" si="791"/>
        <v>0</v>
      </c>
      <c r="AW473" s="26">
        <f t="shared" si="791"/>
        <v>0</v>
      </c>
      <c r="AX473" s="26">
        <f t="shared" si="791"/>
        <v>1500</v>
      </c>
      <c r="AY473" s="26">
        <f t="shared" si="791"/>
        <v>296213</v>
      </c>
      <c r="AZ473" s="27">
        <f t="shared" si="791"/>
        <v>0</v>
      </c>
      <c r="BA473" s="27">
        <f t="shared" si="791"/>
        <v>-0.13999999999999999</v>
      </c>
      <c r="BB473" s="27">
        <f t="shared" si="791"/>
        <v>0.42000000000000004</v>
      </c>
      <c r="BC473" s="27">
        <f>SUMIF($F$12:$F$466,"=3117",BC$12:BC$466)</f>
        <v>0.19000000000000003</v>
      </c>
      <c r="BD473" s="27">
        <f>SUMIF($F$12:$F$466,"=3117",BD$12:BD$466)</f>
        <v>0</v>
      </c>
      <c r="BE473" s="27">
        <f t="shared" si="791"/>
        <v>0</v>
      </c>
      <c r="BF473" s="27">
        <f t="shared" si="791"/>
        <v>0</v>
      </c>
      <c r="BG473" s="27">
        <f t="shared" si="791"/>
        <v>0</v>
      </c>
      <c r="BH473" s="27">
        <f t="shared" si="791"/>
        <v>0</v>
      </c>
      <c r="BI473" s="27">
        <f t="shared" si="791"/>
        <v>0.6100000000000001</v>
      </c>
      <c r="BJ473" s="27">
        <f t="shared" si="791"/>
        <v>-0.13999999999999999</v>
      </c>
      <c r="BK473" s="425">
        <f t="shared" si="791"/>
        <v>0.47</v>
      </c>
      <c r="BL473" s="25">
        <f t="shared" si="791"/>
        <v>52984464</v>
      </c>
      <c r="BM473" s="26">
        <f t="shared" si="791"/>
        <v>38359605</v>
      </c>
      <c r="BN473" s="26">
        <f t="shared" si="791"/>
        <v>32951355</v>
      </c>
      <c r="BO473" s="26">
        <f t="shared" si="791"/>
        <v>5408250</v>
      </c>
      <c r="BP473" s="26">
        <f t="shared" si="791"/>
        <v>385000</v>
      </c>
      <c r="BQ473" s="26">
        <f t="shared" si="791"/>
        <v>275000</v>
      </c>
      <c r="BR473" s="26">
        <f t="shared" si="791"/>
        <v>110000</v>
      </c>
      <c r="BS473" s="26">
        <f t="shared" si="791"/>
        <v>13095674</v>
      </c>
      <c r="BT473" s="26">
        <f t="shared" ref="BT473:CJ473" si="792">SUMIF($F$12:$F$466,"=3117",BT$12:BT$466)</f>
        <v>383600</v>
      </c>
      <c r="BU473" s="26">
        <f t="shared" si="792"/>
        <v>760585</v>
      </c>
      <c r="BV473" s="27">
        <f t="shared" si="792"/>
        <v>72.970899999999986</v>
      </c>
      <c r="BW473" s="27">
        <f t="shared" si="792"/>
        <v>58.169400000000003</v>
      </c>
      <c r="BX473" s="425">
        <f t="shared" si="792"/>
        <v>14.801500000000001</v>
      </c>
      <c r="BY473" s="693">
        <f t="shared" si="792"/>
        <v>152054</v>
      </c>
      <c r="BZ473" s="688">
        <f t="shared" si="792"/>
        <v>112800</v>
      </c>
      <c r="CA473" s="688">
        <f t="shared" si="792"/>
        <v>0</v>
      </c>
      <c r="CB473" s="688">
        <f t="shared" si="792"/>
        <v>38126</v>
      </c>
      <c r="CC473" s="688">
        <f t="shared" si="792"/>
        <v>1128</v>
      </c>
      <c r="CD473" s="239">
        <f t="shared" si="792"/>
        <v>0.2</v>
      </c>
      <c r="CE473" s="693">
        <f t="shared" si="792"/>
        <v>2519800</v>
      </c>
      <c r="CF473" s="688">
        <f t="shared" si="792"/>
        <v>1771171</v>
      </c>
      <c r="CG473" s="688">
        <f t="shared" si="792"/>
        <v>598658</v>
      </c>
      <c r="CH473" s="688">
        <f t="shared" si="792"/>
        <v>17713</v>
      </c>
      <c r="CI473" s="688">
        <f t="shared" si="792"/>
        <v>132258</v>
      </c>
      <c r="CJ473" s="239">
        <f t="shared" si="792"/>
        <v>4.8602999999999996</v>
      </c>
    </row>
    <row r="474" spans="1:88" customFormat="1" ht="12.75">
      <c r="D474" s="23"/>
      <c r="E474" s="24"/>
      <c r="F474" s="23"/>
      <c r="G474" s="41"/>
      <c r="H474" s="2">
        <v>3122</v>
      </c>
      <c r="I474" s="25">
        <f t="shared" ref="I474:BS474" si="793">SUMIF($F$12:$F$466,"=3122",I$12:I$466)</f>
        <v>0</v>
      </c>
      <c r="J474" s="26">
        <f t="shared" si="793"/>
        <v>0</v>
      </c>
      <c r="K474" s="26">
        <f t="shared" si="793"/>
        <v>0</v>
      </c>
      <c r="L474" s="26">
        <f t="shared" si="793"/>
        <v>0</v>
      </c>
      <c r="M474" s="26">
        <f t="shared" si="793"/>
        <v>0</v>
      </c>
      <c r="N474" s="26">
        <f t="shared" si="793"/>
        <v>0</v>
      </c>
      <c r="O474" s="26">
        <f t="shared" si="793"/>
        <v>0</v>
      </c>
      <c r="P474" s="26">
        <f t="shared" si="793"/>
        <v>0</v>
      </c>
      <c r="Q474" s="26">
        <f t="shared" si="793"/>
        <v>0</v>
      </c>
      <c r="R474" s="26">
        <f t="shared" si="793"/>
        <v>0</v>
      </c>
      <c r="S474" s="27">
        <f t="shared" si="793"/>
        <v>0</v>
      </c>
      <c r="T474" s="27">
        <f t="shared" si="793"/>
        <v>0</v>
      </c>
      <c r="U474" s="239">
        <f t="shared" si="793"/>
        <v>0</v>
      </c>
      <c r="V474" s="38">
        <f t="shared" si="793"/>
        <v>0</v>
      </c>
      <c r="W474" s="26">
        <f t="shared" si="793"/>
        <v>0</v>
      </c>
      <c r="X474" s="26">
        <f t="shared" si="793"/>
        <v>0</v>
      </c>
      <c r="Y474" s="26">
        <f t="shared" si="793"/>
        <v>0</v>
      </c>
      <c r="Z474" s="26">
        <f t="shared" si="793"/>
        <v>0</v>
      </c>
      <c r="AA474" s="26">
        <f t="shared" si="793"/>
        <v>0</v>
      </c>
      <c r="AB474" s="26">
        <f t="shared" si="793"/>
        <v>0</v>
      </c>
      <c r="AC474" s="26">
        <f t="shared" si="793"/>
        <v>0</v>
      </c>
      <c r="AD474" s="26">
        <f t="shared" si="793"/>
        <v>0</v>
      </c>
      <c r="AE474" s="26">
        <f t="shared" si="793"/>
        <v>0</v>
      </c>
      <c r="AF474" s="26">
        <f t="shared" si="793"/>
        <v>0</v>
      </c>
      <c r="AG474" s="26">
        <f t="shared" si="793"/>
        <v>0</v>
      </c>
      <c r="AH474" s="26">
        <f t="shared" si="793"/>
        <v>0</v>
      </c>
      <c r="AI474" s="26">
        <f t="shared" si="793"/>
        <v>0</v>
      </c>
      <c r="AJ474" s="26">
        <f t="shared" si="793"/>
        <v>0</v>
      </c>
      <c r="AK474" s="26">
        <f t="shared" si="793"/>
        <v>0</v>
      </c>
      <c r="AL474" s="26">
        <f t="shared" si="793"/>
        <v>0</v>
      </c>
      <c r="AM474" s="26">
        <f t="shared" si="793"/>
        <v>0</v>
      </c>
      <c r="AN474" s="26">
        <f t="shared" si="793"/>
        <v>0</v>
      </c>
      <c r="AO474" s="26">
        <f t="shared" si="793"/>
        <v>0</v>
      </c>
      <c r="AP474" s="26">
        <f t="shared" si="793"/>
        <v>0</v>
      </c>
      <c r="AQ474" s="26">
        <f t="shared" si="793"/>
        <v>0</v>
      </c>
      <c r="AR474" s="26">
        <f t="shared" si="793"/>
        <v>0</v>
      </c>
      <c r="AS474" s="26">
        <f t="shared" si="793"/>
        <v>0</v>
      </c>
      <c r="AT474" s="26">
        <f t="shared" si="793"/>
        <v>0</v>
      </c>
      <c r="AU474" s="26">
        <f t="shared" si="793"/>
        <v>0</v>
      </c>
      <c r="AV474" s="26">
        <f t="shared" si="793"/>
        <v>0</v>
      </c>
      <c r="AW474" s="26">
        <f t="shared" si="793"/>
        <v>0</v>
      </c>
      <c r="AX474" s="26">
        <f t="shared" si="793"/>
        <v>0</v>
      </c>
      <c r="AY474" s="26">
        <f t="shared" si="793"/>
        <v>0</v>
      </c>
      <c r="AZ474" s="27">
        <f t="shared" si="793"/>
        <v>0</v>
      </c>
      <c r="BA474" s="27">
        <f t="shared" si="793"/>
        <v>0</v>
      </c>
      <c r="BB474" s="27">
        <f t="shared" si="793"/>
        <v>0</v>
      </c>
      <c r="BC474" s="27">
        <f>SUMIF($F$12:$F$466,"=3122",BC$12:BC$466)</f>
        <v>0</v>
      </c>
      <c r="BD474" s="27">
        <f>SUMIF($F$12:$F$466,"=3122",BD$12:BD$466)</f>
        <v>0</v>
      </c>
      <c r="BE474" s="27">
        <f t="shared" si="793"/>
        <v>0</v>
      </c>
      <c r="BF474" s="27">
        <f t="shared" si="793"/>
        <v>0</v>
      </c>
      <c r="BG474" s="27">
        <f t="shared" si="793"/>
        <v>0</v>
      </c>
      <c r="BH474" s="27">
        <f t="shared" si="793"/>
        <v>0</v>
      </c>
      <c r="BI474" s="27">
        <f t="shared" si="793"/>
        <v>0</v>
      </c>
      <c r="BJ474" s="27">
        <f t="shared" si="793"/>
        <v>0</v>
      </c>
      <c r="BK474" s="425">
        <f t="shared" si="793"/>
        <v>0</v>
      </c>
      <c r="BL474" s="25">
        <f t="shared" si="793"/>
        <v>0</v>
      </c>
      <c r="BM474" s="26">
        <f t="shared" si="793"/>
        <v>0</v>
      </c>
      <c r="BN474" s="26">
        <f t="shared" si="793"/>
        <v>0</v>
      </c>
      <c r="BO474" s="26">
        <f t="shared" si="793"/>
        <v>0</v>
      </c>
      <c r="BP474" s="26">
        <f t="shared" si="793"/>
        <v>0</v>
      </c>
      <c r="BQ474" s="26">
        <f t="shared" si="793"/>
        <v>0</v>
      </c>
      <c r="BR474" s="26">
        <f t="shared" si="793"/>
        <v>0</v>
      </c>
      <c r="BS474" s="26">
        <f t="shared" si="793"/>
        <v>0</v>
      </c>
      <c r="BT474" s="26">
        <f t="shared" ref="BT474:CJ474" si="794">SUMIF($F$12:$F$466,"=3122",BT$12:BT$466)</f>
        <v>0</v>
      </c>
      <c r="BU474" s="26">
        <f t="shared" si="794"/>
        <v>0</v>
      </c>
      <c r="BV474" s="27">
        <f t="shared" si="794"/>
        <v>0</v>
      </c>
      <c r="BW474" s="27">
        <f t="shared" si="794"/>
        <v>0</v>
      </c>
      <c r="BX474" s="425">
        <f t="shared" si="794"/>
        <v>0</v>
      </c>
      <c r="BY474" s="693">
        <f t="shared" si="794"/>
        <v>0</v>
      </c>
      <c r="BZ474" s="688">
        <f t="shared" si="794"/>
        <v>0</v>
      </c>
      <c r="CA474" s="688">
        <f t="shared" si="794"/>
        <v>0</v>
      </c>
      <c r="CB474" s="688">
        <f t="shared" si="794"/>
        <v>0</v>
      </c>
      <c r="CC474" s="688">
        <f t="shared" si="794"/>
        <v>0</v>
      </c>
      <c r="CD474" s="239">
        <f t="shared" si="794"/>
        <v>0</v>
      </c>
      <c r="CE474" s="693">
        <f t="shared" si="794"/>
        <v>0</v>
      </c>
      <c r="CF474" s="688">
        <f t="shared" si="794"/>
        <v>0</v>
      </c>
      <c r="CG474" s="688">
        <f t="shared" si="794"/>
        <v>0</v>
      </c>
      <c r="CH474" s="688">
        <f t="shared" si="794"/>
        <v>0</v>
      </c>
      <c r="CI474" s="688">
        <f t="shared" si="794"/>
        <v>0</v>
      </c>
      <c r="CJ474" s="239">
        <f t="shared" si="794"/>
        <v>0</v>
      </c>
    </row>
    <row r="475" spans="1:88" customFormat="1" ht="12.75">
      <c r="D475" s="23"/>
      <c r="E475" s="24"/>
      <c r="F475" s="23"/>
      <c r="G475" s="41"/>
      <c r="H475" s="2">
        <v>3124</v>
      </c>
      <c r="I475" s="25">
        <f t="shared" ref="I475:BS475" si="795">SUMIF($F$12:$F$466,"=3124",I$12:I$466)</f>
        <v>0</v>
      </c>
      <c r="J475" s="26">
        <f t="shared" si="795"/>
        <v>0</v>
      </c>
      <c r="K475" s="26">
        <f t="shared" si="795"/>
        <v>0</v>
      </c>
      <c r="L475" s="26">
        <f t="shared" si="795"/>
        <v>0</v>
      </c>
      <c r="M475" s="26">
        <f t="shared" si="795"/>
        <v>0</v>
      </c>
      <c r="N475" s="26">
        <f t="shared" si="795"/>
        <v>0</v>
      </c>
      <c r="O475" s="26">
        <f t="shared" si="795"/>
        <v>0</v>
      </c>
      <c r="P475" s="26">
        <f t="shared" si="795"/>
        <v>0</v>
      </c>
      <c r="Q475" s="26">
        <f t="shared" si="795"/>
        <v>0</v>
      </c>
      <c r="R475" s="26">
        <f t="shared" si="795"/>
        <v>0</v>
      </c>
      <c r="S475" s="27">
        <f t="shared" si="795"/>
        <v>0</v>
      </c>
      <c r="T475" s="27">
        <f t="shared" si="795"/>
        <v>0</v>
      </c>
      <c r="U475" s="239">
        <f t="shared" si="795"/>
        <v>0</v>
      </c>
      <c r="V475" s="38">
        <f t="shared" si="795"/>
        <v>0</v>
      </c>
      <c r="W475" s="26">
        <f t="shared" si="795"/>
        <v>0</v>
      </c>
      <c r="X475" s="26">
        <f t="shared" si="795"/>
        <v>0</v>
      </c>
      <c r="Y475" s="26">
        <f t="shared" si="795"/>
        <v>0</v>
      </c>
      <c r="Z475" s="26">
        <f t="shared" si="795"/>
        <v>0</v>
      </c>
      <c r="AA475" s="26">
        <f t="shared" si="795"/>
        <v>0</v>
      </c>
      <c r="AB475" s="26">
        <f t="shared" si="795"/>
        <v>0</v>
      </c>
      <c r="AC475" s="26">
        <f t="shared" si="795"/>
        <v>0</v>
      </c>
      <c r="AD475" s="26">
        <f t="shared" si="795"/>
        <v>0</v>
      </c>
      <c r="AE475" s="26">
        <f t="shared" si="795"/>
        <v>0</v>
      </c>
      <c r="AF475" s="26">
        <f t="shared" si="795"/>
        <v>0</v>
      </c>
      <c r="AG475" s="26">
        <f t="shared" si="795"/>
        <v>0</v>
      </c>
      <c r="AH475" s="26">
        <f t="shared" si="795"/>
        <v>0</v>
      </c>
      <c r="AI475" s="26">
        <f t="shared" si="795"/>
        <v>0</v>
      </c>
      <c r="AJ475" s="26">
        <f t="shared" si="795"/>
        <v>0</v>
      </c>
      <c r="AK475" s="26">
        <f t="shared" si="795"/>
        <v>0</v>
      </c>
      <c r="AL475" s="26">
        <f t="shared" si="795"/>
        <v>0</v>
      </c>
      <c r="AM475" s="26">
        <f t="shared" si="795"/>
        <v>0</v>
      </c>
      <c r="AN475" s="26">
        <f t="shared" si="795"/>
        <v>0</v>
      </c>
      <c r="AO475" s="26">
        <f t="shared" si="795"/>
        <v>0</v>
      </c>
      <c r="AP475" s="26">
        <f t="shared" si="795"/>
        <v>0</v>
      </c>
      <c r="AQ475" s="26">
        <f t="shared" si="795"/>
        <v>0</v>
      </c>
      <c r="AR475" s="26">
        <f t="shared" si="795"/>
        <v>0</v>
      </c>
      <c r="AS475" s="26">
        <f t="shared" si="795"/>
        <v>0</v>
      </c>
      <c r="AT475" s="26">
        <f t="shared" si="795"/>
        <v>0</v>
      </c>
      <c r="AU475" s="26">
        <f t="shared" si="795"/>
        <v>0</v>
      </c>
      <c r="AV475" s="26">
        <f t="shared" si="795"/>
        <v>0</v>
      </c>
      <c r="AW475" s="26">
        <f t="shared" si="795"/>
        <v>0</v>
      </c>
      <c r="AX475" s="26">
        <f t="shared" si="795"/>
        <v>0</v>
      </c>
      <c r="AY475" s="26">
        <f t="shared" si="795"/>
        <v>0</v>
      </c>
      <c r="AZ475" s="27">
        <f t="shared" si="795"/>
        <v>0</v>
      </c>
      <c r="BA475" s="27">
        <f t="shared" si="795"/>
        <v>0</v>
      </c>
      <c r="BB475" s="27">
        <f t="shared" si="795"/>
        <v>0</v>
      </c>
      <c r="BC475" s="27">
        <f>SUMIF($F$12:$F$466,"=3124",BC$12:BC$466)</f>
        <v>0</v>
      </c>
      <c r="BD475" s="27">
        <f>SUMIF($F$12:$F$466,"=3124",BD$12:BD$466)</f>
        <v>0</v>
      </c>
      <c r="BE475" s="27">
        <f t="shared" si="795"/>
        <v>0</v>
      </c>
      <c r="BF475" s="27">
        <f t="shared" si="795"/>
        <v>0</v>
      </c>
      <c r="BG475" s="27">
        <f t="shared" si="795"/>
        <v>0</v>
      </c>
      <c r="BH475" s="27">
        <f t="shared" si="795"/>
        <v>0</v>
      </c>
      <c r="BI475" s="27">
        <f t="shared" si="795"/>
        <v>0</v>
      </c>
      <c r="BJ475" s="27">
        <f t="shared" si="795"/>
        <v>0</v>
      </c>
      <c r="BK475" s="425">
        <f t="shared" si="795"/>
        <v>0</v>
      </c>
      <c r="BL475" s="25">
        <f t="shared" si="795"/>
        <v>0</v>
      </c>
      <c r="BM475" s="26">
        <f t="shared" si="795"/>
        <v>0</v>
      </c>
      <c r="BN475" s="26">
        <f t="shared" si="795"/>
        <v>0</v>
      </c>
      <c r="BO475" s="26">
        <f t="shared" si="795"/>
        <v>0</v>
      </c>
      <c r="BP475" s="26">
        <f t="shared" si="795"/>
        <v>0</v>
      </c>
      <c r="BQ475" s="26">
        <f t="shared" si="795"/>
        <v>0</v>
      </c>
      <c r="BR475" s="26">
        <f t="shared" si="795"/>
        <v>0</v>
      </c>
      <c r="BS475" s="26">
        <f t="shared" si="795"/>
        <v>0</v>
      </c>
      <c r="BT475" s="26">
        <f t="shared" ref="BT475:CJ475" si="796">SUMIF($F$12:$F$466,"=3124",BT$12:BT$466)</f>
        <v>0</v>
      </c>
      <c r="BU475" s="26">
        <f t="shared" si="796"/>
        <v>0</v>
      </c>
      <c r="BV475" s="27">
        <f t="shared" si="796"/>
        <v>0</v>
      </c>
      <c r="BW475" s="27">
        <f t="shared" si="796"/>
        <v>0</v>
      </c>
      <c r="BX475" s="425">
        <f t="shared" si="796"/>
        <v>0</v>
      </c>
      <c r="BY475" s="693">
        <f t="shared" si="796"/>
        <v>0</v>
      </c>
      <c r="BZ475" s="688">
        <f t="shared" si="796"/>
        <v>0</v>
      </c>
      <c r="CA475" s="688">
        <f t="shared" si="796"/>
        <v>0</v>
      </c>
      <c r="CB475" s="688">
        <f t="shared" si="796"/>
        <v>0</v>
      </c>
      <c r="CC475" s="688">
        <f t="shared" si="796"/>
        <v>0</v>
      </c>
      <c r="CD475" s="239">
        <f t="shared" si="796"/>
        <v>0</v>
      </c>
      <c r="CE475" s="693">
        <f t="shared" si="796"/>
        <v>0</v>
      </c>
      <c r="CF475" s="688">
        <f t="shared" si="796"/>
        <v>0</v>
      </c>
      <c r="CG475" s="688">
        <f t="shared" si="796"/>
        <v>0</v>
      </c>
      <c r="CH475" s="688">
        <f t="shared" si="796"/>
        <v>0</v>
      </c>
      <c r="CI475" s="688">
        <f t="shared" si="796"/>
        <v>0</v>
      </c>
      <c r="CJ475" s="239">
        <f t="shared" si="796"/>
        <v>0</v>
      </c>
    </row>
    <row r="476" spans="1:88" customFormat="1" ht="12.75">
      <c r="D476" s="23"/>
      <c r="E476" s="24"/>
      <c r="F476" s="23"/>
      <c r="G476" s="41"/>
      <c r="H476" s="2">
        <v>3141</v>
      </c>
      <c r="I476" s="25">
        <f t="shared" ref="I476:BS476" si="797">SUMIF($F$12:$F$466,"=3141",I$12:I$466)</f>
        <v>120975046</v>
      </c>
      <c r="J476" s="26">
        <f t="shared" si="797"/>
        <v>88700432</v>
      </c>
      <c r="K476" s="26">
        <f t="shared" si="797"/>
        <v>0</v>
      </c>
      <c r="L476" s="26">
        <f t="shared" si="797"/>
        <v>88700432</v>
      </c>
      <c r="M476" s="26">
        <f t="shared" si="797"/>
        <v>484600</v>
      </c>
      <c r="N476" s="26">
        <f t="shared" si="797"/>
        <v>0</v>
      </c>
      <c r="O476" s="26">
        <f t="shared" si="797"/>
        <v>484600</v>
      </c>
      <c r="P476" s="26">
        <f t="shared" si="797"/>
        <v>30133726</v>
      </c>
      <c r="Q476" s="26">
        <f t="shared" si="797"/>
        <v>887003</v>
      </c>
      <c r="R476" s="26">
        <f t="shared" si="797"/>
        <v>769285</v>
      </c>
      <c r="S476" s="27">
        <f t="shared" si="797"/>
        <v>266.73680000000002</v>
      </c>
      <c r="T476" s="27">
        <f t="shared" si="797"/>
        <v>0</v>
      </c>
      <c r="U476" s="239">
        <f t="shared" si="797"/>
        <v>266.73680000000002</v>
      </c>
      <c r="V476" s="38">
        <f t="shared" si="797"/>
        <v>0</v>
      </c>
      <c r="W476" s="26">
        <f t="shared" si="797"/>
        <v>-46612</v>
      </c>
      <c r="X476" s="26">
        <f t="shared" si="797"/>
        <v>0</v>
      </c>
      <c r="Y476" s="26">
        <f t="shared" si="797"/>
        <v>0</v>
      </c>
      <c r="Z476" s="26">
        <f t="shared" si="797"/>
        <v>0</v>
      </c>
      <c r="AA476" s="26">
        <f t="shared" si="797"/>
        <v>275217</v>
      </c>
      <c r="AB476" s="26">
        <f t="shared" si="797"/>
        <v>0</v>
      </c>
      <c r="AC476" s="26">
        <f t="shared" si="797"/>
        <v>0</v>
      </c>
      <c r="AD476" s="26">
        <f t="shared" si="797"/>
        <v>-81402</v>
      </c>
      <c r="AE476" s="26">
        <f t="shared" si="797"/>
        <v>0</v>
      </c>
      <c r="AF476" s="26">
        <f t="shared" si="797"/>
        <v>147203</v>
      </c>
      <c r="AG476" s="26">
        <f t="shared" si="797"/>
        <v>147203</v>
      </c>
      <c r="AH476" s="26">
        <f t="shared" si="797"/>
        <v>0</v>
      </c>
      <c r="AI476" s="26">
        <f t="shared" si="797"/>
        <v>46612</v>
      </c>
      <c r="AJ476" s="26">
        <f t="shared" si="797"/>
        <v>0</v>
      </c>
      <c r="AK476" s="26">
        <f t="shared" si="797"/>
        <v>0</v>
      </c>
      <c r="AL476" s="26">
        <f t="shared" si="797"/>
        <v>58500</v>
      </c>
      <c r="AM476" s="26">
        <f t="shared" si="797"/>
        <v>0</v>
      </c>
      <c r="AN476" s="26">
        <f t="shared" si="797"/>
        <v>105112</v>
      </c>
      <c r="AO476" s="26">
        <f t="shared" si="797"/>
        <v>105112</v>
      </c>
      <c r="AP476" s="26">
        <f t="shared" si="797"/>
        <v>0</v>
      </c>
      <c r="AQ476" s="26">
        <f t="shared" si="797"/>
        <v>252315</v>
      </c>
      <c r="AR476" s="26">
        <f t="shared" si="797"/>
        <v>252315</v>
      </c>
      <c r="AS476" s="26">
        <f t="shared" si="797"/>
        <v>65512</v>
      </c>
      <c r="AT476" s="26">
        <f t="shared" si="797"/>
        <v>1471</v>
      </c>
      <c r="AU476" s="26">
        <f t="shared" si="797"/>
        <v>0</v>
      </c>
      <c r="AV476" s="26">
        <f t="shared" si="797"/>
        <v>0</v>
      </c>
      <c r="AW476" s="26">
        <f t="shared" si="797"/>
        <v>0</v>
      </c>
      <c r="AX476" s="26">
        <f t="shared" si="797"/>
        <v>0</v>
      </c>
      <c r="AY476" s="26">
        <f t="shared" si="797"/>
        <v>319298</v>
      </c>
      <c r="AZ476" s="27">
        <f t="shared" si="797"/>
        <v>0</v>
      </c>
      <c r="BA476" s="27">
        <f t="shared" si="797"/>
        <v>-0.28000000000000003</v>
      </c>
      <c r="BB476" s="27">
        <f t="shared" si="797"/>
        <v>0</v>
      </c>
      <c r="BC476" s="27">
        <f>SUMIF($F$12:$F$466,"=3141",BC$12:BC$466)</f>
        <v>0</v>
      </c>
      <c r="BD476" s="27">
        <f>SUMIF($F$12:$F$466,"=3141",BD$12:BD$466)</f>
        <v>0.87999999999999967</v>
      </c>
      <c r="BE476" s="27">
        <f t="shared" si="797"/>
        <v>0</v>
      </c>
      <c r="BF476" s="27">
        <f t="shared" si="797"/>
        <v>0</v>
      </c>
      <c r="BG476" s="27">
        <f t="shared" si="797"/>
        <v>0</v>
      </c>
      <c r="BH476" s="27">
        <f t="shared" si="797"/>
        <v>-0.25</v>
      </c>
      <c r="BI476" s="27">
        <f t="shared" si="797"/>
        <v>0</v>
      </c>
      <c r="BJ476" s="27">
        <f t="shared" si="797"/>
        <v>0.34999999999999976</v>
      </c>
      <c r="BK476" s="425">
        <f t="shared" si="797"/>
        <v>0.34999999999999976</v>
      </c>
      <c r="BL476" s="25">
        <f t="shared" si="797"/>
        <v>121294344</v>
      </c>
      <c r="BM476" s="26">
        <f t="shared" si="797"/>
        <v>88847635</v>
      </c>
      <c r="BN476" s="26">
        <f t="shared" si="797"/>
        <v>0</v>
      </c>
      <c r="BO476" s="26">
        <f t="shared" si="797"/>
        <v>88847635</v>
      </c>
      <c r="BP476" s="26">
        <f t="shared" si="797"/>
        <v>589712</v>
      </c>
      <c r="BQ476" s="26">
        <f t="shared" si="797"/>
        <v>0</v>
      </c>
      <c r="BR476" s="26">
        <f t="shared" si="797"/>
        <v>589712</v>
      </c>
      <c r="BS476" s="26">
        <f t="shared" si="797"/>
        <v>30199238</v>
      </c>
      <c r="BT476" s="26">
        <f t="shared" ref="BT476:CJ476" si="798">SUMIF($F$12:$F$466,"=3141",BT$12:BT$466)</f>
        <v>888474</v>
      </c>
      <c r="BU476" s="26">
        <f t="shared" si="798"/>
        <v>769285</v>
      </c>
      <c r="BV476" s="27">
        <f t="shared" si="798"/>
        <v>267.08680000000004</v>
      </c>
      <c r="BW476" s="27">
        <f t="shared" si="798"/>
        <v>0</v>
      </c>
      <c r="BX476" s="425">
        <f t="shared" si="798"/>
        <v>267.08680000000004</v>
      </c>
      <c r="BY476" s="693">
        <f t="shared" si="798"/>
        <v>0</v>
      </c>
      <c r="BZ476" s="688">
        <f t="shared" si="798"/>
        <v>0</v>
      </c>
      <c r="CA476" s="688">
        <f t="shared" si="798"/>
        <v>0</v>
      </c>
      <c r="CB476" s="688">
        <f t="shared" si="798"/>
        <v>0</v>
      </c>
      <c r="CC476" s="688">
        <f t="shared" si="798"/>
        <v>0</v>
      </c>
      <c r="CD476" s="239">
        <f t="shared" si="798"/>
        <v>0</v>
      </c>
      <c r="CE476" s="693">
        <f t="shared" si="798"/>
        <v>0</v>
      </c>
      <c r="CF476" s="688">
        <f t="shared" si="798"/>
        <v>0</v>
      </c>
      <c r="CG476" s="688">
        <f t="shared" si="798"/>
        <v>0</v>
      </c>
      <c r="CH476" s="688">
        <f t="shared" si="798"/>
        <v>0</v>
      </c>
      <c r="CI476" s="688">
        <f t="shared" si="798"/>
        <v>0</v>
      </c>
      <c r="CJ476" s="239">
        <f t="shared" si="798"/>
        <v>0</v>
      </c>
    </row>
    <row r="477" spans="1:88" customFormat="1" ht="12.75">
      <c r="D477" s="23"/>
      <c r="E477" s="24"/>
      <c r="F477" s="23"/>
      <c r="G477" s="41"/>
      <c r="H477" s="2">
        <v>3143</v>
      </c>
      <c r="I477" s="25">
        <f t="shared" ref="I477:BS477" si="799">SUMIF($F$12:$F$466,"=3143",I$12:I$466)</f>
        <v>113950998</v>
      </c>
      <c r="J477" s="26">
        <f t="shared" si="799"/>
        <v>84195342</v>
      </c>
      <c r="K477" s="26">
        <f t="shared" si="799"/>
        <v>81368692</v>
      </c>
      <c r="L477" s="26">
        <f t="shared" si="799"/>
        <v>2826650</v>
      </c>
      <c r="M477" s="26">
        <f t="shared" si="799"/>
        <v>257709</v>
      </c>
      <c r="N477" s="26">
        <f t="shared" si="799"/>
        <v>235709</v>
      </c>
      <c r="O477" s="26">
        <f t="shared" si="799"/>
        <v>22000</v>
      </c>
      <c r="P477" s="26">
        <f t="shared" si="799"/>
        <v>28520723</v>
      </c>
      <c r="Q477" s="26">
        <f t="shared" si="799"/>
        <v>841954</v>
      </c>
      <c r="R477" s="26">
        <f t="shared" si="799"/>
        <v>135270</v>
      </c>
      <c r="S477" s="27">
        <f t="shared" si="799"/>
        <v>172.29720000000003</v>
      </c>
      <c r="T477" s="27">
        <f t="shared" si="799"/>
        <v>161.58820000000003</v>
      </c>
      <c r="U477" s="239">
        <f t="shared" si="799"/>
        <v>10.709000000000001</v>
      </c>
      <c r="V477" s="38">
        <f t="shared" si="799"/>
        <v>-30000</v>
      </c>
      <c r="W477" s="26">
        <f t="shared" si="799"/>
        <v>1000</v>
      </c>
      <c r="X477" s="26">
        <f t="shared" si="799"/>
        <v>0</v>
      </c>
      <c r="Y477" s="26">
        <f t="shared" si="799"/>
        <v>0</v>
      </c>
      <c r="Z477" s="26">
        <f t="shared" si="799"/>
        <v>783816</v>
      </c>
      <c r="AA477" s="26">
        <f t="shared" si="799"/>
        <v>0</v>
      </c>
      <c r="AB477" s="26">
        <f t="shared" si="799"/>
        <v>0</v>
      </c>
      <c r="AC477" s="26">
        <f t="shared" si="799"/>
        <v>0</v>
      </c>
      <c r="AD477" s="26">
        <f t="shared" si="799"/>
        <v>0</v>
      </c>
      <c r="AE477" s="26">
        <f t="shared" si="799"/>
        <v>753816</v>
      </c>
      <c r="AF477" s="26">
        <f t="shared" si="799"/>
        <v>1000</v>
      </c>
      <c r="AG477" s="26">
        <f t="shared" si="799"/>
        <v>754816</v>
      </c>
      <c r="AH477" s="26">
        <f t="shared" si="799"/>
        <v>30000</v>
      </c>
      <c r="AI477" s="26">
        <f t="shared" si="799"/>
        <v>-1000</v>
      </c>
      <c r="AJ477" s="26">
        <f t="shared" si="799"/>
        <v>0</v>
      </c>
      <c r="AK477" s="26">
        <f t="shared" si="799"/>
        <v>45751</v>
      </c>
      <c r="AL477" s="26">
        <f t="shared" si="799"/>
        <v>0</v>
      </c>
      <c r="AM477" s="26">
        <f t="shared" si="799"/>
        <v>75751</v>
      </c>
      <c r="AN477" s="26">
        <f t="shared" si="799"/>
        <v>-1000</v>
      </c>
      <c r="AO477" s="26">
        <f t="shared" si="799"/>
        <v>74751</v>
      </c>
      <c r="AP477" s="26">
        <f t="shared" si="799"/>
        <v>829567</v>
      </c>
      <c r="AQ477" s="26">
        <f t="shared" si="799"/>
        <v>0</v>
      </c>
      <c r="AR477" s="26">
        <f t="shared" si="799"/>
        <v>829567</v>
      </c>
      <c r="AS477" s="26">
        <f t="shared" si="799"/>
        <v>264930</v>
      </c>
      <c r="AT477" s="26">
        <f t="shared" si="799"/>
        <v>7548</v>
      </c>
      <c r="AU477" s="26">
        <f t="shared" si="799"/>
        <v>0</v>
      </c>
      <c r="AV477" s="26">
        <f t="shared" si="799"/>
        <v>0</v>
      </c>
      <c r="AW477" s="26">
        <f t="shared" si="799"/>
        <v>0</v>
      </c>
      <c r="AX477" s="26">
        <f t="shared" si="799"/>
        <v>0</v>
      </c>
      <c r="AY477" s="26">
        <f t="shared" si="799"/>
        <v>1102045</v>
      </c>
      <c r="AZ477" s="27">
        <f t="shared" si="799"/>
        <v>-0.06</v>
      </c>
      <c r="BA477" s="27">
        <f t="shared" si="799"/>
        <v>0</v>
      </c>
      <c r="BB477" s="27">
        <f t="shared" si="799"/>
        <v>0</v>
      </c>
      <c r="BC477" s="27">
        <f>SUMIF($F$12:$F$466,"=3143",BC$12:BC$466)</f>
        <v>1.93</v>
      </c>
      <c r="BD477" s="27">
        <f>SUMIF($F$12:$F$466,"=3143",BD$12:BD$466)</f>
        <v>0</v>
      </c>
      <c r="BE477" s="27">
        <f t="shared" si="799"/>
        <v>0</v>
      </c>
      <c r="BF477" s="27">
        <f t="shared" si="799"/>
        <v>0</v>
      </c>
      <c r="BG477" s="27">
        <f t="shared" si="799"/>
        <v>0</v>
      </c>
      <c r="BH477" s="27">
        <f t="shared" si="799"/>
        <v>0</v>
      </c>
      <c r="BI477" s="27">
        <f t="shared" si="799"/>
        <v>1.8699999999999999</v>
      </c>
      <c r="BJ477" s="27">
        <f t="shared" si="799"/>
        <v>0</v>
      </c>
      <c r="BK477" s="425">
        <f t="shared" si="799"/>
        <v>1.8699999999999999</v>
      </c>
      <c r="BL477" s="25">
        <f t="shared" si="799"/>
        <v>115053043</v>
      </c>
      <c r="BM477" s="26">
        <f t="shared" si="799"/>
        <v>84950158</v>
      </c>
      <c r="BN477" s="26">
        <f t="shared" si="799"/>
        <v>82122508</v>
      </c>
      <c r="BO477" s="26">
        <f t="shared" si="799"/>
        <v>2827650</v>
      </c>
      <c r="BP477" s="26">
        <f t="shared" si="799"/>
        <v>332460</v>
      </c>
      <c r="BQ477" s="26">
        <f t="shared" si="799"/>
        <v>311460</v>
      </c>
      <c r="BR477" s="26">
        <f t="shared" si="799"/>
        <v>21000</v>
      </c>
      <c r="BS477" s="26">
        <f t="shared" si="799"/>
        <v>28785653</v>
      </c>
      <c r="BT477" s="26">
        <f t="shared" ref="BT477:CJ477" si="800">SUMIF($F$12:$F$466,"=3143",BT$12:BT$466)</f>
        <v>849502</v>
      </c>
      <c r="BU477" s="26">
        <f t="shared" si="800"/>
        <v>135270</v>
      </c>
      <c r="BV477" s="27">
        <f t="shared" si="800"/>
        <v>174.16720000000009</v>
      </c>
      <c r="BW477" s="27">
        <f t="shared" si="800"/>
        <v>163.45820000000006</v>
      </c>
      <c r="BX477" s="425">
        <f t="shared" si="800"/>
        <v>10.709000000000001</v>
      </c>
      <c r="BY477" s="693">
        <f t="shared" si="800"/>
        <v>0</v>
      </c>
      <c r="BZ477" s="688">
        <f t="shared" si="800"/>
        <v>0</v>
      </c>
      <c r="CA477" s="688">
        <f t="shared" si="800"/>
        <v>0</v>
      </c>
      <c r="CB477" s="688">
        <f t="shared" si="800"/>
        <v>0</v>
      </c>
      <c r="CC477" s="688">
        <f t="shared" si="800"/>
        <v>0</v>
      </c>
      <c r="CD477" s="239">
        <f t="shared" si="800"/>
        <v>0</v>
      </c>
      <c r="CE477" s="693">
        <f t="shared" si="800"/>
        <v>0</v>
      </c>
      <c r="CF477" s="688">
        <f t="shared" si="800"/>
        <v>0</v>
      </c>
      <c r="CG477" s="688">
        <f t="shared" si="800"/>
        <v>0</v>
      </c>
      <c r="CH477" s="688">
        <f t="shared" si="800"/>
        <v>0</v>
      </c>
      <c r="CI477" s="688">
        <f t="shared" si="800"/>
        <v>0</v>
      </c>
      <c r="CJ477" s="239">
        <f t="shared" si="800"/>
        <v>0</v>
      </c>
    </row>
    <row r="478" spans="1:88" customFormat="1" ht="12.75">
      <c r="D478" s="23"/>
      <c r="E478" s="24"/>
      <c r="F478" s="23"/>
      <c r="G478" s="41"/>
      <c r="H478" s="2">
        <v>3231</v>
      </c>
      <c r="I478" s="25">
        <f t="shared" ref="I478:BS478" si="801">SUMIF($F$12:$F$466,"=3231",I$12:I$466)</f>
        <v>90631622</v>
      </c>
      <c r="J478" s="26">
        <f t="shared" si="801"/>
        <v>66970401</v>
      </c>
      <c r="K478" s="26">
        <f t="shared" si="801"/>
        <v>63412786</v>
      </c>
      <c r="L478" s="26">
        <f t="shared" si="801"/>
        <v>3557615</v>
      </c>
      <c r="M478" s="26">
        <f t="shared" si="801"/>
        <v>130000</v>
      </c>
      <c r="N478" s="26">
        <f t="shared" si="801"/>
        <v>130000</v>
      </c>
      <c r="O478" s="26">
        <f t="shared" si="801"/>
        <v>0</v>
      </c>
      <c r="P478" s="26">
        <f t="shared" si="801"/>
        <v>22679935</v>
      </c>
      <c r="Q478" s="26">
        <f t="shared" si="801"/>
        <v>669703</v>
      </c>
      <c r="R478" s="26">
        <f t="shared" si="801"/>
        <v>181583</v>
      </c>
      <c r="S478" s="27">
        <f t="shared" si="801"/>
        <v>110.18469999999999</v>
      </c>
      <c r="T478" s="27">
        <f t="shared" si="801"/>
        <v>100.2</v>
      </c>
      <c r="U478" s="239">
        <f t="shared" si="801"/>
        <v>9.9847000000000019</v>
      </c>
      <c r="V478" s="38">
        <f t="shared" si="801"/>
        <v>10000</v>
      </c>
      <c r="W478" s="26">
        <f t="shared" si="801"/>
        <v>0</v>
      </c>
      <c r="X478" s="26">
        <f t="shared" si="801"/>
        <v>0</v>
      </c>
      <c r="Y478" s="26">
        <f t="shared" si="801"/>
        <v>0</v>
      </c>
      <c r="Z478" s="26">
        <f t="shared" si="801"/>
        <v>0</v>
      </c>
      <c r="AA478" s="26">
        <f t="shared" si="801"/>
        <v>0</v>
      </c>
      <c r="AB478" s="26">
        <f t="shared" si="801"/>
        <v>0</v>
      </c>
      <c r="AC478" s="26">
        <f t="shared" si="801"/>
        <v>0</v>
      </c>
      <c r="AD478" s="26">
        <f t="shared" si="801"/>
        <v>0</v>
      </c>
      <c r="AE478" s="26">
        <f t="shared" si="801"/>
        <v>10000</v>
      </c>
      <c r="AF478" s="26">
        <f t="shared" si="801"/>
        <v>0</v>
      </c>
      <c r="AG478" s="26">
        <f t="shared" si="801"/>
        <v>10000</v>
      </c>
      <c r="AH478" s="26">
        <f t="shared" si="801"/>
        <v>-10000</v>
      </c>
      <c r="AI478" s="26">
        <f t="shared" si="801"/>
        <v>0</v>
      </c>
      <c r="AJ478" s="26">
        <f t="shared" si="801"/>
        <v>0</v>
      </c>
      <c r="AK478" s="26">
        <f t="shared" si="801"/>
        <v>0</v>
      </c>
      <c r="AL478" s="26">
        <f t="shared" si="801"/>
        <v>0</v>
      </c>
      <c r="AM478" s="26">
        <f t="shared" si="801"/>
        <v>-10000</v>
      </c>
      <c r="AN478" s="26">
        <f t="shared" si="801"/>
        <v>0</v>
      </c>
      <c r="AO478" s="26">
        <f t="shared" si="801"/>
        <v>-10000</v>
      </c>
      <c r="AP478" s="26">
        <f t="shared" si="801"/>
        <v>0</v>
      </c>
      <c r="AQ478" s="26">
        <f t="shared" si="801"/>
        <v>0</v>
      </c>
      <c r="AR478" s="26">
        <f t="shared" si="801"/>
        <v>0</v>
      </c>
      <c r="AS478" s="26">
        <f t="shared" si="801"/>
        <v>0</v>
      </c>
      <c r="AT478" s="26">
        <f t="shared" si="801"/>
        <v>100</v>
      </c>
      <c r="AU478" s="26">
        <f t="shared" si="801"/>
        <v>0</v>
      </c>
      <c r="AV478" s="26">
        <f t="shared" si="801"/>
        <v>0</v>
      </c>
      <c r="AW478" s="26">
        <f t="shared" si="801"/>
        <v>0</v>
      </c>
      <c r="AX478" s="26">
        <f t="shared" si="801"/>
        <v>0</v>
      </c>
      <c r="AY478" s="26">
        <f t="shared" si="801"/>
        <v>100</v>
      </c>
      <c r="AZ478" s="27">
        <f t="shared" si="801"/>
        <v>-0.05</v>
      </c>
      <c r="BA478" s="27">
        <f t="shared" si="801"/>
        <v>0</v>
      </c>
      <c r="BB478" s="27">
        <f t="shared" si="801"/>
        <v>0</v>
      </c>
      <c r="BC478" s="27">
        <f>SUMIF($F$12:$F$466,"=3231",BC$12:BC$466)</f>
        <v>0</v>
      </c>
      <c r="BD478" s="27">
        <f>SUMIF($F$12:$F$466,"=3231",BD$12:BD$466)</f>
        <v>0</v>
      </c>
      <c r="BE478" s="27">
        <f t="shared" si="801"/>
        <v>0</v>
      </c>
      <c r="BF478" s="27">
        <f t="shared" si="801"/>
        <v>0</v>
      </c>
      <c r="BG478" s="27">
        <f t="shared" si="801"/>
        <v>0</v>
      </c>
      <c r="BH478" s="27">
        <f t="shared" si="801"/>
        <v>0</v>
      </c>
      <c r="BI478" s="27">
        <f t="shared" si="801"/>
        <v>-0.05</v>
      </c>
      <c r="BJ478" s="27">
        <f t="shared" si="801"/>
        <v>0</v>
      </c>
      <c r="BK478" s="425">
        <f t="shared" si="801"/>
        <v>-0.05</v>
      </c>
      <c r="BL478" s="25">
        <f t="shared" si="801"/>
        <v>90631722</v>
      </c>
      <c r="BM478" s="26">
        <f t="shared" si="801"/>
        <v>66980401</v>
      </c>
      <c r="BN478" s="26">
        <f t="shared" si="801"/>
        <v>63422786</v>
      </c>
      <c r="BO478" s="26">
        <f t="shared" si="801"/>
        <v>3557615</v>
      </c>
      <c r="BP478" s="26">
        <f t="shared" si="801"/>
        <v>120000</v>
      </c>
      <c r="BQ478" s="26">
        <f t="shared" si="801"/>
        <v>120000</v>
      </c>
      <c r="BR478" s="26">
        <f t="shared" si="801"/>
        <v>0</v>
      </c>
      <c r="BS478" s="26">
        <f t="shared" si="801"/>
        <v>22679935</v>
      </c>
      <c r="BT478" s="26">
        <f t="shared" ref="BT478:CJ478" si="802">SUMIF($F$12:$F$466,"=3231",BT$12:BT$466)</f>
        <v>669803</v>
      </c>
      <c r="BU478" s="26">
        <f t="shared" si="802"/>
        <v>181583</v>
      </c>
      <c r="BV478" s="27">
        <f t="shared" si="802"/>
        <v>110.1347</v>
      </c>
      <c r="BW478" s="27">
        <f t="shared" si="802"/>
        <v>100.14999999999999</v>
      </c>
      <c r="BX478" s="425">
        <f t="shared" si="802"/>
        <v>9.9847000000000019</v>
      </c>
      <c r="BY478" s="693">
        <f t="shared" si="802"/>
        <v>0</v>
      </c>
      <c r="BZ478" s="688">
        <f t="shared" si="802"/>
        <v>0</v>
      </c>
      <c r="CA478" s="688">
        <f t="shared" si="802"/>
        <v>0</v>
      </c>
      <c r="CB478" s="688">
        <f t="shared" si="802"/>
        <v>0</v>
      </c>
      <c r="CC478" s="688">
        <f t="shared" si="802"/>
        <v>0</v>
      </c>
      <c r="CD478" s="239">
        <f t="shared" si="802"/>
        <v>0</v>
      </c>
      <c r="CE478" s="693">
        <f t="shared" si="802"/>
        <v>1633138</v>
      </c>
      <c r="CF478" s="688">
        <f t="shared" si="802"/>
        <v>1167280</v>
      </c>
      <c r="CG478" s="688">
        <f t="shared" si="802"/>
        <v>394541</v>
      </c>
      <c r="CH478" s="688">
        <f t="shared" si="802"/>
        <v>11672</v>
      </c>
      <c r="CI478" s="688">
        <f t="shared" si="802"/>
        <v>59645</v>
      </c>
      <c r="CJ478" s="239">
        <f t="shared" si="802"/>
        <v>3.2747000000000002</v>
      </c>
    </row>
    <row r="479" spans="1:88" customFormat="1" ht="13.5" thickBot="1">
      <c r="D479" s="23"/>
      <c r="E479" s="24"/>
      <c r="F479" s="23"/>
      <c r="G479" s="41"/>
      <c r="H479" s="151">
        <v>3233</v>
      </c>
      <c r="I479" s="28">
        <f t="shared" ref="I479:BS479" si="803">SUMIF($F$12:$F$466,"=3233",I$12:I$466)</f>
        <v>15072795</v>
      </c>
      <c r="J479" s="29">
        <f t="shared" si="803"/>
        <v>10241350</v>
      </c>
      <c r="K479" s="29">
        <f t="shared" si="803"/>
        <v>7416572</v>
      </c>
      <c r="L479" s="29">
        <f t="shared" si="803"/>
        <v>2824778</v>
      </c>
      <c r="M479" s="29">
        <f t="shared" si="803"/>
        <v>930000</v>
      </c>
      <c r="N479" s="29">
        <f t="shared" si="803"/>
        <v>740000</v>
      </c>
      <c r="O479" s="29">
        <f t="shared" si="803"/>
        <v>190000</v>
      </c>
      <c r="P479" s="29">
        <f t="shared" si="803"/>
        <v>3775916</v>
      </c>
      <c r="Q479" s="29">
        <f t="shared" si="803"/>
        <v>102415</v>
      </c>
      <c r="R479" s="29">
        <f t="shared" si="803"/>
        <v>23114</v>
      </c>
      <c r="S479" s="145">
        <f t="shared" si="803"/>
        <v>22.52</v>
      </c>
      <c r="T479" s="145">
        <f t="shared" si="803"/>
        <v>13.43</v>
      </c>
      <c r="U479" s="240">
        <f t="shared" si="803"/>
        <v>9.0900000000000016</v>
      </c>
      <c r="V479" s="150">
        <f t="shared" si="803"/>
        <v>-50000</v>
      </c>
      <c r="W479" s="29">
        <f t="shared" si="803"/>
        <v>-30000</v>
      </c>
      <c r="X479" s="29">
        <f t="shared" si="803"/>
        <v>0</v>
      </c>
      <c r="Y479" s="29">
        <f t="shared" si="803"/>
        <v>0</v>
      </c>
      <c r="Z479" s="29">
        <f t="shared" si="803"/>
        <v>0</v>
      </c>
      <c r="AA479" s="29">
        <f t="shared" si="803"/>
        <v>0</v>
      </c>
      <c r="AB479" s="29">
        <f t="shared" si="803"/>
        <v>0</v>
      </c>
      <c r="AC479" s="29">
        <f t="shared" si="803"/>
        <v>0</v>
      </c>
      <c r="AD479" s="29">
        <f t="shared" si="803"/>
        <v>0</v>
      </c>
      <c r="AE479" s="29">
        <f t="shared" si="803"/>
        <v>-50000</v>
      </c>
      <c r="AF479" s="29">
        <f t="shared" si="803"/>
        <v>-30000</v>
      </c>
      <c r="AG479" s="29">
        <f t="shared" si="803"/>
        <v>-80000</v>
      </c>
      <c r="AH479" s="29">
        <f t="shared" si="803"/>
        <v>50000</v>
      </c>
      <c r="AI479" s="29">
        <f t="shared" si="803"/>
        <v>30000</v>
      </c>
      <c r="AJ479" s="29">
        <f t="shared" si="803"/>
        <v>0</v>
      </c>
      <c r="AK479" s="29">
        <f t="shared" si="803"/>
        <v>0</v>
      </c>
      <c r="AL479" s="29">
        <f t="shared" si="803"/>
        <v>0</v>
      </c>
      <c r="AM479" s="29">
        <f t="shared" si="803"/>
        <v>50000</v>
      </c>
      <c r="AN479" s="29">
        <f t="shared" si="803"/>
        <v>30000</v>
      </c>
      <c r="AO479" s="29">
        <f t="shared" si="803"/>
        <v>80000</v>
      </c>
      <c r="AP479" s="29">
        <f t="shared" si="803"/>
        <v>0</v>
      </c>
      <c r="AQ479" s="29">
        <f t="shared" si="803"/>
        <v>0</v>
      </c>
      <c r="AR479" s="29">
        <f t="shared" si="803"/>
        <v>0</v>
      </c>
      <c r="AS479" s="29">
        <f t="shared" si="803"/>
        <v>0</v>
      </c>
      <c r="AT479" s="29">
        <f t="shared" si="803"/>
        <v>-800</v>
      </c>
      <c r="AU479" s="29">
        <f t="shared" si="803"/>
        <v>0</v>
      </c>
      <c r="AV479" s="29">
        <f t="shared" si="803"/>
        <v>0</v>
      </c>
      <c r="AW479" s="29">
        <f t="shared" si="803"/>
        <v>0</v>
      </c>
      <c r="AX479" s="29">
        <f t="shared" si="803"/>
        <v>0</v>
      </c>
      <c r="AY479" s="29">
        <f t="shared" si="803"/>
        <v>-800</v>
      </c>
      <c r="AZ479" s="145">
        <f t="shared" si="803"/>
        <v>-0.06</v>
      </c>
      <c r="BA479" s="145">
        <f t="shared" si="803"/>
        <v>-0.1</v>
      </c>
      <c r="BB479" s="145">
        <f t="shared" si="803"/>
        <v>0</v>
      </c>
      <c r="BC479" s="145">
        <f>SUMIF($F$12:$F$466,"=3233",BC$12:BC$466)</f>
        <v>0</v>
      </c>
      <c r="BD479" s="145">
        <f>SUMIF($F$12:$F$466,"=3233",BD$12:BD$466)</f>
        <v>0</v>
      </c>
      <c r="BE479" s="145">
        <f t="shared" si="803"/>
        <v>0</v>
      </c>
      <c r="BF479" s="145">
        <f t="shared" si="803"/>
        <v>0</v>
      </c>
      <c r="BG479" s="145">
        <f t="shared" si="803"/>
        <v>0</v>
      </c>
      <c r="BH479" s="145">
        <f t="shared" si="803"/>
        <v>0</v>
      </c>
      <c r="BI479" s="145">
        <f t="shared" si="803"/>
        <v>-0.06</v>
      </c>
      <c r="BJ479" s="145">
        <f t="shared" si="803"/>
        <v>-0.1</v>
      </c>
      <c r="BK479" s="426">
        <f t="shared" si="803"/>
        <v>-0.16</v>
      </c>
      <c r="BL479" s="28">
        <f t="shared" si="803"/>
        <v>15071995</v>
      </c>
      <c r="BM479" s="29">
        <f t="shared" si="803"/>
        <v>10161350</v>
      </c>
      <c r="BN479" s="29">
        <f t="shared" si="803"/>
        <v>7366572</v>
      </c>
      <c r="BO479" s="29">
        <f t="shared" si="803"/>
        <v>2794778</v>
      </c>
      <c r="BP479" s="29">
        <f t="shared" si="803"/>
        <v>1010000</v>
      </c>
      <c r="BQ479" s="29">
        <f t="shared" si="803"/>
        <v>790000</v>
      </c>
      <c r="BR479" s="29">
        <f t="shared" si="803"/>
        <v>220000</v>
      </c>
      <c r="BS479" s="29">
        <f t="shared" si="803"/>
        <v>3775916</v>
      </c>
      <c r="BT479" s="29">
        <f t="shared" ref="BT479:CJ479" si="804">SUMIF($F$12:$F$466,"=3233",BT$12:BT$466)</f>
        <v>101615</v>
      </c>
      <c r="BU479" s="29">
        <f t="shared" si="804"/>
        <v>23114</v>
      </c>
      <c r="BV479" s="145">
        <f t="shared" si="804"/>
        <v>22.36</v>
      </c>
      <c r="BW479" s="145">
        <f t="shared" si="804"/>
        <v>13.37</v>
      </c>
      <c r="BX479" s="426">
        <f t="shared" si="804"/>
        <v>8.99</v>
      </c>
      <c r="BY479" s="694">
        <f t="shared" si="804"/>
        <v>0</v>
      </c>
      <c r="BZ479" s="689">
        <f t="shared" si="804"/>
        <v>0</v>
      </c>
      <c r="CA479" s="689">
        <f t="shared" si="804"/>
        <v>0</v>
      </c>
      <c r="CB479" s="689">
        <f t="shared" si="804"/>
        <v>0</v>
      </c>
      <c r="CC479" s="689">
        <f t="shared" si="804"/>
        <v>0</v>
      </c>
      <c r="CD479" s="240">
        <f t="shared" si="804"/>
        <v>0</v>
      </c>
      <c r="CE479" s="694">
        <f t="shared" si="804"/>
        <v>0</v>
      </c>
      <c r="CF479" s="689">
        <f t="shared" si="804"/>
        <v>0</v>
      </c>
      <c r="CG479" s="689">
        <f t="shared" si="804"/>
        <v>0</v>
      </c>
      <c r="CH479" s="689">
        <f t="shared" si="804"/>
        <v>0</v>
      </c>
      <c r="CI479" s="689">
        <f t="shared" si="804"/>
        <v>0</v>
      </c>
      <c r="CJ479" s="240">
        <f t="shared" si="804"/>
        <v>0</v>
      </c>
    </row>
    <row r="481" spans="5:88">
      <c r="E481" s="88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  <c r="CB481" s="52"/>
      <c r="CC481" s="52"/>
      <c r="CD481" s="52"/>
      <c r="CE481" s="399"/>
      <c r="CF481" s="399"/>
      <c r="CG481" s="399"/>
      <c r="CH481" s="399"/>
      <c r="CI481" s="399"/>
      <c r="CJ481" s="180"/>
    </row>
    <row r="482" spans="5:88"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52"/>
      <c r="BM482" s="52"/>
      <c r="BN482" s="52"/>
      <c r="BO482" s="52"/>
      <c r="BP482" s="399"/>
      <c r="BQ482" s="52"/>
      <c r="BR482" s="52"/>
      <c r="BS482" s="52"/>
      <c r="BT482" s="52"/>
      <c r="BU482" s="52"/>
      <c r="BV482" s="52"/>
      <c r="BW482" s="52"/>
      <c r="BX482" s="52"/>
      <c r="BY482" s="52"/>
      <c r="BZ482" s="52"/>
      <c r="CA482" s="52"/>
      <c r="CB482" s="52"/>
      <c r="CC482" s="52"/>
      <c r="CD482" s="52"/>
      <c r="CE482" s="399"/>
      <c r="CF482" s="399"/>
      <c r="CG482" s="399"/>
      <c r="CH482" s="399"/>
      <c r="CI482" s="399"/>
      <c r="CJ482" s="180"/>
    </row>
    <row r="483" spans="5:88" ht="12.95" customHeight="1"/>
  </sheetData>
  <mergeCells count="57">
    <mergeCell ref="CE6:CJ7"/>
    <mergeCell ref="CE8:CJ9"/>
    <mergeCell ref="AB9:AB10"/>
    <mergeCell ref="BF8:BF9"/>
    <mergeCell ref="BC8:BD9"/>
    <mergeCell ref="AP7:AR9"/>
    <mergeCell ref="BW8:BX9"/>
    <mergeCell ref="BG8:BH9"/>
    <mergeCell ref="AS7:AS10"/>
    <mergeCell ref="AU7:AX9"/>
    <mergeCell ref="AY7:AY10"/>
    <mergeCell ref="AZ7:BK7"/>
    <mergeCell ref="AZ8:BA9"/>
    <mergeCell ref="BE8:BE9"/>
    <mergeCell ref="BB8:BB9"/>
    <mergeCell ref="BY6:CD7"/>
    <mergeCell ref="BY8:CD9"/>
    <mergeCell ref="BL6:BX7"/>
    <mergeCell ref="BV8:BV10"/>
    <mergeCell ref="BM9:BM10"/>
    <mergeCell ref="BP9:BP10"/>
    <mergeCell ref="BM8:BU8"/>
    <mergeCell ref="BN9:BO9"/>
    <mergeCell ref="BQ9:BR9"/>
    <mergeCell ref="BS9:BS10"/>
    <mergeCell ref="BT9:BT10"/>
    <mergeCell ref="BU9:BU10"/>
    <mergeCell ref="BL8:BL10"/>
    <mergeCell ref="AT7:AT10"/>
    <mergeCell ref="I6:U7"/>
    <mergeCell ref="V6:BK6"/>
    <mergeCell ref="J8:R8"/>
    <mergeCell ref="I8:I10"/>
    <mergeCell ref="S8:S10"/>
    <mergeCell ref="T8:U9"/>
    <mergeCell ref="J9:J10"/>
    <mergeCell ref="M9:M10"/>
    <mergeCell ref="AO9:AO10"/>
    <mergeCell ref="AH7:AO8"/>
    <mergeCell ref="V7:AG8"/>
    <mergeCell ref="AH9:AI9"/>
    <mergeCell ref="BI8:BK9"/>
    <mergeCell ref="P9:P10"/>
    <mergeCell ref="Q9:Q10"/>
    <mergeCell ref="K9:L9"/>
    <mergeCell ref="N9:O9"/>
    <mergeCell ref="V9:W9"/>
    <mergeCell ref="R9:R10"/>
    <mergeCell ref="X9:X10"/>
    <mergeCell ref="Y9:Y10"/>
    <mergeCell ref="AJ9:AJ10"/>
    <mergeCell ref="AM9:AN9"/>
    <mergeCell ref="Z9:AA9"/>
    <mergeCell ref="AC9:AD9"/>
    <mergeCell ref="AE9:AF9"/>
    <mergeCell ref="AG9:AG10"/>
    <mergeCell ref="AK9:AL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CJ144"/>
  <sheetViews>
    <sheetView zoomScaleNormal="100" workbookViewId="0">
      <pane xSplit="8" ySplit="11" topLeftCell="BD118" activePane="bottomRight" state="frozen"/>
      <selection activeCell="CS9" sqref="CS9"/>
      <selection pane="topRight" activeCell="CS9" sqref="CS9"/>
      <selection pane="bottomLeft" activeCell="CS9" sqref="CS9"/>
      <selection pane="bottomRight" activeCell="BL6" sqref="BL6:BX7"/>
    </sheetView>
  </sheetViews>
  <sheetFormatPr defaultColWidth="9.140625" defaultRowHeight="15"/>
  <cols>
    <col min="1" max="1" width="5" style="90" customWidth="1"/>
    <col min="2" max="2" width="4.7109375" style="89" bestFit="1" customWidth="1"/>
    <col min="3" max="3" width="8.7109375" style="89" customWidth="1"/>
    <col min="4" max="4" width="7.85546875" style="89" customWidth="1"/>
    <col min="5" max="5" width="30.85546875" style="90" customWidth="1"/>
    <col min="6" max="6" width="4.42578125" style="90" customWidth="1"/>
    <col min="7" max="7" width="10.28515625" style="90" customWidth="1"/>
    <col min="8" max="8" width="8" style="90" customWidth="1"/>
    <col min="9" max="18" width="10.85546875" style="236" customWidth="1"/>
    <col min="19" max="21" width="9.28515625" style="237" customWidth="1"/>
    <col min="22" max="25" width="10.85546875" style="54" customWidth="1"/>
    <col min="26" max="26" width="10.5703125" style="54" customWidth="1"/>
    <col min="27" max="27" width="10.85546875" style="54" customWidth="1"/>
    <col min="28" max="28" width="12.140625" style="54" customWidth="1"/>
    <col min="29" max="51" width="10.85546875" style="54" customWidth="1"/>
    <col min="52" max="57" width="9.28515625" style="55" customWidth="1"/>
    <col min="58" max="58" width="10.5703125" style="55" customWidth="1"/>
    <col min="59" max="63" width="9.28515625" style="55" customWidth="1"/>
    <col min="64" max="73" width="10.85546875" style="54" customWidth="1"/>
    <col min="74" max="76" width="9.28515625" style="55" customWidth="1"/>
    <col min="77" max="81" width="9.7109375" style="54" customWidth="1"/>
    <col min="82" max="82" width="9.7109375" style="55" customWidth="1"/>
    <col min="83" max="87" width="9.140625" style="54" customWidth="1"/>
    <col min="88" max="88" width="9.140625" style="55" customWidth="1"/>
    <col min="89" max="90" width="9.140625" style="89" customWidth="1"/>
    <col min="91" max="16384" width="9.140625" style="89"/>
  </cols>
  <sheetData>
    <row r="1" spans="1:88" s="56" customFormat="1" ht="12.75">
      <c r="A1" s="50" t="s">
        <v>2</v>
      </c>
      <c r="B1" s="50"/>
      <c r="C1" s="42"/>
      <c r="D1" s="50"/>
      <c r="E1" s="50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180"/>
      <c r="W1" s="180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3"/>
      <c r="CH1" s="53"/>
      <c r="CI1" s="53"/>
      <c r="CJ1" s="87"/>
    </row>
    <row r="2" spans="1:88" ht="12.75" customHeight="1">
      <c r="A2" s="50" t="s">
        <v>3</v>
      </c>
      <c r="B2" s="50"/>
      <c r="C2" s="42"/>
      <c r="D2" s="50"/>
      <c r="E2" s="50"/>
    </row>
    <row r="3" spans="1:88" ht="12.75" customHeight="1">
      <c r="A3" s="44" t="s">
        <v>4</v>
      </c>
      <c r="B3" s="44"/>
      <c r="C3" s="44"/>
      <c r="D3" s="44"/>
      <c r="E3" s="44"/>
      <c r="AW3" s="506"/>
    </row>
    <row r="4" spans="1:88">
      <c r="A4" s="89"/>
      <c r="B4" s="50"/>
      <c r="C4" s="50"/>
      <c r="D4" s="50"/>
      <c r="E4" s="50"/>
      <c r="AX4" s="505"/>
    </row>
    <row r="5" spans="1:88" ht="16.5" thickBot="1">
      <c r="A5" s="181" t="s">
        <v>890</v>
      </c>
      <c r="B5" s="51"/>
      <c r="C5" s="51"/>
      <c r="D5" s="51"/>
      <c r="E5" s="52"/>
      <c r="F5" s="252"/>
      <c r="G5" s="252"/>
      <c r="H5" s="52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86"/>
      <c r="T5" s="586"/>
      <c r="U5" s="586"/>
      <c r="V5" s="399"/>
      <c r="W5" s="399"/>
      <c r="X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X5" s="505"/>
    </row>
    <row r="6" spans="1:88" ht="12" customHeight="1">
      <c r="A6" s="527" t="s">
        <v>800</v>
      </c>
      <c r="B6" s="528"/>
      <c r="C6" s="529"/>
      <c r="D6" s="529"/>
      <c r="E6" s="528"/>
      <c r="F6" s="528"/>
      <c r="G6" s="52"/>
      <c r="I6" s="1116" t="s">
        <v>877</v>
      </c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8"/>
      <c r="V6" s="1122" t="s">
        <v>888</v>
      </c>
      <c r="W6" s="1122"/>
      <c r="X6" s="1122"/>
      <c r="Y6" s="1122"/>
      <c r="Z6" s="1122"/>
      <c r="AA6" s="1122"/>
      <c r="AB6" s="1122"/>
      <c r="AC6" s="1122"/>
      <c r="AD6" s="1122"/>
      <c r="AE6" s="1122"/>
      <c r="AF6" s="1122"/>
      <c r="AG6" s="1122"/>
      <c r="AH6" s="1122"/>
      <c r="AI6" s="1122"/>
      <c r="AJ6" s="1122"/>
      <c r="AK6" s="1122"/>
      <c r="AL6" s="1122"/>
      <c r="AM6" s="1122"/>
      <c r="AN6" s="1122"/>
      <c r="AO6" s="1122"/>
      <c r="AP6" s="1122"/>
      <c r="AQ6" s="1122"/>
      <c r="AR6" s="1122"/>
      <c r="AS6" s="1122"/>
      <c r="AT6" s="1122"/>
      <c r="AU6" s="1122"/>
      <c r="AV6" s="1122"/>
      <c r="AW6" s="1122"/>
      <c r="AX6" s="1122"/>
      <c r="AY6" s="1122"/>
      <c r="AZ6" s="1122"/>
      <c r="BA6" s="1122"/>
      <c r="BB6" s="1122"/>
      <c r="BC6" s="1122"/>
      <c r="BD6" s="1122"/>
      <c r="BE6" s="1122"/>
      <c r="BF6" s="1122"/>
      <c r="BG6" s="1122"/>
      <c r="BH6" s="1122"/>
      <c r="BI6" s="1122"/>
      <c r="BJ6" s="1122"/>
      <c r="BK6" s="1123"/>
      <c r="BL6" s="1116" t="s">
        <v>889</v>
      </c>
      <c r="BM6" s="1117"/>
      <c r="BN6" s="1117"/>
      <c r="BO6" s="1117"/>
      <c r="BP6" s="1117"/>
      <c r="BQ6" s="1117"/>
      <c r="BR6" s="1117"/>
      <c r="BS6" s="1117"/>
      <c r="BT6" s="1117"/>
      <c r="BU6" s="1117"/>
      <c r="BV6" s="1117"/>
      <c r="BW6" s="1117"/>
      <c r="BX6" s="1118"/>
      <c r="BY6" s="1209" t="s">
        <v>847</v>
      </c>
      <c r="BZ6" s="1210"/>
      <c r="CA6" s="1210"/>
      <c r="CB6" s="1210"/>
      <c r="CC6" s="1210"/>
      <c r="CD6" s="1211"/>
      <c r="CE6" s="1168" t="s">
        <v>847</v>
      </c>
      <c r="CF6" s="1169"/>
      <c r="CG6" s="1169"/>
      <c r="CH6" s="1169"/>
      <c r="CI6" s="1170"/>
      <c r="CJ6" s="1171"/>
    </row>
    <row r="7" spans="1:88" ht="16.5" customHeight="1" thickBot="1">
      <c r="A7" s="89"/>
      <c r="B7" s="6"/>
      <c r="C7"/>
      <c r="D7" s="10"/>
      <c r="E7" s="6"/>
      <c r="I7" s="1119"/>
      <c r="J7" s="1120"/>
      <c r="K7" s="1120"/>
      <c r="L7" s="1120"/>
      <c r="M7" s="1120"/>
      <c r="N7" s="1120"/>
      <c r="O7" s="1120"/>
      <c r="P7" s="1120"/>
      <c r="Q7" s="1120"/>
      <c r="R7" s="1120"/>
      <c r="S7" s="1120"/>
      <c r="T7" s="1120"/>
      <c r="U7" s="1121"/>
      <c r="V7" s="1140" t="s">
        <v>807</v>
      </c>
      <c r="W7" s="1140"/>
      <c r="X7" s="1140"/>
      <c r="Y7" s="1140"/>
      <c r="Z7" s="1140"/>
      <c r="AA7" s="1140"/>
      <c r="AB7" s="1140"/>
      <c r="AC7" s="1140"/>
      <c r="AD7" s="1140"/>
      <c r="AE7" s="1140"/>
      <c r="AF7" s="1140"/>
      <c r="AG7" s="1141"/>
      <c r="AH7" s="1139" t="s">
        <v>808</v>
      </c>
      <c r="AI7" s="1140"/>
      <c r="AJ7" s="1140"/>
      <c r="AK7" s="1140"/>
      <c r="AL7" s="1140"/>
      <c r="AM7" s="1140"/>
      <c r="AN7" s="1140"/>
      <c r="AO7" s="1141"/>
      <c r="AP7" s="1190" t="s">
        <v>822</v>
      </c>
      <c r="AQ7" s="1190"/>
      <c r="AR7" s="1190"/>
      <c r="AS7" s="1113" t="s">
        <v>5</v>
      </c>
      <c r="AT7" s="1113" t="s">
        <v>275</v>
      </c>
      <c r="AU7" s="1197" t="s">
        <v>796</v>
      </c>
      <c r="AV7" s="1197"/>
      <c r="AW7" s="1197"/>
      <c r="AX7" s="1198"/>
      <c r="AY7" s="1203" t="s">
        <v>288</v>
      </c>
      <c r="AZ7" s="1206" t="s">
        <v>809</v>
      </c>
      <c r="BA7" s="1207"/>
      <c r="BB7" s="1207"/>
      <c r="BC7" s="1207"/>
      <c r="BD7" s="1207"/>
      <c r="BE7" s="1207"/>
      <c r="BF7" s="1207"/>
      <c r="BG7" s="1207"/>
      <c r="BH7" s="1207"/>
      <c r="BI7" s="1207"/>
      <c r="BJ7" s="1207"/>
      <c r="BK7" s="1208"/>
      <c r="BL7" s="1119"/>
      <c r="BM7" s="1120"/>
      <c r="BN7" s="1120"/>
      <c r="BO7" s="1120"/>
      <c r="BP7" s="1120"/>
      <c r="BQ7" s="1120"/>
      <c r="BR7" s="1120"/>
      <c r="BS7" s="1120"/>
      <c r="BT7" s="1120"/>
      <c r="BU7" s="1120"/>
      <c r="BV7" s="1120"/>
      <c r="BW7" s="1120"/>
      <c r="BX7" s="1121"/>
      <c r="BY7" s="1212"/>
      <c r="BZ7" s="1213"/>
      <c r="CA7" s="1213"/>
      <c r="CB7" s="1213"/>
      <c r="CC7" s="1213"/>
      <c r="CD7" s="1214"/>
      <c r="CE7" s="1172"/>
      <c r="CF7" s="1173"/>
      <c r="CG7" s="1173"/>
      <c r="CH7" s="1173"/>
      <c r="CI7" s="1174"/>
      <c r="CJ7" s="1175"/>
    </row>
    <row r="8" spans="1:88" s="91" customFormat="1" ht="15" customHeight="1">
      <c r="A8" s="117"/>
      <c r="I8" s="1127" t="s">
        <v>6</v>
      </c>
      <c r="J8" s="1124" t="s">
        <v>777</v>
      </c>
      <c r="K8" s="1125"/>
      <c r="L8" s="1125"/>
      <c r="M8" s="1125"/>
      <c r="N8" s="1125"/>
      <c r="O8" s="1125"/>
      <c r="P8" s="1125"/>
      <c r="Q8" s="1125"/>
      <c r="R8" s="1126"/>
      <c r="S8" s="1130" t="s">
        <v>813</v>
      </c>
      <c r="T8" s="1133" t="s">
        <v>814</v>
      </c>
      <c r="U8" s="1134"/>
      <c r="V8" s="1143"/>
      <c r="W8" s="1143"/>
      <c r="X8" s="1143"/>
      <c r="Y8" s="1143"/>
      <c r="Z8" s="1143"/>
      <c r="AA8" s="1143"/>
      <c r="AB8" s="1143"/>
      <c r="AC8" s="1143"/>
      <c r="AD8" s="1143"/>
      <c r="AE8" s="1143"/>
      <c r="AF8" s="1143"/>
      <c r="AG8" s="1144"/>
      <c r="AH8" s="1142"/>
      <c r="AI8" s="1143"/>
      <c r="AJ8" s="1143"/>
      <c r="AK8" s="1143"/>
      <c r="AL8" s="1143"/>
      <c r="AM8" s="1143"/>
      <c r="AN8" s="1143"/>
      <c r="AO8" s="1144"/>
      <c r="AP8" s="1190"/>
      <c r="AQ8" s="1190"/>
      <c r="AR8" s="1190"/>
      <c r="AS8" s="1114"/>
      <c r="AT8" s="1114"/>
      <c r="AU8" s="1199"/>
      <c r="AV8" s="1199"/>
      <c r="AW8" s="1199"/>
      <c r="AX8" s="1200"/>
      <c r="AY8" s="1204"/>
      <c r="AZ8" s="1145" t="s">
        <v>276</v>
      </c>
      <c r="BA8" s="1195"/>
      <c r="BB8" s="1184" t="s">
        <v>277</v>
      </c>
      <c r="BC8" s="1186" t="s">
        <v>860</v>
      </c>
      <c r="BD8" s="1187"/>
      <c r="BE8" s="1184" t="s">
        <v>787</v>
      </c>
      <c r="BF8" s="1184"/>
      <c r="BG8" s="1145" t="s">
        <v>278</v>
      </c>
      <c r="BH8" s="1195"/>
      <c r="BI8" s="1145" t="s">
        <v>823</v>
      </c>
      <c r="BJ8" s="1146"/>
      <c r="BK8" s="1147"/>
      <c r="BL8" s="1165" t="s">
        <v>6</v>
      </c>
      <c r="BM8" s="1161" t="s">
        <v>777</v>
      </c>
      <c r="BN8" s="1161"/>
      <c r="BO8" s="1161"/>
      <c r="BP8" s="1161"/>
      <c r="BQ8" s="1161"/>
      <c r="BR8" s="1161"/>
      <c r="BS8" s="1161"/>
      <c r="BT8" s="1161"/>
      <c r="BU8" s="1161"/>
      <c r="BV8" s="1130" t="s">
        <v>813</v>
      </c>
      <c r="BW8" s="1191" t="s">
        <v>778</v>
      </c>
      <c r="BX8" s="1192"/>
      <c r="BY8" s="1151" t="s">
        <v>846</v>
      </c>
      <c r="BZ8" s="1152"/>
      <c r="CA8" s="1152"/>
      <c r="CB8" s="1152"/>
      <c r="CC8" s="1152"/>
      <c r="CD8" s="1153"/>
      <c r="CE8" s="1176" t="s">
        <v>861</v>
      </c>
      <c r="CF8" s="1177"/>
      <c r="CG8" s="1177"/>
      <c r="CH8" s="1177"/>
      <c r="CI8" s="1177"/>
      <c r="CJ8" s="1178"/>
    </row>
    <row r="9" spans="1:88" s="92" customFormat="1" ht="19.5" customHeight="1" thickBot="1">
      <c r="A9" s="116" t="s">
        <v>748</v>
      </c>
      <c r="B9"/>
      <c r="C9"/>
      <c r="D9" s="12"/>
      <c r="E9"/>
      <c r="F9" s="59"/>
      <c r="G9" s="60"/>
      <c r="H9" s="60"/>
      <c r="I9" s="1128"/>
      <c r="J9" s="1137" t="s">
        <v>268</v>
      </c>
      <c r="K9" s="1108" t="s">
        <v>827</v>
      </c>
      <c r="L9" s="1109"/>
      <c r="M9" s="1111" t="s">
        <v>274</v>
      </c>
      <c r="N9" s="1108" t="s">
        <v>834</v>
      </c>
      <c r="O9" s="1109"/>
      <c r="P9" s="1111" t="s">
        <v>5</v>
      </c>
      <c r="Q9" s="1111" t="s">
        <v>1</v>
      </c>
      <c r="R9" s="1111" t="s">
        <v>7</v>
      </c>
      <c r="S9" s="1131"/>
      <c r="T9" s="1135"/>
      <c r="U9" s="1136"/>
      <c r="V9" s="1110" t="s">
        <v>279</v>
      </c>
      <c r="W9" s="1104"/>
      <c r="X9" s="1100" t="s">
        <v>812</v>
      </c>
      <c r="Y9" s="1100" t="s">
        <v>811</v>
      </c>
      <c r="Z9" s="1105" t="s">
        <v>860</v>
      </c>
      <c r="AA9" s="1105"/>
      <c r="AB9" s="1182"/>
      <c r="AC9" s="1105" t="s">
        <v>278</v>
      </c>
      <c r="AD9" s="1105"/>
      <c r="AE9" s="1103" t="s">
        <v>788</v>
      </c>
      <c r="AF9" s="1104"/>
      <c r="AG9" s="1106" t="s">
        <v>788</v>
      </c>
      <c r="AH9" s="1103" t="s">
        <v>280</v>
      </c>
      <c r="AI9" s="1104"/>
      <c r="AJ9" s="1101" t="s">
        <v>810</v>
      </c>
      <c r="AK9" s="1103" t="s">
        <v>281</v>
      </c>
      <c r="AL9" s="1104"/>
      <c r="AM9" s="1103" t="s">
        <v>745</v>
      </c>
      <c r="AN9" s="1104"/>
      <c r="AO9" s="1106" t="s">
        <v>745</v>
      </c>
      <c r="AP9" s="1190"/>
      <c r="AQ9" s="1190"/>
      <c r="AR9" s="1190"/>
      <c r="AS9" s="1114"/>
      <c r="AT9" s="1114"/>
      <c r="AU9" s="1201"/>
      <c r="AV9" s="1201"/>
      <c r="AW9" s="1201"/>
      <c r="AX9" s="1202"/>
      <c r="AY9" s="1204"/>
      <c r="AZ9" s="1148"/>
      <c r="BA9" s="1196"/>
      <c r="BB9" s="1185"/>
      <c r="BC9" s="1188"/>
      <c r="BD9" s="1189"/>
      <c r="BE9" s="1185"/>
      <c r="BF9" s="1185"/>
      <c r="BG9" s="1148"/>
      <c r="BH9" s="1196"/>
      <c r="BI9" s="1148"/>
      <c r="BJ9" s="1149"/>
      <c r="BK9" s="1150"/>
      <c r="BL9" s="1166"/>
      <c r="BM9" s="1157" t="s">
        <v>268</v>
      </c>
      <c r="BN9" s="1108" t="s">
        <v>827</v>
      </c>
      <c r="BO9" s="1109"/>
      <c r="BP9" s="1159" t="s">
        <v>274</v>
      </c>
      <c r="BQ9" s="1162" t="s">
        <v>834</v>
      </c>
      <c r="BR9" s="1162"/>
      <c r="BS9" s="1163" t="s">
        <v>5</v>
      </c>
      <c r="BT9" s="1163" t="s">
        <v>1</v>
      </c>
      <c r="BU9" s="1163" t="s">
        <v>7</v>
      </c>
      <c r="BV9" s="1131"/>
      <c r="BW9" s="1193"/>
      <c r="BX9" s="1194"/>
      <c r="BY9" s="1154"/>
      <c r="BZ9" s="1155"/>
      <c r="CA9" s="1155"/>
      <c r="CB9" s="1155"/>
      <c r="CC9" s="1155"/>
      <c r="CD9" s="1156"/>
      <c r="CE9" s="1179"/>
      <c r="CF9" s="1180"/>
      <c r="CG9" s="1180"/>
      <c r="CH9" s="1180"/>
      <c r="CI9" s="1180"/>
      <c r="CJ9" s="1181"/>
    </row>
    <row r="10" spans="1:88" s="92" customFormat="1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129"/>
      <c r="J10" s="1138"/>
      <c r="K10" s="587" t="s">
        <v>805</v>
      </c>
      <c r="L10" s="587" t="s">
        <v>806</v>
      </c>
      <c r="M10" s="1112"/>
      <c r="N10" s="587" t="s">
        <v>805</v>
      </c>
      <c r="O10" s="587" t="s">
        <v>806</v>
      </c>
      <c r="P10" s="1112"/>
      <c r="Q10" s="1112"/>
      <c r="R10" s="1112"/>
      <c r="S10" s="1132"/>
      <c r="T10" s="588" t="s">
        <v>805</v>
      </c>
      <c r="U10" s="604" t="s">
        <v>806</v>
      </c>
      <c r="V10" s="562" t="s">
        <v>805</v>
      </c>
      <c r="W10" s="556" t="s">
        <v>806</v>
      </c>
      <c r="X10" s="1100"/>
      <c r="Y10" s="1100"/>
      <c r="Z10" s="556" t="s">
        <v>805</v>
      </c>
      <c r="AA10" s="561" t="s">
        <v>806</v>
      </c>
      <c r="AB10" s="1183"/>
      <c r="AC10" s="556" t="s">
        <v>805</v>
      </c>
      <c r="AD10" s="561" t="s">
        <v>806</v>
      </c>
      <c r="AE10" s="556" t="s">
        <v>805</v>
      </c>
      <c r="AF10" s="561" t="s">
        <v>806</v>
      </c>
      <c r="AG10" s="1107"/>
      <c r="AH10" s="557" t="s">
        <v>805</v>
      </c>
      <c r="AI10" s="557" t="s">
        <v>806</v>
      </c>
      <c r="AJ10" s="1102"/>
      <c r="AK10" s="556" t="s">
        <v>805</v>
      </c>
      <c r="AL10" s="556" t="s">
        <v>806</v>
      </c>
      <c r="AM10" s="556" t="s">
        <v>805</v>
      </c>
      <c r="AN10" s="556" t="s">
        <v>806</v>
      </c>
      <c r="AO10" s="1107"/>
      <c r="AP10" s="556" t="s">
        <v>805</v>
      </c>
      <c r="AQ10" s="556" t="s">
        <v>806</v>
      </c>
      <c r="AR10" s="556" t="s">
        <v>256</v>
      </c>
      <c r="AS10" s="1115"/>
      <c r="AT10" s="1115"/>
      <c r="AU10" s="403" t="s">
        <v>277</v>
      </c>
      <c r="AV10" s="403" t="s">
        <v>278</v>
      </c>
      <c r="AW10" s="403"/>
      <c r="AX10" s="403" t="s">
        <v>746</v>
      </c>
      <c r="AY10" s="1205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67"/>
      <c r="BM10" s="1158"/>
      <c r="BN10" s="557" t="s">
        <v>805</v>
      </c>
      <c r="BO10" s="557" t="s">
        <v>806</v>
      </c>
      <c r="BP10" s="1160"/>
      <c r="BQ10" s="557" t="s">
        <v>805</v>
      </c>
      <c r="BR10" s="557" t="s">
        <v>806</v>
      </c>
      <c r="BS10" s="1164"/>
      <c r="BT10" s="1164"/>
      <c r="BU10" s="1164"/>
      <c r="BV10" s="1132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0" t="s">
        <v>841</v>
      </c>
      <c r="CF10" s="871" t="s">
        <v>268</v>
      </c>
      <c r="CG10" s="871" t="s">
        <v>840</v>
      </c>
      <c r="CH10" s="871" t="s">
        <v>1</v>
      </c>
      <c r="CI10" s="876" t="s">
        <v>796</v>
      </c>
      <c r="CJ10" s="872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732" t="s">
        <v>262</v>
      </c>
      <c r="J11" s="733" t="s">
        <v>263</v>
      </c>
      <c r="K11" s="733" t="s">
        <v>801</v>
      </c>
      <c r="L11" s="733" t="s">
        <v>802</v>
      </c>
      <c r="M11" s="733" t="s">
        <v>269</v>
      </c>
      <c r="N11" s="733" t="s">
        <v>803</v>
      </c>
      <c r="O11" s="733" t="s">
        <v>804</v>
      </c>
      <c r="P11" s="733" t="s">
        <v>264</v>
      </c>
      <c r="Q11" s="733" t="s">
        <v>265</v>
      </c>
      <c r="R11" s="733" t="s">
        <v>266</v>
      </c>
      <c r="S11" s="734" t="s">
        <v>267</v>
      </c>
      <c r="T11" s="735" t="s">
        <v>532</v>
      </c>
      <c r="U11" s="736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79" t="s">
        <v>287</v>
      </c>
      <c r="BL11" s="140" t="s">
        <v>262</v>
      </c>
      <c r="BM11" s="141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81" t="s">
        <v>857</v>
      </c>
      <c r="CF11" s="882" t="s">
        <v>802</v>
      </c>
      <c r="CG11" s="882" t="s">
        <v>858</v>
      </c>
      <c r="CH11" s="882" t="s">
        <v>859</v>
      </c>
      <c r="CI11" s="882" t="s">
        <v>796</v>
      </c>
      <c r="CJ11" s="883" t="s">
        <v>533</v>
      </c>
    </row>
    <row r="12" spans="1:88" s="96" customFormat="1" ht="14.1" customHeight="1">
      <c r="A12" s="128">
        <v>1</v>
      </c>
      <c r="B12" s="129">
        <v>2323</v>
      </c>
      <c r="C12" s="130">
        <v>667000241</v>
      </c>
      <c r="D12" s="129">
        <v>71223461</v>
      </c>
      <c r="E12" s="129" t="s">
        <v>704</v>
      </c>
      <c r="F12" s="131">
        <v>3141</v>
      </c>
      <c r="G12" s="129" t="s">
        <v>294</v>
      </c>
      <c r="H12" s="132" t="s">
        <v>272</v>
      </c>
      <c r="I12" s="589">
        <v>5108847</v>
      </c>
      <c r="J12" s="590">
        <v>3733264</v>
      </c>
      <c r="K12" s="590">
        <v>0</v>
      </c>
      <c r="L12" s="741">
        <v>3733264</v>
      </c>
      <c r="M12" s="590">
        <v>30000</v>
      </c>
      <c r="N12" s="590">
        <v>0</v>
      </c>
      <c r="O12" s="590">
        <v>30000</v>
      </c>
      <c r="P12" s="590">
        <v>1271984</v>
      </c>
      <c r="Q12" s="590">
        <v>37333</v>
      </c>
      <c r="R12" s="590">
        <v>36266</v>
      </c>
      <c r="S12" s="408">
        <v>11.25</v>
      </c>
      <c r="T12" s="408">
        <v>0</v>
      </c>
      <c r="U12" s="747">
        <v>11.25</v>
      </c>
      <c r="V12" s="411">
        <f>AH12*-1</f>
        <v>0</v>
      </c>
      <c r="W12" s="409">
        <f>AI12*-1</f>
        <v>20000</v>
      </c>
      <c r="X12" s="409">
        <v>0</v>
      </c>
      <c r="Y12" s="409">
        <v>0</v>
      </c>
      <c r="Z12" s="409">
        <v>0</v>
      </c>
      <c r="AA12" s="409">
        <v>-137496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-117496</v>
      </c>
      <c r="AG12" s="409">
        <f>SUM(AE12:AF12)</f>
        <v>-117496</v>
      </c>
      <c r="AH12" s="409">
        <v>0</v>
      </c>
      <c r="AI12" s="409">
        <v>-20000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-20000</v>
      </c>
      <c r="AO12" s="409">
        <f>SUM(AM12:AN12)</f>
        <v>-20000</v>
      </c>
      <c r="AP12" s="409">
        <f>AE12+AM12</f>
        <v>0</v>
      </c>
      <c r="AQ12" s="409">
        <f>AF12+AN12</f>
        <v>-137496</v>
      </c>
      <c r="AR12" s="409">
        <f>SUM(AP12:AQ12)</f>
        <v>-137496</v>
      </c>
      <c r="AS12" s="144">
        <f>ROUND((AG12+AH12+AI12+AJ12)*33.8%,0)</f>
        <v>-46474</v>
      </c>
      <c r="AT12" s="144">
        <f>ROUND(AG12*1%,0)</f>
        <v>-1175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-185145</v>
      </c>
      <c r="AZ12" s="410">
        <v>0</v>
      </c>
      <c r="BA12" s="410">
        <v>0</v>
      </c>
      <c r="BB12" s="410">
        <v>0</v>
      </c>
      <c r="BC12" s="410">
        <v>0</v>
      </c>
      <c r="BD12" s="410">
        <v>-0.41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-0.41</v>
      </c>
      <c r="BK12" s="412">
        <f>SUM(BI12:BJ12)</f>
        <v>-0.41</v>
      </c>
      <c r="BL12" s="771">
        <f>I12+AY12</f>
        <v>4923702</v>
      </c>
      <c r="BM12" s="409">
        <f>J12+AG12</f>
        <v>3615768</v>
      </c>
      <c r="BN12" s="409">
        <f>K12+AE12</f>
        <v>0</v>
      </c>
      <c r="BO12" s="409">
        <f>L12+AF12</f>
        <v>3615768</v>
      </c>
      <c r="BP12" s="409">
        <f>M12+AO12</f>
        <v>10000</v>
      </c>
      <c r="BQ12" s="409">
        <f>N12+AM12</f>
        <v>0</v>
      </c>
      <c r="BR12" s="409">
        <f>O12+AN12</f>
        <v>10000</v>
      </c>
      <c r="BS12" s="409">
        <f>P12+AS12</f>
        <v>1225510</v>
      </c>
      <c r="BT12" s="409">
        <f>Q12+AT12</f>
        <v>36158</v>
      </c>
      <c r="BU12" s="409">
        <f>R12+AX12</f>
        <v>36266</v>
      </c>
      <c r="BV12" s="410">
        <f>S12+BK12</f>
        <v>10.84</v>
      </c>
      <c r="BW12" s="410">
        <f>T12+BI12</f>
        <v>0</v>
      </c>
      <c r="BX12" s="412">
        <f>U12+BJ12</f>
        <v>10.84</v>
      </c>
      <c r="BY12" s="405"/>
      <c r="BZ12" s="406"/>
      <c r="CA12" s="406"/>
      <c r="CB12" s="406"/>
      <c r="CC12" s="406"/>
      <c r="CD12" s="421"/>
      <c r="CE12" s="405">
        <v>0</v>
      </c>
      <c r="CF12" s="406">
        <v>0</v>
      </c>
      <c r="CG12" s="406">
        <v>0</v>
      </c>
      <c r="CH12" s="406">
        <v>0</v>
      </c>
      <c r="CI12" s="406">
        <v>0</v>
      </c>
      <c r="CJ12" s="494">
        <v>0</v>
      </c>
    </row>
    <row r="13" spans="1:88" s="96" customFormat="1" ht="14.1" customHeight="1">
      <c r="A13" s="119">
        <v>1</v>
      </c>
      <c r="B13" s="97">
        <v>2323</v>
      </c>
      <c r="C13" s="98">
        <v>667000241</v>
      </c>
      <c r="D13" s="97">
        <v>71223461</v>
      </c>
      <c r="E13" s="97" t="s">
        <v>705</v>
      </c>
      <c r="F13" s="99"/>
      <c r="G13" s="100"/>
      <c r="H13" s="101"/>
      <c r="I13" s="437">
        <v>5108847</v>
      </c>
      <c r="J13" s="433">
        <v>3733264</v>
      </c>
      <c r="K13" s="433">
        <v>0</v>
      </c>
      <c r="L13" s="433">
        <v>3733264</v>
      </c>
      <c r="M13" s="433">
        <v>30000</v>
      </c>
      <c r="N13" s="433">
        <v>0</v>
      </c>
      <c r="O13" s="433">
        <v>30000</v>
      </c>
      <c r="P13" s="433">
        <v>1271984</v>
      </c>
      <c r="Q13" s="433">
        <v>37333</v>
      </c>
      <c r="R13" s="433">
        <v>36266</v>
      </c>
      <c r="S13" s="434">
        <v>11.25</v>
      </c>
      <c r="T13" s="434">
        <v>0</v>
      </c>
      <c r="U13" s="695">
        <v>11.25</v>
      </c>
      <c r="V13" s="437">
        <f t="shared" ref="V13:CG13" si="0">SUM(V12)</f>
        <v>0</v>
      </c>
      <c r="W13" s="433">
        <f t="shared" si="0"/>
        <v>20000</v>
      </c>
      <c r="X13" s="433">
        <f t="shared" si="0"/>
        <v>0</v>
      </c>
      <c r="Y13" s="433">
        <f t="shared" si="0"/>
        <v>0</v>
      </c>
      <c r="Z13" s="433">
        <f t="shared" si="0"/>
        <v>0</v>
      </c>
      <c r="AA13" s="433">
        <f t="shared" si="0"/>
        <v>-137496</v>
      </c>
      <c r="AB13" s="433">
        <f t="shared" si="0"/>
        <v>0</v>
      </c>
      <c r="AC13" s="433">
        <f t="shared" si="0"/>
        <v>0</v>
      </c>
      <c r="AD13" s="433">
        <f t="shared" si="0"/>
        <v>0</v>
      </c>
      <c r="AE13" s="433">
        <f t="shared" si="0"/>
        <v>0</v>
      </c>
      <c r="AF13" s="433">
        <f t="shared" si="0"/>
        <v>-117496</v>
      </c>
      <c r="AG13" s="433">
        <f t="shared" si="0"/>
        <v>-117496</v>
      </c>
      <c r="AH13" s="433">
        <f t="shared" si="0"/>
        <v>0</v>
      </c>
      <c r="AI13" s="433">
        <f t="shared" si="0"/>
        <v>-20000</v>
      </c>
      <c r="AJ13" s="433">
        <f t="shared" si="0"/>
        <v>0</v>
      </c>
      <c r="AK13" s="433">
        <f t="shared" si="0"/>
        <v>0</v>
      </c>
      <c r="AL13" s="433">
        <f t="shared" si="0"/>
        <v>0</v>
      </c>
      <c r="AM13" s="433">
        <f t="shared" si="0"/>
        <v>0</v>
      </c>
      <c r="AN13" s="433">
        <f t="shared" si="0"/>
        <v>-20000</v>
      </c>
      <c r="AO13" s="433">
        <f t="shared" si="0"/>
        <v>-20000</v>
      </c>
      <c r="AP13" s="433">
        <f t="shared" si="0"/>
        <v>0</v>
      </c>
      <c r="AQ13" s="433">
        <f t="shared" si="0"/>
        <v>-137496</v>
      </c>
      <c r="AR13" s="433">
        <f t="shared" si="0"/>
        <v>-137496</v>
      </c>
      <c r="AS13" s="433">
        <f t="shared" si="0"/>
        <v>-46474</v>
      </c>
      <c r="AT13" s="433">
        <f t="shared" si="0"/>
        <v>-1175</v>
      </c>
      <c r="AU13" s="433">
        <f t="shared" si="0"/>
        <v>0</v>
      </c>
      <c r="AV13" s="433">
        <f t="shared" si="0"/>
        <v>0</v>
      </c>
      <c r="AW13" s="433">
        <f t="shared" si="0"/>
        <v>0</v>
      </c>
      <c r="AX13" s="433">
        <f t="shared" si="0"/>
        <v>0</v>
      </c>
      <c r="AY13" s="433">
        <f t="shared" si="0"/>
        <v>-185145</v>
      </c>
      <c r="AZ13" s="434">
        <f t="shared" si="0"/>
        <v>0</v>
      </c>
      <c r="BA13" s="434">
        <f t="shared" si="0"/>
        <v>0</v>
      </c>
      <c r="BB13" s="434">
        <f t="shared" si="0"/>
        <v>0</v>
      </c>
      <c r="BC13" s="434">
        <f t="shared" si="0"/>
        <v>0</v>
      </c>
      <c r="BD13" s="434">
        <f t="shared" si="0"/>
        <v>-0.41</v>
      </c>
      <c r="BE13" s="434">
        <f t="shared" si="0"/>
        <v>0</v>
      </c>
      <c r="BF13" s="434">
        <f t="shared" si="0"/>
        <v>0</v>
      </c>
      <c r="BG13" s="434">
        <f t="shared" si="0"/>
        <v>0</v>
      </c>
      <c r="BH13" s="434">
        <f t="shared" si="0"/>
        <v>0</v>
      </c>
      <c r="BI13" s="434">
        <f t="shared" si="0"/>
        <v>0</v>
      </c>
      <c r="BJ13" s="434">
        <f t="shared" si="0"/>
        <v>-0.41</v>
      </c>
      <c r="BK13" s="103">
        <f t="shared" si="0"/>
        <v>-0.41</v>
      </c>
      <c r="BL13" s="785">
        <f t="shared" si="0"/>
        <v>4923702</v>
      </c>
      <c r="BM13" s="433">
        <f t="shared" si="0"/>
        <v>3615768</v>
      </c>
      <c r="BN13" s="433">
        <f t="shared" si="0"/>
        <v>0</v>
      </c>
      <c r="BO13" s="433">
        <f t="shared" si="0"/>
        <v>3615768</v>
      </c>
      <c r="BP13" s="433">
        <f t="shared" si="0"/>
        <v>10000</v>
      </c>
      <c r="BQ13" s="433">
        <f t="shared" si="0"/>
        <v>0</v>
      </c>
      <c r="BR13" s="433">
        <f t="shared" si="0"/>
        <v>10000</v>
      </c>
      <c r="BS13" s="433">
        <f t="shared" si="0"/>
        <v>1225510</v>
      </c>
      <c r="BT13" s="433">
        <f t="shared" si="0"/>
        <v>36158</v>
      </c>
      <c r="BU13" s="433">
        <f t="shared" si="0"/>
        <v>36266</v>
      </c>
      <c r="BV13" s="434">
        <f t="shared" si="0"/>
        <v>10.84</v>
      </c>
      <c r="BW13" s="434">
        <f t="shared" si="0"/>
        <v>0</v>
      </c>
      <c r="BX13" s="103">
        <f t="shared" si="0"/>
        <v>10.84</v>
      </c>
      <c r="BY13" s="795">
        <f t="shared" si="0"/>
        <v>0</v>
      </c>
      <c r="BZ13" s="698">
        <f t="shared" si="0"/>
        <v>0</v>
      </c>
      <c r="CA13" s="698">
        <f t="shared" si="0"/>
        <v>0</v>
      </c>
      <c r="CB13" s="698">
        <f t="shared" si="0"/>
        <v>0</v>
      </c>
      <c r="CC13" s="698">
        <f t="shared" si="0"/>
        <v>0</v>
      </c>
      <c r="CD13" s="961">
        <f t="shared" si="0"/>
        <v>0</v>
      </c>
      <c r="CE13" s="887">
        <f t="shared" si="0"/>
        <v>0</v>
      </c>
      <c r="CF13" s="888">
        <f t="shared" si="0"/>
        <v>0</v>
      </c>
      <c r="CG13" s="888">
        <f t="shared" si="0"/>
        <v>0</v>
      </c>
      <c r="CH13" s="888">
        <f t="shared" ref="CH13:CJ13" si="1">SUM(CH12)</f>
        <v>0</v>
      </c>
      <c r="CI13" s="888">
        <f t="shared" si="1"/>
        <v>0</v>
      </c>
      <c r="CJ13" s="889">
        <f t="shared" si="1"/>
        <v>0</v>
      </c>
    </row>
    <row r="14" spans="1:88" s="96" customFormat="1" ht="14.1" customHeight="1">
      <c r="A14" s="118">
        <v>2</v>
      </c>
      <c r="B14" s="77">
        <v>2314</v>
      </c>
      <c r="C14" s="93">
        <v>600080358</v>
      </c>
      <c r="D14" s="77">
        <v>46745751</v>
      </c>
      <c r="E14" s="77" t="s">
        <v>706</v>
      </c>
      <c r="F14" s="94">
        <v>3114</v>
      </c>
      <c r="G14" s="165" t="s">
        <v>525</v>
      </c>
      <c r="H14" s="95" t="s">
        <v>271</v>
      </c>
      <c r="I14" s="596">
        <v>12654928</v>
      </c>
      <c r="J14" s="595">
        <v>9288790</v>
      </c>
      <c r="K14" s="595">
        <v>8164705</v>
      </c>
      <c r="L14" s="595">
        <v>1124085</v>
      </c>
      <c r="M14" s="595">
        <v>0</v>
      </c>
      <c r="N14" s="595">
        <v>0</v>
      </c>
      <c r="O14" s="595">
        <v>0</v>
      </c>
      <c r="P14" s="595">
        <v>3139610</v>
      </c>
      <c r="Q14" s="595">
        <v>92888</v>
      </c>
      <c r="R14" s="595">
        <v>133640</v>
      </c>
      <c r="S14" s="416">
        <v>14.296000000000001</v>
      </c>
      <c r="T14" s="416">
        <v>11.0791</v>
      </c>
      <c r="U14" s="748">
        <v>3.2168999999999999</v>
      </c>
      <c r="V14" s="423">
        <f t="shared" ref="V14:V76" si="2">AH14*-1</f>
        <v>0</v>
      </c>
      <c r="W14" s="417">
        <f t="shared" ref="W14:W76" si="3">AI14*-1</f>
        <v>0</v>
      </c>
      <c r="X14" s="417">
        <v>0</v>
      </c>
      <c r="Y14" s="417">
        <v>0</v>
      </c>
      <c r="Z14" s="417">
        <v>135928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ref="AE14:AE76" si="4">V14+X14+Y14+Z14+AC14</f>
        <v>135928</v>
      </c>
      <c r="AF14" s="417">
        <f t="shared" ref="AF14:AF76" si="5">W14+AA14+AD14+AB14</f>
        <v>0</v>
      </c>
      <c r="AG14" s="417">
        <f t="shared" ref="AG14:AG76" si="6">SUM(AE14:AF14)</f>
        <v>135928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6" si="7">AH14+AJ14+AK14</f>
        <v>0</v>
      </c>
      <c r="AN14" s="417">
        <f t="shared" ref="AN14:AN76" si="8">AI14+AL14</f>
        <v>0</v>
      </c>
      <c r="AO14" s="417">
        <f t="shared" ref="AO14:AO76" si="9">SUM(AM14:AN14)</f>
        <v>0</v>
      </c>
      <c r="AP14" s="417">
        <f t="shared" ref="AP14:AP76" si="10">AE14+AM14</f>
        <v>135928</v>
      </c>
      <c r="AQ14" s="417">
        <f t="shared" ref="AQ14:AQ76" si="11">AF14+AN14</f>
        <v>0</v>
      </c>
      <c r="AR14" s="417">
        <f t="shared" ref="AR14:AR76" si="12">SUM(AP14:AQ14)</f>
        <v>135928</v>
      </c>
      <c r="AS14" s="68">
        <f t="shared" ref="AS14:AS76" si="13">ROUND((AG14+AH14+AI14+AJ14)*33.8%,0)</f>
        <v>45944</v>
      </c>
      <c r="AT14" s="68">
        <f t="shared" ref="AT14:AT76" si="14">ROUND(AG14*1%,0)</f>
        <v>1359</v>
      </c>
      <c r="AU14" s="417">
        <v>0</v>
      </c>
      <c r="AV14" s="417">
        <v>0</v>
      </c>
      <c r="AW14" s="417">
        <v>0</v>
      </c>
      <c r="AX14" s="417">
        <f t="shared" ref="AX14:AX76" si="15">SUM(AU14:AW14)</f>
        <v>0</v>
      </c>
      <c r="AY14" s="417">
        <f t="shared" ref="AY14:AY76" si="16">AR14+AS14+AT14+AX14</f>
        <v>183231</v>
      </c>
      <c r="AZ14" s="418">
        <v>0</v>
      </c>
      <c r="BA14" s="418">
        <v>0</v>
      </c>
      <c r="BB14" s="418">
        <v>0</v>
      </c>
      <c r="BC14" s="418">
        <v>0.27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ref="BI14:BI76" si="17">AZ14+BB14+BC14+BE14+BG14</f>
        <v>0.27</v>
      </c>
      <c r="BJ14" s="418">
        <f t="shared" ref="BJ14:BJ76" si="18">BA14+BD14+BH14+BF14</f>
        <v>0</v>
      </c>
      <c r="BK14" s="420">
        <f t="shared" ref="BK14:BK76" si="19">SUM(BI14:BJ14)</f>
        <v>0.27</v>
      </c>
      <c r="BL14" s="772">
        <f>I14+AY14</f>
        <v>12838159</v>
      </c>
      <c r="BM14" s="417">
        <f>J14+AG14</f>
        <v>9424718</v>
      </c>
      <c r="BN14" s="417">
        <f t="shared" ref="BN14:BO18" si="20">K14+AE14</f>
        <v>8300633</v>
      </c>
      <c r="BO14" s="417">
        <f t="shared" si="20"/>
        <v>1124085</v>
      </c>
      <c r="BP14" s="417">
        <f>M14+AO14</f>
        <v>0</v>
      </c>
      <c r="BQ14" s="417">
        <f t="shared" ref="BQ14:BR18" si="21">N14+AM14</f>
        <v>0</v>
      </c>
      <c r="BR14" s="417">
        <f t="shared" si="21"/>
        <v>0</v>
      </c>
      <c r="BS14" s="417">
        <f t="shared" ref="BS14:BT18" si="22">P14+AS14</f>
        <v>3185554</v>
      </c>
      <c r="BT14" s="417">
        <f t="shared" si="22"/>
        <v>94247</v>
      </c>
      <c r="BU14" s="417">
        <f>R14+AX14</f>
        <v>133640</v>
      </c>
      <c r="BV14" s="418">
        <f>S14+BK14</f>
        <v>14.566000000000001</v>
      </c>
      <c r="BW14" s="418">
        <f t="shared" ref="BW14:BX18" si="23">T14+BI14</f>
        <v>11.3491</v>
      </c>
      <c r="BX14" s="420">
        <f t="shared" si="23"/>
        <v>3.2168999999999999</v>
      </c>
      <c r="BY14" s="419"/>
      <c r="BZ14" s="414"/>
      <c r="CA14" s="414"/>
      <c r="CB14" s="414"/>
      <c r="CC14" s="414"/>
      <c r="CD14" s="422"/>
      <c r="CE14" s="419">
        <v>546179</v>
      </c>
      <c r="CF14" s="414">
        <v>378099</v>
      </c>
      <c r="CG14" s="414">
        <v>127797</v>
      </c>
      <c r="CH14" s="414">
        <v>3781</v>
      </c>
      <c r="CI14" s="414">
        <v>36502</v>
      </c>
      <c r="CJ14" s="509">
        <v>1.0836000000000001</v>
      </c>
    </row>
    <row r="15" spans="1:88" s="96" customFormat="1" ht="14.1" customHeight="1">
      <c r="A15" s="118">
        <v>2</v>
      </c>
      <c r="B15" s="77">
        <v>2314</v>
      </c>
      <c r="C15" s="93">
        <v>600080358</v>
      </c>
      <c r="D15" s="77">
        <v>46745751</v>
      </c>
      <c r="E15" s="77" t="s">
        <v>706</v>
      </c>
      <c r="F15" s="94">
        <v>3114</v>
      </c>
      <c r="G15" s="43" t="s">
        <v>292</v>
      </c>
      <c r="H15" s="95" t="s">
        <v>271</v>
      </c>
      <c r="I15" s="596">
        <v>2757121</v>
      </c>
      <c r="J15" s="595">
        <v>1931981</v>
      </c>
      <c r="K15" s="595">
        <v>1931981</v>
      </c>
      <c r="L15" s="595">
        <v>0</v>
      </c>
      <c r="M15" s="595">
        <v>114208</v>
      </c>
      <c r="N15" s="595">
        <v>60000</v>
      </c>
      <c r="O15" s="595">
        <v>54208</v>
      </c>
      <c r="P15" s="595">
        <v>691612</v>
      </c>
      <c r="Q15" s="595">
        <v>19320</v>
      </c>
      <c r="R15" s="595">
        <v>0</v>
      </c>
      <c r="S15" s="416">
        <v>5.0831000000000008</v>
      </c>
      <c r="T15" s="416">
        <v>5.0831</v>
      </c>
      <c r="U15" s="748">
        <v>0</v>
      </c>
      <c r="V15" s="423">
        <f t="shared" si="2"/>
        <v>16400</v>
      </c>
      <c r="W15" s="417">
        <f t="shared" si="3"/>
        <v>-18525</v>
      </c>
      <c r="X15" s="417">
        <v>0</v>
      </c>
      <c r="Y15" s="417">
        <v>0</v>
      </c>
      <c r="Z15" s="417">
        <v>131674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4"/>
        <v>148074</v>
      </c>
      <c r="AF15" s="417">
        <f t="shared" si="5"/>
        <v>-18525</v>
      </c>
      <c r="AG15" s="417">
        <f t="shared" si="6"/>
        <v>129549</v>
      </c>
      <c r="AH15" s="417">
        <v>-16400</v>
      </c>
      <c r="AI15" s="417">
        <v>18525</v>
      </c>
      <c r="AJ15" s="417">
        <v>0</v>
      </c>
      <c r="AK15" s="417">
        <v>0</v>
      </c>
      <c r="AL15" s="417">
        <v>0</v>
      </c>
      <c r="AM15" s="417">
        <f t="shared" si="7"/>
        <v>-16400</v>
      </c>
      <c r="AN15" s="417">
        <f t="shared" si="8"/>
        <v>18525</v>
      </c>
      <c r="AO15" s="417">
        <f t="shared" si="9"/>
        <v>2125</v>
      </c>
      <c r="AP15" s="417">
        <f t="shared" si="10"/>
        <v>131674</v>
      </c>
      <c r="AQ15" s="417">
        <f t="shared" si="11"/>
        <v>0</v>
      </c>
      <c r="AR15" s="417">
        <f t="shared" si="12"/>
        <v>131674</v>
      </c>
      <c r="AS15" s="68">
        <f t="shared" si="13"/>
        <v>44506</v>
      </c>
      <c r="AT15" s="68">
        <f t="shared" si="14"/>
        <v>1295</v>
      </c>
      <c r="AU15" s="417">
        <v>0</v>
      </c>
      <c r="AV15" s="417">
        <v>0</v>
      </c>
      <c r="AW15" s="417">
        <v>0</v>
      </c>
      <c r="AX15" s="417">
        <f t="shared" si="15"/>
        <v>0</v>
      </c>
      <c r="AY15" s="417">
        <f t="shared" si="16"/>
        <v>177475</v>
      </c>
      <c r="AZ15" s="418">
        <v>0</v>
      </c>
      <c r="BA15" s="418">
        <v>-0.05</v>
      </c>
      <c r="BB15" s="418">
        <v>0</v>
      </c>
      <c r="BC15" s="418">
        <v>0.34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7"/>
        <v>0.34</v>
      </c>
      <c r="BJ15" s="418">
        <f t="shared" si="18"/>
        <v>-0.05</v>
      </c>
      <c r="BK15" s="420">
        <f t="shared" si="19"/>
        <v>0.29000000000000004</v>
      </c>
      <c r="BL15" s="772">
        <f>I15+AY15</f>
        <v>2934596</v>
      </c>
      <c r="BM15" s="417">
        <f>J15+AG15</f>
        <v>2061530</v>
      </c>
      <c r="BN15" s="417">
        <f t="shared" si="20"/>
        <v>2080055</v>
      </c>
      <c r="BO15" s="417">
        <f t="shared" si="20"/>
        <v>-18525</v>
      </c>
      <c r="BP15" s="417">
        <f>M15+AO15</f>
        <v>116333</v>
      </c>
      <c r="BQ15" s="417">
        <f t="shared" si="21"/>
        <v>43600</v>
      </c>
      <c r="BR15" s="417">
        <f t="shared" si="21"/>
        <v>72733</v>
      </c>
      <c r="BS15" s="417">
        <f t="shared" si="22"/>
        <v>736118</v>
      </c>
      <c r="BT15" s="417">
        <f t="shared" si="22"/>
        <v>20615</v>
      </c>
      <c r="BU15" s="417">
        <f>R15+AX15</f>
        <v>0</v>
      </c>
      <c r="BV15" s="418">
        <f>S15+BK15</f>
        <v>5.3731000000000009</v>
      </c>
      <c r="BW15" s="418">
        <f t="shared" si="23"/>
        <v>5.4230999999999998</v>
      </c>
      <c r="BX15" s="420">
        <f t="shared" si="23"/>
        <v>-0.05</v>
      </c>
      <c r="BY15" s="419"/>
      <c r="BZ15" s="414"/>
      <c r="CA15" s="414"/>
      <c r="CB15" s="414"/>
      <c r="CC15" s="414"/>
      <c r="CD15" s="422"/>
      <c r="CE15" s="419">
        <v>0</v>
      </c>
      <c r="CF15" s="414">
        <v>0</v>
      </c>
      <c r="CG15" s="414">
        <v>0</v>
      </c>
      <c r="CH15" s="414">
        <v>0</v>
      </c>
      <c r="CI15" s="414">
        <v>0</v>
      </c>
      <c r="CJ15" s="509">
        <v>0</v>
      </c>
    </row>
    <row r="16" spans="1:88" s="96" customFormat="1" ht="14.1" customHeight="1">
      <c r="A16" s="118">
        <v>2</v>
      </c>
      <c r="B16" s="77">
        <v>2314</v>
      </c>
      <c r="C16" s="93">
        <v>600080358</v>
      </c>
      <c r="D16" s="77">
        <v>46745751</v>
      </c>
      <c r="E16" s="77" t="s">
        <v>706</v>
      </c>
      <c r="F16" s="94">
        <v>3114</v>
      </c>
      <c r="G16" s="43" t="s">
        <v>291</v>
      </c>
      <c r="H16" s="95" t="s">
        <v>272</v>
      </c>
      <c r="I16" s="596">
        <v>0</v>
      </c>
      <c r="J16" s="595">
        <v>0</v>
      </c>
      <c r="K16" s="595">
        <v>0</v>
      </c>
      <c r="L16" s="595">
        <v>0</v>
      </c>
      <c r="M16" s="595">
        <v>0</v>
      </c>
      <c r="N16" s="595">
        <v>0</v>
      </c>
      <c r="O16" s="595">
        <v>0</v>
      </c>
      <c r="P16" s="595">
        <v>0</v>
      </c>
      <c r="Q16" s="595">
        <v>0</v>
      </c>
      <c r="R16" s="595">
        <v>0</v>
      </c>
      <c r="S16" s="416">
        <v>0</v>
      </c>
      <c r="T16" s="416">
        <v>0</v>
      </c>
      <c r="U16" s="748">
        <v>0</v>
      </c>
      <c r="V16" s="423">
        <f t="shared" si="2"/>
        <v>0</v>
      </c>
      <c r="W16" s="417">
        <f t="shared" si="3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4"/>
        <v>0</v>
      </c>
      <c r="AF16" s="417">
        <f t="shared" si="5"/>
        <v>0</v>
      </c>
      <c r="AG16" s="417">
        <f t="shared" si="6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7"/>
        <v>0</v>
      </c>
      <c r="AN16" s="417">
        <f t="shared" si="8"/>
        <v>0</v>
      </c>
      <c r="AO16" s="417">
        <f t="shared" si="9"/>
        <v>0</v>
      </c>
      <c r="AP16" s="417">
        <f t="shared" si="10"/>
        <v>0</v>
      </c>
      <c r="AQ16" s="417">
        <f t="shared" si="11"/>
        <v>0</v>
      </c>
      <c r="AR16" s="417">
        <f t="shared" si="12"/>
        <v>0</v>
      </c>
      <c r="AS16" s="68">
        <f t="shared" si="13"/>
        <v>0</v>
      </c>
      <c r="AT16" s="68">
        <f t="shared" si="14"/>
        <v>0</v>
      </c>
      <c r="AU16" s="417">
        <v>3000</v>
      </c>
      <c r="AV16" s="417">
        <v>0</v>
      </c>
      <c r="AW16" s="417">
        <v>0</v>
      </c>
      <c r="AX16" s="417">
        <f t="shared" si="15"/>
        <v>3000</v>
      </c>
      <c r="AY16" s="417">
        <f t="shared" si="16"/>
        <v>3000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0</v>
      </c>
      <c r="BK16" s="420">
        <f t="shared" si="19"/>
        <v>0</v>
      </c>
      <c r="BL16" s="772">
        <f>I16+AY16</f>
        <v>3000</v>
      </c>
      <c r="BM16" s="417">
        <f>J16+AG16</f>
        <v>0</v>
      </c>
      <c r="BN16" s="417">
        <f t="shared" si="20"/>
        <v>0</v>
      </c>
      <c r="BO16" s="417">
        <f t="shared" si="20"/>
        <v>0</v>
      </c>
      <c r="BP16" s="417">
        <f>M16+AO16</f>
        <v>0</v>
      </c>
      <c r="BQ16" s="417">
        <f t="shared" si="21"/>
        <v>0</v>
      </c>
      <c r="BR16" s="417">
        <f t="shared" si="21"/>
        <v>0</v>
      </c>
      <c r="BS16" s="417">
        <f t="shared" si="22"/>
        <v>0</v>
      </c>
      <c r="BT16" s="417">
        <f t="shared" si="22"/>
        <v>0</v>
      </c>
      <c r="BU16" s="417">
        <f>R16+AX16</f>
        <v>3000</v>
      </c>
      <c r="BV16" s="418">
        <f>S16+BK16</f>
        <v>0</v>
      </c>
      <c r="BW16" s="418">
        <f t="shared" si="23"/>
        <v>0</v>
      </c>
      <c r="BX16" s="420">
        <f t="shared" si="23"/>
        <v>0</v>
      </c>
      <c r="BY16" s="419"/>
      <c r="BZ16" s="414"/>
      <c r="CA16" s="414"/>
      <c r="CB16" s="414"/>
      <c r="CC16" s="414"/>
      <c r="CD16" s="422"/>
      <c r="CE16" s="419">
        <v>0</v>
      </c>
      <c r="CF16" s="414">
        <v>0</v>
      </c>
      <c r="CG16" s="414">
        <v>0</v>
      </c>
      <c r="CH16" s="414">
        <v>0</v>
      </c>
      <c r="CI16" s="414">
        <v>0</v>
      </c>
      <c r="CJ16" s="509">
        <v>0</v>
      </c>
    </row>
    <row r="17" spans="1:88" s="96" customFormat="1" ht="14.1" customHeight="1">
      <c r="A17" s="118">
        <v>2</v>
      </c>
      <c r="B17" s="77">
        <v>2314</v>
      </c>
      <c r="C17" s="93">
        <v>600080358</v>
      </c>
      <c r="D17" s="77">
        <v>46745751</v>
      </c>
      <c r="E17" s="77" t="s">
        <v>706</v>
      </c>
      <c r="F17" s="94">
        <v>3143</v>
      </c>
      <c r="G17" s="77" t="s">
        <v>595</v>
      </c>
      <c r="H17" s="95" t="s">
        <v>271</v>
      </c>
      <c r="I17" s="596">
        <v>758025</v>
      </c>
      <c r="J17" s="595">
        <v>562333</v>
      </c>
      <c r="K17" s="595">
        <v>562333</v>
      </c>
      <c r="L17" s="595">
        <v>0</v>
      </c>
      <c r="M17" s="595">
        <v>0</v>
      </c>
      <c r="N17" s="595">
        <v>0</v>
      </c>
      <c r="O17" s="595">
        <v>0</v>
      </c>
      <c r="P17" s="595">
        <v>190069</v>
      </c>
      <c r="Q17" s="595">
        <v>5623</v>
      </c>
      <c r="R17" s="595">
        <v>0</v>
      </c>
      <c r="S17" s="416">
        <v>1.2413000000000001</v>
      </c>
      <c r="T17" s="416">
        <v>1.2413000000000001</v>
      </c>
      <c r="U17" s="748">
        <v>0</v>
      </c>
      <c r="V17" s="423">
        <f t="shared" si="2"/>
        <v>0</v>
      </c>
      <c r="W17" s="417">
        <f t="shared" si="3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4"/>
        <v>0</v>
      </c>
      <c r="AF17" s="417">
        <f t="shared" si="5"/>
        <v>0</v>
      </c>
      <c r="AG17" s="417">
        <f t="shared" si="6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7"/>
        <v>0</v>
      </c>
      <c r="AN17" s="417">
        <f t="shared" si="8"/>
        <v>0</v>
      </c>
      <c r="AO17" s="417">
        <f t="shared" si="9"/>
        <v>0</v>
      </c>
      <c r="AP17" s="417">
        <f t="shared" si="10"/>
        <v>0</v>
      </c>
      <c r="AQ17" s="417">
        <f t="shared" si="11"/>
        <v>0</v>
      </c>
      <c r="AR17" s="417">
        <f t="shared" si="12"/>
        <v>0</v>
      </c>
      <c r="AS17" s="68">
        <f t="shared" si="13"/>
        <v>0</v>
      </c>
      <c r="AT17" s="68">
        <f t="shared" si="14"/>
        <v>0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0</v>
      </c>
      <c r="BJ17" s="418">
        <f t="shared" si="18"/>
        <v>0</v>
      </c>
      <c r="BK17" s="420">
        <f t="shared" si="19"/>
        <v>0</v>
      </c>
      <c r="BL17" s="772">
        <f>I17+AY17</f>
        <v>758025</v>
      </c>
      <c r="BM17" s="417">
        <f>J17+AG17</f>
        <v>562333</v>
      </c>
      <c r="BN17" s="417">
        <f t="shared" si="20"/>
        <v>562333</v>
      </c>
      <c r="BO17" s="417">
        <f t="shared" si="20"/>
        <v>0</v>
      </c>
      <c r="BP17" s="417">
        <f>M17+AO17</f>
        <v>0</v>
      </c>
      <c r="BQ17" s="417">
        <f t="shared" si="21"/>
        <v>0</v>
      </c>
      <c r="BR17" s="417">
        <f t="shared" si="21"/>
        <v>0</v>
      </c>
      <c r="BS17" s="417">
        <f t="shared" si="22"/>
        <v>190069</v>
      </c>
      <c r="BT17" s="417">
        <f t="shared" si="22"/>
        <v>5623</v>
      </c>
      <c r="BU17" s="417">
        <f>R17+AX17</f>
        <v>0</v>
      </c>
      <c r="BV17" s="418">
        <f>S17+BK17</f>
        <v>1.2413000000000001</v>
      </c>
      <c r="BW17" s="418">
        <f t="shared" si="23"/>
        <v>1.2413000000000001</v>
      </c>
      <c r="BX17" s="420">
        <f t="shared" si="23"/>
        <v>0</v>
      </c>
      <c r="BY17" s="419"/>
      <c r="BZ17" s="414"/>
      <c r="CA17" s="414"/>
      <c r="CB17" s="414"/>
      <c r="CC17" s="414"/>
      <c r="CD17" s="422"/>
      <c r="CE17" s="419">
        <v>0</v>
      </c>
      <c r="CF17" s="414">
        <v>0</v>
      </c>
      <c r="CG17" s="414">
        <v>0</v>
      </c>
      <c r="CH17" s="414">
        <v>0</v>
      </c>
      <c r="CI17" s="414">
        <v>0</v>
      </c>
      <c r="CJ17" s="509">
        <v>0</v>
      </c>
    </row>
    <row r="18" spans="1:88" s="96" customFormat="1" ht="14.1" customHeight="1">
      <c r="A18" s="118">
        <v>2</v>
      </c>
      <c r="B18" s="77">
        <v>2314</v>
      </c>
      <c r="C18" s="93">
        <v>600080358</v>
      </c>
      <c r="D18" s="77">
        <v>46745751</v>
      </c>
      <c r="E18" s="77" t="s">
        <v>706</v>
      </c>
      <c r="F18" s="94">
        <v>3143</v>
      </c>
      <c r="G18" s="77" t="s">
        <v>596</v>
      </c>
      <c r="H18" s="95" t="s">
        <v>272</v>
      </c>
      <c r="I18" s="596">
        <v>17673</v>
      </c>
      <c r="J18" s="595">
        <v>12650</v>
      </c>
      <c r="K18" s="595">
        <v>0</v>
      </c>
      <c r="L18" s="601">
        <v>12650</v>
      </c>
      <c r="M18" s="595">
        <v>0</v>
      </c>
      <c r="N18" s="602">
        <v>0</v>
      </c>
      <c r="O18" s="602">
        <v>0</v>
      </c>
      <c r="P18" s="595">
        <v>4276</v>
      </c>
      <c r="Q18" s="595">
        <v>126</v>
      </c>
      <c r="R18" s="602">
        <v>621</v>
      </c>
      <c r="S18" s="416">
        <v>5.1900000000000002E-2</v>
      </c>
      <c r="T18" s="605">
        <v>0</v>
      </c>
      <c r="U18" s="731">
        <v>5.1900000000000002E-2</v>
      </c>
      <c r="V18" s="423">
        <f t="shared" si="2"/>
        <v>0</v>
      </c>
      <c r="W18" s="417">
        <f t="shared" si="3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4"/>
        <v>0</v>
      </c>
      <c r="AF18" s="417">
        <f t="shared" si="5"/>
        <v>0</v>
      </c>
      <c r="AG18" s="417">
        <f t="shared" si="6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7"/>
        <v>0</v>
      </c>
      <c r="AN18" s="417">
        <f t="shared" si="8"/>
        <v>0</v>
      </c>
      <c r="AO18" s="417">
        <f t="shared" si="9"/>
        <v>0</v>
      </c>
      <c r="AP18" s="417">
        <f t="shared" si="10"/>
        <v>0</v>
      </c>
      <c r="AQ18" s="417">
        <f t="shared" si="11"/>
        <v>0</v>
      </c>
      <c r="AR18" s="417">
        <f t="shared" si="12"/>
        <v>0</v>
      </c>
      <c r="AS18" s="68">
        <f t="shared" si="13"/>
        <v>0</v>
      </c>
      <c r="AT18" s="68">
        <f t="shared" si="14"/>
        <v>0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0</v>
      </c>
      <c r="BJ18" s="418">
        <f t="shared" si="18"/>
        <v>0</v>
      </c>
      <c r="BK18" s="420">
        <f t="shared" si="19"/>
        <v>0</v>
      </c>
      <c r="BL18" s="772">
        <f>I18+AY18</f>
        <v>17673</v>
      </c>
      <c r="BM18" s="417">
        <f>J18+AG18</f>
        <v>12650</v>
      </c>
      <c r="BN18" s="417">
        <f t="shared" si="20"/>
        <v>0</v>
      </c>
      <c r="BO18" s="417">
        <f t="shared" si="20"/>
        <v>12650</v>
      </c>
      <c r="BP18" s="417">
        <f>M18+AO18</f>
        <v>0</v>
      </c>
      <c r="BQ18" s="417">
        <f t="shared" si="21"/>
        <v>0</v>
      </c>
      <c r="BR18" s="417">
        <f t="shared" si="21"/>
        <v>0</v>
      </c>
      <c r="BS18" s="417">
        <f t="shared" si="22"/>
        <v>4276</v>
      </c>
      <c r="BT18" s="417">
        <f t="shared" si="22"/>
        <v>126</v>
      </c>
      <c r="BU18" s="417">
        <f>R18+AX18</f>
        <v>621</v>
      </c>
      <c r="BV18" s="418">
        <f>S18+BK18</f>
        <v>5.1900000000000002E-2</v>
      </c>
      <c r="BW18" s="418">
        <f t="shared" si="23"/>
        <v>0</v>
      </c>
      <c r="BX18" s="420">
        <f t="shared" si="23"/>
        <v>5.1900000000000002E-2</v>
      </c>
      <c r="BY18" s="419"/>
      <c r="BZ18" s="414"/>
      <c r="CA18" s="414"/>
      <c r="CB18" s="414"/>
      <c r="CC18" s="414"/>
      <c r="CD18" s="422"/>
      <c r="CE18" s="419">
        <v>0</v>
      </c>
      <c r="CF18" s="414">
        <v>0</v>
      </c>
      <c r="CG18" s="414">
        <v>0</v>
      </c>
      <c r="CH18" s="414">
        <v>0</v>
      </c>
      <c r="CI18" s="414">
        <v>0</v>
      </c>
      <c r="CJ18" s="509">
        <v>0</v>
      </c>
    </row>
    <row r="19" spans="1:88" s="96" customFormat="1" ht="14.1" customHeight="1">
      <c r="A19" s="119">
        <v>2</v>
      </c>
      <c r="B19" s="97">
        <v>2314</v>
      </c>
      <c r="C19" s="98">
        <v>600080358</v>
      </c>
      <c r="D19" s="97">
        <v>46745751</v>
      </c>
      <c r="E19" s="97" t="s">
        <v>707</v>
      </c>
      <c r="F19" s="99"/>
      <c r="G19" s="100"/>
      <c r="H19" s="101"/>
      <c r="I19" s="437">
        <v>16187747</v>
      </c>
      <c r="J19" s="433">
        <v>11795754</v>
      </c>
      <c r="K19" s="433">
        <v>10659019</v>
      </c>
      <c r="L19" s="433">
        <v>1136735</v>
      </c>
      <c r="M19" s="433">
        <v>114208</v>
      </c>
      <c r="N19" s="433">
        <v>60000</v>
      </c>
      <c r="O19" s="433">
        <v>54208</v>
      </c>
      <c r="P19" s="433">
        <v>4025567</v>
      </c>
      <c r="Q19" s="433">
        <v>117957</v>
      </c>
      <c r="R19" s="433">
        <v>134261</v>
      </c>
      <c r="S19" s="434">
        <v>20.6723</v>
      </c>
      <c r="T19" s="434">
        <v>17.403499999999998</v>
      </c>
      <c r="U19" s="695">
        <v>3.2687999999999997</v>
      </c>
      <c r="V19" s="437">
        <f t="shared" ref="V19:CG19" si="24">SUM(V14:V18)</f>
        <v>16400</v>
      </c>
      <c r="W19" s="433">
        <f t="shared" si="24"/>
        <v>-18525</v>
      </c>
      <c r="X19" s="433">
        <f t="shared" si="24"/>
        <v>0</v>
      </c>
      <c r="Y19" s="433">
        <f t="shared" si="24"/>
        <v>0</v>
      </c>
      <c r="Z19" s="433">
        <f t="shared" si="24"/>
        <v>267602</v>
      </c>
      <c r="AA19" s="433">
        <f t="shared" si="24"/>
        <v>0</v>
      </c>
      <c r="AB19" s="433">
        <f t="shared" si="24"/>
        <v>0</v>
      </c>
      <c r="AC19" s="433">
        <f t="shared" si="24"/>
        <v>0</v>
      </c>
      <c r="AD19" s="433">
        <f t="shared" si="24"/>
        <v>0</v>
      </c>
      <c r="AE19" s="433">
        <f t="shared" si="24"/>
        <v>284002</v>
      </c>
      <c r="AF19" s="433">
        <f t="shared" si="24"/>
        <v>-18525</v>
      </c>
      <c r="AG19" s="433">
        <f t="shared" si="24"/>
        <v>265477</v>
      </c>
      <c r="AH19" s="433">
        <f t="shared" si="24"/>
        <v>-16400</v>
      </c>
      <c r="AI19" s="433">
        <f t="shared" si="24"/>
        <v>18525</v>
      </c>
      <c r="AJ19" s="433">
        <f t="shared" si="24"/>
        <v>0</v>
      </c>
      <c r="AK19" s="433">
        <f t="shared" si="24"/>
        <v>0</v>
      </c>
      <c r="AL19" s="433">
        <f t="shared" si="24"/>
        <v>0</v>
      </c>
      <c r="AM19" s="433">
        <f t="shared" si="24"/>
        <v>-16400</v>
      </c>
      <c r="AN19" s="433">
        <f t="shared" si="24"/>
        <v>18525</v>
      </c>
      <c r="AO19" s="433">
        <f t="shared" si="24"/>
        <v>2125</v>
      </c>
      <c r="AP19" s="433">
        <f t="shared" si="24"/>
        <v>267602</v>
      </c>
      <c r="AQ19" s="433">
        <f t="shared" si="24"/>
        <v>0</v>
      </c>
      <c r="AR19" s="433">
        <f t="shared" si="24"/>
        <v>267602</v>
      </c>
      <c r="AS19" s="433">
        <f t="shared" si="24"/>
        <v>90450</v>
      </c>
      <c r="AT19" s="433">
        <f t="shared" si="24"/>
        <v>2654</v>
      </c>
      <c r="AU19" s="433">
        <f t="shared" si="24"/>
        <v>3000</v>
      </c>
      <c r="AV19" s="433">
        <f t="shared" si="24"/>
        <v>0</v>
      </c>
      <c r="AW19" s="433">
        <f t="shared" si="24"/>
        <v>0</v>
      </c>
      <c r="AX19" s="433">
        <f t="shared" si="24"/>
        <v>3000</v>
      </c>
      <c r="AY19" s="433">
        <f t="shared" si="24"/>
        <v>363706</v>
      </c>
      <c r="AZ19" s="434">
        <f t="shared" si="24"/>
        <v>0</v>
      </c>
      <c r="BA19" s="434">
        <f t="shared" si="24"/>
        <v>-0.05</v>
      </c>
      <c r="BB19" s="434">
        <f t="shared" si="24"/>
        <v>0</v>
      </c>
      <c r="BC19" s="434">
        <f t="shared" si="24"/>
        <v>0.6100000000000001</v>
      </c>
      <c r="BD19" s="434">
        <f t="shared" si="24"/>
        <v>0</v>
      </c>
      <c r="BE19" s="434">
        <f t="shared" si="24"/>
        <v>0</v>
      </c>
      <c r="BF19" s="434">
        <f t="shared" si="24"/>
        <v>0</v>
      </c>
      <c r="BG19" s="434">
        <f t="shared" si="24"/>
        <v>0</v>
      </c>
      <c r="BH19" s="434">
        <f t="shared" si="24"/>
        <v>0</v>
      </c>
      <c r="BI19" s="434">
        <f t="shared" si="24"/>
        <v>0.6100000000000001</v>
      </c>
      <c r="BJ19" s="434">
        <f t="shared" si="24"/>
        <v>-0.05</v>
      </c>
      <c r="BK19" s="103">
        <f t="shared" si="24"/>
        <v>0.56000000000000005</v>
      </c>
      <c r="BL19" s="785">
        <f t="shared" si="24"/>
        <v>16551453</v>
      </c>
      <c r="BM19" s="433">
        <f t="shared" si="24"/>
        <v>12061231</v>
      </c>
      <c r="BN19" s="433">
        <f t="shared" si="24"/>
        <v>10943021</v>
      </c>
      <c r="BO19" s="433">
        <f t="shared" si="24"/>
        <v>1118210</v>
      </c>
      <c r="BP19" s="433">
        <f t="shared" si="24"/>
        <v>116333</v>
      </c>
      <c r="BQ19" s="433">
        <f t="shared" si="24"/>
        <v>43600</v>
      </c>
      <c r="BR19" s="433">
        <f t="shared" si="24"/>
        <v>72733</v>
      </c>
      <c r="BS19" s="433">
        <f t="shared" si="24"/>
        <v>4116017</v>
      </c>
      <c r="BT19" s="433">
        <f t="shared" si="24"/>
        <v>120611</v>
      </c>
      <c r="BU19" s="433">
        <f t="shared" si="24"/>
        <v>137261</v>
      </c>
      <c r="BV19" s="434">
        <f t="shared" si="24"/>
        <v>21.232300000000002</v>
      </c>
      <c r="BW19" s="434">
        <f t="shared" si="24"/>
        <v>18.013499999999997</v>
      </c>
      <c r="BX19" s="103">
        <f t="shared" si="24"/>
        <v>3.2187999999999999</v>
      </c>
      <c r="BY19" s="795">
        <f t="shared" si="24"/>
        <v>0</v>
      </c>
      <c r="BZ19" s="698">
        <f t="shared" si="24"/>
        <v>0</v>
      </c>
      <c r="CA19" s="698">
        <f t="shared" si="24"/>
        <v>0</v>
      </c>
      <c r="CB19" s="698">
        <f t="shared" si="24"/>
        <v>0</v>
      </c>
      <c r="CC19" s="698">
        <f t="shared" si="24"/>
        <v>0</v>
      </c>
      <c r="CD19" s="961">
        <f t="shared" si="24"/>
        <v>0</v>
      </c>
      <c r="CE19" s="887">
        <f t="shared" si="24"/>
        <v>546179</v>
      </c>
      <c r="CF19" s="888">
        <f t="shared" si="24"/>
        <v>378099</v>
      </c>
      <c r="CG19" s="888">
        <f t="shared" si="24"/>
        <v>127797</v>
      </c>
      <c r="CH19" s="888">
        <f t="shared" ref="CH19:CJ19" si="25">SUM(CH14:CH18)</f>
        <v>3781</v>
      </c>
      <c r="CI19" s="888">
        <f t="shared" si="25"/>
        <v>36502</v>
      </c>
      <c r="CJ19" s="889">
        <f t="shared" si="25"/>
        <v>1.0836000000000001</v>
      </c>
    </row>
    <row r="20" spans="1:88" s="96" customFormat="1" ht="14.1" customHeight="1">
      <c r="A20" s="118">
        <v>3</v>
      </c>
      <c r="B20" s="102">
        <v>2448</v>
      </c>
      <c r="C20" s="93">
        <v>600080269</v>
      </c>
      <c r="D20" s="77">
        <v>63154617</v>
      </c>
      <c r="E20" s="77" t="s">
        <v>708</v>
      </c>
      <c r="F20" s="94">
        <v>3111</v>
      </c>
      <c r="G20" s="77" t="s">
        <v>290</v>
      </c>
      <c r="H20" s="95" t="s">
        <v>271</v>
      </c>
      <c r="I20" s="596">
        <v>17531261</v>
      </c>
      <c r="J20" s="595">
        <v>12789437</v>
      </c>
      <c r="K20" s="595">
        <v>11909257</v>
      </c>
      <c r="L20" s="595">
        <v>880180</v>
      </c>
      <c r="M20" s="595">
        <v>150000</v>
      </c>
      <c r="N20" s="595">
        <v>50000</v>
      </c>
      <c r="O20" s="595">
        <v>100000</v>
      </c>
      <c r="P20" s="595">
        <v>4373530</v>
      </c>
      <c r="Q20" s="595">
        <v>127894</v>
      </c>
      <c r="R20" s="595">
        <v>90400</v>
      </c>
      <c r="S20" s="416">
        <v>24.537000000000003</v>
      </c>
      <c r="T20" s="416">
        <v>20.61</v>
      </c>
      <c r="U20" s="748">
        <v>3.9269999999999996</v>
      </c>
      <c r="V20" s="423">
        <f t="shared" si="2"/>
        <v>-15000</v>
      </c>
      <c r="W20" s="417">
        <f t="shared" si="3"/>
        <v>-20000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4"/>
        <v>-15000</v>
      </c>
      <c r="AF20" s="417">
        <f t="shared" si="5"/>
        <v>-20000</v>
      </c>
      <c r="AG20" s="417">
        <f t="shared" si="6"/>
        <v>-35000</v>
      </c>
      <c r="AH20" s="417">
        <v>15000</v>
      </c>
      <c r="AI20" s="417">
        <v>20000</v>
      </c>
      <c r="AJ20" s="417">
        <v>0</v>
      </c>
      <c r="AK20" s="417">
        <v>0</v>
      </c>
      <c r="AL20" s="417">
        <v>0</v>
      </c>
      <c r="AM20" s="417">
        <f t="shared" si="7"/>
        <v>15000</v>
      </c>
      <c r="AN20" s="417">
        <f t="shared" si="8"/>
        <v>20000</v>
      </c>
      <c r="AO20" s="417">
        <f t="shared" si="9"/>
        <v>35000</v>
      </c>
      <c r="AP20" s="417">
        <f t="shared" si="10"/>
        <v>0</v>
      </c>
      <c r="AQ20" s="417">
        <f t="shared" si="11"/>
        <v>0</v>
      </c>
      <c r="AR20" s="417">
        <f t="shared" si="12"/>
        <v>0</v>
      </c>
      <c r="AS20" s="68">
        <f t="shared" si="13"/>
        <v>0</v>
      </c>
      <c r="AT20" s="68">
        <f t="shared" si="14"/>
        <v>-350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-350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0</v>
      </c>
      <c r="BK20" s="420">
        <f t="shared" si="19"/>
        <v>0</v>
      </c>
      <c r="BL20" s="772">
        <f t="shared" ref="BL20:BL27" si="26">I20+AY20</f>
        <v>17530911</v>
      </c>
      <c r="BM20" s="417">
        <f t="shared" ref="BM20:BM27" si="27">J20+AG20</f>
        <v>12754437</v>
      </c>
      <c r="BN20" s="417">
        <f t="shared" ref="BN20:BO27" si="28">K20+AE20</f>
        <v>11894257</v>
      </c>
      <c r="BO20" s="417">
        <f t="shared" si="28"/>
        <v>860180</v>
      </c>
      <c r="BP20" s="417">
        <f t="shared" ref="BP20:BP27" si="29">M20+AO20</f>
        <v>185000</v>
      </c>
      <c r="BQ20" s="417">
        <f t="shared" ref="BQ20:BR27" si="30">N20+AM20</f>
        <v>65000</v>
      </c>
      <c r="BR20" s="417">
        <f t="shared" si="30"/>
        <v>120000</v>
      </c>
      <c r="BS20" s="417">
        <f t="shared" ref="BS20:BT27" si="31">P20+AS20</f>
        <v>4373530</v>
      </c>
      <c r="BT20" s="417">
        <f t="shared" si="31"/>
        <v>127544</v>
      </c>
      <c r="BU20" s="417">
        <f t="shared" ref="BU20:BU27" si="32">R20+AX20</f>
        <v>90400</v>
      </c>
      <c r="BV20" s="418">
        <f t="shared" ref="BV20:BV27" si="33">S20+BK20</f>
        <v>24.537000000000003</v>
      </c>
      <c r="BW20" s="418">
        <f t="shared" ref="BW20:BX27" si="34">T20+BI20</f>
        <v>20.61</v>
      </c>
      <c r="BX20" s="420">
        <f t="shared" si="34"/>
        <v>3.9269999999999996</v>
      </c>
      <c r="BY20" s="419"/>
      <c r="BZ20" s="414"/>
      <c r="CA20" s="414"/>
      <c r="CB20" s="414"/>
      <c r="CC20" s="414"/>
      <c r="CD20" s="422"/>
      <c r="CE20" s="419">
        <v>454004</v>
      </c>
      <c r="CF20" s="414">
        <v>314500</v>
      </c>
      <c r="CG20" s="414">
        <v>106301</v>
      </c>
      <c r="CH20" s="414">
        <v>3145</v>
      </c>
      <c r="CI20" s="414">
        <v>30058</v>
      </c>
      <c r="CJ20" s="509">
        <v>1.26</v>
      </c>
    </row>
    <row r="21" spans="1:88" s="96" customFormat="1" ht="14.1" customHeight="1">
      <c r="A21" s="118">
        <v>3</v>
      </c>
      <c r="B21" s="102">
        <v>2448</v>
      </c>
      <c r="C21" s="93">
        <v>600080269</v>
      </c>
      <c r="D21" s="77">
        <v>63154617</v>
      </c>
      <c r="E21" s="77" t="s">
        <v>708</v>
      </c>
      <c r="F21" s="94">
        <v>3113</v>
      </c>
      <c r="G21" s="77" t="s">
        <v>293</v>
      </c>
      <c r="H21" s="95" t="s">
        <v>271</v>
      </c>
      <c r="I21" s="596">
        <v>65662125</v>
      </c>
      <c r="J21" s="595">
        <v>47555218</v>
      </c>
      <c r="K21" s="595">
        <v>42996646</v>
      </c>
      <c r="L21" s="595">
        <v>4558572</v>
      </c>
      <c r="M21" s="595">
        <v>275000</v>
      </c>
      <c r="N21" s="595">
        <v>120000</v>
      </c>
      <c r="O21" s="595">
        <v>155000</v>
      </c>
      <c r="P21" s="595">
        <v>16166614</v>
      </c>
      <c r="Q21" s="595">
        <v>475553</v>
      </c>
      <c r="R21" s="595">
        <v>1189740</v>
      </c>
      <c r="S21" s="416">
        <v>74.905400000000014</v>
      </c>
      <c r="T21" s="416">
        <v>59.994900000000001</v>
      </c>
      <c r="U21" s="748">
        <v>14.910500000000001</v>
      </c>
      <c r="V21" s="423">
        <f t="shared" si="2"/>
        <v>-40000</v>
      </c>
      <c r="W21" s="417">
        <f t="shared" si="3"/>
        <v>-70000</v>
      </c>
      <c r="X21" s="417">
        <v>0</v>
      </c>
      <c r="Y21" s="417">
        <v>0</v>
      </c>
      <c r="Z21" s="417">
        <v>-91227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4"/>
        <v>-131227</v>
      </c>
      <c r="AF21" s="417">
        <f t="shared" si="5"/>
        <v>-70000</v>
      </c>
      <c r="AG21" s="417">
        <f t="shared" si="6"/>
        <v>-201227</v>
      </c>
      <c r="AH21" s="417">
        <v>40000</v>
      </c>
      <c r="AI21" s="417">
        <v>70000</v>
      </c>
      <c r="AJ21" s="417">
        <v>0</v>
      </c>
      <c r="AK21" s="417">
        <v>77586</v>
      </c>
      <c r="AL21" s="417">
        <v>0</v>
      </c>
      <c r="AM21" s="417">
        <f t="shared" si="7"/>
        <v>117586</v>
      </c>
      <c r="AN21" s="417">
        <f t="shared" si="8"/>
        <v>70000</v>
      </c>
      <c r="AO21" s="417">
        <f t="shared" si="9"/>
        <v>187586</v>
      </c>
      <c r="AP21" s="417">
        <f t="shared" si="10"/>
        <v>-13641</v>
      </c>
      <c r="AQ21" s="417">
        <f t="shared" si="11"/>
        <v>0</v>
      </c>
      <c r="AR21" s="417">
        <f t="shared" si="12"/>
        <v>-13641</v>
      </c>
      <c r="AS21" s="68">
        <f t="shared" si="13"/>
        <v>-30835</v>
      </c>
      <c r="AT21" s="68">
        <f t="shared" si="14"/>
        <v>-2012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-46488</v>
      </c>
      <c r="AZ21" s="418">
        <v>0</v>
      </c>
      <c r="BA21" s="418">
        <v>-0.09</v>
      </c>
      <c r="BB21" s="418">
        <v>0</v>
      </c>
      <c r="BC21" s="418">
        <v>-0.18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-0.18</v>
      </c>
      <c r="BJ21" s="418">
        <f t="shared" si="18"/>
        <v>-0.09</v>
      </c>
      <c r="BK21" s="420">
        <f t="shared" si="19"/>
        <v>-0.27</v>
      </c>
      <c r="BL21" s="772">
        <f t="shared" si="26"/>
        <v>65615637</v>
      </c>
      <c r="BM21" s="417">
        <f t="shared" si="27"/>
        <v>47353991</v>
      </c>
      <c r="BN21" s="417">
        <f t="shared" si="28"/>
        <v>42865419</v>
      </c>
      <c r="BO21" s="417">
        <f t="shared" si="28"/>
        <v>4488572</v>
      </c>
      <c r="BP21" s="417">
        <f t="shared" si="29"/>
        <v>462586</v>
      </c>
      <c r="BQ21" s="417">
        <f t="shared" si="30"/>
        <v>237586</v>
      </c>
      <c r="BR21" s="417">
        <f t="shared" si="30"/>
        <v>225000</v>
      </c>
      <c r="BS21" s="417">
        <f t="shared" si="31"/>
        <v>16135779</v>
      </c>
      <c r="BT21" s="417">
        <f t="shared" si="31"/>
        <v>473541</v>
      </c>
      <c r="BU21" s="417">
        <f t="shared" si="32"/>
        <v>1189740</v>
      </c>
      <c r="BV21" s="418">
        <f t="shared" si="33"/>
        <v>74.635400000000018</v>
      </c>
      <c r="BW21" s="418">
        <f t="shared" si="34"/>
        <v>59.814900000000002</v>
      </c>
      <c r="BX21" s="420">
        <f t="shared" si="34"/>
        <v>14.820500000000001</v>
      </c>
      <c r="BY21" s="419">
        <v>760272</v>
      </c>
      <c r="BZ21" s="414">
        <v>564000</v>
      </c>
      <c r="CA21" s="414">
        <v>0</v>
      </c>
      <c r="CB21" s="414">
        <v>190632</v>
      </c>
      <c r="CC21" s="414">
        <v>5640</v>
      </c>
      <c r="CD21" s="422">
        <v>1</v>
      </c>
      <c r="CE21" s="419">
        <v>2336084</v>
      </c>
      <c r="CF21" s="414">
        <v>1512867</v>
      </c>
      <c r="CG21" s="414">
        <v>511349</v>
      </c>
      <c r="CH21" s="414">
        <v>15128</v>
      </c>
      <c r="CI21" s="414">
        <v>296740</v>
      </c>
      <c r="CJ21" s="509">
        <v>4.8404000000000007</v>
      </c>
    </row>
    <row r="22" spans="1:88" s="96" customFormat="1" ht="14.1" customHeight="1">
      <c r="A22" s="118">
        <v>3</v>
      </c>
      <c r="B22" s="77">
        <v>2448</v>
      </c>
      <c r="C22" s="93">
        <v>600080269</v>
      </c>
      <c r="D22" s="77">
        <v>63154617</v>
      </c>
      <c r="E22" s="77" t="s">
        <v>708</v>
      </c>
      <c r="F22" s="94">
        <v>3113</v>
      </c>
      <c r="G22" s="77" t="s">
        <v>291</v>
      </c>
      <c r="H22" s="95" t="s">
        <v>272</v>
      </c>
      <c r="I22" s="596">
        <v>9342506</v>
      </c>
      <c r="J22" s="595">
        <v>6896518</v>
      </c>
      <c r="K22" s="595">
        <v>6896518</v>
      </c>
      <c r="L22" s="595">
        <v>0</v>
      </c>
      <c r="M22" s="595">
        <v>0</v>
      </c>
      <c r="N22" s="595">
        <v>0</v>
      </c>
      <c r="O22" s="595">
        <v>0</v>
      </c>
      <c r="P22" s="595">
        <v>2331023</v>
      </c>
      <c r="Q22" s="595">
        <v>68965</v>
      </c>
      <c r="R22" s="595">
        <v>46000</v>
      </c>
      <c r="S22" s="416">
        <v>18.46</v>
      </c>
      <c r="T22" s="416">
        <v>18.46</v>
      </c>
      <c r="U22" s="748">
        <v>0</v>
      </c>
      <c r="V22" s="423">
        <f t="shared" si="2"/>
        <v>0</v>
      </c>
      <c r="W22" s="417">
        <f t="shared" si="3"/>
        <v>0</v>
      </c>
      <c r="X22" s="417">
        <f>-70022-4126</f>
        <v>-74148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4"/>
        <v>-74148</v>
      </c>
      <c r="AF22" s="417">
        <f t="shared" si="5"/>
        <v>0</v>
      </c>
      <c r="AG22" s="417">
        <f t="shared" si="6"/>
        <v>-74148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7"/>
        <v>0</v>
      </c>
      <c r="AN22" s="417">
        <f t="shared" si="8"/>
        <v>0</v>
      </c>
      <c r="AO22" s="417">
        <f t="shared" si="9"/>
        <v>0</v>
      </c>
      <c r="AP22" s="417">
        <f t="shared" si="10"/>
        <v>-74148</v>
      </c>
      <c r="AQ22" s="417">
        <f t="shared" si="11"/>
        <v>0</v>
      </c>
      <c r="AR22" s="417">
        <f t="shared" si="12"/>
        <v>-74148</v>
      </c>
      <c r="AS22" s="68">
        <f t="shared" si="13"/>
        <v>-25062</v>
      </c>
      <c r="AT22" s="68">
        <f t="shared" si="14"/>
        <v>-741</v>
      </c>
      <c r="AU22" s="417">
        <f>9500+2250</f>
        <v>11750</v>
      </c>
      <c r="AV22" s="417">
        <v>0</v>
      </c>
      <c r="AW22" s="417">
        <v>0</v>
      </c>
      <c r="AX22" s="417">
        <f t="shared" si="15"/>
        <v>11750</v>
      </c>
      <c r="AY22" s="417">
        <f t="shared" si="16"/>
        <v>-88201</v>
      </c>
      <c r="AZ22" s="418">
        <v>0</v>
      </c>
      <c r="BA22" s="418">
        <v>0</v>
      </c>
      <c r="BB22" s="418">
        <f>-0.19-0.01</f>
        <v>-0.2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-0.2</v>
      </c>
      <c r="BJ22" s="418">
        <f t="shared" si="18"/>
        <v>0</v>
      </c>
      <c r="BK22" s="420">
        <f t="shared" si="19"/>
        <v>-0.2</v>
      </c>
      <c r="BL22" s="772">
        <f t="shared" si="26"/>
        <v>9254305</v>
      </c>
      <c r="BM22" s="417">
        <f t="shared" si="27"/>
        <v>6822370</v>
      </c>
      <c r="BN22" s="417">
        <f t="shared" si="28"/>
        <v>6822370</v>
      </c>
      <c r="BO22" s="417">
        <f t="shared" si="28"/>
        <v>0</v>
      </c>
      <c r="BP22" s="417">
        <f t="shared" si="29"/>
        <v>0</v>
      </c>
      <c r="BQ22" s="417">
        <f t="shared" si="30"/>
        <v>0</v>
      </c>
      <c r="BR22" s="417">
        <f t="shared" si="30"/>
        <v>0</v>
      </c>
      <c r="BS22" s="417">
        <f t="shared" si="31"/>
        <v>2305961</v>
      </c>
      <c r="BT22" s="417">
        <f t="shared" si="31"/>
        <v>68224</v>
      </c>
      <c r="BU22" s="417">
        <f t="shared" si="32"/>
        <v>57750</v>
      </c>
      <c r="BV22" s="418">
        <f t="shared" si="33"/>
        <v>18.260000000000002</v>
      </c>
      <c r="BW22" s="418">
        <f t="shared" si="34"/>
        <v>18.260000000000002</v>
      </c>
      <c r="BX22" s="420">
        <f t="shared" si="34"/>
        <v>0</v>
      </c>
      <c r="BY22" s="419"/>
      <c r="BZ22" s="414"/>
      <c r="CA22" s="414"/>
      <c r="CB22" s="414"/>
      <c r="CC22" s="414"/>
      <c r="CD22" s="422"/>
      <c r="CE22" s="419">
        <v>0</v>
      </c>
      <c r="CF22" s="414">
        <v>0</v>
      </c>
      <c r="CG22" s="414">
        <v>0</v>
      </c>
      <c r="CH22" s="414">
        <v>0</v>
      </c>
      <c r="CI22" s="414">
        <v>0</v>
      </c>
      <c r="CJ22" s="509">
        <v>0</v>
      </c>
    </row>
    <row r="23" spans="1:88" s="96" customFormat="1" ht="14.1" customHeight="1">
      <c r="A23" s="118">
        <v>3</v>
      </c>
      <c r="B23" s="102">
        <v>2448</v>
      </c>
      <c r="C23" s="93">
        <v>600080269</v>
      </c>
      <c r="D23" s="77">
        <v>63154617</v>
      </c>
      <c r="E23" s="102" t="s">
        <v>708</v>
      </c>
      <c r="F23" s="94">
        <v>3141</v>
      </c>
      <c r="G23" s="77" t="s">
        <v>294</v>
      </c>
      <c r="H23" s="95" t="s">
        <v>272</v>
      </c>
      <c r="I23" s="596">
        <v>4237179</v>
      </c>
      <c r="J23" s="595">
        <v>3064128</v>
      </c>
      <c r="K23" s="595">
        <v>0</v>
      </c>
      <c r="L23" s="601">
        <v>3064128</v>
      </c>
      <c r="M23" s="595">
        <v>60000</v>
      </c>
      <c r="N23" s="595">
        <v>0</v>
      </c>
      <c r="O23" s="595">
        <v>60000</v>
      </c>
      <c r="P23" s="595">
        <v>1055956</v>
      </c>
      <c r="Q23" s="595">
        <v>30641</v>
      </c>
      <c r="R23" s="595">
        <v>26454</v>
      </c>
      <c r="S23" s="416">
        <v>9.3666000000000018</v>
      </c>
      <c r="T23" s="416">
        <v>0</v>
      </c>
      <c r="U23" s="748">
        <v>9.3666000000000018</v>
      </c>
      <c r="V23" s="423">
        <f t="shared" si="2"/>
        <v>0</v>
      </c>
      <c r="W23" s="417">
        <f t="shared" si="3"/>
        <v>-15000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4"/>
        <v>0</v>
      </c>
      <c r="AF23" s="417">
        <f t="shared" si="5"/>
        <v>-15000</v>
      </c>
      <c r="AG23" s="417">
        <f t="shared" si="6"/>
        <v>-15000</v>
      </c>
      <c r="AH23" s="417">
        <v>0</v>
      </c>
      <c r="AI23" s="417">
        <v>15000</v>
      </c>
      <c r="AJ23" s="417">
        <v>0</v>
      </c>
      <c r="AK23" s="417">
        <v>0</v>
      </c>
      <c r="AL23" s="417">
        <v>0</v>
      </c>
      <c r="AM23" s="417">
        <f t="shared" si="7"/>
        <v>0</v>
      </c>
      <c r="AN23" s="417">
        <f t="shared" si="8"/>
        <v>15000</v>
      </c>
      <c r="AO23" s="417">
        <f t="shared" si="9"/>
        <v>15000</v>
      </c>
      <c r="AP23" s="417">
        <f t="shared" si="10"/>
        <v>0</v>
      </c>
      <c r="AQ23" s="417">
        <f t="shared" si="11"/>
        <v>0</v>
      </c>
      <c r="AR23" s="417">
        <f t="shared" si="12"/>
        <v>0</v>
      </c>
      <c r="AS23" s="68">
        <f t="shared" si="13"/>
        <v>0</v>
      </c>
      <c r="AT23" s="68">
        <f t="shared" si="14"/>
        <v>-150</v>
      </c>
      <c r="AU23" s="417">
        <v>0</v>
      </c>
      <c r="AV23" s="417">
        <v>0</v>
      </c>
      <c r="AW23" s="417">
        <v>0</v>
      </c>
      <c r="AX23" s="417">
        <f t="shared" si="15"/>
        <v>0</v>
      </c>
      <c r="AY23" s="417">
        <f t="shared" si="16"/>
        <v>-150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7"/>
        <v>0</v>
      </c>
      <c r="BJ23" s="418">
        <f t="shared" si="18"/>
        <v>0</v>
      </c>
      <c r="BK23" s="420">
        <f t="shared" si="19"/>
        <v>0</v>
      </c>
      <c r="BL23" s="772">
        <f t="shared" si="26"/>
        <v>4237029</v>
      </c>
      <c r="BM23" s="417">
        <f t="shared" si="27"/>
        <v>3049128</v>
      </c>
      <c r="BN23" s="417">
        <f t="shared" si="28"/>
        <v>0</v>
      </c>
      <c r="BO23" s="417">
        <f t="shared" si="28"/>
        <v>3049128</v>
      </c>
      <c r="BP23" s="417">
        <f t="shared" si="29"/>
        <v>75000</v>
      </c>
      <c r="BQ23" s="417">
        <f t="shared" si="30"/>
        <v>0</v>
      </c>
      <c r="BR23" s="417">
        <f t="shared" si="30"/>
        <v>75000</v>
      </c>
      <c r="BS23" s="417">
        <f t="shared" si="31"/>
        <v>1055956</v>
      </c>
      <c r="BT23" s="417">
        <f t="shared" si="31"/>
        <v>30491</v>
      </c>
      <c r="BU23" s="417">
        <f t="shared" si="32"/>
        <v>26454</v>
      </c>
      <c r="BV23" s="418">
        <f t="shared" si="33"/>
        <v>9.3666000000000018</v>
      </c>
      <c r="BW23" s="418">
        <f t="shared" si="34"/>
        <v>0</v>
      </c>
      <c r="BX23" s="420">
        <f t="shared" si="34"/>
        <v>9.3666000000000018</v>
      </c>
      <c r="BY23" s="419"/>
      <c r="BZ23" s="414"/>
      <c r="CA23" s="414"/>
      <c r="CB23" s="414"/>
      <c r="CC23" s="414"/>
      <c r="CD23" s="422"/>
      <c r="CE23" s="419">
        <v>0</v>
      </c>
      <c r="CF23" s="414">
        <v>0</v>
      </c>
      <c r="CG23" s="414">
        <v>0</v>
      </c>
      <c r="CH23" s="414">
        <v>0</v>
      </c>
      <c r="CI23" s="414">
        <v>0</v>
      </c>
      <c r="CJ23" s="509">
        <v>0</v>
      </c>
    </row>
    <row r="24" spans="1:88" s="96" customFormat="1" ht="14.1" customHeight="1">
      <c r="A24" s="118">
        <v>3</v>
      </c>
      <c r="B24" s="77">
        <v>2448</v>
      </c>
      <c r="C24" s="93">
        <v>600080269</v>
      </c>
      <c r="D24" s="77">
        <v>63154617</v>
      </c>
      <c r="E24" s="77" t="s">
        <v>708</v>
      </c>
      <c r="F24" s="94">
        <v>3143</v>
      </c>
      <c r="G24" s="77" t="s">
        <v>595</v>
      </c>
      <c r="H24" s="95" t="s">
        <v>271</v>
      </c>
      <c r="I24" s="596">
        <v>4369482</v>
      </c>
      <c r="J24" s="595">
        <v>3167012</v>
      </c>
      <c r="K24" s="595">
        <v>3167012</v>
      </c>
      <c r="L24" s="595">
        <v>0</v>
      </c>
      <c r="M24" s="595">
        <v>75000</v>
      </c>
      <c r="N24" s="595">
        <v>75000</v>
      </c>
      <c r="O24" s="595">
        <v>0</v>
      </c>
      <c r="P24" s="595">
        <v>1095800</v>
      </c>
      <c r="Q24" s="595">
        <v>31670</v>
      </c>
      <c r="R24" s="595">
        <v>0</v>
      </c>
      <c r="S24" s="416">
        <v>6.1000000000000005</v>
      </c>
      <c r="T24" s="416">
        <v>6.1000000000000005</v>
      </c>
      <c r="U24" s="748">
        <v>0</v>
      </c>
      <c r="V24" s="423">
        <f t="shared" si="2"/>
        <v>-10000</v>
      </c>
      <c r="W24" s="417">
        <f t="shared" si="3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4"/>
        <v>-10000</v>
      </c>
      <c r="AF24" s="417">
        <f t="shared" si="5"/>
        <v>0</v>
      </c>
      <c r="AG24" s="417">
        <f t="shared" si="6"/>
        <v>-10000</v>
      </c>
      <c r="AH24" s="417">
        <v>10000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7"/>
        <v>10000</v>
      </c>
      <c r="AN24" s="417">
        <f t="shared" si="8"/>
        <v>0</v>
      </c>
      <c r="AO24" s="417">
        <f t="shared" si="9"/>
        <v>10000</v>
      </c>
      <c r="AP24" s="417">
        <f t="shared" si="10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-100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-100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 t="shared" si="26"/>
        <v>4369382</v>
      </c>
      <c r="BM24" s="417">
        <f t="shared" si="27"/>
        <v>3157012</v>
      </c>
      <c r="BN24" s="417">
        <f t="shared" si="28"/>
        <v>3157012</v>
      </c>
      <c r="BO24" s="417">
        <f t="shared" si="28"/>
        <v>0</v>
      </c>
      <c r="BP24" s="417">
        <f t="shared" si="29"/>
        <v>85000</v>
      </c>
      <c r="BQ24" s="417">
        <f t="shared" si="30"/>
        <v>85000</v>
      </c>
      <c r="BR24" s="417">
        <f t="shared" si="30"/>
        <v>0</v>
      </c>
      <c r="BS24" s="417">
        <f t="shared" si="31"/>
        <v>1095800</v>
      </c>
      <c r="BT24" s="417">
        <f t="shared" si="31"/>
        <v>31570</v>
      </c>
      <c r="BU24" s="417">
        <f t="shared" si="32"/>
        <v>0</v>
      </c>
      <c r="BV24" s="418">
        <f t="shared" si="33"/>
        <v>6.1000000000000005</v>
      </c>
      <c r="BW24" s="418">
        <f t="shared" si="34"/>
        <v>6.1000000000000005</v>
      </c>
      <c r="BX24" s="420">
        <f t="shared" si="34"/>
        <v>0</v>
      </c>
      <c r="BY24" s="419"/>
      <c r="BZ24" s="414"/>
      <c r="CA24" s="414"/>
      <c r="CB24" s="414"/>
      <c r="CC24" s="414"/>
      <c r="CD24" s="422"/>
      <c r="CE24" s="419">
        <v>0</v>
      </c>
      <c r="CF24" s="414">
        <v>0</v>
      </c>
      <c r="CG24" s="414">
        <v>0</v>
      </c>
      <c r="CH24" s="414">
        <v>0</v>
      </c>
      <c r="CI24" s="414">
        <v>0</v>
      </c>
      <c r="CJ24" s="509">
        <v>0</v>
      </c>
    </row>
    <row r="25" spans="1:88" s="96" customFormat="1" ht="14.1" customHeight="1">
      <c r="A25" s="118">
        <v>3</v>
      </c>
      <c r="B25" s="77">
        <v>2448</v>
      </c>
      <c r="C25" s="93">
        <v>600080269</v>
      </c>
      <c r="D25" s="77">
        <v>63154617</v>
      </c>
      <c r="E25" s="77" t="s">
        <v>708</v>
      </c>
      <c r="F25" s="94">
        <v>3143</v>
      </c>
      <c r="G25" s="77" t="s">
        <v>596</v>
      </c>
      <c r="H25" s="95" t="s">
        <v>272</v>
      </c>
      <c r="I25" s="596">
        <v>165207</v>
      </c>
      <c r="J25" s="595">
        <v>118250</v>
      </c>
      <c r="K25" s="595">
        <v>0</v>
      </c>
      <c r="L25" s="601">
        <v>118250</v>
      </c>
      <c r="M25" s="595">
        <v>0</v>
      </c>
      <c r="N25" s="601">
        <v>0</v>
      </c>
      <c r="O25" s="601">
        <v>0</v>
      </c>
      <c r="P25" s="595">
        <v>39969</v>
      </c>
      <c r="Q25" s="595">
        <v>1183</v>
      </c>
      <c r="R25" s="601">
        <v>5805</v>
      </c>
      <c r="S25" s="416">
        <v>0.44869999999999999</v>
      </c>
      <c r="T25" s="603">
        <v>0</v>
      </c>
      <c r="U25" s="731">
        <v>0.44869999999999999</v>
      </c>
      <c r="V25" s="423">
        <f t="shared" si="2"/>
        <v>0</v>
      </c>
      <c r="W25" s="417">
        <f t="shared" si="3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4"/>
        <v>0</v>
      </c>
      <c r="AF25" s="417">
        <f t="shared" si="5"/>
        <v>0</v>
      </c>
      <c r="AG25" s="417">
        <f t="shared" si="6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7"/>
        <v>0</v>
      </c>
      <c r="AN25" s="417">
        <f t="shared" si="8"/>
        <v>0</v>
      </c>
      <c r="AO25" s="417">
        <f t="shared" si="9"/>
        <v>0</v>
      </c>
      <c r="AP25" s="417">
        <f t="shared" si="10"/>
        <v>0</v>
      </c>
      <c r="AQ25" s="417">
        <f t="shared" si="11"/>
        <v>0</v>
      </c>
      <c r="AR25" s="417">
        <f t="shared" si="12"/>
        <v>0</v>
      </c>
      <c r="AS25" s="68">
        <f t="shared" si="13"/>
        <v>0</v>
      </c>
      <c r="AT25" s="68">
        <f t="shared" si="14"/>
        <v>0</v>
      </c>
      <c r="AU25" s="417">
        <v>0</v>
      </c>
      <c r="AV25" s="417">
        <v>0</v>
      </c>
      <c r="AW25" s="417">
        <v>0</v>
      </c>
      <c r="AX25" s="417">
        <f t="shared" si="15"/>
        <v>0</v>
      </c>
      <c r="AY25" s="417">
        <f t="shared" si="16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7"/>
        <v>0</v>
      </c>
      <c r="BJ25" s="418">
        <f t="shared" si="18"/>
        <v>0</v>
      </c>
      <c r="BK25" s="420">
        <f t="shared" si="19"/>
        <v>0</v>
      </c>
      <c r="BL25" s="772">
        <f t="shared" si="26"/>
        <v>165207</v>
      </c>
      <c r="BM25" s="417">
        <f t="shared" si="27"/>
        <v>118250</v>
      </c>
      <c r="BN25" s="417">
        <f t="shared" si="28"/>
        <v>0</v>
      </c>
      <c r="BO25" s="417">
        <f t="shared" si="28"/>
        <v>118250</v>
      </c>
      <c r="BP25" s="417">
        <f t="shared" si="29"/>
        <v>0</v>
      </c>
      <c r="BQ25" s="417">
        <f t="shared" si="30"/>
        <v>0</v>
      </c>
      <c r="BR25" s="417">
        <f t="shared" si="30"/>
        <v>0</v>
      </c>
      <c r="BS25" s="417">
        <f t="shared" si="31"/>
        <v>39969</v>
      </c>
      <c r="BT25" s="417">
        <f t="shared" si="31"/>
        <v>1183</v>
      </c>
      <c r="BU25" s="417">
        <f t="shared" si="32"/>
        <v>5805</v>
      </c>
      <c r="BV25" s="418">
        <f t="shared" si="33"/>
        <v>0.44869999999999999</v>
      </c>
      <c r="BW25" s="418">
        <f t="shared" si="34"/>
        <v>0</v>
      </c>
      <c r="BX25" s="420">
        <f t="shared" si="34"/>
        <v>0.44869999999999999</v>
      </c>
      <c r="BY25" s="419"/>
      <c r="BZ25" s="414"/>
      <c r="CA25" s="414"/>
      <c r="CB25" s="414"/>
      <c r="CC25" s="414"/>
      <c r="CD25" s="422"/>
      <c r="CE25" s="419">
        <v>0</v>
      </c>
      <c r="CF25" s="414">
        <v>0</v>
      </c>
      <c r="CG25" s="414">
        <v>0</v>
      </c>
      <c r="CH25" s="414">
        <v>0</v>
      </c>
      <c r="CI25" s="414">
        <v>0</v>
      </c>
      <c r="CJ25" s="509">
        <v>0</v>
      </c>
    </row>
    <row r="26" spans="1:88" s="96" customFormat="1" ht="14.1" customHeight="1">
      <c r="A26" s="118">
        <v>3</v>
      </c>
      <c r="B26" s="77">
        <v>2448</v>
      </c>
      <c r="C26" s="93">
        <v>600080269</v>
      </c>
      <c r="D26" s="77">
        <v>63154617</v>
      </c>
      <c r="E26" s="77" t="s">
        <v>708</v>
      </c>
      <c r="F26" s="94">
        <v>3231</v>
      </c>
      <c r="G26" s="77" t="s">
        <v>295</v>
      </c>
      <c r="H26" s="95" t="s">
        <v>271</v>
      </c>
      <c r="I26" s="596">
        <v>9557589</v>
      </c>
      <c r="J26" s="595">
        <v>6929361</v>
      </c>
      <c r="K26" s="16">
        <v>6601391</v>
      </c>
      <c r="L26" s="16">
        <v>327970</v>
      </c>
      <c r="M26" s="595">
        <v>140000</v>
      </c>
      <c r="N26" s="595">
        <v>90000</v>
      </c>
      <c r="O26" s="595">
        <v>50000</v>
      </c>
      <c r="P26" s="595">
        <v>2389444</v>
      </c>
      <c r="Q26" s="595">
        <v>69294</v>
      </c>
      <c r="R26" s="16">
        <v>29490</v>
      </c>
      <c r="S26" s="416">
        <v>11.253000000000002</v>
      </c>
      <c r="T26" s="13">
        <v>10.3325</v>
      </c>
      <c r="U26" s="169">
        <v>0.92049999999999998</v>
      </c>
      <c r="V26" s="423">
        <f t="shared" si="2"/>
        <v>-10000</v>
      </c>
      <c r="W26" s="417">
        <f t="shared" si="3"/>
        <v>-20000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4"/>
        <v>-10000</v>
      </c>
      <c r="AF26" s="417">
        <f t="shared" si="5"/>
        <v>-20000</v>
      </c>
      <c r="AG26" s="417">
        <f t="shared" si="6"/>
        <v>-30000</v>
      </c>
      <c r="AH26" s="417">
        <v>10000</v>
      </c>
      <c r="AI26" s="417">
        <v>20000</v>
      </c>
      <c r="AJ26" s="417">
        <v>0</v>
      </c>
      <c r="AK26" s="417">
        <v>0</v>
      </c>
      <c r="AL26" s="417">
        <v>0</v>
      </c>
      <c r="AM26" s="417">
        <f t="shared" si="7"/>
        <v>10000</v>
      </c>
      <c r="AN26" s="417">
        <f t="shared" si="8"/>
        <v>20000</v>
      </c>
      <c r="AO26" s="417">
        <f t="shared" si="9"/>
        <v>30000</v>
      </c>
      <c r="AP26" s="417">
        <f t="shared" si="10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-300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-300</v>
      </c>
      <c r="AZ26" s="418">
        <v>-0.02</v>
      </c>
      <c r="BA26" s="418">
        <v>-0.06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-0.02</v>
      </c>
      <c r="BJ26" s="418">
        <f t="shared" si="18"/>
        <v>-0.06</v>
      </c>
      <c r="BK26" s="420">
        <f t="shared" si="19"/>
        <v>-0.08</v>
      </c>
      <c r="BL26" s="772">
        <f t="shared" si="26"/>
        <v>9557289</v>
      </c>
      <c r="BM26" s="417">
        <f t="shared" si="27"/>
        <v>6899361</v>
      </c>
      <c r="BN26" s="417">
        <f t="shared" si="28"/>
        <v>6591391</v>
      </c>
      <c r="BO26" s="417">
        <f t="shared" si="28"/>
        <v>307970</v>
      </c>
      <c r="BP26" s="417">
        <f t="shared" si="29"/>
        <v>170000</v>
      </c>
      <c r="BQ26" s="417">
        <f t="shared" si="30"/>
        <v>100000</v>
      </c>
      <c r="BR26" s="417">
        <f t="shared" si="30"/>
        <v>70000</v>
      </c>
      <c r="BS26" s="417">
        <f t="shared" si="31"/>
        <v>2389444</v>
      </c>
      <c r="BT26" s="417">
        <f t="shared" si="31"/>
        <v>68994</v>
      </c>
      <c r="BU26" s="417">
        <f t="shared" si="32"/>
        <v>29490</v>
      </c>
      <c r="BV26" s="418">
        <f t="shared" si="33"/>
        <v>11.173000000000002</v>
      </c>
      <c r="BW26" s="418">
        <f t="shared" si="34"/>
        <v>10.3125</v>
      </c>
      <c r="BX26" s="420">
        <f t="shared" si="34"/>
        <v>0.86050000000000004</v>
      </c>
      <c r="BY26" s="419"/>
      <c r="BZ26" s="414"/>
      <c r="CA26" s="414"/>
      <c r="CB26" s="414"/>
      <c r="CC26" s="414"/>
      <c r="CD26" s="422"/>
      <c r="CE26" s="419">
        <v>176955</v>
      </c>
      <c r="CF26" s="414">
        <v>124050</v>
      </c>
      <c r="CG26" s="414">
        <v>41929</v>
      </c>
      <c r="CH26" s="414">
        <v>1241</v>
      </c>
      <c r="CI26" s="414">
        <v>9735</v>
      </c>
      <c r="CJ26" s="509">
        <v>0.34799999999999998</v>
      </c>
    </row>
    <row r="27" spans="1:88" s="96" customFormat="1" ht="14.1" customHeight="1">
      <c r="A27" s="118">
        <v>3</v>
      </c>
      <c r="B27" s="77">
        <v>2448</v>
      </c>
      <c r="C27" s="93">
        <v>600080269</v>
      </c>
      <c r="D27" s="77">
        <v>63154617</v>
      </c>
      <c r="E27" s="77" t="s">
        <v>708</v>
      </c>
      <c r="F27" s="94">
        <v>3233</v>
      </c>
      <c r="G27" s="77" t="s">
        <v>297</v>
      </c>
      <c r="H27" s="95" t="s">
        <v>272</v>
      </c>
      <c r="I27" s="596">
        <v>1652808</v>
      </c>
      <c r="J27" s="595">
        <v>1225143</v>
      </c>
      <c r="K27" s="595">
        <v>1000092</v>
      </c>
      <c r="L27" s="595">
        <v>225051</v>
      </c>
      <c r="M27" s="595">
        <v>0</v>
      </c>
      <c r="N27" s="595">
        <v>0</v>
      </c>
      <c r="O27" s="595">
        <v>0</v>
      </c>
      <c r="P27" s="595">
        <v>414098</v>
      </c>
      <c r="Q27" s="595">
        <v>12251</v>
      </c>
      <c r="R27" s="595">
        <v>1316</v>
      </c>
      <c r="S27" s="416">
        <v>2.5300000000000002</v>
      </c>
      <c r="T27" s="416">
        <v>1.81</v>
      </c>
      <c r="U27" s="748">
        <v>0.72</v>
      </c>
      <c r="V27" s="423">
        <f t="shared" si="2"/>
        <v>0</v>
      </c>
      <c r="W27" s="417">
        <f t="shared" si="3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4"/>
        <v>0</v>
      </c>
      <c r="AF27" s="417">
        <f t="shared" si="5"/>
        <v>0</v>
      </c>
      <c r="AG27" s="417">
        <f t="shared" si="6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7"/>
        <v>0</v>
      </c>
      <c r="AN27" s="417">
        <f t="shared" si="8"/>
        <v>0</v>
      </c>
      <c r="AO27" s="417">
        <f t="shared" si="9"/>
        <v>0</v>
      </c>
      <c r="AP27" s="417">
        <f t="shared" si="10"/>
        <v>0</v>
      </c>
      <c r="AQ27" s="417">
        <f t="shared" si="11"/>
        <v>0</v>
      </c>
      <c r="AR27" s="417">
        <f t="shared" si="12"/>
        <v>0</v>
      </c>
      <c r="AS27" s="68">
        <f t="shared" si="13"/>
        <v>0</v>
      </c>
      <c r="AT27" s="68">
        <f t="shared" si="14"/>
        <v>0</v>
      </c>
      <c r="AU27" s="417">
        <v>0</v>
      </c>
      <c r="AV27" s="417">
        <v>0</v>
      </c>
      <c r="AW27" s="417">
        <v>0</v>
      </c>
      <c r="AX27" s="417">
        <f t="shared" si="15"/>
        <v>0</v>
      </c>
      <c r="AY27" s="417">
        <f t="shared" si="16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7"/>
        <v>0</v>
      </c>
      <c r="BJ27" s="418">
        <f t="shared" si="18"/>
        <v>0</v>
      </c>
      <c r="BK27" s="420">
        <f t="shared" si="19"/>
        <v>0</v>
      </c>
      <c r="BL27" s="772">
        <f t="shared" si="26"/>
        <v>1652808</v>
      </c>
      <c r="BM27" s="417">
        <f t="shared" si="27"/>
        <v>1225143</v>
      </c>
      <c r="BN27" s="417">
        <f t="shared" si="28"/>
        <v>1000092</v>
      </c>
      <c r="BO27" s="417">
        <f t="shared" si="28"/>
        <v>225051</v>
      </c>
      <c r="BP27" s="417">
        <f t="shared" si="29"/>
        <v>0</v>
      </c>
      <c r="BQ27" s="417">
        <f t="shared" si="30"/>
        <v>0</v>
      </c>
      <c r="BR27" s="417">
        <f t="shared" si="30"/>
        <v>0</v>
      </c>
      <c r="BS27" s="417">
        <f t="shared" si="31"/>
        <v>414098</v>
      </c>
      <c r="BT27" s="417">
        <f t="shared" si="31"/>
        <v>12251</v>
      </c>
      <c r="BU27" s="417">
        <f t="shared" si="32"/>
        <v>1316</v>
      </c>
      <c r="BV27" s="418">
        <f t="shared" si="33"/>
        <v>2.5300000000000002</v>
      </c>
      <c r="BW27" s="418">
        <f t="shared" si="34"/>
        <v>1.81</v>
      </c>
      <c r="BX27" s="420">
        <f t="shared" si="34"/>
        <v>0.72</v>
      </c>
      <c r="BY27" s="419"/>
      <c r="BZ27" s="414"/>
      <c r="CA27" s="414"/>
      <c r="CB27" s="414"/>
      <c r="CC27" s="414"/>
      <c r="CD27" s="422"/>
      <c r="CE27" s="419">
        <v>0</v>
      </c>
      <c r="CF27" s="414">
        <v>0</v>
      </c>
      <c r="CG27" s="414">
        <v>0</v>
      </c>
      <c r="CH27" s="414">
        <v>0</v>
      </c>
      <c r="CI27" s="414">
        <v>0</v>
      </c>
      <c r="CJ27" s="509">
        <v>0</v>
      </c>
    </row>
    <row r="28" spans="1:88" s="96" customFormat="1" ht="14.1" customHeight="1">
      <c r="A28" s="119">
        <v>3</v>
      </c>
      <c r="B28" s="97">
        <v>2448</v>
      </c>
      <c r="C28" s="98">
        <v>600080269</v>
      </c>
      <c r="D28" s="97">
        <v>63154617</v>
      </c>
      <c r="E28" s="97" t="s">
        <v>709</v>
      </c>
      <c r="F28" s="99"/>
      <c r="G28" s="100"/>
      <c r="H28" s="101"/>
      <c r="I28" s="437">
        <v>112518157</v>
      </c>
      <c r="J28" s="433">
        <v>81745067</v>
      </c>
      <c r="K28" s="433">
        <v>72570916</v>
      </c>
      <c r="L28" s="433">
        <v>9174151</v>
      </c>
      <c r="M28" s="433">
        <v>700000</v>
      </c>
      <c r="N28" s="433">
        <v>335000</v>
      </c>
      <c r="O28" s="433">
        <v>365000</v>
      </c>
      <c r="P28" s="433">
        <v>27866434</v>
      </c>
      <c r="Q28" s="433">
        <v>817451</v>
      </c>
      <c r="R28" s="433">
        <v>1389205</v>
      </c>
      <c r="S28" s="434">
        <v>147.60070000000005</v>
      </c>
      <c r="T28" s="434">
        <v>117.30739999999999</v>
      </c>
      <c r="U28" s="695">
        <v>30.293299999999999</v>
      </c>
      <c r="V28" s="437">
        <f t="shared" ref="V28:CG28" si="35">SUM(V20:V27)</f>
        <v>-75000</v>
      </c>
      <c r="W28" s="433">
        <f t="shared" si="35"/>
        <v>-125000</v>
      </c>
      <c r="X28" s="433">
        <f t="shared" si="35"/>
        <v>-74148</v>
      </c>
      <c r="Y28" s="433">
        <f t="shared" si="35"/>
        <v>0</v>
      </c>
      <c r="Z28" s="433">
        <f t="shared" si="35"/>
        <v>-91227</v>
      </c>
      <c r="AA28" s="433">
        <f t="shared" si="35"/>
        <v>0</v>
      </c>
      <c r="AB28" s="433">
        <f t="shared" si="35"/>
        <v>0</v>
      </c>
      <c r="AC28" s="433">
        <f t="shared" si="35"/>
        <v>0</v>
      </c>
      <c r="AD28" s="433">
        <f t="shared" si="35"/>
        <v>0</v>
      </c>
      <c r="AE28" s="433">
        <f t="shared" si="35"/>
        <v>-240375</v>
      </c>
      <c r="AF28" s="433">
        <f t="shared" si="35"/>
        <v>-125000</v>
      </c>
      <c r="AG28" s="433">
        <f t="shared" si="35"/>
        <v>-365375</v>
      </c>
      <c r="AH28" s="433">
        <f t="shared" si="35"/>
        <v>75000</v>
      </c>
      <c r="AI28" s="433">
        <f t="shared" si="35"/>
        <v>125000</v>
      </c>
      <c r="AJ28" s="433">
        <f t="shared" si="35"/>
        <v>0</v>
      </c>
      <c r="AK28" s="433">
        <f t="shared" si="35"/>
        <v>77586</v>
      </c>
      <c r="AL28" s="433">
        <f t="shared" si="35"/>
        <v>0</v>
      </c>
      <c r="AM28" s="433">
        <f t="shared" si="35"/>
        <v>152586</v>
      </c>
      <c r="AN28" s="433">
        <f t="shared" si="35"/>
        <v>125000</v>
      </c>
      <c r="AO28" s="433">
        <f t="shared" si="35"/>
        <v>277586</v>
      </c>
      <c r="AP28" s="433">
        <f t="shared" si="35"/>
        <v>-87789</v>
      </c>
      <c r="AQ28" s="433">
        <f t="shared" si="35"/>
        <v>0</v>
      </c>
      <c r="AR28" s="433">
        <f t="shared" si="35"/>
        <v>-87789</v>
      </c>
      <c r="AS28" s="433">
        <f t="shared" si="35"/>
        <v>-55897</v>
      </c>
      <c r="AT28" s="433">
        <f t="shared" si="35"/>
        <v>-3653</v>
      </c>
      <c r="AU28" s="433">
        <f t="shared" si="35"/>
        <v>11750</v>
      </c>
      <c r="AV28" s="433">
        <f t="shared" si="35"/>
        <v>0</v>
      </c>
      <c r="AW28" s="433">
        <f t="shared" si="35"/>
        <v>0</v>
      </c>
      <c r="AX28" s="433">
        <f t="shared" si="35"/>
        <v>11750</v>
      </c>
      <c r="AY28" s="433">
        <f t="shared" si="35"/>
        <v>-135589</v>
      </c>
      <c r="AZ28" s="434">
        <f t="shared" si="35"/>
        <v>-0.02</v>
      </c>
      <c r="BA28" s="434">
        <f t="shared" si="35"/>
        <v>-0.15</v>
      </c>
      <c r="BB28" s="434">
        <f t="shared" si="35"/>
        <v>-0.2</v>
      </c>
      <c r="BC28" s="434">
        <f t="shared" si="35"/>
        <v>-0.18</v>
      </c>
      <c r="BD28" s="434">
        <f t="shared" si="35"/>
        <v>0</v>
      </c>
      <c r="BE28" s="434">
        <f t="shared" si="35"/>
        <v>0</v>
      </c>
      <c r="BF28" s="434">
        <f t="shared" si="35"/>
        <v>0</v>
      </c>
      <c r="BG28" s="434">
        <f t="shared" si="35"/>
        <v>0</v>
      </c>
      <c r="BH28" s="434">
        <f t="shared" si="35"/>
        <v>0</v>
      </c>
      <c r="BI28" s="434">
        <f t="shared" si="35"/>
        <v>-0.4</v>
      </c>
      <c r="BJ28" s="434">
        <f t="shared" si="35"/>
        <v>-0.15</v>
      </c>
      <c r="BK28" s="103">
        <f t="shared" si="35"/>
        <v>-0.55000000000000004</v>
      </c>
      <c r="BL28" s="785">
        <f t="shared" si="35"/>
        <v>112382568</v>
      </c>
      <c r="BM28" s="433">
        <f t="shared" si="35"/>
        <v>81379692</v>
      </c>
      <c r="BN28" s="433">
        <f t="shared" si="35"/>
        <v>72330541</v>
      </c>
      <c r="BO28" s="433">
        <f t="shared" si="35"/>
        <v>9049151</v>
      </c>
      <c r="BP28" s="433">
        <f t="shared" si="35"/>
        <v>977586</v>
      </c>
      <c r="BQ28" s="433">
        <f t="shared" si="35"/>
        <v>487586</v>
      </c>
      <c r="BR28" s="433">
        <f t="shared" si="35"/>
        <v>490000</v>
      </c>
      <c r="BS28" s="433">
        <f t="shared" si="35"/>
        <v>27810537</v>
      </c>
      <c r="BT28" s="433">
        <f t="shared" si="35"/>
        <v>813798</v>
      </c>
      <c r="BU28" s="433">
        <f t="shared" si="35"/>
        <v>1400955</v>
      </c>
      <c r="BV28" s="434">
        <f t="shared" si="35"/>
        <v>147.05070000000003</v>
      </c>
      <c r="BW28" s="434">
        <f t="shared" si="35"/>
        <v>116.90740000000001</v>
      </c>
      <c r="BX28" s="103">
        <f t="shared" si="35"/>
        <v>30.143300000000004</v>
      </c>
      <c r="BY28" s="795">
        <f t="shared" si="35"/>
        <v>760272</v>
      </c>
      <c r="BZ28" s="698">
        <f t="shared" si="35"/>
        <v>564000</v>
      </c>
      <c r="CA28" s="698">
        <f t="shared" si="35"/>
        <v>0</v>
      </c>
      <c r="CB28" s="698">
        <f t="shared" si="35"/>
        <v>190632</v>
      </c>
      <c r="CC28" s="698">
        <f t="shared" si="35"/>
        <v>5640</v>
      </c>
      <c r="CD28" s="961">
        <f t="shared" si="35"/>
        <v>1</v>
      </c>
      <c r="CE28" s="887">
        <f t="shared" si="35"/>
        <v>2967043</v>
      </c>
      <c r="CF28" s="888">
        <f t="shared" si="35"/>
        <v>1951417</v>
      </c>
      <c r="CG28" s="888">
        <f t="shared" si="35"/>
        <v>659579</v>
      </c>
      <c r="CH28" s="888">
        <f t="shared" ref="CH28:CJ28" si="36">SUM(CH20:CH27)</f>
        <v>19514</v>
      </c>
      <c r="CI28" s="888">
        <f t="shared" si="36"/>
        <v>336533</v>
      </c>
      <c r="CJ28" s="889">
        <f t="shared" si="36"/>
        <v>6.4484000000000004</v>
      </c>
    </row>
    <row r="29" spans="1:88" s="96" customFormat="1" ht="14.1" customHeight="1">
      <c r="A29" s="118">
        <v>4</v>
      </c>
      <c r="B29" s="102">
        <v>2450</v>
      </c>
      <c r="C29" s="93">
        <v>600080234</v>
      </c>
      <c r="D29" s="77">
        <v>72745045</v>
      </c>
      <c r="E29" s="77" t="s">
        <v>710</v>
      </c>
      <c r="F29" s="94">
        <v>3111</v>
      </c>
      <c r="G29" s="77" t="s">
        <v>290</v>
      </c>
      <c r="H29" s="95" t="s">
        <v>271</v>
      </c>
      <c r="I29" s="596">
        <v>1561582</v>
      </c>
      <c r="J29" s="595">
        <v>1101322</v>
      </c>
      <c r="K29" s="595">
        <v>1013113</v>
      </c>
      <c r="L29" s="595">
        <v>88209</v>
      </c>
      <c r="M29" s="595">
        <v>50000</v>
      </c>
      <c r="N29" s="595">
        <v>50000</v>
      </c>
      <c r="O29" s="595">
        <v>0</v>
      </c>
      <c r="P29" s="595">
        <v>389147</v>
      </c>
      <c r="Q29" s="595">
        <v>11013</v>
      </c>
      <c r="R29" s="595">
        <v>10100</v>
      </c>
      <c r="S29" s="416">
        <v>2.3034000000000003</v>
      </c>
      <c r="T29" s="416">
        <v>1.95</v>
      </c>
      <c r="U29" s="748">
        <v>0.35339999999999999</v>
      </c>
      <c r="V29" s="423">
        <f t="shared" si="2"/>
        <v>0</v>
      </c>
      <c r="W29" s="417">
        <f t="shared" si="3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4"/>
        <v>0</v>
      </c>
      <c r="AF29" s="417">
        <f t="shared" si="5"/>
        <v>0</v>
      </c>
      <c r="AG29" s="417">
        <f t="shared" si="6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7"/>
        <v>0</v>
      </c>
      <c r="AN29" s="417">
        <f t="shared" si="8"/>
        <v>0</v>
      </c>
      <c r="AO29" s="417">
        <f t="shared" si="9"/>
        <v>0</v>
      </c>
      <c r="AP29" s="417">
        <f t="shared" si="10"/>
        <v>0</v>
      </c>
      <c r="AQ29" s="417">
        <f t="shared" si="11"/>
        <v>0</v>
      </c>
      <c r="AR29" s="417">
        <f t="shared" si="12"/>
        <v>0</v>
      </c>
      <c r="AS29" s="68">
        <f t="shared" si="13"/>
        <v>0</v>
      </c>
      <c r="AT29" s="68">
        <f t="shared" si="14"/>
        <v>0</v>
      </c>
      <c r="AU29" s="417">
        <v>0</v>
      </c>
      <c r="AV29" s="417">
        <v>0</v>
      </c>
      <c r="AW29" s="417">
        <v>0</v>
      </c>
      <c r="AX29" s="417">
        <f t="shared" si="15"/>
        <v>0</v>
      </c>
      <c r="AY29" s="417">
        <f t="shared" si="16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0</v>
      </c>
      <c r="BK29" s="420">
        <f t="shared" si="19"/>
        <v>0</v>
      </c>
      <c r="BL29" s="772">
        <f t="shared" ref="BL29:BL34" si="37">I29+AY29</f>
        <v>1561582</v>
      </c>
      <c r="BM29" s="417">
        <f t="shared" ref="BM29:BM34" si="38">J29+AG29</f>
        <v>1101322</v>
      </c>
      <c r="BN29" s="417">
        <f t="shared" ref="BN29:BO34" si="39">K29+AE29</f>
        <v>1013113</v>
      </c>
      <c r="BO29" s="417">
        <f t="shared" si="39"/>
        <v>88209</v>
      </c>
      <c r="BP29" s="417">
        <f t="shared" ref="BP29:BP34" si="40">M29+AO29</f>
        <v>50000</v>
      </c>
      <c r="BQ29" s="417">
        <f t="shared" ref="BQ29:BR34" si="41">N29+AM29</f>
        <v>50000</v>
      </c>
      <c r="BR29" s="417">
        <f t="shared" si="41"/>
        <v>0</v>
      </c>
      <c r="BS29" s="417">
        <f t="shared" ref="BS29:BT34" si="42">P29+AS29</f>
        <v>389147</v>
      </c>
      <c r="BT29" s="417">
        <f t="shared" si="42"/>
        <v>11013</v>
      </c>
      <c r="BU29" s="417">
        <f t="shared" ref="BU29:BU34" si="43">R29+AX29</f>
        <v>10100</v>
      </c>
      <c r="BV29" s="418">
        <f t="shared" ref="BV29:BV34" si="44">S29+BK29</f>
        <v>2.3034000000000003</v>
      </c>
      <c r="BW29" s="418">
        <f t="shared" ref="BW29:BX34" si="45">T29+BI29</f>
        <v>1.95</v>
      </c>
      <c r="BX29" s="420">
        <f t="shared" si="45"/>
        <v>0.35339999999999999</v>
      </c>
      <c r="BY29" s="419"/>
      <c r="BZ29" s="414"/>
      <c r="CA29" s="414"/>
      <c r="CB29" s="414"/>
      <c r="CC29" s="414"/>
      <c r="CD29" s="422"/>
      <c r="CE29" s="419">
        <v>41517</v>
      </c>
      <c r="CF29" s="414">
        <v>28305</v>
      </c>
      <c r="CG29" s="414">
        <v>9567</v>
      </c>
      <c r="CH29" s="414">
        <v>283</v>
      </c>
      <c r="CI29" s="414">
        <v>3362</v>
      </c>
      <c r="CJ29" s="509">
        <v>0.1134</v>
      </c>
    </row>
    <row r="30" spans="1:88" s="96" customFormat="1" ht="14.1" customHeight="1">
      <c r="A30" s="118">
        <v>4</v>
      </c>
      <c r="B30" s="104">
        <v>2450</v>
      </c>
      <c r="C30" s="93">
        <v>600080234</v>
      </c>
      <c r="D30" s="77">
        <v>72745045</v>
      </c>
      <c r="E30" s="104" t="s">
        <v>710</v>
      </c>
      <c r="F30" s="105">
        <v>3117</v>
      </c>
      <c r="G30" s="104" t="s">
        <v>308</v>
      </c>
      <c r="H30" s="95" t="s">
        <v>271</v>
      </c>
      <c r="I30" s="596">
        <v>2601076</v>
      </c>
      <c r="J30" s="595">
        <v>1876262</v>
      </c>
      <c r="K30" s="595">
        <v>1577153</v>
      </c>
      <c r="L30" s="595">
        <v>299109</v>
      </c>
      <c r="M30" s="595">
        <v>25000</v>
      </c>
      <c r="N30" s="595">
        <v>25000</v>
      </c>
      <c r="O30" s="595">
        <v>0</v>
      </c>
      <c r="P30" s="595">
        <v>642626</v>
      </c>
      <c r="Q30" s="595">
        <v>18763</v>
      </c>
      <c r="R30" s="595">
        <v>38425</v>
      </c>
      <c r="S30" s="416">
        <v>3.2631000000000006</v>
      </c>
      <c r="T30" s="416">
        <v>2.4900000000000002</v>
      </c>
      <c r="U30" s="748">
        <v>0.77310000000000001</v>
      </c>
      <c r="V30" s="423">
        <f t="shared" si="2"/>
        <v>0</v>
      </c>
      <c r="W30" s="417">
        <f t="shared" si="3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4"/>
        <v>0</v>
      </c>
      <c r="AF30" s="417">
        <f t="shared" si="5"/>
        <v>0</v>
      </c>
      <c r="AG30" s="417">
        <f t="shared" si="6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7"/>
        <v>0</v>
      </c>
      <c r="AN30" s="417">
        <f t="shared" si="8"/>
        <v>0</v>
      </c>
      <c r="AO30" s="417">
        <f t="shared" si="9"/>
        <v>0</v>
      </c>
      <c r="AP30" s="417">
        <f t="shared" si="10"/>
        <v>0</v>
      </c>
      <c r="AQ30" s="417">
        <f t="shared" si="11"/>
        <v>0</v>
      </c>
      <c r="AR30" s="417">
        <f t="shared" si="12"/>
        <v>0</v>
      </c>
      <c r="AS30" s="68">
        <f t="shared" si="13"/>
        <v>0</v>
      </c>
      <c r="AT30" s="68">
        <f t="shared" si="14"/>
        <v>0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0</v>
      </c>
      <c r="BK30" s="420">
        <f t="shared" si="19"/>
        <v>0</v>
      </c>
      <c r="BL30" s="772">
        <f t="shared" si="37"/>
        <v>2601076</v>
      </c>
      <c r="BM30" s="417">
        <f t="shared" si="38"/>
        <v>1876262</v>
      </c>
      <c r="BN30" s="417">
        <f t="shared" si="39"/>
        <v>1577153</v>
      </c>
      <c r="BO30" s="417">
        <f t="shared" si="39"/>
        <v>299109</v>
      </c>
      <c r="BP30" s="417">
        <f t="shared" si="40"/>
        <v>25000</v>
      </c>
      <c r="BQ30" s="417">
        <f t="shared" si="41"/>
        <v>25000</v>
      </c>
      <c r="BR30" s="417">
        <f t="shared" si="41"/>
        <v>0</v>
      </c>
      <c r="BS30" s="417">
        <f t="shared" si="42"/>
        <v>642626</v>
      </c>
      <c r="BT30" s="417">
        <f t="shared" si="42"/>
        <v>18763</v>
      </c>
      <c r="BU30" s="417">
        <f t="shared" si="43"/>
        <v>38425</v>
      </c>
      <c r="BV30" s="418">
        <f t="shared" si="44"/>
        <v>3.2631000000000006</v>
      </c>
      <c r="BW30" s="418">
        <f t="shared" si="45"/>
        <v>2.4900000000000002</v>
      </c>
      <c r="BX30" s="420">
        <f t="shared" si="45"/>
        <v>0.77310000000000001</v>
      </c>
      <c r="BY30" s="419"/>
      <c r="BZ30" s="414"/>
      <c r="CA30" s="414"/>
      <c r="CB30" s="414"/>
      <c r="CC30" s="414"/>
      <c r="CD30" s="422"/>
      <c r="CE30" s="419">
        <v>136854</v>
      </c>
      <c r="CF30" s="414">
        <v>96009</v>
      </c>
      <c r="CG30" s="414">
        <v>32451</v>
      </c>
      <c r="CH30" s="414">
        <v>960</v>
      </c>
      <c r="CI30" s="414">
        <v>7434</v>
      </c>
      <c r="CJ30" s="509">
        <v>0.2482</v>
      </c>
    </row>
    <row r="31" spans="1:88" s="96" customFormat="1" ht="14.1" customHeight="1">
      <c r="A31" s="118">
        <v>4</v>
      </c>
      <c r="B31" s="102">
        <v>2450</v>
      </c>
      <c r="C31" s="93">
        <v>600080234</v>
      </c>
      <c r="D31" s="77">
        <v>72745045</v>
      </c>
      <c r="E31" s="102" t="s">
        <v>710</v>
      </c>
      <c r="F31" s="94">
        <v>3117</v>
      </c>
      <c r="G31" s="77" t="s">
        <v>291</v>
      </c>
      <c r="H31" s="95" t="s">
        <v>272</v>
      </c>
      <c r="I31" s="596">
        <v>1112710</v>
      </c>
      <c r="J31" s="595">
        <v>825453</v>
      </c>
      <c r="K31" s="595">
        <v>825453</v>
      </c>
      <c r="L31" s="595">
        <v>0</v>
      </c>
      <c r="M31" s="595">
        <v>0</v>
      </c>
      <c r="N31" s="595">
        <v>0</v>
      </c>
      <c r="O31" s="595">
        <v>0</v>
      </c>
      <c r="P31" s="595">
        <v>279003</v>
      </c>
      <c r="Q31" s="595">
        <v>8254</v>
      </c>
      <c r="R31" s="595">
        <v>0</v>
      </c>
      <c r="S31" s="416">
        <v>2.1900000000000004</v>
      </c>
      <c r="T31" s="416">
        <v>2.1900000000000004</v>
      </c>
      <c r="U31" s="748">
        <v>0</v>
      </c>
      <c r="V31" s="423">
        <f t="shared" si="2"/>
        <v>0</v>
      </c>
      <c r="W31" s="417">
        <f t="shared" si="3"/>
        <v>0</v>
      </c>
      <c r="X31" s="417">
        <f>43433-16505</f>
        <v>26928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4"/>
        <v>26928</v>
      </c>
      <c r="AF31" s="417">
        <f t="shared" si="5"/>
        <v>0</v>
      </c>
      <c r="AG31" s="417">
        <f t="shared" si="6"/>
        <v>26928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7"/>
        <v>0</v>
      </c>
      <c r="AN31" s="417">
        <f t="shared" si="8"/>
        <v>0</v>
      </c>
      <c r="AO31" s="417">
        <f t="shared" si="9"/>
        <v>0</v>
      </c>
      <c r="AP31" s="417">
        <f t="shared" si="10"/>
        <v>26928</v>
      </c>
      <c r="AQ31" s="417">
        <f t="shared" si="11"/>
        <v>0</v>
      </c>
      <c r="AR31" s="417">
        <f t="shared" si="12"/>
        <v>26928</v>
      </c>
      <c r="AS31" s="68">
        <f t="shared" si="13"/>
        <v>9102</v>
      </c>
      <c r="AT31" s="68">
        <f t="shared" si="14"/>
        <v>269</v>
      </c>
      <c r="AU31" s="417">
        <v>0</v>
      </c>
      <c r="AV31" s="417">
        <v>0</v>
      </c>
      <c r="AW31" s="417">
        <v>0</v>
      </c>
      <c r="AX31" s="417">
        <f t="shared" si="15"/>
        <v>0</v>
      </c>
      <c r="AY31" s="417">
        <f t="shared" si="16"/>
        <v>36299</v>
      </c>
      <c r="AZ31" s="418">
        <v>0</v>
      </c>
      <c r="BA31" s="418">
        <v>0</v>
      </c>
      <c r="BB31" s="418">
        <f>0.16-0.03</f>
        <v>0.13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7"/>
        <v>0.13</v>
      </c>
      <c r="BJ31" s="418">
        <f t="shared" si="18"/>
        <v>0</v>
      </c>
      <c r="BK31" s="420">
        <f t="shared" si="19"/>
        <v>0.13</v>
      </c>
      <c r="BL31" s="772">
        <f t="shared" si="37"/>
        <v>1149009</v>
      </c>
      <c r="BM31" s="417">
        <f t="shared" si="38"/>
        <v>852381</v>
      </c>
      <c r="BN31" s="417">
        <f t="shared" si="39"/>
        <v>852381</v>
      </c>
      <c r="BO31" s="417">
        <f t="shared" si="39"/>
        <v>0</v>
      </c>
      <c r="BP31" s="417">
        <f t="shared" si="40"/>
        <v>0</v>
      </c>
      <c r="BQ31" s="417">
        <f t="shared" si="41"/>
        <v>0</v>
      </c>
      <c r="BR31" s="417">
        <f t="shared" si="41"/>
        <v>0</v>
      </c>
      <c r="BS31" s="417">
        <f t="shared" si="42"/>
        <v>288105</v>
      </c>
      <c r="BT31" s="417">
        <f t="shared" si="42"/>
        <v>8523</v>
      </c>
      <c r="BU31" s="417">
        <f t="shared" si="43"/>
        <v>0</v>
      </c>
      <c r="BV31" s="418">
        <f t="shared" si="44"/>
        <v>2.3200000000000003</v>
      </c>
      <c r="BW31" s="418">
        <f t="shared" si="45"/>
        <v>2.3200000000000003</v>
      </c>
      <c r="BX31" s="420">
        <f t="shared" si="45"/>
        <v>0</v>
      </c>
      <c r="BY31" s="419"/>
      <c r="BZ31" s="414"/>
      <c r="CA31" s="414"/>
      <c r="CB31" s="414"/>
      <c r="CC31" s="414"/>
      <c r="CD31" s="422"/>
      <c r="CE31" s="419">
        <v>0</v>
      </c>
      <c r="CF31" s="414">
        <v>0</v>
      </c>
      <c r="CG31" s="414">
        <v>0</v>
      </c>
      <c r="CH31" s="414">
        <v>0</v>
      </c>
      <c r="CI31" s="414">
        <v>0</v>
      </c>
      <c r="CJ31" s="509">
        <v>0</v>
      </c>
    </row>
    <row r="32" spans="1:88" s="96" customFormat="1" ht="14.1" customHeight="1">
      <c r="A32" s="118">
        <v>4</v>
      </c>
      <c r="B32" s="77">
        <v>2450</v>
      </c>
      <c r="C32" s="93">
        <v>600080234</v>
      </c>
      <c r="D32" s="77">
        <v>72745045</v>
      </c>
      <c r="E32" s="77" t="s">
        <v>710</v>
      </c>
      <c r="F32" s="94">
        <v>3141</v>
      </c>
      <c r="G32" s="77" t="s">
        <v>294</v>
      </c>
      <c r="H32" s="95" t="s">
        <v>272</v>
      </c>
      <c r="I32" s="596">
        <v>541374</v>
      </c>
      <c r="J32" s="595">
        <v>385335</v>
      </c>
      <c r="K32" s="595">
        <v>0</v>
      </c>
      <c r="L32" s="601">
        <v>385335</v>
      </c>
      <c r="M32" s="595">
        <v>15000</v>
      </c>
      <c r="N32" s="595">
        <v>0</v>
      </c>
      <c r="O32" s="595">
        <v>15000</v>
      </c>
      <c r="P32" s="595">
        <v>135313</v>
      </c>
      <c r="Q32" s="595">
        <v>3854</v>
      </c>
      <c r="R32" s="595">
        <v>1872</v>
      </c>
      <c r="S32" s="416">
        <v>1.2000000000000002</v>
      </c>
      <c r="T32" s="416">
        <v>0</v>
      </c>
      <c r="U32" s="748">
        <v>1.2000000000000002</v>
      </c>
      <c r="V32" s="423">
        <f t="shared" si="2"/>
        <v>0</v>
      </c>
      <c r="W32" s="417">
        <f t="shared" si="3"/>
        <v>15000</v>
      </c>
      <c r="X32" s="417">
        <v>0</v>
      </c>
      <c r="Y32" s="417">
        <v>0</v>
      </c>
      <c r="Z32" s="417">
        <v>0</v>
      </c>
      <c r="AA32" s="417">
        <v>-27590</v>
      </c>
      <c r="AB32" s="417">
        <v>0</v>
      </c>
      <c r="AC32" s="417">
        <v>0</v>
      </c>
      <c r="AD32" s="417">
        <v>0</v>
      </c>
      <c r="AE32" s="417">
        <f t="shared" si="4"/>
        <v>0</v>
      </c>
      <c r="AF32" s="417">
        <f t="shared" si="5"/>
        <v>-12590</v>
      </c>
      <c r="AG32" s="417">
        <f t="shared" si="6"/>
        <v>-12590</v>
      </c>
      <c r="AH32" s="417">
        <v>0</v>
      </c>
      <c r="AI32" s="417">
        <v>-15000</v>
      </c>
      <c r="AJ32" s="417">
        <v>0</v>
      </c>
      <c r="AK32" s="417">
        <v>0</v>
      </c>
      <c r="AL32" s="417">
        <v>0</v>
      </c>
      <c r="AM32" s="417">
        <f t="shared" si="7"/>
        <v>0</v>
      </c>
      <c r="AN32" s="417">
        <f t="shared" si="8"/>
        <v>-15000</v>
      </c>
      <c r="AO32" s="417">
        <f t="shared" si="9"/>
        <v>-15000</v>
      </c>
      <c r="AP32" s="417">
        <f t="shared" si="10"/>
        <v>0</v>
      </c>
      <c r="AQ32" s="417">
        <f t="shared" si="11"/>
        <v>-27590</v>
      </c>
      <c r="AR32" s="417">
        <f t="shared" si="12"/>
        <v>-27590</v>
      </c>
      <c r="AS32" s="68">
        <f t="shared" si="13"/>
        <v>-9325</v>
      </c>
      <c r="AT32" s="68">
        <f t="shared" si="14"/>
        <v>-126</v>
      </c>
      <c r="AU32" s="417">
        <v>0</v>
      </c>
      <c r="AV32" s="417">
        <v>0</v>
      </c>
      <c r="AW32" s="417">
        <v>0</v>
      </c>
      <c r="AX32" s="417">
        <f t="shared" si="15"/>
        <v>0</v>
      </c>
      <c r="AY32" s="417">
        <f t="shared" si="16"/>
        <v>-37041</v>
      </c>
      <c r="AZ32" s="418">
        <v>0</v>
      </c>
      <c r="BA32" s="418">
        <v>0</v>
      </c>
      <c r="BB32" s="418">
        <v>0</v>
      </c>
      <c r="BC32" s="418">
        <v>0</v>
      </c>
      <c r="BD32" s="418">
        <v>-0.08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7"/>
        <v>0</v>
      </c>
      <c r="BJ32" s="418">
        <f t="shared" si="18"/>
        <v>-0.08</v>
      </c>
      <c r="BK32" s="420">
        <f t="shared" si="19"/>
        <v>-0.08</v>
      </c>
      <c r="BL32" s="772">
        <f t="shared" si="37"/>
        <v>504333</v>
      </c>
      <c r="BM32" s="417">
        <f t="shared" si="38"/>
        <v>372745</v>
      </c>
      <c r="BN32" s="417">
        <f t="shared" si="39"/>
        <v>0</v>
      </c>
      <c r="BO32" s="417">
        <f t="shared" si="39"/>
        <v>372745</v>
      </c>
      <c r="BP32" s="417">
        <f t="shared" si="40"/>
        <v>0</v>
      </c>
      <c r="BQ32" s="417">
        <f t="shared" si="41"/>
        <v>0</v>
      </c>
      <c r="BR32" s="417">
        <f t="shared" si="41"/>
        <v>0</v>
      </c>
      <c r="BS32" s="417">
        <f t="shared" si="42"/>
        <v>125988</v>
      </c>
      <c r="BT32" s="417">
        <f t="shared" si="42"/>
        <v>3728</v>
      </c>
      <c r="BU32" s="417">
        <f t="shared" si="43"/>
        <v>1872</v>
      </c>
      <c r="BV32" s="418">
        <f t="shared" si="44"/>
        <v>1.1200000000000001</v>
      </c>
      <c r="BW32" s="418">
        <f t="shared" si="45"/>
        <v>0</v>
      </c>
      <c r="BX32" s="420">
        <f t="shared" si="45"/>
        <v>1.1200000000000001</v>
      </c>
      <c r="BY32" s="419"/>
      <c r="BZ32" s="414"/>
      <c r="CA32" s="414"/>
      <c r="CB32" s="414"/>
      <c r="CC32" s="414"/>
      <c r="CD32" s="422"/>
      <c r="CE32" s="419">
        <v>0</v>
      </c>
      <c r="CF32" s="414">
        <v>0</v>
      </c>
      <c r="CG32" s="414">
        <v>0</v>
      </c>
      <c r="CH32" s="414">
        <v>0</v>
      </c>
      <c r="CI32" s="414">
        <v>0</v>
      </c>
      <c r="CJ32" s="509">
        <v>0</v>
      </c>
    </row>
    <row r="33" spans="1:88" s="96" customFormat="1" ht="14.1" customHeight="1">
      <c r="A33" s="118">
        <v>4</v>
      </c>
      <c r="B33" s="77">
        <v>2450</v>
      </c>
      <c r="C33" s="93">
        <v>600080234</v>
      </c>
      <c r="D33" s="77">
        <v>72745045</v>
      </c>
      <c r="E33" s="77" t="s">
        <v>710</v>
      </c>
      <c r="F33" s="94">
        <v>3143</v>
      </c>
      <c r="G33" s="77" t="s">
        <v>595</v>
      </c>
      <c r="H33" s="95" t="s">
        <v>271</v>
      </c>
      <c r="I33" s="596">
        <v>646923</v>
      </c>
      <c r="J33" s="595">
        <v>468002</v>
      </c>
      <c r="K33" s="595">
        <v>468002</v>
      </c>
      <c r="L33" s="595">
        <v>0</v>
      </c>
      <c r="M33" s="595">
        <v>12000</v>
      </c>
      <c r="N33" s="595">
        <v>12000</v>
      </c>
      <c r="O33" s="595">
        <v>0</v>
      </c>
      <c r="P33" s="595">
        <v>162241</v>
      </c>
      <c r="Q33" s="595">
        <v>4680</v>
      </c>
      <c r="R33" s="595">
        <v>0</v>
      </c>
      <c r="S33" s="416">
        <v>1</v>
      </c>
      <c r="T33" s="416">
        <v>1</v>
      </c>
      <c r="U33" s="748">
        <v>0</v>
      </c>
      <c r="V33" s="423">
        <f t="shared" si="2"/>
        <v>12000</v>
      </c>
      <c r="W33" s="417">
        <f t="shared" si="3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4"/>
        <v>12000</v>
      </c>
      <c r="AF33" s="417">
        <f t="shared" si="5"/>
        <v>0</v>
      </c>
      <c r="AG33" s="417">
        <f t="shared" si="6"/>
        <v>12000</v>
      </c>
      <c r="AH33" s="417">
        <v>-12000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7"/>
        <v>-12000</v>
      </c>
      <c r="AN33" s="417">
        <f t="shared" si="8"/>
        <v>0</v>
      </c>
      <c r="AO33" s="417">
        <f t="shared" si="9"/>
        <v>-12000</v>
      </c>
      <c r="AP33" s="417">
        <f t="shared" si="10"/>
        <v>0</v>
      </c>
      <c r="AQ33" s="417">
        <f t="shared" si="11"/>
        <v>0</v>
      </c>
      <c r="AR33" s="417">
        <f t="shared" si="12"/>
        <v>0</v>
      </c>
      <c r="AS33" s="68">
        <f t="shared" si="13"/>
        <v>0</v>
      </c>
      <c r="AT33" s="68">
        <f t="shared" si="14"/>
        <v>120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120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</v>
      </c>
      <c r="BJ33" s="418">
        <f t="shared" si="18"/>
        <v>0</v>
      </c>
      <c r="BK33" s="420">
        <f t="shared" si="19"/>
        <v>0</v>
      </c>
      <c r="BL33" s="772">
        <f t="shared" si="37"/>
        <v>647043</v>
      </c>
      <c r="BM33" s="417">
        <f t="shared" si="38"/>
        <v>480002</v>
      </c>
      <c r="BN33" s="417">
        <f t="shared" si="39"/>
        <v>480002</v>
      </c>
      <c r="BO33" s="417">
        <f t="shared" si="39"/>
        <v>0</v>
      </c>
      <c r="BP33" s="417">
        <f t="shared" si="40"/>
        <v>0</v>
      </c>
      <c r="BQ33" s="417">
        <f t="shared" si="41"/>
        <v>0</v>
      </c>
      <c r="BR33" s="417">
        <f t="shared" si="41"/>
        <v>0</v>
      </c>
      <c r="BS33" s="417">
        <f t="shared" si="42"/>
        <v>162241</v>
      </c>
      <c r="BT33" s="417">
        <f t="shared" si="42"/>
        <v>4800</v>
      </c>
      <c r="BU33" s="417">
        <f t="shared" si="43"/>
        <v>0</v>
      </c>
      <c r="BV33" s="418">
        <f t="shared" si="44"/>
        <v>1</v>
      </c>
      <c r="BW33" s="418">
        <f t="shared" si="45"/>
        <v>1</v>
      </c>
      <c r="BX33" s="420">
        <f t="shared" si="45"/>
        <v>0</v>
      </c>
      <c r="BY33" s="419"/>
      <c r="BZ33" s="414"/>
      <c r="CA33" s="414"/>
      <c r="CB33" s="414"/>
      <c r="CC33" s="414"/>
      <c r="CD33" s="422"/>
      <c r="CE33" s="419">
        <v>0</v>
      </c>
      <c r="CF33" s="414">
        <v>0</v>
      </c>
      <c r="CG33" s="414">
        <v>0</v>
      </c>
      <c r="CH33" s="414">
        <v>0</v>
      </c>
      <c r="CI33" s="414">
        <v>0</v>
      </c>
      <c r="CJ33" s="509">
        <v>0</v>
      </c>
    </row>
    <row r="34" spans="1:88" s="96" customFormat="1" ht="14.1" customHeight="1">
      <c r="A34" s="118">
        <v>4</v>
      </c>
      <c r="B34" s="77">
        <v>2450</v>
      </c>
      <c r="C34" s="93">
        <v>600080234</v>
      </c>
      <c r="D34" s="77">
        <v>72745045</v>
      </c>
      <c r="E34" s="77" t="s">
        <v>710</v>
      </c>
      <c r="F34" s="94">
        <v>3143</v>
      </c>
      <c r="G34" s="77" t="s">
        <v>596</v>
      </c>
      <c r="H34" s="95" t="s">
        <v>272</v>
      </c>
      <c r="I34" s="596">
        <v>14600</v>
      </c>
      <c r="J34" s="595">
        <v>10450</v>
      </c>
      <c r="K34" s="595">
        <v>0</v>
      </c>
      <c r="L34" s="601">
        <v>10450</v>
      </c>
      <c r="M34" s="595">
        <v>0</v>
      </c>
      <c r="N34" s="602">
        <v>0</v>
      </c>
      <c r="O34" s="602">
        <v>0</v>
      </c>
      <c r="P34" s="595">
        <v>3532</v>
      </c>
      <c r="Q34" s="595">
        <v>105</v>
      </c>
      <c r="R34" s="602">
        <v>513</v>
      </c>
      <c r="S34" s="416">
        <v>3.6400000000000002E-2</v>
      </c>
      <c r="T34" s="605">
        <v>0</v>
      </c>
      <c r="U34" s="731">
        <v>3.6400000000000002E-2</v>
      </c>
      <c r="V34" s="423">
        <f t="shared" si="2"/>
        <v>0</v>
      </c>
      <c r="W34" s="417">
        <f t="shared" si="3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4"/>
        <v>0</v>
      </c>
      <c r="AF34" s="417">
        <f t="shared" si="5"/>
        <v>0</v>
      </c>
      <c r="AG34" s="417">
        <f t="shared" si="6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7"/>
        <v>0</v>
      </c>
      <c r="AN34" s="417">
        <f t="shared" si="8"/>
        <v>0</v>
      </c>
      <c r="AO34" s="417">
        <f t="shared" si="9"/>
        <v>0</v>
      </c>
      <c r="AP34" s="417">
        <f t="shared" si="10"/>
        <v>0</v>
      </c>
      <c r="AQ34" s="417">
        <f t="shared" si="11"/>
        <v>0</v>
      </c>
      <c r="AR34" s="417">
        <f t="shared" si="12"/>
        <v>0</v>
      </c>
      <c r="AS34" s="68">
        <f t="shared" si="13"/>
        <v>0</v>
      </c>
      <c r="AT34" s="68">
        <f t="shared" si="14"/>
        <v>0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0</v>
      </c>
      <c r="BK34" s="420">
        <f t="shared" si="19"/>
        <v>0</v>
      </c>
      <c r="BL34" s="772">
        <f t="shared" si="37"/>
        <v>14600</v>
      </c>
      <c r="BM34" s="417">
        <f t="shared" si="38"/>
        <v>10450</v>
      </c>
      <c r="BN34" s="417">
        <f t="shared" si="39"/>
        <v>0</v>
      </c>
      <c r="BO34" s="417">
        <f t="shared" si="39"/>
        <v>10450</v>
      </c>
      <c r="BP34" s="417">
        <f t="shared" si="40"/>
        <v>0</v>
      </c>
      <c r="BQ34" s="417">
        <f t="shared" si="41"/>
        <v>0</v>
      </c>
      <c r="BR34" s="417">
        <f t="shared" si="41"/>
        <v>0</v>
      </c>
      <c r="BS34" s="417">
        <f t="shared" si="42"/>
        <v>3532</v>
      </c>
      <c r="BT34" s="417">
        <f t="shared" si="42"/>
        <v>105</v>
      </c>
      <c r="BU34" s="417">
        <f t="shared" si="43"/>
        <v>513</v>
      </c>
      <c r="BV34" s="418">
        <f t="shared" si="44"/>
        <v>3.6400000000000002E-2</v>
      </c>
      <c r="BW34" s="418">
        <f t="shared" si="45"/>
        <v>0</v>
      </c>
      <c r="BX34" s="420">
        <f t="shared" si="45"/>
        <v>3.6400000000000002E-2</v>
      </c>
      <c r="BY34" s="419"/>
      <c r="BZ34" s="414"/>
      <c r="CA34" s="414"/>
      <c r="CB34" s="414"/>
      <c r="CC34" s="414"/>
      <c r="CD34" s="422"/>
      <c r="CE34" s="419">
        <v>0</v>
      </c>
      <c r="CF34" s="414">
        <v>0</v>
      </c>
      <c r="CG34" s="414">
        <v>0</v>
      </c>
      <c r="CH34" s="414">
        <v>0</v>
      </c>
      <c r="CI34" s="414">
        <v>0</v>
      </c>
      <c r="CJ34" s="509">
        <v>0</v>
      </c>
    </row>
    <row r="35" spans="1:88" s="96" customFormat="1" ht="14.1" customHeight="1">
      <c r="A35" s="119">
        <v>4</v>
      </c>
      <c r="B35" s="97">
        <v>2450</v>
      </c>
      <c r="C35" s="98">
        <v>600080234</v>
      </c>
      <c r="D35" s="97">
        <v>72745045</v>
      </c>
      <c r="E35" s="97" t="s">
        <v>711</v>
      </c>
      <c r="F35" s="106"/>
      <c r="G35" s="100"/>
      <c r="H35" s="101"/>
      <c r="I35" s="437">
        <v>6478265</v>
      </c>
      <c r="J35" s="433">
        <v>4666824</v>
      </c>
      <c r="K35" s="433">
        <v>3883721</v>
      </c>
      <c r="L35" s="433">
        <v>783103</v>
      </c>
      <c r="M35" s="433">
        <v>102000</v>
      </c>
      <c r="N35" s="433">
        <v>87000</v>
      </c>
      <c r="O35" s="433">
        <v>15000</v>
      </c>
      <c r="P35" s="433">
        <v>1611862</v>
      </c>
      <c r="Q35" s="433">
        <v>46669</v>
      </c>
      <c r="R35" s="433">
        <v>50910</v>
      </c>
      <c r="S35" s="434">
        <v>9.9929000000000023</v>
      </c>
      <c r="T35" s="434">
        <v>7.6300000000000008</v>
      </c>
      <c r="U35" s="695">
        <v>2.3629000000000002</v>
      </c>
      <c r="V35" s="437">
        <f t="shared" ref="V35:CG35" si="46">SUM(V29:V34)</f>
        <v>12000</v>
      </c>
      <c r="W35" s="433">
        <f t="shared" si="46"/>
        <v>15000</v>
      </c>
      <c r="X35" s="433">
        <f t="shared" si="46"/>
        <v>26928</v>
      </c>
      <c r="Y35" s="433">
        <f t="shared" si="46"/>
        <v>0</v>
      </c>
      <c r="Z35" s="433">
        <f t="shared" si="46"/>
        <v>0</v>
      </c>
      <c r="AA35" s="433">
        <f t="shared" si="46"/>
        <v>-27590</v>
      </c>
      <c r="AB35" s="433">
        <f t="shared" si="46"/>
        <v>0</v>
      </c>
      <c r="AC35" s="433">
        <f t="shared" si="46"/>
        <v>0</v>
      </c>
      <c r="AD35" s="433">
        <f t="shared" si="46"/>
        <v>0</v>
      </c>
      <c r="AE35" s="433">
        <f t="shared" si="46"/>
        <v>38928</v>
      </c>
      <c r="AF35" s="433">
        <f t="shared" si="46"/>
        <v>-12590</v>
      </c>
      <c r="AG35" s="433">
        <f t="shared" si="46"/>
        <v>26338</v>
      </c>
      <c r="AH35" s="433">
        <f t="shared" si="46"/>
        <v>-12000</v>
      </c>
      <c r="AI35" s="433">
        <f t="shared" si="46"/>
        <v>-15000</v>
      </c>
      <c r="AJ35" s="433">
        <f t="shared" si="46"/>
        <v>0</v>
      </c>
      <c r="AK35" s="433">
        <f t="shared" si="46"/>
        <v>0</v>
      </c>
      <c r="AL35" s="433">
        <f t="shared" si="46"/>
        <v>0</v>
      </c>
      <c r="AM35" s="433">
        <f t="shared" si="46"/>
        <v>-12000</v>
      </c>
      <c r="AN35" s="433">
        <f t="shared" si="46"/>
        <v>-15000</v>
      </c>
      <c r="AO35" s="433">
        <f t="shared" si="46"/>
        <v>-27000</v>
      </c>
      <c r="AP35" s="433">
        <f t="shared" si="46"/>
        <v>26928</v>
      </c>
      <c r="AQ35" s="433">
        <f t="shared" si="46"/>
        <v>-27590</v>
      </c>
      <c r="AR35" s="433">
        <f t="shared" si="46"/>
        <v>-662</v>
      </c>
      <c r="AS35" s="433">
        <f t="shared" si="46"/>
        <v>-223</v>
      </c>
      <c r="AT35" s="433">
        <f t="shared" si="46"/>
        <v>263</v>
      </c>
      <c r="AU35" s="433">
        <f t="shared" si="46"/>
        <v>0</v>
      </c>
      <c r="AV35" s="433">
        <f t="shared" si="46"/>
        <v>0</v>
      </c>
      <c r="AW35" s="433">
        <f t="shared" si="46"/>
        <v>0</v>
      </c>
      <c r="AX35" s="433">
        <f t="shared" si="46"/>
        <v>0</v>
      </c>
      <c r="AY35" s="433">
        <f t="shared" si="46"/>
        <v>-622</v>
      </c>
      <c r="AZ35" s="434">
        <f t="shared" si="46"/>
        <v>0</v>
      </c>
      <c r="BA35" s="434">
        <f t="shared" si="46"/>
        <v>0</v>
      </c>
      <c r="BB35" s="434">
        <f t="shared" si="46"/>
        <v>0.13</v>
      </c>
      <c r="BC35" s="434">
        <f t="shared" si="46"/>
        <v>0</v>
      </c>
      <c r="BD35" s="434">
        <f t="shared" si="46"/>
        <v>-0.08</v>
      </c>
      <c r="BE35" s="434">
        <f t="shared" si="46"/>
        <v>0</v>
      </c>
      <c r="BF35" s="434">
        <f t="shared" si="46"/>
        <v>0</v>
      </c>
      <c r="BG35" s="434">
        <f t="shared" si="46"/>
        <v>0</v>
      </c>
      <c r="BH35" s="434">
        <f t="shared" si="46"/>
        <v>0</v>
      </c>
      <c r="BI35" s="434">
        <f t="shared" si="46"/>
        <v>0.13</v>
      </c>
      <c r="BJ35" s="434">
        <f t="shared" si="46"/>
        <v>-0.08</v>
      </c>
      <c r="BK35" s="103">
        <f t="shared" si="46"/>
        <v>0.05</v>
      </c>
      <c r="BL35" s="785">
        <f t="shared" si="46"/>
        <v>6477643</v>
      </c>
      <c r="BM35" s="433">
        <f t="shared" si="46"/>
        <v>4693162</v>
      </c>
      <c r="BN35" s="433">
        <f t="shared" si="46"/>
        <v>3922649</v>
      </c>
      <c r="BO35" s="433">
        <f t="shared" si="46"/>
        <v>770513</v>
      </c>
      <c r="BP35" s="433">
        <f t="shared" si="46"/>
        <v>75000</v>
      </c>
      <c r="BQ35" s="433">
        <f t="shared" si="46"/>
        <v>75000</v>
      </c>
      <c r="BR35" s="433">
        <f t="shared" si="46"/>
        <v>0</v>
      </c>
      <c r="BS35" s="433">
        <f t="shared" si="46"/>
        <v>1611639</v>
      </c>
      <c r="BT35" s="433">
        <f t="shared" si="46"/>
        <v>46932</v>
      </c>
      <c r="BU35" s="433">
        <f t="shared" si="46"/>
        <v>50910</v>
      </c>
      <c r="BV35" s="434">
        <f t="shared" si="46"/>
        <v>10.042900000000003</v>
      </c>
      <c r="BW35" s="434">
        <f t="shared" si="46"/>
        <v>7.7600000000000007</v>
      </c>
      <c r="BX35" s="103">
        <f t="shared" si="46"/>
        <v>2.2829000000000002</v>
      </c>
      <c r="BY35" s="795">
        <f t="shared" si="46"/>
        <v>0</v>
      </c>
      <c r="BZ35" s="698">
        <f t="shared" si="46"/>
        <v>0</v>
      </c>
      <c r="CA35" s="698">
        <f t="shared" si="46"/>
        <v>0</v>
      </c>
      <c r="CB35" s="698">
        <f t="shared" si="46"/>
        <v>0</v>
      </c>
      <c r="CC35" s="698">
        <f t="shared" si="46"/>
        <v>0</v>
      </c>
      <c r="CD35" s="961">
        <f t="shared" si="46"/>
        <v>0</v>
      </c>
      <c r="CE35" s="887">
        <f t="shared" si="46"/>
        <v>178371</v>
      </c>
      <c r="CF35" s="888">
        <f t="shared" si="46"/>
        <v>124314</v>
      </c>
      <c r="CG35" s="888">
        <f t="shared" si="46"/>
        <v>42018</v>
      </c>
      <c r="CH35" s="888">
        <f t="shared" ref="CH35:CJ35" si="47">SUM(CH29:CH34)</f>
        <v>1243</v>
      </c>
      <c r="CI35" s="888">
        <f t="shared" si="47"/>
        <v>10796</v>
      </c>
      <c r="CJ35" s="889">
        <f t="shared" si="47"/>
        <v>0.36160000000000003</v>
      </c>
    </row>
    <row r="36" spans="1:88" s="96" customFormat="1" ht="14.1" customHeight="1">
      <c r="A36" s="118">
        <v>5</v>
      </c>
      <c r="B36" s="102">
        <v>2451</v>
      </c>
      <c r="C36" s="93">
        <v>650037901</v>
      </c>
      <c r="D36" s="77">
        <v>72744880</v>
      </c>
      <c r="E36" s="77" t="s">
        <v>712</v>
      </c>
      <c r="F36" s="94">
        <v>3111</v>
      </c>
      <c r="G36" s="77" t="s">
        <v>290</v>
      </c>
      <c r="H36" s="95" t="s">
        <v>271</v>
      </c>
      <c r="I36" s="596">
        <v>1694920</v>
      </c>
      <c r="J36" s="595">
        <v>1250534</v>
      </c>
      <c r="K36" s="595">
        <v>1152516</v>
      </c>
      <c r="L36" s="595">
        <v>98018</v>
      </c>
      <c r="M36" s="595">
        <v>0</v>
      </c>
      <c r="N36" s="595">
        <v>0</v>
      </c>
      <c r="O36" s="595">
        <v>0</v>
      </c>
      <c r="P36" s="595">
        <v>422680</v>
      </c>
      <c r="Q36" s="595">
        <v>12506</v>
      </c>
      <c r="R36" s="595">
        <v>9200</v>
      </c>
      <c r="S36" s="416">
        <v>2.3927</v>
      </c>
      <c r="T36" s="416">
        <v>2</v>
      </c>
      <c r="U36" s="748">
        <v>0.39269999999999999</v>
      </c>
      <c r="V36" s="423">
        <f t="shared" si="2"/>
        <v>0</v>
      </c>
      <c r="W36" s="417">
        <f t="shared" si="3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4"/>
        <v>0</v>
      </c>
      <c r="AF36" s="417">
        <f t="shared" si="5"/>
        <v>0</v>
      </c>
      <c r="AG36" s="417">
        <f t="shared" si="6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7"/>
        <v>0</v>
      </c>
      <c r="AN36" s="417">
        <f t="shared" si="8"/>
        <v>0</v>
      </c>
      <c r="AO36" s="417">
        <f t="shared" si="9"/>
        <v>0</v>
      </c>
      <c r="AP36" s="417">
        <f t="shared" si="10"/>
        <v>0</v>
      </c>
      <c r="AQ36" s="417">
        <f t="shared" si="11"/>
        <v>0</v>
      </c>
      <c r="AR36" s="417">
        <f t="shared" si="12"/>
        <v>0</v>
      </c>
      <c r="AS36" s="68">
        <f t="shared" si="13"/>
        <v>0</v>
      </c>
      <c r="AT36" s="68">
        <f t="shared" si="14"/>
        <v>0</v>
      </c>
      <c r="AU36" s="417">
        <v>0</v>
      </c>
      <c r="AV36" s="417">
        <v>0</v>
      </c>
      <c r="AW36" s="417">
        <v>0</v>
      </c>
      <c r="AX36" s="417">
        <f t="shared" si="15"/>
        <v>0</v>
      </c>
      <c r="AY36" s="417">
        <f t="shared" si="16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</v>
      </c>
      <c r="BK36" s="420">
        <f t="shared" si="19"/>
        <v>0</v>
      </c>
      <c r="BL36" s="772">
        <f t="shared" ref="BL36:BL41" si="48">I36+AY36</f>
        <v>1694920</v>
      </c>
      <c r="BM36" s="417">
        <f t="shared" ref="BM36:BM41" si="49">J36+AG36</f>
        <v>1250534</v>
      </c>
      <c r="BN36" s="417">
        <f t="shared" ref="BN36:BO41" si="50">K36+AE36</f>
        <v>1152516</v>
      </c>
      <c r="BO36" s="417">
        <f t="shared" si="50"/>
        <v>98018</v>
      </c>
      <c r="BP36" s="417">
        <f t="shared" ref="BP36:BP41" si="51">M36+AO36</f>
        <v>0</v>
      </c>
      <c r="BQ36" s="417">
        <f t="shared" ref="BQ36:BR41" si="52">N36+AM36</f>
        <v>0</v>
      </c>
      <c r="BR36" s="417">
        <f t="shared" si="52"/>
        <v>0</v>
      </c>
      <c r="BS36" s="417">
        <f t="shared" ref="BS36:BT41" si="53">P36+AS36</f>
        <v>422680</v>
      </c>
      <c r="BT36" s="417">
        <f t="shared" si="53"/>
        <v>12506</v>
      </c>
      <c r="BU36" s="417">
        <f t="shared" ref="BU36:BU41" si="54">R36+AX36</f>
        <v>9200</v>
      </c>
      <c r="BV36" s="418">
        <f t="shared" ref="BV36:BV41" si="55">S36+BK36</f>
        <v>2.3927</v>
      </c>
      <c r="BW36" s="418">
        <f t="shared" ref="BW36:BX41" si="56">T36+BI36</f>
        <v>2</v>
      </c>
      <c r="BX36" s="420">
        <f t="shared" si="56"/>
        <v>0.39269999999999999</v>
      </c>
      <c r="BY36" s="419"/>
      <c r="BZ36" s="414"/>
      <c r="CA36" s="414"/>
      <c r="CB36" s="414"/>
      <c r="CC36" s="414"/>
      <c r="CD36" s="422"/>
      <c r="CE36" s="419">
        <v>45454</v>
      </c>
      <c r="CF36" s="414">
        <v>31450</v>
      </c>
      <c r="CG36" s="414">
        <v>10630</v>
      </c>
      <c r="CH36" s="414">
        <v>315</v>
      </c>
      <c r="CI36" s="414">
        <v>3059</v>
      </c>
      <c r="CJ36" s="509">
        <v>0.126</v>
      </c>
    </row>
    <row r="37" spans="1:88" s="96" customFormat="1" ht="14.1" customHeight="1">
      <c r="A37" s="118">
        <v>5</v>
      </c>
      <c r="B37" s="104">
        <v>2451</v>
      </c>
      <c r="C37" s="93">
        <v>650037901</v>
      </c>
      <c r="D37" s="77">
        <v>72744880</v>
      </c>
      <c r="E37" s="104" t="s">
        <v>712</v>
      </c>
      <c r="F37" s="105">
        <v>3117</v>
      </c>
      <c r="G37" s="104" t="s">
        <v>308</v>
      </c>
      <c r="H37" s="95" t="s">
        <v>271</v>
      </c>
      <c r="I37" s="596">
        <v>4480534</v>
      </c>
      <c r="J37" s="595">
        <v>3269127</v>
      </c>
      <c r="K37" s="595">
        <v>2650777</v>
      </c>
      <c r="L37" s="595">
        <v>618350</v>
      </c>
      <c r="M37" s="595">
        <v>0</v>
      </c>
      <c r="N37" s="595">
        <v>0</v>
      </c>
      <c r="O37" s="595">
        <v>0</v>
      </c>
      <c r="P37" s="595">
        <v>1104966</v>
      </c>
      <c r="Q37" s="595">
        <v>32691</v>
      </c>
      <c r="R37" s="595">
        <v>73750</v>
      </c>
      <c r="S37" s="416">
        <v>5.8260000000000005</v>
      </c>
      <c r="T37" s="416">
        <v>4</v>
      </c>
      <c r="U37" s="748">
        <v>1.8260000000000001</v>
      </c>
      <c r="V37" s="423">
        <f t="shared" si="2"/>
        <v>0</v>
      </c>
      <c r="W37" s="417">
        <f t="shared" si="3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4"/>
        <v>0</v>
      </c>
      <c r="AF37" s="417">
        <f t="shared" si="5"/>
        <v>0</v>
      </c>
      <c r="AG37" s="417">
        <f t="shared" si="6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7"/>
        <v>0</v>
      </c>
      <c r="AN37" s="417">
        <f t="shared" si="8"/>
        <v>0</v>
      </c>
      <c r="AO37" s="417">
        <f t="shared" si="9"/>
        <v>0</v>
      </c>
      <c r="AP37" s="417">
        <f t="shared" si="10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 t="shared" si="48"/>
        <v>4480534</v>
      </c>
      <c r="BM37" s="417">
        <f t="shared" si="49"/>
        <v>3269127</v>
      </c>
      <c r="BN37" s="417">
        <f t="shared" si="50"/>
        <v>2650777</v>
      </c>
      <c r="BO37" s="417">
        <f t="shared" si="50"/>
        <v>618350</v>
      </c>
      <c r="BP37" s="417">
        <f t="shared" si="51"/>
        <v>0</v>
      </c>
      <c r="BQ37" s="417">
        <f t="shared" si="52"/>
        <v>0</v>
      </c>
      <c r="BR37" s="417">
        <f t="shared" si="52"/>
        <v>0</v>
      </c>
      <c r="BS37" s="417">
        <f t="shared" si="53"/>
        <v>1104966</v>
      </c>
      <c r="BT37" s="417">
        <f t="shared" si="53"/>
        <v>32691</v>
      </c>
      <c r="BU37" s="417">
        <f t="shared" si="54"/>
        <v>73750</v>
      </c>
      <c r="BV37" s="418">
        <f t="shared" si="55"/>
        <v>5.8260000000000005</v>
      </c>
      <c r="BW37" s="418">
        <f t="shared" si="56"/>
        <v>4</v>
      </c>
      <c r="BX37" s="420">
        <f t="shared" si="56"/>
        <v>1.8260000000000001</v>
      </c>
      <c r="BY37" s="419"/>
      <c r="BZ37" s="414"/>
      <c r="CA37" s="414"/>
      <c r="CB37" s="414"/>
      <c r="CC37" s="414"/>
      <c r="CD37" s="422"/>
      <c r="CE37" s="419">
        <v>280436</v>
      </c>
      <c r="CF37" s="414">
        <v>198469</v>
      </c>
      <c r="CG37" s="414">
        <v>67083</v>
      </c>
      <c r="CH37" s="414">
        <v>1984</v>
      </c>
      <c r="CI37" s="414">
        <v>12900</v>
      </c>
      <c r="CJ37" s="509">
        <v>0.58610000000000007</v>
      </c>
    </row>
    <row r="38" spans="1:88" s="96" customFormat="1" ht="14.1" customHeight="1">
      <c r="A38" s="118">
        <v>5</v>
      </c>
      <c r="B38" s="102">
        <v>2451</v>
      </c>
      <c r="C38" s="93">
        <v>650037901</v>
      </c>
      <c r="D38" s="77">
        <v>72744880</v>
      </c>
      <c r="E38" s="102" t="s">
        <v>712</v>
      </c>
      <c r="F38" s="94">
        <v>3117</v>
      </c>
      <c r="G38" s="77" t="s">
        <v>291</v>
      </c>
      <c r="H38" s="95" t="s">
        <v>272</v>
      </c>
      <c r="I38" s="596">
        <v>1361782</v>
      </c>
      <c r="J38" s="595">
        <v>1003176</v>
      </c>
      <c r="K38" s="595">
        <v>1003176</v>
      </c>
      <c r="L38" s="595">
        <v>0</v>
      </c>
      <c r="M38" s="595">
        <v>0</v>
      </c>
      <c r="N38" s="595">
        <v>0</v>
      </c>
      <c r="O38" s="595">
        <v>0</v>
      </c>
      <c r="P38" s="595">
        <v>339074</v>
      </c>
      <c r="Q38" s="595">
        <v>10032</v>
      </c>
      <c r="R38" s="595">
        <v>9500</v>
      </c>
      <c r="S38" s="416">
        <v>2.4899999999999998</v>
      </c>
      <c r="T38" s="416">
        <v>2.4899999999999998</v>
      </c>
      <c r="U38" s="748">
        <v>0</v>
      </c>
      <c r="V38" s="423">
        <f t="shared" si="2"/>
        <v>0</v>
      </c>
      <c r="W38" s="417">
        <f t="shared" si="3"/>
        <v>0</v>
      </c>
      <c r="X38" s="417">
        <f>-46351-78304</f>
        <v>-124655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4"/>
        <v>-124655</v>
      </c>
      <c r="AF38" s="417">
        <f t="shared" si="5"/>
        <v>0</v>
      </c>
      <c r="AG38" s="417">
        <f t="shared" si="6"/>
        <v>-124655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7"/>
        <v>0</v>
      </c>
      <c r="AN38" s="417">
        <f t="shared" si="8"/>
        <v>0</v>
      </c>
      <c r="AO38" s="417">
        <f t="shared" si="9"/>
        <v>0</v>
      </c>
      <c r="AP38" s="417">
        <f t="shared" si="10"/>
        <v>-124655</v>
      </c>
      <c r="AQ38" s="417">
        <f t="shared" si="11"/>
        <v>0</v>
      </c>
      <c r="AR38" s="417">
        <f t="shared" si="12"/>
        <v>-124655</v>
      </c>
      <c r="AS38" s="68">
        <f t="shared" si="13"/>
        <v>-42133</v>
      </c>
      <c r="AT38" s="68">
        <f t="shared" si="14"/>
        <v>-1247</v>
      </c>
      <c r="AU38" s="417">
        <f>500+500</f>
        <v>1000</v>
      </c>
      <c r="AV38" s="417">
        <v>0</v>
      </c>
      <c r="AW38" s="417">
        <v>0</v>
      </c>
      <c r="AX38" s="417">
        <f t="shared" si="15"/>
        <v>1000</v>
      </c>
      <c r="AY38" s="417">
        <f t="shared" si="16"/>
        <v>-167035</v>
      </c>
      <c r="AZ38" s="418">
        <v>0</v>
      </c>
      <c r="BA38" s="418">
        <v>0</v>
      </c>
      <c r="BB38" s="418">
        <f>-0.12-0.2</f>
        <v>-0.32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7"/>
        <v>-0.32</v>
      </c>
      <c r="BJ38" s="418">
        <f t="shared" si="18"/>
        <v>0</v>
      </c>
      <c r="BK38" s="420">
        <f t="shared" si="19"/>
        <v>-0.32</v>
      </c>
      <c r="BL38" s="772">
        <f t="shared" si="48"/>
        <v>1194747</v>
      </c>
      <c r="BM38" s="417">
        <f t="shared" si="49"/>
        <v>878521</v>
      </c>
      <c r="BN38" s="417">
        <f t="shared" si="50"/>
        <v>878521</v>
      </c>
      <c r="BO38" s="417">
        <f t="shared" si="50"/>
        <v>0</v>
      </c>
      <c r="BP38" s="417">
        <f t="shared" si="51"/>
        <v>0</v>
      </c>
      <c r="BQ38" s="417">
        <f t="shared" si="52"/>
        <v>0</v>
      </c>
      <c r="BR38" s="417">
        <f t="shared" si="52"/>
        <v>0</v>
      </c>
      <c r="BS38" s="417">
        <f t="shared" si="53"/>
        <v>296941</v>
      </c>
      <c r="BT38" s="417">
        <f t="shared" si="53"/>
        <v>8785</v>
      </c>
      <c r="BU38" s="417">
        <f t="shared" si="54"/>
        <v>10500</v>
      </c>
      <c r="BV38" s="418">
        <f t="shared" si="55"/>
        <v>2.17</v>
      </c>
      <c r="BW38" s="418">
        <f t="shared" si="56"/>
        <v>2.17</v>
      </c>
      <c r="BX38" s="420">
        <f t="shared" si="56"/>
        <v>0</v>
      </c>
      <c r="BY38" s="419"/>
      <c r="BZ38" s="414"/>
      <c r="CA38" s="414"/>
      <c r="CB38" s="414"/>
      <c r="CC38" s="414"/>
      <c r="CD38" s="422"/>
      <c r="CE38" s="419">
        <v>0</v>
      </c>
      <c r="CF38" s="414">
        <v>0</v>
      </c>
      <c r="CG38" s="414">
        <v>0</v>
      </c>
      <c r="CH38" s="414">
        <v>0</v>
      </c>
      <c r="CI38" s="414">
        <v>0</v>
      </c>
      <c r="CJ38" s="509">
        <v>0</v>
      </c>
    </row>
    <row r="39" spans="1:88" s="96" customFormat="1" ht="14.1" customHeight="1">
      <c r="A39" s="118">
        <v>5</v>
      </c>
      <c r="B39" s="77">
        <v>2451</v>
      </c>
      <c r="C39" s="93">
        <v>650037901</v>
      </c>
      <c r="D39" s="77">
        <v>72744880</v>
      </c>
      <c r="E39" s="77" t="s">
        <v>712</v>
      </c>
      <c r="F39" s="94">
        <v>3141</v>
      </c>
      <c r="G39" s="77" t="s">
        <v>294</v>
      </c>
      <c r="H39" s="95" t="s">
        <v>272</v>
      </c>
      <c r="I39" s="596">
        <v>913110</v>
      </c>
      <c r="J39" s="595">
        <v>674643</v>
      </c>
      <c r="K39" s="595">
        <v>0</v>
      </c>
      <c r="L39" s="601">
        <v>674643</v>
      </c>
      <c r="M39" s="595">
        <v>0</v>
      </c>
      <c r="N39" s="595">
        <v>0</v>
      </c>
      <c r="O39" s="595">
        <v>0</v>
      </c>
      <c r="P39" s="595">
        <v>228029</v>
      </c>
      <c r="Q39" s="595">
        <v>6746</v>
      </c>
      <c r="R39" s="595">
        <v>3692</v>
      </c>
      <c r="S39" s="416">
        <v>2.0167000000000002</v>
      </c>
      <c r="T39" s="416">
        <v>0</v>
      </c>
      <c r="U39" s="748">
        <v>2.0167000000000002</v>
      </c>
      <c r="V39" s="423">
        <f t="shared" si="2"/>
        <v>0</v>
      </c>
      <c r="W39" s="417">
        <f t="shared" si="3"/>
        <v>0</v>
      </c>
      <c r="X39" s="417">
        <v>0</v>
      </c>
      <c r="Y39" s="417">
        <v>0</v>
      </c>
      <c r="Z39" s="417">
        <v>0</v>
      </c>
      <c r="AA39" s="417">
        <v>-17472</v>
      </c>
      <c r="AB39" s="417">
        <v>0</v>
      </c>
      <c r="AC39" s="417">
        <v>0</v>
      </c>
      <c r="AD39" s="417">
        <v>0</v>
      </c>
      <c r="AE39" s="417">
        <f t="shared" si="4"/>
        <v>0</v>
      </c>
      <c r="AF39" s="417">
        <f t="shared" si="5"/>
        <v>-17472</v>
      </c>
      <c r="AG39" s="417">
        <f t="shared" si="6"/>
        <v>-17472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7"/>
        <v>0</v>
      </c>
      <c r="AN39" s="417">
        <f t="shared" si="8"/>
        <v>0</v>
      </c>
      <c r="AO39" s="417">
        <f t="shared" si="9"/>
        <v>0</v>
      </c>
      <c r="AP39" s="417">
        <f t="shared" si="10"/>
        <v>0</v>
      </c>
      <c r="AQ39" s="417">
        <f t="shared" si="11"/>
        <v>-17472</v>
      </c>
      <c r="AR39" s="417">
        <f t="shared" si="12"/>
        <v>-17472</v>
      </c>
      <c r="AS39" s="68">
        <f t="shared" si="13"/>
        <v>-5906</v>
      </c>
      <c r="AT39" s="68">
        <f t="shared" si="14"/>
        <v>-175</v>
      </c>
      <c r="AU39" s="417">
        <v>0</v>
      </c>
      <c r="AV39" s="417">
        <v>0</v>
      </c>
      <c r="AW39" s="417">
        <v>0</v>
      </c>
      <c r="AX39" s="417">
        <f t="shared" si="15"/>
        <v>0</v>
      </c>
      <c r="AY39" s="417">
        <f t="shared" si="16"/>
        <v>-23553</v>
      </c>
      <c r="AZ39" s="418">
        <v>0</v>
      </c>
      <c r="BA39" s="418">
        <v>0</v>
      </c>
      <c r="BB39" s="418">
        <v>0</v>
      </c>
      <c r="BC39" s="418">
        <v>0</v>
      </c>
      <c r="BD39" s="418">
        <v>-0.05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7"/>
        <v>0</v>
      </c>
      <c r="BJ39" s="418">
        <f t="shared" si="18"/>
        <v>-0.05</v>
      </c>
      <c r="BK39" s="420">
        <f t="shared" si="19"/>
        <v>-0.05</v>
      </c>
      <c r="BL39" s="772">
        <f t="shared" si="48"/>
        <v>889557</v>
      </c>
      <c r="BM39" s="417">
        <f t="shared" si="49"/>
        <v>657171</v>
      </c>
      <c r="BN39" s="417">
        <f t="shared" si="50"/>
        <v>0</v>
      </c>
      <c r="BO39" s="417">
        <f t="shared" si="50"/>
        <v>657171</v>
      </c>
      <c r="BP39" s="417">
        <f t="shared" si="51"/>
        <v>0</v>
      </c>
      <c r="BQ39" s="417">
        <f t="shared" si="52"/>
        <v>0</v>
      </c>
      <c r="BR39" s="417">
        <f t="shared" si="52"/>
        <v>0</v>
      </c>
      <c r="BS39" s="417">
        <f t="shared" si="53"/>
        <v>222123</v>
      </c>
      <c r="BT39" s="417">
        <f t="shared" si="53"/>
        <v>6571</v>
      </c>
      <c r="BU39" s="417">
        <f t="shared" si="54"/>
        <v>3692</v>
      </c>
      <c r="BV39" s="418">
        <f t="shared" si="55"/>
        <v>1.9667000000000001</v>
      </c>
      <c r="BW39" s="418">
        <f t="shared" si="56"/>
        <v>0</v>
      </c>
      <c r="BX39" s="420">
        <f t="shared" si="56"/>
        <v>1.9667000000000001</v>
      </c>
      <c r="BY39" s="419"/>
      <c r="BZ39" s="414"/>
      <c r="CA39" s="414"/>
      <c r="CB39" s="414"/>
      <c r="CC39" s="414"/>
      <c r="CD39" s="422"/>
      <c r="CE39" s="419">
        <v>0</v>
      </c>
      <c r="CF39" s="414">
        <v>0</v>
      </c>
      <c r="CG39" s="414">
        <v>0</v>
      </c>
      <c r="CH39" s="414">
        <v>0</v>
      </c>
      <c r="CI39" s="414">
        <v>0</v>
      </c>
      <c r="CJ39" s="509">
        <v>0</v>
      </c>
    </row>
    <row r="40" spans="1:88" s="96" customFormat="1" ht="14.1" customHeight="1">
      <c r="A40" s="118">
        <v>5</v>
      </c>
      <c r="B40" s="77">
        <v>2451</v>
      </c>
      <c r="C40" s="93">
        <v>650037901</v>
      </c>
      <c r="D40" s="77">
        <v>72744880</v>
      </c>
      <c r="E40" s="77" t="s">
        <v>712</v>
      </c>
      <c r="F40" s="94">
        <v>3143</v>
      </c>
      <c r="G40" s="77" t="s">
        <v>595</v>
      </c>
      <c r="H40" s="95" t="s">
        <v>271</v>
      </c>
      <c r="I40" s="596">
        <v>609529</v>
      </c>
      <c r="J40" s="595">
        <v>452173</v>
      </c>
      <c r="K40" s="595">
        <v>452173</v>
      </c>
      <c r="L40" s="595">
        <v>0</v>
      </c>
      <c r="M40" s="595">
        <v>0</v>
      </c>
      <c r="N40" s="595">
        <v>0</v>
      </c>
      <c r="O40" s="595">
        <v>0</v>
      </c>
      <c r="P40" s="595">
        <v>152834</v>
      </c>
      <c r="Q40" s="595">
        <v>4522</v>
      </c>
      <c r="R40" s="595">
        <v>0</v>
      </c>
      <c r="S40" s="416">
        <v>1</v>
      </c>
      <c r="T40" s="416">
        <v>1</v>
      </c>
      <c r="U40" s="748">
        <v>0</v>
      </c>
      <c r="V40" s="423">
        <f t="shared" si="2"/>
        <v>0</v>
      </c>
      <c r="W40" s="417">
        <f t="shared" si="3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4"/>
        <v>0</v>
      </c>
      <c r="AF40" s="417">
        <f t="shared" si="5"/>
        <v>0</v>
      </c>
      <c r="AG40" s="417">
        <f t="shared" si="6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7"/>
        <v>0</v>
      </c>
      <c r="AN40" s="417">
        <f t="shared" si="8"/>
        <v>0</v>
      </c>
      <c r="AO40" s="417">
        <f t="shared" si="9"/>
        <v>0</v>
      </c>
      <c r="AP40" s="417">
        <f t="shared" si="10"/>
        <v>0</v>
      </c>
      <c r="AQ40" s="417">
        <f t="shared" si="11"/>
        <v>0</v>
      </c>
      <c r="AR40" s="417">
        <f t="shared" si="12"/>
        <v>0</v>
      </c>
      <c r="AS40" s="68">
        <f t="shared" si="13"/>
        <v>0</v>
      </c>
      <c r="AT40" s="68">
        <f t="shared" si="14"/>
        <v>0</v>
      </c>
      <c r="AU40" s="417">
        <v>0</v>
      </c>
      <c r="AV40" s="417">
        <v>0</v>
      </c>
      <c r="AW40" s="417">
        <v>0</v>
      </c>
      <c r="AX40" s="417">
        <f t="shared" si="15"/>
        <v>0</v>
      </c>
      <c r="AY40" s="417">
        <f t="shared" si="16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</v>
      </c>
      <c r="BJ40" s="418">
        <f t="shared" si="18"/>
        <v>0</v>
      </c>
      <c r="BK40" s="420">
        <f t="shared" si="19"/>
        <v>0</v>
      </c>
      <c r="BL40" s="772">
        <f t="shared" si="48"/>
        <v>609529</v>
      </c>
      <c r="BM40" s="417">
        <f t="shared" si="49"/>
        <v>452173</v>
      </c>
      <c r="BN40" s="417">
        <f t="shared" si="50"/>
        <v>452173</v>
      </c>
      <c r="BO40" s="417">
        <f t="shared" si="50"/>
        <v>0</v>
      </c>
      <c r="BP40" s="417">
        <f t="shared" si="51"/>
        <v>0</v>
      </c>
      <c r="BQ40" s="417">
        <f t="shared" si="52"/>
        <v>0</v>
      </c>
      <c r="BR40" s="417">
        <f t="shared" si="52"/>
        <v>0</v>
      </c>
      <c r="BS40" s="417">
        <f t="shared" si="53"/>
        <v>152834</v>
      </c>
      <c r="BT40" s="417">
        <f t="shared" si="53"/>
        <v>4522</v>
      </c>
      <c r="BU40" s="417">
        <f t="shared" si="54"/>
        <v>0</v>
      </c>
      <c r="BV40" s="418">
        <f t="shared" si="55"/>
        <v>1</v>
      </c>
      <c r="BW40" s="418">
        <f t="shared" si="56"/>
        <v>1</v>
      </c>
      <c r="BX40" s="420">
        <f t="shared" si="56"/>
        <v>0</v>
      </c>
      <c r="BY40" s="419"/>
      <c r="BZ40" s="414"/>
      <c r="CA40" s="414"/>
      <c r="CB40" s="414"/>
      <c r="CC40" s="414"/>
      <c r="CD40" s="422"/>
      <c r="CE40" s="419">
        <v>0</v>
      </c>
      <c r="CF40" s="414">
        <v>0</v>
      </c>
      <c r="CG40" s="414">
        <v>0</v>
      </c>
      <c r="CH40" s="414">
        <v>0</v>
      </c>
      <c r="CI40" s="414">
        <v>0</v>
      </c>
      <c r="CJ40" s="509">
        <v>0</v>
      </c>
    </row>
    <row r="41" spans="1:88" s="96" customFormat="1" ht="14.1" customHeight="1">
      <c r="A41" s="118">
        <v>5</v>
      </c>
      <c r="B41" s="77">
        <v>2451</v>
      </c>
      <c r="C41" s="93">
        <v>650037901</v>
      </c>
      <c r="D41" s="77">
        <v>72744880</v>
      </c>
      <c r="E41" s="77" t="s">
        <v>712</v>
      </c>
      <c r="F41" s="94">
        <v>3143</v>
      </c>
      <c r="G41" s="77" t="s">
        <v>596</v>
      </c>
      <c r="H41" s="95" t="s">
        <v>272</v>
      </c>
      <c r="I41" s="596">
        <v>21515</v>
      </c>
      <c r="J41" s="595">
        <v>15400</v>
      </c>
      <c r="K41" s="595">
        <v>0</v>
      </c>
      <c r="L41" s="601">
        <v>15400</v>
      </c>
      <c r="M41" s="595">
        <v>0</v>
      </c>
      <c r="N41" s="602">
        <v>0</v>
      </c>
      <c r="O41" s="602">
        <v>0</v>
      </c>
      <c r="P41" s="595">
        <v>5205</v>
      </c>
      <c r="Q41" s="595">
        <v>154</v>
      </c>
      <c r="R41" s="602">
        <v>756</v>
      </c>
      <c r="S41" s="416">
        <v>5.8899999999999994E-2</v>
      </c>
      <c r="T41" s="605">
        <v>0</v>
      </c>
      <c r="U41" s="731">
        <v>5.8899999999999994E-2</v>
      </c>
      <c r="V41" s="423">
        <f t="shared" si="2"/>
        <v>0</v>
      </c>
      <c r="W41" s="417">
        <f t="shared" si="3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4"/>
        <v>0</v>
      </c>
      <c r="AF41" s="417">
        <f t="shared" si="5"/>
        <v>0</v>
      </c>
      <c r="AG41" s="417">
        <f t="shared" si="6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7"/>
        <v>0</v>
      </c>
      <c r="AN41" s="417">
        <f t="shared" si="8"/>
        <v>0</v>
      </c>
      <c r="AO41" s="417">
        <f t="shared" si="9"/>
        <v>0</v>
      </c>
      <c r="AP41" s="417">
        <f t="shared" si="10"/>
        <v>0</v>
      </c>
      <c r="AQ41" s="417">
        <f t="shared" si="11"/>
        <v>0</v>
      </c>
      <c r="AR41" s="417">
        <f t="shared" si="12"/>
        <v>0</v>
      </c>
      <c r="AS41" s="68">
        <f t="shared" si="13"/>
        <v>0</v>
      </c>
      <c r="AT41" s="68">
        <f t="shared" si="14"/>
        <v>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</v>
      </c>
      <c r="BK41" s="420">
        <f t="shared" si="19"/>
        <v>0</v>
      </c>
      <c r="BL41" s="772">
        <f t="shared" si="48"/>
        <v>21515</v>
      </c>
      <c r="BM41" s="417">
        <f t="shared" si="49"/>
        <v>15400</v>
      </c>
      <c r="BN41" s="417">
        <f t="shared" si="50"/>
        <v>0</v>
      </c>
      <c r="BO41" s="417">
        <f t="shared" si="50"/>
        <v>15400</v>
      </c>
      <c r="BP41" s="417">
        <f t="shared" si="51"/>
        <v>0</v>
      </c>
      <c r="BQ41" s="417">
        <f t="shared" si="52"/>
        <v>0</v>
      </c>
      <c r="BR41" s="417">
        <f t="shared" si="52"/>
        <v>0</v>
      </c>
      <c r="BS41" s="417">
        <f t="shared" si="53"/>
        <v>5205</v>
      </c>
      <c r="BT41" s="417">
        <f t="shared" si="53"/>
        <v>154</v>
      </c>
      <c r="BU41" s="417">
        <f t="shared" si="54"/>
        <v>756</v>
      </c>
      <c r="BV41" s="418">
        <f t="shared" si="55"/>
        <v>5.8899999999999994E-2</v>
      </c>
      <c r="BW41" s="418">
        <f t="shared" si="56"/>
        <v>0</v>
      </c>
      <c r="BX41" s="420">
        <f t="shared" si="56"/>
        <v>5.8899999999999994E-2</v>
      </c>
      <c r="BY41" s="419"/>
      <c r="BZ41" s="414"/>
      <c r="CA41" s="414"/>
      <c r="CB41" s="414"/>
      <c r="CC41" s="414"/>
      <c r="CD41" s="422"/>
      <c r="CE41" s="419">
        <v>0</v>
      </c>
      <c r="CF41" s="414">
        <v>0</v>
      </c>
      <c r="CG41" s="414">
        <v>0</v>
      </c>
      <c r="CH41" s="414">
        <v>0</v>
      </c>
      <c r="CI41" s="414">
        <v>0</v>
      </c>
      <c r="CJ41" s="509">
        <v>0</v>
      </c>
    </row>
    <row r="42" spans="1:88" s="96" customFormat="1" ht="14.1" customHeight="1">
      <c r="A42" s="119">
        <v>5</v>
      </c>
      <c r="B42" s="97">
        <v>2451</v>
      </c>
      <c r="C42" s="98">
        <v>650037901</v>
      </c>
      <c r="D42" s="97">
        <v>72744880</v>
      </c>
      <c r="E42" s="97" t="s">
        <v>713</v>
      </c>
      <c r="F42" s="106"/>
      <c r="G42" s="100"/>
      <c r="H42" s="101"/>
      <c r="I42" s="437">
        <v>9081390</v>
      </c>
      <c r="J42" s="433">
        <v>6665053</v>
      </c>
      <c r="K42" s="433">
        <v>5258642</v>
      </c>
      <c r="L42" s="433">
        <v>1406411</v>
      </c>
      <c r="M42" s="433">
        <v>0</v>
      </c>
      <c r="N42" s="433">
        <v>0</v>
      </c>
      <c r="O42" s="433">
        <v>0</v>
      </c>
      <c r="P42" s="433">
        <v>2252788</v>
      </c>
      <c r="Q42" s="433">
        <v>66651</v>
      </c>
      <c r="R42" s="433">
        <v>96898</v>
      </c>
      <c r="S42" s="434">
        <v>13.7843</v>
      </c>
      <c r="T42" s="434">
        <v>9.49</v>
      </c>
      <c r="U42" s="695">
        <v>4.2943000000000007</v>
      </c>
      <c r="V42" s="437">
        <f t="shared" ref="V42:CG42" si="57">SUM(V36:V41)</f>
        <v>0</v>
      </c>
      <c r="W42" s="433">
        <f t="shared" si="57"/>
        <v>0</v>
      </c>
      <c r="X42" s="433">
        <f t="shared" si="57"/>
        <v>-124655</v>
      </c>
      <c r="Y42" s="433">
        <f t="shared" si="57"/>
        <v>0</v>
      </c>
      <c r="Z42" s="433">
        <f t="shared" si="57"/>
        <v>0</v>
      </c>
      <c r="AA42" s="433">
        <f t="shared" si="57"/>
        <v>-17472</v>
      </c>
      <c r="AB42" s="433">
        <f t="shared" si="57"/>
        <v>0</v>
      </c>
      <c r="AC42" s="433">
        <f t="shared" si="57"/>
        <v>0</v>
      </c>
      <c r="AD42" s="433">
        <f t="shared" si="57"/>
        <v>0</v>
      </c>
      <c r="AE42" s="433">
        <f t="shared" si="57"/>
        <v>-124655</v>
      </c>
      <c r="AF42" s="433">
        <f t="shared" si="57"/>
        <v>-17472</v>
      </c>
      <c r="AG42" s="433">
        <f t="shared" si="57"/>
        <v>-142127</v>
      </c>
      <c r="AH42" s="433">
        <f t="shared" si="57"/>
        <v>0</v>
      </c>
      <c r="AI42" s="433">
        <f t="shared" si="57"/>
        <v>0</v>
      </c>
      <c r="AJ42" s="433">
        <f t="shared" si="57"/>
        <v>0</v>
      </c>
      <c r="AK42" s="433">
        <f t="shared" si="57"/>
        <v>0</v>
      </c>
      <c r="AL42" s="433">
        <f t="shared" si="57"/>
        <v>0</v>
      </c>
      <c r="AM42" s="433">
        <f t="shared" si="57"/>
        <v>0</v>
      </c>
      <c r="AN42" s="433">
        <f t="shared" si="57"/>
        <v>0</v>
      </c>
      <c r="AO42" s="433">
        <f t="shared" si="57"/>
        <v>0</v>
      </c>
      <c r="AP42" s="433">
        <f t="shared" si="57"/>
        <v>-124655</v>
      </c>
      <c r="AQ42" s="433">
        <f t="shared" si="57"/>
        <v>-17472</v>
      </c>
      <c r="AR42" s="433">
        <f t="shared" si="57"/>
        <v>-142127</v>
      </c>
      <c r="AS42" s="433">
        <f t="shared" si="57"/>
        <v>-48039</v>
      </c>
      <c r="AT42" s="433">
        <f t="shared" si="57"/>
        <v>-1422</v>
      </c>
      <c r="AU42" s="433">
        <f t="shared" si="57"/>
        <v>1000</v>
      </c>
      <c r="AV42" s="433">
        <f t="shared" si="57"/>
        <v>0</v>
      </c>
      <c r="AW42" s="433">
        <f t="shared" si="57"/>
        <v>0</v>
      </c>
      <c r="AX42" s="433">
        <f t="shared" si="57"/>
        <v>1000</v>
      </c>
      <c r="AY42" s="433">
        <f t="shared" si="57"/>
        <v>-190588</v>
      </c>
      <c r="AZ42" s="434">
        <f t="shared" si="57"/>
        <v>0</v>
      </c>
      <c r="BA42" s="434">
        <f t="shared" si="57"/>
        <v>0</v>
      </c>
      <c r="BB42" s="434">
        <f t="shared" si="57"/>
        <v>-0.32</v>
      </c>
      <c r="BC42" s="434">
        <f t="shared" si="57"/>
        <v>0</v>
      </c>
      <c r="BD42" s="434">
        <f t="shared" si="57"/>
        <v>-0.05</v>
      </c>
      <c r="BE42" s="434">
        <f t="shared" si="57"/>
        <v>0</v>
      </c>
      <c r="BF42" s="434">
        <f t="shared" si="57"/>
        <v>0</v>
      </c>
      <c r="BG42" s="434">
        <f t="shared" si="57"/>
        <v>0</v>
      </c>
      <c r="BH42" s="434">
        <f t="shared" si="57"/>
        <v>0</v>
      </c>
      <c r="BI42" s="434">
        <f t="shared" si="57"/>
        <v>-0.32</v>
      </c>
      <c r="BJ42" s="434">
        <f t="shared" si="57"/>
        <v>-0.05</v>
      </c>
      <c r="BK42" s="103">
        <f t="shared" si="57"/>
        <v>-0.37</v>
      </c>
      <c r="BL42" s="785">
        <f t="shared" si="57"/>
        <v>8890802</v>
      </c>
      <c r="BM42" s="433">
        <f t="shared" si="57"/>
        <v>6522926</v>
      </c>
      <c r="BN42" s="433">
        <f t="shared" si="57"/>
        <v>5133987</v>
      </c>
      <c r="BO42" s="433">
        <f t="shared" si="57"/>
        <v>1388939</v>
      </c>
      <c r="BP42" s="433">
        <f t="shared" si="57"/>
        <v>0</v>
      </c>
      <c r="BQ42" s="433">
        <f t="shared" si="57"/>
        <v>0</v>
      </c>
      <c r="BR42" s="433">
        <f t="shared" si="57"/>
        <v>0</v>
      </c>
      <c r="BS42" s="433">
        <f t="shared" si="57"/>
        <v>2204749</v>
      </c>
      <c r="BT42" s="433">
        <f t="shared" si="57"/>
        <v>65229</v>
      </c>
      <c r="BU42" s="433">
        <f t="shared" si="57"/>
        <v>97898</v>
      </c>
      <c r="BV42" s="434">
        <f t="shared" si="57"/>
        <v>13.414299999999999</v>
      </c>
      <c r="BW42" s="434">
        <f t="shared" si="57"/>
        <v>9.17</v>
      </c>
      <c r="BX42" s="103">
        <f t="shared" si="57"/>
        <v>4.2443000000000008</v>
      </c>
      <c r="BY42" s="795">
        <f t="shared" si="57"/>
        <v>0</v>
      </c>
      <c r="BZ42" s="698">
        <f t="shared" si="57"/>
        <v>0</v>
      </c>
      <c r="CA42" s="698">
        <f t="shared" si="57"/>
        <v>0</v>
      </c>
      <c r="CB42" s="698">
        <f t="shared" si="57"/>
        <v>0</v>
      </c>
      <c r="CC42" s="698">
        <f t="shared" si="57"/>
        <v>0</v>
      </c>
      <c r="CD42" s="961">
        <f t="shared" si="57"/>
        <v>0</v>
      </c>
      <c r="CE42" s="887">
        <f t="shared" si="57"/>
        <v>325890</v>
      </c>
      <c r="CF42" s="888">
        <f t="shared" si="57"/>
        <v>229919</v>
      </c>
      <c r="CG42" s="888">
        <f t="shared" si="57"/>
        <v>77713</v>
      </c>
      <c r="CH42" s="888">
        <f t="shared" ref="CH42:CJ42" si="58">SUM(CH36:CH41)</f>
        <v>2299</v>
      </c>
      <c r="CI42" s="888">
        <f t="shared" si="58"/>
        <v>15959</v>
      </c>
      <c r="CJ42" s="889">
        <f t="shared" si="58"/>
        <v>0.71210000000000007</v>
      </c>
    </row>
    <row r="43" spans="1:88" s="96" customFormat="1" ht="14.1" customHeight="1">
      <c r="A43" s="118">
        <v>6</v>
      </c>
      <c r="B43" s="102">
        <v>2453</v>
      </c>
      <c r="C43" s="93">
        <v>600079686</v>
      </c>
      <c r="D43" s="77">
        <v>72743603</v>
      </c>
      <c r="E43" s="77" t="s">
        <v>714</v>
      </c>
      <c r="F43" s="94">
        <v>3111</v>
      </c>
      <c r="G43" s="77" t="s">
        <v>290</v>
      </c>
      <c r="H43" s="95" t="s">
        <v>271</v>
      </c>
      <c r="I43" s="596">
        <v>3706789</v>
      </c>
      <c r="J43" s="595">
        <v>2685971</v>
      </c>
      <c r="K43" s="595">
        <v>2489935</v>
      </c>
      <c r="L43" s="595">
        <v>196036</v>
      </c>
      <c r="M43" s="595">
        <v>50000</v>
      </c>
      <c r="N43" s="595">
        <v>50000</v>
      </c>
      <c r="O43" s="595">
        <v>0</v>
      </c>
      <c r="P43" s="595">
        <v>924758</v>
      </c>
      <c r="Q43" s="595">
        <v>26860</v>
      </c>
      <c r="R43" s="595">
        <v>19200</v>
      </c>
      <c r="S43" s="416">
        <v>4.9289000000000005</v>
      </c>
      <c r="T43" s="416">
        <v>4.1435000000000004</v>
      </c>
      <c r="U43" s="748">
        <v>0.78539999999999999</v>
      </c>
      <c r="V43" s="423">
        <f t="shared" si="2"/>
        <v>50000</v>
      </c>
      <c r="W43" s="417">
        <f t="shared" si="3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4"/>
        <v>50000</v>
      </c>
      <c r="AF43" s="417">
        <f t="shared" si="5"/>
        <v>0</v>
      </c>
      <c r="AG43" s="417">
        <f t="shared" si="6"/>
        <v>50000</v>
      </c>
      <c r="AH43" s="417">
        <v>-50000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7"/>
        <v>-50000</v>
      </c>
      <c r="AN43" s="417">
        <f t="shared" si="8"/>
        <v>0</v>
      </c>
      <c r="AO43" s="417">
        <f t="shared" si="9"/>
        <v>-50000</v>
      </c>
      <c r="AP43" s="417">
        <f t="shared" si="10"/>
        <v>0</v>
      </c>
      <c r="AQ43" s="417">
        <f t="shared" si="11"/>
        <v>0</v>
      </c>
      <c r="AR43" s="417">
        <f t="shared" si="12"/>
        <v>0</v>
      </c>
      <c r="AS43" s="68">
        <f t="shared" si="13"/>
        <v>0</v>
      </c>
      <c r="AT43" s="68">
        <f t="shared" si="14"/>
        <v>500</v>
      </c>
      <c r="AU43" s="417">
        <v>0</v>
      </c>
      <c r="AV43" s="417">
        <v>0</v>
      </c>
      <c r="AW43" s="417">
        <v>0</v>
      </c>
      <c r="AX43" s="417">
        <f t="shared" si="15"/>
        <v>0</v>
      </c>
      <c r="AY43" s="417">
        <f t="shared" si="16"/>
        <v>500</v>
      </c>
      <c r="AZ43" s="418">
        <v>0.05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7"/>
        <v>0.05</v>
      </c>
      <c r="BJ43" s="418">
        <f t="shared" si="18"/>
        <v>0</v>
      </c>
      <c r="BK43" s="420">
        <f t="shared" si="19"/>
        <v>0.05</v>
      </c>
      <c r="BL43" s="772">
        <f t="shared" ref="BL43:BL48" si="59">I43+AY43</f>
        <v>3707289</v>
      </c>
      <c r="BM43" s="417">
        <f t="shared" ref="BM43:BM48" si="60">J43+AG43</f>
        <v>2735971</v>
      </c>
      <c r="BN43" s="417">
        <f t="shared" ref="BN43:BO48" si="61">K43+AE43</f>
        <v>2539935</v>
      </c>
      <c r="BO43" s="417">
        <f t="shared" si="61"/>
        <v>196036</v>
      </c>
      <c r="BP43" s="417">
        <f t="shared" ref="BP43:BP48" si="62">M43+AO43</f>
        <v>0</v>
      </c>
      <c r="BQ43" s="417">
        <f t="shared" ref="BQ43:BR48" si="63">N43+AM43</f>
        <v>0</v>
      </c>
      <c r="BR43" s="417">
        <f t="shared" si="63"/>
        <v>0</v>
      </c>
      <c r="BS43" s="417">
        <f t="shared" ref="BS43:BT48" si="64">P43+AS43</f>
        <v>924758</v>
      </c>
      <c r="BT43" s="417">
        <f t="shared" si="64"/>
        <v>27360</v>
      </c>
      <c r="BU43" s="417">
        <f t="shared" ref="BU43:BU48" si="65">R43+AX43</f>
        <v>19200</v>
      </c>
      <c r="BV43" s="418">
        <f t="shared" ref="BV43:BV48" si="66">S43+BK43</f>
        <v>4.9789000000000003</v>
      </c>
      <c r="BW43" s="418">
        <f t="shared" ref="BW43:BX48" si="67">T43+BI43</f>
        <v>4.1935000000000002</v>
      </c>
      <c r="BX43" s="420">
        <f t="shared" si="67"/>
        <v>0.78539999999999999</v>
      </c>
      <c r="BY43" s="419"/>
      <c r="BZ43" s="414"/>
      <c r="CA43" s="414"/>
      <c r="CB43" s="414"/>
      <c r="CC43" s="414"/>
      <c r="CD43" s="422"/>
      <c r="CE43" s="419">
        <v>91173</v>
      </c>
      <c r="CF43" s="414">
        <v>62900</v>
      </c>
      <c r="CG43" s="414">
        <v>21260</v>
      </c>
      <c r="CH43" s="414">
        <v>629</v>
      </c>
      <c r="CI43" s="414">
        <v>6384</v>
      </c>
      <c r="CJ43" s="509">
        <v>0.252</v>
      </c>
    </row>
    <row r="44" spans="1:88" s="96" customFormat="1" ht="14.1" customHeight="1">
      <c r="A44" s="118">
        <v>6</v>
      </c>
      <c r="B44" s="104">
        <v>2453</v>
      </c>
      <c r="C44" s="93">
        <v>600079686</v>
      </c>
      <c r="D44" s="77">
        <v>72743603</v>
      </c>
      <c r="E44" s="104" t="s">
        <v>714</v>
      </c>
      <c r="F44" s="105">
        <v>3117</v>
      </c>
      <c r="G44" s="104" t="s">
        <v>308</v>
      </c>
      <c r="H44" s="95" t="s">
        <v>271</v>
      </c>
      <c r="I44" s="596">
        <v>6904158</v>
      </c>
      <c r="J44" s="595">
        <v>4971860</v>
      </c>
      <c r="K44" s="595">
        <v>4150741</v>
      </c>
      <c r="L44" s="595">
        <v>821119</v>
      </c>
      <c r="M44" s="595">
        <v>46311</v>
      </c>
      <c r="N44" s="595">
        <v>46311</v>
      </c>
      <c r="O44" s="595">
        <v>0</v>
      </c>
      <c r="P44" s="595">
        <v>1696143</v>
      </c>
      <c r="Q44" s="595">
        <v>49719</v>
      </c>
      <c r="R44" s="595">
        <v>140125</v>
      </c>
      <c r="S44" s="416">
        <v>8.7895000000000003</v>
      </c>
      <c r="T44" s="416">
        <v>6.4727000000000006</v>
      </c>
      <c r="U44" s="748">
        <v>2.3167999999999997</v>
      </c>
      <c r="V44" s="423">
        <f t="shared" si="2"/>
        <v>0</v>
      </c>
      <c r="W44" s="417">
        <f t="shared" si="3"/>
        <v>0</v>
      </c>
      <c r="X44" s="417">
        <v>0</v>
      </c>
      <c r="Y44" s="417">
        <v>0</v>
      </c>
      <c r="Z44" s="417">
        <v>0</v>
      </c>
      <c r="AA44" s="417">
        <v>0</v>
      </c>
      <c r="AB44" s="417">
        <v>0</v>
      </c>
      <c r="AC44" s="417">
        <v>0</v>
      </c>
      <c r="AD44" s="417">
        <v>0</v>
      </c>
      <c r="AE44" s="417">
        <f t="shared" si="4"/>
        <v>0</v>
      </c>
      <c r="AF44" s="417">
        <f t="shared" si="5"/>
        <v>0</v>
      </c>
      <c r="AG44" s="417">
        <f t="shared" si="6"/>
        <v>0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7"/>
        <v>0</v>
      </c>
      <c r="AN44" s="417">
        <f t="shared" si="8"/>
        <v>0</v>
      </c>
      <c r="AO44" s="417">
        <f t="shared" si="9"/>
        <v>0</v>
      </c>
      <c r="AP44" s="417">
        <f t="shared" si="10"/>
        <v>0</v>
      </c>
      <c r="AQ44" s="417">
        <f t="shared" si="11"/>
        <v>0</v>
      </c>
      <c r="AR44" s="417">
        <f t="shared" si="12"/>
        <v>0</v>
      </c>
      <c r="AS44" s="68">
        <f t="shared" si="13"/>
        <v>0</v>
      </c>
      <c r="AT44" s="68">
        <f t="shared" si="14"/>
        <v>0</v>
      </c>
      <c r="AU44" s="417">
        <v>0</v>
      </c>
      <c r="AV44" s="417">
        <v>0</v>
      </c>
      <c r="AW44" s="417">
        <v>0</v>
      </c>
      <c r="AX44" s="417">
        <f t="shared" si="15"/>
        <v>0</v>
      </c>
      <c r="AY44" s="417">
        <f t="shared" si="16"/>
        <v>0</v>
      </c>
      <c r="AZ44" s="418">
        <v>0</v>
      </c>
      <c r="BA44" s="418">
        <v>0</v>
      </c>
      <c r="BB44" s="418">
        <v>0</v>
      </c>
      <c r="BC44" s="418">
        <v>0</v>
      </c>
      <c r="BD44" s="418">
        <v>0</v>
      </c>
      <c r="BE44" s="418">
        <v>0</v>
      </c>
      <c r="BF44" s="418">
        <v>0</v>
      </c>
      <c r="BG44" s="418">
        <v>0</v>
      </c>
      <c r="BH44" s="418">
        <v>0</v>
      </c>
      <c r="BI44" s="418">
        <f t="shared" si="17"/>
        <v>0</v>
      </c>
      <c r="BJ44" s="418">
        <f t="shared" si="18"/>
        <v>0</v>
      </c>
      <c r="BK44" s="420">
        <f t="shared" si="19"/>
        <v>0</v>
      </c>
      <c r="BL44" s="772">
        <f t="shared" si="59"/>
        <v>6904158</v>
      </c>
      <c r="BM44" s="417">
        <f t="shared" si="60"/>
        <v>4971860</v>
      </c>
      <c r="BN44" s="417">
        <f t="shared" si="61"/>
        <v>4150741</v>
      </c>
      <c r="BO44" s="417">
        <f t="shared" si="61"/>
        <v>821119</v>
      </c>
      <c r="BP44" s="417">
        <f t="shared" si="62"/>
        <v>46311</v>
      </c>
      <c r="BQ44" s="417">
        <f t="shared" si="63"/>
        <v>46311</v>
      </c>
      <c r="BR44" s="417">
        <f t="shared" si="63"/>
        <v>0</v>
      </c>
      <c r="BS44" s="417">
        <f t="shared" si="64"/>
        <v>1696143</v>
      </c>
      <c r="BT44" s="417">
        <f t="shared" si="64"/>
        <v>49719</v>
      </c>
      <c r="BU44" s="417">
        <f t="shared" si="65"/>
        <v>140125</v>
      </c>
      <c r="BV44" s="418">
        <f t="shared" si="66"/>
        <v>8.7895000000000003</v>
      </c>
      <c r="BW44" s="418">
        <f t="shared" si="67"/>
        <v>6.4727000000000006</v>
      </c>
      <c r="BX44" s="420">
        <f t="shared" si="67"/>
        <v>2.3167999999999997</v>
      </c>
      <c r="BY44" s="419">
        <v>152054</v>
      </c>
      <c r="BZ44" s="414">
        <v>112800</v>
      </c>
      <c r="CA44" s="414">
        <v>0</v>
      </c>
      <c r="CB44" s="414">
        <v>38126</v>
      </c>
      <c r="CC44" s="414">
        <v>1128</v>
      </c>
      <c r="CD44" s="422">
        <v>0.2</v>
      </c>
      <c r="CE44" s="419">
        <v>379796</v>
      </c>
      <c r="CF44" s="414">
        <v>263565</v>
      </c>
      <c r="CG44" s="414">
        <v>89085</v>
      </c>
      <c r="CH44" s="414">
        <v>2636</v>
      </c>
      <c r="CI44" s="414">
        <v>24510</v>
      </c>
      <c r="CJ44" s="509">
        <v>0.74370000000000003</v>
      </c>
    </row>
    <row r="45" spans="1:88" s="96" customFormat="1" ht="14.1" customHeight="1">
      <c r="A45" s="118">
        <v>6</v>
      </c>
      <c r="B45" s="102">
        <v>2453</v>
      </c>
      <c r="C45" s="93">
        <v>600079686</v>
      </c>
      <c r="D45" s="77">
        <v>72743603</v>
      </c>
      <c r="E45" s="102" t="s">
        <v>714</v>
      </c>
      <c r="F45" s="94">
        <v>3117</v>
      </c>
      <c r="G45" s="77" t="s">
        <v>291</v>
      </c>
      <c r="H45" s="95" t="s">
        <v>272</v>
      </c>
      <c r="I45" s="596">
        <v>1985924</v>
      </c>
      <c r="J45" s="595">
        <v>1473238</v>
      </c>
      <c r="K45" s="595">
        <v>1473238</v>
      </c>
      <c r="L45" s="595">
        <v>0</v>
      </c>
      <c r="M45" s="595">
        <v>0</v>
      </c>
      <c r="N45" s="595">
        <v>0</v>
      </c>
      <c r="O45" s="595">
        <v>0</v>
      </c>
      <c r="P45" s="595">
        <v>497954</v>
      </c>
      <c r="Q45" s="595">
        <v>14732</v>
      </c>
      <c r="R45" s="595">
        <v>0</v>
      </c>
      <c r="S45" s="416">
        <v>4.04</v>
      </c>
      <c r="T45" s="416">
        <v>4.04</v>
      </c>
      <c r="U45" s="748">
        <v>0</v>
      </c>
      <c r="V45" s="423">
        <f t="shared" si="2"/>
        <v>0</v>
      </c>
      <c r="W45" s="417">
        <f t="shared" si="3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4"/>
        <v>0</v>
      </c>
      <c r="AF45" s="417">
        <f t="shared" si="5"/>
        <v>0</v>
      </c>
      <c r="AG45" s="417">
        <f t="shared" si="6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7"/>
        <v>0</v>
      </c>
      <c r="AN45" s="417">
        <f t="shared" si="8"/>
        <v>0</v>
      </c>
      <c r="AO45" s="417">
        <f t="shared" si="9"/>
        <v>0</v>
      </c>
      <c r="AP45" s="417">
        <f t="shared" si="10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 t="shared" si="59"/>
        <v>1985924</v>
      </c>
      <c r="BM45" s="417">
        <f t="shared" si="60"/>
        <v>1473238</v>
      </c>
      <c r="BN45" s="417">
        <f t="shared" si="61"/>
        <v>1473238</v>
      </c>
      <c r="BO45" s="417">
        <f t="shared" si="61"/>
        <v>0</v>
      </c>
      <c r="BP45" s="417">
        <f t="shared" si="62"/>
        <v>0</v>
      </c>
      <c r="BQ45" s="417">
        <f t="shared" si="63"/>
        <v>0</v>
      </c>
      <c r="BR45" s="417">
        <f t="shared" si="63"/>
        <v>0</v>
      </c>
      <c r="BS45" s="417">
        <f t="shared" si="64"/>
        <v>497954</v>
      </c>
      <c r="BT45" s="417">
        <f t="shared" si="64"/>
        <v>14732</v>
      </c>
      <c r="BU45" s="417">
        <f t="shared" si="65"/>
        <v>0</v>
      </c>
      <c r="BV45" s="418">
        <f t="shared" si="66"/>
        <v>4.04</v>
      </c>
      <c r="BW45" s="418">
        <f t="shared" si="67"/>
        <v>4.04</v>
      </c>
      <c r="BX45" s="420">
        <f t="shared" si="67"/>
        <v>0</v>
      </c>
      <c r="BY45" s="419"/>
      <c r="BZ45" s="414"/>
      <c r="CA45" s="414"/>
      <c r="CB45" s="414"/>
      <c r="CC45" s="414"/>
      <c r="CD45" s="422"/>
      <c r="CE45" s="419">
        <v>0</v>
      </c>
      <c r="CF45" s="414">
        <v>0</v>
      </c>
      <c r="CG45" s="414">
        <v>0</v>
      </c>
      <c r="CH45" s="414">
        <v>0</v>
      </c>
      <c r="CI45" s="414">
        <v>0</v>
      </c>
      <c r="CJ45" s="509">
        <v>0</v>
      </c>
    </row>
    <row r="46" spans="1:88" s="96" customFormat="1" ht="14.1" customHeight="1">
      <c r="A46" s="118">
        <v>6</v>
      </c>
      <c r="B46" s="77">
        <v>2453</v>
      </c>
      <c r="C46" s="93">
        <v>600079686</v>
      </c>
      <c r="D46" s="77">
        <v>72743603</v>
      </c>
      <c r="E46" s="77" t="s">
        <v>714</v>
      </c>
      <c r="F46" s="94">
        <v>3141</v>
      </c>
      <c r="G46" s="77" t="s">
        <v>294</v>
      </c>
      <c r="H46" s="95" t="s">
        <v>272</v>
      </c>
      <c r="I46" s="596">
        <v>590875</v>
      </c>
      <c r="J46" s="595">
        <v>434955</v>
      </c>
      <c r="K46" s="595">
        <v>0</v>
      </c>
      <c r="L46" s="601">
        <v>434955</v>
      </c>
      <c r="M46" s="595">
        <v>0</v>
      </c>
      <c r="N46" s="595">
        <v>0</v>
      </c>
      <c r="O46" s="595">
        <v>0</v>
      </c>
      <c r="P46" s="595">
        <v>147015</v>
      </c>
      <c r="Q46" s="595">
        <v>4349</v>
      </c>
      <c r="R46" s="595">
        <v>4556</v>
      </c>
      <c r="S46" s="416">
        <v>1.2967</v>
      </c>
      <c r="T46" s="416">
        <v>0</v>
      </c>
      <c r="U46" s="748">
        <v>1.2967</v>
      </c>
      <c r="V46" s="423">
        <f t="shared" si="2"/>
        <v>0</v>
      </c>
      <c r="W46" s="417">
        <f t="shared" si="3"/>
        <v>0</v>
      </c>
      <c r="X46" s="417">
        <v>0</v>
      </c>
      <c r="Y46" s="417">
        <v>0</v>
      </c>
      <c r="Z46" s="417">
        <v>0</v>
      </c>
      <c r="AA46" s="417">
        <v>2743</v>
      </c>
      <c r="AB46" s="417">
        <v>0</v>
      </c>
      <c r="AC46" s="417">
        <v>0</v>
      </c>
      <c r="AD46" s="417">
        <v>0</v>
      </c>
      <c r="AE46" s="417">
        <f t="shared" si="4"/>
        <v>0</v>
      </c>
      <c r="AF46" s="417">
        <f t="shared" si="5"/>
        <v>2743</v>
      </c>
      <c r="AG46" s="417">
        <f t="shared" si="6"/>
        <v>2743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7"/>
        <v>0</v>
      </c>
      <c r="AN46" s="417">
        <f t="shared" si="8"/>
        <v>0</v>
      </c>
      <c r="AO46" s="417">
        <f t="shared" si="9"/>
        <v>0</v>
      </c>
      <c r="AP46" s="417">
        <f t="shared" si="10"/>
        <v>0</v>
      </c>
      <c r="AQ46" s="417">
        <f t="shared" si="11"/>
        <v>2743</v>
      </c>
      <c r="AR46" s="417">
        <f t="shared" si="12"/>
        <v>2743</v>
      </c>
      <c r="AS46" s="68">
        <f t="shared" si="13"/>
        <v>927</v>
      </c>
      <c r="AT46" s="68">
        <f t="shared" si="14"/>
        <v>27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3697</v>
      </c>
      <c r="AZ46" s="418">
        <v>0</v>
      </c>
      <c r="BA46" s="418">
        <v>0</v>
      </c>
      <c r="BB46" s="418">
        <v>0</v>
      </c>
      <c r="BC46" s="418">
        <v>0</v>
      </c>
      <c r="BD46" s="418">
        <v>0.01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0.01</v>
      </c>
      <c r="BK46" s="420">
        <f t="shared" si="19"/>
        <v>0.01</v>
      </c>
      <c r="BL46" s="772">
        <f t="shared" si="59"/>
        <v>594572</v>
      </c>
      <c r="BM46" s="417">
        <f t="shared" si="60"/>
        <v>437698</v>
      </c>
      <c r="BN46" s="417">
        <f t="shared" si="61"/>
        <v>0</v>
      </c>
      <c r="BO46" s="417">
        <f t="shared" si="61"/>
        <v>437698</v>
      </c>
      <c r="BP46" s="417">
        <f t="shared" si="62"/>
        <v>0</v>
      </c>
      <c r="BQ46" s="417">
        <f t="shared" si="63"/>
        <v>0</v>
      </c>
      <c r="BR46" s="417">
        <f t="shared" si="63"/>
        <v>0</v>
      </c>
      <c r="BS46" s="417">
        <f t="shared" si="64"/>
        <v>147942</v>
      </c>
      <c r="BT46" s="417">
        <f t="shared" si="64"/>
        <v>4376</v>
      </c>
      <c r="BU46" s="417">
        <f t="shared" si="65"/>
        <v>4556</v>
      </c>
      <c r="BV46" s="418">
        <f t="shared" si="66"/>
        <v>1.3067</v>
      </c>
      <c r="BW46" s="418">
        <f t="shared" si="67"/>
        <v>0</v>
      </c>
      <c r="BX46" s="420">
        <f t="shared" si="67"/>
        <v>1.3067</v>
      </c>
      <c r="BY46" s="419"/>
      <c r="BZ46" s="414"/>
      <c r="CA46" s="414"/>
      <c r="CB46" s="414"/>
      <c r="CC46" s="414"/>
      <c r="CD46" s="422"/>
      <c r="CE46" s="419">
        <v>0</v>
      </c>
      <c r="CF46" s="414">
        <v>0</v>
      </c>
      <c r="CG46" s="414">
        <v>0</v>
      </c>
      <c r="CH46" s="414">
        <v>0</v>
      </c>
      <c r="CI46" s="414">
        <v>0</v>
      </c>
      <c r="CJ46" s="509">
        <v>0</v>
      </c>
    </row>
    <row r="47" spans="1:88" s="96" customFormat="1" ht="14.1" customHeight="1">
      <c r="A47" s="118">
        <v>6</v>
      </c>
      <c r="B47" s="77">
        <v>2453</v>
      </c>
      <c r="C47" s="93">
        <v>600079686</v>
      </c>
      <c r="D47" s="77">
        <v>72743603</v>
      </c>
      <c r="E47" s="77" t="s">
        <v>714</v>
      </c>
      <c r="F47" s="94">
        <v>3143</v>
      </c>
      <c r="G47" s="77" t="s">
        <v>595</v>
      </c>
      <c r="H47" s="95" t="s">
        <v>271</v>
      </c>
      <c r="I47" s="596">
        <v>1349373</v>
      </c>
      <c r="J47" s="595">
        <v>1001019</v>
      </c>
      <c r="K47" s="595">
        <v>1001019</v>
      </c>
      <c r="L47" s="595">
        <v>0</v>
      </c>
      <c r="M47" s="595">
        <v>0</v>
      </c>
      <c r="N47" s="595">
        <v>0</v>
      </c>
      <c r="O47" s="595">
        <v>0</v>
      </c>
      <c r="P47" s="595">
        <v>338344</v>
      </c>
      <c r="Q47" s="595">
        <v>10010</v>
      </c>
      <c r="R47" s="595">
        <v>0</v>
      </c>
      <c r="S47" s="416">
        <v>1.9822</v>
      </c>
      <c r="T47" s="416">
        <v>1.9822</v>
      </c>
      <c r="U47" s="748">
        <v>0</v>
      </c>
      <c r="V47" s="423">
        <f t="shared" si="2"/>
        <v>0</v>
      </c>
      <c r="W47" s="417">
        <f t="shared" si="3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4"/>
        <v>0</v>
      </c>
      <c r="AF47" s="417">
        <f t="shared" si="5"/>
        <v>0</v>
      </c>
      <c r="AG47" s="417">
        <f t="shared" si="6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7"/>
        <v>0</v>
      </c>
      <c r="AN47" s="417">
        <f t="shared" si="8"/>
        <v>0</v>
      </c>
      <c r="AO47" s="417">
        <f t="shared" si="9"/>
        <v>0</v>
      </c>
      <c r="AP47" s="417">
        <f t="shared" si="10"/>
        <v>0</v>
      </c>
      <c r="AQ47" s="417">
        <f t="shared" si="11"/>
        <v>0</v>
      </c>
      <c r="AR47" s="417">
        <f t="shared" si="12"/>
        <v>0</v>
      </c>
      <c r="AS47" s="68">
        <f t="shared" si="13"/>
        <v>0</v>
      </c>
      <c r="AT47" s="68">
        <f t="shared" si="14"/>
        <v>0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0</v>
      </c>
      <c r="BK47" s="420">
        <f t="shared" si="19"/>
        <v>0</v>
      </c>
      <c r="BL47" s="772">
        <f t="shared" si="59"/>
        <v>1349373</v>
      </c>
      <c r="BM47" s="417">
        <f t="shared" si="60"/>
        <v>1001019</v>
      </c>
      <c r="BN47" s="417">
        <f t="shared" si="61"/>
        <v>1001019</v>
      </c>
      <c r="BO47" s="417">
        <f t="shared" si="61"/>
        <v>0</v>
      </c>
      <c r="BP47" s="417">
        <f t="shared" si="62"/>
        <v>0</v>
      </c>
      <c r="BQ47" s="417">
        <f t="shared" si="63"/>
        <v>0</v>
      </c>
      <c r="BR47" s="417">
        <f t="shared" si="63"/>
        <v>0</v>
      </c>
      <c r="BS47" s="417">
        <f t="shared" si="64"/>
        <v>338344</v>
      </c>
      <c r="BT47" s="417">
        <f t="shared" si="64"/>
        <v>10010</v>
      </c>
      <c r="BU47" s="417">
        <f t="shared" si="65"/>
        <v>0</v>
      </c>
      <c r="BV47" s="418">
        <f t="shared" si="66"/>
        <v>1.9822</v>
      </c>
      <c r="BW47" s="418">
        <f t="shared" si="67"/>
        <v>1.9822</v>
      </c>
      <c r="BX47" s="420">
        <f t="shared" si="67"/>
        <v>0</v>
      </c>
      <c r="BY47" s="419"/>
      <c r="BZ47" s="414"/>
      <c r="CA47" s="414"/>
      <c r="CB47" s="414"/>
      <c r="CC47" s="414"/>
      <c r="CD47" s="422"/>
      <c r="CE47" s="419">
        <v>0</v>
      </c>
      <c r="CF47" s="414">
        <v>0</v>
      </c>
      <c r="CG47" s="414">
        <v>0</v>
      </c>
      <c r="CH47" s="414">
        <v>0</v>
      </c>
      <c r="CI47" s="414">
        <v>0</v>
      </c>
      <c r="CJ47" s="509">
        <v>0</v>
      </c>
    </row>
    <row r="48" spans="1:88" s="96" customFormat="1" ht="14.1" customHeight="1">
      <c r="A48" s="118">
        <v>6</v>
      </c>
      <c r="B48" s="77">
        <v>2453</v>
      </c>
      <c r="C48" s="93">
        <v>600079686</v>
      </c>
      <c r="D48" s="77">
        <v>72743603</v>
      </c>
      <c r="E48" s="77" t="s">
        <v>714</v>
      </c>
      <c r="F48" s="94">
        <v>3143</v>
      </c>
      <c r="G48" s="77" t="s">
        <v>596</v>
      </c>
      <c r="H48" s="95" t="s">
        <v>272</v>
      </c>
      <c r="I48" s="596">
        <v>46104</v>
      </c>
      <c r="J48" s="595">
        <v>33000</v>
      </c>
      <c r="K48" s="595">
        <v>0</v>
      </c>
      <c r="L48" s="601">
        <v>33000</v>
      </c>
      <c r="M48" s="595">
        <v>0</v>
      </c>
      <c r="N48" s="602">
        <v>0</v>
      </c>
      <c r="O48" s="602">
        <v>0</v>
      </c>
      <c r="P48" s="595">
        <v>11154</v>
      </c>
      <c r="Q48" s="595">
        <v>330</v>
      </c>
      <c r="R48" s="602">
        <v>1620</v>
      </c>
      <c r="S48" s="416">
        <v>0.12329999999999999</v>
      </c>
      <c r="T48" s="605">
        <v>0</v>
      </c>
      <c r="U48" s="731">
        <v>0.12329999999999999</v>
      </c>
      <c r="V48" s="423">
        <f t="shared" si="2"/>
        <v>0</v>
      </c>
      <c r="W48" s="417">
        <f t="shared" si="3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4"/>
        <v>0</v>
      </c>
      <c r="AF48" s="417">
        <f t="shared" si="5"/>
        <v>0</v>
      </c>
      <c r="AG48" s="417">
        <f t="shared" si="6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7"/>
        <v>0</v>
      </c>
      <c r="AN48" s="417">
        <f t="shared" si="8"/>
        <v>0</v>
      </c>
      <c r="AO48" s="417">
        <f t="shared" si="9"/>
        <v>0</v>
      </c>
      <c r="AP48" s="417">
        <f t="shared" si="10"/>
        <v>0</v>
      </c>
      <c r="AQ48" s="417">
        <f t="shared" si="11"/>
        <v>0</v>
      </c>
      <c r="AR48" s="417">
        <f t="shared" si="12"/>
        <v>0</v>
      </c>
      <c r="AS48" s="68">
        <f t="shared" si="13"/>
        <v>0</v>
      </c>
      <c r="AT48" s="68">
        <f t="shared" si="14"/>
        <v>0</v>
      </c>
      <c r="AU48" s="417">
        <v>0</v>
      </c>
      <c r="AV48" s="417">
        <v>0</v>
      </c>
      <c r="AW48" s="417">
        <v>0</v>
      </c>
      <c r="AX48" s="417">
        <f t="shared" si="15"/>
        <v>0</v>
      </c>
      <c r="AY48" s="417">
        <f t="shared" si="16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7"/>
        <v>0</v>
      </c>
      <c r="BJ48" s="418">
        <f t="shared" si="18"/>
        <v>0</v>
      </c>
      <c r="BK48" s="420">
        <f t="shared" si="19"/>
        <v>0</v>
      </c>
      <c r="BL48" s="772">
        <f t="shared" si="59"/>
        <v>46104</v>
      </c>
      <c r="BM48" s="417">
        <f t="shared" si="60"/>
        <v>33000</v>
      </c>
      <c r="BN48" s="417">
        <f t="shared" si="61"/>
        <v>0</v>
      </c>
      <c r="BO48" s="417">
        <f t="shared" si="61"/>
        <v>33000</v>
      </c>
      <c r="BP48" s="417">
        <f t="shared" si="62"/>
        <v>0</v>
      </c>
      <c r="BQ48" s="417">
        <f t="shared" si="63"/>
        <v>0</v>
      </c>
      <c r="BR48" s="417">
        <f t="shared" si="63"/>
        <v>0</v>
      </c>
      <c r="BS48" s="417">
        <f t="shared" si="64"/>
        <v>11154</v>
      </c>
      <c r="BT48" s="417">
        <f t="shared" si="64"/>
        <v>330</v>
      </c>
      <c r="BU48" s="417">
        <f t="shared" si="65"/>
        <v>1620</v>
      </c>
      <c r="BV48" s="418">
        <f t="shared" si="66"/>
        <v>0.12329999999999999</v>
      </c>
      <c r="BW48" s="418">
        <f t="shared" si="67"/>
        <v>0</v>
      </c>
      <c r="BX48" s="420">
        <f t="shared" si="67"/>
        <v>0.12329999999999999</v>
      </c>
      <c r="BY48" s="419"/>
      <c r="BZ48" s="414"/>
      <c r="CA48" s="414"/>
      <c r="CB48" s="414"/>
      <c r="CC48" s="414"/>
      <c r="CD48" s="422"/>
      <c r="CE48" s="419">
        <v>0</v>
      </c>
      <c r="CF48" s="414">
        <v>0</v>
      </c>
      <c r="CG48" s="414">
        <v>0</v>
      </c>
      <c r="CH48" s="414">
        <v>0</v>
      </c>
      <c r="CI48" s="414">
        <v>0</v>
      </c>
      <c r="CJ48" s="509">
        <v>0</v>
      </c>
    </row>
    <row r="49" spans="1:88" s="96" customFormat="1" ht="14.1" customHeight="1">
      <c r="A49" s="119">
        <v>6</v>
      </c>
      <c r="B49" s="97">
        <v>2453</v>
      </c>
      <c r="C49" s="98">
        <v>600079686</v>
      </c>
      <c r="D49" s="97">
        <v>72743603</v>
      </c>
      <c r="E49" s="97" t="s">
        <v>715</v>
      </c>
      <c r="F49" s="106"/>
      <c r="G49" s="100"/>
      <c r="H49" s="101"/>
      <c r="I49" s="437">
        <v>14583223</v>
      </c>
      <c r="J49" s="433">
        <v>10600043</v>
      </c>
      <c r="K49" s="433">
        <v>9114933</v>
      </c>
      <c r="L49" s="433">
        <v>1485110</v>
      </c>
      <c r="M49" s="433">
        <v>96311</v>
      </c>
      <c r="N49" s="433">
        <v>96311</v>
      </c>
      <c r="O49" s="433">
        <v>0</v>
      </c>
      <c r="P49" s="433">
        <v>3615368</v>
      </c>
      <c r="Q49" s="433">
        <v>106000</v>
      </c>
      <c r="R49" s="433">
        <v>165501</v>
      </c>
      <c r="S49" s="434">
        <v>21.160600000000002</v>
      </c>
      <c r="T49" s="434">
        <v>16.638400000000001</v>
      </c>
      <c r="U49" s="695">
        <v>4.5221999999999998</v>
      </c>
      <c r="V49" s="437">
        <f t="shared" ref="V49:CG49" si="68">SUM(V43:V48)</f>
        <v>50000</v>
      </c>
      <c r="W49" s="433">
        <f t="shared" si="68"/>
        <v>0</v>
      </c>
      <c r="X49" s="433">
        <f t="shared" si="68"/>
        <v>0</v>
      </c>
      <c r="Y49" s="433">
        <f t="shared" si="68"/>
        <v>0</v>
      </c>
      <c r="Z49" s="433">
        <f t="shared" si="68"/>
        <v>0</v>
      </c>
      <c r="AA49" s="433">
        <f t="shared" si="68"/>
        <v>2743</v>
      </c>
      <c r="AB49" s="433">
        <f t="shared" si="68"/>
        <v>0</v>
      </c>
      <c r="AC49" s="433">
        <f t="shared" si="68"/>
        <v>0</v>
      </c>
      <c r="AD49" s="433">
        <f t="shared" si="68"/>
        <v>0</v>
      </c>
      <c r="AE49" s="433">
        <f t="shared" si="68"/>
        <v>50000</v>
      </c>
      <c r="AF49" s="433">
        <f t="shared" si="68"/>
        <v>2743</v>
      </c>
      <c r="AG49" s="433">
        <f t="shared" si="68"/>
        <v>52743</v>
      </c>
      <c r="AH49" s="433">
        <f t="shared" si="68"/>
        <v>-50000</v>
      </c>
      <c r="AI49" s="433">
        <f t="shared" si="68"/>
        <v>0</v>
      </c>
      <c r="AJ49" s="433">
        <f t="shared" si="68"/>
        <v>0</v>
      </c>
      <c r="AK49" s="433">
        <f t="shared" si="68"/>
        <v>0</v>
      </c>
      <c r="AL49" s="433">
        <f t="shared" si="68"/>
        <v>0</v>
      </c>
      <c r="AM49" s="433">
        <f t="shared" si="68"/>
        <v>-50000</v>
      </c>
      <c r="AN49" s="433">
        <f t="shared" si="68"/>
        <v>0</v>
      </c>
      <c r="AO49" s="433">
        <f t="shared" si="68"/>
        <v>-50000</v>
      </c>
      <c r="AP49" s="433">
        <f t="shared" si="68"/>
        <v>0</v>
      </c>
      <c r="AQ49" s="433">
        <f t="shared" si="68"/>
        <v>2743</v>
      </c>
      <c r="AR49" s="433">
        <f t="shared" si="68"/>
        <v>2743</v>
      </c>
      <c r="AS49" s="433">
        <f t="shared" si="68"/>
        <v>927</v>
      </c>
      <c r="AT49" s="433">
        <f t="shared" si="68"/>
        <v>527</v>
      </c>
      <c r="AU49" s="433">
        <f t="shared" si="68"/>
        <v>0</v>
      </c>
      <c r="AV49" s="433">
        <f t="shared" si="68"/>
        <v>0</v>
      </c>
      <c r="AW49" s="433">
        <f t="shared" si="68"/>
        <v>0</v>
      </c>
      <c r="AX49" s="433">
        <f t="shared" si="68"/>
        <v>0</v>
      </c>
      <c r="AY49" s="433">
        <f t="shared" si="68"/>
        <v>4197</v>
      </c>
      <c r="AZ49" s="434">
        <f t="shared" si="68"/>
        <v>0.05</v>
      </c>
      <c r="BA49" s="434">
        <f t="shared" si="68"/>
        <v>0</v>
      </c>
      <c r="BB49" s="434">
        <f t="shared" si="68"/>
        <v>0</v>
      </c>
      <c r="BC49" s="434">
        <f t="shared" si="68"/>
        <v>0</v>
      </c>
      <c r="BD49" s="434">
        <f t="shared" si="68"/>
        <v>0.01</v>
      </c>
      <c r="BE49" s="434">
        <f t="shared" si="68"/>
        <v>0</v>
      </c>
      <c r="BF49" s="434">
        <f t="shared" si="68"/>
        <v>0</v>
      </c>
      <c r="BG49" s="434">
        <f t="shared" si="68"/>
        <v>0</v>
      </c>
      <c r="BH49" s="434">
        <f t="shared" si="68"/>
        <v>0</v>
      </c>
      <c r="BI49" s="434">
        <f t="shared" si="68"/>
        <v>0.05</v>
      </c>
      <c r="BJ49" s="434">
        <f t="shared" si="68"/>
        <v>0.01</v>
      </c>
      <c r="BK49" s="103">
        <f t="shared" si="68"/>
        <v>6.0000000000000005E-2</v>
      </c>
      <c r="BL49" s="785">
        <f t="shared" si="68"/>
        <v>14587420</v>
      </c>
      <c r="BM49" s="433">
        <f t="shared" si="68"/>
        <v>10652786</v>
      </c>
      <c r="BN49" s="433">
        <f t="shared" si="68"/>
        <v>9164933</v>
      </c>
      <c r="BO49" s="433">
        <f t="shared" si="68"/>
        <v>1487853</v>
      </c>
      <c r="BP49" s="433">
        <f t="shared" si="68"/>
        <v>46311</v>
      </c>
      <c r="BQ49" s="433">
        <f t="shared" si="68"/>
        <v>46311</v>
      </c>
      <c r="BR49" s="433">
        <f t="shared" si="68"/>
        <v>0</v>
      </c>
      <c r="BS49" s="433">
        <f t="shared" si="68"/>
        <v>3616295</v>
      </c>
      <c r="BT49" s="433">
        <f t="shared" si="68"/>
        <v>106527</v>
      </c>
      <c r="BU49" s="433">
        <f t="shared" si="68"/>
        <v>165501</v>
      </c>
      <c r="BV49" s="434">
        <f t="shared" si="68"/>
        <v>21.220599999999997</v>
      </c>
      <c r="BW49" s="434">
        <f t="shared" si="68"/>
        <v>16.688399999999998</v>
      </c>
      <c r="BX49" s="103">
        <f t="shared" si="68"/>
        <v>4.5322000000000005</v>
      </c>
      <c r="BY49" s="795">
        <f t="shared" si="68"/>
        <v>152054</v>
      </c>
      <c r="BZ49" s="698">
        <f t="shared" si="68"/>
        <v>112800</v>
      </c>
      <c r="CA49" s="698">
        <f t="shared" si="68"/>
        <v>0</v>
      </c>
      <c r="CB49" s="698">
        <f t="shared" si="68"/>
        <v>38126</v>
      </c>
      <c r="CC49" s="698">
        <f t="shared" si="68"/>
        <v>1128</v>
      </c>
      <c r="CD49" s="961">
        <f t="shared" si="68"/>
        <v>0.2</v>
      </c>
      <c r="CE49" s="887">
        <f t="shared" si="68"/>
        <v>470969</v>
      </c>
      <c r="CF49" s="888">
        <f t="shared" si="68"/>
        <v>326465</v>
      </c>
      <c r="CG49" s="888">
        <f t="shared" si="68"/>
        <v>110345</v>
      </c>
      <c r="CH49" s="888">
        <f t="shared" ref="CH49:CJ49" si="69">SUM(CH43:CH48)</f>
        <v>3265</v>
      </c>
      <c r="CI49" s="888">
        <f t="shared" si="69"/>
        <v>30894</v>
      </c>
      <c r="CJ49" s="889">
        <f t="shared" si="69"/>
        <v>0.99570000000000003</v>
      </c>
    </row>
    <row r="50" spans="1:88" s="96" customFormat="1" ht="14.1" customHeight="1">
      <c r="A50" s="118">
        <v>7</v>
      </c>
      <c r="B50" s="102">
        <v>2320</v>
      </c>
      <c r="C50" s="93">
        <v>650034180</v>
      </c>
      <c r="D50" s="77">
        <v>72755369</v>
      </c>
      <c r="E50" s="77" t="s">
        <v>716</v>
      </c>
      <c r="F50" s="94">
        <v>3111</v>
      </c>
      <c r="G50" s="77" t="s">
        <v>290</v>
      </c>
      <c r="H50" s="95" t="s">
        <v>271</v>
      </c>
      <c r="I50" s="596">
        <v>3277704</v>
      </c>
      <c r="J50" s="595">
        <v>2419959</v>
      </c>
      <c r="K50" s="595">
        <v>2243541</v>
      </c>
      <c r="L50" s="595">
        <v>176418</v>
      </c>
      <c r="M50" s="595">
        <v>0</v>
      </c>
      <c r="N50" s="595">
        <v>0</v>
      </c>
      <c r="O50" s="595">
        <v>0</v>
      </c>
      <c r="P50" s="595">
        <v>817946</v>
      </c>
      <c r="Q50" s="595">
        <v>24199</v>
      </c>
      <c r="R50" s="595">
        <v>15600</v>
      </c>
      <c r="S50" s="416">
        <v>4.7068000000000003</v>
      </c>
      <c r="T50" s="416">
        <v>4</v>
      </c>
      <c r="U50" s="748">
        <v>0.70679999999999998</v>
      </c>
      <c r="V50" s="423">
        <f t="shared" si="2"/>
        <v>0</v>
      </c>
      <c r="W50" s="417">
        <f t="shared" si="3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4"/>
        <v>0</v>
      </c>
      <c r="AF50" s="417">
        <f t="shared" si="5"/>
        <v>0</v>
      </c>
      <c r="AG50" s="417">
        <f t="shared" si="6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7"/>
        <v>0</v>
      </c>
      <c r="AN50" s="417">
        <f t="shared" si="8"/>
        <v>0</v>
      </c>
      <c r="AO50" s="417">
        <f t="shared" si="9"/>
        <v>0</v>
      </c>
      <c r="AP50" s="417">
        <f t="shared" si="10"/>
        <v>0</v>
      </c>
      <c r="AQ50" s="417">
        <f t="shared" si="11"/>
        <v>0</v>
      </c>
      <c r="AR50" s="417">
        <f t="shared" si="12"/>
        <v>0</v>
      </c>
      <c r="AS50" s="68">
        <f t="shared" si="13"/>
        <v>0</v>
      </c>
      <c r="AT50" s="68">
        <f t="shared" si="14"/>
        <v>0</v>
      </c>
      <c r="AU50" s="417">
        <v>0</v>
      </c>
      <c r="AV50" s="417">
        <v>0</v>
      </c>
      <c r="AW50" s="417">
        <v>0</v>
      </c>
      <c r="AX50" s="417">
        <f t="shared" si="15"/>
        <v>0</v>
      </c>
      <c r="AY50" s="417">
        <f t="shared" si="16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7"/>
        <v>0</v>
      </c>
      <c r="BJ50" s="418">
        <f t="shared" si="18"/>
        <v>0</v>
      </c>
      <c r="BK50" s="420">
        <f t="shared" si="19"/>
        <v>0</v>
      </c>
      <c r="BL50" s="772">
        <f t="shared" ref="BL50:BL55" si="70">I50+AY50</f>
        <v>3277704</v>
      </c>
      <c r="BM50" s="417">
        <f t="shared" ref="BM50:BM55" si="71">J50+AG50</f>
        <v>2419959</v>
      </c>
      <c r="BN50" s="417">
        <f t="shared" ref="BN50:BO55" si="72">K50+AE50</f>
        <v>2243541</v>
      </c>
      <c r="BO50" s="417">
        <f t="shared" si="72"/>
        <v>176418</v>
      </c>
      <c r="BP50" s="417">
        <f t="shared" ref="BP50:BP55" si="73">M50+AO50</f>
        <v>0</v>
      </c>
      <c r="BQ50" s="417">
        <f t="shared" ref="BQ50:BR55" si="74">N50+AM50</f>
        <v>0</v>
      </c>
      <c r="BR50" s="417">
        <f t="shared" si="74"/>
        <v>0</v>
      </c>
      <c r="BS50" s="417">
        <f t="shared" ref="BS50:BT55" si="75">P50+AS50</f>
        <v>817946</v>
      </c>
      <c r="BT50" s="417">
        <f t="shared" si="75"/>
        <v>24199</v>
      </c>
      <c r="BU50" s="417">
        <f t="shared" ref="BU50:BU55" si="76">R50+AX50</f>
        <v>15600</v>
      </c>
      <c r="BV50" s="418">
        <f t="shared" ref="BV50:BV55" si="77">S50+BK50</f>
        <v>4.7068000000000003</v>
      </c>
      <c r="BW50" s="418">
        <f t="shared" ref="BW50:BX55" si="78">T50+BI50</f>
        <v>4</v>
      </c>
      <c r="BX50" s="420">
        <f t="shared" si="78"/>
        <v>0.70679999999999998</v>
      </c>
      <c r="BY50" s="419"/>
      <c r="BZ50" s="414"/>
      <c r="CA50" s="414"/>
      <c r="CB50" s="414"/>
      <c r="CC50" s="414"/>
      <c r="CD50" s="422"/>
      <c r="CE50" s="419">
        <v>81497</v>
      </c>
      <c r="CF50" s="414">
        <v>56610</v>
      </c>
      <c r="CG50" s="414">
        <v>19134</v>
      </c>
      <c r="CH50" s="414">
        <v>566</v>
      </c>
      <c r="CI50" s="414">
        <v>5187</v>
      </c>
      <c r="CJ50" s="509">
        <v>0.2268</v>
      </c>
    </row>
    <row r="51" spans="1:88" s="96" customFormat="1" ht="14.1" customHeight="1">
      <c r="A51" s="118">
        <v>7</v>
      </c>
      <c r="B51" s="104">
        <v>2320</v>
      </c>
      <c r="C51" s="93">
        <v>650034180</v>
      </c>
      <c r="D51" s="77">
        <v>72755369</v>
      </c>
      <c r="E51" s="104" t="s">
        <v>716</v>
      </c>
      <c r="F51" s="105">
        <v>3117</v>
      </c>
      <c r="G51" s="104" t="s">
        <v>293</v>
      </c>
      <c r="H51" s="95" t="s">
        <v>271</v>
      </c>
      <c r="I51" s="596">
        <v>4571151</v>
      </c>
      <c r="J51" s="595">
        <v>3312044</v>
      </c>
      <c r="K51" s="595">
        <v>2706679</v>
      </c>
      <c r="L51" s="595">
        <v>605365</v>
      </c>
      <c r="M51" s="595">
        <v>30000</v>
      </c>
      <c r="N51" s="595">
        <v>0</v>
      </c>
      <c r="O51" s="595">
        <v>30000</v>
      </c>
      <c r="P51" s="595">
        <v>1129611</v>
      </c>
      <c r="Q51" s="595">
        <v>33121</v>
      </c>
      <c r="R51" s="595">
        <v>66375</v>
      </c>
      <c r="S51" s="416">
        <v>5.8074000000000003</v>
      </c>
      <c r="T51" s="416">
        <v>4.0909000000000004</v>
      </c>
      <c r="U51" s="748">
        <v>1.7164999999999999</v>
      </c>
      <c r="V51" s="423">
        <f t="shared" si="2"/>
        <v>-23000</v>
      </c>
      <c r="W51" s="417">
        <f t="shared" si="3"/>
        <v>18000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4"/>
        <v>-23000</v>
      </c>
      <c r="AF51" s="417">
        <f t="shared" si="5"/>
        <v>18000</v>
      </c>
      <c r="AG51" s="417">
        <f t="shared" si="6"/>
        <v>-5000</v>
      </c>
      <c r="AH51" s="417">
        <v>23000</v>
      </c>
      <c r="AI51" s="417">
        <v>-18000</v>
      </c>
      <c r="AJ51" s="417">
        <v>0</v>
      </c>
      <c r="AK51" s="417">
        <v>0</v>
      </c>
      <c r="AL51" s="417">
        <v>0</v>
      </c>
      <c r="AM51" s="417">
        <f t="shared" si="7"/>
        <v>23000</v>
      </c>
      <c r="AN51" s="417">
        <f t="shared" si="8"/>
        <v>-18000</v>
      </c>
      <c r="AO51" s="417">
        <f t="shared" si="9"/>
        <v>5000</v>
      </c>
      <c r="AP51" s="417">
        <f t="shared" si="10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-50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-50</v>
      </c>
      <c r="AZ51" s="418">
        <v>0</v>
      </c>
      <c r="BA51" s="418">
        <v>0.09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0.09</v>
      </c>
      <c r="BK51" s="420">
        <f t="shared" si="19"/>
        <v>0.09</v>
      </c>
      <c r="BL51" s="772">
        <f t="shared" si="70"/>
        <v>4571101</v>
      </c>
      <c r="BM51" s="417">
        <f t="shared" si="71"/>
        <v>3307044</v>
      </c>
      <c r="BN51" s="417">
        <f t="shared" si="72"/>
        <v>2683679</v>
      </c>
      <c r="BO51" s="417">
        <f t="shared" si="72"/>
        <v>623365</v>
      </c>
      <c r="BP51" s="417">
        <f t="shared" si="73"/>
        <v>35000</v>
      </c>
      <c r="BQ51" s="417">
        <f t="shared" si="74"/>
        <v>23000</v>
      </c>
      <c r="BR51" s="417">
        <f t="shared" si="74"/>
        <v>12000</v>
      </c>
      <c r="BS51" s="417">
        <f t="shared" si="75"/>
        <v>1129611</v>
      </c>
      <c r="BT51" s="417">
        <f t="shared" si="75"/>
        <v>33071</v>
      </c>
      <c r="BU51" s="417">
        <f t="shared" si="76"/>
        <v>66375</v>
      </c>
      <c r="BV51" s="418">
        <f t="shared" si="77"/>
        <v>5.8974000000000002</v>
      </c>
      <c r="BW51" s="418">
        <f t="shared" si="78"/>
        <v>4.0909000000000004</v>
      </c>
      <c r="BX51" s="420">
        <f t="shared" si="78"/>
        <v>1.8065</v>
      </c>
      <c r="BY51" s="419"/>
      <c r="BZ51" s="414"/>
      <c r="CA51" s="414"/>
      <c r="CB51" s="414"/>
      <c r="CC51" s="414"/>
      <c r="CD51" s="422"/>
      <c r="CE51" s="419">
        <v>286458</v>
      </c>
      <c r="CF51" s="414">
        <v>203893</v>
      </c>
      <c r="CG51" s="414">
        <v>68916</v>
      </c>
      <c r="CH51" s="414">
        <v>2039</v>
      </c>
      <c r="CI51" s="414">
        <v>11610</v>
      </c>
      <c r="CJ51" s="509">
        <v>0.57969999999999999</v>
      </c>
    </row>
    <row r="52" spans="1:88" s="96" customFormat="1" ht="14.1" customHeight="1">
      <c r="A52" s="118">
        <v>7</v>
      </c>
      <c r="B52" s="102">
        <v>2320</v>
      </c>
      <c r="C52" s="93">
        <v>650034180</v>
      </c>
      <c r="D52" s="77">
        <v>72755369</v>
      </c>
      <c r="E52" s="102" t="s">
        <v>716</v>
      </c>
      <c r="F52" s="94">
        <v>3117</v>
      </c>
      <c r="G52" s="77" t="s">
        <v>291</v>
      </c>
      <c r="H52" s="95" t="s">
        <v>272</v>
      </c>
      <c r="I52" s="596">
        <v>402654</v>
      </c>
      <c r="J52" s="595">
        <v>298705</v>
      </c>
      <c r="K52" s="595">
        <v>298705</v>
      </c>
      <c r="L52" s="595">
        <v>0</v>
      </c>
      <c r="M52" s="595">
        <v>0</v>
      </c>
      <c r="N52" s="595">
        <v>0</v>
      </c>
      <c r="O52" s="595">
        <v>0</v>
      </c>
      <c r="P52" s="595">
        <v>100962</v>
      </c>
      <c r="Q52" s="595">
        <v>2987</v>
      </c>
      <c r="R52" s="595">
        <v>0</v>
      </c>
      <c r="S52" s="416">
        <v>0.81</v>
      </c>
      <c r="T52" s="416">
        <v>0.81</v>
      </c>
      <c r="U52" s="748">
        <v>0</v>
      </c>
      <c r="V52" s="423">
        <f t="shared" si="2"/>
        <v>0</v>
      </c>
      <c r="W52" s="417">
        <f t="shared" si="3"/>
        <v>0</v>
      </c>
      <c r="X52" s="417">
        <v>0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4"/>
        <v>0</v>
      </c>
      <c r="AF52" s="417">
        <f t="shared" si="5"/>
        <v>0</v>
      </c>
      <c r="AG52" s="417">
        <f t="shared" si="6"/>
        <v>0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7"/>
        <v>0</v>
      </c>
      <c r="AN52" s="417">
        <f t="shared" si="8"/>
        <v>0</v>
      </c>
      <c r="AO52" s="417">
        <f t="shared" si="9"/>
        <v>0</v>
      </c>
      <c r="AP52" s="417">
        <f t="shared" si="10"/>
        <v>0</v>
      </c>
      <c r="AQ52" s="417">
        <f t="shared" si="11"/>
        <v>0</v>
      </c>
      <c r="AR52" s="417">
        <f t="shared" si="12"/>
        <v>0</v>
      </c>
      <c r="AS52" s="68">
        <f t="shared" si="13"/>
        <v>0</v>
      </c>
      <c r="AT52" s="68">
        <f t="shared" si="14"/>
        <v>0</v>
      </c>
      <c r="AU52" s="417">
        <v>1500</v>
      </c>
      <c r="AV52" s="417">
        <v>0</v>
      </c>
      <c r="AW52" s="417">
        <v>0</v>
      </c>
      <c r="AX52" s="417">
        <f t="shared" si="15"/>
        <v>1500</v>
      </c>
      <c r="AY52" s="417">
        <f t="shared" si="16"/>
        <v>1500</v>
      </c>
      <c r="AZ52" s="418">
        <v>0</v>
      </c>
      <c r="BA52" s="418">
        <v>0</v>
      </c>
      <c r="BB52" s="418">
        <v>0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7"/>
        <v>0</v>
      </c>
      <c r="BJ52" s="418">
        <f t="shared" si="18"/>
        <v>0</v>
      </c>
      <c r="BK52" s="420">
        <f t="shared" si="19"/>
        <v>0</v>
      </c>
      <c r="BL52" s="772">
        <f t="shared" si="70"/>
        <v>404154</v>
      </c>
      <c r="BM52" s="417">
        <f t="shared" si="71"/>
        <v>298705</v>
      </c>
      <c r="BN52" s="417">
        <f t="shared" si="72"/>
        <v>298705</v>
      </c>
      <c r="BO52" s="417">
        <f t="shared" si="72"/>
        <v>0</v>
      </c>
      <c r="BP52" s="417">
        <f t="shared" si="73"/>
        <v>0</v>
      </c>
      <c r="BQ52" s="417">
        <f t="shared" si="74"/>
        <v>0</v>
      </c>
      <c r="BR52" s="417">
        <f t="shared" si="74"/>
        <v>0</v>
      </c>
      <c r="BS52" s="417">
        <f t="shared" si="75"/>
        <v>100962</v>
      </c>
      <c r="BT52" s="417">
        <f t="shared" si="75"/>
        <v>2987</v>
      </c>
      <c r="BU52" s="417">
        <f t="shared" si="76"/>
        <v>1500</v>
      </c>
      <c r="BV52" s="418">
        <f t="shared" si="77"/>
        <v>0.81</v>
      </c>
      <c r="BW52" s="418">
        <f t="shared" si="78"/>
        <v>0.81</v>
      </c>
      <c r="BX52" s="420">
        <f t="shared" si="78"/>
        <v>0</v>
      </c>
      <c r="BY52" s="419"/>
      <c r="BZ52" s="414"/>
      <c r="CA52" s="414"/>
      <c r="CB52" s="414"/>
      <c r="CC52" s="414"/>
      <c r="CD52" s="422"/>
      <c r="CE52" s="419">
        <v>0</v>
      </c>
      <c r="CF52" s="414">
        <v>0</v>
      </c>
      <c r="CG52" s="414">
        <v>0</v>
      </c>
      <c r="CH52" s="414">
        <v>0</v>
      </c>
      <c r="CI52" s="414">
        <v>0</v>
      </c>
      <c r="CJ52" s="509">
        <v>0</v>
      </c>
    </row>
    <row r="53" spans="1:88" s="96" customFormat="1" ht="14.1" customHeight="1">
      <c r="A53" s="118">
        <v>7</v>
      </c>
      <c r="B53" s="77">
        <v>2320</v>
      </c>
      <c r="C53" s="93">
        <v>650034180</v>
      </c>
      <c r="D53" s="77">
        <v>72755369</v>
      </c>
      <c r="E53" s="77" t="s">
        <v>716</v>
      </c>
      <c r="F53" s="94">
        <v>3141</v>
      </c>
      <c r="G53" s="77" t="s">
        <v>294</v>
      </c>
      <c r="H53" s="95" t="s">
        <v>272</v>
      </c>
      <c r="I53" s="596">
        <v>1060370</v>
      </c>
      <c r="J53" s="595">
        <v>783462</v>
      </c>
      <c r="K53" s="595">
        <v>0</v>
      </c>
      <c r="L53" s="601">
        <v>783462</v>
      </c>
      <c r="M53" s="595">
        <v>0</v>
      </c>
      <c r="N53" s="595">
        <v>0</v>
      </c>
      <c r="O53" s="595">
        <v>0</v>
      </c>
      <c r="P53" s="595">
        <v>264810</v>
      </c>
      <c r="Q53" s="595">
        <v>7834</v>
      </c>
      <c r="R53" s="595">
        <v>4264</v>
      </c>
      <c r="S53" s="416">
        <v>2.34</v>
      </c>
      <c r="T53" s="416">
        <v>0</v>
      </c>
      <c r="U53" s="748">
        <v>2.34</v>
      </c>
      <c r="V53" s="423">
        <f t="shared" si="2"/>
        <v>0</v>
      </c>
      <c r="W53" s="417">
        <f t="shared" si="3"/>
        <v>0</v>
      </c>
      <c r="X53" s="417">
        <v>0</v>
      </c>
      <c r="Y53" s="417">
        <v>0</v>
      </c>
      <c r="Z53" s="417">
        <v>0</v>
      </c>
      <c r="AA53" s="417">
        <v>-5345</v>
      </c>
      <c r="AB53" s="417">
        <v>0</v>
      </c>
      <c r="AC53" s="417">
        <v>0</v>
      </c>
      <c r="AD53" s="417">
        <v>0</v>
      </c>
      <c r="AE53" s="417">
        <f t="shared" si="4"/>
        <v>0</v>
      </c>
      <c r="AF53" s="417">
        <f t="shared" si="5"/>
        <v>-5345</v>
      </c>
      <c r="AG53" s="417">
        <f t="shared" si="6"/>
        <v>-5345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7"/>
        <v>0</v>
      </c>
      <c r="AN53" s="417">
        <f t="shared" si="8"/>
        <v>0</v>
      </c>
      <c r="AO53" s="417">
        <f t="shared" si="9"/>
        <v>0</v>
      </c>
      <c r="AP53" s="417">
        <f t="shared" si="10"/>
        <v>0</v>
      </c>
      <c r="AQ53" s="417">
        <f t="shared" si="11"/>
        <v>-5345</v>
      </c>
      <c r="AR53" s="417">
        <f t="shared" si="12"/>
        <v>-5345</v>
      </c>
      <c r="AS53" s="68">
        <f t="shared" si="13"/>
        <v>-1807</v>
      </c>
      <c r="AT53" s="68">
        <f t="shared" si="14"/>
        <v>-53</v>
      </c>
      <c r="AU53" s="417">
        <v>0</v>
      </c>
      <c r="AV53" s="417">
        <v>0</v>
      </c>
      <c r="AW53" s="417">
        <v>0</v>
      </c>
      <c r="AX53" s="417">
        <f t="shared" si="15"/>
        <v>0</v>
      </c>
      <c r="AY53" s="417">
        <f t="shared" si="16"/>
        <v>-7205</v>
      </c>
      <c r="AZ53" s="418">
        <v>0</v>
      </c>
      <c r="BA53" s="418">
        <v>0</v>
      </c>
      <c r="BB53" s="418">
        <v>0</v>
      </c>
      <c r="BC53" s="418">
        <v>0</v>
      </c>
      <c r="BD53" s="418">
        <v>-0.01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7"/>
        <v>0</v>
      </c>
      <c r="BJ53" s="418">
        <f t="shared" si="18"/>
        <v>-0.01</v>
      </c>
      <c r="BK53" s="420">
        <f t="shared" si="19"/>
        <v>-0.01</v>
      </c>
      <c r="BL53" s="772">
        <f t="shared" si="70"/>
        <v>1053165</v>
      </c>
      <c r="BM53" s="417">
        <f t="shared" si="71"/>
        <v>778117</v>
      </c>
      <c r="BN53" s="417">
        <f t="shared" si="72"/>
        <v>0</v>
      </c>
      <c r="BO53" s="417">
        <f t="shared" si="72"/>
        <v>778117</v>
      </c>
      <c r="BP53" s="417">
        <f t="shared" si="73"/>
        <v>0</v>
      </c>
      <c r="BQ53" s="417">
        <f t="shared" si="74"/>
        <v>0</v>
      </c>
      <c r="BR53" s="417">
        <f t="shared" si="74"/>
        <v>0</v>
      </c>
      <c r="BS53" s="417">
        <f t="shared" si="75"/>
        <v>263003</v>
      </c>
      <c r="BT53" s="417">
        <f t="shared" si="75"/>
        <v>7781</v>
      </c>
      <c r="BU53" s="417">
        <f t="shared" si="76"/>
        <v>4264</v>
      </c>
      <c r="BV53" s="418">
        <f t="shared" si="77"/>
        <v>2.33</v>
      </c>
      <c r="BW53" s="418">
        <f t="shared" si="78"/>
        <v>0</v>
      </c>
      <c r="BX53" s="420">
        <f t="shared" si="78"/>
        <v>2.33</v>
      </c>
      <c r="BY53" s="419"/>
      <c r="BZ53" s="414"/>
      <c r="CA53" s="414"/>
      <c r="CB53" s="414"/>
      <c r="CC53" s="414"/>
      <c r="CD53" s="422"/>
      <c r="CE53" s="419">
        <v>0</v>
      </c>
      <c r="CF53" s="414">
        <v>0</v>
      </c>
      <c r="CG53" s="414">
        <v>0</v>
      </c>
      <c r="CH53" s="414">
        <v>0</v>
      </c>
      <c r="CI53" s="414">
        <v>0</v>
      </c>
      <c r="CJ53" s="509">
        <v>0</v>
      </c>
    </row>
    <row r="54" spans="1:88" s="96" customFormat="1" ht="14.1" customHeight="1">
      <c r="A54" s="118">
        <v>7</v>
      </c>
      <c r="B54" s="77">
        <v>2320</v>
      </c>
      <c r="C54" s="93">
        <v>650034180</v>
      </c>
      <c r="D54" s="77">
        <v>72755369</v>
      </c>
      <c r="E54" s="77" t="s">
        <v>716</v>
      </c>
      <c r="F54" s="94">
        <v>3143</v>
      </c>
      <c r="G54" s="77" t="s">
        <v>595</v>
      </c>
      <c r="H54" s="95" t="s">
        <v>271</v>
      </c>
      <c r="I54" s="596">
        <v>891284</v>
      </c>
      <c r="J54" s="595">
        <v>661190</v>
      </c>
      <c r="K54" s="595">
        <v>661190</v>
      </c>
      <c r="L54" s="595">
        <v>0</v>
      </c>
      <c r="M54" s="595">
        <v>0</v>
      </c>
      <c r="N54" s="595">
        <v>0</v>
      </c>
      <c r="O54" s="595">
        <v>0</v>
      </c>
      <c r="P54" s="595">
        <v>223482</v>
      </c>
      <c r="Q54" s="595">
        <v>6612</v>
      </c>
      <c r="R54" s="595">
        <v>0</v>
      </c>
      <c r="S54" s="416">
        <v>1.4582999999999999</v>
      </c>
      <c r="T54" s="416">
        <v>1.4582999999999999</v>
      </c>
      <c r="U54" s="748">
        <v>0</v>
      </c>
      <c r="V54" s="423">
        <f t="shared" si="2"/>
        <v>0</v>
      </c>
      <c r="W54" s="417">
        <f t="shared" si="3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4"/>
        <v>0</v>
      </c>
      <c r="AF54" s="417">
        <f t="shared" si="5"/>
        <v>0</v>
      </c>
      <c r="AG54" s="417">
        <f t="shared" si="6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7"/>
        <v>0</v>
      </c>
      <c r="AN54" s="417">
        <f t="shared" si="8"/>
        <v>0</v>
      </c>
      <c r="AO54" s="417">
        <f t="shared" si="9"/>
        <v>0</v>
      </c>
      <c r="AP54" s="417">
        <f t="shared" si="10"/>
        <v>0</v>
      </c>
      <c r="AQ54" s="417">
        <f t="shared" si="11"/>
        <v>0</v>
      </c>
      <c r="AR54" s="417">
        <f t="shared" si="12"/>
        <v>0</v>
      </c>
      <c r="AS54" s="68">
        <f t="shared" si="13"/>
        <v>0</v>
      </c>
      <c r="AT54" s="68">
        <f t="shared" si="14"/>
        <v>0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0</v>
      </c>
      <c r="BK54" s="420">
        <f t="shared" si="19"/>
        <v>0</v>
      </c>
      <c r="BL54" s="772">
        <f t="shared" si="70"/>
        <v>891284</v>
      </c>
      <c r="BM54" s="417">
        <f t="shared" si="71"/>
        <v>661190</v>
      </c>
      <c r="BN54" s="417">
        <f t="shared" si="72"/>
        <v>661190</v>
      </c>
      <c r="BO54" s="417">
        <f t="shared" si="72"/>
        <v>0</v>
      </c>
      <c r="BP54" s="417">
        <f t="shared" si="73"/>
        <v>0</v>
      </c>
      <c r="BQ54" s="417">
        <f t="shared" si="74"/>
        <v>0</v>
      </c>
      <c r="BR54" s="417">
        <f t="shared" si="74"/>
        <v>0</v>
      </c>
      <c r="BS54" s="417">
        <f t="shared" si="75"/>
        <v>223482</v>
      </c>
      <c r="BT54" s="417">
        <f t="shared" si="75"/>
        <v>6612</v>
      </c>
      <c r="BU54" s="417">
        <f t="shared" si="76"/>
        <v>0</v>
      </c>
      <c r="BV54" s="418">
        <f t="shared" si="77"/>
        <v>1.4582999999999999</v>
      </c>
      <c r="BW54" s="418">
        <f t="shared" si="78"/>
        <v>1.4582999999999999</v>
      </c>
      <c r="BX54" s="420">
        <f t="shared" si="78"/>
        <v>0</v>
      </c>
      <c r="BY54" s="419"/>
      <c r="BZ54" s="414"/>
      <c r="CA54" s="414"/>
      <c r="CB54" s="414"/>
      <c r="CC54" s="414"/>
      <c r="CD54" s="422"/>
      <c r="CE54" s="419">
        <v>0</v>
      </c>
      <c r="CF54" s="414">
        <v>0</v>
      </c>
      <c r="CG54" s="414">
        <v>0</v>
      </c>
      <c r="CH54" s="414">
        <v>0</v>
      </c>
      <c r="CI54" s="414">
        <v>0</v>
      </c>
      <c r="CJ54" s="509">
        <v>0</v>
      </c>
    </row>
    <row r="55" spans="1:88" s="96" customFormat="1" ht="14.1" customHeight="1">
      <c r="A55" s="118">
        <v>7</v>
      </c>
      <c r="B55" s="77">
        <v>2320</v>
      </c>
      <c r="C55" s="93">
        <v>650034180</v>
      </c>
      <c r="D55" s="77">
        <v>72755369</v>
      </c>
      <c r="E55" s="77" t="s">
        <v>716</v>
      </c>
      <c r="F55" s="94">
        <v>3143</v>
      </c>
      <c r="G55" s="77" t="s">
        <v>596</v>
      </c>
      <c r="H55" s="95" t="s">
        <v>272</v>
      </c>
      <c r="I55" s="596">
        <v>30736</v>
      </c>
      <c r="J55" s="595">
        <v>22000</v>
      </c>
      <c r="K55" s="595">
        <v>0</v>
      </c>
      <c r="L55" s="601">
        <v>22000</v>
      </c>
      <c r="M55" s="595">
        <v>0</v>
      </c>
      <c r="N55" s="602">
        <v>0</v>
      </c>
      <c r="O55" s="602">
        <v>0</v>
      </c>
      <c r="P55" s="595">
        <v>7436</v>
      </c>
      <c r="Q55" s="595">
        <v>220</v>
      </c>
      <c r="R55" s="602">
        <v>1080</v>
      </c>
      <c r="S55" s="416">
        <v>8.5599999999999996E-2</v>
      </c>
      <c r="T55" s="605">
        <v>0</v>
      </c>
      <c r="U55" s="731">
        <v>8.5599999999999996E-2</v>
      </c>
      <c r="V55" s="423">
        <f t="shared" si="2"/>
        <v>0</v>
      </c>
      <c r="W55" s="417">
        <f t="shared" si="3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4"/>
        <v>0</v>
      </c>
      <c r="AF55" s="417">
        <f t="shared" si="5"/>
        <v>0</v>
      </c>
      <c r="AG55" s="417">
        <f t="shared" si="6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7"/>
        <v>0</v>
      </c>
      <c r="AN55" s="417">
        <f t="shared" si="8"/>
        <v>0</v>
      </c>
      <c r="AO55" s="417">
        <f t="shared" si="9"/>
        <v>0</v>
      </c>
      <c r="AP55" s="417">
        <f t="shared" si="10"/>
        <v>0</v>
      </c>
      <c r="AQ55" s="417">
        <f t="shared" si="11"/>
        <v>0</v>
      </c>
      <c r="AR55" s="417">
        <f t="shared" si="12"/>
        <v>0</v>
      </c>
      <c r="AS55" s="68">
        <f t="shared" si="13"/>
        <v>0</v>
      </c>
      <c r="AT55" s="68">
        <f t="shared" si="14"/>
        <v>0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0</v>
      </c>
      <c r="BK55" s="420">
        <f t="shared" si="19"/>
        <v>0</v>
      </c>
      <c r="BL55" s="772">
        <f t="shared" si="70"/>
        <v>30736</v>
      </c>
      <c r="BM55" s="417">
        <f t="shared" si="71"/>
        <v>22000</v>
      </c>
      <c r="BN55" s="417">
        <f t="shared" si="72"/>
        <v>0</v>
      </c>
      <c r="BO55" s="417">
        <f t="shared" si="72"/>
        <v>22000</v>
      </c>
      <c r="BP55" s="417">
        <f t="shared" si="73"/>
        <v>0</v>
      </c>
      <c r="BQ55" s="417">
        <f t="shared" si="74"/>
        <v>0</v>
      </c>
      <c r="BR55" s="417">
        <f t="shared" si="74"/>
        <v>0</v>
      </c>
      <c r="BS55" s="417">
        <f t="shared" si="75"/>
        <v>7436</v>
      </c>
      <c r="BT55" s="417">
        <f t="shared" si="75"/>
        <v>220</v>
      </c>
      <c r="BU55" s="417">
        <f t="shared" si="76"/>
        <v>1080</v>
      </c>
      <c r="BV55" s="418">
        <f t="shared" si="77"/>
        <v>8.5599999999999996E-2</v>
      </c>
      <c r="BW55" s="418">
        <f t="shared" si="78"/>
        <v>0</v>
      </c>
      <c r="BX55" s="420">
        <f t="shared" si="78"/>
        <v>8.5599999999999996E-2</v>
      </c>
      <c r="BY55" s="419"/>
      <c r="BZ55" s="414"/>
      <c r="CA55" s="414"/>
      <c r="CB55" s="414"/>
      <c r="CC55" s="414"/>
      <c r="CD55" s="422"/>
      <c r="CE55" s="419">
        <v>0</v>
      </c>
      <c r="CF55" s="414">
        <v>0</v>
      </c>
      <c r="CG55" s="414">
        <v>0</v>
      </c>
      <c r="CH55" s="414">
        <v>0</v>
      </c>
      <c r="CI55" s="414">
        <v>0</v>
      </c>
      <c r="CJ55" s="509">
        <v>0</v>
      </c>
    </row>
    <row r="56" spans="1:88" s="96" customFormat="1" ht="14.1" customHeight="1">
      <c r="A56" s="119">
        <v>7</v>
      </c>
      <c r="B56" s="97">
        <v>2320</v>
      </c>
      <c r="C56" s="98">
        <v>650034180</v>
      </c>
      <c r="D56" s="97">
        <v>72755369</v>
      </c>
      <c r="E56" s="97" t="s">
        <v>717</v>
      </c>
      <c r="F56" s="106"/>
      <c r="G56" s="100"/>
      <c r="H56" s="101"/>
      <c r="I56" s="437">
        <v>10233899</v>
      </c>
      <c r="J56" s="433">
        <v>7497360</v>
      </c>
      <c r="K56" s="433">
        <v>5910115</v>
      </c>
      <c r="L56" s="433">
        <v>1587245</v>
      </c>
      <c r="M56" s="433">
        <v>30000</v>
      </c>
      <c r="N56" s="433">
        <v>0</v>
      </c>
      <c r="O56" s="433">
        <v>30000</v>
      </c>
      <c r="P56" s="433">
        <v>2544247</v>
      </c>
      <c r="Q56" s="433">
        <v>74973</v>
      </c>
      <c r="R56" s="433">
        <v>87319</v>
      </c>
      <c r="S56" s="434">
        <v>15.2081</v>
      </c>
      <c r="T56" s="434">
        <v>10.359200000000001</v>
      </c>
      <c r="U56" s="695">
        <v>4.8488999999999995</v>
      </c>
      <c r="V56" s="437">
        <f t="shared" ref="V56:CG56" si="79">SUM(V50:V55)</f>
        <v>-23000</v>
      </c>
      <c r="W56" s="433">
        <f t="shared" si="79"/>
        <v>18000</v>
      </c>
      <c r="X56" s="433">
        <f t="shared" si="79"/>
        <v>0</v>
      </c>
      <c r="Y56" s="433">
        <f t="shared" si="79"/>
        <v>0</v>
      </c>
      <c r="Z56" s="433">
        <f t="shared" si="79"/>
        <v>0</v>
      </c>
      <c r="AA56" s="433">
        <f t="shared" si="79"/>
        <v>-5345</v>
      </c>
      <c r="AB56" s="433">
        <f t="shared" si="79"/>
        <v>0</v>
      </c>
      <c r="AC56" s="433">
        <f t="shared" si="79"/>
        <v>0</v>
      </c>
      <c r="AD56" s="433">
        <f t="shared" si="79"/>
        <v>0</v>
      </c>
      <c r="AE56" s="433">
        <f t="shared" si="79"/>
        <v>-23000</v>
      </c>
      <c r="AF56" s="433">
        <f t="shared" si="79"/>
        <v>12655</v>
      </c>
      <c r="AG56" s="433">
        <f t="shared" si="79"/>
        <v>-10345</v>
      </c>
      <c r="AH56" s="433">
        <f t="shared" si="79"/>
        <v>23000</v>
      </c>
      <c r="AI56" s="433">
        <f t="shared" si="79"/>
        <v>-18000</v>
      </c>
      <c r="AJ56" s="433">
        <f t="shared" si="79"/>
        <v>0</v>
      </c>
      <c r="AK56" s="433">
        <f t="shared" si="79"/>
        <v>0</v>
      </c>
      <c r="AL56" s="433">
        <f t="shared" si="79"/>
        <v>0</v>
      </c>
      <c r="AM56" s="433">
        <f t="shared" si="79"/>
        <v>23000</v>
      </c>
      <c r="AN56" s="433">
        <f t="shared" si="79"/>
        <v>-18000</v>
      </c>
      <c r="AO56" s="433">
        <f t="shared" si="79"/>
        <v>5000</v>
      </c>
      <c r="AP56" s="433">
        <f t="shared" si="79"/>
        <v>0</v>
      </c>
      <c r="AQ56" s="433">
        <f t="shared" si="79"/>
        <v>-5345</v>
      </c>
      <c r="AR56" s="433">
        <f t="shared" si="79"/>
        <v>-5345</v>
      </c>
      <c r="AS56" s="433">
        <f t="shared" si="79"/>
        <v>-1807</v>
      </c>
      <c r="AT56" s="433">
        <f t="shared" si="79"/>
        <v>-103</v>
      </c>
      <c r="AU56" s="433">
        <f t="shared" si="79"/>
        <v>1500</v>
      </c>
      <c r="AV56" s="433">
        <f t="shared" si="79"/>
        <v>0</v>
      </c>
      <c r="AW56" s="433">
        <f t="shared" si="79"/>
        <v>0</v>
      </c>
      <c r="AX56" s="433">
        <f t="shared" si="79"/>
        <v>1500</v>
      </c>
      <c r="AY56" s="433">
        <f t="shared" si="79"/>
        <v>-5755</v>
      </c>
      <c r="AZ56" s="434">
        <f t="shared" si="79"/>
        <v>0</v>
      </c>
      <c r="BA56" s="434">
        <f t="shared" si="79"/>
        <v>0.09</v>
      </c>
      <c r="BB56" s="434">
        <f t="shared" si="79"/>
        <v>0</v>
      </c>
      <c r="BC56" s="434">
        <f t="shared" si="79"/>
        <v>0</v>
      </c>
      <c r="BD56" s="434">
        <f t="shared" si="79"/>
        <v>-0.01</v>
      </c>
      <c r="BE56" s="434">
        <f t="shared" si="79"/>
        <v>0</v>
      </c>
      <c r="BF56" s="434">
        <f t="shared" si="79"/>
        <v>0</v>
      </c>
      <c r="BG56" s="434">
        <f t="shared" si="79"/>
        <v>0</v>
      </c>
      <c r="BH56" s="434">
        <f t="shared" si="79"/>
        <v>0</v>
      </c>
      <c r="BI56" s="434">
        <f t="shared" si="79"/>
        <v>0</v>
      </c>
      <c r="BJ56" s="434">
        <f t="shared" si="79"/>
        <v>0.08</v>
      </c>
      <c r="BK56" s="103">
        <f t="shared" si="79"/>
        <v>0.08</v>
      </c>
      <c r="BL56" s="785">
        <f t="shared" si="79"/>
        <v>10228144</v>
      </c>
      <c r="BM56" s="433">
        <f t="shared" si="79"/>
        <v>7487015</v>
      </c>
      <c r="BN56" s="433">
        <f t="shared" si="79"/>
        <v>5887115</v>
      </c>
      <c r="BO56" s="433">
        <f t="shared" si="79"/>
        <v>1599900</v>
      </c>
      <c r="BP56" s="433">
        <f t="shared" si="79"/>
        <v>35000</v>
      </c>
      <c r="BQ56" s="433">
        <f t="shared" si="79"/>
        <v>23000</v>
      </c>
      <c r="BR56" s="433">
        <f t="shared" si="79"/>
        <v>12000</v>
      </c>
      <c r="BS56" s="433">
        <f t="shared" si="79"/>
        <v>2542440</v>
      </c>
      <c r="BT56" s="433">
        <f t="shared" si="79"/>
        <v>74870</v>
      </c>
      <c r="BU56" s="433">
        <f t="shared" si="79"/>
        <v>88819</v>
      </c>
      <c r="BV56" s="434">
        <f t="shared" si="79"/>
        <v>15.2881</v>
      </c>
      <c r="BW56" s="434">
        <f t="shared" si="79"/>
        <v>10.359200000000001</v>
      </c>
      <c r="BX56" s="103">
        <f t="shared" si="79"/>
        <v>4.9289000000000005</v>
      </c>
      <c r="BY56" s="795">
        <f t="shared" si="79"/>
        <v>0</v>
      </c>
      <c r="BZ56" s="698">
        <f t="shared" si="79"/>
        <v>0</v>
      </c>
      <c r="CA56" s="698">
        <f t="shared" si="79"/>
        <v>0</v>
      </c>
      <c r="CB56" s="698">
        <f t="shared" si="79"/>
        <v>0</v>
      </c>
      <c r="CC56" s="698">
        <f t="shared" si="79"/>
        <v>0</v>
      </c>
      <c r="CD56" s="961">
        <f t="shared" si="79"/>
        <v>0</v>
      </c>
      <c r="CE56" s="887">
        <f t="shared" si="79"/>
        <v>367955</v>
      </c>
      <c r="CF56" s="888">
        <f t="shared" si="79"/>
        <v>260503</v>
      </c>
      <c r="CG56" s="888">
        <f t="shared" si="79"/>
        <v>88050</v>
      </c>
      <c r="CH56" s="888">
        <f t="shared" ref="CH56:CJ56" si="80">SUM(CH50:CH55)</f>
        <v>2605</v>
      </c>
      <c r="CI56" s="888">
        <f t="shared" si="80"/>
        <v>16797</v>
      </c>
      <c r="CJ56" s="889">
        <f t="shared" si="80"/>
        <v>0.80649999999999999</v>
      </c>
    </row>
    <row r="57" spans="1:88" s="96" customFormat="1" ht="14.1" customHeight="1">
      <c r="A57" s="118">
        <v>8</v>
      </c>
      <c r="B57" s="102">
        <v>2455</v>
      </c>
      <c r="C57" s="93">
        <v>600080145</v>
      </c>
      <c r="D57" s="77">
        <v>72741601</v>
      </c>
      <c r="E57" s="77" t="s">
        <v>718</v>
      </c>
      <c r="F57" s="94">
        <v>3111</v>
      </c>
      <c r="G57" s="77" t="s">
        <v>290</v>
      </c>
      <c r="H57" s="95" t="s">
        <v>271</v>
      </c>
      <c r="I57" s="596">
        <v>1673417</v>
      </c>
      <c r="J57" s="595">
        <v>1234879</v>
      </c>
      <c r="K57" s="595">
        <v>1136861</v>
      </c>
      <c r="L57" s="595">
        <v>98018</v>
      </c>
      <c r="M57" s="595">
        <v>0</v>
      </c>
      <c r="N57" s="595">
        <v>0</v>
      </c>
      <c r="O57" s="595">
        <v>0</v>
      </c>
      <c r="P57" s="595">
        <v>417389</v>
      </c>
      <c r="Q57" s="595">
        <v>12349</v>
      </c>
      <c r="R57" s="595">
        <v>8800</v>
      </c>
      <c r="S57" s="416">
        <v>2.3927</v>
      </c>
      <c r="T57" s="416">
        <v>2</v>
      </c>
      <c r="U57" s="748">
        <v>0.39269999999999999</v>
      </c>
      <c r="V57" s="423">
        <f t="shared" si="2"/>
        <v>0</v>
      </c>
      <c r="W57" s="417">
        <f t="shared" si="3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4"/>
        <v>0</v>
      </c>
      <c r="AF57" s="417">
        <f t="shared" si="5"/>
        <v>0</v>
      </c>
      <c r="AG57" s="417">
        <f t="shared" si="6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7"/>
        <v>0</v>
      </c>
      <c r="AN57" s="417">
        <f t="shared" si="8"/>
        <v>0</v>
      </c>
      <c r="AO57" s="417">
        <f t="shared" si="9"/>
        <v>0</v>
      </c>
      <c r="AP57" s="417">
        <f t="shared" si="10"/>
        <v>0</v>
      </c>
      <c r="AQ57" s="417">
        <f t="shared" si="11"/>
        <v>0</v>
      </c>
      <c r="AR57" s="417">
        <f t="shared" si="12"/>
        <v>0</v>
      </c>
      <c r="AS57" s="68">
        <f t="shared" si="13"/>
        <v>0</v>
      </c>
      <c r="AT57" s="68">
        <f t="shared" si="14"/>
        <v>0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</v>
      </c>
      <c r="BK57" s="420">
        <f t="shared" si="19"/>
        <v>0</v>
      </c>
      <c r="BL57" s="772">
        <f t="shared" ref="BL57:BL62" si="81">I57+AY57</f>
        <v>1673417</v>
      </c>
      <c r="BM57" s="417">
        <f t="shared" ref="BM57:BM62" si="82">J57+AG57</f>
        <v>1234879</v>
      </c>
      <c r="BN57" s="417">
        <f t="shared" ref="BN57:BO62" si="83">K57+AE57</f>
        <v>1136861</v>
      </c>
      <c r="BO57" s="417">
        <f t="shared" si="83"/>
        <v>98018</v>
      </c>
      <c r="BP57" s="417">
        <f t="shared" ref="BP57:BP62" si="84">M57+AO57</f>
        <v>0</v>
      </c>
      <c r="BQ57" s="417">
        <f t="shared" ref="BQ57:BR62" si="85">N57+AM57</f>
        <v>0</v>
      </c>
      <c r="BR57" s="417">
        <f t="shared" si="85"/>
        <v>0</v>
      </c>
      <c r="BS57" s="417">
        <f t="shared" ref="BS57:BT62" si="86">P57+AS57</f>
        <v>417389</v>
      </c>
      <c r="BT57" s="417">
        <f t="shared" si="86"/>
        <v>12349</v>
      </c>
      <c r="BU57" s="417">
        <f t="shared" ref="BU57:BU62" si="87">R57+AX57</f>
        <v>8800</v>
      </c>
      <c r="BV57" s="418">
        <f t="shared" ref="BV57:BV62" si="88">S57+BK57</f>
        <v>2.3927</v>
      </c>
      <c r="BW57" s="418">
        <f t="shared" ref="BW57:BX62" si="89">T57+BI57</f>
        <v>2</v>
      </c>
      <c r="BX57" s="420">
        <f t="shared" si="89"/>
        <v>0.39269999999999999</v>
      </c>
      <c r="BY57" s="419"/>
      <c r="BZ57" s="414"/>
      <c r="CA57" s="414"/>
      <c r="CB57" s="414"/>
      <c r="CC57" s="414"/>
      <c r="CD57" s="422"/>
      <c r="CE57" s="419">
        <v>45321</v>
      </c>
      <c r="CF57" s="414">
        <v>31450</v>
      </c>
      <c r="CG57" s="414">
        <v>10630</v>
      </c>
      <c r="CH57" s="414">
        <v>315</v>
      </c>
      <c r="CI57" s="414">
        <v>2926</v>
      </c>
      <c r="CJ57" s="509">
        <v>0.126</v>
      </c>
    </row>
    <row r="58" spans="1:88" s="96" customFormat="1" ht="14.1" customHeight="1">
      <c r="A58" s="118">
        <v>8</v>
      </c>
      <c r="B58" s="104">
        <v>2455</v>
      </c>
      <c r="C58" s="93">
        <v>600080145</v>
      </c>
      <c r="D58" s="77">
        <v>72741601</v>
      </c>
      <c r="E58" s="104" t="s">
        <v>718</v>
      </c>
      <c r="F58" s="105">
        <v>3117</v>
      </c>
      <c r="G58" s="104" t="s">
        <v>308</v>
      </c>
      <c r="H58" s="95" t="s">
        <v>271</v>
      </c>
      <c r="I58" s="596">
        <v>3423375</v>
      </c>
      <c r="J58" s="595">
        <v>2482540</v>
      </c>
      <c r="K58" s="595">
        <v>2093911</v>
      </c>
      <c r="L58" s="595">
        <v>388629</v>
      </c>
      <c r="M58" s="595">
        <v>20000</v>
      </c>
      <c r="N58" s="595">
        <v>0</v>
      </c>
      <c r="O58" s="595">
        <v>20000</v>
      </c>
      <c r="P58" s="595">
        <v>845859</v>
      </c>
      <c r="Q58" s="595">
        <v>24826</v>
      </c>
      <c r="R58" s="595">
        <v>50150</v>
      </c>
      <c r="S58" s="416">
        <v>4.4154999999999998</v>
      </c>
      <c r="T58" s="416">
        <v>3.3635999999999999</v>
      </c>
      <c r="U58" s="748">
        <v>1.0518999999999998</v>
      </c>
      <c r="V58" s="423">
        <f t="shared" si="2"/>
        <v>0</v>
      </c>
      <c r="W58" s="417">
        <f t="shared" si="3"/>
        <v>20000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4"/>
        <v>0</v>
      </c>
      <c r="AF58" s="417">
        <f t="shared" si="5"/>
        <v>20000</v>
      </c>
      <c r="AG58" s="417">
        <f t="shared" si="6"/>
        <v>20000</v>
      </c>
      <c r="AH58" s="417">
        <v>0</v>
      </c>
      <c r="AI58" s="417">
        <v>-20000</v>
      </c>
      <c r="AJ58" s="417">
        <v>0</v>
      </c>
      <c r="AK58" s="417">
        <v>0</v>
      </c>
      <c r="AL58" s="417">
        <v>0</v>
      </c>
      <c r="AM58" s="417">
        <f t="shared" si="7"/>
        <v>0</v>
      </c>
      <c r="AN58" s="417">
        <f t="shared" si="8"/>
        <v>-20000</v>
      </c>
      <c r="AO58" s="417">
        <f t="shared" si="9"/>
        <v>-20000</v>
      </c>
      <c r="AP58" s="417">
        <f t="shared" si="10"/>
        <v>0</v>
      </c>
      <c r="AQ58" s="417">
        <f t="shared" si="11"/>
        <v>0</v>
      </c>
      <c r="AR58" s="417">
        <f t="shared" si="12"/>
        <v>0</v>
      </c>
      <c r="AS58" s="68">
        <f t="shared" si="13"/>
        <v>0</v>
      </c>
      <c r="AT58" s="68">
        <f t="shared" si="14"/>
        <v>200</v>
      </c>
      <c r="AU58" s="417">
        <v>0</v>
      </c>
      <c r="AV58" s="417">
        <v>0</v>
      </c>
      <c r="AW58" s="417">
        <v>0</v>
      </c>
      <c r="AX58" s="417">
        <f t="shared" si="15"/>
        <v>0</v>
      </c>
      <c r="AY58" s="417">
        <f t="shared" si="16"/>
        <v>200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0</v>
      </c>
      <c r="BK58" s="420">
        <f t="shared" si="19"/>
        <v>0</v>
      </c>
      <c r="BL58" s="772">
        <f t="shared" si="81"/>
        <v>3423575</v>
      </c>
      <c r="BM58" s="417">
        <f t="shared" si="82"/>
        <v>2502540</v>
      </c>
      <c r="BN58" s="417">
        <f t="shared" si="83"/>
        <v>2093911</v>
      </c>
      <c r="BO58" s="417">
        <f t="shared" si="83"/>
        <v>408629</v>
      </c>
      <c r="BP58" s="417">
        <f t="shared" si="84"/>
        <v>0</v>
      </c>
      <c r="BQ58" s="417">
        <f t="shared" si="85"/>
        <v>0</v>
      </c>
      <c r="BR58" s="417">
        <f t="shared" si="85"/>
        <v>0</v>
      </c>
      <c r="BS58" s="417">
        <f t="shared" si="86"/>
        <v>845859</v>
      </c>
      <c r="BT58" s="417">
        <f t="shared" si="86"/>
        <v>25026</v>
      </c>
      <c r="BU58" s="417">
        <f t="shared" si="87"/>
        <v>50150</v>
      </c>
      <c r="BV58" s="418">
        <f t="shared" si="88"/>
        <v>4.4154999999999998</v>
      </c>
      <c r="BW58" s="418">
        <f t="shared" si="89"/>
        <v>3.3635999999999999</v>
      </c>
      <c r="BX58" s="420">
        <f t="shared" si="89"/>
        <v>1.0518999999999998</v>
      </c>
      <c r="BY58" s="419"/>
      <c r="BZ58" s="414"/>
      <c r="CA58" s="414"/>
      <c r="CB58" s="414"/>
      <c r="CC58" s="414"/>
      <c r="CD58" s="422"/>
      <c r="CE58" s="419">
        <v>185587</v>
      </c>
      <c r="CF58" s="414">
        <v>131169</v>
      </c>
      <c r="CG58" s="414">
        <v>44335</v>
      </c>
      <c r="CH58" s="414">
        <v>1311</v>
      </c>
      <c r="CI58" s="414">
        <v>8772</v>
      </c>
      <c r="CJ58" s="509">
        <v>0.3377</v>
      </c>
    </row>
    <row r="59" spans="1:88" s="96" customFormat="1" ht="14.1" customHeight="1">
      <c r="A59" s="118">
        <v>8</v>
      </c>
      <c r="B59" s="102">
        <v>2455</v>
      </c>
      <c r="C59" s="93">
        <v>600080145</v>
      </c>
      <c r="D59" s="77">
        <v>72741601</v>
      </c>
      <c r="E59" s="102" t="s">
        <v>718</v>
      </c>
      <c r="F59" s="94">
        <v>3117</v>
      </c>
      <c r="G59" s="77" t="s">
        <v>291</v>
      </c>
      <c r="H59" s="95" t="s">
        <v>272</v>
      </c>
      <c r="I59" s="596">
        <v>272667</v>
      </c>
      <c r="J59" s="595">
        <v>201905</v>
      </c>
      <c r="K59" s="595">
        <v>201905</v>
      </c>
      <c r="L59" s="595">
        <v>0</v>
      </c>
      <c r="M59" s="595">
        <v>0</v>
      </c>
      <c r="N59" s="595">
        <v>0</v>
      </c>
      <c r="O59" s="595">
        <v>0</v>
      </c>
      <c r="P59" s="595">
        <v>68243</v>
      </c>
      <c r="Q59" s="595">
        <v>2019</v>
      </c>
      <c r="R59" s="595">
        <v>500</v>
      </c>
      <c r="S59" s="416">
        <v>0.54</v>
      </c>
      <c r="T59" s="416">
        <v>0.54</v>
      </c>
      <c r="U59" s="748">
        <v>0</v>
      </c>
      <c r="V59" s="423">
        <f t="shared" si="2"/>
        <v>0</v>
      </c>
      <c r="W59" s="417">
        <f t="shared" si="3"/>
        <v>0</v>
      </c>
      <c r="X59" s="417">
        <v>4126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4"/>
        <v>4126</v>
      </c>
      <c r="AF59" s="417">
        <f t="shared" si="5"/>
        <v>0</v>
      </c>
      <c r="AG59" s="417">
        <f t="shared" si="6"/>
        <v>4126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7"/>
        <v>0</v>
      </c>
      <c r="AN59" s="417">
        <f t="shared" si="8"/>
        <v>0</v>
      </c>
      <c r="AO59" s="417">
        <f t="shared" si="9"/>
        <v>0</v>
      </c>
      <c r="AP59" s="417">
        <f t="shared" si="10"/>
        <v>4126</v>
      </c>
      <c r="AQ59" s="417">
        <f t="shared" si="11"/>
        <v>0</v>
      </c>
      <c r="AR59" s="417">
        <f t="shared" si="12"/>
        <v>4126</v>
      </c>
      <c r="AS59" s="68">
        <f t="shared" si="13"/>
        <v>1395</v>
      </c>
      <c r="AT59" s="68">
        <f t="shared" si="14"/>
        <v>41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5562</v>
      </c>
      <c r="AZ59" s="418">
        <v>0</v>
      </c>
      <c r="BA59" s="418">
        <v>0</v>
      </c>
      <c r="BB59" s="418">
        <v>0.01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0.01</v>
      </c>
      <c r="BJ59" s="418">
        <f t="shared" si="18"/>
        <v>0</v>
      </c>
      <c r="BK59" s="420">
        <f t="shared" si="19"/>
        <v>0.01</v>
      </c>
      <c r="BL59" s="772">
        <f t="shared" si="81"/>
        <v>278229</v>
      </c>
      <c r="BM59" s="417">
        <f t="shared" si="82"/>
        <v>206031</v>
      </c>
      <c r="BN59" s="417">
        <f t="shared" si="83"/>
        <v>206031</v>
      </c>
      <c r="BO59" s="417">
        <f t="shared" si="83"/>
        <v>0</v>
      </c>
      <c r="BP59" s="417">
        <f t="shared" si="84"/>
        <v>0</v>
      </c>
      <c r="BQ59" s="417">
        <f t="shared" si="85"/>
        <v>0</v>
      </c>
      <c r="BR59" s="417">
        <f t="shared" si="85"/>
        <v>0</v>
      </c>
      <c r="BS59" s="417">
        <f t="shared" si="86"/>
        <v>69638</v>
      </c>
      <c r="BT59" s="417">
        <f t="shared" si="86"/>
        <v>2060</v>
      </c>
      <c r="BU59" s="417">
        <f t="shared" si="87"/>
        <v>500</v>
      </c>
      <c r="BV59" s="418">
        <f t="shared" si="88"/>
        <v>0.55000000000000004</v>
      </c>
      <c r="BW59" s="418">
        <f t="shared" si="89"/>
        <v>0.55000000000000004</v>
      </c>
      <c r="BX59" s="420">
        <f t="shared" si="89"/>
        <v>0</v>
      </c>
      <c r="BY59" s="419"/>
      <c r="BZ59" s="414"/>
      <c r="CA59" s="414"/>
      <c r="CB59" s="414"/>
      <c r="CC59" s="414"/>
      <c r="CD59" s="422"/>
      <c r="CE59" s="419">
        <v>0</v>
      </c>
      <c r="CF59" s="414">
        <v>0</v>
      </c>
      <c r="CG59" s="414">
        <v>0</v>
      </c>
      <c r="CH59" s="414">
        <v>0</v>
      </c>
      <c r="CI59" s="414">
        <v>0</v>
      </c>
      <c r="CJ59" s="509">
        <v>0</v>
      </c>
    </row>
    <row r="60" spans="1:88" s="96" customFormat="1" ht="14.1" customHeight="1">
      <c r="A60" s="118">
        <v>8</v>
      </c>
      <c r="B60" s="77">
        <v>2455</v>
      </c>
      <c r="C60" s="93">
        <v>600080145</v>
      </c>
      <c r="D60" s="77">
        <v>72741601</v>
      </c>
      <c r="E60" s="77" t="s">
        <v>718</v>
      </c>
      <c r="F60" s="94">
        <v>3141</v>
      </c>
      <c r="G60" s="77" t="s">
        <v>294</v>
      </c>
      <c r="H60" s="95" t="s">
        <v>272</v>
      </c>
      <c r="I60" s="596">
        <v>787540</v>
      </c>
      <c r="J60" s="595">
        <v>582068</v>
      </c>
      <c r="K60" s="595">
        <v>0</v>
      </c>
      <c r="L60" s="601">
        <v>582068</v>
      </c>
      <c r="M60" s="595">
        <v>0</v>
      </c>
      <c r="N60" s="595">
        <v>0</v>
      </c>
      <c r="O60" s="595">
        <v>0</v>
      </c>
      <c r="P60" s="595">
        <v>196739</v>
      </c>
      <c r="Q60" s="595">
        <v>5821</v>
      </c>
      <c r="R60" s="595">
        <v>2912</v>
      </c>
      <c r="S60" s="416">
        <v>1.7467000000000001</v>
      </c>
      <c r="T60" s="416">
        <v>0</v>
      </c>
      <c r="U60" s="748">
        <v>1.7467000000000001</v>
      </c>
      <c r="V60" s="423">
        <f t="shared" si="2"/>
        <v>0</v>
      </c>
      <c r="W60" s="417">
        <f t="shared" si="3"/>
        <v>0</v>
      </c>
      <c r="X60" s="417">
        <v>0</v>
      </c>
      <c r="Y60" s="417">
        <v>0</v>
      </c>
      <c r="Z60" s="417">
        <v>0</v>
      </c>
      <c r="AA60" s="417">
        <v>-12179</v>
      </c>
      <c r="AB60" s="417">
        <v>0</v>
      </c>
      <c r="AC60" s="417">
        <v>0</v>
      </c>
      <c r="AD60" s="417">
        <v>0</v>
      </c>
      <c r="AE60" s="417">
        <f t="shared" si="4"/>
        <v>0</v>
      </c>
      <c r="AF60" s="417">
        <f t="shared" si="5"/>
        <v>-12179</v>
      </c>
      <c r="AG60" s="417">
        <f t="shared" si="6"/>
        <v>-12179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7"/>
        <v>0</v>
      </c>
      <c r="AN60" s="417">
        <f t="shared" si="8"/>
        <v>0</v>
      </c>
      <c r="AO60" s="417">
        <f t="shared" si="9"/>
        <v>0</v>
      </c>
      <c r="AP60" s="417">
        <f t="shared" si="10"/>
        <v>0</v>
      </c>
      <c r="AQ60" s="417">
        <f t="shared" si="11"/>
        <v>-12179</v>
      </c>
      <c r="AR60" s="417">
        <f t="shared" si="12"/>
        <v>-12179</v>
      </c>
      <c r="AS60" s="68">
        <f t="shared" si="13"/>
        <v>-4117</v>
      </c>
      <c r="AT60" s="68">
        <f t="shared" si="14"/>
        <v>-122</v>
      </c>
      <c r="AU60" s="417">
        <v>0</v>
      </c>
      <c r="AV60" s="417">
        <v>0</v>
      </c>
      <c r="AW60" s="417">
        <v>0</v>
      </c>
      <c r="AX60" s="417">
        <f t="shared" si="15"/>
        <v>0</v>
      </c>
      <c r="AY60" s="417">
        <f t="shared" si="16"/>
        <v>-16418</v>
      </c>
      <c r="AZ60" s="418">
        <v>0</v>
      </c>
      <c r="BA60" s="418">
        <v>0</v>
      </c>
      <c r="BB60" s="418">
        <v>0</v>
      </c>
      <c r="BC60" s="418">
        <v>0</v>
      </c>
      <c r="BD60" s="418">
        <v>-0.03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7"/>
        <v>0</v>
      </c>
      <c r="BJ60" s="418">
        <f t="shared" si="18"/>
        <v>-0.03</v>
      </c>
      <c r="BK60" s="420">
        <f t="shared" si="19"/>
        <v>-0.03</v>
      </c>
      <c r="BL60" s="772">
        <f t="shared" si="81"/>
        <v>771122</v>
      </c>
      <c r="BM60" s="417">
        <f t="shared" si="82"/>
        <v>569889</v>
      </c>
      <c r="BN60" s="417">
        <f t="shared" si="83"/>
        <v>0</v>
      </c>
      <c r="BO60" s="417">
        <f t="shared" si="83"/>
        <v>569889</v>
      </c>
      <c r="BP60" s="417">
        <f t="shared" si="84"/>
        <v>0</v>
      </c>
      <c r="BQ60" s="417">
        <f t="shared" si="85"/>
        <v>0</v>
      </c>
      <c r="BR60" s="417">
        <f t="shared" si="85"/>
        <v>0</v>
      </c>
      <c r="BS60" s="417">
        <f t="shared" si="86"/>
        <v>192622</v>
      </c>
      <c r="BT60" s="417">
        <f t="shared" si="86"/>
        <v>5699</v>
      </c>
      <c r="BU60" s="417">
        <f t="shared" si="87"/>
        <v>2912</v>
      </c>
      <c r="BV60" s="418">
        <f t="shared" si="88"/>
        <v>1.7167000000000001</v>
      </c>
      <c r="BW60" s="418">
        <f t="shared" si="89"/>
        <v>0</v>
      </c>
      <c r="BX60" s="420">
        <f t="shared" si="89"/>
        <v>1.7167000000000001</v>
      </c>
      <c r="BY60" s="419"/>
      <c r="BZ60" s="414"/>
      <c r="CA60" s="414"/>
      <c r="CB60" s="414"/>
      <c r="CC60" s="414"/>
      <c r="CD60" s="422"/>
      <c r="CE60" s="419">
        <v>0</v>
      </c>
      <c r="CF60" s="414">
        <v>0</v>
      </c>
      <c r="CG60" s="414">
        <v>0</v>
      </c>
      <c r="CH60" s="414">
        <v>0</v>
      </c>
      <c r="CI60" s="414">
        <v>0</v>
      </c>
      <c r="CJ60" s="509">
        <v>0</v>
      </c>
    </row>
    <row r="61" spans="1:88" s="96" customFormat="1" ht="14.1" customHeight="1">
      <c r="A61" s="118">
        <v>8</v>
      </c>
      <c r="B61" s="77">
        <v>2455</v>
      </c>
      <c r="C61" s="93">
        <v>600080145</v>
      </c>
      <c r="D61" s="77">
        <v>72741601</v>
      </c>
      <c r="E61" s="77" t="s">
        <v>718</v>
      </c>
      <c r="F61" s="94">
        <v>3143</v>
      </c>
      <c r="G61" s="77" t="s">
        <v>595</v>
      </c>
      <c r="H61" s="95" t="s">
        <v>271</v>
      </c>
      <c r="I61" s="596">
        <v>977130</v>
      </c>
      <c r="J61" s="595">
        <v>724874</v>
      </c>
      <c r="K61" s="595">
        <v>724874</v>
      </c>
      <c r="L61" s="595">
        <v>0</v>
      </c>
      <c r="M61" s="595">
        <v>0</v>
      </c>
      <c r="N61" s="595">
        <v>0</v>
      </c>
      <c r="O61" s="595">
        <v>0</v>
      </c>
      <c r="P61" s="595">
        <v>245007</v>
      </c>
      <c r="Q61" s="595">
        <v>7249</v>
      </c>
      <c r="R61" s="595">
        <v>0</v>
      </c>
      <c r="S61" s="416">
        <v>1.5712999999999999</v>
      </c>
      <c r="T61" s="416">
        <v>1.5712999999999999</v>
      </c>
      <c r="U61" s="748">
        <v>0</v>
      </c>
      <c r="V61" s="423">
        <f t="shared" si="2"/>
        <v>0</v>
      </c>
      <c r="W61" s="417">
        <f t="shared" si="3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4"/>
        <v>0</v>
      </c>
      <c r="AF61" s="417">
        <f t="shared" si="5"/>
        <v>0</v>
      </c>
      <c r="AG61" s="417">
        <f t="shared" si="6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7"/>
        <v>0</v>
      </c>
      <c r="AN61" s="417">
        <f t="shared" si="8"/>
        <v>0</v>
      </c>
      <c r="AO61" s="417">
        <f t="shared" si="9"/>
        <v>0</v>
      </c>
      <c r="AP61" s="417">
        <f t="shared" si="10"/>
        <v>0</v>
      </c>
      <c r="AQ61" s="417">
        <f t="shared" si="11"/>
        <v>0</v>
      </c>
      <c r="AR61" s="417">
        <f t="shared" si="12"/>
        <v>0</v>
      </c>
      <c r="AS61" s="68">
        <f t="shared" si="13"/>
        <v>0</v>
      </c>
      <c r="AT61" s="68">
        <f t="shared" si="14"/>
        <v>0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0</v>
      </c>
      <c r="BJ61" s="418">
        <f t="shared" si="18"/>
        <v>0</v>
      </c>
      <c r="BK61" s="420">
        <f t="shared" si="19"/>
        <v>0</v>
      </c>
      <c r="BL61" s="772">
        <f t="shared" si="81"/>
        <v>977130</v>
      </c>
      <c r="BM61" s="417">
        <f t="shared" si="82"/>
        <v>724874</v>
      </c>
      <c r="BN61" s="417">
        <f t="shared" si="83"/>
        <v>724874</v>
      </c>
      <c r="BO61" s="417">
        <f t="shared" si="83"/>
        <v>0</v>
      </c>
      <c r="BP61" s="417">
        <f t="shared" si="84"/>
        <v>0</v>
      </c>
      <c r="BQ61" s="417">
        <f t="shared" si="85"/>
        <v>0</v>
      </c>
      <c r="BR61" s="417">
        <f t="shared" si="85"/>
        <v>0</v>
      </c>
      <c r="BS61" s="417">
        <f t="shared" si="86"/>
        <v>245007</v>
      </c>
      <c r="BT61" s="417">
        <f t="shared" si="86"/>
        <v>7249</v>
      </c>
      <c r="BU61" s="417">
        <f t="shared" si="87"/>
        <v>0</v>
      </c>
      <c r="BV61" s="418">
        <f t="shared" si="88"/>
        <v>1.5712999999999999</v>
      </c>
      <c r="BW61" s="418">
        <f t="shared" si="89"/>
        <v>1.5712999999999999</v>
      </c>
      <c r="BX61" s="420">
        <f t="shared" si="89"/>
        <v>0</v>
      </c>
      <c r="BY61" s="419"/>
      <c r="BZ61" s="414"/>
      <c r="CA61" s="414"/>
      <c r="CB61" s="414"/>
      <c r="CC61" s="414"/>
      <c r="CD61" s="422"/>
      <c r="CE61" s="419">
        <v>0</v>
      </c>
      <c r="CF61" s="414">
        <v>0</v>
      </c>
      <c r="CG61" s="414">
        <v>0</v>
      </c>
      <c r="CH61" s="414">
        <v>0</v>
      </c>
      <c r="CI61" s="414">
        <v>0</v>
      </c>
      <c r="CJ61" s="509">
        <v>0</v>
      </c>
    </row>
    <row r="62" spans="1:88" s="96" customFormat="1" ht="14.1" customHeight="1">
      <c r="A62" s="118">
        <v>8</v>
      </c>
      <c r="B62" s="77">
        <v>2455</v>
      </c>
      <c r="C62" s="93">
        <v>600080145</v>
      </c>
      <c r="D62" s="77">
        <v>72741601</v>
      </c>
      <c r="E62" s="77" t="s">
        <v>718</v>
      </c>
      <c r="F62" s="94">
        <v>3143</v>
      </c>
      <c r="G62" s="77" t="s">
        <v>596</v>
      </c>
      <c r="H62" s="95" t="s">
        <v>272</v>
      </c>
      <c r="I62" s="596">
        <v>23821</v>
      </c>
      <c r="J62" s="595">
        <v>17050</v>
      </c>
      <c r="K62" s="595">
        <v>0</v>
      </c>
      <c r="L62" s="601">
        <v>17050</v>
      </c>
      <c r="M62" s="595">
        <v>0</v>
      </c>
      <c r="N62" s="602">
        <v>0</v>
      </c>
      <c r="O62" s="602">
        <v>0</v>
      </c>
      <c r="P62" s="595">
        <v>5763</v>
      </c>
      <c r="Q62" s="595">
        <v>171</v>
      </c>
      <c r="R62" s="602">
        <v>837</v>
      </c>
      <c r="S62" s="416">
        <v>6.3100000000000003E-2</v>
      </c>
      <c r="T62" s="605">
        <v>0</v>
      </c>
      <c r="U62" s="731">
        <v>6.3100000000000003E-2</v>
      </c>
      <c r="V62" s="423">
        <f t="shared" si="2"/>
        <v>0</v>
      </c>
      <c r="W62" s="417">
        <f t="shared" si="3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4"/>
        <v>0</v>
      </c>
      <c r="AF62" s="417">
        <f t="shared" si="5"/>
        <v>0</v>
      </c>
      <c r="AG62" s="417">
        <f t="shared" si="6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7"/>
        <v>0</v>
      </c>
      <c r="AN62" s="417">
        <f t="shared" si="8"/>
        <v>0</v>
      </c>
      <c r="AO62" s="417">
        <f t="shared" si="9"/>
        <v>0</v>
      </c>
      <c r="AP62" s="417">
        <f t="shared" si="10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 t="shared" si="81"/>
        <v>23821</v>
      </c>
      <c r="BM62" s="417">
        <f t="shared" si="82"/>
        <v>17050</v>
      </c>
      <c r="BN62" s="417">
        <f t="shared" si="83"/>
        <v>0</v>
      </c>
      <c r="BO62" s="417">
        <f t="shared" si="83"/>
        <v>17050</v>
      </c>
      <c r="BP62" s="417">
        <f t="shared" si="84"/>
        <v>0</v>
      </c>
      <c r="BQ62" s="417">
        <f t="shared" si="85"/>
        <v>0</v>
      </c>
      <c r="BR62" s="417">
        <f t="shared" si="85"/>
        <v>0</v>
      </c>
      <c r="BS62" s="417">
        <f t="shared" si="86"/>
        <v>5763</v>
      </c>
      <c r="BT62" s="417">
        <f t="shared" si="86"/>
        <v>171</v>
      </c>
      <c r="BU62" s="417">
        <f t="shared" si="87"/>
        <v>837</v>
      </c>
      <c r="BV62" s="418">
        <f t="shared" si="88"/>
        <v>6.3100000000000003E-2</v>
      </c>
      <c r="BW62" s="418">
        <f t="shared" si="89"/>
        <v>0</v>
      </c>
      <c r="BX62" s="420">
        <f t="shared" si="89"/>
        <v>6.3100000000000003E-2</v>
      </c>
      <c r="BY62" s="419"/>
      <c r="BZ62" s="414"/>
      <c r="CA62" s="414"/>
      <c r="CB62" s="414"/>
      <c r="CC62" s="414"/>
      <c r="CD62" s="422"/>
      <c r="CE62" s="419">
        <v>0</v>
      </c>
      <c r="CF62" s="414">
        <v>0</v>
      </c>
      <c r="CG62" s="414">
        <v>0</v>
      </c>
      <c r="CH62" s="414">
        <v>0</v>
      </c>
      <c r="CI62" s="414">
        <v>0</v>
      </c>
      <c r="CJ62" s="509">
        <v>0</v>
      </c>
    </row>
    <row r="63" spans="1:88" s="96" customFormat="1" ht="14.1" customHeight="1">
      <c r="A63" s="119">
        <v>8</v>
      </c>
      <c r="B63" s="97">
        <v>2455</v>
      </c>
      <c r="C63" s="98">
        <v>600080145</v>
      </c>
      <c r="D63" s="97">
        <v>72741601</v>
      </c>
      <c r="E63" s="97" t="s">
        <v>719</v>
      </c>
      <c r="F63" s="106"/>
      <c r="G63" s="100"/>
      <c r="H63" s="101"/>
      <c r="I63" s="437">
        <v>7157950</v>
      </c>
      <c r="J63" s="433">
        <v>5243316</v>
      </c>
      <c r="K63" s="433">
        <v>4157551</v>
      </c>
      <c r="L63" s="433">
        <v>1085765</v>
      </c>
      <c r="M63" s="433">
        <v>20000</v>
      </c>
      <c r="N63" s="433">
        <v>0</v>
      </c>
      <c r="O63" s="433">
        <v>20000</v>
      </c>
      <c r="P63" s="433">
        <v>1779000</v>
      </c>
      <c r="Q63" s="433">
        <v>52435</v>
      </c>
      <c r="R63" s="433">
        <v>63199</v>
      </c>
      <c r="S63" s="434">
        <v>10.7293</v>
      </c>
      <c r="T63" s="434">
        <v>7.4748999999999999</v>
      </c>
      <c r="U63" s="695">
        <v>3.2544</v>
      </c>
      <c r="V63" s="437">
        <f t="shared" ref="V63:CG63" si="90">SUM(V57:V62)</f>
        <v>0</v>
      </c>
      <c r="W63" s="433">
        <f t="shared" si="90"/>
        <v>20000</v>
      </c>
      <c r="X63" s="433">
        <f t="shared" si="90"/>
        <v>4126</v>
      </c>
      <c r="Y63" s="433">
        <f t="shared" si="90"/>
        <v>0</v>
      </c>
      <c r="Z63" s="433">
        <f t="shared" si="90"/>
        <v>0</v>
      </c>
      <c r="AA63" s="433">
        <f t="shared" si="90"/>
        <v>-12179</v>
      </c>
      <c r="AB63" s="433">
        <f t="shared" si="90"/>
        <v>0</v>
      </c>
      <c r="AC63" s="433">
        <f t="shared" si="90"/>
        <v>0</v>
      </c>
      <c r="AD63" s="433">
        <f t="shared" si="90"/>
        <v>0</v>
      </c>
      <c r="AE63" s="433">
        <f t="shared" si="90"/>
        <v>4126</v>
      </c>
      <c r="AF63" s="433">
        <f t="shared" si="90"/>
        <v>7821</v>
      </c>
      <c r="AG63" s="433">
        <f t="shared" si="90"/>
        <v>11947</v>
      </c>
      <c r="AH63" s="433">
        <f t="shared" si="90"/>
        <v>0</v>
      </c>
      <c r="AI63" s="433">
        <f t="shared" si="90"/>
        <v>-20000</v>
      </c>
      <c r="AJ63" s="433">
        <f t="shared" si="90"/>
        <v>0</v>
      </c>
      <c r="AK63" s="433">
        <f t="shared" si="90"/>
        <v>0</v>
      </c>
      <c r="AL63" s="433">
        <f t="shared" si="90"/>
        <v>0</v>
      </c>
      <c r="AM63" s="433">
        <f t="shared" si="90"/>
        <v>0</v>
      </c>
      <c r="AN63" s="433">
        <f t="shared" si="90"/>
        <v>-20000</v>
      </c>
      <c r="AO63" s="433">
        <f t="shared" si="90"/>
        <v>-20000</v>
      </c>
      <c r="AP63" s="433">
        <f t="shared" si="90"/>
        <v>4126</v>
      </c>
      <c r="AQ63" s="433">
        <f t="shared" si="90"/>
        <v>-12179</v>
      </c>
      <c r="AR63" s="433">
        <f t="shared" si="90"/>
        <v>-8053</v>
      </c>
      <c r="AS63" s="433">
        <f t="shared" si="90"/>
        <v>-2722</v>
      </c>
      <c r="AT63" s="433">
        <f t="shared" si="90"/>
        <v>119</v>
      </c>
      <c r="AU63" s="433">
        <f t="shared" si="90"/>
        <v>0</v>
      </c>
      <c r="AV63" s="433">
        <f t="shared" si="90"/>
        <v>0</v>
      </c>
      <c r="AW63" s="433">
        <f t="shared" si="90"/>
        <v>0</v>
      </c>
      <c r="AX63" s="433">
        <f t="shared" si="90"/>
        <v>0</v>
      </c>
      <c r="AY63" s="433">
        <f t="shared" si="90"/>
        <v>-10656</v>
      </c>
      <c r="AZ63" s="434">
        <f t="shared" si="90"/>
        <v>0</v>
      </c>
      <c r="BA63" s="434">
        <f t="shared" si="90"/>
        <v>0</v>
      </c>
      <c r="BB63" s="434">
        <f t="shared" si="90"/>
        <v>0.01</v>
      </c>
      <c r="BC63" s="434">
        <f t="shared" si="90"/>
        <v>0</v>
      </c>
      <c r="BD63" s="434">
        <f t="shared" si="90"/>
        <v>-0.03</v>
      </c>
      <c r="BE63" s="434">
        <f t="shared" si="90"/>
        <v>0</v>
      </c>
      <c r="BF63" s="434">
        <f t="shared" si="90"/>
        <v>0</v>
      </c>
      <c r="BG63" s="434">
        <f t="shared" si="90"/>
        <v>0</v>
      </c>
      <c r="BH63" s="434">
        <f t="shared" si="90"/>
        <v>0</v>
      </c>
      <c r="BI63" s="434">
        <f t="shared" si="90"/>
        <v>0.01</v>
      </c>
      <c r="BJ63" s="434">
        <f t="shared" si="90"/>
        <v>-0.03</v>
      </c>
      <c r="BK63" s="103">
        <f t="shared" si="90"/>
        <v>-1.9999999999999997E-2</v>
      </c>
      <c r="BL63" s="785">
        <f t="shared" si="90"/>
        <v>7147294</v>
      </c>
      <c r="BM63" s="433">
        <f t="shared" si="90"/>
        <v>5255263</v>
      </c>
      <c r="BN63" s="433">
        <f t="shared" si="90"/>
        <v>4161677</v>
      </c>
      <c r="BO63" s="433">
        <f t="shared" si="90"/>
        <v>1093586</v>
      </c>
      <c r="BP63" s="433">
        <f t="shared" si="90"/>
        <v>0</v>
      </c>
      <c r="BQ63" s="433">
        <f t="shared" si="90"/>
        <v>0</v>
      </c>
      <c r="BR63" s="433">
        <f t="shared" si="90"/>
        <v>0</v>
      </c>
      <c r="BS63" s="433">
        <f t="shared" si="90"/>
        <v>1776278</v>
      </c>
      <c r="BT63" s="433">
        <f t="shared" si="90"/>
        <v>52554</v>
      </c>
      <c r="BU63" s="433">
        <f t="shared" si="90"/>
        <v>63199</v>
      </c>
      <c r="BV63" s="434">
        <f t="shared" si="90"/>
        <v>10.709300000000001</v>
      </c>
      <c r="BW63" s="434">
        <f t="shared" si="90"/>
        <v>7.4848999999999997</v>
      </c>
      <c r="BX63" s="103">
        <f t="shared" si="90"/>
        <v>3.2243999999999997</v>
      </c>
      <c r="BY63" s="795">
        <f t="shared" si="90"/>
        <v>0</v>
      </c>
      <c r="BZ63" s="698">
        <f t="shared" si="90"/>
        <v>0</v>
      </c>
      <c r="CA63" s="698">
        <f t="shared" si="90"/>
        <v>0</v>
      </c>
      <c r="CB63" s="698">
        <f t="shared" si="90"/>
        <v>0</v>
      </c>
      <c r="CC63" s="698">
        <f t="shared" si="90"/>
        <v>0</v>
      </c>
      <c r="CD63" s="961">
        <f t="shared" si="90"/>
        <v>0</v>
      </c>
      <c r="CE63" s="887">
        <f t="shared" si="90"/>
        <v>230908</v>
      </c>
      <c r="CF63" s="888">
        <f t="shared" si="90"/>
        <v>162619</v>
      </c>
      <c r="CG63" s="888">
        <f t="shared" si="90"/>
        <v>54965</v>
      </c>
      <c r="CH63" s="888">
        <f t="shared" ref="CH63:CJ63" si="91">SUM(CH57:CH62)</f>
        <v>1626</v>
      </c>
      <c r="CI63" s="888">
        <f t="shared" si="91"/>
        <v>11698</v>
      </c>
      <c r="CJ63" s="889">
        <f t="shared" si="91"/>
        <v>0.4637</v>
      </c>
    </row>
    <row r="64" spans="1:88" s="96" customFormat="1" ht="14.1" customHeight="1">
      <c r="A64" s="118">
        <v>9</v>
      </c>
      <c r="B64" s="102">
        <v>2456</v>
      </c>
      <c r="C64" s="93">
        <v>600079732</v>
      </c>
      <c r="D64" s="77">
        <v>70695911</v>
      </c>
      <c r="E64" s="77" t="s">
        <v>720</v>
      </c>
      <c r="F64" s="94">
        <v>3111</v>
      </c>
      <c r="G64" s="77" t="s">
        <v>290</v>
      </c>
      <c r="H64" s="95" t="s">
        <v>271</v>
      </c>
      <c r="I64" s="596">
        <v>9685368</v>
      </c>
      <c r="J64" s="595">
        <v>7133982</v>
      </c>
      <c r="K64" s="595">
        <v>6614728</v>
      </c>
      <c r="L64" s="595">
        <v>519254</v>
      </c>
      <c r="M64" s="595">
        <v>20000</v>
      </c>
      <c r="N64" s="595">
        <v>10000</v>
      </c>
      <c r="O64" s="595">
        <v>10000</v>
      </c>
      <c r="P64" s="595">
        <v>2418046</v>
      </c>
      <c r="Q64" s="595">
        <v>71340</v>
      </c>
      <c r="R64" s="595">
        <v>42000</v>
      </c>
      <c r="S64" s="416">
        <v>14.1204</v>
      </c>
      <c r="T64" s="416">
        <v>12</v>
      </c>
      <c r="U64" s="748">
        <v>2.1204000000000001</v>
      </c>
      <c r="V64" s="423">
        <f t="shared" si="2"/>
        <v>0</v>
      </c>
      <c r="W64" s="417">
        <f t="shared" si="3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4"/>
        <v>0</v>
      </c>
      <c r="AF64" s="417">
        <f t="shared" si="5"/>
        <v>0</v>
      </c>
      <c r="AG64" s="417">
        <f t="shared" si="6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7"/>
        <v>0</v>
      </c>
      <c r="AN64" s="417">
        <f t="shared" si="8"/>
        <v>0</v>
      </c>
      <c r="AO64" s="417">
        <f t="shared" si="9"/>
        <v>0</v>
      </c>
      <c r="AP64" s="417">
        <f t="shared" si="10"/>
        <v>0</v>
      </c>
      <c r="AQ64" s="417">
        <f t="shared" si="11"/>
        <v>0</v>
      </c>
      <c r="AR64" s="417">
        <f t="shared" si="12"/>
        <v>0</v>
      </c>
      <c r="AS64" s="68">
        <f t="shared" si="13"/>
        <v>0</v>
      </c>
      <c r="AT64" s="68">
        <f t="shared" si="14"/>
        <v>0</v>
      </c>
      <c r="AU64" s="417">
        <v>0</v>
      </c>
      <c r="AV64" s="417">
        <v>0</v>
      </c>
      <c r="AW64" s="417">
        <v>0</v>
      </c>
      <c r="AX64" s="417">
        <f t="shared" si="15"/>
        <v>0</v>
      </c>
      <c r="AY64" s="417">
        <f t="shared" si="16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0</v>
      </c>
      <c r="BK64" s="420">
        <f t="shared" si="19"/>
        <v>0</v>
      </c>
      <c r="BL64" s="772">
        <f t="shared" ref="BL64:BL69" si="92">I64+AY64</f>
        <v>9685368</v>
      </c>
      <c r="BM64" s="417">
        <f t="shared" ref="BM64:BM69" si="93">J64+AG64</f>
        <v>7133982</v>
      </c>
      <c r="BN64" s="417">
        <f t="shared" ref="BN64:BO69" si="94">K64+AE64</f>
        <v>6614728</v>
      </c>
      <c r="BO64" s="417">
        <f t="shared" si="94"/>
        <v>519254</v>
      </c>
      <c r="BP64" s="417">
        <f t="shared" ref="BP64:BP69" si="95">M64+AO64</f>
        <v>20000</v>
      </c>
      <c r="BQ64" s="417">
        <f t="shared" ref="BQ64:BR69" si="96">N64+AM64</f>
        <v>10000</v>
      </c>
      <c r="BR64" s="417">
        <f t="shared" si="96"/>
        <v>10000</v>
      </c>
      <c r="BS64" s="417">
        <f t="shared" ref="BS64:BT69" si="97">P64+AS64</f>
        <v>2418046</v>
      </c>
      <c r="BT64" s="417">
        <f t="shared" si="97"/>
        <v>71340</v>
      </c>
      <c r="BU64" s="417">
        <f t="shared" ref="BU64:BU69" si="98">R64+AX64</f>
        <v>42000</v>
      </c>
      <c r="BV64" s="418">
        <f t="shared" ref="BV64:BV69" si="99">S64+BK64</f>
        <v>14.1204</v>
      </c>
      <c r="BW64" s="418">
        <f t="shared" ref="BW64:BX69" si="100">T64+BI64</f>
        <v>12</v>
      </c>
      <c r="BX64" s="420">
        <f t="shared" si="100"/>
        <v>2.1204000000000001</v>
      </c>
      <c r="BY64" s="419"/>
      <c r="BZ64" s="414"/>
      <c r="CA64" s="414"/>
      <c r="CB64" s="414"/>
      <c r="CC64" s="414"/>
      <c r="CD64" s="422"/>
      <c r="CE64" s="419">
        <v>242896</v>
      </c>
      <c r="CF64" s="414">
        <v>169830</v>
      </c>
      <c r="CG64" s="414">
        <v>57403</v>
      </c>
      <c r="CH64" s="414">
        <v>1698</v>
      </c>
      <c r="CI64" s="414">
        <v>13965</v>
      </c>
      <c r="CJ64" s="509">
        <v>0.6804</v>
      </c>
    </row>
    <row r="65" spans="1:88" s="96" customFormat="1" ht="14.1" customHeight="1">
      <c r="A65" s="118">
        <v>9</v>
      </c>
      <c r="B65" s="77">
        <v>2456</v>
      </c>
      <c r="C65" s="93">
        <v>600079732</v>
      </c>
      <c r="D65" s="77">
        <v>70695911</v>
      </c>
      <c r="E65" s="77" t="s">
        <v>720</v>
      </c>
      <c r="F65" s="94">
        <v>3113</v>
      </c>
      <c r="G65" s="77" t="s">
        <v>293</v>
      </c>
      <c r="H65" s="95" t="s">
        <v>271</v>
      </c>
      <c r="I65" s="596">
        <v>27582239</v>
      </c>
      <c r="J65" s="595">
        <v>20014932</v>
      </c>
      <c r="K65" s="595">
        <v>17644810</v>
      </c>
      <c r="L65" s="595">
        <v>2370122</v>
      </c>
      <c r="M65" s="595">
        <v>100000</v>
      </c>
      <c r="N65" s="595">
        <v>60000</v>
      </c>
      <c r="O65" s="595">
        <v>40000</v>
      </c>
      <c r="P65" s="595">
        <v>6798848</v>
      </c>
      <c r="Q65" s="595">
        <v>200149</v>
      </c>
      <c r="R65" s="595">
        <v>468310</v>
      </c>
      <c r="S65" s="416">
        <v>31.775600000000001</v>
      </c>
      <c r="T65" s="416">
        <v>24.62</v>
      </c>
      <c r="U65" s="748">
        <v>7.1555999999999997</v>
      </c>
      <c r="V65" s="423">
        <f t="shared" si="2"/>
        <v>0</v>
      </c>
      <c r="W65" s="417">
        <f t="shared" si="3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4"/>
        <v>0</v>
      </c>
      <c r="AF65" s="417">
        <f t="shared" si="5"/>
        <v>0</v>
      </c>
      <c r="AG65" s="417">
        <f t="shared" si="6"/>
        <v>0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7"/>
        <v>0</v>
      </c>
      <c r="AN65" s="417">
        <f t="shared" si="8"/>
        <v>0</v>
      </c>
      <c r="AO65" s="417">
        <f t="shared" si="9"/>
        <v>0</v>
      </c>
      <c r="AP65" s="417">
        <f t="shared" si="10"/>
        <v>0</v>
      </c>
      <c r="AQ65" s="417">
        <f t="shared" si="11"/>
        <v>0</v>
      </c>
      <c r="AR65" s="417">
        <f t="shared" si="12"/>
        <v>0</v>
      </c>
      <c r="AS65" s="68">
        <f t="shared" si="13"/>
        <v>0</v>
      </c>
      <c r="AT65" s="68">
        <f t="shared" si="14"/>
        <v>0</v>
      </c>
      <c r="AU65" s="417">
        <v>0</v>
      </c>
      <c r="AV65" s="417">
        <v>0</v>
      </c>
      <c r="AW65" s="417">
        <v>0</v>
      </c>
      <c r="AX65" s="417">
        <f t="shared" si="15"/>
        <v>0</v>
      </c>
      <c r="AY65" s="417">
        <f t="shared" si="16"/>
        <v>0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7"/>
        <v>0</v>
      </c>
      <c r="BJ65" s="418">
        <f t="shared" si="18"/>
        <v>0</v>
      </c>
      <c r="BK65" s="420">
        <f t="shared" si="19"/>
        <v>0</v>
      </c>
      <c r="BL65" s="772">
        <f t="shared" si="92"/>
        <v>27582239</v>
      </c>
      <c r="BM65" s="417">
        <f t="shared" si="93"/>
        <v>20014932</v>
      </c>
      <c r="BN65" s="417">
        <f t="shared" si="94"/>
        <v>17644810</v>
      </c>
      <c r="BO65" s="417">
        <f t="shared" si="94"/>
        <v>2370122</v>
      </c>
      <c r="BP65" s="417">
        <f t="shared" si="95"/>
        <v>100000</v>
      </c>
      <c r="BQ65" s="417">
        <f t="shared" si="96"/>
        <v>60000</v>
      </c>
      <c r="BR65" s="417">
        <f t="shared" si="96"/>
        <v>40000</v>
      </c>
      <c r="BS65" s="417">
        <f t="shared" si="97"/>
        <v>6798848</v>
      </c>
      <c r="BT65" s="417">
        <f t="shared" si="97"/>
        <v>200149</v>
      </c>
      <c r="BU65" s="417">
        <f t="shared" si="98"/>
        <v>468310</v>
      </c>
      <c r="BV65" s="418">
        <f t="shared" si="99"/>
        <v>31.775600000000001</v>
      </c>
      <c r="BW65" s="418">
        <f t="shared" si="100"/>
        <v>24.62</v>
      </c>
      <c r="BX65" s="420">
        <f t="shared" si="100"/>
        <v>7.1555999999999997</v>
      </c>
      <c r="BY65" s="419">
        <v>608218</v>
      </c>
      <c r="BZ65" s="414">
        <v>451200</v>
      </c>
      <c r="CA65" s="414">
        <v>0</v>
      </c>
      <c r="CB65" s="414">
        <v>152506</v>
      </c>
      <c r="CC65" s="414">
        <v>4512</v>
      </c>
      <c r="CD65" s="422">
        <v>0.8</v>
      </c>
      <c r="CE65" s="419">
        <v>1153401</v>
      </c>
      <c r="CF65" s="414">
        <v>773596</v>
      </c>
      <c r="CG65" s="414">
        <v>261475</v>
      </c>
      <c r="CH65" s="414">
        <v>7736</v>
      </c>
      <c r="CI65" s="414">
        <v>110594</v>
      </c>
      <c r="CJ65" s="509">
        <v>2.3161999999999998</v>
      </c>
    </row>
    <row r="66" spans="1:88" s="96" customFormat="1" ht="14.1" customHeight="1">
      <c r="A66" s="118">
        <v>9</v>
      </c>
      <c r="B66" s="102">
        <v>2456</v>
      </c>
      <c r="C66" s="93">
        <v>600079732</v>
      </c>
      <c r="D66" s="77">
        <v>70695911</v>
      </c>
      <c r="E66" s="102" t="s">
        <v>720</v>
      </c>
      <c r="F66" s="94">
        <v>3113</v>
      </c>
      <c r="G66" s="77" t="s">
        <v>291</v>
      </c>
      <c r="H66" s="95" t="s">
        <v>272</v>
      </c>
      <c r="I66" s="596">
        <v>4210880</v>
      </c>
      <c r="J66" s="595">
        <v>3123798</v>
      </c>
      <c r="K66" s="595">
        <v>3123798</v>
      </c>
      <c r="L66" s="595">
        <v>0</v>
      </c>
      <c r="M66" s="595">
        <v>0</v>
      </c>
      <c r="N66" s="595">
        <v>0</v>
      </c>
      <c r="O66" s="595">
        <v>0</v>
      </c>
      <c r="P66" s="595">
        <v>1055844</v>
      </c>
      <c r="Q66" s="595">
        <v>31238</v>
      </c>
      <c r="R66" s="595">
        <v>0</v>
      </c>
      <c r="S66" s="416">
        <v>8.68</v>
      </c>
      <c r="T66" s="416">
        <v>8.68</v>
      </c>
      <c r="U66" s="748">
        <v>0</v>
      </c>
      <c r="V66" s="423">
        <f t="shared" si="2"/>
        <v>0</v>
      </c>
      <c r="W66" s="417">
        <f t="shared" si="3"/>
        <v>0</v>
      </c>
      <c r="X66" s="417">
        <f>-8252+4126</f>
        <v>-4126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4"/>
        <v>-4126</v>
      </c>
      <c r="AF66" s="417">
        <f t="shared" si="5"/>
        <v>0</v>
      </c>
      <c r="AG66" s="417">
        <f t="shared" si="6"/>
        <v>-4126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7"/>
        <v>0</v>
      </c>
      <c r="AN66" s="417">
        <f t="shared" si="8"/>
        <v>0</v>
      </c>
      <c r="AO66" s="417">
        <f t="shared" si="9"/>
        <v>0</v>
      </c>
      <c r="AP66" s="417">
        <f t="shared" si="10"/>
        <v>-4126</v>
      </c>
      <c r="AQ66" s="417">
        <f t="shared" si="11"/>
        <v>0</v>
      </c>
      <c r="AR66" s="417">
        <f t="shared" si="12"/>
        <v>-4126</v>
      </c>
      <c r="AS66" s="68">
        <f t="shared" si="13"/>
        <v>-1395</v>
      </c>
      <c r="AT66" s="68">
        <f t="shared" si="14"/>
        <v>-41</v>
      </c>
      <c r="AU66" s="417">
        <v>500</v>
      </c>
      <c r="AV66" s="417">
        <v>0</v>
      </c>
      <c r="AW66" s="417">
        <v>0</v>
      </c>
      <c r="AX66" s="417">
        <f t="shared" si="15"/>
        <v>500</v>
      </c>
      <c r="AY66" s="417">
        <f t="shared" si="16"/>
        <v>-5062</v>
      </c>
      <c r="AZ66" s="418">
        <v>0</v>
      </c>
      <c r="BA66" s="418">
        <v>0</v>
      </c>
      <c r="BB66" s="418">
        <f>-0.02+0.01</f>
        <v>-0.01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-0.01</v>
      </c>
      <c r="BJ66" s="418">
        <f t="shared" si="18"/>
        <v>0</v>
      </c>
      <c r="BK66" s="420">
        <f t="shared" si="19"/>
        <v>-0.01</v>
      </c>
      <c r="BL66" s="772">
        <f t="shared" si="92"/>
        <v>4205818</v>
      </c>
      <c r="BM66" s="417">
        <f t="shared" si="93"/>
        <v>3119672</v>
      </c>
      <c r="BN66" s="417">
        <f t="shared" si="94"/>
        <v>3119672</v>
      </c>
      <c r="BO66" s="417">
        <f t="shared" si="94"/>
        <v>0</v>
      </c>
      <c r="BP66" s="417">
        <f t="shared" si="95"/>
        <v>0</v>
      </c>
      <c r="BQ66" s="417">
        <f t="shared" si="96"/>
        <v>0</v>
      </c>
      <c r="BR66" s="417">
        <f t="shared" si="96"/>
        <v>0</v>
      </c>
      <c r="BS66" s="417">
        <f t="shared" si="97"/>
        <v>1054449</v>
      </c>
      <c r="BT66" s="417">
        <f t="shared" si="97"/>
        <v>31197</v>
      </c>
      <c r="BU66" s="417">
        <f t="shared" si="98"/>
        <v>500</v>
      </c>
      <c r="BV66" s="418">
        <f t="shared" si="99"/>
        <v>8.67</v>
      </c>
      <c r="BW66" s="418">
        <f t="shared" si="100"/>
        <v>8.67</v>
      </c>
      <c r="BX66" s="420">
        <f t="shared" si="100"/>
        <v>0</v>
      </c>
      <c r="BY66" s="419"/>
      <c r="BZ66" s="414"/>
      <c r="CA66" s="414"/>
      <c r="CB66" s="414"/>
      <c r="CC66" s="414"/>
      <c r="CD66" s="422"/>
      <c r="CE66" s="419">
        <v>0</v>
      </c>
      <c r="CF66" s="414">
        <v>0</v>
      </c>
      <c r="CG66" s="414">
        <v>0</v>
      </c>
      <c r="CH66" s="414">
        <v>0</v>
      </c>
      <c r="CI66" s="414">
        <v>0</v>
      </c>
      <c r="CJ66" s="509">
        <v>0</v>
      </c>
    </row>
    <row r="67" spans="1:88" s="96" customFormat="1" ht="14.1" customHeight="1">
      <c r="A67" s="118">
        <v>9</v>
      </c>
      <c r="B67" s="77">
        <v>2456</v>
      </c>
      <c r="C67" s="93">
        <v>600079732</v>
      </c>
      <c r="D67" s="77">
        <v>70695911</v>
      </c>
      <c r="E67" s="77" t="s">
        <v>720</v>
      </c>
      <c r="F67" s="94">
        <v>3141</v>
      </c>
      <c r="G67" s="77" t="s">
        <v>294</v>
      </c>
      <c r="H67" s="95" t="s">
        <v>272</v>
      </c>
      <c r="I67" s="596">
        <v>3629552</v>
      </c>
      <c r="J67" s="595">
        <v>2665994</v>
      </c>
      <c r="K67" s="595">
        <v>0</v>
      </c>
      <c r="L67" s="601">
        <v>2665994</v>
      </c>
      <c r="M67" s="595">
        <v>10000</v>
      </c>
      <c r="N67" s="595">
        <v>0</v>
      </c>
      <c r="O67" s="595">
        <v>10000</v>
      </c>
      <c r="P67" s="595">
        <v>904486</v>
      </c>
      <c r="Q67" s="595">
        <v>26660</v>
      </c>
      <c r="R67" s="595">
        <v>22412</v>
      </c>
      <c r="S67" s="416">
        <v>8.0167000000000002</v>
      </c>
      <c r="T67" s="416">
        <v>0</v>
      </c>
      <c r="U67" s="748">
        <v>8.0167000000000002</v>
      </c>
      <c r="V67" s="423">
        <f t="shared" si="2"/>
        <v>0</v>
      </c>
      <c r="W67" s="417">
        <f t="shared" si="3"/>
        <v>0</v>
      </c>
      <c r="X67" s="417">
        <v>0</v>
      </c>
      <c r="Y67" s="417">
        <v>0</v>
      </c>
      <c r="Z67" s="417">
        <v>0</v>
      </c>
      <c r="AA67" s="417">
        <v>-30028</v>
      </c>
      <c r="AB67" s="417">
        <v>0</v>
      </c>
      <c r="AC67" s="417">
        <v>0</v>
      </c>
      <c r="AD67" s="417">
        <v>0</v>
      </c>
      <c r="AE67" s="417">
        <f t="shared" si="4"/>
        <v>0</v>
      </c>
      <c r="AF67" s="417">
        <f t="shared" si="5"/>
        <v>-30028</v>
      </c>
      <c r="AG67" s="417">
        <f t="shared" si="6"/>
        <v>-30028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7"/>
        <v>0</v>
      </c>
      <c r="AN67" s="417">
        <f t="shared" si="8"/>
        <v>0</v>
      </c>
      <c r="AO67" s="417">
        <f t="shared" si="9"/>
        <v>0</v>
      </c>
      <c r="AP67" s="417">
        <f t="shared" si="10"/>
        <v>0</v>
      </c>
      <c r="AQ67" s="417">
        <f t="shared" si="11"/>
        <v>-30028</v>
      </c>
      <c r="AR67" s="417">
        <f t="shared" si="12"/>
        <v>-30028</v>
      </c>
      <c r="AS67" s="68">
        <f t="shared" si="13"/>
        <v>-10149</v>
      </c>
      <c r="AT67" s="68">
        <f t="shared" si="14"/>
        <v>-300</v>
      </c>
      <c r="AU67" s="417">
        <v>0</v>
      </c>
      <c r="AV67" s="417">
        <v>0</v>
      </c>
      <c r="AW67" s="417">
        <v>0</v>
      </c>
      <c r="AX67" s="417">
        <f t="shared" si="15"/>
        <v>0</v>
      </c>
      <c r="AY67" s="417">
        <f t="shared" si="16"/>
        <v>-40477</v>
      </c>
      <c r="AZ67" s="418">
        <v>0</v>
      </c>
      <c r="BA67" s="418">
        <v>0</v>
      </c>
      <c r="BB67" s="418">
        <v>0</v>
      </c>
      <c r="BC67" s="418">
        <v>0</v>
      </c>
      <c r="BD67" s="418">
        <v>-0.08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7"/>
        <v>0</v>
      </c>
      <c r="BJ67" s="418">
        <f t="shared" si="18"/>
        <v>-0.08</v>
      </c>
      <c r="BK67" s="420">
        <f t="shared" si="19"/>
        <v>-0.08</v>
      </c>
      <c r="BL67" s="772">
        <f t="shared" si="92"/>
        <v>3589075</v>
      </c>
      <c r="BM67" s="417">
        <f t="shared" si="93"/>
        <v>2635966</v>
      </c>
      <c r="BN67" s="417">
        <f t="shared" si="94"/>
        <v>0</v>
      </c>
      <c r="BO67" s="417">
        <f t="shared" si="94"/>
        <v>2635966</v>
      </c>
      <c r="BP67" s="417">
        <f t="shared" si="95"/>
        <v>10000</v>
      </c>
      <c r="BQ67" s="417">
        <f t="shared" si="96"/>
        <v>0</v>
      </c>
      <c r="BR67" s="417">
        <f t="shared" si="96"/>
        <v>10000</v>
      </c>
      <c r="BS67" s="417">
        <f t="shared" si="97"/>
        <v>894337</v>
      </c>
      <c r="BT67" s="417">
        <f t="shared" si="97"/>
        <v>26360</v>
      </c>
      <c r="BU67" s="417">
        <f t="shared" si="98"/>
        <v>22412</v>
      </c>
      <c r="BV67" s="418">
        <f t="shared" si="99"/>
        <v>7.9367000000000001</v>
      </c>
      <c r="BW67" s="418">
        <f t="shared" si="100"/>
        <v>0</v>
      </c>
      <c r="BX67" s="420">
        <f t="shared" si="100"/>
        <v>7.9367000000000001</v>
      </c>
      <c r="BY67" s="419"/>
      <c r="BZ67" s="414"/>
      <c r="CA67" s="414"/>
      <c r="CB67" s="414"/>
      <c r="CC67" s="414"/>
      <c r="CD67" s="422"/>
      <c r="CE67" s="419">
        <v>0</v>
      </c>
      <c r="CF67" s="414">
        <v>0</v>
      </c>
      <c r="CG67" s="414">
        <v>0</v>
      </c>
      <c r="CH67" s="414">
        <v>0</v>
      </c>
      <c r="CI67" s="414">
        <v>0</v>
      </c>
      <c r="CJ67" s="509">
        <v>0</v>
      </c>
    </row>
    <row r="68" spans="1:88" s="96" customFormat="1" ht="14.1" customHeight="1">
      <c r="A68" s="118">
        <v>9</v>
      </c>
      <c r="B68" s="77">
        <v>2456</v>
      </c>
      <c r="C68" s="93">
        <v>600079732</v>
      </c>
      <c r="D68" s="77">
        <v>70695911</v>
      </c>
      <c r="E68" s="77" t="s">
        <v>720</v>
      </c>
      <c r="F68" s="94">
        <v>3143</v>
      </c>
      <c r="G68" s="77" t="s">
        <v>595</v>
      </c>
      <c r="H68" s="95" t="s">
        <v>271</v>
      </c>
      <c r="I68" s="596">
        <v>2392888</v>
      </c>
      <c r="J68" s="595">
        <v>1745362</v>
      </c>
      <c r="K68" s="595">
        <v>1745362</v>
      </c>
      <c r="L68" s="595">
        <v>0</v>
      </c>
      <c r="M68" s="595">
        <v>30000</v>
      </c>
      <c r="N68" s="595">
        <v>30000</v>
      </c>
      <c r="O68" s="595">
        <v>0</v>
      </c>
      <c r="P68" s="595">
        <v>600072</v>
      </c>
      <c r="Q68" s="595">
        <v>17454</v>
      </c>
      <c r="R68" s="595">
        <v>0</v>
      </c>
      <c r="S68" s="416">
        <v>3.4100999999999999</v>
      </c>
      <c r="T68" s="416">
        <v>3.4100999999999999</v>
      </c>
      <c r="U68" s="748">
        <v>0</v>
      </c>
      <c r="V68" s="423">
        <f t="shared" si="2"/>
        <v>0</v>
      </c>
      <c r="W68" s="417">
        <f t="shared" si="3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4"/>
        <v>0</v>
      </c>
      <c r="AF68" s="417">
        <f t="shared" si="5"/>
        <v>0</v>
      </c>
      <c r="AG68" s="417">
        <f t="shared" si="6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7"/>
        <v>0</v>
      </c>
      <c r="AN68" s="417">
        <f t="shared" si="8"/>
        <v>0</v>
      </c>
      <c r="AO68" s="417">
        <f t="shared" si="9"/>
        <v>0</v>
      </c>
      <c r="AP68" s="417">
        <f t="shared" si="10"/>
        <v>0</v>
      </c>
      <c r="AQ68" s="417">
        <f t="shared" si="11"/>
        <v>0</v>
      </c>
      <c r="AR68" s="417">
        <f t="shared" si="12"/>
        <v>0</v>
      </c>
      <c r="AS68" s="68">
        <f t="shared" si="13"/>
        <v>0</v>
      </c>
      <c r="AT68" s="68">
        <f t="shared" si="14"/>
        <v>0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</v>
      </c>
      <c r="BK68" s="420">
        <f t="shared" si="19"/>
        <v>0</v>
      </c>
      <c r="BL68" s="772">
        <f t="shared" si="92"/>
        <v>2392888</v>
      </c>
      <c r="BM68" s="417">
        <f t="shared" si="93"/>
        <v>1745362</v>
      </c>
      <c r="BN68" s="417">
        <f t="shared" si="94"/>
        <v>1745362</v>
      </c>
      <c r="BO68" s="417">
        <f t="shared" si="94"/>
        <v>0</v>
      </c>
      <c r="BP68" s="417">
        <f t="shared" si="95"/>
        <v>30000</v>
      </c>
      <c r="BQ68" s="417">
        <f t="shared" si="96"/>
        <v>30000</v>
      </c>
      <c r="BR68" s="417">
        <f t="shared" si="96"/>
        <v>0</v>
      </c>
      <c r="BS68" s="417">
        <f t="shared" si="97"/>
        <v>600072</v>
      </c>
      <c r="BT68" s="417">
        <f t="shared" si="97"/>
        <v>17454</v>
      </c>
      <c r="BU68" s="417">
        <f t="shared" si="98"/>
        <v>0</v>
      </c>
      <c r="BV68" s="418">
        <f t="shared" si="99"/>
        <v>3.4100999999999999</v>
      </c>
      <c r="BW68" s="418">
        <f t="shared" si="100"/>
        <v>3.4100999999999999</v>
      </c>
      <c r="BX68" s="420">
        <f t="shared" si="100"/>
        <v>0</v>
      </c>
      <c r="BY68" s="419"/>
      <c r="BZ68" s="414"/>
      <c r="CA68" s="414"/>
      <c r="CB68" s="414"/>
      <c r="CC68" s="414"/>
      <c r="CD68" s="422"/>
      <c r="CE68" s="419">
        <v>0</v>
      </c>
      <c r="CF68" s="414">
        <v>0</v>
      </c>
      <c r="CG68" s="414">
        <v>0</v>
      </c>
      <c r="CH68" s="414">
        <v>0</v>
      </c>
      <c r="CI68" s="414">
        <v>0</v>
      </c>
      <c r="CJ68" s="509">
        <v>0</v>
      </c>
    </row>
    <row r="69" spans="1:88" s="96" customFormat="1" ht="14.1" customHeight="1">
      <c r="A69" s="118">
        <v>9</v>
      </c>
      <c r="B69" s="77">
        <v>2456</v>
      </c>
      <c r="C69" s="93">
        <v>600079732</v>
      </c>
      <c r="D69" s="77">
        <v>70695911</v>
      </c>
      <c r="E69" s="77" t="s">
        <v>720</v>
      </c>
      <c r="F69" s="94">
        <v>3143</v>
      </c>
      <c r="G69" s="77" t="s">
        <v>596</v>
      </c>
      <c r="H69" s="95" t="s">
        <v>272</v>
      </c>
      <c r="I69" s="596">
        <v>76072</v>
      </c>
      <c r="J69" s="595">
        <v>54450</v>
      </c>
      <c r="K69" s="595">
        <v>0</v>
      </c>
      <c r="L69" s="601">
        <v>54450</v>
      </c>
      <c r="M69" s="595">
        <v>0</v>
      </c>
      <c r="N69" s="602">
        <v>0</v>
      </c>
      <c r="O69" s="602">
        <v>0</v>
      </c>
      <c r="P69" s="595">
        <v>18404</v>
      </c>
      <c r="Q69" s="595">
        <v>545</v>
      </c>
      <c r="R69" s="602">
        <v>2673</v>
      </c>
      <c r="S69" s="416">
        <v>0.20750000000000002</v>
      </c>
      <c r="T69" s="605">
        <v>0</v>
      </c>
      <c r="U69" s="731">
        <v>0.20750000000000002</v>
      </c>
      <c r="V69" s="423">
        <f t="shared" si="2"/>
        <v>0</v>
      </c>
      <c r="W69" s="417">
        <f t="shared" si="3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4"/>
        <v>0</v>
      </c>
      <c r="AF69" s="417">
        <f t="shared" si="5"/>
        <v>0</v>
      </c>
      <c r="AG69" s="417">
        <f t="shared" si="6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7"/>
        <v>0</v>
      </c>
      <c r="AN69" s="417">
        <f t="shared" si="8"/>
        <v>0</v>
      </c>
      <c r="AO69" s="417">
        <f t="shared" si="9"/>
        <v>0</v>
      </c>
      <c r="AP69" s="417">
        <f t="shared" si="10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 t="shared" si="92"/>
        <v>76072</v>
      </c>
      <c r="BM69" s="417">
        <f t="shared" si="93"/>
        <v>54450</v>
      </c>
      <c r="BN69" s="417">
        <f t="shared" si="94"/>
        <v>0</v>
      </c>
      <c r="BO69" s="417">
        <f t="shared" si="94"/>
        <v>54450</v>
      </c>
      <c r="BP69" s="417">
        <f t="shared" si="95"/>
        <v>0</v>
      </c>
      <c r="BQ69" s="417">
        <f t="shared" si="96"/>
        <v>0</v>
      </c>
      <c r="BR69" s="417">
        <f t="shared" si="96"/>
        <v>0</v>
      </c>
      <c r="BS69" s="417">
        <f t="shared" si="97"/>
        <v>18404</v>
      </c>
      <c r="BT69" s="417">
        <f t="shared" si="97"/>
        <v>545</v>
      </c>
      <c r="BU69" s="417">
        <f t="shared" si="98"/>
        <v>2673</v>
      </c>
      <c r="BV69" s="418">
        <f t="shared" si="99"/>
        <v>0.20750000000000002</v>
      </c>
      <c r="BW69" s="418">
        <f t="shared" si="100"/>
        <v>0</v>
      </c>
      <c r="BX69" s="420">
        <f t="shared" si="100"/>
        <v>0.20750000000000002</v>
      </c>
      <c r="BY69" s="419"/>
      <c r="BZ69" s="414"/>
      <c r="CA69" s="414"/>
      <c r="CB69" s="414"/>
      <c r="CC69" s="414"/>
      <c r="CD69" s="422"/>
      <c r="CE69" s="419">
        <v>0</v>
      </c>
      <c r="CF69" s="414">
        <v>0</v>
      </c>
      <c r="CG69" s="414">
        <v>0</v>
      </c>
      <c r="CH69" s="414">
        <v>0</v>
      </c>
      <c r="CI69" s="414">
        <v>0</v>
      </c>
      <c r="CJ69" s="509">
        <v>0</v>
      </c>
    </row>
    <row r="70" spans="1:88" s="96" customFormat="1" ht="14.1" customHeight="1">
      <c r="A70" s="119">
        <v>9</v>
      </c>
      <c r="B70" s="97">
        <v>2456</v>
      </c>
      <c r="C70" s="98">
        <v>600079732</v>
      </c>
      <c r="D70" s="97">
        <v>70695911</v>
      </c>
      <c r="E70" s="97" t="s">
        <v>721</v>
      </c>
      <c r="F70" s="99"/>
      <c r="G70" s="100"/>
      <c r="H70" s="101"/>
      <c r="I70" s="437">
        <v>47576999</v>
      </c>
      <c r="J70" s="433">
        <v>34738518</v>
      </c>
      <c r="K70" s="433">
        <v>29128698</v>
      </c>
      <c r="L70" s="433">
        <v>5609820</v>
      </c>
      <c r="M70" s="433">
        <v>160000</v>
      </c>
      <c r="N70" s="433">
        <v>100000</v>
      </c>
      <c r="O70" s="433">
        <v>60000</v>
      </c>
      <c r="P70" s="433">
        <v>11795700</v>
      </c>
      <c r="Q70" s="433">
        <v>347386</v>
      </c>
      <c r="R70" s="433">
        <v>535395</v>
      </c>
      <c r="S70" s="434">
        <v>66.210300000000004</v>
      </c>
      <c r="T70" s="434">
        <v>48.710100000000004</v>
      </c>
      <c r="U70" s="695">
        <v>17.5002</v>
      </c>
      <c r="V70" s="437">
        <f t="shared" ref="V70:CG70" si="101">SUM(V64:V69)</f>
        <v>0</v>
      </c>
      <c r="W70" s="433">
        <f t="shared" si="101"/>
        <v>0</v>
      </c>
      <c r="X70" s="433">
        <f t="shared" si="101"/>
        <v>-4126</v>
      </c>
      <c r="Y70" s="433">
        <f t="shared" si="101"/>
        <v>0</v>
      </c>
      <c r="Z70" s="433">
        <f t="shared" si="101"/>
        <v>0</v>
      </c>
      <c r="AA70" s="433">
        <f t="shared" si="101"/>
        <v>-30028</v>
      </c>
      <c r="AB70" s="433">
        <f t="shared" si="101"/>
        <v>0</v>
      </c>
      <c r="AC70" s="433">
        <f t="shared" si="101"/>
        <v>0</v>
      </c>
      <c r="AD70" s="433">
        <f t="shared" si="101"/>
        <v>0</v>
      </c>
      <c r="AE70" s="433">
        <f t="shared" si="101"/>
        <v>-4126</v>
      </c>
      <c r="AF70" s="433">
        <f t="shared" si="101"/>
        <v>-30028</v>
      </c>
      <c r="AG70" s="433">
        <f t="shared" si="101"/>
        <v>-34154</v>
      </c>
      <c r="AH70" s="433">
        <f t="shared" si="101"/>
        <v>0</v>
      </c>
      <c r="AI70" s="433">
        <f t="shared" si="101"/>
        <v>0</v>
      </c>
      <c r="AJ70" s="433">
        <f t="shared" si="101"/>
        <v>0</v>
      </c>
      <c r="AK70" s="433">
        <f t="shared" si="101"/>
        <v>0</v>
      </c>
      <c r="AL70" s="433">
        <f t="shared" si="101"/>
        <v>0</v>
      </c>
      <c r="AM70" s="433">
        <f t="shared" si="101"/>
        <v>0</v>
      </c>
      <c r="AN70" s="433">
        <f t="shared" si="101"/>
        <v>0</v>
      </c>
      <c r="AO70" s="433">
        <f t="shared" si="101"/>
        <v>0</v>
      </c>
      <c r="AP70" s="433">
        <f t="shared" si="101"/>
        <v>-4126</v>
      </c>
      <c r="AQ70" s="433">
        <f t="shared" si="101"/>
        <v>-30028</v>
      </c>
      <c r="AR70" s="433">
        <f t="shared" si="101"/>
        <v>-34154</v>
      </c>
      <c r="AS70" s="433">
        <f t="shared" si="101"/>
        <v>-11544</v>
      </c>
      <c r="AT70" s="433">
        <f t="shared" si="101"/>
        <v>-341</v>
      </c>
      <c r="AU70" s="433">
        <f t="shared" si="101"/>
        <v>500</v>
      </c>
      <c r="AV70" s="433">
        <f t="shared" si="101"/>
        <v>0</v>
      </c>
      <c r="AW70" s="433">
        <f t="shared" si="101"/>
        <v>0</v>
      </c>
      <c r="AX70" s="433">
        <f t="shared" si="101"/>
        <v>500</v>
      </c>
      <c r="AY70" s="433">
        <f t="shared" si="101"/>
        <v>-45539</v>
      </c>
      <c r="AZ70" s="434">
        <f t="shared" si="101"/>
        <v>0</v>
      </c>
      <c r="BA70" s="434">
        <f t="shared" si="101"/>
        <v>0</v>
      </c>
      <c r="BB70" s="434">
        <f t="shared" si="101"/>
        <v>-0.01</v>
      </c>
      <c r="BC70" s="434">
        <f t="shared" si="101"/>
        <v>0</v>
      </c>
      <c r="BD70" s="434">
        <f t="shared" si="101"/>
        <v>-0.08</v>
      </c>
      <c r="BE70" s="434">
        <f t="shared" si="101"/>
        <v>0</v>
      </c>
      <c r="BF70" s="434">
        <f t="shared" si="101"/>
        <v>0</v>
      </c>
      <c r="BG70" s="434">
        <f t="shared" si="101"/>
        <v>0</v>
      </c>
      <c r="BH70" s="434">
        <f t="shared" si="101"/>
        <v>0</v>
      </c>
      <c r="BI70" s="434">
        <f t="shared" si="101"/>
        <v>-0.01</v>
      </c>
      <c r="BJ70" s="434">
        <f t="shared" si="101"/>
        <v>-0.08</v>
      </c>
      <c r="BK70" s="103">
        <f t="shared" si="101"/>
        <v>-0.09</v>
      </c>
      <c r="BL70" s="785">
        <f t="shared" si="101"/>
        <v>47531460</v>
      </c>
      <c r="BM70" s="433">
        <f t="shared" si="101"/>
        <v>34704364</v>
      </c>
      <c r="BN70" s="433">
        <f t="shared" si="101"/>
        <v>29124572</v>
      </c>
      <c r="BO70" s="433">
        <f t="shared" si="101"/>
        <v>5579792</v>
      </c>
      <c r="BP70" s="433">
        <f t="shared" si="101"/>
        <v>160000</v>
      </c>
      <c r="BQ70" s="433">
        <f t="shared" si="101"/>
        <v>100000</v>
      </c>
      <c r="BR70" s="433">
        <f t="shared" si="101"/>
        <v>60000</v>
      </c>
      <c r="BS70" s="433">
        <f t="shared" si="101"/>
        <v>11784156</v>
      </c>
      <c r="BT70" s="433">
        <f t="shared" si="101"/>
        <v>347045</v>
      </c>
      <c r="BU70" s="433">
        <f t="shared" si="101"/>
        <v>535895</v>
      </c>
      <c r="BV70" s="434">
        <f t="shared" si="101"/>
        <v>66.1203</v>
      </c>
      <c r="BW70" s="434">
        <f t="shared" si="101"/>
        <v>48.700100000000006</v>
      </c>
      <c r="BX70" s="103">
        <f t="shared" si="101"/>
        <v>17.420199999999998</v>
      </c>
      <c r="BY70" s="795">
        <f t="shared" si="101"/>
        <v>608218</v>
      </c>
      <c r="BZ70" s="698">
        <f t="shared" si="101"/>
        <v>451200</v>
      </c>
      <c r="CA70" s="698">
        <f t="shared" si="101"/>
        <v>0</v>
      </c>
      <c r="CB70" s="698">
        <f t="shared" si="101"/>
        <v>152506</v>
      </c>
      <c r="CC70" s="698">
        <f t="shared" si="101"/>
        <v>4512</v>
      </c>
      <c r="CD70" s="961">
        <f t="shared" si="101"/>
        <v>0.8</v>
      </c>
      <c r="CE70" s="887">
        <f t="shared" si="101"/>
        <v>1396297</v>
      </c>
      <c r="CF70" s="888">
        <f t="shared" si="101"/>
        <v>943426</v>
      </c>
      <c r="CG70" s="888">
        <f t="shared" si="101"/>
        <v>318878</v>
      </c>
      <c r="CH70" s="888">
        <f t="shared" ref="CH70:CJ70" si="102">SUM(CH64:CH69)</f>
        <v>9434</v>
      </c>
      <c r="CI70" s="888">
        <f t="shared" si="102"/>
        <v>124559</v>
      </c>
      <c r="CJ70" s="889">
        <f t="shared" si="102"/>
        <v>2.9965999999999999</v>
      </c>
    </row>
    <row r="71" spans="1:88" s="96" customFormat="1" ht="14.1" customHeight="1">
      <c r="A71" s="118">
        <v>10</v>
      </c>
      <c r="B71" s="102">
        <v>2462</v>
      </c>
      <c r="C71" s="93">
        <v>600079813</v>
      </c>
      <c r="D71" s="77">
        <v>72744600</v>
      </c>
      <c r="E71" s="77" t="s">
        <v>722</v>
      </c>
      <c r="F71" s="94">
        <v>3111</v>
      </c>
      <c r="G71" s="77" t="s">
        <v>290</v>
      </c>
      <c r="H71" s="95" t="s">
        <v>271</v>
      </c>
      <c r="I71" s="596">
        <v>1730131</v>
      </c>
      <c r="J71" s="595">
        <v>1277248</v>
      </c>
      <c r="K71" s="595">
        <v>1179230</v>
      </c>
      <c r="L71" s="595">
        <v>98018</v>
      </c>
      <c r="M71" s="595">
        <v>0</v>
      </c>
      <c r="N71" s="595">
        <v>0</v>
      </c>
      <c r="O71" s="595">
        <v>0</v>
      </c>
      <c r="P71" s="595">
        <v>431710</v>
      </c>
      <c r="Q71" s="595">
        <v>12773</v>
      </c>
      <c r="R71" s="595">
        <v>8400</v>
      </c>
      <c r="S71" s="416">
        <v>2.3927</v>
      </c>
      <c r="T71" s="416">
        <v>2</v>
      </c>
      <c r="U71" s="748">
        <v>0.39269999999999999</v>
      </c>
      <c r="V71" s="423">
        <f t="shared" si="2"/>
        <v>0</v>
      </c>
      <c r="W71" s="417">
        <f t="shared" si="3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4"/>
        <v>0</v>
      </c>
      <c r="AF71" s="417">
        <f t="shared" si="5"/>
        <v>0</v>
      </c>
      <c r="AG71" s="417">
        <f t="shared" si="6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7"/>
        <v>0</v>
      </c>
      <c r="AN71" s="417">
        <f t="shared" si="8"/>
        <v>0</v>
      </c>
      <c r="AO71" s="417">
        <f t="shared" si="9"/>
        <v>0</v>
      </c>
      <c r="AP71" s="417">
        <f t="shared" si="10"/>
        <v>0</v>
      </c>
      <c r="AQ71" s="417">
        <f t="shared" si="11"/>
        <v>0</v>
      </c>
      <c r="AR71" s="417">
        <f t="shared" si="12"/>
        <v>0</v>
      </c>
      <c r="AS71" s="68">
        <f t="shared" si="13"/>
        <v>0</v>
      </c>
      <c r="AT71" s="68">
        <f t="shared" si="14"/>
        <v>0</v>
      </c>
      <c r="AU71" s="417">
        <v>0</v>
      </c>
      <c r="AV71" s="417">
        <v>0</v>
      </c>
      <c r="AW71" s="417">
        <v>0</v>
      </c>
      <c r="AX71" s="417">
        <f t="shared" si="15"/>
        <v>0</v>
      </c>
      <c r="AY71" s="417">
        <f t="shared" si="16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7"/>
        <v>0</v>
      </c>
      <c r="BJ71" s="418">
        <f t="shared" si="18"/>
        <v>0</v>
      </c>
      <c r="BK71" s="420">
        <f t="shared" si="19"/>
        <v>0</v>
      </c>
      <c r="BL71" s="772">
        <f t="shared" ref="BL71:BL76" si="103">I71+AY71</f>
        <v>1730131</v>
      </c>
      <c r="BM71" s="417">
        <f t="shared" ref="BM71:BM76" si="104">J71+AG71</f>
        <v>1277248</v>
      </c>
      <c r="BN71" s="417">
        <f t="shared" ref="BN71:BO76" si="105">K71+AE71</f>
        <v>1179230</v>
      </c>
      <c r="BO71" s="417">
        <f t="shared" si="105"/>
        <v>98018</v>
      </c>
      <c r="BP71" s="417">
        <f t="shared" ref="BP71:BP76" si="106">M71+AO71</f>
        <v>0</v>
      </c>
      <c r="BQ71" s="417">
        <f t="shared" ref="BQ71:BR76" si="107">N71+AM71</f>
        <v>0</v>
      </c>
      <c r="BR71" s="417">
        <f t="shared" si="107"/>
        <v>0</v>
      </c>
      <c r="BS71" s="417">
        <f t="shared" ref="BS71:BT76" si="108">P71+AS71</f>
        <v>431710</v>
      </c>
      <c r="BT71" s="417">
        <f t="shared" si="108"/>
        <v>12773</v>
      </c>
      <c r="BU71" s="417">
        <f t="shared" ref="BU71:BU76" si="109">R71+AX71</f>
        <v>8400</v>
      </c>
      <c r="BV71" s="418">
        <f t="shared" ref="BV71:BV76" si="110">S71+BK71</f>
        <v>2.3927</v>
      </c>
      <c r="BW71" s="418">
        <f t="shared" ref="BW71:BX76" si="111">T71+BI71</f>
        <v>2</v>
      </c>
      <c r="BX71" s="420">
        <f t="shared" si="111"/>
        <v>0.39269999999999999</v>
      </c>
      <c r="BY71" s="419"/>
      <c r="BZ71" s="414"/>
      <c r="CA71" s="414"/>
      <c r="CB71" s="414"/>
      <c r="CC71" s="414"/>
      <c r="CD71" s="422"/>
      <c r="CE71" s="419">
        <v>45188</v>
      </c>
      <c r="CF71" s="414">
        <v>31450</v>
      </c>
      <c r="CG71" s="414">
        <v>10630</v>
      </c>
      <c r="CH71" s="414">
        <v>315</v>
      </c>
      <c r="CI71" s="414">
        <v>2793</v>
      </c>
      <c r="CJ71" s="509">
        <v>0.126</v>
      </c>
    </row>
    <row r="72" spans="1:88" s="96" customFormat="1" ht="14.1" customHeight="1">
      <c r="A72" s="118">
        <v>10</v>
      </c>
      <c r="B72" s="104">
        <v>2462</v>
      </c>
      <c r="C72" s="93">
        <v>600079813</v>
      </c>
      <c r="D72" s="77">
        <v>72744600</v>
      </c>
      <c r="E72" s="104" t="s">
        <v>722</v>
      </c>
      <c r="F72" s="105">
        <v>3117</v>
      </c>
      <c r="G72" s="104" t="s">
        <v>308</v>
      </c>
      <c r="H72" s="95" t="s">
        <v>271</v>
      </c>
      <c r="I72" s="596">
        <v>3642124</v>
      </c>
      <c r="J72" s="595">
        <v>2651539</v>
      </c>
      <c r="K72" s="595">
        <v>2243834</v>
      </c>
      <c r="L72" s="595">
        <v>407705</v>
      </c>
      <c r="M72" s="595">
        <v>0</v>
      </c>
      <c r="N72" s="595">
        <v>0</v>
      </c>
      <c r="O72" s="595">
        <v>0</v>
      </c>
      <c r="P72" s="595">
        <v>896220</v>
      </c>
      <c r="Q72" s="595">
        <v>26515</v>
      </c>
      <c r="R72" s="595">
        <v>67850</v>
      </c>
      <c r="S72" s="416">
        <v>4.5481999999999996</v>
      </c>
      <c r="T72" s="416">
        <v>3.4998999999999998</v>
      </c>
      <c r="U72" s="748">
        <v>1.0483</v>
      </c>
      <c r="V72" s="423">
        <f t="shared" si="2"/>
        <v>0</v>
      </c>
      <c r="W72" s="417">
        <f t="shared" si="3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4"/>
        <v>0</v>
      </c>
      <c r="AF72" s="417">
        <f t="shared" si="5"/>
        <v>0</v>
      </c>
      <c r="AG72" s="417">
        <f t="shared" si="6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7"/>
        <v>0</v>
      </c>
      <c r="AN72" s="417">
        <f t="shared" si="8"/>
        <v>0</v>
      </c>
      <c r="AO72" s="417">
        <f t="shared" si="9"/>
        <v>0</v>
      </c>
      <c r="AP72" s="417">
        <f t="shared" si="10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0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0</v>
      </c>
      <c r="BK72" s="420">
        <f t="shared" si="19"/>
        <v>0</v>
      </c>
      <c r="BL72" s="772">
        <f t="shared" si="103"/>
        <v>3642124</v>
      </c>
      <c r="BM72" s="417">
        <f t="shared" si="104"/>
        <v>2651539</v>
      </c>
      <c r="BN72" s="417">
        <f t="shared" si="105"/>
        <v>2243834</v>
      </c>
      <c r="BO72" s="417">
        <f t="shared" si="105"/>
        <v>407705</v>
      </c>
      <c r="BP72" s="417">
        <f t="shared" si="106"/>
        <v>0</v>
      </c>
      <c r="BQ72" s="417">
        <f t="shared" si="107"/>
        <v>0</v>
      </c>
      <c r="BR72" s="417">
        <f t="shared" si="107"/>
        <v>0</v>
      </c>
      <c r="BS72" s="417">
        <f t="shared" si="108"/>
        <v>896220</v>
      </c>
      <c r="BT72" s="417">
        <f t="shared" si="108"/>
        <v>26515</v>
      </c>
      <c r="BU72" s="417">
        <f t="shared" si="109"/>
        <v>67850</v>
      </c>
      <c r="BV72" s="418">
        <f t="shared" si="110"/>
        <v>4.5481999999999996</v>
      </c>
      <c r="BW72" s="418">
        <f t="shared" si="111"/>
        <v>3.4998999999999998</v>
      </c>
      <c r="BX72" s="420">
        <f t="shared" si="111"/>
        <v>1.0483</v>
      </c>
      <c r="BY72" s="419"/>
      <c r="BZ72" s="414"/>
      <c r="CA72" s="414"/>
      <c r="CB72" s="414"/>
      <c r="CC72" s="414"/>
      <c r="CD72" s="422"/>
      <c r="CE72" s="419">
        <v>188283</v>
      </c>
      <c r="CF72" s="414">
        <v>130872</v>
      </c>
      <c r="CG72" s="414">
        <v>44235</v>
      </c>
      <c r="CH72" s="414">
        <v>1308</v>
      </c>
      <c r="CI72" s="414">
        <v>11868</v>
      </c>
      <c r="CJ72" s="509">
        <v>0.33650000000000002</v>
      </c>
    </row>
    <row r="73" spans="1:88" s="96" customFormat="1" ht="14.1" customHeight="1">
      <c r="A73" s="118">
        <v>10</v>
      </c>
      <c r="B73" s="102">
        <v>2462</v>
      </c>
      <c r="C73" s="93">
        <v>600079813</v>
      </c>
      <c r="D73" s="77">
        <v>72744600</v>
      </c>
      <c r="E73" s="102" t="s">
        <v>722</v>
      </c>
      <c r="F73" s="94">
        <v>3117</v>
      </c>
      <c r="G73" s="77" t="s">
        <v>291</v>
      </c>
      <c r="H73" s="95" t="s">
        <v>272</v>
      </c>
      <c r="I73" s="596">
        <v>1759638</v>
      </c>
      <c r="J73" s="595">
        <v>1304998</v>
      </c>
      <c r="K73" s="595">
        <v>1304998</v>
      </c>
      <c r="L73" s="595">
        <v>0</v>
      </c>
      <c r="M73" s="595">
        <v>0</v>
      </c>
      <c r="N73" s="595">
        <v>0</v>
      </c>
      <c r="O73" s="595">
        <v>0</v>
      </c>
      <c r="P73" s="595">
        <v>441089</v>
      </c>
      <c r="Q73" s="595">
        <v>13051</v>
      </c>
      <c r="R73" s="595">
        <v>500</v>
      </c>
      <c r="S73" s="416">
        <v>3.38</v>
      </c>
      <c r="T73" s="416">
        <v>3.38</v>
      </c>
      <c r="U73" s="748">
        <v>0</v>
      </c>
      <c r="V73" s="423">
        <f t="shared" si="2"/>
        <v>0</v>
      </c>
      <c r="W73" s="417">
        <f t="shared" si="3"/>
        <v>0</v>
      </c>
      <c r="X73" s="417">
        <f>-106133-109205</f>
        <v>-215338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4"/>
        <v>-215338</v>
      </c>
      <c r="AF73" s="417">
        <f t="shared" si="5"/>
        <v>0</v>
      </c>
      <c r="AG73" s="417">
        <f t="shared" si="6"/>
        <v>-215338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7"/>
        <v>0</v>
      </c>
      <c r="AN73" s="417">
        <f t="shared" si="8"/>
        <v>0</v>
      </c>
      <c r="AO73" s="417">
        <f t="shared" si="9"/>
        <v>0</v>
      </c>
      <c r="AP73" s="417">
        <f t="shared" si="10"/>
        <v>-215338</v>
      </c>
      <c r="AQ73" s="417">
        <f t="shared" si="11"/>
        <v>0</v>
      </c>
      <c r="AR73" s="417">
        <f t="shared" si="12"/>
        <v>-215338</v>
      </c>
      <c r="AS73" s="68">
        <f t="shared" si="13"/>
        <v>-72784</v>
      </c>
      <c r="AT73" s="68">
        <f t="shared" si="14"/>
        <v>-2153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-290275</v>
      </c>
      <c r="AZ73" s="418">
        <v>0</v>
      </c>
      <c r="BA73" s="418">
        <v>0</v>
      </c>
      <c r="BB73" s="418">
        <f>-0.26-0.28</f>
        <v>-0.54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-0.54</v>
      </c>
      <c r="BJ73" s="418">
        <f t="shared" si="18"/>
        <v>0</v>
      </c>
      <c r="BK73" s="420">
        <f t="shared" si="19"/>
        <v>-0.54</v>
      </c>
      <c r="BL73" s="772">
        <f t="shared" si="103"/>
        <v>1469363</v>
      </c>
      <c r="BM73" s="417">
        <f t="shared" si="104"/>
        <v>1089660</v>
      </c>
      <c r="BN73" s="417">
        <f t="shared" si="105"/>
        <v>1089660</v>
      </c>
      <c r="BO73" s="417">
        <f t="shared" si="105"/>
        <v>0</v>
      </c>
      <c r="BP73" s="417">
        <f t="shared" si="106"/>
        <v>0</v>
      </c>
      <c r="BQ73" s="417">
        <f t="shared" si="107"/>
        <v>0</v>
      </c>
      <c r="BR73" s="417">
        <f t="shared" si="107"/>
        <v>0</v>
      </c>
      <c r="BS73" s="417">
        <f t="shared" si="108"/>
        <v>368305</v>
      </c>
      <c r="BT73" s="417">
        <f t="shared" si="108"/>
        <v>10898</v>
      </c>
      <c r="BU73" s="417">
        <f t="shared" si="109"/>
        <v>500</v>
      </c>
      <c r="BV73" s="418">
        <f t="shared" si="110"/>
        <v>2.84</v>
      </c>
      <c r="BW73" s="418">
        <f t="shared" si="111"/>
        <v>2.84</v>
      </c>
      <c r="BX73" s="420">
        <f t="shared" si="111"/>
        <v>0</v>
      </c>
      <c r="BY73" s="419"/>
      <c r="BZ73" s="414"/>
      <c r="CA73" s="414"/>
      <c r="CB73" s="414"/>
      <c r="CC73" s="414"/>
      <c r="CD73" s="422"/>
      <c r="CE73" s="419">
        <v>0</v>
      </c>
      <c r="CF73" s="414">
        <v>0</v>
      </c>
      <c r="CG73" s="414">
        <v>0</v>
      </c>
      <c r="CH73" s="414">
        <v>0</v>
      </c>
      <c r="CI73" s="414">
        <v>0</v>
      </c>
      <c r="CJ73" s="509">
        <v>0</v>
      </c>
    </row>
    <row r="74" spans="1:88" s="96" customFormat="1" ht="14.1" customHeight="1">
      <c r="A74" s="118">
        <v>10</v>
      </c>
      <c r="B74" s="77">
        <v>2462</v>
      </c>
      <c r="C74" s="93">
        <v>600079813</v>
      </c>
      <c r="D74" s="77">
        <v>72744600</v>
      </c>
      <c r="E74" s="77" t="s">
        <v>722</v>
      </c>
      <c r="F74" s="94">
        <v>3141</v>
      </c>
      <c r="G74" s="77" t="s">
        <v>294</v>
      </c>
      <c r="H74" s="95" t="s">
        <v>272</v>
      </c>
      <c r="I74" s="596">
        <v>765541</v>
      </c>
      <c r="J74" s="595">
        <v>565826</v>
      </c>
      <c r="K74" s="595">
        <v>0</v>
      </c>
      <c r="L74" s="601">
        <v>565826</v>
      </c>
      <c r="M74" s="595">
        <v>0</v>
      </c>
      <c r="N74" s="595">
        <v>0</v>
      </c>
      <c r="O74" s="595">
        <v>0</v>
      </c>
      <c r="P74" s="595">
        <v>191249</v>
      </c>
      <c r="Q74" s="595">
        <v>5658</v>
      </c>
      <c r="R74" s="595">
        <v>2808</v>
      </c>
      <c r="S74" s="416">
        <v>1.7033</v>
      </c>
      <c r="T74" s="416">
        <v>0</v>
      </c>
      <c r="U74" s="748">
        <v>1.7033</v>
      </c>
      <c r="V74" s="423">
        <f t="shared" si="2"/>
        <v>0</v>
      </c>
      <c r="W74" s="417">
        <f t="shared" si="3"/>
        <v>0</v>
      </c>
      <c r="X74" s="417">
        <v>0</v>
      </c>
      <c r="Y74" s="417">
        <v>0</v>
      </c>
      <c r="Z74" s="417">
        <v>0</v>
      </c>
      <c r="AA74" s="417">
        <v>-10517</v>
      </c>
      <c r="AB74" s="417">
        <v>0</v>
      </c>
      <c r="AC74" s="417">
        <v>0</v>
      </c>
      <c r="AD74" s="417">
        <v>0</v>
      </c>
      <c r="AE74" s="417">
        <f t="shared" si="4"/>
        <v>0</v>
      </c>
      <c r="AF74" s="417">
        <f t="shared" si="5"/>
        <v>-10517</v>
      </c>
      <c r="AG74" s="417">
        <f t="shared" si="6"/>
        <v>-10517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7"/>
        <v>0</v>
      </c>
      <c r="AN74" s="417">
        <f t="shared" si="8"/>
        <v>0</v>
      </c>
      <c r="AO74" s="417">
        <f t="shared" si="9"/>
        <v>0</v>
      </c>
      <c r="AP74" s="417">
        <f t="shared" si="10"/>
        <v>0</v>
      </c>
      <c r="AQ74" s="417">
        <f t="shared" si="11"/>
        <v>-10517</v>
      </c>
      <c r="AR74" s="417">
        <f t="shared" si="12"/>
        <v>-10517</v>
      </c>
      <c r="AS74" s="68">
        <f t="shared" si="13"/>
        <v>-3555</v>
      </c>
      <c r="AT74" s="68">
        <f t="shared" si="14"/>
        <v>-105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-14177</v>
      </c>
      <c r="AZ74" s="418">
        <v>0</v>
      </c>
      <c r="BA74" s="418">
        <v>0</v>
      </c>
      <c r="BB74" s="418">
        <v>0</v>
      </c>
      <c r="BC74" s="418">
        <v>0</v>
      </c>
      <c r="BD74" s="418">
        <v>-0.04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-0.04</v>
      </c>
      <c r="BK74" s="420">
        <f t="shared" si="19"/>
        <v>-0.04</v>
      </c>
      <c r="BL74" s="772">
        <f t="shared" si="103"/>
        <v>751364</v>
      </c>
      <c r="BM74" s="417">
        <f t="shared" si="104"/>
        <v>555309</v>
      </c>
      <c r="BN74" s="417">
        <f t="shared" si="105"/>
        <v>0</v>
      </c>
      <c r="BO74" s="417">
        <f t="shared" si="105"/>
        <v>555309</v>
      </c>
      <c r="BP74" s="417">
        <f t="shared" si="106"/>
        <v>0</v>
      </c>
      <c r="BQ74" s="417">
        <f t="shared" si="107"/>
        <v>0</v>
      </c>
      <c r="BR74" s="417">
        <f t="shared" si="107"/>
        <v>0</v>
      </c>
      <c r="BS74" s="417">
        <f t="shared" si="108"/>
        <v>187694</v>
      </c>
      <c r="BT74" s="417">
        <f t="shared" si="108"/>
        <v>5553</v>
      </c>
      <c r="BU74" s="417">
        <f t="shared" si="109"/>
        <v>2808</v>
      </c>
      <c r="BV74" s="418">
        <f t="shared" si="110"/>
        <v>1.6633</v>
      </c>
      <c r="BW74" s="418">
        <f t="shared" si="111"/>
        <v>0</v>
      </c>
      <c r="BX74" s="420">
        <f t="shared" si="111"/>
        <v>1.6633</v>
      </c>
      <c r="BY74" s="419"/>
      <c r="BZ74" s="414"/>
      <c r="CA74" s="414"/>
      <c r="CB74" s="414"/>
      <c r="CC74" s="414"/>
      <c r="CD74" s="422"/>
      <c r="CE74" s="419">
        <v>0</v>
      </c>
      <c r="CF74" s="414">
        <v>0</v>
      </c>
      <c r="CG74" s="414">
        <v>0</v>
      </c>
      <c r="CH74" s="414">
        <v>0</v>
      </c>
      <c r="CI74" s="414">
        <v>0</v>
      </c>
      <c r="CJ74" s="509">
        <v>0</v>
      </c>
    </row>
    <row r="75" spans="1:88" s="96" customFormat="1" ht="14.1" customHeight="1">
      <c r="A75" s="118">
        <v>10</v>
      </c>
      <c r="B75" s="77">
        <v>2462</v>
      </c>
      <c r="C75" s="93">
        <v>600079813</v>
      </c>
      <c r="D75" s="77">
        <v>72744600</v>
      </c>
      <c r="E75" s="77" t="s">
        <v>722</v>
      </c>
      <c r="F75" s="94">
        <v>3143</v>
      </c>
      <c r="G75" s="77" t="s">
        <v>595</v>
      </c>
      <c r="H75" s="95" t="s">
        <v>271</v>
      </c>
      <c r="I75" s="596">
        <v>706772</v>
      </c>
      <c r="J75" s="595">
        <v>524311</v>
      </c>
      <c r="K75" s="595">
        <v>524311</v>
      </c>
      <c r="L75" s="595">
        <v>0</v>
      </c>
      <c r="M75" s="595">
        <v>0</v>
      </c>
      <c r="N75" s="595">
        <v>0</v>
      </c>
      <c r="O75" s="595">
        <v>0</v>
      </c>
      <c r="P75" s="595">
        <v>177217</v>
      </c>
      <c r="Q75" s="595">
        <v>5244</v>
      </c>
      <c r="R75" s="595">
        <v>0</v>
      </c>
      <c r="S75" s="416">
        <v>1.0832999999999999</v>
      </c>
      <c r="T75" s="416">
        <v>1.0832999999999999</v>
      </c>
      <c r="U75" s="748">
        <v>0</v>
      </c>
      <c r="V75" s="423">
        <f t="shared" si="2"/>
        <v>0</v>
      </c>
      <c r="W75" s="417">
        <f t="shared" si="3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4"/>
        <v>0</v>
      </c>
      <c r="AF75" s="417">
        <f t="shared" si="5"/>
        <v>0</v>
      </c>
      <c r="AG75" s="417">
        <f t="shared" si="6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7"/>
        <v>0</v>
      </c>
      <c r="AN75" s="417">
        <f t="shared" si="8"/>
        <v>0</v>
      </c>
      <c r="AO75" s="417">
        <f t="shared" si="9"/>
        <v>0</v>
      </c>
      <c r="AP75" s="417">
        <f t="shared" si="10"/>
        <v>0</v>
      </c>
      <c r="AQ75" s="417">
        <f t="shared" si="11"/>
        <v>0</v>
      </c>
      <c r="AR75" s="417">
        <f t="shared" si="12"/>
        <v>0</v>
      </c>
      <c r="AS75" s="68">
        <f t="shared" si="13"/>
        <v>0</v>
      </c>
      <c r="AT75" s="68">
        <f t="shared" si="14"/>
        <v>0</v>
      </c>
      <c r="AU75" s="417">
        <v>0</v>
      </c>
      <c r="AV75" s="417">
        <v>0</v>
      </c>
      <c r="AW75" s="417">
        <v>0</v>
      </c>
      <c r="AX75" s="417">
        <f t="shared" si="15"/>
        <v>0</v>
      </c>
      <c r="AY75" s="417">
        <f t="shared" si="16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7"/>
        <v>0</v>
      </c>
      <c r="BJ75" s="418">
        <f t="shared" si="18"/>
        <v>0</v>
      </c>
      <c r="BK75" s="420">
        <f t="shared" si="19"/>
        <v>0</v>
      </c>
      <c r="BL75" s="772">
        <f t="shared" si="103"/>
        <v>706772</v>
      </c>
      <c r="BM75" s="417">
        <f t="shared" si="104"/>
        <v>524311</v>
      </c>
      <c r="BN75" s="417">
        <f t="shared" si="105"/>
        <v>524311</v>
      </c>
      <c r="BO75" s="417">
        <f t="shared" si="105"/>
        <v>0</v>
      </c>
      <c r="BP75" s="417">
        <f t="shared" si="106"/>
        <v>0</v>
      </c>
      <c r="BQ75" s="417">
        <f t="shared" si="107"/>
        <v>0</v>
      </c>
      <c r="BR75" s="417">
        <f t="shared" si="107"/>
        <v>0</v>
      </c>
      <c r="BS75" s="417">
        <f t="shared" si="108"/>
        <v>177217</v>
      </c>
      <c r="BT75" s="417">
        <f t="shared" si="108"/>
        <v>5244</v>
      </c>
      <c r="BU75" s="417">
        <f t="shared" si="109"/>
        <v>0</v>
      </c>
      <c r="BV75" s="418">
        <f t="shared" si="110"/>
        <v>1.0832999999999999</v>
      </c>
      <c r="BW75" s="418">
        <f t="shared" si="111"/>
        <v>1.0832999999999999</v>
      </c>
      <c r="BX75" s="420">
        <f t="shared" si="111"/>
        <v>0</v>
      </c>
      <c r="BY75" s="419"/>
      <c r="BZ75" s="414"/>
      <c r="CA75" s="414"/>
      <c r="CB75" s="414"/>
      <c r="CC75" s="414"/>
      <c r="CD75" s="422"/>
      <c r="CE75" s="419">
        <v>0</v>
      </c>
      <c r="CF75" s="414">
        <v>0</v>
      </c>
      <c r="CG75" s="414">
        <v>0</v>
      </c>
      <c r="CH75" s="414">
        <v>0</v>
      </c>
      <c r="CI75" s="414">
        <v>0</v>
      </c>
      <c r="CJ75" s="509">
        <v>0</v>
      </c>
    </row>
    <row r="76" spans="1:88" s="96" customFormat="1" ht="14.1" customHeight="1">
      <c r="A76" s="118">
        <v>10</v>
      </c>
      <c r="B76" s="77">
        <v>2462</v>
      </c>
      <c r="C76" s="93">
        <v>600079813</v>
      </c>
      <c r="D76" s="77">
        <v>72744600</v>
      </c>
      <c r="E76" s="77" t="s">
        <v>722</v>
      </c>
      <c r="F76" s="94">
        <v>3143</v>
      </c>
      <c r="G76" s="77" t="s">
        <v>596</v>
      </c>
      <c r="H76" s="95" t="s">
        <v>272</v>
      </c>
      <c r="I76" s="596">
        <v>18441</v>
      </c>
      <c r="J76" s="595">
        <v>13200</v>
      </c>
      <c r="K76" s="595">
        <v>0</v>
      </c>
      <c r="L76" s="601">
        <v>13200</v>
      </c>
      <c r="M76" s="595">
        <v>0</v>
      </c>
      <c r="N76" s="602">
        <v>0</v>
      </c>
      <c r="O76" s="602">
        <v>0</v>
      </c>
      <c r="P76" s="595">
        <v>4461</v>
      </c>
      <c r="Q76" s="595">
        <v>132</v>
      </c>
      <c r="R76" s="602">
        <v>648</v>
      </c>
      <c r="S76" s="416">
        <v>5.33E-2</v>
      </c>
      <c r="T76" s="605">
        <v>0</v>
      </c>
      <c r="U76" s="731">
        <v>5.33E-2</v>
      </c>
      <c r="V76" s="423">
        <f t="shared" si="2"/>
        <v>0</v>
      </c>
      <c r="W76" s="417">
        <f t="shared" si="3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4"/>
        <v>0</v>
      </c>
      <c r="AF76" s="417">
        <f t="shared" si="5"/>
        <v>0</v>
      </c>
      <c r="AG76" s="417">
        <f t="shared" si="6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7"/>
        <v>0</v>
      </c>
      <c r="AN76" s="417">
        <f t="shared" si="8"/>
        <v>0</v>
      </c>
      <c r="AO76" s="417">
        <f t="shared" si="9"/>
        <v>0</v>
      </c>
      <c r="AP76" s="417">
        <f t="shared" si="10"/>
        <v>0</v>
      </c>
      <c r="AQ76" s="417">
        <f t="shared" si="11"/>
        <v>0</v>
      </c>
      <c r="AR76" s="417">
        <f t="shared" si="12"/>
        <v>0</v>
      </c>
      <c r="AS76" s="68">
        <f t="shared" si="13"/>
        <v>0</v>
      </c>
      <c r="AT76" s="68">
        <f t="shared" si="14"/>
        <v>0</v>
      </c>
      <c r="AU76" s="417">
        <v>0</v>
      </c>
      <c r="AV76" s="417">
        <v>0</v>
      </c>
      <c r="AW76" s="417">
        <v>0</v>
      </c>
      <c r="AX76" s="417">
        <f t="shared" si="15"/>
        <v>0</v>
      </c>
      <c r="AY76" s="417">
        <f t="shared" si="16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7"/>
        <v>0</v>
      </c>
      <c r="BJ76" s="418">
        <f t="shared" si="18"/>
        <v>0</v>
      </c>
      <c r="BK76" s="420">
        <f t="shared" si="19"/>
        <v>0</v>
      </c>
      <c r="BL76" s="772">
        <f t="shared" si="103"/>
        <v>18441</v>
      </c>
      <c r="BM76" s="417">
        <f t="shared" si="104"/>
        <v>13200</v>
      </c>
      <c r="BN76" s="417">
        <f t="shared" si="105"/>
        <v>0</v>
      </c>
      <c r="BO76" s="417">
        <f t="shared" si="105"/>
        <v>13200</v>
      </c>
      <c r="BP76" s="417">
        <f t="shared" si="106"/>
        <v>0</v>
      </c>
      <c r="BQ76" s="417">
        <f t="shared" si="107"/>
        <v>0</v>
      </c>
      <c r="BR76" s="417">
        <f t="shared" si="107"/>
        <v>0</v>
      </c>
      <c r="BS76" s="417">
        <f t="shared" si="108"/>
        <v>4461</v>
      </c>
      <c r="BT76" s="417">
        <f t="shared" si="108"/>
        <v>132</v>
      </c>
      <c r="BU76" s="417">
        <f t="shared" si="109"/>
        <v>648</v>
      </c>
      <c r="BV76" s="418">
        <f t="shared" si="110"/>
        <v>5.33E-2</v>
      </c>
      <c r="BW76" s="418">
        <f t="shared" si="111"/>
        <v>0</v>
      </c>
      <c r="BX76" s="420">
        <f t="shared" si="111"/>
        <v>5.33E-2</v>
      </c>
      <c r="BY76" s="419"/>
      <c r="BZ76" s="414"/>
      <c r="CA76" s="414"/>
      <c r="CB76" s="414"/>
      <c r="CC76" s="414"/>
      <c r="CD76" s="422"/>
      <c r="CE76" s="419">
        <v>0</v>
      </c>
      <c r="CF76" s="414">
        <v>0</v>
      </c>
      <c r="CG76" s="414">
        <v>0</v>
      </c>
      <c r="CH76" s="414">
        <v>0</v>
      </c>
      <c r="CI76" s="414">
        <v>0</v>
      </c>
      <c r="CJ76" s="509">
        <v>0</v>
      </c>
    </row>
    <row r="77" spans="1:88" s="96" customFormat="1" ht="14.1" customHeight="1">
      <c r="A77" s="119">
        <v>10</v>
      </c>
      <c r="B77" s="97">
        <v>2462</v>
      </c>
      <c r="C77" s="98">
        <v>600079813</v>
      </c>
      <c r="D77" s="97">
        <v>72744600</v>
      </c>
      <c r="E77" s="97" t="s">
        <v>723</v>
      </c>
      <c r="F77" s="106"/>
      <c r="G77" s="100"/>
      <c r="H77" s="101"/>
      <c r="I77" s="437">
        <v>8622647</v>
      </c>
      <c r="J77" s="433">
        <v>6337122</v>
      </c>
      <c r="K77" s="433">
        <v>5252373</v>
      </c>
      <c r="L77" s="433">
        <v>1084749</v>
      </c>
      <c r="M77" s="433">
        <v>0</v>
      </c>
      <c r="N77" s="433">
        <v>0</v>
      </c>
      <c r="O77" s="433">
        <v>0</v>
      </c>
      <c r="P77" s="433">
        <v>2141946</v>
      </c>
      <c r="Q77" s="433">
        <v>63373</v>
      </c>
      <c r="R77" s="433">
        <v>80206</v>
      </c>
      <c r="S77" s="434">
        <v>13.160799999999998</v>
      </c>
      <c r="T77" s="434">
        <v>9.9631999999999987</v>
      </c>
      <c r="U77" s="695">
        <v>3.1976000000000004</v>
      </c>
      <c r="V77" s="437">
        <f t="shared" ref="V77:CG77" si="112">SUM(V71:V76)</f>
        <v>0</v>
      </c>
      <c r="W77" s="433">
        <f t="shared" si="112"/>
        <v>0</v>
      </c>
      <c r="X77" s="433">
        <f t="shared" si="112"/>
        <v>-215338</v>
      </c>
      <c r="Y77" s="433">
        <f t="shared" si="112"/>
        <v>0</v>
      </c>
      <c r="Z77" s="433">
        <f t="shared" si="112"/>
        <v>0</v>
      </c>
      <c r="AA77" s="433">
        <f t="shared" si="112"/>
        <v>-10517</v>
      </c>
      <c r="AB77" s="433">
        <f t="shared" si="112"/>
        <v>0</v>
      </c>
      <c r="AC77" s="433">
        <f t="shared" si="112"/>
        <v>0</v>
      </c>
      <c r="AD77" s="433">
        <f t="shared" si="112"/>
        <v>0</v>
      </c>
      <c r="AE77" s="433">
        <f t="shared" si="112"/>
        <v>-215338</v>
      </c>
      <c r="AF77" s="433">
        <f t="shared" si="112"/>
        <v>-10517</v>
      </c>
      <c r="AG77" s="433">
        <f t="shared" si="112"/>
        <v>-225855</v>
      </c>
      <c r="AH77" s="433">
        <f t="shared" si="112"/>
        <v>0</v>
      </c>
      <c r="AI77" s="433">
        <f t="shared" si="112"/>
        <v>0</v>
      </c>
      <c r="AJ77" s="433">
        <f t="shared" si="112"/>
        <v>0</v>
      </c>
      <c r="AK77" s="433">
        <f t="shared" si="112"/>
        <v>0</v>
      </c>
      <c r="AL77" s="433">
        <f t="shared" si="112"/>
        <v>0</v>
      </c>
      <c r="AM77" s="433">
        <f t="shared" si="112"/>
        <v>0</v>
      </c>
      <c r="AN77" s="433">
        <f t="shared" si="112"/>
        <v>0</v>
      </c>
      <c r="AO77" s="433">
        <f t="shared" si="112"/>
        <v>0</v>
      </c>
      <c r="AP77" s="433">
        <f t="shared" si="112"/>
        <v>-215338</v>
      </c>
      <c r="AQ77" s="433">
        <f t="shared" si="112"/>
        <v>-10517</v>
      </c>
      <c r="AR77" s="433">
        <f t="shared" si="112"/>
        <v>-225855</v>
      </c>
      <c r="AS77" s="433">
        <f t="shared" si="112"/>
        <v>-76339</v>
      </c>
      <c r="AT77" s="433">
        <f t="shared" si="112"/>
        <v>-2258</v>
      </c>
      <c r="AU77" s="433">
        <f t="shared" si="112"/>
        <v>0</v>
      </c>
      <c r="AV77" s="433">
        <f t="shared" si="112"/>
        <v>0</v>
      </c>
      <c r="AW77" s="433">
        <f t="shared" si="112"/>
        <v>0</v>
      </c>
      <c r="AX77" s="433">
        <f t="shared" si="112"/>
        <v>0</v>
      </c>
      <c r="AY77" s="433">
        <f t="shared" si="112"/>
        <v>-304452</v>
      </c>
      <c r="AZ77" s="434">
        <f t="shared" si="112"/>
        <v>0</v>
      </c>
      <c r="BA77" s="434">
        <f t="shared" si="112"/>
        <v>0</v>
      </c>
      <c r="BB77" s="434">
        <f t="shared" si="112"/>
        <v>-0.54</v>
      </c>
      <c r="BC77" s="434">
        <f t="shared" si="112"/>
        <v>0</v>
      </c>
      <c r="BD77" s="434">
        <f t="shared" si="112"/>
        <v>-0.04</v>
      </c>
      <c r="BE77" s="434">
        <f t="shared" si="112"/>
        <v>0</v>
      </c>
      <c r="BF77" s="434">
        <f t="shared" si="112"/>
        <v>0</v>
      </c>
      <c r="BG77" s="434">
        <f t="shared" si="112"/>
        <v>0</v>
      </c>
      <c r="BH77" s="434">
        <f t="shared" si="112"/>
        <v>0</v>
      </c>
      <c r="BI77" s="434">
        <f t="shared" si="112"/>
        <v>-0.54</v>
      </c>
      <c r="BJ77" s="434">
        <f t="shared" si="112"/>
        <v>-0.04</v>
      </c>
      <c r="BK77" s="103">
        <f t="shared" si="112"/>
        <v>-0.58000000000000007</v>
      </c>
      <c r="BL77" s="785">
        <f t="shared" si="112"/>
        <v>8318195</v>
      </c>
      <c r="BM77" s="433">
        <f t="shared" si="112"/>
        <v>6111267</v>
      </c>
      <c r="BN77" s="433">
        <f t="shared" si="112"/>
        <v>5037035</v>
      </c>
      <c r="BO77" s="433">
        <f t="shared" si="112"/>
        <v>1074232</v>
      </c>
      <c r="BP77" s="433">
        <f t="shared" si="112"/>
        <v>0</v>
      </c>
      <c r="BQ77" s="433">
        <f t="shared" si="112"/>
        <v>0</v>
      </c>
      <c r="BR77" s="433">
        <f t="shared" si="112"/>
        <v>0</v>
      </c>
      <c r="BS77" s="433">
        <f t="shared" si="112"/>
        <v>2065607</v>
      </c>
      <c r="BT77" s="433">
        <f t="shared" si="112"/>
        <v>61115</v>
      </c>
      <c r="BU77" s="433">
        <f t="shared" si="112"/>
        <v>80206</v>
      </c>
      <c r="BV77" s="434">
        <f t="shared" si="112"/>
        <v>12.580799999999998</v>
      </c>
      <c r="BW77" s="434">
        <f t="shared" si="112"/>
        <v>9.4231999999999996</v>
      </c>
      <c r="BX77" s="103">
        <f t="shared" si="112"/>
        <v>3.1576000000000004</v>
      </c>
      <c r="BY77" s="795">
        <f t="shared" si="112"/>
        <v>0</v>
      </c>
      <c r="BZ77" s="698">
        <f t="shared" si="112"/>
        <v>0</v>
      </c>
      <c r="CA77" s="698">
        <f t="shared" si="112"/>
        <v>0</v>
      </c>
      <c r="CB77" s="698">
        <f t="shared" si="112"/>
        <v>0</v>
      </c>
      <c r="CC77" s="698">
        <f t="shared" si="112"/>
        <v>0</v>
      </c>
      <c r="CD77" s="961">
        <f t="shared" si="112"/>
        <v>0</v>
      </c>
      <c r="CE77" s="887">
        <f t="shared" si="112"/>
        <v>233471</v>
      </c>
      <c r="CF77" s="888">
        <f t="shared" si="112"/>
        <v>162322</v>
      </c>
      <c r="CG77" s="888">
        <f t="shared" si="112"/>
        <v>54865</v>
      </c>
      <c r="CH77" s="888">
        <f t="shared" ref="CH77:CJ77" si="113">SUM(CH71:CH76)</f>
        <v>1623</v>
      </c>
      <c r="CI77" s="888">
        <f t="shared" si="113"/>
        <v>14661</v>
      </c>
      <c r="CJ77" s="889">
        <f t="shared" si="113"/>
        <v>0.46250000000000002</v>
      </c>
    </row>
    <row r="78" spans="1:88" s="96" customFormat="1" ht="14.1" customHeight="1">
      <c r="A78" s="118">
        <v>11</v>
      </c>
      <c r="B78" s="102">
        <v>2464</v>
      </c>
      <c r="C78" s="93">
        <v>600080081</v>
      </c>
      <c r="D78" s="77">
        <v>72753846</v>
      </c>
      <c r="E78" s="77" t="s">
        <v>724</v>
      </c>
      <c r="F78" s="94">
        <v>3111</v>
      </c>
      <c r="G78" s="77" t="s">
        <v>290</v>
      </c>
      <c r="H78" s="95" t="s">
        <v>271</v>
      </c>
      <c r="I78" s="596">
        <v>1776899</v>
      </c>
      <c r="J78" s="595">
        <v>1310088</v>
      </c>
      <c r="K78" s="595">
        <v>1221879</v>
      </c>
      <c r="L78" s="595">
        <v>88209</v>
      </c>
      <c r="M78" s="595">
        <v>0</v>
      </c>
      <c r="N78" s="595">
        <v>0</v>
      </c>
      <c r="O78" s="595">
        <v>0</v>
      </c>
      <c r="P78" s="595">
        <v>442810</v>
      </c>
      <c r="Q78" s="595">
        <v>13101</v>
      </c>
      <c r="R78" s="595">
        <v>10900</v>
      </c>
      <c r="S78" s="416">
        <v>2.6095999999999999</v>
      </c>
      <c r="T78" s="416">
        <v>2.2562000000000002</v>
      </c>
      <c r="U78" s="748">
        <v>0.35339999999999999</v>
      </c>
      <c r="V78" s="423">
        <f t="shared" ref="V78:V127" si="114">AH78*-1</f>
        <v>0</v>
      </c>
      <c r="W78" s="417">
        <f t="shared" ref="W78:W127" si="115">AI78*-1</f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ref="AE78:AE127" si="116">V78+X78+Y78+Z78+AC78</f>
        <v>0</v>
      </c>
      <c r="AF78" s="417">
        <f t="shared" ref="AF78:AF127" si="117">W78+AA78+AD78+AB78</f>
        <v>0</v>
      </c>
      <c r="AG78" s="417">
        <f t="shared" ref="AG78:AG127" si="118">SUM(AE78:AF78)</f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27" si="119">AH78+AJ78+AK78</f>
        <v>0</v>
      </c>
      <c r="AN78" s="417">
        <f t="shared" ref="AN78:AN127" si="120">AI78+AL78</f>
        <v>0</v>
      </c>
      <c r="AO78" s="417">
        <f t="shared" ref="AO78:AO127" si="121">SUM(AM78:AN78)</f>
        <v>0</v>
      </c>
      <c r="AP78" s="417">
        <f t="shared" ref="AP78:AP127" si="122">AE78+AM78</f>
        <v>0</v>
      </c>
      <c r="AQ78" s="417">
        <f t="shared" ref="AQ78:AQ127" si="123">AF78+AN78</f>
        <v>0</v>
      </c>
      <c r="AR78" s="417">
        <f t="shared" ref="AR78:AR127" si="124">SUM(AP78:AQ78)</f>
        <v>0</v>
      </c>
      <c r="AS78" s="68">
        <f t="shared" ref="AS78:AS127" si="125">ROUND((AG78+AH78+AI78+AJ78)*33.8%,0)</f>
        <v>0</v>
      </c>
      <c r="AT78" s="68">
        <f t="shared" ref="AT78:AT127" si="126">ROUND(AG78*1%,0)</f>
        <v>0</v>
      </c>
      <c r="AU78" s="417">
        <v>0</v>
      </c>
      <c r="AV78" s="417">
        <v>0</v>
      </c>
      <c r="AW78" s="417">
        <v>0</v>
      </c>
      <c r="AX78" s="417">
        <f t="shared" ref="AX78:AX127" si="127">SUM(AU78:AW78)</f>
        <v>0</v>
      </c>
      <c r="AY78" s="417">
        <f t="shared" ref="AY78:AY127" si="128">AR78+AS78+AT78+AX78</f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ref="BI78:BI127" si="129">AZ78+BB78+BC78+BE78+BG78</f>
        <v>0</v>
      </c>
      <c r="BJ78" s="418">
        <f t="shared" ref="BJ78:BJ127" si="130">BA78+BD78+BH78+BF78</f>
        <v>0</v>
      </c>
      <c r="BK78" s="420">
        <f t="shared" ref="BK78:BK127" si="131">SUM(BI78:BJ78)</f>
        <v>0</v>
      </c>
      <c r="BL78" s="772">
        <f t="shared" ref="BL78:BL83" si="132">I78+AY78</f>
        <v>1776899</v>
      </c>
      <c r="BM78" s="417">
        <f t="shared" ref="BM78:BM83" si="133">J78+AG78</f>
        <v>1310088</v>
      </c>
      <c r="BN78" s="417">
        <f t="shared" ref="BN78:BO83" si="134">K78+AE78</f>
        <v>1221879</v>
      </c>
      <c r="BO78" s="417">
        <f t="shared" si="134"/>
        <v>88209</v>
      </c>
      <c r="BP78" s="417">
        <f t="shared" ref="BP78:BP83" si="135">M78+AO78</f>
        <v>0</v>
      </c>
      <c r="BQ78" s="417">
        <f t="shared" ref="BQ78:BR83" si="136">N78+AM78</f>
        <v>0</v>
      </c>
      <c r="BR78" s="417">
        <f t="shared" si="136"/>
        <v>0</v>
      </c>
      <c r="BS78" s="417">
        <f t="shared" ref="BS78:BT83" si="137">P78+AS78</f>
        <v>442810</v>
      </c>
      <c r="BT78" s="417">
        <f t="shared" si="137"/>
        <v>13101</v>
      </c>
      <c r="BU78" s="417">
        <f t="shared" ref="BU78:BU83" si="138">R78+AX78</f>
        <v>10900</v>
      </c>
      <c r="BV78" s="418">
        <f t="shared" ref="BV78:BV83" si="139">S78+BK78</f>
        <v>2.6095999999999999</v>
      </c>
      <c r="BW78" s="418">
        <f t="shared" ref="BW78:BX83" si="140">T78+BI78</f>
        <v>2.2562000000000002</v>
      </c>
      <c r="BX78" s="420">
        <f t="shared" si="140"/>
        <v>0.35339999999999999</v>
      </c>
      <c r="BY78" s="419"/>
      <c r="BZ78" s="414"/>
      <c r="CA78" s="414"/>
      <c r="CB78" s="414"/>
      <c r="CC78" s="414"/>
      <c r="CD78" s="422"/>
      <c r="CE78" s="419">
        <v>41783</v>
      </c>
      <c r="CF78" s="414">
        <v>28305</v>
      </c>
      <c r="CG78" s="414">
        <v>9567</v>
      </c>
      <c r="CH78" s="414">
        <v>283</v>
      </c>
      <c r="CI78" s="414">
        <v>3628</v>
      </c>
      <c r="CJ78" s="509">
        <v>0.1134</v>
      </c>
    </row>
    <row r="79" spans="1:88" s="96" customFormat="1" ht="14.1" customHeight="1">
      <c r="A79" s="118">
        <v>11</v>
      </c>
      <c r="B79" s="104">
        <v>2464</v>
      </c>
      <c r="C79" s="93">
        <v>600080081</v>
      </c>
      <c r="D79" s="77">
        <v>72753846</v>
      </c>
      <c r="E79" s="104" t="s">
        <v>724</v>
      </c>
      <c r="F79" s="105">
        <v>3117</v>
      </c>
      <c r="G79" s="104" t="s">
        <v>308</v>
      </c>
      <c r="H79" s="95" t="s">
        <v>271</v>
      </c>
      <c r="I79" s="596">
        <v>1136803</v>
      </c>
      <c r="J79" s="595">
        <v>815816</v>
      </c>
      <c r="K79" s="595">
        <v>630917</v>
      </c>
      <c r="L79" s="595">
        <v>184899</v>
      </c>
      <c r="M79" s="595">
        <v>20000</v>
      </c>
      <c r="N79" s="595">
        <v>20000</v>
      </c>
      <c r="O79" s="595">
        <v>0</v>
      </c>
      <c r="P79" s="595">
        <v>282505</v>
      </c>
      <c r="Q79" s="595">
        <v>8157</v>
      </c>
      <c r="R79" s="595">
        <v>10325</v>
      </c>
      <c r="S79" s="416">
        <v>1.5851999999999999</v>
      </c>
      <c r="T79" s="416">
        <v>1.1089</v>
      </c>
      <c r="U79" s="748">
        <v>0.47629999999999995</v>
      </c>
      <c r="V79" s="423">
        <f t="shared" si="114"/>
        <v>0</v>
      </c>
      <c r="W79" s="417">
        <f t="shared" si="115"/>
        <v>0</v>
      </c>
      <c r="X79" s="417">
        <v>0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16"/>
        <v>0</v>
      </c>
      <c r="AF79" s="417">
        <f t="shared" si="117"/>
        <v>0</v>
      </c>
      <c r="AG79" s="417">
        <f t="shared" si="118"/>
        <v>0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19"/>
        <v>0</v>
      </c>
      <c r="AN79" s="417">
        <f t="shared" si="120"/>
        <v>0</v>
      </c>
      <c r="AO79" s="417">
        <f t="shared" si="121"/>
        <v>0</v>
      </c>
      <c r="AP79" s="417">
        <f t="shared" si="122"/>
        <v>0</v>
      </c>
      <c r="AQ79" s="417">
        <f t="shared" si="123"/>
        <v>0</v>
      </c>
      <c r="AR79" s="417">
        <f t="shared" si="124"/>
        <v>0</v>
      </c>
      <c r="AS79" s="68">
        <f t="shared" si="125"/>
        <v>0</v>
      </c>
      <c r="AT79" s="68">
        <f t="shared" si="126"/>
        <v>0</v>
      </c>
      <c r="AU79" s="417">
        <v>0</v>
      </c>
      <c r="AV79" s="417">
        <v>0</v>
      </c>
      <c r="AW79" s="417">
        <v>0</v>
      </c>
      <c r="AX79" s="417">
        <f t="shared" si="127"/>
        <v>0</v>
      </c>
      <c r="AY79" s="417">
        <f t="shared" si="128"/>
        <v>0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29"/>
        <v>0</v>
      </c>
      <c r="BJ79" s="418">
        <f t="shared" si="130"/>
        <v>0</v>
      </c>
      <c r="BK79" s="420">
        <f t="shared" si="131"/>
        <v>0</v>
      </c>
      <c r="BL79" s="772">
        <f t="shared" si="132"/>
        <v>1136803</v>
      </c>
      <c r="BM79" s="417">
        <f t="shared" si="133"/>
        <v>815816</v>
      </c>
      <c r="BN79" s="417">
        <f t="shared" si="134"/>
        <v>630917</v>
      </c>
      <c r="BO79" s="417">
        <f t="shared" si="134"/>
        <v>184899</v>
      </c>
      <c r="BP79" s="417">
        <f t="shared" si="135"/>
        <v>20000</v>
      </c>
      <c r="BQ79" s="417">
        <f t="shared" si="136"/>
        <v>20000</v>
      </c>
      <c r="BR79" s="417">
        <f t="shared" si="136"/>
        <v>0</v>
      </c>
      <c r="BS79" s="417">
        <f t="shared" si="137"/>
        <v>282505</v>
      </c>
      <c r="BT79" s="417">
        <f t="shared" si="137"/>
        <v>8157</v>
      </c>
      <c r="BU79" s="417">
        <f t="shared" si="138"/>
        <v>10325</v>
      </c>
      <c r="BV79" s="418">
        <f t="shared" si="139"/>
        <v>1.5851999999999999</v>
      </c>
      <c r="BW79" s="418">
        <f t="shared" si="140"/>
        <v>1.1089</v>
      </c>
      <c r="BX79" s="420">
        <f t="shared" si="140"/>
        <v>0.47629999999999995</v>
      </c>
      <c r="BY79" s="419"/>
      <c r="BZ79" s="414"/>
      <c r="CA79" s="414"/>
      <c r="CB79" s="414"/>
      <c r="CC79" s="414"/>
      <c r="CD79" s="422"/>
      <c r="CE79" s="419">
        <v>81796</v>
      </c>
      <c r="CF79" s="414">
        <v>59340</v>
      </c>
      <c r="CG79" s="414">
        <v>20057</v>
      </c>
      <c r="CH79" s="414">
        <v>593</v>
      </c>
      <c r="CI79" s="414">
        <v>1806</v>
      </c>
      <c r="CJ79" s="509">
        <v>0.15290000000000001</v>
      </c>
    </row>
    <row r="80" spans="1:88" s="96" customFormat="1" ht="14.1" customHeight="1">
      <c r="A80" s="118">
        <v>11</v>
      </c>
      <c r="B80" s="102">
        <v>2464</v>
      </c>
      <c r="C80" s="93">
        <v>600080081</v>
      </c>
      <c r="D80" s="77">
        <v>72753846</v>
      </c>
      <c r="E80" s="102" t="s">
        <v>724</v>
      </c>
      <c r="F80" s="94">
        <v>3117</v>
      </c>
      <c r="G80" s="77" t="s">
        <v>291</v>
      </c>
      <c r="H80" s="95" t="s">
        <v>272</v>
      </c>
      <c r="I80" s="596">
        <v>499840</v>
      </c>
      <c r="J80" s="595">
        <v>370801</v>
      </c>
      <c r="K80" s="595">
        <v>370801</v>
      </c>
      <c r="L80" s="595">
        <v>0</v>
      </c>
      <c r="M80" s="595">
        <v>0</v>
      </c>
      <c r="N80" s="595">
        <v>0</v>
      </c>
      <c r="O80" s="595">
        <v>0</v>
      </c>
      <c r="P80" s="595">
        <v>125331</v>
      </c>
      <c r="Q80" s="595">
        <v>3708</v>
      </c>
      <c r="R80" s="595">
        <v>0</v>
      </c>
      <c r="S80" s="416">
        <v>1</v>
      </c>
      <c r="T80" s="416">
        <v>1</v>
      </c>
      <c r="U80" s="748">
        <v>0</v>
      </c>
      <c r="V80" s="423">
        <f t="shared" si="114"/>
        <v>0</v>
      </c>
      <c r="W80" s="417">
        <f t="shared" si="115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16"/>
        <v>0</v>
      </c>
      <c r="AF80" s="417">
        <f t="shared" si="117"/>
        <v>0</v>
      </c>
      <c r="AG80" s="417">
        <f t="shared" si="118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9"/>
        <v>0</v>
      </c>
      <c r="AN80" s="417">
        <f t="shared" si="120"/>
        <v>0</v>
      </c>
      <c r="AO80" s="417">
        <f t="shared" si="121"/>
        <v>0</v>
      </c>
      <c r="AP80" s="417">
        <f t="shared" si="122"/>
        <v>0</v>
      </c>
      <c r="AQ80" s="417">
        <f t="shared" si="123"/>
        <v>0</v>
      </c>
      <c r="AR80" s="417">
        <f t="shared" si="124"/>
        <v>0</v>
      </c>
      <c r="AS80" s="68">
        <f t="shared" si="125"/>
        <v>0</v>
      </c>
      <c r="AT80" s="68">
        <f t="shared" si="126"/>
        <v>0</v>
      </c>
      <c r="AU80" s="417">
        <v>0</v>
      </c>
      <c r="AV80" s="417">
        <v>0</v>
      </c>
      <c r="AW80" s="417">
        <v>0</v>
      </c>
      <c r="AX80" s="417">
        <f t="shared" si="127"/>
        <v>0</v>
      </c>
      <c r="AY80" s="417">
        <f t="shared" si="128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29"/>
        <v>0</v>
      </c>
      <c r="BJ80" s="418">
        <f t="shared" si="130"/>
        <v>0</v>
      </c>
      <c r="BK80" s="420">
        <f t="shared" si="131"/>
        <v>0</v>
      </c>
      <c r="BL80" s="772">
        <f t="shared" si="132"/>
        <v>499840</v>
      </c>
      <c r="BM80" s="417">
        <f t="shared" si="133"/>
        <v>370801</v>
      </c>
      <c r="BN80" s="417">
        <f t="shared" si="134"/>
        <v>370801</v>
      </c>
      <c r="BO80" s="417">
        <f t="shared" si="134"/>
        <v>0</v>
      </c>
      <c r="BP80" s="417">
        <f t="shared" si="135"/>
        <v>0</v>
      </c>
      <c r="BQ80" s="417">
        <f t="shared" si="136"/>
        <v>0</v>
      </c>
      <c r="BR80" s="417">
        <f t="shared" si="136"/>
        <v>0</v>
      </c>
      <c r="BS80" s="417">
        <f t="shared" si="137"/>
        <v>125331</v>
      </c>
      <c r="BT80" s="417">
        <f t="shared" si="137"/>
        <v>3708</v>
      </c>
      <c r="BU80" s="417">
        <f t="shared" si="138"/>
        <v>0</v>
      </c>
      <c r="BV80" s="418">
        <f t="shared" si="139"/>
        <v>1</v>
      </c>
      <c r="BW80" s="418">
        <f t="shared" si="140"/>
        <v>1</v>
      </c>
      <c r="BX80" s="420">
        <f t="shared" si="140"/>
        <v>0</v>
      </c>
      <c r="BY80" s="419"/>
      <c r="BZ80" s="414"/>
      <c r="CA80" s="414"/>
      <c r="CB80" s="414"/>
      <c r="CC80" s="414"/>
      <c r="CD80" s="422"/>
      <c r="CE80" s="419">
        <v>0</v>
      </c>
      <c r="CF80" s="414">
        <v>0</v>
      </c>
      <c r="CG80" s="414">
        <v>0</v>
      </c>
      <c r="CH80" s="414">
        <v>0</v>
      </c>
      <c r="CI80" s="414">
        <v>0</v>
      </c>
      <c r="CJ80" s="509">
        <v>0</v>
      </c>
    </row>
    <row r="81" spans="1:88" s="96" customFormat="1" ht="14.1" customHeight="1">
      <c r="A81" s="118">
        <v>11</v>
      </c>
      <c r="B81" s="77">
        <v>2464</v>
      </c>
      <c r="C81" s="93">
        <v>600080081</v>
      </c>
      <c r="D81" s="77">
        <v>72753846</v>
      </c>
      <c r="E81" s="77" t="s">
        <v>724</v>
      </c>
      <c r="F81" s="94">
        <v>3141</v>
      </c>
      <c r="G81" s="77" t="s">
        <v>294</v>
      </c>
      <c r="H81" s="95" t="s">
        <v>272</v>
      </c>
      <c r="I81" s="596">
        <v>370045</v>
      </c>
      <c r="J81" s="595">
        <v>273665</v>
      </c>
      <c r="K81" s="595">
        <v>0</v>
      </c>
      <c r="L81" s="601">
        <v>273665</v>
      </c>
      <c r="M81" s="595">
        <v>0</v>
      </c>
      <c r="N81" s="595">
        <v>0</v>
      </c>
      <c r="O81" s="595">
        <v>0</v>
      </c>
      <c r="P81" s="595">
        <v>92499</v>
      </c>
      <c r="Q81" s="595">
        <v>2737</v>
      </c>
      <c r="R81" s="595">
        <v>1144</v>
      </c>
      <c r="S81" s="416">
        <v>0.81669999999999998</v>
      </c>
      <c r="T81" s="416">
        <v>0</v>
      </c>
      <c r="U81" s="748">
        <v>0.81669999999999998</v>
      </c>
      <c r="V81" s="423">
        <f t="shared" si="114"/>
        <v>0</v>
      </c>
      <c r="W81" s="417">
        <f t="shared" si="115"/>
        <v>0</v>
      </c>
      <c r="X81" s="417">
        <v>0</v>
      </c>
      <c r="Y81" s="417">
        <v>0</v>
      </c>
      <c r="Z81" s="417">
        <v>0</v>
      </c>
      <c r="AA81" s="417">
        <v>-4478</v>
      </c>
      <c r="AB81" s="417">
        <v>0</v>
      </c>
      <c r="AC81" s="417">
        <v>0</v>
      </c>
      <c r="AD81" s="417">
        <v>0</v>
      </c>
      <c r="AE81" s="417">
        <f t="shared" si="116"/>
        <v>0</v>
      </c>
      <c r="AF81" s="417">
        <f t="shared" si="117"/>
        <v>-4478</v>
      </c>
      <c r="AG81" s="417">
        <f t="shared" si="118"/>
        <v>-4478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19"/>
        <v>0</v>
      </c>
      <c r="AN81" s="417">
        <f t="shared" si="120"/>
        <v>0</v>
      </c>
      <c r="AO81" s="417">
        <f t="shared" si="121"/>
        <v>0</v>
      </c>
      <c r="AP81" s="417">
        <f t="shared" si="122"/>
        <v>0</v>
      </c>
      <c r="AQ81" s="417">
        <f t="shared" si="123"/>
        <v>-4478</v>
      </c>
      <c r="AR81" s="417">
        <f t="shared" si="124"/>
        <v>-4478</v>
      </c>
      <c r="AS81" s="68">
        <f t="shared" si="125"/>
        <v>-1514</v>
      </c>
      <c r="AT81" s="68">
        <f t="shared" si="126"/>
        <v>-45</v>
      </c>
      <c r="AU81" s="417">
        <v>0</v>
      </c>
      <c r="AV81" s="417">
        <v>0</v>
      </c>
      <c r="AW81" s="417">
        <v>0</v>
      </c>
      <c r="AX81" s="417">
        <f t="shared" si="127"/>
        <v>0</v>
      </c>
      <c r="AY81" s="417">
        <f t="shared" si="128"/>
        <v>-6037</v>
      </c>
      <c r="AZ81" s="418">
        <v>0</v>
      </c>
      <c r="BA81" s="418">
        <v>0</v>
      </c>
      <c r="BB81" s="418">
        <v>0</v>
      </c>
      <c r="BC81" s="418">
        <v>0</v>
      </c>
      <c r="BD81" s="418">
        <v>-0.01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29"/>
        <v>0</v>
      </c>
      <c r="BJ81" s="418">
        <f t="shared" si="130"/>
        <v>-0.01</v>
      </c>
      <c r="BK81" s="420">
        <f t="shared" si="131"/>
        <v>-0.01</v>
      </c>
      <c r="BL81" s="772">
        <f t="shared" si="132"/>
        <v>364008</v>
      </c>
      <c r="BM81" s="417">
        <f t="shared" si="133"/>
        <v>269187</v>
      </c>
      <c r="BN81" s="417">
        <f t="shared" si="134"/>
        <v>0</v>
      </c>
      <c r="BO81" s="417">
        <f t="shared" si="134"/>
        <v>269187</v>
      </c>
      <c r="BP81" s="417">
        <f t="shared" si="135"/>
        <v>0</v>
      </c>
      <c r="BQ81" s="417">
        <f t="shared" si="136"/>
        <v>0</v>
      </c>
      <c r="BR81" s="417">
        <f t="shared" si="136"/>
        <v>0</v>
      </c>
      <c r="BS81" s="417">
        <f t="shared" si="137"/>
        <v>90985</v>
      </c>
      <c r="BT81" s="417">
        <f t="shared" si="137"/>
        <v>2692</v>
      </c>
      <c r="BU81" s="417">
        <f t="shared" si="138"/>
        <v>1144</v>
      </c>
      <c r="BV81" s="418">
        <f t="shared" si="139"/>
        <v>0.80669999999999997</v>
      </c>
      <c r="BW81" s="418">
        <f t="shared" si="140"/>
        <v>0</v>
      </c>
      <c r="BX81" s="420">
        <f t="shared" si="140"/>
        <v>0.80669999999999997</v>
      </c>
      <c r="BY81" s="419"/>
      <c r="BZ81" s="414"/>
      <c r="CA81" s="414"/>
      <c r="CB81" s="414"/>
      <c r="CC81" s="414"/>
      <c r="CD81" s="422"/>
      <c r="CE81" s="419">
        <v>0</v>
      </c>
      <c r="CF81" s="414">
        <v>0</v>
      </c>
      <c r="CG81" s="414">
        <v>0</v>
      </c>
      <c r="CH81" s="414">
        <v>0</v>
      </c>
      <c r="CI81" s="414">
        <v>0</v>
      </c>
      <c r="CJ81" s="509">
        <v>0</v>
      </c>
    </row>
    <row r="82" spans="1:88" s="96" customFormat="1" ht="14.1" customHeight="1">
      <c r="A82" s="118">
        <v>11</v>
      </c>
      <c r="B82" s="77">
        <v>2464</v>
      </c>
      <c r="C82" s="93">
        <v>600080081</v>
      </c>
      <c r="D82" s="77">
        <v>72753846</v>
      </c>
      <c r="E82" s="77" t="s">
        <v>724</v>
      </c>
      <c r="F82" s="94">
        <v>3143</v>
      </c>
      <c r="G82" s="77" t="s">
        <v>595</v>
      </c>
      <c r="H82" s="95" t="s">
        <v>271</v>
      </c>
      <c r="I82" s="596">
        <v>595117</v>
      </c>
      <c r="J82" s="595">
        <v>441481</v>
      </c>
      <c r="K82" s="595">
        <v>441481</v>
      </c>
      <c r="L82" s="595">
        <v>0</v>
      </c>
      <c r="M82" s="595">
        <v>0</v>
      </c>
      <c r="N82" s="595">
        <v>0</v>
      </c>
      <c r="O82" s="595">
        <v>0</v>
      </c>
      <c r="P82" s="595">
        <v>149221</v>
      </c>
      <c r="Q82" s="595">
        <v>4415</v>
      </c>
      <c r="R82" s="595">
        <v>0</v>
      </c>
      <c r="S82" s="416">
        <v>1.0832999999999999</v>
      </c>
      <c r="T82" s="416">
        <v>1.0832999999999999</v>
      </c>
      <c r="U82" s="748">
        <v>0</v>
      </c>
      <c r="V82" s="423">
        <f t="shared" si="114"/>
        <v>0</v>
      </c>
      <c r="W82" s="417">
        <f t="shared" si="115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16"/>
        <v>0</v>
      </c>
      <c r="AF82" s="417">
        <f t="shared" si="117"/>
        <v>0</v>
      </c>
      <c r="AG82" s="417">
        <f t="shared" si="118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19"/>
        <v>0</v>
      </c>
      <c r="AN82" s="417">
        <f t="shared" si="120"/>
        <v>0</v>
      </c>
      <c r="AO82" s="417">
        <f t="shared" si="121"/>
        <v>0</v>
      </c>
      <c r="AP82" s="417">
        <f t="shared" si="122"/>
        <v>0</v>
      </c>
      <c r="AQ82" s="417">
        <f t="shared" si="123"/>
        <v>0</v>
      </c>
      <c r="AR82" s="417">
        <f t="shared" si="124"/>
        <v>0</v>
      </c>
      <c r="AS82" s="68">
        <f t="shared" si="125"/>
        <v>0</v>
      </c>
      <c r="AT82" s="68">
        <f t="shared" si="126"/>
        <v>0</v>
      </c>
      <c r="AU82" s="417">
        <v>0</v>
      </c>
      <c r="AV82" s="417">
        <v>0</v>
      </c>
      <c r="AW82" s="417">
        <v>0</v>
      </c>
      <c r="AX82" s="417">
        <f t="shared" si="127"/>
        <v>0</v>
      </c>
      <c r="AY82" s="417">
        <f t="shared" si="128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29"/>
        <v>0</v>
      </c>
      <c r="BJ82" s="418">
        <f t="shared" si="130"/>
        <v>0</v>
      </c>
      <c r="BK82" s="420">
        <f t="shared" si="131"/>
        <v>0</v>
      </c>
      <c r="BL82" s="772">
        <f t="shared" si="132"/>
        <v>595117</v>
      </c>
      <c r="BM82" s="417">
        <f t="shared" si="133"/>
        <v>441481</v>
      </c>
      <c r="BN82" s="417">
        <f t="shared" si="134"/>
        <v>441481</v>
      </c>
      <c r="BO82" s="417">
        <f t="shared" si="134"/>
        <v>0</v>
      </c>
      <c r="BP82" s="417">
        <f t="shared" si="135"/>
        <v>0</v>
      </c>
      <c r="BQ82" s="417">
        <f t="shared" si="136"/>
        <v>0</v>
      </c>
      <c r="BR82" s="417">
        <f t="shared" si="136"/>
        <v>0</v>
      </c>
      <c r="BS82" s="417">
        <f t="shared" si="137"/>
        <v>149221</v>
      </c>
      <c r="BT82" s="417">
        <f t="shared" si="137"/>
        <v>4415</v>
      </c>
      <c r="BU82" s="417">
        <f t="shared" si="138"/>
        <v>0</v>
      </c>
      <c r="BV82" s="418">
        <f t="shared" si="139"/>
        <v>1.0832999999999999</v>
      </c>
      <c r="BW82" s="418">
        <f t="shared" si="140"/>
        <v>1.0832999999999999</v>
      </c>
      <c r="BX82" s="420">
        <f t="shared" si="140"/>
        <v>0</v>
      </c>
      <c r="BY82" s="419"/>
      <c r="BZ82" s="414"/>
      <c r="CA82" s="414"/>
      <c r="CB82" s="414"/>
      <c r="CC82" s="414"/>
      <c r="CD82" s="422"/>
      <c r="CE82" s="419">
        <v>0</v>
      </c>
      <c r="CF82" s="414">
        <v>0</v>
      </c>
      <c r="CG82" s="414">
        <v>0</v>
      </c>
      <c r="CH82" s="414">
        <v>0</v>
      </c>
      <c r="CI82" s="414">
        <v>0</v>
      </c>
      <c r="CJ82" s="509">
        <v>0</v>
      </c>
    </row>
    <row r="83" spans="1:88" s="96" customFormat="1" ht="14.1" customHeight="1">
      <c r="A83" s="118">
        <v>11</v>
      </c>
      <c r="B83" s="77">
        <v>2464</v>
      </c>
      <c r="C83" s="93">
        <v>600080081</v>
      </c>
      <c r="D83" s="77">
        <v>72753846</v>
      </c>
      <c r="E83" s="77" t="s">
        <v>724</v>
      </c>
      <c r="F83" s="94">
        <v>3143</v>
      </c>
      <c r="G83" s="77" t="s">
        <v>596</v>
      </c>
      <c r="H83" s="95" t="s">
        <v>272</v>
      </c>
      <c r="I83" s="596">
        <v>5380</v>
      </c>
      <c r="J83" s="595">
        <v>3850</v>
      </c>
      <c r="K83" s="595">
        <v>0</v>
      </c>
      <c r="L83" s="601">
        <v>3850</v>
      </c>
      <c r="M83" s="595">
        <v>0</v>
      </c>
      <c r="N83" s="602">
        <v>0</v>
      </c>
      <c r="O83" s="602">
        <v>0</v>
      </c>
      <c r="P83" s="595">
        <v>1302</v>
      </c>
      <c r="Q83" s="595">
        <v>39</v>
      </c>
      <c r="R83" s="602">
        <v>189</v>
      </c>
      <c r="S83" s="416">
        <v>9.7000000000000003E-3</v>
      </c>
      <c r="T83" s="605">
        <v>0</v>
      </c>
      <c r="U83" s="731">
        <v>9.7000000000000003E-3</v>
      </c>
      <c r="V83" s="423">
        <f t="shared" si="114"/>
        <v>0</v>
      </c>
      <c r="W83" s="417">
        <f t="shared" si="115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16"/>
        <v>0</v>
      </c>
      <c r="AF83" s="417">
        <f t="shared" si="117"/>
        <v>0</v>
      </c>
      <c r="AG83" s="417">
        <f t="shared" si="118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19"/>
        <v>0</v>
      </c>
      <c r="AN83" s="417">
        <f t="shared" si="120"/>
        <v>0</v>
      </c>
      <c r="AO83" s="417">
        <f t="shared" si="121"/>
        <v>0</v>
      </c>
      <c r="AP83" s="417">
        <f t="shared" si="122"/>
        <v>0</v>
      </c>
      <c r="AQ83" s="417">
        <f t="shared" si="123"/>
        <v>0</v>
      </c>
      <c r="AR83" s="417">
        <f t="shared" si="124"/>
        <v>0</v>
      </c>
      <c r="AS83" s="68">
        <f t="shared" si="125"/>
        <v>0</v>
      </c>
      <c r="AT83" s="68">
        <f t="shared" si="126"/>
        <v>0</v>
      </c>
      <c r="AU83" s="417">
        <v>0</v>
      </c>
      <c r="AV83" s="417">
        <v>0</v>
      </c>
      <c r="AW83" s="417">
        <v>0</v>
      </c>
      <c r="AX83" s="417">
        <f t="shared" si="127"/>
        <v>0</v>
      </c>
      <c r="AY83" s="417">
        <f t="shared" si="128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29"/>
        <v>0</v>
      </c>
      <c r="BJ83" s="418">
        <f t="shared" si="130"/>
        <v>0</v>
      </c>
      <c r="BK83" s="420">
        <f t="shared" si="131"/>
        <v>0</v>
      </c>
      <c r="BL83" s="772">
        <f t="shared" si="132"/>
        <v>5380</v>
      </c>
      <c r="BM83" s="417">
        <f t="shared" si="133"/>
        <v>3850</v>
      </c>
      <c r="BN83" s="417">
        <f t="shared" si="134"/>
        <v>0</v>
      </c>
      <c r="BO83" s="417">
        <f t="shared" si="134"/>
        <v>3850</v>
      </c>
      <c r="BP83" s="417">
        <f t="shared" si="135"/>
        <v>0</v>
      </c>
      <c r="BQ83" s="417">
        <f t="shared" si="136"/>
        <v>0</v>
      </c>
      <c r="BR83" s="417">
        <f t="shared" si="136"/>
        <v>0</v>
      </c>
      <c r="BS83" s="417">
        <f t="shared" si="137"/>
        <v>1302</v>
      </c>
      <c r="BT83" s="417">
        <f t="shared" si="137"/>
        <v>39</v>
      </c>
      <c r="BU83" s="417">
        <f t="shared" si="138"/>
        <v>189</v>
      </c>
      <c r="BV83" s="418">
        <f t="shared" si="139"/>
        <v>9.7000000000000003E-3</v>
      </c>
      <c r="BW83" s="418">
        <f t="shared" si="140"/>
        <v>0</v>
      </c>
      <c r="BX83" s="420">
        <f t="shared" si="140"/>
        <v>9.7000000000000003E-3</v>
      </c>
      <c r="BY83" s="419"/>
      <c r="BZ83" s="414"/>
      <c r="CA83" s="414"/>
      <c r="CB83" s="414"/>
      <c r="CC83" s="414"/>
      <c r="CD83" s="422"/>
      <c r="CE83" s="419">
        <v>0</v>
      </c>
      <c r="CF83" s="414">
        <v>0</v>
      </c>
      <c r="CG83" s="414">
        <v>0</v>
      </c>
      <c r="CH83" s="414">
        <v>0</v>
      </c>
      <c r="CI83" s="414">
        <v>0</v>
      </c>
      <c r="CJ83" s="509">
        <v>0</v>
      </c>
    </row>
    <row r="84" spans="1:88" s="96" customFormat="1" ht="14.1" customHeight="1">
      <c r="A84" s="119">
        <v>11</v>
      </c>
      <c r="B84" s="97">
        <v>2464</v>
      </c>
      <c r="C84" s="98">
        <v>600080081</v>
      </c>
      <c r="D84" s="97">
        <v>72753846</v>
      </c>
      <c r="E84" s="97" t="s">
        <v>725</v>
      </c>
      <c r="F84" s="106"/>
      <c r="G84" s="100"/>
      <c r="H84" s="101"/>
      <c r="I84" s="437">
        <v>4384084</v>
      </c>
      <c r="J84" s="433">
        <v>3215701</v>
      </c>
      <c r="K84" s="433">
        <v>2665078</v>
      </c>
      <c r="L84" s="433">
        <v>550623</v>
      </c>
      <c r="M84" s="433">
        <v>20000</v>
      </c>
      <c r="N84" s="433">
        <v>20000</v>
      </c>
      <c r="O84" s="433">
        <v>0</v>
      </c>
      <c r="P84" s="433">
        <v>1093668</v>
      </c>
      <c r="Q84" s="433">
        <v>32157</v>
      </c>
      <c r="R84" s="433">
        <v>22558</v>
      </c>
      <c r="S84" s="434">
        <v>7.1044999999999989</v>
      </c>
      <c r="T84" s="434">
        <v>5.4483999999999995</v>
      </c>
      <c r="U84" s="695">
        <v>1.6560999999999999</v>
      </c>
      <c r="V84" s="437">
        <f t="shared" ref="V84:CG84" si="141">SUM(V78:V83)</f>
        <v>0</v>
      </c>
      <c r="W84" s="433">
        <f t="shared" si="141"/>
        <v>0</v>
      </c>
      <c r="X84" s="433">
        <f t="shared" si="141"/>
        <v>0</v>
      </c>
      <c r="Y84" s="433">
        <f t="shared" si="141"/>
        <v>0</v>
      </c>
      <c r="Z84" s="433">
        <f t="shared" si="141"/>
        <v>0</v>
      </c>
      <c r="AA84" s="433">
        <f t="shared" si="141"/>
        <v>-4478</v>
      </c>
      <c r="AB84" s="433">
        <f t="shared" si="141"/>
        <v>0</v>
      </c>
      <c r="AC84" s="433">
        <f t="shared" si="141"/>
        <v>0</v>
      </c>
      <c r="AD84" s="433">
        <f t="shared" si="141"/>
        <v>0</v>
      </c>
      <c r="AE84" s="433">
        <f t="shared" si="141"/>
        <v>0</v>
      </c>
      <c r="AF84" s="433">
        <f t="shared" si="141"/>
        <v>-4478</v>
      </c>
      <c r="AG84" s="433">
        <f t="shared" si="141"/>
        <v>-4478</v>
      </c>
      <c r="AH84" s="433">
        <f t="shared" si="141"/>
        <v>0</v>
      </c>
      <c r="AI84" s="433">
        <f t="shared" si="141"/>
        <v>0</v>
      </c>
      <c r="AJ84" s="433">
        <f t="shared" si="141"/>
        <v>0</v>
      </c>
      <c r="AK84" s="433">
        <f t="shared" si="141"/>
        <v>0</v>
      </c>
      <c r="AL84" s="433">
        <f t="shared" si="141"/>
        <v>0</v>
      </c>
      <c r="AM84" s="433">
        <f t="shared" si="141"/>
        <v>0</v>
      </c>
      <c r="AN84" s="433">
        <f t="shared" si="141"/>
        <v>0</v>
      </c>
      <c r="AO84" s="433">
        <f t="shared" si="141"/>
        <v>0</v>
      </c>
      <c r="AP84" s="433">
        <f t="shared" si="141"/>
        <v>0</v>
      </c>
      <c r="AQ84" s="433">
        <f t="shared" si="141"/>
        <v>-4478</v>
      </c>
      <c r="AR84" s="433">
        <f t="shared" si="141"/>
        <v>-4478</v>
      </c>
      <c r="AS84" s="433">
        <f t="shared" si="141"/>
        <v>-1514</v>
      </c>
      <c r="AT84" s="433">
        <f t="shared" si="141"/>
        <v>-45</v>
      </c>
      <c r="AU84" s="433">
        <f t="shared" si="141"/>
        <v>0</v>
      </c>
      <c r="AV84" s="433">
        <f t="shared" si="141"/>
        <v>0</v>
      </c>
      <c r="AW84" s="433">
        <f t="shared" si="141"/>
        <v>0</v>
      </c>
      <c r="AX84" s="433">
        <f t="shared" si="141"/>
        <v>0</v>
      </c>
      <c r="AY84" s="433">
        <f t="shared" si="141"/>
        <v>-6037</v>
      </c>
      <c r="AZ84" s="434">
        <f t="shared" si="141"/>
        <v>0</v>
      </c>
      <c r="BA84" s="434">
        <f t="shared" si="141"/>
        <v>0</v>
      </c>
      <c r="BB84" s="434">
        <f t="shared" si="141"/>
        <v>0</v>
      </c>
      <c r="BC84" s="434">
        <f t="shared" si="141"/>
        <v>0</v>
      </c>
      <c r="BD84" s="434">
        <f t="shared" si="141"/>
        <v>-0.01</v>
      </c>
      <c r="BE84" s="434">
        <f t="shared" si="141"/>
        <v>0</v>
      </c>
      <c r="BF84" s="434">
        <f t="shared" si="141"/>
        <v>0</v>
      </c>
      <c r="BG84" s="434">
        <f t="shared" si="141"/>
        <v>0</v>
      </c>
      <c r="BH84" s="434">
        <f t="shared" si="141"/>
        <v>0</v>
      </c>
      <c r="BI84" s="434">
        <f t="shared" si="141"/>
        <v>0</v>
      </c>
      <c r="BJ84" s="434">
        <f t="shared" si="141"/>
        <v>-0.01</v>
      </c>
      <c r="BK84" s="103">
        <f t="shared" si="141"/>
        <v>-0.01</v>
      </c>
      <c r="BL84" s="785">
        <f t="shared" si="141"/>
        <v>4378047</v>
      </c>
      <c r="BM84" s="433">
        <f t="shared" si="141"/>
        <v>3211223</v>
      </c>
      <c r="BN84" s="433">
        <f t="shared" si="141"/>
        <v>2665078</v>
      </c>
      <c r="BO84" s="433">
        <f t="shared" si="141"/>
        <v>546145</v>
      </c>
      <c r="BP84" s="433">
        <f t="shared" si="141"/>
        <v>20000</v>
      </c>
      <c r="BQ84" s="433">
        <f t="shared" si="141"/>
        <v>20000</v>
      </c>
      <c r="BR84" s="433">
        <f t="shared" si="141"/>
        <v>0</v>
      </c>
      <c r="BS84" s="433">
        <f t="shared" si="141"/>
        <v>1092154</v>
      </c>
      <c r="BT84" s="433">
        <f t="shared" si="141"/>
        <v>32112</v>
      </c>
      <c r="BU84" s="433">
        <f t="shared" si="141"/>
        <v>22558</v>
      </c>
      <c r="BV84" s="434">
        <f t="shared" si="141"/>
        <v>7.0944999999999991</v>
      </c>
      <c r="BW84" s="434">
        <f t="shared" si="141"/>
        <v>5.4483999999999995</v>
      </c>
      <c r="BX84" s="103">
        <f t="shared" si="141"/>
        <v>1.6460999999999999</v>
      </c>
      <c r="BY84" s="795">
        <f t="shared" si="141"/>
        <v>0</v>
      </c>
      <c r="BZ84" s="698">
        <f t="shared" si="141"/>
        <v>0</v>
      </c>
      <c r="CA84" s="698">
        <f t="shared" si="141"/>
        <v>0</v>
      </c>
      <c r="CB84" s="698">
        <f t="shared" si="141"/>
        <v>0</v>
      </c>
      <c r="CC84" s="698">
        <f t="shared" si="141"/>
        <v>0</v>
      </c>
      <c r="CD84" s="961">
        <f t="shared" si="141"/>
        <v>0</v>
      </c>
      <c r="CE84" s="887">
        <f t="shared" si="141"/>
        <v>123579</v>
      </c>
      <c r="CF84" s="888">
        <f t="shared" si="141"/>
        <v>87645</v>
      </c>
      <c r="CG84" s="888">
        <f t="shared" si="141"/>
        <v>29624</v>
      </c>
      <c r="CH84" s="888">
        <f t="shared" ref="CH84:CJ84" si="142">SUM(CH78:CH83)</f>
        <v>876</v>
      </c>
      <c r="CI84" s="888">
        <f t="shared" si="142"/>
        <v>5434</v>
      </c>
      <c r="CJ84" s="889">
        <f t="shared" si="142"/>
        <v>0.26629999999999998</v>
      </c>
    </row>
    <row r="85" spans="1:88" s="96" customFormat="1" ht="14.1" customHeight="1">
      <c r="A85" s="118">
        <v>12</v>
      </c>
      <c r="B85" s="102">
        <v>2467</v>
      </c>
      <c r="C85" s="93">
        <v>600079708</v>
      </c>
      <c r="D85" s="77">
        <v>71012303</v>
      </c>
      <c r="E85" s="545" t="s">
        <v>726</v>
      </c>
      <c r="F85" s="94">
        <v>3111</v>
      </c>
      <c r="G85" s="77" t="s">
        <v>290</v>
      </c>
      <c r="H85" s="95" t="s">
        <v>271</v>
      </c>
      <c r="I85" s="596">
        <v>1861539</v>
      </c>
      <c r="J85" s="595">
        <v>1355178</v>
      </c>
      <c r="K85" s="595">
        <v>1191905</v>
      </c>
      <c r="L85" s="595">
        <v>163273</v>
      </c>
      <c r="M85" s="595">
        <v>20000</v>
      </c>
      <c r="N85" s="595">
        <v>20000</v>
      </c>
      <c r="O85" s="595">
        <v>0</v>
      </c>
      <c r="P85" s="595">
        <v>464810</v>
      </c>
      <c r="Q85" s="595">
        <v>13551</v>
      </c>
      <c r="R85" s="595">
        <v>8000</v>
      </c>
      <c r="S85" s="416">
        <v>2.6197000000000004</v>
      </c>
      <c r="T85" s="416">
        <v>2.0700000000000003</v>
      </c>
      <c r="U85" s="748">
        <v>0.54969999999999997</v>
      </c>
      <c r="V85" s="423">
        <f t="shared" si="114"/>
        <v>0</v>
      </c>
      <c r="W85" s="417">
        <f t="shared" si="115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16"/>
        <v>0</v>
      </c>
      <c r="AF85" s="417">
        <f t="shared" si="117"/>
        <v>0</v>
      </c>
      <c r="AG85" s="417">
        <f t="shared" si="118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19"/>
        <v>0</v>
      </c>
      <c r="AN85" s="417">
        <f t="shared" si="120"/>
        <v>0</v>
      </c>
      <c r="AO85" s="417">
        <f t="shared" si="121"/>
        <v>0</v>
      </c>
      <c r="AP85" s="417">
        <f t="shared" si="122"/>
        <v>0</v>
      </c>
      <c r="AQ85" s="417">
        <f t="shared" si="123"/>
        <v>0</v>
      </c>
      <c r="AR85" s="417">
        <f t="shared" si="124"/>
        <v>0</v>
      </c>
      <c r="AS85" s="68">
        <f t="shared" si="125"/>
        <v>0</v>
      </c>
      <c r="AT85" s="68">
        <f t="shared" si="126"/>
        <v>0</v>
      </c>
      <c r="AU85" s="417">
        <v>0</v>
      </c>
      <c r="AV85" s="417">
        <v>0</v>
      </c>
      <c r="AW85" s="417">
        <v>0</v>
      </c>
      <c r="AX85" s="417">
        <f t="shared" si="127"/>
        <v>0</v>
      </c>
      <c r="AY85" s="417">
        <f t="shared" si="128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29"/>
        <v>0</v>
      </c>
      <c r="BJ85" s="418">
        <f t="shared" si="130"/>
        <v>0</v>
      </c>
      <c r="BK85" s="420">
        <f t="shared" si="131"/>
        <v>0</v>
      </c>
      <c r="BL85" s="772">
        <f>I85+AY85</f>
        <v>1861539</v>
      </c>
      <c r="BM85" s="417">
        <f>J85+AG85</f>
        <v>1355178</v>
      </c>
      <c r="BN85" s="417">
        <f t="shared" ref="BN85:BO87" si="143">K85+AE85</f>
        <v>1191905</v>
      </c>
      <c r="BO85" s="417">
        <f t="shared" si="143"/>
        <v>163273</v>
      </c>
      <c r="BP85" s="417">
        <f>M85+AO85</f>
        <v>20000</v>
      </c>
      <c r="BQ85" s="417">
        <f t="shared" ref="BQ85:BR87" si="144">N85+AM85</f>
        <v>20000</v>
      </c>
      <c r="BR85" s="417">
        <f t="shared" si="144"/>
        <v>0</v>
      </c>
      <c r="BS85" s="417">
        <f t="shared" ref="BS85:BT87" si="145">P85+AS85</f>
        <v>464810</v>
      </c>
      <c r="BT85" s="417">
        <f t="shared" si="145"/>
        <v>13551</v>
      </c>
      <c r="BU85" s="417">
        <f>R85+AX85</f>
        <v>8000</v>
      </c>
      <c r="BV85" s="418">
        <f>S85+BK85</f>
        <v>2.6197000000000004</v>
      </c>
      <c r="BW85" s="418">
        <f t="shared" ref="BW85:BX87" si="146">T85+BI85</f>
        <v>2.0700000000000003</v>
      </c>
      <c r="BX85" s="420">
        <f t="shared" si="146"/>
        <v>0.54969999999999997</v>
      </c>
      <c r="BY85" s="419"/>
      <c r="BZ85" s="414"/>
      <c r="CA85" s="414"/>
      <c r="CB85" s="414"/>
      <c r="CC85" s="414"/>
      <c r="CD85" s="422"/>
      <c r="CE85" s="419">
        <v>73290</v>
      </c>
      <c r="CF85" s="414">
        <v>52396</v>
      </c>
      <c r="CG85" s="414">
        <v>17710</v>
      </c>
      <c r="CH85" s="414">
        <v>524</v>
      </c>
      <c r="CI85" s="414">
        <v>2660</v>
      </c>
      <c r="CJ85" s="509">
        <v>0.1764</v>
      </c>
    </row>
    <row r="86" spans="1:88" s="96" customFormat="1" ht="14.1" customHeight="1">
      <c r="A86" s="118">
        <v>12</v>
      </c>
      <c r="B86" s="102">
        <v>2467</v>
      </c>
      <c r="C86" s="93">
        <v>600079708</v>
      </c>
      <c r="D86" s="77">
        <v>71012303</v>
      </c>
      <c r="E86" s="546" t="s">
        <v>726</v>
      </c>
      <c r="F86" s="94">
        <v>3111</v>
      </c>
      <c r="G86" s="77" t="s">
        <v>291</v>
      </c>
      <c r="H86" s="95" t="s">
        <v>272</v>
      </c>
      <c r="I86" s="596">
        <v>0</v>
      </c>
      <c r="J86" s="595">
        <v>0</v>
      </c>
      <c r="K86" s="595">
        <v>0</v>
      </c>
      <c r="L86" s="595">
        <v>0</v>
      </c>
      <c r="M86" s="595">
        <v>0</v>
      </c>
      <c r="N86" s="595">
        <v>0</v>
      </c>
      <c r="O86" s="595">
        <v>0</v>
      </c>
      <c r="P86" s="595">
        <v>0</v>
      </c>
      <c r="Q86" s="595">
        <v>0</v>
      </c>
      <c r="R86" s="595">
        <v>0</v>
      </c>
      <c r="S86" s="416">
        <v>0</v>
      </c>
      <c r="T86" s="416">
        <v>0</v>
      </c>
      <c r="U86" s="748">
        <v>0</v>
      </c>
      <c r="V86" s="423">
        <f t="shared" si="114"/>
        <v>0</v>
      </c>
      <c r="W86" s="417">
        <f t="shared" si="115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16"/>
        <v>0</v>
      </c>
      <c r="AF86" s="417">
        <f t="shared" si="117"/>
        <v>0</v>
      </c>
      <c r="AG86" s="417">
        <f t="shared" si="118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19"/>
        <v>0</v>
      </c>
      <c r="AN86" s="417">
        <f t="shared" si="120"/>
        <v>0</v>
      </c>
      <c r="AO86" s="417">
        <f t="shared" si="121"/>
        <v>0</v>
      </c>
      <c r="AP86" s="417">
        <f t="shared" si="122"/>
        <v>0</v>
      </c>
      <c r="AQ86" s="417">
        <f t="shared" si="123"/>
        <v>0</v>
      </c>
      <c r="AR86" s="417">
        <f t="shared" si="124"/>
        <v>0</v>
      </c>
      <c r="AS86" s="68">
        <f t="shared" si="125"/>
        <v>0</v>
      </c>
      <c r="AT86" s="68">
        <f t="shared" si="126"/>
        <v>0</v>
      </c>
      <c r="AU86" s="417">
        <v>0</v>
      </c>
      <c r="AV86" s="417">
        <v>0</v>
      </c>
      <c r="AW86" s="417">
        <v>0</v>
      </c>
      <c r="AX86" s="417">
        <f t="shared" si="127"/>
        <v>0</v>
      </c>
      <c r="AY86" s="417">
        <f t="shared" si="128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29"/>
        <v>0</v>
      </c>
      <c r="BJ86" s="418">
        <f t="shared" si="130"/>
        <v>0</v>
      </c>
      <c r="BK86" s="420">
        <f t="shared" si="131"/>
        <v>0</v>
      </c>
      <c r="BL86" s="772">
        <f>I86+AY86</f>
        <v>0</v>
      </c>
      <c r="BM86" s="417">
        <f>J86+AG86</f>
        <v>0</v>
      </c>
      <c r="BN86" s="417">
        <f t="shared" si="143"/>
        <v>0</v>
      </c>
      <c r="BO86" s="417">
        <f t="shared" si="143"/>
        <v>0</v>
      </c>
      <c r="BP86" s="417">
        <f>M86+AO86</f>
        <v>0</v>
      </c>
      <c r="BQ86" s="417">
        <f t="shared" si="144"/>
        <v>0</v>
      </c>
      <c r="BR86" s="417">
        <f t="shared" si="144"/>
        <v>0</v>
      </c>
      <c r="BS86" s="417">
        <f t="shared" si="145"/>
        <v>0</v>
      </c>
      <c r="BT86" s="417">
        <f t="shared" si="145"/>
        <v>0</v>
      </c>
      <c r="BU86" s="417">
        <f>R86+AX86</f>
        <v>0</v>
      </c>
      <c r="BV86" s="418">
        <f>S86+BK86</f>
        <v>0</v>
      </c>
      <c r="BW86" s="418">
        <f t="shared" si="146"/>
        <v>0</v>
      </c>
      <c r="BX86" s="420">
        <f t="shared" si="146"/>
        <v>0</v>
      </c>
      <c r="BY86" s="419"/>
      <c r="BZ86" s="414"/>
      <c r="CA86" s="414"/>
      <c r="CB86" s="414"/>
      <c r="CC86" s="414"/>
      <c r="CD86" s="422"/>
      <c r="CE86" s="419">
        <v>0</v>
      </c>
      <c r="CF86" s="414">
        <v>0</v>
      </c>
      <c r="CG86" s="414">
        <v>0</v>
      </c>
      <c r="CH86" s="414">
        <v>0</v>
      </c>
      <c r="CI86" s="414">
        <v>0</v>
      </c>
      <c r="CJ86" s="509">
        <v>0</v>
      </c>
    </row>
    <row r="87" spans="1:88" s="96" customFormat="1" ht="14.1" customHeight="1">
      <c r="A87" s="118">
        <v>12</v>
      </c>
      <c r="B87" s="77">
        <v>2467</v>
      </c>
      <c r="C87" s="93">
        <v>600079708</v>
      </c>
      <c r="D87" s="77">
        <v>71012303</v>
      </c>
      <c r="E87" s="545" t="s">
        <v>726</v>
      </c>
      <c r="F87" s="94">
        <v>3141</v>
      </c>
      <c r="G87" s="77" t="s">
        <v>294</v>
      </c>
      <c r="H87" s="95" t="s">
        <v>272</v>
      </c>
      <c r="I87" s="596">
        <v>355159</v>
      </c>
      <c r="J87" s="595">
        <v>262699</v>
      </c>
      <c r="K87" s="595">
        <v>0</v>
      </c>
      <c r="L87" s="601">
        <v>262699</v>
      </c>
      <c r="M87" s="595">
        <v>0</v>
      </c>
      <c r="N87" s="595">
        <v>0</v>
      </c>
      <c r="O87" s="595">
        <v>0</v>
      </c>
      <c r="P87" s="595">
        <v>88793</v>
      </c>
      <c r="Q87" s="595">
        <v>2627</v>
      </c>
      <c r="R87" s="595">
        <v>1040</v>
      </c>
      <c r="S87" s="416">
        <v>0.78669999999999995</v>
      </c>
      <c r="T87" s="416">
        <v>0</v>
      </c>
      <c r="U87" s="748">
        <v>0.78669999999999995</v>
      </c>
      <c r="V87" s="423">
        <f t="shared" si="114"/>
        <v>0</v>
      </c>
      <c r="W87" s="417">
        <f t="shared" si="115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16"/>
        <v>0</v>
      </c>
      <c r="AF87" s="417">
        <f t="shared" si="117"/>
        <v>0</v>
      </c>
      <c r="AG87" s="417">
        <f t="shared" si="118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19"/>
        <v>0</v>
      </c>
      <c r="AN87" s="417">
        <f t="shared" si="120"/>
        <v>0</v>
      </c>
      <c r="AO87" s="417">
        <f t="shared" si="121"/>
        <v>0</v>
      </c>
      <c r="AP87" s="417">
        <f t="shared" si="122"/>
        <v>0</v>
      </c>
      <c r="AQ87" s="417">
        <f t="shared" si="123"/>
        <v>0</v>
      </c>
      <c r="AR87" s="417">
        <f t="shared" si="124"/>
        <v>0</v>
      </c>
      <c r="AS87" s="68">
        <f t="shared" si="125"/>
        <v>0</v>
      </c>
      <c r="AT87" s="68">
        <f t="shared" si="126"/>
        <v>0</v>
      </c>
      <c r="AU87" s="417">
        <v>0</v>
      </c>
      <c r="AV87" s="417">
        <v>0</v>
      </c>
      <c r="AW87" s="417">
        <v>0</v>
      </c>
      <c r="AX87" s="417">
        <f t="shared" si="127"/>
        <v>0</v>
      </c>
      <c r="AY87" s="417">
        <f t="shared" si="128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29"/>
        <v>0</v>
      </c>
      <c r="BJ87" s="418">
        <f t="shared" si="130"/>
        <v>0</v>
      </c>
      <c r="BK87" s="420">
        <f t="shared" si="131"/>
        <v>0</v>
      </c>
      <c r="BL87" s="772">
        <f>I87+AY87</f>
        <v>355159</v>
      </c>
      <c r="BM87" s="417">
        <f>J87+AG87</f>
        <v>262699</v>
      </c>
      <c r="BN87" s="417">
        <f t="shared" si="143"/>
        <v>0</v>
      </c>
      <c r="BO87" s="417">
        <f t="shared" si="143"/>
        <v>262699</v>
      </c>
      <c r="BP87" s="417">
        <f>M87+AO87</f>
        <v>0</v>
      </c>
      <c r="BQ87" s="417">
        <f t="shared" si="144"/>
        <v>0</v>
      </c>
      <c r="BR87" s="417">
        <f t="shared" si="144"/>
        <v>0</v>
      </c>
      <c r="BS87" s="417">
        <f t="shared" si="145"/>
        <v>88793</v>
      </c>
      <c r="BT87" s="417">
        <f t="shared" si="145"/>
        <v>2627</v>
      </c>
      <c r="BU87" s="417">
        <f>R87+AX87</f>
        <v>1040</v>
      </c>
      <c r="BV87" s="418">
        <f>S87+BK87</f>
        <v>0.78669999999999995</v>
      </c>
      <c r="BW87" s="418">
        <f t="shared" si="146"/>
        <v>0</v>
      </c>
      <c r="BX87" s="420">
        <f t="shared" si="146"/>
        <v>0.78669999999999995</v>
      </c>
      <c r="BY87" s="419"/>
      <c r="BZ87" s="414"/>
      <c r="CA87" s="414"/>
      <c r="CB87" s="414"/>
      <c r="CC87" s="414"/>
      <c r="CD87" s="422"/>
      <c r="CE87" s="419">
        <v>0</v>
      </c>
      <c r="CF87" s="414">
        <v>0</v>
      </c>
      <c r="CG87" s="414">
        <v>0</v>
      </c>
      <c r="CH87" s="414">
        <v>0</v>
      </c>
      <c r="CI87" s="414">
        <v>0</v>
      </c>
      <c r="CJ87" s="509">
        <v>0</v>
      </c>
    </row>
    <row r="88" spans="1:88" s="96" customFormat="1" ht="14.1" customHeight="1">
      <c r="A88" s="119">
        <v>12</v>
      </c>
      <c r="B88" s="97">
        <v>2467</v>
      </c>
      <c r="C88" s="98">
        <v>600079708</v>
      </c>
      <c r="D88" s="97">
        <v>71012303</v>
      </c>
      <c r="E88" s="97" t="s">
        <v>727</v>
      </c>
      <c r="F88" s="106"/>
      <c r="G88" s="100"/>
      <c r="H88" s="101"/>
      <c r="I88" s="437">
        <v>2216698</v>
      </c>
      <c r="J88" s="433">
        <v>1617877</v>
      </c>
      <c r="K88" s="433">
        <v>1191905</v>
      </c>
      <c r="L88" s="433">
        <v>425972</v>
      </c>
      <c r="M88" s="433">
        <v>20000</v>
      </c>
      <c r="N88" s="433">
        <v>20000</v>
      </c>
      <c r="O88" s="433">
        <v>0</v>
      </c>
      <c r="P88" s="433">
        <v>553603</v>
      </c>
      <c r="Q88" s="433">
        <v>16178</v>
      </c>
      <c r="R88" s="433">
        <v>9040</v>
      </c>
      <c r="S88" s="434">
        <v>3.4064000000000005</v>
      </c>
      <c r="T88" s="434">
        <v>2.0700000000000003</v>
      </c>
      <c r="U88" s="695">
        <v>1.3363999999999998</v>
      </c>
      <c r="V88" s="437">
        <f t="shared" ref="V88:BX88" si="147">SUM(V85:V87)</f>
        <v>0</v>
      </c>
      <c r="W88" s="433">
        <f t="shared" si="147"/>
        <v>0</v>
      </c>
      <c r="X88" s="433">
        <f t="shared" si="147"/>
        <v>0</v>
      </c>
      <c r="Y88" s="433">
        <f t="shared" si="147"/>
        <v>0</v>
      </c>
      <c r="Z88" s="433">
        <f t="shared" si="147"/>
        <v>0</v>
      </c>
      <c r="AA88" s="433">
        <f t="shared" si="147"/>
        <v>0</v>
      </c>
      <c r="AB88" s="433">
        <f t="shared" si="147"/>
        <v>0</v>
      </c>
      <c r="AC88" s="433">
        <f t="shared" si="147"/>
        <v>0</v>
      </c>
      <c r="AD88" s="433">
        <f t="shared" si="147"/>
        <v>0</v>
      </c>
      <c r="AE88" s="433">
        <f t="shared" si="147"/>
        <v>0</v>
      </c>
      <c r="AF88" s="433">
        <f t="shared" si="147"/>
        <v>0</v>
      </c>
      <c r="AG88" s="433">
        <f t="shared" si="147"/>
        <v>0</v>
      </c>
      <c r="AH88" s="433">
        <f t="shared" si="147"/>
        <v>0</v>
      </c>
      <c r="AI88" s="433">
        <f t="shared" si="147"/>
        <v>0</v>
      </c>
      <c r="AJ88" s="433">
        <f t="shared" si="147"/>
        <v>0</v>
      </c>
      <c r="AK88" s="433">
        <f t="shared" si="147"/>
        <v>0</v>
      </c>
      <c r="AL88" s="433">
        <f t="shared" si="147"/>
        <v>0</v>
      </c>
      <c r="AM88" s="433">
        <f t="shared" si="147"/>
        <v>0</v>
      </c>
      <c r="AN88" s="433">
        <f t="shared" si="147"/>
        <v>0</v>
      </c>
      <c r="AO88" s="433">
        <f t="shared" si="147"/>
        <v>0</v>
      </c>
      <c r="AP88" s="433">
        <f t="shared" si="147"/>
        <v>0</v>
      </c>
      <c r="AQ88" s="433">
        <f t="shared" si="147"/>
        <v>0</v>
      </c>
      <c r="AR88" s="433">
        <f t="shared" si="147"/>
        <v>0</v>
      </c>
      <c r="AS88" s="433">
        <f t="shared" si="147"/>
        <v>0</v>
      </c>
      <c r="AT88" s="433">
        <f t="shared" si="147"/>
        <v>0</v>
      </c>
      <c r="AU88" s="433">
        <f t="shared" si="147"/>
        <v>0</v>
      </c>
      <c r="AV88" s="433">
        <f t="shared" si="147"/>
        <v>0</v>
      </c>
      <c r="AW88" s="433">
        <f t="shared" si="147"/>
        <v>0</v>
      </c>
      <c r="AX88" s="433">
        <f t="shared" si="147"/>
        <v>0</v>
      </c>
      <c r="AY88" s="433">
        <f t="shared" si="147"/>
        <v>0</v>
      </c>
      <c r="AZ88" s="434">
        <f t="shared" si="147"/>
        <v>0</v>
      </c>
      <c r="BA88" s="434">
        <f t="shared" si="147"/>
        <v>0</v>
      </c>
      <c r="BB88" s="434">
        <f t="shared" si="147"/>
        <v>0</v>
      </c>
      <c r="BC88" s="434">
        <f t="shared" si="147"/>
        <v>0</v>
      </c>
      <c r="BD88" s="434">
        <f t="shared" si="147"/>
        <v>0</v>
      </c>
      <c r="BE88" s="434">
        <f t="shared" si="147"/>
        <v>0</v>
      </c>
      <c r="BF88" s="434">
        <f t="shared" si="147"/>
        <v>0</v>
      </c>
      <c r="BG88" s="434">
        <f t="shared" si="147"/>
        <v>0</v>
      </c>
      <c r="BH88" s="434">
        <f t="shared" si="147"/>
        <v>0</v>
      </c>
      <c r="BI88" s="434">
        <f t="shared" si="147"/>
        <v>0</v>
      </c>
      <c r="BJ88" s="434">
        <f t="shared" si="147"/>
        <v>0</v>
      </c>
      <c r="BK88" s="103">
        <f t="shared" si="147"/>
        <v>0</v>
      </c>
      <c r="BL88" s="785">
        <f t="shared" si="147"/>
        <v>2216698</v>
      </c>
      <c r="BM88" s="433">
        <f t="shared" si="147"/>
        <v>1617877</v>
      </c>
      <c r="BN88" s="433">
        <f t="shared" si="147"/>
        <v>1191905</v>
      </c>
      <c r="BO88" s="433">
        <f t="shared" si="147"/>
        <v>425972</v>
      </c>
      <c r="BP88" s="433">
        <f t="shared" si="147"/>
        <v>20000</v>
      </c>
      <c r="BQ88" s="433">
        <f t="shared" si="147"/>
        <v>20000</v>
      </c>
      <c r="BR88" s="433">
        <f t="shared" si="147"/>
        <v>0</v>
      </c>
      <c r="BS88" s="433">
        <f t="shared" si="147"/>
        <v>553603</v>
      </c>
      <c r="BT88" s="433">
        <f t="shared" si="147"/>
        <v>16178</v>
      </c>
      <c r="BU88" s="433">
        <f t="shared" si="147"/>
        <v>9040</v>
      </c>
      <c r="BV88" s="434">
        <f t="shared" si="147"/>
        <v>3.4064000000000005</v>
      </c>
      <c r="BW88" s="434">
        <f t="shared" si="147"/>
        <v>2.0700000000000003</v>
      </c>
      <c r="BX88" s="103">
        <f t="shared" si="147"/>
        <v>1.3363999999999998</v>
      </c>
      <c r="BY88" s="795">
        <f t="shared" ref="BY88:CJ88" si="148">SUM(BY85:BY87)</f>
        <v>0</v>
      </c>
      <c r="BZ88" s="698">
        <f t="shared" si="148"/>
        <v>0</v>
      </c>
      <c r="CA88" s="698">
        <f t="shared" si="148"/>
        <v>0</v>
      </c>
      <c r="CB88" s="698">
        <f t="shared" si="148"/>
        <v>0</v>
      </c>
      <c r="CC88" s="698">
        <f t="shared" si="148"/>
        <v>0</v>
      </c>
      <c r="CD88" s="961">
        <f t="shared" si="148"/>
        <v>0</v>
      </c>
      <c r="CE88" s="887">
        <f t="shared" si="148"/>
        <v>73290</v>
      </c>
      <c r="CF88" s="888">
        <f t="shared" si="148"/>
        <v>52396</v>
      </c>
      <c r="CG88" s="888">
        <f t="shared" si="148"/>
        <v>17710</v>
      </c>
      <c r="CH88" s="888">
        <f t="shared" si="148"/>
        <v>524</v>
      </c>
      <c r="CI88" s="888">
        <f t="shared" si="148"/>
        <v>2660</v>
      </c>
      <c r="CJ88" s="889">
        <f t="shared" si="148"/>
        <v>0.1764</v>
      </c>
    </row>
    <row r="89" spans="1:88" s="96" customFormat="1" ht="14.1" customHeight="1">
      <c r="A89" s="118">
        <v>13</v>
      </c>
      <c r="B89" s="102">
        <v>2408</v>
      </c>
      <c r="C89" s="93">
        <v>600079058</v>
      </c>
      <c r="D89" s="77">
        <v>72741511</v>
      </c>
      <c r="E89" s="77" t="s">
        <v>728</v>
      </c>
      <c r="F89" s="94">
        <v>3111</v>
      </c>
      <c r="G89" s="77" t="s">
        <v>290</v>
      </c>
      <c r="H89" s="95" t="s">
        <v>271</v>
      </c>
      <c r="I89" s="596">
        <v>2092587</v>
      </c>
      <c r="J89" s="595">
        <v>1547023</v>
      </c>
      <c r="K89" s="595">
        <v>1383750</v>
      </c>
      <c r="L89" s="595">
        <v>163273</v>
      </c>
      <c r="M89" s="595">
        <v>0</v>
      </c>
      <c r="N89" s="595">
        <v>0</v>
      </c>
      <c r="O89" s="595">
        <v>0</v>
      </c>
      <c r="P89" s="595">
        <v>522894</v>
      </c>
      <c r="Q89" s="595">
        <v>15470</v>
      </c>
      <c r="R89" s="595">
        <v>7200</v>
      </c>
      <c r="S89" s="416">
        <v>2.9207000000000001</v>
      </c>
      <c r="T89" s="416">
        <v>2.371</v>
      </c>
      <c r="U89" s="748">
        <v>0.54969999999999997</v>
      </c>
      <c r="V89" s="423">
        <f t="shared" si="114"/>
        <v>0</v>
      </c>
      <c r="W89" s="417">
        <f t="shared" si="115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16"/>
        <v>0</v>
      </c>
      <c r="AF89" s="417">
        <f t="shared" si="117"/>
        <v>0</v>
      </c>
      <c r="AG89" s="417">
        <f t="shared" si="118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19"/>
        <v>0</v>
      </c>
      <c r="AN89" s="417">
        <f t="shared" si="120"/>
        <v>0</v>
      </c>
      <c r="AO89" s="417">
        <f t="shared" si="121"/>
        <v>0</v>
      </c>
      <c r="AP89" s="417">
        <f t="shared" si="122"/>
        <v>0</v>
      </c>
      <c r="AQ89" s="417">
        <f t="shared" si="123"/>
        <v>0</v>
      </c>
      <c r="AR89" s="417">
        <f t="shared" si="124"/>
        <v>0</v>
      </c>
      <c r="AS89" s="68">
        <f t="shared" si="125"/>
        <v>0</v>
      </c>
      <c r="AT89" s="68">
        <f t="shared" si="126"/>
        <v>0</v>
      </c>
      <c r="AU89" s="417">
        <v>0</v>
      </c>
      <c r="AV89" s="417">
        <v>0</v>
      </c>
      <c r="AW89" s="417">
        <v>0</v>
      </c>
      <c r="AX89" s="417">
        <f t="shared" si="127"/>
        <v>0</v>
      </c>
      <c r="AY89" s="417">
        <f t="shared" si="128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29"/>
        <v>0</v>
      </c>
      <c r="BJ89" s="418">
        <f t="shared" si="130"/>
        <v>0</v>
      </c>
      <c r="BK89" s="420">
        <f t="shared" si="131"/>
        <v>0</v>
      </c>
      <c r="BL89" s="772">
        <f>I89+AY89</f>
        <v>2092587</v>
      </c>
      <c r="BM89" s="417">
        <f>J89+AG89</f>
        <v>1547023</v>
      </c>
      <c r="BN89" s="417">
        <f t="shared" ref="BN89:BO91" si="149">K89+AE89</f>
        <v>1383750</v>
      </c>
      <c r="BO89" s="417">
        <f t="shared" si="149"/>
        <v>163273</v>
      </c>
      <c r="BP89" s="417">
        <f>M89+AO89</f>
        <v>0</v>
      </c>
      <c r="BQ89" s="417">
        <f t="shared" ref="BQ89:BR91" si="150">N89+AM89</f>
        <v>0</v>
      </c>
      <c r="BR89" s="417">
        <f t="shared" si="150"/>
        <v>0</v>
      </c>
      <c r="BS89" s="417">
        <f t="shared" ref="BS89:BT91" si="151">P89+AS89</f>
        <v>522894</v>
      </c>
      <c r="BT89" s="417">
        <f t="shared" si="151"/>
        <v>15470</v>
      </c>
      <c r="BU89" s="417">
        <f>R89+AX89</f>
        <v>7200</v>
      </c>
      <c r="BV89" s="418">
        <f>S89+BK89</f>
        <v>2.9207000000000001</v>
      </c>
      <c r="BW89" s="418">
        <f t="shared" ref="BW89:BX91" si="152">T89+BI89</f>
        <v>2.371</v>
      </c>
      <c r="BX89" s="420">
        <f t="shared" si="152"/>
        <v>0.54969999999999997</v>
      </c>
      <c r="BY89" s="419"/>
      <c r="BZ89" s="414"/>
      <c r="CA89" s="414"/>
      <c r="CB89" s="414"/>
      <c r="CC89" s="414"/>
      <c r="CD89" s="422"/>
      <c r="CE89" s="419">
        <v>73024</v>
      </c>
      <c r="CF89" s="414">
        <v>52396</v>
      </c>
      <c r="CG89" s="414">
        <v>17710</v>
      </c>
      <c r="CH89" s="414">
        <v>524</v>
      </c>
      <c r="CI89" s="414">
        <v>2394</v>
      </c>
      <c r="CJ89" s="509">
        <v>0.1764</v>
      </c>
    </row>
    <row r="90" spans="1:88" s="96" customFormat="1" ht="14.1" customHeight="1">
      <c r="A90" s="118">
        <v>13</v>
      </c>
      <c r="B90" s="77">
        <v>2408</v>
      </c>
      <c r="C90" s="93">
        <v>600079058</v>
      </c>
      <c r="D90" s="77">
        <v>72741511</v>
      </c>
      <c r="E90" s="77" t="s">
        <v>728</v>
      </c>
      <c r="F90" s="94">
        <v>3111</v>
      </c>
      <c r="G90" s="77" t="s">
        <v>291</v>
      </c>
      <c r="H90" s="95" t="s">
        <v>272</v>
      </c>
      <c r="I90" s="596">
        <v>337320</v>
      </c>
      <c r="J90" s="595">
        <v>249310</v>
      </c>
      <c r="K90" s="595">
        <v>249310</v>
      </c>
      <c r="L90" s="595">
        <v>0</v>
      </c>
      <c r="M90" s="595">
        <v>0</v>
      </c>
      <c r="N90" s="595">
        <v>0</v>
      </c>
      <c r="O90" s="595">
        <v>0</v>
      </c>
      <c r="P90" s="595">
        <v>84267</v>
      </c>
      <c r="Q90" s="595">
        <v>2493</v>
      </c>
      <c r="R90" s="595">
        <v>1250</v>
      </c>
      <c r="S90" s="416">
        <v>0.65</v>
      </c>
      <c r="T90" s="416">
        <v>0.65</v>
      </c>
      <c r="U90" s="748">
        <v>0</v>
      </c>
      <c r="V90" s="423">
        <f t="shared" si="114"/>
        <v>0</v>
      </c>
      <c r="W90" s="417">
        <f t="shared" si="115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16"/>
        <v>0</v>
      </c>
      <c r="AF90" s="417">
        <f t="shared" si="117"/>
        <v>0</v>
      </c>
      <c r="AG90" s="417">
        <f t="shared" si="118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19"/>
        <v>0</v>
      </c>
      <c r="AN90" s="417">
        <f t="shared" si="120"/>
        <v>0</v>
      </c>
      <c r="AO90" s="417">
        <f t="shared" si="121"/>
        <v>0</v>
      </c>
      <c r="AP90" s="417">
        <f t="shared" si="122"/>
        <v>0</v>
      </c>
      <c r="AQ90" s="417">
        <f t="shared" si="123"/>
        <v>0</v>
      </c>
      <c r="AR90" s="417">
        <f t="shared" si="124"/>
        <v>0</v>
      </c>
      <c r="AS90" s="68">
        <f t="shared" si="125"/>
        <v>0</v>
      </c>
      <c r="AT90" s="68">
        <f t="shared" si="126"/>
        <v>0</v>
      </c>
      <c r="AU90" s="417">
        <v>0</v>
      </c>
      <c r="AV90" s="417">
        <v>0</v>
      </c>
      <c r="AW90" s="417">
        <v>0</v>
      </c>
      <c r="AX90" s="417">
        <f t="shared" si="127"/>
        <v>0</v>
      </c>
      <c r="AY90" s="417">
        <f t="shared" si="128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29"/>
        <v>0</v>
      </c>
      <c r="BJ90" s="418">
        <f t="shared" si="130"/>
        <v>0</v>
      </c>
      <c r="BK90" s="420">
        <f t="shared" si="131"/>
        <v>0</v>
      </c>
      <c r="BL90" s="772">
        <f>I90+AY90</f>
        <v>337320</v>
      </c>
      <c r="BM90" s="417">
        <f>J90+AG90</f>
        <v>249310</v>
      </c>
      <c r="BN90" s="417">
        <f t="shared" si="149"/>
        <v>249310</v>
      </c>
      <c r="BO90" s="417">
        <f t="shared" si="149"/>
        <v>0</v>
      </c>
      <c r="BP90" s="417">
        <f>M90+AO90</f>
        <v>0</v>
      </c>
      <c r="BQ90" s="417">
        <f t="shared" si="150"/>
        <v>0</v>
      </c>
      <c r="BR90" s="417">
        <f t="shared" si="150"/>
        <v>0</v>
      </c>
      <c r="BS90" s="417">
        <f t="shared" si="151"/>
        <v>84267</v>
      </c>
      <c r="BT90" s="417">
        <f t="shared" si="151"/>
        <v>2493</v>
      </c>
      <c r="BU90" s="417">
        <f>R90+AX90</f>
        <v>1250</v>
      </c>
      <c r="BV90" s="418">
        <f>S90+BK90</f>
        <v>0.65</v>
      </c>
      <c r="BW90" s="418">
        <f t="shared" si="152"/>
        <v>0.65</v>
      </c>
      <c r="BX90" s="420">
        <f t="shared" si="152"/>
        <v>0</v>
      </c>
      <c r="BY90" s="419"/>
      <c r="BZ90" s="414"/>
      <c r="CA90" s="414"/>
      <c r="CB90" s="414"/>
      <c r="CC90" s="414"/>
      <c r="CD90" s="422"/>
      <c r="CE90" s="419">
        <v>0</v>
      </c>
      <c r="CF90" s="414">
        <v>0</v>
      </c>
      <c r="CG90" s="414">
        <v>0</v>
      </c>
      <c r="CH90" s="414">
        <v>0</v>
      </c>
      <c r="CI90" s="414">
        <v>0</v>
      </c>
      <c r="CJ90" s="509">
        <v>0</v>
      </c>
    </row>
    <row r="91" spans="1:88" s="96" customFormat="1" ht="14.1" customHeight="1">
      <c r="A91" s="118">
        <v>13</v>
      </c>
      <c r="B91" s="77">
        <v>2408</v>
      </c>
      <c r="C91" s="93">
        <v>600079058</v>
      </c>
      <c r="D91" s="77">
        <v>72741511</v>
      </c>
      <c r="E91" s="77" t="s">
        <v>728</v>
      </c>
      <c r="F91" s="94">
        <v>3141</v>
      </c>
      <c r="G91" s="77" t="s">
        <v>294</v>
      </c>
      <c r="H91" s="95" t="s">
        <v>272</v>
      </c>
      <c r="I91" s="596">
        <v>510160</v>
      </c>
      <c r="J91" s="595">
        <v>377184</v>
      </c>
      <c r="K91" s="595">
        <v>0</v>
      </c>
      <c r="L91" s="601">
        <v>377184</v>
      </c>
      <c r="M91" s="595">
        <v>0</v>
      </c>
      <c r="N91" s="595">
        <v>0</v>
      </c>
      <c r="O91" s="595">
        <v>0</v>
      </c>
      <c r="P91" s="595">
        <v>127488</v>
      </c>
      <c r="Q91" s="595">
        <v>3772</v>
      </c>
      <c r="R91" s="595">
        <v>1716</v>
      </c>
      <c r="S91" s="416">
        <v>1.1333</v>
      </c>
      <c r="T91" s="416">
        <v>0</v>
      </c>
      <c r="U91" s="748">
        <v>1.1333</v>
      </c>
      <c r="V91" s="423">
        <f t="shared" si="114"/>
        <v>0</v>
      </c>
      <c r="W91" s="417">
        <f t="shared" si="115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16"/>
        <v>0</v>
      </c>
      <c r="AF91" s="417">
        <f t="shared" si="117"/>
        <v>0</v>
      </c>
      <c r="AG91" s="417">
        <f t="shared" si="118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9"/>
        <v>0</v>
      </c>
      <c r="AN91" s="417">
        <f t="shared" si="120"/>
        <v>0</v>
      </c>
      <c r="AO91" s="417">
        <f t="shared" si="121"/>
        <v>0</v>
      </c>
      <c r="AP91" s="417">
        <f t="shared" si="122"/>
        <v>0</v>
      </c>
      <c r="AQ91" s="417">
        <f t="shared" si="123"/>
        <v>0</v>
      </c>
      <c r="AR91" s="417">
        <f t="shared" si="124"/>
        <v>0</v>
      </c>
      <c r="AS91" s="68">
        <f t="shared" si="125"/>
        <v>0</v>
      </c>
      <c r="AT91" s="68">
        <f t="shared" si="126"/>
        <v>0</v>
      </c>
      <c r="AU91" s="417">
        <v>0</v>
      </c>
      <c r="AV91" s="417">
        <v>0</v>
      </c>
      <c r="AW91" s="417">
        <v>0</v>
      </c>
      <c r="AX91" s="417">
        <f t="shared" si="127"/>
        <v>0</v>
      </c>
      <c r="AY91" s="417">
        <f t="shared" si="128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29"/>
        <v>0</v>
      </c>
      <c r="BJ91" s="418">
        <f t="shared" si="130"/>
        <v>0</v>
      </c>
      <c r="BK91" s="420">
        <f t="shared" si="131"/>
        <v>0</v>
      </c>
      <c r="BL91" s="772">
        <f>I91+AY91</f>
        <v>510160</v>
      </c>
      <c r="BM91" s="417">
        <f>J91+AG91</f>
        <v>377184</v>
      </c>
      <c r="BN91" s="417">
        <f t="shared" si="149"/>
        <v>0</v>
      </c>
      <c r="BO91" s="417">
        <f t="shared" si="149"/>
        <v>377184</v>
      </c>
      <c r="BP91" s="417">
        <f>M91+AO91</f>
        <v>0</v>
      </c>
      <c r="BQ91" s="417">
        <f t="shared" si="150"/>
        <v>0</v>
      </c>
      <c r="BR91" s="417">
        <f t="shared" si="150"/>
        <v>0</v>
      </c>
      <c r="BS91" s="417">
        <f t="shared" si="151"/>
        <v>127488</v>
      </c>
      <c r="BT91" s="417">
        <f t="shared" si="151"/>
        <v>3772</v>
      </c>
      <c r="BU91" s="417">
        <f>R91+AX91</f>
        <v>1716</v>
      </c>
      <c r="BV91" s="418">
        <f>S91+BK91</f>
        <v>1.1333</v>
      </c>
      <c r="BW91" s="418">
        <f t="shared" si="152"/>
        <v>0</v>
      </c>
      <c r="BX91" s="420">
        <f t="shared" si="152"/>
        <v>1.1333</v>
      </c>
      <c r="BY91" s="419"/>
      <c r="BZ91" s="414"/>
      <c r="CA91" s="414"/>
      <c r="CB91" s="414"/>
      <c r="CC91" s="414"/>
      <c r="CD91" s="422"/>
      <c r="CE91" s="419">
        <v>0</v>
      </c>
      <c r="CF91" s="414">
        <v>0</v>
      </c>
      <c r="CG91" s="414">
        <v>0</v>
      </c>
      <c r="CH91" s="414">
        <v>0</v>
      </c>
      <c r="CI91" s="414">
        <v>0</v>
      </c>
      <c r="CJ91" s="509">
        <v>0</v>
      </c>
    </row>
    <row r="92" spans="1:88" s="96" customFormat="1" ht="14.1" customHeight="1">
      <c r="A92" s="119">
        <v>13</v>
      </c>
      <c r="B92" s="97">
        <v>2408</v>
      </c>
      <c r="C92" s="98">
        <v>600079058</v>
      </c>
      <c r="D92" s="97">
        <v>72741511</v>
      </c>
      <c r="E92" s="97" t="s">
        <v>729</v>
      </c>
      <c r="F92" s="99"/>
      <c r="G92" s="100"/>
      <c r="H92" s="101"/>
      <c r="I92" s="437">
        <v>2940067</v>
      </c>
      <c r="J92" s="433">
        <v>2173517</v>
      </c>
      <c r="K92" s="433">
        <v>1633060</v>
      </c>
      <c r="L92" s="433">
        <v>540457</v>
      </c>
      <c r="M92" s="433">
        <v>0</v>
      </c>
      <c r="N92" s="433">
        <v>0</v>
      </c>
      <c r="O92" s="433">
        <v>0</v>
      </c>
      <c r="P92" s="433">
        <v>734649</v>
      </c>
      <c r="Q92" s="433">
        <v>21735</v>
      </c>
      <c r="R92" s="433">
        <v>10166</v>
      </c>
      <c r="S92" s="434">
        <v>4.7039999999999997</v>
      </c>
      <c r="T92" s="434">
        <v>3.0209999999999999</v>
      </c>
      <c r="U92" s="695">
        <v>1.6829999999999998</v>
      </c>
      <c r="V92" s="437">
        <f t="shared" ref="V92:CG92" si="153">SUM(V89:V91)</f>
        <v>0</v>
      </c>
      <c r="W92" s="433">
        <f t="shared" si="153"/>
        <v>0</v>
      </c>
      <c r="X92" s="433">
        <f t="shared" si="153"/>
        <v>0</v>
      </c>
      <c r="Y92" s="433">
        <f t="shared" si="153"/>
        <v>0</v>
      </c>
      <c r="Z92" s="433">
        <f t="shared" si="153"/>
        <v>0</v>
      </c>
      <c r="AA92" s="433">
        <f t="shared" si="153"/>
        <v>0</v>
      </c>
      <c r="AB92" s="433">
        <f t="shared" si="153"/>
        <v>0</v>
      </c>
      <c r="AC92" s="433">
        <f t="shared" si="153"/>
        <v>0</v>
      </c>
      <c r="AD92" s="433">
        <f t="shared" si="153"/>
        <v>0</v>
      </c>
      <c r="AE92" s="433">
        <f t="shared" si="153"/>
        <v>0</v>
      </c>
      <c r="AF92" s="433">
        <f t="shared" si="153"/>
        <v>0</v>
      </c>
      <c r="AG92" s="433">
        <f t="shared" si="153"/>
        <v>0</v>
      </c>
      <c r="AH92" s="433">
        <f t="shared" si="153"/>
        <v>0</v>
      </c>
      <c r="AI92" s="433">
        <f t="shared" si="153"/>
        <v>0</v>
      </c>
      <c r="AJ92" s="433">
        <f t="shared" si="153"/>
        <v>0</v>
      </c>
      <c r="AK92" s="433">
        <f t="shared" si="153"/>
        <v>0</v>
      </c>
      <c r="AL92" s="433">
        <f t="shared" si="153"/>
        <v>0</v>
      </c>
      <c r="AM92" s="433">
        <f t="shared" si="153"/>
        <v>0</v>
      </c>
      <c r="AN92" s="433">
        <f t="shared" si="153"/>
        <v>0</v>
      </c>
      <c r="AO92" s="433">
        <f t="shared" si="153"/>
        <v>0</v>
      </c>
      <c r="AP92" s="433">
        <f t="shared" si="153"/>
        <v>0</v>
      </c>
      <c r="AQ92" s="433">
        <f t="shared" si="153"/>
        <v>0</v>
      </c>
      <c r="AR92" s="433">
        <f t="shared" si="153"/>
        <v>0</v>
      </c>
      <c r="AS92" s="433">
        <f t="shared" si="153"/>
        <v>0</v>
      </c>
      <c r="AT92" s="433">
        <f t="shared" si="153"/>
        <v>0</v>
      </c>
      <c r="AU92" s="433">
        <f t="shared" si="153"/>
        <v>0</v>
      </c>
      <c r="AV92" s="433">
        <f t="shared" si="153"/>
        <v>0</v>
      </c>
      <c r="AW92" s="433">
        <f t="shared" si="153"/>
        <v>0</v>
      </c>
      <c r="AX92" s="433">
        <f t="shared" si="153"/>
        <v>0</v>
      </c>
      <c r="AY92" s="433">
        <f t="shared" si="153"/>
        <v>0</v>
      </c>
      <c r="AZ92" s="434">
        <f t="shared" si="153"/>
        <v>0</v>
      </c>
      <c r="BA92" s="434">
        <f t="shared" si="153"/>
        <v>0</v>
      </c>
      <c r="BB92" s="434">
        <f t="shared" si="153"/>
        <v>0</v>
      </c>
      <c r="BC92" s="434">
        <f t="shared" si="153"/>
        <v>0</v>
      </c>
      <c r="BD92" s="434">
        <f t="shared" si="153"/>
        <v>0</v>
      </c>
      <c r="BE92" s="434">
        <f t="shared" si="153"/>
        <v>0</v>
      </c>
      <c r="BF92" s="434">
        <f t="shared" si="153"/>
        <v>0</v>
      </c>
      <c r="BG92" s="434">
        <f t="shared" si="153"/>
        <v>0</v>
      </c>
      <c r="BH92" s="434">
        <f t="shared" si="153"/>
        <v>0</v>
      </c>
      <c r="BI92" s="434">
        <f t="shared" si="153"/>
        <v>0</v>
      </c>
      <c r="BJ92" s="434">
        <f t="shared" si="153"/>
        <v>0</v>
      </c>
      <c r="BK92" s="103">
        <f t="shared" si="153"/>
        <v>0</v>
      </c>
      <c r="BL92" s="785">
        <f t="shared" si="153"/>
        <v>2940067</v>
      </c>
      <c r="BM92" s="433">
        <f t="shared" si="153"/>
        <v>2173517</v>
      </c>
      <c r="BN92" s="433">
        <f t="shared" si="153"/>
        <v>1633060</v>
      </c>
      <c r="BO92" s="433">
        <f t="shared" si="153"/>
        <v>540457</v>
      </c>
      <c r="BP92" s="433">
        <f t="shared" si="153"/>
        <v>0</v>
      </c>
      <c r="BQ92" s="433">
        <f t="shared" si="153"/>
        <v>0</v>
      </c>
      <c r="BR92" s="433">
        <f t="shared" si="153"/>
        <v>0</v>
      </c>
      <c r="BS92" s="433">
        <f t="shared" si="153"/>
        <v>734649</v>
      </c>
      <c r="BT92" s="433">
        <f t="shared" si="153"/>
        <v>21735</v>
      </c>
      <c r="BU92" s="433">
        <f t="shared" si="153"/>
        <v>10166</v>
      </c>
      <c r="BV92" s="434">
        <f t="shared" si="153"/>
        <v>4.7039999999999997</v>
      </c>
      <c r="BW92" s="434">
        <f t="shared" si="153"/>
        <v>3.0209999999999999</v>
      </c>
      <c r="BX92" s="103">
        <f t="shared" si="153"/>
        <v>1.6829999999999998</v>
      </c>
      <c r="BY92" s="795">
        <f t="shared" si="153"/>
        <v>0</v>
      </c>
      <c r="BZ92" s="698">
        <f t="shared" si="153"/>
        <v>0</v>
      </c>
      <c r="CA92" s="698">
        <f t="shared" si="153"/>
        <v>0</v>
      </c>
      <c r="CB92" s="698">
        <f t="shared" si="153"/>
        <v>0</v>
      </c>
      <c r="CC92" s="698">
        <f t="shared" si="153"/>
        <v>0</v>
      </c>
      <c r="CD92" s="961">
        <f t="shared" si="153"/>
        <v>0</v>
      </c>
      <c r="CE92" s="887">
        <f t="shared" si="153"/>
        <v>73024</v>
      </c>
      <c r="CF92" s="888">
        <f t="shared" si="153"/>
        <v>52396</v>
      </c>
      <c r="CG92" s="888">
        <f t="shared" si="153"/>
        <v>17710</v>
      </c>
      <c r="CH92" s="888">
        <f t="shared" ref="CH92:CJ92" si="154">SUM(CH89:CH91)</f>
        <v>524</v>
      </c>
      <c r="CI92" s="888">
        <f t="shared" si="154"/>
        <v>2394</v>
      </c>
      <c r="CJ92" s="889">
        <f t="shared" si="154"/>
        <v>0.1764</v>
      </c>
    </row>
    <row r="93" spans="1:88" s="96" customFormat="1" ht="14.1" customHeight="1">
      <c r="A93" s="118">
        <v>14</v>
      </c>
      <c r="B93" s="77">
        <v>2304</v>
      </c>
      <c r="C93" s="93">
        <v>600080382</v>
      </c>
      <c r="D93" s="77">
        <v>72743417</v>
      </c>
      <c r="E93" s="77" t="s">
        <v>730</v>
      </c>
      <c r="F93" s="94">
        <v>3113</v>
      </c>
      <c r="G93" s="77" t="s">
        <v>293</v>
      </c>
      <c r="H93" s="95" t="s">
        <v>271</v>
      </c>
      <c r="I93" s="596">
        <v>4822082</v>
      </c>
      <c r="J93" s="595">
        <v>3537639</v>
      </c>
      <c r="K93" s="595">
        <v>3116449</v>
      </c>
      <c r="L93" s="595">
        <v>421190</v>
      </c>
      <c r="M93" s="595">
        <v>0</v>
      </c>
      <c r="N93" s="595">
        <v>0</v>
      </c>
      <c r="O93" s="595">
        <v>0</v>
      </c>
      <c r="P93" s="595">
        <v>1195721</v>
      </c>
      <c r="Q93" s="595">
        <v>35377</v>
      </c>
      <c r="R93" s="595">
        <v>53345</v>
      </c>
      <c r="S93" s="416">
        <v>6.0969999999999995</v>
      </c>
      <c r="T93" s="416">
        <v>4.9090999999999996</v>
      </c>
      <c r="U93" s="748">
        <v>1.1879</v>
      </c>
      <c r="V93" s="423">
        <f t="shared" si="114"/>
        <v>0</v>
      </c>
      <c r="W93" s="417">
        <f t="shared" si="115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16"/>
        <v>0</v>
      </c>
      <c r="AF93" s="417">
        <f t="shared" si="117"/>
        <v>0</v>
      </c>
      <c r="AG93" s="417">
        <f t="shared" si="118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19"/>
        <v>0</v>
      </c>
      <c r="AN93" s="417">
        <f t="shared" si="120"/>
        <v>0</v>
      </c>
      <c r="AO93" s="417">
        <f t="shared" si="121"/>
        <v>0</v>
      </c>
      <c r="AP93" s="417">
        <f t="shared" si="122"/>
        <v>0</v>
      </c>
      <c r="AQ93" s="417">
        <f t="shared" si="123"/>
        <v>0</v>
      </c>
      <c r="AR93" s="417">
        <f t="shared" si="124"/>
        <v>0</v>
      </c>
      <c r="AS93" s="68">
        <f t="shared" si="125"/>
        <v>0</v>
      </c>
      <c r="AT93" s="68">
        <f t="shared" si="126"/>
        <v>0</v>
      </c>
      <c r="AU93" s="417">
        <v>0</v>
      </c>
      <c r="AV93" s="417">
        <v>0</v>
      </c>
      <c r="AW93" s="417">
        <v>0</v>
      </c>
      <c r="AX93" s="417">
        <f t="shared" si="127"/>
        <v>0</v>
      </c>
      <c r="AY93" s="417">
        <f t="shared" si="128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29"/>
        <v>0</v>
      </c>
      <c r="BJ93" s="418">
        <f t="shared" si="130"/>
        <v>0</v>
      </c>
      <c r="BK93" s="420">
        <f t="shared" si="131"/>
        <v>0</v>
      </c>
      <c r="BL93" s="772">
        <f>I93+AY93</f>
        <v>4822082</v>
      </c>
      <c r="BM93" s="417">
        <f>J93+AG93</f>
        <v>3537639</v>
      </c>
      <c r="BN93" s="417">
        <f t="shared" ref="BN93:BO97" si="155">K93+AE93</f>
        <v>3116449</v>
      </c>
      <c r="BO93" s="417">
        <f t="shared" si="155"/>
        <v>421190</v>
      </c>
      <c r="BP93" s="417">
        <f>M93+AO93</f>
        <v>0</v>
      </c>
      <c r="BQ93" s="417">
        <f t="shared" ref="BQ93:BR97" si="156">N93+AM93</f>
        <v>0</v>
      </c>
      <c r="BR93" s="417">
        <f t="shared" si="156"/>
        <v>0</v>
      </c>
      <c r="BS93" s="417">
        <f t="shared" ref="BS93:BT97" si="157">P93+AS93</f>
        <v>1195721</v>
      </c>
      <c r="BT93" s="417">
        <f t="shared" si="157"/>
        <v>35377</v>
      </c>
      <c r="BU93" s="417">
        <f>R93+AX93</f>
        <v>53345</v>
      </c>
      <c r="BV93" s="418">
        <f>S93+BK93</f>
        <v>6.0969999999999995</v>
      </c>
      <c r="BW93" s="418">
        <f t="shared" ref="BW93:BX97" si="158">T93+BI93</f>
        <v>4.9090999999999996</v>
      </c>
      <c r="BX93" s="420">
        <f t="shared" si="158"/>
        <v>1.1879</v>
      </c>
      <c r="BY93" s="419"/>
      <c r="BZ93" s="414"/>
      <c r="CA93" s="414"/>
      <c r="CB93" s="414"/>
      <c r="CC93" s="414"/>
      <c r="CD93" s="422"/>
      <c r="CE93" s="419">
        <v>196483</v>
      </c>
      <c r="CF93" s="414">
        <v>135164</v>
      </c>
      <c r="CG93" s="414">
        <v>45685</v>
      </c>
      <c r="CH93" s="414">
        <v>1352</v>
      </c>
      <c r="CI93" s="414">
        <v>14282</v>
      </c>
      <c r="CJ93" s="509">
        <v>0.38119999999999998</v>
      </c>
    </row>
    <row r="94" spans="1:88" s="96" customFormat="1" ht="14.1" customHeight="1">
      <c r="A94" s="118">
        <v>14</v>
      </c>
      <c r="B94" s="77">
        <v>2304</v>
      </c>
      <c r="C94" s="93">
        <v>600080382</v>
      </c>
      <c r="D94" s="77">
        <v>72743417</v>
      </c>
      <c r="E94" s="77" t="s">
        <v>730</v>
      </c>
      <c r="F94" s="94">
        <v>3113</v>
      </c>
      <c r="G94" s="43" t="s">
        <v>292</v>
      </c>
      <c r="H94" s="95" t="s">
        <v>271</v>
      </c>
      <c r="I94" s="596">
        <v>925282</v>
      </c>
      <c r="J94" s="595">
        <v>686411</v>
      </c>
      <c r="K94" s="595">
        <v>686411</v>
      </c>
      <c r="L94" s="595">
        <v>0</v>
      </c>
      <c r="M94" s="595">
        <v>0</v>
      </c>
      <c r="N94" s="595">
        <v>0</v>
      </c>
      <c r="O94" s="595">
        <v>0</v>
      </c>
      <c r="P94" s="595">
        <v>232007</v>
      </c>
      <c r="Q94" s="595">
        <v>6864</v>
      </c>
      <c r="R94" s="595">
        <v>0</v>
      </c>
      <c r="S94" s="416">
        <v>1.7222</v>
      </c>
      <c r="T94" s="416">
        <v>1.7222</v>
      </c>
      <c r="U94" s="748">
        <v>0</v>
      </c>
      <c r="V94" s="423">
        <f t="shared" si="114"/>
        <v>0</v>
      </c>
      <c r="W94" s="417">
        <f t="shared" si="115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16"/>
        <v>0</v>
      </c>
      <c r="AF94" s="417">
        <f t="shared" si="117"/>
        <v>0</v>
      </c>
      <c r="AG94" s="417">
        <f t="shared" si="118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19"/>
        <v>0</v>
      </c>
      <c r="AN94" s="417">
        <f t="shared" si="120"/>
        <v>0</v>
      </c>
      <c r="AO94" s="417">
        <f t="shared" si="121"/>
        <v>0</v>
      </c>
      <c r="AP94" s="417">
        <f t="shared" si="122"/>
        <v>0</v>
      </c>
      <c r="AQ94" s="417">
        <f t="shared" si="123"/>
        <v>0</v>
      </c>
      <c r="AR94" s="417">
        <f t="shared" si="124"/>
        <v>0</v>
      </c>
      <c r="AS94" s="68">
        <f t="shared" si="125"/>
        <v>0</v>
      </c>
      <c r="AT94" s="68">
        <f t="shared" si="126"/>
        <v>0</v>
      </c>
      <c r="AU94" s="417">
        <v>0</v>
      </c>
      <c r="AV94" s="417">
        <v>0</v>
      </c>
      <c r="AW94" s="417">
        <v>0</v>
      </c>
      <c r="AX94" s="417">
        <f t="shared" si="127"/>
        <v>0</v>
      </c>
      <c r="AY94" s="417">
        <f t="shared" si="128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29"/>
        <v>0</v>
      </c>
      <c r="BJ94" s="418">
        <f t="shared" si="130"/>
        <v>0</v>
      </c>
      <c r="BK94" s="420">
        <f t="shared" si="131"/>
        <v>0</v>
      </c>
      <c r="BL94" s="772">
        <f>I94+AY94</f>
        <v>925282</v>
      </c>
      <c r="BM94" s="417">
        <f>J94+AG94</f>
        <v>686411</v>
      </c>
      <c r="BN94" s="417">
        <f t="shared" si="155"/>
        <v>686411</v>
      </c>
      <c r="BO94" s="417">
        <f t="shared" si="155"/>
        <v>0</v>
      </c>
      <c r="BP94" s="417">
        <f>M94+AO94</f>
        <v>0</v>
      </c>
      <c r="BQ94" s="417">
        <f t="shared" si="156"/>
        <v>0</v>
      </c>
      <c r="BR94" s="417">
        <f t="shared" si="156"/>
        <v>0</v>
      </c>
      <c r="BS94" s="417">
        <f t="shared" si="157"/>
        <v>232007</v>
      </c>
      <c r="BT94" s="417">
        <f t="shared" si="157"/>
        <v>6864</v>
      </c>
      <c r="BU94" s="417">
        <f>R94+AX94</f>
        <v>0</v>
      </c>
      <c r="BV94" s="418">
        <f>S94+BK94</f>
        <v>1.7222</v>
      </c>
      <c r="BW94" s="418">
        <f t="shared" si="158"/>
        <v>1.7222</v>
      </c>
      <c r="BX94" s="420">
        <f t="shared" si="158"/>
        <v>0</v>
      </c>
      <c r="BY94" s="419"/>
      <c r="BZ94" s="414"/>
      <c r="CA94" s="414"/>
      <c r="CB94" s="414"/>
      <c r="CC94" s="414"/>
      <c r="CD94" s="422"/>
      <c r="CE94" s="419">
        <v>0</v>
      </c>
      <c r="CF94" s="414">
        <v>0</v>
      </c>
      <c r="CG94" s="414">
        <v>0</v>
      </c>
      <c r="CH94" s="414">
        <v>0</v>
      </c>
      <c r="CI94" s="414">
        <v>0</v>
      </c>
      <c r="CJ94" s="509">
        <v>0</v>
      </c>
    </row>
    <row r="95" spans="1:88" s="96" customFormat="1" ht="14.1" customHeight="1">
      <c r="A95" s="118">
        <v>14</v>
      </c>
      <c r="B95" s="77">
        <v>2304</v>
      </c>
      <c r="C95" s="93">
        <v>600080382</v>
      </c>
      <c r="D95" s="77">
        <v>72743417</v>
      </c>
      <c r="E95" s="77" t="s">
        <v>730</v>
      </c>
      <c r="F95" s="94">
        <v>3113</v>
      </c>
      <c r="G95" s="77" t="s">
        <v>291</v>
      </c>
      <c r="H95" s="95" t="s">
        <v>272</v>
      </c>
      <c r="I95" s="596">
        <v>727601</v>
      </c>
      <c r="J95" s="595">
        <v>539763</v>
      </c>
      <c r="K95" s="595">
        <v>539763</v>
      </c>
      <c r="L95" s="595">
        <v>0</v>
      </c>
      <c r="M95" s="595">
        <v>0</v>
      </c>
      <c r="N95" s="595">
        <v>0</v>
      </c>
      <c r="O95" s="595">
        <v>0</v>
      </c>
      <c r="P95" s="595">
        <v>182440</v>
      </c>
      <c r="Q95" s="595">
        <v>5398</v>
      </c>
      <c r="R95" s="595">
        <v>0</v>
      </c>
      <c r="S95" s="416">
        <v>1.4400000000000002</v>
      </c>
      <c r="T95" s="416">
        <v>1.4400000000000002</v>
      </c>
      <c r="U95" s="748">
        <v>0</v>
      </c>
      <c r="V95" s="423">
        <f t="shared" si="114"/>
        <v>0</v>
      </c>
      <c r="W95" s="417">
        <f t="shared" si="115"/>
        <v>0</v>
      </c>
      <c r="X95" s="417">
        <v>-40870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16"/>
        <v>-40870</v>
      </c>
      <c r="AF95" s="417">
        <f t="shared" si="117"/>
        <v>0</v>
      </c>
      <c r="AG95" s="417">
        <f t="shared" si="118"/>
        <v>-40870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19"/>
        <v>0</v>
      </c>
      <c r="AN95" s="417">
        <f t="shared" si="120"/>
        <v>0</v>
      </c>
      <c r="AO95" s="417">
        <f t="shared" si="121"/>
        <v>0</v>
      </c>
      <c r="AP95" s="417">
        <f t="shared" si="122"/>
        <v>-40870</v>
      </c>
      <c r="AQ95" s="417">
        <f t="shared" si="123"/>
        <v>0</v>
      </c>
      <c r="AR95" s="417">
        <f t="shared" si="124"/>
        <v>-40870</v>
      </c>
      <c r="AS95" s="68">
        <f t="shared" si="125"/>
        <v>-13814</v>
      </c>
      <c r="AT95" s="68">
        <f t="shared" si="126"/>
        <v>-409</v>
      </c>
      <c r="AU95" s="417">
        <v>0</v>
      </c>
      <c r="AV95" s="417">
        <v>0</v>
      </c>
      <c r="AW95" s="417">
        <v>0</v>
      </c>
      <c r="AX95" s="417">
        <f t="shared" si="127"/>
        <v>0</v>
      </c>
      <c r="AY95" s="417">
        <f t="shared" si="128"/>
        <v>-55093</v>
      </c>
      <c r="AZ95" s="418">
        <v>0</v>
      </c>
      <c r="BA95" s="418">
        <v>0</v>
      </c>
      <c r="BB95" s="418">
        <v>-0.1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29"/>
        <v>-0.1</v>
      </c>
      <c r="BJ95" s="418">
        <f t="shared" si="130"/>
        <v>0</v>
      </c>
      <c r="BK95" s="420">
        <f t="shared" si="131"/>
        <v>-0.1</v>
      </c>
      <c r="BL95" s="772">
        <f>I95+AY95</f>
        <v>672508</v>
      </c>
      <c r="BM95" s="417">
        <f>J95+AG95</f>
        <v>498893</v>
      </c>
      <c r="BN95" s="417">
        <f t="shared" si="155"/>
        <v>498893</v>
      </c>
      <c r="BO95" s="417">
        <f t="shared" si="155"/>
        <v>0</v>
      </c>
      <c r="BP95" s="417">
        <f>M95+AO95</f>
        <v>0</v>
      </c>
      <c r="BQ95" s="417">
        <f t="shared" si="156"/>
        <v>0</v>
      </c>
      <c r="BR95" s="417">
        <f t="shared" si="156"/>
        <v>0</v>
      </c>
      <c r="BS95" s="417">
        <f t="shared" si="157"/>
        <v>168626</v>
      </c>
      <c r="BT95" s="417">
        <f t="shared" si="157"/>
        <v>4989</v>
      </c>
      <c r="BU95" s="417">
        <f>R95+AX95</f>
        <v>0</v>
      </c>
      <c r="BV95" s="418">
        <f>S95+BK95</f>
        <v>1.34</v>
      </c>
      <c r="BW95" s="418">
        <f t="shared" si="158"/>
        <v>1.34</v>
      </c>
      <c r="BX95" s="420">
        <f t="shared" si="158"/>
        <v>0</v>
      </c>
      <c r="BY95" s="419"/>
      <c r="BZ95" s="414"/>
      <c r="CA95" s="414"/>
      <c r="CB95" s="414"/>
      <c r="CC95" s="414"/>
      <c r="CD95" s="422"/>
      <c r="CE95" s="419">
        <v>0</v>
      </c>
      <c r="CF95" s="414">
        <v>0</v>
      </c>
      <c r="CG95" s="414">
        <v>0</v>
      </c>
      <c r="CH95" s="414">
        <v>0</v>
      </c>
      <c r="CI95" s="414">
        <v>0</v>
      </c>
      <c r="CJ95" s="509">
        <v>0</v>
      </c>
    </row>
    <row r="96" spans="1:88" s="96" customFormat="1" ht="14.1" customHeight="1">
      <c r="A96" s="118">
        <v>14</v>
      </c>
      <c r="B96" s="77">
        <v>2304</v>
      </c>
      <c r="C96" s="93">
        <v>600080382</v>
      </c>
      <c r="D96" s="77">
        <v>72743417</v>
      </c>
      <c r="E96" s="77" t="s">
        <v>730</v>
      </c>
      <c r="F96" s="94">
        <v>3143</v>
      </c>
      <c r="G96" s="77" t="s">
        <v>595</v>
      </c>
      <c r="H96" s="95" t="s">
        <v>271</v>
      </c>
      <c r="I96" s="596">
        <v>293282</v>
      </c>
      <c r="J96" s="595">
        <v>217568</v>
      </c>
      <c r="K96" s="595">
        <v>217568</v>
      </c>
      <c r="L96" s="595">
        <v>0</v>
      </c>
      <c r="M96" s="595">
        <v>0</v>
      </c>
      <c r="N96" s="595">
        <v>0</v>
      </c>
      <c r="O96" s="595">
        <v>0</v>
      </c>
      <c r="P96" s="595">
        <v>73538</v>
      </c>
      <c r="Q96" s="595">
        <v>2176</v>
      </c>
      <c r="R96" s="595">
        <v>0</v>
      </c>
      <c r="S96" s="416">
        <v>0.5</v>
      </c>
      <c r="T96" s="416">
        <v>0.5</v>
      </c>
      <c r="U96" s="748">
        <v>0</v>
      </c>
      <c r="V96" s="423">
        <f t="shared" si="114"/>
        <v>0</v>
      </c>
      <c r="W96" s="417">
        <f t="shared" si="115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116"/>
        <v>0</v>
      </c>
      <c r="AF96" s="417">
        <f t="shared" si="117"/>
        <v>0</v>
      </c>
      <c r="AG96" s="417">
        <f t="shared" si="118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19"/>
        <v>0</v>
      </c>
      <c r="AN96" s="417">
        <f t="shared" si="120"/>
        <v>0</v>
      </c>
      <c r="AO96" s="417">
        <f t="shared" si="121"/>
        <v>0</v>
      </c>
      <c r="AP96" s="417">
        <f t="shared" si="122"/>
        <v>0</v>
      </c>
      <c r="AQ96" s="417">
        <f t="shared" si="123"/>
        <v>0</v>
      </c>
      <c r="AR96" s="417">
        <f t="shared" si="124"/>
        <v>0</v>
      </c>
      <c r="AS96" s="68">
        <f t="shared" si="125"/>
        <v>0</v>
      </c>
      <c r="AT96" s="68">
        <f t="shared" si="126"/>
        <v>0</v>
      </c>
      <c r="AU96" s="417">
        <v>0</v>
      </c>
      <c r="AV96" s="417">
        <v>0</v>
      </c>
      <c r="AW96" s="417">
        <v>0</v>
      </c>
      <c r="AX96" s="417">
        <f t="shared" si="127"/>
        <v>0</v>
      </c>
      <c r="AY96" s="417">
        <f t="shared" si="128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29"/>
        <v>0</v>
      </c>
      <c r="BJ96" s="418">
        <f t="shared" si="130"/>
        <v>0</v>
      </c>
      <c r="BK96" s="420">
        <f t="shared" si="131"/>
        <v>0</v>
      </c>
      <c r="BL96" s="772">
        <f>I96+AY96</f>
        <v>293282</v>
      </c>
      <c r="BM96" s="417">
        <f>J96+AG96</f>
        <v>217568</v>
      </c>
      <c r="BN96" s="417">
        <f t="shared" si="155"/>
        <v>217568</v>
      </c>
      <c r="BO96" s="417">
        <f t="shared" si="155"/>
        <v>0</v>
      </c>
      <c r="BP96" s="417">
        <f>M96+AO96</f>
        <v>0</v>
      </c>
      <c r="BQ96" s="417">
        <f t="shared" si="156"/>
        <v>0</v>
      </c>
      <c r="BR96" s="417">
        <f t="shared" si="156"/>
        <v>0</v>
      </c>
      <c r="BS96" s="417">
        <f t="shared" si="157"/>
        <v>73538</v>
      </c>
      <c r="BT96" s="417">
        <f t="shared" si="157"/>
        <v>2176</v>
      </c>
      <c r="BU96" s="417">
        <f>R96+AX96</f>
        <v>0</v>
      </c>
      <c r="BV96" s="418">
        <f>S96+BK96</f>
        <v>0.5</v>
      </c>
      <c r="BW96" s="418">
        <f t="shared" si="158"/>
        <v>0.5</v>
      </c>
      <c r="BX96" s="420">
        <f t="shared" si="158"/>
        <v>0</v>
      </c>
      <c r="BY96" s="419"/>
      <c r="BZ96" s="414"/>
      <c r="CA96" s="414"/>
      <c r="CB96" s="414"/>
      <c r="CC96" s="414"/>
      <c r="CD96" s="422"/>
      <c r="CE96" s="419">
        <v>0</v>
      </c>
      <c r="CF96" s="414">
        <v>0</v>
      </c>
      <c r="CG96" s="414">
        <v>0</v>
      </c>
      <c r="CH96" s="414">
        <v>0</v>
      </c>
      <c r="CI96" s="414">
        <v>0</v>
      </c>
      <c r="CJ96" s="509">
        <v>0</v>
      </c>
    </row>
    <row r="97" spans="1:88" s="96" customFormat="1" ht="14.1" customHeight="1">
      <c r="A97" s="118">
        <v>14</v>
      </c>
      <c r="B97" s="77">
        <v>2304</v>
      </c>
      <c r="C97" s="93">
        <v>600080382</v>
      </c>
      <c r="D97" s="77">
        <v>72743417</v>
      </c>
      <c r="E97" s="77" t="s">
        <v>730</v>
      </c>
      <c r="F97" s="94">
        <v>3143</v>
      </c>
      <c r="G97" s="77" t="s">
        <v>596</v>
      </c>
      <c r="H97" s="95" t="s">
        <v>272</v>
      </c>
      <c r="I97" s="596">
        <v>7684</v>
      </c>
      <c r="J97" s="595">
        <v>5500</v>
      </c>
      <c r="K97" s="595">
        <v>0</v>
      </c>
      <c r="L97" s="601">
        <v>5500</v>
      </c>
      <c r="M97" s="595">
        <v>0</v>
      </c>
      <c r="N97" s="602">
        <v>0</v>
      </c>
      <c r="O97" s="602">
        <v>0</v>
      </c>
      <c r="P97" s="595">
        <v>1859</v>
      </c>
      <c r="Q97" s="595">
        <v>55</v>
      </c>
      <c r="R97" s="602">
        <v>270</v>
      </c>
      <c r="S97" s="416">
        <v>2.3899999999999998E-2</v>
      </c>
      <c r="T97" s="605">
        <v>0</v>
      </c>
      <c r="U97" s="731">
        <v>2.3899999999999998E-2</v>
      </c>
      <c r="V97" s="423">
        <f t="shared" si="114"/>
        <v>0</v>
      </c>
      <c r="W97" s="417">
        <f t="shared" si="115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16"/>
        <v>0</v>
      </c>
      <c r="AF97" s="417">
        <f t="shared" si="117"/>
        <v>0</v>
      </c>
      <c r="AG97" s="417">
        <f t="shared" si="118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19"/>
        <v>0</v>
      </c>
      <c r="AN97" s="417">
        <f t="shared" si="120"/>
        <v>0</v>
      </c>
      <c r="AO97" s="417">
        <f t="shared" si="121"/>
        <v>0</v>
      </c>
      <c r="AP97" s="417">
        <f t="shared" si="122"/>
        <v>0</v>
      </c>
      <c r="AQ97" s="417">
        <f t="shared" si="123"/>
        <v>0</v>
      </c>
      <c r="AR97" s="417">
        <f t="shared" si="124"/>
        <v>0</v>
      </c>
      <c r="AS97" s="68">
        <f t="shared" si="125"/>
        <v>0</v>
      </c>
      <c r="AT97" s="68">
        <f t="shared" si="126"/>
        <v>0</v>
      </c>
      <c r="AU97" s="417">
        <v>0</v>
      </c>
      <c r="AV97" s="417">
        <v>0</v>
      </c>
      <c r="AW97" s="417">
        <v>0</v>
      </c>
      <c r="AX97" s="417">
        <f t="shared" si="127"/>
        <v>0</v>
      </c>
      <c r="AY97" s="417">
        <f t="shared" si="128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29"/>
        <v>0</v>
      </c>
      <c r="BJ97" s="418">
        <f t="shared" si="130"/>
        <v>0</v>
      </c>
      <c r="BK97" s="420">
        <f t="shared" si="131"/>
        <v>0</v>
      </c>
      <c r="BL97" s="772">
        <f>I97+AY97</f>
        <v>7684</v>
      </c>
      <c r="BM97" s="417">
        <f>J97+AG97</f>
        <v>5500</v>
      </c>
      <c r="BN97" s="417">
        <f t="shared" si="155"/>
        <v>0</v>
      </c>
      <c r="BO97" s="417">
        <f t="shared" si="155"/>
        <v>5500</v>
      </c>
      <c r="BP97" s="417">
        <f>M97+AO97</f>
        <v>0</v>
      </c>
      <c r="BQ97" s="417">
        <f t="shared" si="156"/>
        <v>0</v>
      </c>
      <c r="BR97" s="417">
        <f t="shared" si="156"/>
        <v>0</v>
      </c>
      <c r="BS97" s="417">
        <f t="shared" si="157"/>
        <v>1859</v>
      </c>
      <c r="BT97" s="417">
        <f t="shared" si="157"/>
        <v>55</v>
      </c>
      <c r="BU97" s="417">
        <f>R97+AX97</f>
        <v>270</v>
      </c>
      <c r="BV97" s="418">
        <f>S97+BK97</f>
        <v>2.3899999999999998E-2</v>
      </c>
      <c r="BW97" s="418">
        <f t="shared" si="158"/>
        <v>0</v>
      </c>
      <c r="BX97" s="420">
        <f t="shared" si="158"/>
        <v>2.3899999999999998E-2</v>
      </c>
      <c r="BY97" s="419"/>
      <c r="BZ97" s="414"/>
      <c r="CA97" s="414"/>
      <c r="CB97" s="414"/>
      <c r="CC97" s="414"/>
      <c r="CD97" s="422"/>
      <c r="CE97" s="419">
        <v>0</v>
      </c>
      <c r="CF97" s="414">
        <v>0</v>
      </c>
      <c r="CG97" s="414">
        <v>0</v>
      </c>
      <c r="CH97" s="414">
        <v>0</v>
      </c>
      <c r="CI97" s="414">
        <v>0</v>
      </c>
      <c r="CJ97" s="509">
        <v>0</v>
      </c>
    </row>
    <row r="98" spans="1:88" s="96" customFormat="1" ht="14.1" customHeight="1">
      <c r="A98" s="119">
        <v>14</v>
      </c>
      <c r="B98" s="97">
        <v>2304</v>
      </c>
      <c r="C98" s="98">
        <v>600080382</v>
      </c>
      <c r="D98" s="97">
        <v>72743417</v>
      </c>
      <c r="E98" s="97" t="s">
        <v>731</v>
      </c>
      <c r="F98" s="99"/>
      <c r="G98" s="100"/>
      <c r="H98" s="101"/>
      <c r="I98" s="437">
        <v>6775931</v>
      </c>
      <c r="J98" s="433">
        <v>4986881</v>
      </c>
      <c r="K98" s="433">
        <v>4560191</v>
      </c>
      <c r="L98" s="433">
        <v>426690</v>
      </c>
      <c r="M98" s="433">
        <v>0</v>
      </c>
      <c r="N98" s="433">
        <v>0</v>
      </c>
      <c r="O98" s="433">
        <v>0</v>
      </c>
      <c r="P98" s="433">
        <v>1685565</v>
      </c>
      <c r="Q98" s="433">
        <v>49870</v>
      </c>
      <c r="R98" s="433">
        <v>53615</v>
      </c>
      <c r="S98" s="434">
        <v>9.7830999999999992</v>
      </c>
      <c r="T98" s="434">
        <v>8.571299999999999</v>
      </c>
      <c r="U98" s="695">
        <v>1.2118</v>
      </c>
      <c r="V98" s="437">
        <f t="shared" ref="V98:CG98" si="159">SUM(V93:V97)</f>
        <v>0</v>
      </c>
      <c r="W98" s="433">
        <f t="shared" si="159"/>
        <v>0</v>
      </c>
      <c r="X98" s="433">
        <f t="shared" si="159"/>
        <v>-40870</v>
      </c>
      <c r="Y98" s="433">
        <f t="shared" si="159"/>
        <v>0</v>
      </c>
      <c r="Z98" s="433">
        <f t="shared" si="159"/>
        <v>0</v>
      </c>
      <c r="AA98" s="433">
        <f t="shared" si="159"/>
        <v>0</v>
      </c>
      <c r="AB98" s="433">
        <f t="shared" si="159"/>
        <v>0</v>
      </c>
      <c r="AC98" s="433">
        <f t="shared" si="159"/>
        <v>0</v>
      </c>
      <c r="AD98" s="433">
        <f t="shared" si="159"/>
        <v>0</v>
      </c>
      <c r="AE98" s="433">
        <f t="shared" si="159"/>
        <v>-40870</v>
      </c>
      <c r="AF98" s="433">
        <f t="shared" si="159"/>
        <v>0</v>
      </c>
      <c r="AG98" s="433">
        <f t="shared" si="159"/>
        <v>-40870</v>
      </c>
      <c r="AH98" s="433">
        <f t="shared" si="159"/>
        <v>0</v>
      </c>
      <c r="AI98" s="433">
        <f t="shared" si="159"/>
        <v>0</v>
      </c>
      <c r="AJ98" s="433">
        <f t="shared" si="159"/>
        <v>0</v>
      </c>
      <c r="AK98" s="433">
        <f t="shared" si="159"/>
        <v>0</v>
      </c>
      <c r="AL98" s="433">
        <f t="shared" si="159"/>
        <v>0</v>
      </c>
      <c r="AM98" s="433">
        <f t="shared" si="159"/>
        <v>0</v>
      </c>
      <c r="AN98" s="433">
        <f t="shared" si="159"/>
        <v>0</v>
      </c>
      <c r="AO98" s="433">
        <f t="shared" si="159"/>
        <v>0</v>
      </c>
      <c r="AP98" s="433">
        <f t="shared" si="159"/>
        <v>-40870</v>
      </c>
      <c r="AQ98" s="433">
        <f t="shared" si="159"/>
        <v>0</v>
      </c>
      <c r="AR98" s="433">
        <f t="shared" si="159"/>
        <v>-40870</v>
      </c>
      <c r="AS98" s="433">
        <f t="shared" si="159"/>
        <v>-13814</v>
      </c>
      <c r="AT98" s="433">
        <f t="shared" si="159"/>
        <v>-409</v>
      </c>
      <c r="AU98" s="433">
        <f t="shared" si="159"/>
        <v>0</v>
      </c>
      <c r="AV98" s="433">
        <f t="shared" si="159"/>
        <v>0</v>
      </c>
      <c r="AW98" s="433">
        <f t="shared" si="159"/>
        <v>0</v>
      </c>
      <c r="AX98" s="433">
        <f t="shared" si="159"/>
        <v>0</v>
      </c>
      <c r="AY98" s="433">
        <f t="shared" si="159"/>
        <v>-55093</v>
      </c>
      <c r="AZ98" s="434">
        <f t="shared" si="159"/>
        <v>0</v>
      </c>
      <c r="BA98" s="434">
        <f t="shared" si="159"/>
        <v>0</v>
      </c>
      <c r="BB98" s="434">
        <f t="shared" si="159"/>
        <v>-0.1</v>
      </c>
      <c r="BC98" s="434">
        <f t="shared" si="159"/>
        <v>0</v>
      </c>
      <c r="BD98" s="434">
        <f t="shared" si="159"/>
        <v>0</v>
      </c>
      <c r="BE98" s="434">
        <f t="shared" si="159"/>
        <v>0</v>
      </c>
      <c r="BF98" s="434">
        <f t="shared" si="159"/>
        <v>0</v>
      </c>
      <c r="BG98" s="434">
        <f t="shared" si="159"/>
        <v>0</v>
      </c>
      <c r="BH98" s="434">
        <f t="shared" si="159"/>
        <v>0</v>
      </c>
      <c r="BI98" s="434">
        <f t="shared" si="159"/>
        <v>-0.1</v>
      </c>
      <c r="BJ98" s="434">
        <f t="shared" si="159"/>
        <v>0</v>
      </c>
      <c r="BK98" s="103">
        <f t="shared" si="159"/>
        <v>-0.1</v>
      </c>
      <c r="BL98" s="785">
        <f t="shared" si="159"/>
        <v>6720838</v>
      </c>
      <c r="BM98" s="433">
        <f t="shared" si="159"/>
        <v>4946011</v>
      </c>
      <c r="BN98" s="433">
        <f t="shared" si="159"/>
        <v>4519321</v>
      </c>
      <c r="BO98" s="433">
        <f t="shared" si="159"/>
        <v>426690</v>
      </c>
      <c r="BP98" s="433">
        <f t="shared" si="159"/>
        <v>0</v>
      </c>
      <c r="BQ98" s="433">
        <f t="shared" si="159"/>
        <v>0</v>
      </c>
      <c r="BR98" s="433">
        <f t="shared" si="159"/>
        <v>0</v>
      </c>
      <c r="BS98" s="433">
        <f t="shared" si="159"/>
        <v>1671751</v>
      </c>
      <c r="BT98" s="433">
        <f t="shared" si="159"/>
        <v>49461</v>
      </c>
      <c r="BU98" s="433">
        <f t="shared" si="159"/>
        <v>53615</v>
      </c>
      <c r="BV98" s="434">
        <f t="shared" si="159"/>
        <v>9.6830999999999996</v>
      </c>
      <c r="BW98" s="434">
        <f t="shared" si="159"/>
        <v>8.4712999999999994</v>
      </c>
      <c r="BX98" s="103">
        <f t="shared" si="159"/>
        <v>1.2118</v>
      </c>
      <c r="BY98" s="795">
        <f t="shared" si="159"/>
        <v>0</v>
      </c>
      <c r="BZ98" s="698">
        <f t="shared" si="159"/>
        <v>0</v>
      </c>
      <c r="CA98" s="698">
        <f t="shared" si="159"/>
        <v>0</v>
      </c>
      <c r="CB98" s="698">
        <f t="shared" si="159"/>
        <v>0</v>
      </c>
      <c r="CC98" s="698">
        <f t="shared" si="159"/>
        <v>0</v>
      </c>
      <c r="CD98" s="961">
        <f t="shared" si="159"/>
        <v>0</v>
      </c>
      <c r="CE98" s="887">
        <f t="shared" si="159"/>
        <v>196483</v>
      </c>
      <c r="CF98" s="888">
        <f t="shared" si="159"/>
        <v>135164</v>
      </c>
      <c r="CG98" s="888">
        <f t="shared" si="159"/>
        <v>45685</v>
      </c>
      <c r="CH98" s="888">
        <f t="shared" ref="CH98:CJ98" si="160">SUM(CH93:CH97)</f>
        <v>1352</v>
      </c>
      <c r="CI98" s="888">
        <f t="shared" si="160"/>
        <v>14282</v>
      </c>
      <c r="CJ98" s="889">
        <f t="shared" si="160"/>
        <v>0.38119999999999998</v>
      </c>
    </row>
    <row r="99" spans="1:88" s="96" customFormat="1" ht="14.1" customHeight="1">
      <c r="A99" s="118">
        <v>15</v>
      </c>
      <c r="B99" s="102">
        <v>2438</v>
      </c>
      <c r="C99" s="93">
        <v>600079384</v>
      </c>
      <c r="D99" s="77">
        <v>72741911</v>
      </c>
      <c r="E99" s="77" t="s">
        <v>732</v>
      </c>
      <c r="F99" s="94">
        <v>3111</v>
      </c>
      <c r="G99" s="77" t="s">
        <v>290</v>
      </c>
      <c r="H99" s="95" t="s">
        <v>271</v>
      </c>
      <c r="I99" s="596">
        <v>9147370</v>
      </c>
      <c r="J99" s="595">
        <v>6753836</v>
      </c>
      <c r="K99" s="595">
        <v>5892099</v>
      </c>
      <c r="L99" s="595">
        <v>861737</v>
      </c>
      <c r="M99" s="595">
        <v>0</v>
      </c>
      <c r="N99" s="595">
        <v>0</v>
      </c>
      <c r="O99" s="595">
        <v>0</v>
      </c>
      <c r="P99" s="595">
        <v>2282796</v>
      </c>
      <c r="Q99" s="595">
        <v>67538</v>
      </c>
      <c r="R99" s="595">
        <v>43200</v>
      </c>
      <c r="S99" s="416">
        <v>13.1005</v>
      </c>
      <c r="T99" s="416">
        <v>10.165100000000001</v>
      </c>
      <c r="U99" s="748">
        <v>2.9354</v>
      </c>
      <c r="V99" s="423">
        <f t="shared" si="114"/>
        <v>0</v>
      </c>
      <c r="W99" s="417">
        <f t="shared" si="115"/>
        <v>-104000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16"/>
        <v>0</v>
      </c>
      <c r="AF99" s="417">
        <f t="shared" si="117"/>
        <v>-104000</v>
      </c>
      <c r="AG99" s="417">
        <f t="shared" si="118"/>
        <v>-104000</v>
      </c>
      <c r="AH99" s="417">
        <v>0</v>
      </c>
      <c r="AI99" s="417">
        <v>104000</v>
      </c>
      <c r="AJ99" s="417">
        <v>0</v>
      </c>
      <c r="AK99" s="417">
        <v>0</v>
      </c>
      <c r="AL99" s="417">
        <v>0</v>
      </c>
      <c r="AM99" s="417">
        <f t="shared" si="119"/>
        <v>0</v>
      </c>
      <c r="AN99" s="417">
        <f t="shared" si="120"/>
        <v>104000</v>
      </c>
      <c r="AO99" s="417">
        <f t="shared" si="121"/>
        <v>104000</v>
      </c>
      <c r="AP99" s="417">
        <f t="shared" si="122"/>
        <v>0</v>
      </c>
      <c r="AQ99" s="417">
        <f t="shared" si="123"/>
        <v>0</v>
      </c>
      <c r="AR99" s="417">
        <f t="shared" si="124"/>
        <v>0</v>
      </c>
      <c r="AS99" s="68">
        <f t="shared" si="125"/>
        <v>0</v>
      </c>
      <c r="AT99" s="68">
        <f t="shared" si="126"/>
        <v>-1040</v>
      </c>
      <c r="AU99" s="417">
        <v>0</v>
      </c>
      <c r="AV99" s="417">
        <v>0</v>
      </c>
      <c r="AW99" s="417">
        <v>0</v>
      </c>
      <c r="AX99" s="417">
        <f t="shared" si="127"/>
        <v>0</v>
      </c>
      <c r="AY99" s="417">
        <f t="shared" si="128"/>
        <v>-1040</v>
      </c>
      <c r="AZ99" s="418">
        <v>0</v>
      </c>
      <c r="BA99" s="418">
        <v>-0.35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29"/>
        <v>0</v>
      </c>
      <c r="BJ99" s="418">
        <f t="shared" si="130"/>
        <v>-0.35</v>
      </c>
      <c r="BK99" s="420">
        <f t="shared" si="131"/>
        <v>-0.35</v>
      </c>
      <c r="BL99" s="772">
        <f>I99+AY99</f>
        <v>9146330</v>
      </c>
      <c r="BM99" s="417">
        <f>J99+AG99</f>
        <v>6649836</v>
      </c>
      <c r="BN99" s="417">
        <f t="shared" ref="BN99:BO101" si="161">K99+AE99</f>
        <v>5892099</v>
      </c>
      <c r="BO99" s="417">
        <f t="shared" si="161"/>
        <v>757737</v>
      </c>
      <c r="BP99" s="417">
        <f>M99+AO99</f>
        <v>104000</v>
      </c>
      <c r="BQ99" s="417">
        <f t="shared" ref="BQ99:BR101" si="162">N99+AM99</f>
        <v>0</v>
      </c>
      <c r="BR99" s="417">
        <f t="shared" si="162"/>
        <v>104000</v>
      </c>
      <c r="BS99" s="417">
        <f t="shared" ref="BS99:BT101" si="163">P99+AS99</f>
        <v>2282796</v>
      </c>
      <c r="BT99" s="417">
        <f t="shared" si="163"/>
        <v>66498</v>
      </c>
      <c r="BU99" s="417">
        <f>R99+AX99</f>
        <v>43200</v>
      </c>
      <c r="BV99" s="418">
        <f>S99+BK99</f>
        <v>12.750500000000001</v>
      </c>
      <c r="BW99" s="418">
        <f t="shared" ref="BW99:BX101" si="164">T99+BI99</f>
        <v>10.165100000000001</v>
      </c>
      <c r="BX99" s="420">
        <f t="shared" si="164"/>
        <v>2.5853999999999999</v>
      </c>
      <c r="BY99" s="419"/>
      <c r="BZ99" s="414"/>
      <c r="CA99" s="414"/>
      <c r="CB99" s="414"/>
      <c r="CC99" s="414"/>
      <c r="CD99" s="422"/>
      <c r="CE99" s="419">
        <v>387110</v>
      </c>
      <c r="CF99" s="414">
        <v>276518</v>
      </c>
      <c r="CG99" s="414">
        <v>93463</v>
      </c>
      <c r="CH99" s="414">
        <v>2765</v>
      </c>
      <c r="CI99" s="414">
        <v>14364</v>
      </c>
      <c r="CJ99" s="509">
        <v>0.94189999999999996</v>
      </c>
    </row>
    <row r="100" spans="1:88" s="96" customFormat="1" ht="14.1" customHeight="1">
      <c r="A100" s="118">
        <v>15</v>
      </c>
      <c r="B100" s="77">
        <v>2438</v>
      </c>
      <c r="C100" s="93">
        <v>600079384</v>
      </c>
      <c r="D100" s="77">
        <v>72741911</v>
      </c>
      <c r="E100" s="77" t="s">
        <v>732</v>
      </c>
      <c r="F100" s="94">
        <v>3111</v>
      </c>
      <c r="G100" s="77" t="s">
        <v>291</v>
      </c>
      <c r="H100" s="95" t="s">
        <v>272</v>
      </c>
      <c r="I100" s="596">
        <v>1506363</v>
      </c>
      <c r="J100" s="595">
        <v>1114512</v>
      </c>
      <c r="K100" s="595">
        <v>1114512</v>
      </c>
      <c r="L100" s="595">
        <v>0</v>
      </c>
      <c r="M100" s="595">
        <v>0</v>
      </c>
      <c r="N100" s="595">
        <v>0</v>
      </c>
      <c r="O100" s="595">
        <v>0</v>
      </c>
      <c r="P100" s="595">
        <v>376705</v>
      </c>
      <c r="Q100" s="595">
        <v>11146</v>
      </c>
      <c r="R100" s="595">
        <v>4000</v>
      </c>
      <c r="S100" s="416">
        <v>2.9899999999999998</v>
      </c>
      <c r="T100" s="416">
        <v>2.9899999999999998</v>
      </c>
      <c r="U100" s="748">
        <v>0</v>
      </c>
      <c r="V100" s="423">
        <f t="shared" si="114"/>
        <v>0</v>
      </c>
      <c r="W100" s="417">
        <f t="shared" si="115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16"/>
        <v>0</v>
      </c>
      <c r="AF100" s="417">
        <f t="shared" si="117"/>
        <v>0</v>
      </c>
      <c r="AG100" s="417">
        <f t="shared" si="118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19"/>
        <v>0</v>
      </c>
      <c r="AN100" s="417">
        <f t="shared" si="120"/>
        <v>0</v>
      </c>
      <c r="AO100" s="417">
        <f t="shared" si="121"/>
        <v>0</v>
      </c>
      <c r="AP100" s="417">
        <f t="shared" si="122"/>
        <v>0</v>
      </c>
      <c r="AQ100" s="417">
        <f t="shared" si="123"/>
        <v>0</v>
      </c>
      <c r="AR100" s="417">
        <f t="shared" si="124"/>
        <v>0</v>
      </c>
      <c r="AS100" s="68">
        <f t="shared" si="125"/>
        <v>0</v>
      </c>
      <c r="AT100" s="68">
        <f t="shared" si="126"/>
        <v>0</v>
      </c>
      <c r="AU100" s="417">
        <v>5000</v>
      </c>
      <c r="AV100" s="417">
        <v>0</v>
      </c>
      <c r="AW100" s="417">
        <v>0</v>
      </c>
      <c r="AX100" s="417">
        <f t="shared" si="127"/>
        <v>5000</v>
      </c>
      <c r="AY100" s="417">
        <f t="shared" si="128"/>
        <v>5000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29"/>
        <v>0</v>
      </c>
      <c r="BJ100" s="418">
        <f t="shared" si="130"/>
        <v>0</v>
      </c>
      <c r="BK100" s="420">
        <f t="shared" si="131"/>
        <v>0</v>
      </c>
      <c r="BL100" s="772">
        <f>I100+AY100</f>
        <v>1511363</v>
      </c>
      <c r="BM100" s="417">
        <f>J100+AG100</f>
        <v>1114512</v>
      </c>
      <c r="BN100" s="417">
        <f t="shared" si="161"/>
        <v>1114512</v>
      </c>
      <c r="BO100" s="417">
        <f t="shared" si="161"/>
        <v>0</v>
      </c>
      <c r="BP100" s="417">
        <f>M100+AO100</f>
        <v>0</v>
      </c>
      <c r="BQ100" s="417">
        <f t="shared" si="162"/>
        <v>0</v>
      </c>
      <c r="BR100" s="417">
        <f t="shared" si="162"/>
        <v>0</v>
      </c>
      <c r="BS100" s="417">
        <f t="shared" si="163"/>
        <v>376705</v>
      </c>
      <c r="BT100" s="417">
        <f t="shared" si="163"/>
        <v>11146</v>
      </c>
      <c r="BU100" s="417">
        <f>R100+AX100</f>
        <v>9000</v>
      </c>
      <c r="BV100" s="418">
        <f>S100+BK100</f>
        <v>2.9899999999999998</v>
      </c>
      <c r="BW100" s="418">
        <f t="shared" si="164"/>
        <v>2.9899999999999998</v>
      </c>
      <c r="BX100" s="420">
        <f t="shared" si="164"/>
        <v>0</v>
      </c>
      <c r="BY100" s="419"/>
      <c r="BZ100" s="414"/>
      <c r="CA100" s="414"/>
      <c r="CB100" s="414"/>
      <c r="CC100" s="414"/>
      <c r="CD100" s="422"/>
      <c r="CE100" s="419">
        <v>0</v>
      </c>
      <c r="CF100" s="414">
        <v>0</v>
      </c>
      <c r="CG100" s="414">
        <v>0</v>
      </c>
      <c r="CH100" s="414">
        <v>0</v>
      </c>
      <c r="CI100" s="414">
        <v>0</v>
      </c>
      <c r="CJ100" s="509">
        <v>0</v>
      </c>
    </row>
    <row r="101" spans="1:88" s="96" customFormat="1" ht="14.1" customHeight="1">
      <c r="A101" s="118">
        <v>15</v>
      </c>
      <c r="B101" s="77">
        <v>2438</v>
      </c>
      <c r="C101" s="93">
        <v>600079384</v>
      </c>
      <c r="D101" s="77">
        <v>72741911</v>
      </c>
      <c r="E101" s="77" t="s">
        <v>732</v>
      </c>
      <c r="F101" s="94">
        <v>3141</v>
      </c>
      <c r="G101" s="77" t="s">
        <v>294</v>
      </c>
      <c r="H101" s="95" t="s">
        <v>272</v>
      </c>
      <c r="I101" s="596">
        <v>2411071</v>
      </c>
      <c r="J101" s="595">
        <v>1675409</v>
      </c>
      <c r="K101" s="595">
        <v>0</v>
      </c>
      <c r="L101" s="601">
        <v>1675409</v>
      </c>
      <c r="M101" s="595">
        <v>104000</v>
      </c>
      <c r="N101" s="595">
        <v>0</v>
      </c>
      <c r="O101" s="595">
        <v>104000</v>
      </c>
      <c r="P101" s="595">
        <v>601440</v>
      </c>
      <c r="Q101" s="595">
        <v>16754</v>
      </c>
      <c r="R101" s="595">
        <v>13468</v>
      </c>
      <c r="S101" s="416">
        <v>5.03</v>
      </c>
      <c r="T101" s="416">
        <v>0</v>
      </c>
      <c r="U101" s="748">
        <v>5.03</v>
      </c>
      <c r="V101" s="423">
        <f t="shared" si="114"/>
        <v>0</v>
      </c>
      <c r="W101" s="417">
        <f t="shared" si="115"/>
        <v>104000</v>
      </c>
      <c r="X101" s="417">
        <v>0</v>
      </c>
      <c r="Y101" s="417">
        <v>0</v>
      </c>
      <c r="Z101" s="417">
        <v>0</v>
      </c>
      <c r="AA101" s="417">
        <v>-58297</v>
      </c>
      <c r="AB101" s="417">
        <v>0</v>
      </c>
      <c r="AC101" s="417">
        <v>0</v>
      </c>
      <c r="AD101" s="417">
        <v>0</v>
      </c>
      <c r="AE101" s="417">
        <f t="shared" si="116"/>
        <v>0</v>
      </c>
      <c r="AF101" s="417">
        <f t="shared" si="117"/>
        <v>45703</v>
      </c>
      <c r="AG101" s="417">
        <f t="shared" si="118"/>
        <v>45703</v>
      </c>
      <c r="AH101" s="417">
        <v>0</v>
      </c>
      <c r="AI101" s="417">
        <v>-104000</v>
      </c>
      <c r="AJ101" s="417">
        <v>0</v>
      </c>
      <c r="AK101" s="417">
        <v>0</v>
      </c>
      <c r="AL101" s="417">
        <v>0</v>
      </c>
      <c r="AM101" s="417">
        <f t="shared" si="119"/>
        <v>0</v>
      </c>
      <c r="AN101" s="417">
        <f t="shared" si="120"/>
        <v>-104000</v>
      </c>
      <c r="AO101" s="417">
        <f t="shared" si="121"/>
        <v>-104000</v>
      </c>
      <c r="AP101" s="417">
        <f t="shared" si="122"/>
        <v>0</v>
      </c>
      <c r="AQ101" s="417">
        <f t="shared" si="123"/>
        <v>-58297</v>
      </c>
      <c r="AR101" s="417">
        <f t="shared" si="124"/>
        <v>-58297</v>
      </c>
      <c r="AS101" s="68">
        <f t="shared" si="125"/>
        <v>-19704</v>
      </c>
      <c r="AT101" s="68">
        <f t="shared" si="126"/>
        <v>457</v>
      </c>
      <c r="AU101" s="417">
        <v>0</v>
      </c>
      <c r="AV101" s="417">
        <v>0</v>
      </c>
      <c r="AW101" s="417">
        <v>0</v>
      </c>
      <c r="AX101" s="417">
        <f t="shared" si="127"/>
        <v>0</v>
      </c>
      <c r="AY101" s="417">
        <f t="shared" si="128"/>
        <v>-77544</v>
      </c>
      <c r="AZ101" s="418">
        <v>0</v>
      </c>
      <c r="BA101" s="418">
        <v>0.31</v>
      </c>
      <c r="BB101" s="418">
        <v>0</v>
      </c>
      <c r="BC101" s="418">
        <v>0</v>
      </c>
      <c r="BD101" s="418">
        <v>-0.18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29"/>
        <v>0</v>
      </c>
      <c r="BJ101" s="418">
        <f t="shared" si="130"/>
        <v>0.13</v>
      </c>
      <c r="BK101" s="420">
        <f t="shared" si="131"/>
        <v>0.13</v>
      </c>
      <c r="BL101" s="772">
        <f>I101+AY101</f>
        <v>2333527</v>
      </c>
      <c r="BM101" s="417">
        <f>J101+AG101</f>
        <v>1721112</v>
      </c>
      <c r="BN101" s="417">
        <f t="shared" si="161"/>
        <v>0</v>
      </c>
      <c r="BO101" s="417">
        <f t="shared" si="161"/>
        <v>1721112</v>
      </c>
      <c r="BP101" s="417">
        <f>M101+AO101</f>
        <v>0</v>
      </c>
      <c r="BQ101" s="417">
        <f t="shared" si="162"/>
        <v>0</v>
      </c>
      <c r="BR101" s="417">
        <f t="shared" si="162"/>
        <v>0</v>
      </c>
      <c r="BS101" s="417">
        <f t="shared" si="163"/>
        <v>581736</v>
      </c>
      <c r="BT101" s="417">
        <f t="shared" si="163"/>
        <v>17211</v>
      </c>
      <c r="BU101" s="417">
        <f>R101+AX101</f>
        <v>13468</v>
      </c>
      <c r="BV101" s="418">
        <f>S101+BK101</f>
        <v>5.16</v>
      </c>
      <c r="BW101" s="418">
        <f t="shared" si="164"/>
        <v>0</v>
      </c>
      <c r="BX101" s="420">
        <f t="shared" si="164"/>
        <v>5.16</v>
      </c>
      <c r="BY101" s="419"/>
      <c r="BZ101" s="414"/>
      <c r="CA101" s="414"/>
      <c r="CB101" s="414"/>
      <c r="CC101" s="414"/>
      <c r="CD101" s="422"/>
      <c r="CE101" s="419">
        <v>0</v>
      </c>
      <c r="CF101" s="414">
        <v>0</v>
      </c>
      <c r="CG101" s="414">
        <v>0</v>
      </c>
      <c r="CH101" s="414">
        <v>0</v>
      </c>
      <c r="CI101" s="414">
        <v>0</v>
      </c>
      <c r="CJ101" s="509">
        <v>0</v>
      </c>
    </row>
    <row r="102" spans="1:88" s="96" customFormat="1" ht="14.1" customHeight="1">
      <c r="A102" s="119">
        <v>15</v>
      </c>
      <c r="B102" s="97">
        <v>2438</v>
      </c>
      <c r="C102" s="98">
        <v>600079384</v>
      </c>
      <c r="D102" s="97">
        <v>72741911</v>
      </c>
      <c r="E102" s="97" t="s">
        <v>733</v>
      </c>
      <c r="F102" s="99"/>
      <c r="G102" s="100"/>
      <c r="H102" s="101"/>
      <c r="I102" s="437">
        <v>13064804</v>
      </c>
      <c r="J102" s="433">
        <v>9543757</v>
      </c>
      <c r="K102" s="433">
        <v>7006611</v>
      </c>
      <c r="L102" s="433">
        <v>2537146</v>
      </c>
      <c r="M102" s="433">
        <v>104000</v>
      </c>
      <c r="N102" s="433">
        <v>0</v>
      </c>
      <c r="O102" s="433">
        <v>104000</v>
      </c>
      <c r="P102" s="433">
        <v>3260941</v>
      </c>
      <c r="Q102" s="433">
        <v>95438</v>
      </c>
      <c r="R102" s="433">
        <v>60668</v>
      </c>
      <c r="S102" s="434">
        <v>21.1205</v>
      </c>
      <c r="T102" s="434">
        <v>13.155100000000001</v>
      </c>
      <c r="U102" s="695">
        <v>7.9654000000000007</v>
      </c>
      <c r="V102" s="437">
        <f t="shared" ref="V102:CG102" si="165">SUM(V99:V101)</f>
        <v>0</v>
      </c>
      <c r="W102" s="433">
        <f t="shared" si="165"/>
        <v>0</v>
      </c>
      <c r="X102" s="433">
        <f t="shared" si="165"/>
        <v>0</v>
      </c>
      <c r="Y102" s="433">
        <f t="shared" si="165"/>
        <v>0</v>
      </c>
      <c r="Z102" s="433">
        <f t="shared" si="165"/>
        <v>0</v>
      </c>
      <c r="AA102" s="433">
        <f t="shared" si="165"/>
        <v>-58297</v>
      </c>
      <c r="AB102" s="433">
        <f t="shared" si="165"/>
        <v>0</v>
      </c>
      <c r="AC102" s="433">
        <f t="shared" si="165"/>
        <v>0</v>
      </c>
      <c r="AD102" s="433">
        <f t="shared" si="165"/>
        <v>0</v>
      </c>
      <c r="AE102" s="433">
        <f t="shared" si="165"/>
        <v>0</v>
      </c>
      <c r="AF102" s="433">
        <f t="shared" si="165"/>
        <v>-58297</v>
      </c>
      <c r="AG102" s="433">
        <f t="shared" si="165"/>
        <v>-58297</v>
      </c>
      <c r="AH102" s="433">
        <f t="shared" si="165"/>
        <v>0</v>
      </c>
      <c r="AI102" s="433">
        <f t="shared" si="165"/>
        <v>0</v>
      </c>
      <c r="AJ102" s="433">
        <f t="shared" si="165"/>
        <v>0</v>
      </c>
      <c r="AK102" s="433">
        <f t="shared" si="165"/>
        <v>0</v>
      </c>
      <c r="AL102" s="433">
        <f t="shared" si="165"/>
        <v>0</v>
      </c>
      <c r="AM102" s="433">
        <f t="shared" si="165"/>
        <v>0</v>
      </c>
      <c r="AN102" s="433">
        <f t="shared" si="165"/>
        <v>0</v>
      </c>
      <c r="AO102" s="433">
        <f t="shared" si="165"/>
        <v>0</v>
      </c>
      <c r="AP102" s="433">
        <f t="shared" si="165"/>
        <v>0</v>
      </c>
      <c r="AQ102" s="433">
        <f t="shared" si="165"/>
        <v>-58297</v>
      </c>
      <c r="AR102" s="433">
        <f t="shared" si="165"/>
        <v>-58297</v>
      </c>
      <c r="AS102" s="433">
        <f t="shared" si="165"/>
        <v>-19704</v>
      </c>
      <c r="AT102" s="433">
        <f t="shared" si="165"/>
        <v>-583</v>
      </c>
      <c r="AU102" s="433">
        <f t="shared" si="165"/>
        <v>5000</v>
      </c>
      <c r="AV102" s="433">
        <f t="shared" si="165"/>
        <v>0</v>
      </c>
      <c r="AW102" s="433">
        <f t="shared" si="165"/>
        <v>0</v>
      </c>
      <c r="AX102" s="433">
        <f t="shared" si="165"/>
        <v>5000</v>
      </c>
      <c r="AY102" s="433">
        <f t="shared" si="165"/>
        <v>-73584</v>
      </c>
      <c r="AZ102" s="434">
        <f t="shared" si="165"/>
        <v>0</v>
      </c>
      <c r="BA102" s="434">
        <f t="shared" si="165"/>
        <v>-3.999999999999998E-2</v>
      </c>
      <c r="BB102" s="434">
        <f t="shared" si="165"/>
        <v>0</v>
      </c>
      <c r="BC102" s="434">
        <f t="shared" si="165"/>
        <v>0</v>
      </c>
      <c r="BD102" s="434">
        <f t="shared" si="165"/>
        <v>-0.18</v>
      </c>
      <c r="BE102" s="434">
        <f t="shared" si="165"/>
        <v>0</v>
      </c>
      <c r="BF102" s="434">
        <f t="shared" si="165"/>
        <v>0</v>
      </c>
      <c r="BG102" s="434">
        <f t="shared" si="165"/>
        <v>0</v>
      </c>
      <c r="BH102" s="434">
        <f t="shared" si="165"/>
        <v>0</v>
      </c>
      <c r="BI102" s="434">
        <f t="shared" si="165"/>
        <v>0</v>
      </c>
      <c r="BJ102" s="434">
        <f t="shared" si="165"/>
        <v>-0.21999999999999997</v>
      </c>
      <c r="BK102" s="103">
        <f t="shared" si="165"/>
        <v>-0.21999999999999997</v>
      </c>
      <c r="BL102" s="785">
        <f t="shared" si="165"/>
        <v>12991220</v>
      </c>
      <c r="BM102" s="433">
        <f t="shared" si="165"/>
        <v>9485460</v>
      </c>
      <c r="BN102" s="433">
        <f t="shared" si="165"/>
        <v>7006611</v>
      </c>
      <c r="BO102" s="433">
        <f t="shared" si="165"/>
        <v>2478849</v>
      </c>
      <c r="BP102" s="433">
        <f t="shared" si="165"/>
        <v>104000</v>
      </c>
      <c r="BQ102" s="433">
        <f t="shared" si="165"/>
        <v>0</v>
      </c>
      <c r="BR102" s="433">
        <f t="shared" si="165"/>
        <v>104000</v>
      </c>
      <c r="BS102" s="433">
        <f t="shared" si="165"/>
        <v>3241237</v>
      </c>
      <c r="BT102" s="433">
        <f t="shared" si="165"/>
        <v>94855</v>
      </c>
      <c r="BU102" s="433">
        <f t="shared" si="165"/>
        <v>65668</v>
      </c>
      <c r="BV102" s="434">
        <f t="shared" si="165"/>
        <v>20.900500000000001</v>
      </c>
      <c r="BW102" s="434">
        <f t="shared" si="165"/>
        <v>13.155100000000001</v>
      </c>
      <c r="BX102" s="103">
        <f t="shared" si="165"/>
        <v>7.7454000000000001</v>
      </c>
      <c r="BY102" s="795">
        <f t="shared" si="165"/>
        <v>0</v>
      </c>
      <c r="BZ102" s="698">
        <f t="shared" si="165"/>
        <v>0</v>
      </c>
      <c r="CA102" s="698">
        <f t="shared" si="165"/>
        <v>0</v>
      </c>
      <c r="CB102" s="698">
        <f t="shared" si="165"/>
        <v>0</v>
      </c>
      <c r="CC102" s="698">
        <f t="shared" si="165"/>
        <v>0</v>
      </c>
      <c r="CD102" s="961">
        <f t="shared" si="165"/>
        <v>0</v>
      </c>
      <c r="CE102" s="887">
        <f t="shared" si="165"/>
        <v>387110</v>
      </c>
      <c r="CF102" s="888">
        <f t="shared" si="165"/>
        <v>276518</v>
      </c>
      <c r="CG102" s="888">
        <f t="shared" si="165"/>
        <v>93463</v>
      </c>
      <c r="CH102" s="888">
        <f t="shared" ref="CH102:CJ102" si="166">SUM(CH99:CH101)</f>
        <v>2765</v>
      </c>
      <c r="CI102" s="888">
        <f t="shared" si="166"/>
        <v>14364</v>
      </c>
      <c r="CJ102" s="889">
        <f t="shared" si="166"/>
        <v>0.94189999999999996</v>
      </c>
    </row>
    <row r="103" spans="1:88" s="96" customFormat="1" ht="14.1" customHeight="1">
      <c r="A103" s="118">
        <v>16</v>
      </c>
      <c r="B103" s="77">
        <v>2315</v>
      </c>
      <c r="C103" s="93">
        <v>600080447</v>
      </c>
      <c r="D103" s="77">
        <v>46744819</v>
      </c>
      <c r="E103" s="77" t="s">
        <v>734</v>
      </c>
      <c r="F103" s="94">
        <v>3233</v>
      </c>
      <c r="G103" s="77" t="s">
        <v>297</v>
      </c>
      <c r="H103" s="95" t="s">
        <v>272</v>
      </c>
      <c r="I103" s="596">
        <v>2015957</v>
      </c>
      <c r="J103" s="595">
        <v>1097223</v>
      </c>
      <c r="K103" s="595">
        <v>995715</v>
      </c>
      <c r="L103" s="595">
        <v>101508</v>
      </c>
      <c r="M103" s="595">
        <v>400000</v>
      </c>
      <c r="N103" s="595">
        <v>226000</v>
      </c>
      <c r="O103" s="595">
        <v>174000</v>
      </c>
      <c r="P103" s="595">
        <v>506061</v>
      </c>
      <c r="Q103" s="595">
        <v>10972</v>
      </c>
      <c r="R103" s="595">
        <v>1701</v>
      </c>
      <c r="S103" s="416">
        <v>2.1299999999999994</v>
      </c>
      <c r="T103" s="416">
        <v>1.8</v>
      </c>
      <c r="U103" s="748">
        <v>0.3299999999999999</v>
      </c>
      <c r="V103" s="423">
        <f t="shared" si="114"/>
        <v>0</v>
      </c>
      <c r="W103" s="417">
        <f t="shared" si="115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16"/>
        <v>0</v>
      </c>
      <c r="AF103" s="417">
        <f t="shared" si="117"/>
        <v>0</v>
      </c>
      <c r="AG103" s="417">
        <f t="shared" si="118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19"/>
        <v>0</v>
      </c>
      <c r="AN103" s="417">
        <f t="shared" si="120"/>
        <v>0</v>
      </c>
      <c r="AO103" s="417">
        <f t="shared" si="121"/>
        <v>0</v>
      </c>
      <c r="AP103" s="417">
        <f t="shared" si="122"/>
        <v>0</v>
      </c>
      <c r="AQ103" s="417">
        <f t="shared" si="123"/>
        <v>0</v>
      </c>
      <c r="AR103" s="417">
        <f t="shared" si="124"/>
        <v>0</v>
      </c>
      <c r="AS103" s="68">
        <f t="shared" si="125"/>
        <v>0</v>
      </c>
      <c r="AT103" s="68">
        <f t="shared" si="126"/>
        <v>0</v>
      </c>
      <c r="AU103" s="417">
        <v>0</v>
      </c>
      <c r="AV103" s="417">
        <v>0</v>
      </c>
      <c r="AW103" s="417">
        <v>0</v>
      </c>
      <c r="AX103" s="417">
        <f t="shared" si="127"/>
        <v>0</v>
      </c>
      <c r="AY103" s="417">
        <f t="shared" si="128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29"/>
        <v>0</v>
      </c>
      <c r="BJ103" s="418">
        <f t="shared" si="130"/>
        <v>0</v>
      </c>
      <c r="BK103" s="420">
        <f t="shared" si="131"/>
        <v>0</v>
      </c>
      <c r="BL103" s="772">
        <f>I103+AY103</f>
        <v>2015957</v>
      </c>
      <c r="BM103" s="417">
        <f>J103+AG103</f>
        <v>1097223</v>
      </c>
      <c r="BN103" s="417">
        <f>K103+AE103</f>
        <v>995715</v>
      </c>
      <c r="BO103" s="417">
        <f>L103+AF103</f>
        <v>101508</v>
      </c>
      <c r="BP103" s="417">
        <f>M103+AO103</f>
        <v>400000</v>
      </c>
      <c r="BQ103" s="417">
        <f>N103+AM103</f>
        <v>226000</v>
      </c>
      <c r="BR103" s="417">
        <f>O103+AN103</f>
        <v>174000</v>
      </c>
      <c r="BS103" s="417">
        <f>P103+AS103</f>
        <v>506061</v>
      </c>
      <c r="BT103" s="417">
        <f>Q103+AT103</f>
        <v>10972</v>
      </c>
      <c r="BU103" s="417">
        <f>R103+AX103</f>
        <v>1701</v>
      </c>
      <c r="BV103" s="418">
        <f>S103+BK103</f>
        <v>2.1299999999999994</v>
      </c>
      <c r="BW103" s="418">
        <f>T103+BI103</f>
        <v>1.8</v>
      </c>
      <c r="BX103" s="420">
        <f>U103+BJ103</f>
        <v>0.3299999999999999</v>
      </c>
      <c r="BY103" s="419"/>
      <c r="BZ103" s="414"/>
      <c r="CA103" s="414"/>
      <c r="CB103" s="414"/>
      <c r="CC103" s="414"/>
      <c r="CD103" s="422"/>
      <c r="CE103" s="419">
        <v>0</v>
      </c>
      <c r="CF103" s="414">
        <v>0</v>
      </c>
      <c r="CG103" s="414">
        <v>0</v>
      </c>
      <c r="CH103" s="414">
        <v>0</v>
      </c>
      <c r="CI103" s="414">
        <v>0</v>
      </c>
      <c r="CJ103" s="509">
        <v>0</v>
      </c>
    </row>
    <row r="104" spans="1:88" s="96" customFormat="1" ht="14.1" customHeight="1">
      <c r="A104" s="119">
        <v>16</v>
      </c>
      <c r="B104" s="97">
        <v>2315</v>
      </c>
      <c r="C104" s="98">
        <v>600080447</v>
      </c>
      <c r="D104" s="97">
        <v>46744819</v>
      </c>
      <c r="E104" s="97" t="s">
        <v>735</v>
      </c>
      <c r="F104" s="99"/>
      <c r="G104" s="100"/>
      <c r="H104" s="101"/>
      <c r="I104" s="437">
        <v>2015957</v>
      </c>
      <c r="J104" s="433">
        <v>1097223</v>
      </c>
      <c r="K104" s="433">
        <v>995715</v>
      </c>
      <c r="L104" s="433">
        <v>101508</v>
      </c>
      <c r="M104" s="433">
        <v>400000</v>
      </c>
      <c r="N104" s="433">
        <v>226000</v>
      </c>
      <c r="O104" s="433">
        <v>174000</v>
      </c>
      <c r="P104" s="433">
        <v>506061</v>
      </c>
      <c r="Q104" s="433">
        <v>10972</v>
      </c>
      <c r="R104" s="433">
        <v>1701</v>
      </c>
      <c r="S104" s="434">
        <v>2.1299999999999994</v>
      </c>
      <c r="T104" s="434">
        <v>1.8</v>
      </c>
      <c r="U104" s="695">
        <v>0.3299999999999999</v>
      </c>
      <c r="V104" s="437">
        <f t="shared" ref="V104:CG104" si="167">SUM(V103:V103)</f>
        <v>0</v>
      </c>
      <c r="W104" s="433">
        <f t="shared" si="167"/>
        <v>0</v>
      </c>
      <c r="X104" s="433">
        <f t="shared" si="167"/>
        <v>0</v>
      </c>
      <c r="Y104" s="433">
        <f t="shared" si="167"/>
        <v>0</v>
      </c>
      <c r="Z104" s="433">
        <f t="shared" si="167"/>
        <v>0</v>
      </c>
      <c r="AA104" s="433">
        <f t="shared" si="167"/>
        <v>0</v>
      </c>
      <c r="AB104" s="433">
        <f t="shared" si="167"/>
        <v>0</v>
      </c>
      <c r="AC104" s="433">
        <f t="shared" si="167"/>
        <v>0</v>
      </c>
      <c r="AD104" s="433">
        <f t="shared" si="167"/>
        <v>0</v>
      </c>
      <c r="AE104" s="433">
        <f t="shared" si="167"/>
        <v>0</v>
      </c>
      <c r="AF104" s="433">
        <f t="shared" si="167"/>
        <v>0</v>
      </c>
      <c r="AG104" s="433">
        <f t="shared" si="167"/>
        <v>0</v>
      </c>
      <c r="AH104" s="433">
        <f t="shared" si="167"/>
        <v>0</v>
      </c>
      <c r="AI104" s="433">
        <f t="shared" si="167"/>
        <v>0</v>
      </c>
      <c r="AJ104" s="433">
        <f t="shared" si="167"/>
        <v>0</v>
      </c>
      <c r="AK104" s="433">
        <f t="shared" si="167"/>
        <v>0</v>
      </c>
      <c r="AL104" s="433">
        <f t="shared" si="167"/>
        <v>0</v>
      </c>
      <c r="AM104" s="433">
        <f t="shared" si="167"/>
        <v>0</v>
      </c>
      <c r="AN104" s="433">
        <f t="shared" si="167"/>
        <v>0</v>
      </c>
      <c r="AO104" s="433">
        <f t="shared" si="167"/>
        <v>0</v>
      </c>
      <c r="AP104" s="433">
        <f t="shared" si="167"/>
        <v>0</v>
      </c>
      <c r="AQ104" s="433">
        <f t="shared" si="167"/>
        <v>0</v>
      </c>
      <c r="AR104" s="433">
        <f t="shared" si="167"/>
        <v>0</v>
      </c>
      <c r="AS104" s="433">
        <f t="shared" si="167"/>
        <v>0</v>
      </c>
      <c r="AT104" s="433">
        <f t="shared" si="167"/>
        <v>0</v>
      </c>
      <c r="AU104" s="433">
        <f t="shared" si="167"/>
        <v>0</v>
      </c>
      <c r="AV104" s="433">
        <f t="shared" si="167"/>
        <v>0</v>
      </c>
      <c r="AW104" s="433">
        <f t="shared" si="167"/>
        <v>0</v>
      </c>
      <c r="AX104" s="433">
        <f t="shared" si="167"/>
        <v>0</v>
      </c>
      <c r="AY104" s="433">
        <f t="shared" si="167"/>
        <v>0</v>
      </c>
      <c r="AZ104" s="434">
        <f t="shared" si="167"/>
        <v>0</v>
      </c>
      <c r="BA104" s="434">
        <f t="shared" si="167"/>
        <v>0</v>
      </c>
      <c r="BB104" s="434">
        <f t="shared" si="167"/>
        <v>0</v>
      </c>
      <c r="BC104" s="434">
        <f t="shared" si="167"/>
        <v>0</v>
      </c>
      <c r="BD104" s="434">
        <f t="shared" si="167"/>
        <v>0</v>
      </c>
      <c r="BE104" s="434">
        <f t="shared" si="167"/>
        <v>0</v>
      </c>
      <c r="BF104" s="434">
        <f t="shared" si="167"/>
        <v>0</v>
      </c>
      <c r="BG104" s="434">
        <f t="shared" si="167"/>
        <v>0</v>
      </c>
      <c r="BH104" s="434">
        <f t="shared" si="167"/>
        <v>0</v>
      </c>
      <c r="BI104" s="434">
        <f t="shared" si="167"/>
        <v>0</v>
      </c>
      <c r="BJ104" s="434">
        <f t="shared" si="167"/>
        <v>0</v>
      </c>
      <c r="BK104" s="103">
        <f t="shared" si="167"/>
        <v>0</v>
      </c>
      <c r="BL104" s="785">
        <f t="shared" si="167"/>
        <v>2015957</v>
      </c>
      <c r="BM104" s="433">
        <f t="shared" si="167"/>
        <v>1097223</v>
      </c>
      <c r="BN104" s="433">
        <f t="shared" si="167"/>
        <v>995715</v>
      </c>
      <c r="BO104" s="433">
        <f t="shared" si="167"/>
        <v>101508</v>
      </c>
      <c r="BP104" s="433">
        <f t="shared" si="167"/>
        <v>400000</v>
      </c>
      <c r="BQ104" s="433">
        <f t="shared" si="167"/>
        <v>226000</v>
      </c>
      <c r="BR104" s="433">
        <f t="shared" si="167"/>
        <v>174000</v>
      </c>
      <c r="BS104" s="433">
        <f t="shared" si="167"/>
        <v>506061</v>
      </c>
      <c r="BT104" s="433">
        <f t="shared" si="167"/>
        <v>10972</v>
      </c>
      <c r="BU104" s="433">
        <f t="shared" si="167"/>
        <v>1701</v>
      </c>
      <c r="BV104" s="434">
        <f t="shared" si="167"/>
        <v>2.1299999999999994</v>
      </c>
      <c r="BW104" s="434">
        <f t="shared" si="167"/>
        <v>1.8</v>
      </c>
      <c r="BX104" s="103">
        <f t="shared" si="167"/>
        <v>0.3299999999999999</v>
      </c>
      <c r="BY104" s="795">
        <f t="shared" si="167"/>
        <v>0</v>
      </c>
      <c r="BZ104" s="698">
        <f t="shared" si="167"/>
        <v>0</v>
      </c>
      <c r="CA104" s="698">
        <f t="shared" si="167"/>
        <v>0</v>
      </c>
      <c r="CB104" s="698">
        <f t="shared" si="167"/>
        <v>0</v>
      </c>
      <c r="CC104" s="698">
        <f t="shared" si="167"/>
        <v>0</v>
      </c>
      <c r="CD104" s="961">
        <f t="shared" si="167"/>
        <v>0</v>
      </c>
      <c r="CE104" s="887">
        <f t="shared" si="167"/>
        <v>0</v>
      </c>
      <c r="CF104" s="888">
        <f t="shared" si="167"/>
        <v>0</v>
      </c>
      <c r="CG104" s="888">
        <f t="shared" si="167"/>
        <v>0</v>
      </c>
      <c r="CH104" s="888">
        <f t="shared" ref="CH104:CJ104" si="168">SUM(CH103:CH103)</f>
        <v>0</v>
      </c>
      <c r="CI104" s="888">
        <f t="shared" si="168"/>
        <v>0</v>
      </c>
      <c r="CJ104" s="889">
        <f t="shared" si="168"/>
        <v>0</v>
      </c>
    </row>
    <row r="105" spans="1:88" s="96" customFormat="1" ht="14.1" customHeight="1">
      <c r="A105" s="118">
        <v>17</v>
      </c>
      <c r="B105" s="77">
        <v>2494</v>
      </c>
      <c r="C105" s="93">
        <v>600080315</v>
      </c>
      <c r="D105" s="77">
        <v>72741996</v>
      </c>
      <c r="E105" s="77" t="s">
        <v>736</v>
      </c>
      <c r="F105" s="94">
        <v>3113</v>
      </c>
      <c r="G105" s="77" t="s">
        <v>293</v>
      </c>
      <c r="H105" s="95" t="s">
        <v>271</v>
      </c>
      <c r="I105" s="596">
        <v>25707956</v>
      </c>
      <c r="J105" s="595">
        <v>18630688</v>
      </c>
      <c r="K105" s="595">
        <v>16306147</v>
      </c>
      <c r="L105" s="595">
        <v>2324541</v>
      </c>
      <c r="M105" s="595">
        <v>185199</v>
      </c>
      <c r="N105" s="595">
        <v>185199</v>
      </c>
      <c r="O105" s="595">
        <v>0</v>
      </c>
      <c r="P105" s="595">
        <v>6297172</v>
      </c>
      <c r="Q105" s="595">
        <v>186307</v>
      </c>
      <c r="R105" s="595">
        <v>408590</v>
      </c>
      <c r="S105" s="416">
        <v>32.460700000000003</v>
      </c>
      <c r="T105" s="416">
        <v>25.500299999999999</v>
      </c>
      <c r="U105" s="748">
        <v>6.9604000000000008</v>
      </c>
      <c r="V105" s="423">
        <f>(AH105*-1)+AK105*-1</f>
        <v>169199</v>
      </c>
      <c r="W105" s="417">
        <f t="shared" si="115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16"/>
        <v>169199</v>
      </c>
      <c r="AF105" s="417">
        <f t="shared" si="117"/>
        <v>0</v>
      </c>
      <c r="AG105" s="417">
        <f t="shared" si="118"/>
        <v>169199</v>
      </c>
      <c r="AH105" s="417">
        <v>16000</v>
      </c>
      <c r="AI105" s="417">
        <v>0</v>
      </c>
      <c r="AJ105" s="417">
        <v>0</v>
      </c>
      <c r="AK105" s="417">
        <v>-185199</v>
      </c>
      <c r="AL105" s="417">
        <v>0</v>
      </c>
      <c r="AM105" s="417">
        <f t="shared" si="119"/>
        <v>-169199</v>
      </c>
      <c r="AN105" s="417">
        <f t="shared" si="120"/>
        <v>0</v>
      </c>
      <c r="AO105" s="417">
        <f t="shared" si="121"/>
        <v>-169199</v>
      </c>
      <c r="AP105" s="417">
        <f t="shared" si="122"/>
        <v>0</v>
      </c>
      <c r="AQ105" s="417">
        <f t="shared" si="123"/>
        <v>0</v>
      </c>
      <c r="AR105" s="417">
        <f t="shared" si="124"/>
        <v>0</v>
      </c>
      <c r="AS105" s="68">
        <f t="shared" si="125"/>
        <v>62597</v>
      </c>
      <c r="AT105" s="68">
        <f t="shared" si="126"/>
        <v>1692</v>
      </c>
      <c r="AU105" s="417">
        <v>0</v>
      </c>
      <c r="AV105" s="417">
        <v>0</v>
      </c>
      <c r="AW105" s="417">
        <v>0</v>
      </c>
      <c r="AX105" s="417">
        <f t="shared" si="127"/>
        <v>0</v>
      </c>
      <c r="AY105" s="417">
        <f t="shared" si="128"/>
        <v>64289</v>
      </c>
      <c r="AZ105" s="418">
        <v>-0.02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29"/>
        <v>-0.02</v>
      </c>
      <c r="BJ105" s="418">
        <f t="shared" si="130"/>
        <v>0</v>
      </c>
      <c r="BK105" s="420">
        <f t="shared" si="131"/>
        <v>-0.02</v>
      </c>
      <c r="BL105" s="772">
        <f>I105+AY105</f>
        <v>25772245</v>
      </c>
      <c r="BM105" s="417">
        <f>J105+AG105</f>
        <v>18799887</v>
      </c>
      <c r="BN105" s="417">
        <f t="shared" ref="BN105:BO109" si="169">K105+AE105</f>
        <v>16475346</v>
      </c>
      <c r="BO105" s="417">
        <f t="shared" si="169"/>
        <v>2324541</v>
      </c>
      <c r="BP105" s="417">
        <f>M105+AO105</f>
        <v>16000</v>
      </c>
      <c r="BQ105" s="417">
        <f t="shared" ref="BQ105:BR109" si="170">N105+AM105</f>
        <v>16000</v>
      </c>
      <c r="BR105" s="417">
        <f t="shared" si="170"/>
        <v>0</v>
      </c>
      <c r="BS105" s="417">
        <f t="shared" ref="BS105:BT109" si="171">P105+AS105</f>
        <v>6359769</v>
      </c>
      <c r="BT105" s="417">
        <f t="shared" si="171"/>
        <v>187999</v>
      </c>
      <c r="BU105" s="417">
        <f>R105+AX105</f>
        <v>408590</v>
      </c>
      <c r="BV105" s="418">
        <f>S105+BK105</f>
        <v>32.4407</v>
      </c>
      <c r="BW105" s="418">
        <f t="shared" ref="BW105:BX109" si="172">T105+BI105</f>
        <v>25.4803</v>
      </c>
      <c r="BX105" s="420">
        <f t="shared" si="172"/>
        <v>6.9604000000000008</v>
      </c>
      <c r="BY105" s="419"/>
      <c r="BZ105" s="414"/>
      <c r="CA105" s="414"/>
      <c r="CB105" s="414"/>
      <c r="CC105" s="414"/>
      <c r="CD105" s="422"/>
      <c r="CE105" s="419">
        <v>1100972</v>
      </c>
      <c r="CF105" s="414">
        <v>746098</v>
      </c>
      <c r="CG105" s="414">
        <v>252181</v>
      </c>
      <c r="CH105" s="414">
        <v>7461</v>
      </c>
      <c r="CI105" s="414">
        <v>95232</v>
      </c>
      <c r="CJ105" s="509">
        <v>2.2342000000000004</v>
      </c>
    </row>
    <row r="106" spans="1:88" s="96" customFormat="1" ht="14.1" customHeight="1">
      <c r="A106" s="118">
        <v>17</v>
      </c>
      <c r="B106" s="77">
        <v>2494</v>
      </c>
      <c r="C106" s="93">
        <v>600080315</v>
      </c>
      <c r="D106" s="77">
        <v>72741996</v>
      </c>
      <c r="E106" s="77" t="s">
        <v>736</v>
      </c>
      <c r="F106" s="94">
        <v>3113</v>
      </c>
      <c r="G106" s="43" t="s">
        <v>292</v>
      </c>
      <c r="H106" s="95" t="s">
        <v>271</v>
      </c>
      <c r="I106" s="596">
        <v>862100</v>
      </c>
      <c r="J106" s="595">
        <v>639540</v>
      </c>
      <c r="K106" s="595">
        <v>639540</v>
      </c>
      <c r="L106" s="595">
        <v>0</v>
      </c>
      <c r="M106" s="595">
        <v>0</v>
      </c>
      <c r="N106" s="595">
        <v>0</v>
      </c>
      <c r="O106" s="595">
        <v>0</v>
      </c>
      <c r="P106" s="595">
        <v>216165</v>
      </c>
      <c r="Q106" s="595">
        <v>6395</v>
      </c>
      <c r="R106" s="595">
        <v>0</v>
      </c>
      <c r="S106" s="416">
        <v>1.5</v>
      </c>
      <c r="T106" s="416">
        <v>1.5</v>
      </c>
      <c r="U106" s="748">
        <v>0</v>
      </c>
      <c r="V106" s="423">
        <f t="shared" si="114"/>
        <v>0</v>
      </c>
      <c r="W106" s="417">
        <f t="shared" si="115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16"/>
        <v>0</v>
      </c>
      <c r="AF106" s="417">
        <f t="shared" si="117"/>
        <v>0</v>
      </c>
      <c r="AG106" s="417">
        <f t="shared" si="118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19"/>
        <v>0</v>
      </c>
      <c r="AN106" s="417">
        <f t="shared" si="120"/>
        <v>0</v>
      </c>
      <c r="AO106" s="417">
        <f t="shared" si="121"/>
        <v>0</v>
      </c>
      <c r="AP106" s="417">
        <f t="shared" si="122"/>
        <v>0</v>
      </c>
      <c r="AQ106" s="417">
        <f t="shared" si="123"/>
        <v>0</v>
      </c>
      <c r="AR106" s="417">
        <f t="shared" si="124"/>
        <v>0</v>
      </c>
      <c r="AS106" s="68">
        <f t="shared" si="125"/>
        <v>0</v>
      </c>
      <c r="AT106" s="68">
        <f t="shared" si="126"/>
        <v>0</v>
      </c>
      <c r="AU106" s="417">
        <v>0</v>
      </c>
      <c r="AV106" s="417">
        <v>0</v>
      </c>
      <c r="AW106" s="417">
        <v>0</v>
      </c>
      <c r="AX106" s="417">
        <f t="shared" si="127"/>
        <v>0</v>
      </c>
      <c r="AY106" s="417">
        <f t="shared" si="128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29"/>
        <v>0</v>
      </c>
      <c r="BJ106" s="418">
        <f t="shared" si="130"/>
        <v>0</v>
      </c>
      <c r="BK106" s="420">
        <f t="shared" si="131"/>
        <v>0</v>
      </c>
      <c r="BL106" s="772">
        <f>I106+AY106</f>
        <v>862100</v>
      </c>
      <c r="BM106" s="417">
        <f>J106+AG106</f>
        <v>639540</v>
      </c>
      <c r="BN106" s="417">
        <f t="shared" si="169"/>
        <v>639540</v>
      </c>
      <c r="BO106" s="417">
        <f t="shared" si="169"/>
        <v>0</v>
      </c>
      <c r="BP106" s="417">
        <f>M106+AO106</f>
        <v>0</v>
      </c>
      <c r="BQ106" s="417">
        <f t="shared" si="170"/>
        <v>0</v>
      </c>
      <c r="BR106" s="417">
        <f t="shared" si="170"/>
        <v>0</v>
      </c>
      <c r="BS106" s="417">
        <f t="shared" si="171"/>
        <v>216165</v>
      </c>
      <c r="BT106" s="417">
        <f t="shared" si="171"/>
        <v>6395</v>
      </c>
      <c r="BU106" s="417">
        <f>R106+AX106</f>
        <v>0</v>
      </c>
      <c r="BV106" s="418">
        <f>S106+BK106</f>
        <v>1.5</v>
      </c>
      <c r="BW106" s="418">
        <f t="shared" si="172"/>
        <v>1.5</v>
      </c>
      <c r="BX106" s="420">
        <f t="shared" si="172"/>
        <v>0</v>
      </c>
      <c r="BY106" s="419"/>
      <c r="BZ106" s="414"/>
      <c r="CA106" s="414"/>
      <c r="CB106" s="414"/>
      <c r="CC106" s="414"/>
      <c r="CD106" s="422"/>
      <c r="CE106" s="419">
        <v>0</v>
      </c>
      <c r="CF106" s="414">
        <v>0</v>
      </c>
      <c r="CG106" s="414">
        <v>0</v>
      </c>
      <c r="CH106" s="414">
        <v>0</v>
      </c>
      <c r="CI106" s="414">
        <v>0</v>
      </c>
      <c r="CJ106" s="509">
        <v>0</v>
      </c>
    </row>
    <row r="107" spans="1:88" s="96" customFormat="1" ht="14.1" customHeight="1">
      <c r="A107" s="118">
        <v>17</v>
      </c>
      <c r="B107" s="102">
        <v>2494</v>
      </c>
      <c r="C107" s="93">
        <v>600080315</v>
      </c>
      <c r="D107" s="77">
        <v>72741996</v>
      </c>
      <c r="E107" s="102" t="s">
        <v>736</v>
      </c>
      <c r="F107" s="94">
        <v>3113</v>
      </c>
      <c r="G107" s="77" t="s">
        <v>291</v>
      </c>
      <c r="H107" s="95" t="s">
        <v>272</v>
      </c>
      <c r="I107" s="596">
        <v>4660421</v>
      </c>
      <c r="J107" s="595">
        <v>3441336</v>
      </c>
      <c r="K107" s="595">
        <v>3441336</v>
      </c>
      <c r="L107" s="595">
        <v>0</v>
      </c>
      <c r="M107" s="595">
        <v>0</v>
      </c>
      <c r="N107" s="595">
        <v>0</v>
      </c>
      <c r="O107" s="595">
        <v>0</v>
      </c>
      <c r="P107" s="595">
        <v>1163172</v>
      </c>
      <c r="Q107" s="595">
        <v>34413</v>
      </c>
      <c r="R107" s="595">
        <v>21500</v>
      </c>
      <c r="S107" s="416">
        <v>9.18</v>
      </c>
      <c r="T107" s="416">
        <v>9.18</v>
      </c>
      <c r="U107" s="748">
        <v>0</v>
      </c>
      <c r="V107" s="423">
        <f t="shared" si="114"/>
        <v>0</v>
      </c>
      <c r="W107" s="417">
        <f t="shared" si="115"/>
        <v>0</v>
      </c>
      <c r="X107" s="417">
        <v>6189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116"/>
        <v>6189</v>
      </c>
      <c r="AF107" s="417">
        <f t="shared" si="117"/>
        <v>0</v>
      </c>
      <c r="AG107" s="417">
        <f t="shared" si="118"/>
        <v>6189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19"/>
        <v>0</v>
      </c>
      <c r="AN107" s="417">
        <f t="shared" si="120"/>
        <v>0</v>
      </c>
      <c r="AO107" s="417">
        <f t="shared" si="121"/>
        <v>0</v>
      </c>
      <c r="AP107" s="417">
        <f t="shared" si="122"/>
        <v>6189</v>
      </c>
      <c r="AQ107" s="417">
        <f t="shared" si="123"/>
        <v>0</v>
      </c>
      <c r="AR107" s="417">
        <f t="shared" si="124"/>
        <v>6189</v>
      </c>
      <c r="AS107" s="68">
        <f t="shared" si="125"/>
        <v>2092</v>
      </c>
      <c r="AT107" s="68">
        <f t="shared" si="126"/>
        <v>62</v>
      </c>
      <c r="AU107" s="417">
        <v>4750</v>
      </c>
      <c r="AV107" s="417">
        <v>0</v>
      </c>
      <c r="AW107" s="417">
        <v>0</v>
      </c>
      <c r="AX107" s="417">
        <f t="shared" si="127"/>
        <v>4750</v>
      </c>
      <c r="AY107" s="417">
        <f t="shared" si="128"/>
        <v>13093</v>
      </c>
      <c r="AZ107" s="418">
        <v>0</v>
      </c>
      <c r="BA107" s="418">
        <v>0</v>
      </c>
      <c r="BB107" s="418">
        <v>0.01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29"/>
        <v>0.01</v>
      </c>
      <c r="BJ107" s="418">
        <f t="shared" si="130"/>
        <v>0</v>
      </c>
      <c r="BK107" s="420">
        <f t="shared" si="131"/>
        <v>0.01</v>
      </c>
      <c r="BL107" s="772">
        <f>I107+AY107</f>
        <v>4673514</v>
      </c>
      <c r="BM107" s="417">
        <f>J107+AG107</f>
        <v>3447525</v>
      </c>
      <c r="BN107" s="417">
        <f t="shared" si="169"/>
        <v>3447525</v>
      </c>
      <c r="BO107" s="417">
        <f t="shared" si="169"/>
        <v>0</v>
      </c>
      <c r="BP107" s="417">
        <f>M107+AO107</f>
        <v>0</v>
      </c>
      <c r="BQ107" s="417">
        <f t="shared" si="170"/>
        <v>0</v>
      </c>
      <c r="BR107" s="417">
        <f t="shared" si="170"/>
        <v>0</v>
      </c>
      <c r="BS107" s="417">
        <f t="shared" si="171"/>
        <v>1165264</v>
      </c>
      <c r="BT107" s="417">
        <f t="shared" si="171"/>
        <v>34475</v>
      </c>
      <c r="BU107" s="417">
        <f>R107+AX107</f>
        <v>26250</v>
      </c>
      <c r="BV107" s="418">
        <f>S107+BK107</f>
        <v>9.19</v>
      </c>
      <c r="BW107" s="418">
        <f t="shared" si="172"/>
        <v>9.19</v>
      </c>
      <c r="BX107" s="420">
        <f t="shared" si="172"/>
        <v>0</v>
      </c>
      <c r="BY107" s="419"/>
      <c r="BZ107" s="414"/>
      <c r="CA107" s="414"/>
      <c r="CB107" s="414"/>
      <c r="CC107" s="414"/>
      <c r="CD107" s="422"/>
      <c r="CE107" s="419">
        <v>0</v>
      </c>
      <c r="CF107" s="414">
        <v>0</v>
      </c>
      <c r="CG107" s="414">
        <v>0</v>
      </c>
      <c r="CH107" s="414">
        <v>0</v>
      </c>
      <c r="CI107" s="414">
        <v>0</v>
      </c>
      <c r="CJ107" s="509">
        <v>0</v>
      </c>
    </row>
    <row r="108" spans="1:88" s="96" customFormat="1" ht="14.1" customHeight="1">
      <c r="A108" s="118">
        <v>17</v>
      </c>
      <c r="B108" s="77">
        <v>2494</v>
      </c>
      <c r="C108" s="93">
        <v>600080315</v>
      </c>
      <c r="D108" s="77">
        <v>72741996</v>
      </c>
      <c r="E108" s="77" t="s">
        <v>736</v>
      </c>
      <c r="F108" s="94">
        <v>3143</v>
      </c>
      <c r="G108" s="77" t="s">
        <v>595</v>
      </c>
      <c r="H108" s="95" t="s">
        <v>271</v>
      </c>
      <c r="I108" s="596">
        <v>1336774</v>
      </c>
      <c r="J108" s="595">
        <v>991672</v>
      </c>
      <c r="K108" s="595">
        <v>991672</v>
      </c>
      <c r="L108" s="595">
        <v>0</v>
      </c>
      <c r="M108" s="595">
        <v>0</v>
      </c>
      <c r="N108" s="595">
        <v>0</v>
      </c>
      <c r="O108" s="595">
        <v>0</v>
      </c>
      <c r="P108" s="595">
        <v>335185</v>
      </c>
      <c r="Q108" s="595">
        <v>9917</v>
      </c>
      <c r="R108" s="595">
        <v>0</v>
      </c>
      <c r="S108" s="416">
        <v>2.0487000000000002</v>
      </c>
      <c r="T108" s="416">
        <v>2.0487000000000002</v>
      </c>
      <c r="U108" s="748">
        <v>0</v>
      </c>
      <c r="V108" s="423">
        <f t="shared" si="114"/>
        <v>0</v>
      </c>
      <c r="W108" s="417">
        <f t="shared" si="115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16"/>
        <v>0</v>
      </c>
      <c r="AF108" s="417">
        <f t="shared" si="117"/>
        <v>0</v>
      </c>
      <c r="AG108" s="417">
        <f t="shared" si="118"/>
        <v>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19"/>
        <v>0</v>
      </c>
      <c r="AN108" s="417">
        <f t="shared" si="120"/>
        <v>0</v>
      </c>
      <c r="AO108" s="417">
        <f t="shared" si="121"/>
        <v>0</v>
      </c>
      <c r="AP108" s="417">
        <f t="shared" si="122"/>
        <v>0</v>
      </c>
      <c r="AQ108" s="417">
        <f t="shared" si="123"/>
        <v>0</v>
      </c>
      <c r="AR108" s="417">
        <f t="shared" si="124"/>
        <v>0</v>
      </c>
      <c r="AS108" s="68">
        <f t="shared" si="125"/>
        <v>0</v>
      </c>
      <c r="AT108" s="68">
        <f t="shared" si="126"/>
        <v>0</v>
      </c>
      <c r="AU108" s="417">
        <v>0</v>
      </c>
      <c r="AV108" s="417">
        <v>0</v>
      </c>
      <c r="AW108" s="417">
        <v>0</v>
      </c>
      <c r="AX108" s="417">
        <f t="shared" si="127"/>
        <v>0</v>
      </c>
      <c r="AY108" s="417">
        <f t="shared" si="128"/>
        <v>0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29"/>
        <v>0</v>
      </c>
      <c r="BJ108" s="418">
        <f t="shared" si="130"/>
        <v>0</v>
      </c>
      <c r="BK108" s="420">
        <f t="shared" si="131"/>
        <v>0</v>
      </c>
      <c r="BL108" s="772">
        <f>I108+AY108</f>
        <v>1336774</v>
      </c>
      <c r="BM108" s="417">
        <f>J108+AG108</f>
        <v>991672</v>
      </c>
      <c r="BN108" s="417">
        <f t="shared" si="169"/>
        <v>991672</v>
      </c>
      <c r="BO108" s="417">
        <f t="shared" si="169"/>
        <v>0</v>
      </c>
      <c r="BP108" s="417">
        <f>M108+AO108</f>
        <v>0</v>
      </c>
      <c r="BQ108" s="417">
        <f t="shared" si="170"/>
        <v>0</v>
      </c>
      <c r="BR108" s="417">
        <f t="shared" si="170"/>
        <v>0</v>
      </c>
      <c r="BS108" s="417">
        <f t="shared" si="171"/>
        <v>335185</v>
      </c>
      <c r="BT108" s="417">
        <f t="shared" si="171"/>
        <v>9917</v>
      </c>
      <c r="BU108" s="417">
        <f>R108+AX108</f>
        <v>0</v>
      </c>
      <c r="BV108" s="418">
        <f>S108+BK108</f>
        <v>2.0487000000000002</v>
      </c>
      <c r="BW108" s="418">
        <f t="shared" si="172"/>
        <v>2.0487000000000002</v>
      </c>
      <c r="BX108" s="420">
        <f t="shared" si="172"/>
        <v>0</v>
      </c>
      <c r="BY108" s="419"/>
      <c r="BZ108" s="414"/>
      <c r="CA108" s="414"/>
      <c r="CB108" s="414"/>
      <c r="CC108" s="414"/>
      <c r="CD108" s="422"/>
      <c r="CE108" s="419">
        <v>0</v>
      </c>
      <c r="CF108" s="414">
        <v>0</v>
      </c>
      <c r="CG108" s="414">
        <v>0</v>
      </c>
      <c r="CH108" s="414">
        <v>0</v>
      </c>
      <c r="CI108" s="414">
        <v>0</v>
      </c>
      <c r="CJ108" s="509">
        <v>0</v>
      </c>
    </row>
    <row r="109" spans="1:88" s="96" customFormat="1" ht="14.1" customHeight="1">
      <c r="A109" s="118">
        <v>17</v>
      </c>
      <c r="B109" s="77">
        <v>2494</v>
      </c>
      <c r="C109" s="93">
        <v>600080315</v>
      </c>
      <c r="D109" s="77">
        <v>72741996</v>
      </c>
      <c r="E109" s="77" t="s">
        <v>736</v>
      </c>
      <c r="F109" s="94">
        <v>3143</v>
      </c>
      <c r="G109" s="77" t="s">
        <v>596</v>
      </c>
      <c r="H109" s="95" t="s">
        <v>272</v>
      </c>
      <c r="I109" s="596">
        <v>54556</v>
      </c>
      <c r="J109" s="595">
        <v>39050</v>
      </c>
      <c r="K109" s="595">
        <v>0</v>
      </c>
      <c r="L109" s="601">
        <v>39050</v>
      </c>
      <c r="M109" s="595">
        <v>0</v>
      </c>
      <c r="N109" s="602">
        <v>0</v>
      </c>
      <c r="O109" s="602">
        <v>0</v>
      </c>
      <c r="P109" s="595">
        <v>13199</v>
      </c>
      <c r="Q109" s="595">
        <v>390</v>
      </c>
      <c r="R109" s="602">
        <v>1917</v>
      </c>
      <c r="S109" s="416">
        <v>0.14860000000000001</v>
      </c>
      <c r="T109" s="605">
        <v>0</v>
      </c>
      <c r="U109" s="731">
        <v>0.14860000000000001</v>
      </c>
      <c r="V109" s="423">
        <f t="shared" si="114"/>
        <v>0</v>
      </c>
      <c r="W109" s="417">
        <f t="shared" si="115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16"/>
        <v>0</v>
      </c>
      <c r="AF109" s="417">
        <f t="shared" si="117"/>
        <v>0</v>
      </c>
      <c r="AG109" s="417">
        <f t="shared" si="118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19"/>
        <v>0</v>
      </c>
      <c r="AN109" s="417">
        <f t="shared" si="120"/>
        <v>0</v>
      </c>
      <c r="AO109" s="417">
        <f t="shared" si="121"/>
        <v>0</v>
      </c>
      <c r="AP109" s="417">
        <f t="shared" si="122"/>
        <v>0</v>
      </c>
      <c r="AQ109" s="417">
        <f t="shared" si="123"/>
        <v>0</v>
      </c>
      <c r="AR109" s="417">
        <f t="shared" si="124"/>
        <v>0</v>
      </c>
      <c r="AS109" s="68">
        <f t="shared" si="125"/>
        <v>0</v>
      </c>
      <c r="AT109" s="68">
        <f t="shared" si="126"/>
        <v>0</v>
      </c>
      <c r="AU109" s="417">
        <v>0</v>
      </c>
      <c r="AV109" s="417">
        <v>0</v>
      </c>
      <c r="AW109" s="417">
        <v>0</v>
      </c>
      <c r="AX109" s="417">
        <f t="shared" si="127"/>
        <v>0</v>
      </c>
      <c r="AY109" s="417">
        <f t="shared" si="128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29"/>
        <v>0</v>
      </c>
      <c r="BJ109" s="418">
        <f t="shared" si="130"/>
        <v>0</v>
      </c>
      <c r="BK109" s="420">
        <f t="shared" si="131"/>
        <v>0</v>
      </c>
      <c r="BL109" s="772">
        <f>I109+AY109</f>
        <v>54556</v>
      </c>
      <c r="BM109" s="417">
        <f>J109+AG109</f>
        <v>39050</v>
      </c>
      <c r="BN109" s="417">
        <f t="shared" si="169"/>
        <v>0</v>
      </c>
      <c r="BO109" s="417">
        <f t="shared" si="169"/>
        <v>39050</v>
      </c>
      <c r="BP109" s="417">
        <f>M109+AO109</f>
        <v>0</v>
      </c>
      <c r="BQ109" s="417">
        <f t="shared" si="170"/>
        <v>0</v>
      </c>
      <c r="BR109" s="417">
        <f t="shared" si="170"/>
        <v>0</v>
      </c>
      <c r="BS109" s="417">
        <f t="shared" si="171"/>
        <v>13199</v>
      </c>
      <c r="BT109" s="417">
        <f t="shared" si="171"/>
        <v>390</v>
      </c>
      <c r="BU109" s="417">
        <f>R109+AX109</f>
        <v>1917</v>
      </c>
      <c r="BV109" s="418">
        <f>S109+BK109</f>
        <v>0.14860000000000001</v>
      </c>
      <c r="BW109" s="418">
        <f t="shared" si="172"/>
        <v>0</v>
      </c>
      <c r="BX109" s="420">
        <f t="shared" si="172"/>
        <v>0.14860000000000001</v>
      </c>
      <c r="BY109" s="419"/>
      <c r="BZ109" s="414"/>
      <c r="CA109" s="414"/>
      <c r="CB109" s="414"/>
      <c r="CC109" s="414"/>
      <c r="CD109" s="422"/>
      <c r="CE109" s="419">
        <v>0</v>
      </c>
      <c r="CF109" s="414">
        <v>0</v>
      </c>
      <c r="CG109" s="414">
        <v>0</v>
      </c>
      <c r="CH109" s="414">
        <v>0</v>
      </c>
      <c r="CI109" s="414">
        <v>0</v>
      </c>
      <c r="CJ109" s="509">
        <v>0</v>
      </c>
    </row>
    <row r="110" spans="1:88" s="96" customFormat="1" ht="14.1" customHeight="1">
      <c r="A110" s="119">
        <v>17</v>
      </c>
      <c r="B110" s="97">
        <v>2494</v>
      </c>
      <c r="C110" s="98">
        <v>600080315</v>
      </c>
      <c r="D110" s="97">
        <v>72741996</v>
      </c>
      <c r="E110" s="97" t="s">
        <v>737</v>
      </c>
      <c r="F110" s="99"/>
      <c r="G110" s="100"/>
      <c r="H110" s="101"/>
      <c r="I110" s="437">
        <v>32621807</v>
      </c>
      <c r="J110" s="433">
        <v>23742286</v>
      </c>
      <c r="K110" s="433">
        <v>21378695</v>
      </c>
      <c r="L110" s="433">
        <v>2363591</v>
      </c>
      <c r="M110" s="433">
        <v>185199</v>
      </c>
      <c r="N110" s="433">
        <v>185199</v>
      </c>
      <c r="O110" s="433">
        <v>0</v>
      </c>
      <c r="P110" s="433">
        <v>8024893</v>
      </c>
      <c r="Q110" s="433">
        <v>237422</v>
      </c>
      <c r="R110" s="433">
        <v>432007</v>
      </c>
      <c r="S110" s="434">
        <v>45.338000000000008</v>
      </c>
      <c r="T110" s="434">
        <v>38.228999999999999</v>
      </c>
      <c r="U110" s="695">
        <v>7.1090000000000009</v>
      </c>
      <c r="V110" s="437">
        <f t="shared" ref="V110:CG110" si="173">SUM(V105:V109)</f>
        <v>169199</v>
      </c>
      <c r="W110" s="433">
        <f t="shared" si="173"/>
        <v>0</v>
      </c>
      <c r="X110" s="433">
        <f t="shared" si="173"/>
        <v>6189</v>
      </c>
      <c r="Y110" s="433">
        <f t="shared" si="173"/>
        <v>0</v>
      </c>
      <c r="Z110" s="433">
        <f t="shared" si="173"/>
        <v>0</v>
      </c>
      <c r="AA110" s="433">
        <f t="shared" si="173"/>
        <v>0</v>
      </c>
      <c r="AB110" s="433">
        <f t="shared" si="173"/>
        <v>0</v>
      </c>
      <c r="AC110" s="433">
        <f t="shared" si="173"/>
        <v>0</v>
      </c>
      <c r="AD110" s="433">
        <f t="shared" si="173"/>
        <v>0</v>
      </c>
      <c r="AE110" s="433">
        <f t="shared" si="173"/>
        <v>175388</v>
      </c>
      <c r="AF110" s="433">
        <f t="shared" si="173"/>
        <v>0</v>
      </c>
      <c r="AG110" s="433">
        <f t="shared" si="173"/>
        <v>175388</v>
      </c>
      <c r="AH110" s="433">
        <f t="shared" si="173"/>
        <v>16000</v>
      </c>
      <c r="AI110" s="433">
        <f t="shared" si="173"/>
        <v>0</v>
      </c>
      <c r="AJ110" s="433">
        <f t="shared" si="173"/>
        <v>0</v>
      </c>
      <c r="AK110" s="433">
        <f t="shared" si="173"/>
        <v>-185199</v>
      </c>
      <c r="AL110" s="433">
        <f t="shared" si="173"/>
        <v>0</v>
      </c>
      <c r="AM110" s="433">
        <f t="shared" si="173"/>
        <v>-169199</v>
      </c>
      <c r="AN110" s="433">
        <f t="shared" si="173"/>
        <v>0</v>
      </c>
      <c r="AO110" s="433">
        <f t="shared" si="173"/>
        <v>-169199</v>
      </c>
      <c r="AP110" s="433">
        <f t="shared" si="173"/>
        <v>6189</v>
      </c>
      <c r="AQ110" s="433">
        <f t="shared" si="173"/>
        <v>0</v>
      </c>
      <c r="AR110" s="433">
        <f t="shared" si="173"/>
        <v>6189</v>
      </c>
      <c r="AS110" s="433">
        <f t="shared" si="173"/>
        <v>64689</v>
      </c>
      <c r="AT110" s="433">
        <f t="shared" si="173"/>
        <v>1754</v>
      </c>
      <c r="AU110" s="433">
        <f t="shared" si="173"/>
        <v>4750</v>
      </c>
      <c r="AV110" s="433">
        <f t="shared" si="173"/>
        <v>0</v>
      </c>
      <c r="AW110" s="433">
        <f t="shared" si="173"/>
        <v>0</v>
      </c>
      <c r="AX110" s="433">
        <f t="shared" si="173"/>
        <v>4750</v>
      </c>
      <c r="AY110" s="433">
        <f t="shared" si="173"/>
        <v>77382</v>
      </c>
      <c r="AZ110" s="434">
        <f t="shared" si="173"/>
        <v>-0.02</v>
      </c>
      <c r="BA110" s="434">
        <f t="shared" si="173"/>
        <v>0</v>
      </c>
      <c r="BB110" s="434">
        <f t="shared" si="173"/>
        <v>0.01</v>
      </c>
      <c r="BC110" s="434">
        <f t="shared" si="173"/>
        <v>0</v>
      </c>
      <c r="BD110" s="434">
        <f t="shared" si="173"/>
        <v>0</v>
      </c>
      <c r="BE110" s="434">
        <f t="shared" si="173"/>
        <v>0</v>
      </c>
      <c r="BF110" s="434">
        <f t="shared" si="173"/>
        <v>0</v>
      </c>
      <c r="BG110" s="434">
        <f t="shared" si="173"/>
        <v>0</v>
      </c>
      <c r="BH110" s="434">
        <f t="shared" si="173"/>
        <v>0</v>
      </c>
      <c r="BI110" s="434">
        <f t="shared" si="173"/>
        <v>-0.01</v>
      </c>
      <c r="BJ110" s="434">
        <f t="shared" si="173"/>
        <v>0</v>
      </c>
      <c r="BK110" s="103">
        <f t="shared" si="173"/>
        <v>-0.01</v>
      </c>
      <c r="BL110" s="785">
        <f t="shared" si="173"/>
        <v>32699189</v>
      </c>
      <c r="BM110" s="433">
        <f t="shared" si="173"/>
        <v>23917674</v>
      </c>
      <c r="BN110" s="433">
        <f t="shared" si="173"/>
        <v>21554083</v>
      </c>
      <c r="BO110" s="433">
        <f t="shared" si="173"/>
        <v>2363591</v>
      </c>
      <c r="BP110" s="433">
        <f t="shared" si="173"/>
        <v>16000</v>
      </c>
      <c r="BQ110" s="433">
        <f t="shared" si="173"/>
        <v>16000</v>
      </c>
      <c r="BR110" s="433">
        <f t="shared" si="173"/>
        <v>0</v>
      </c>
      <c r="BS110" s="433">
        <f t="shared" si="173"/>
        <v>8089582</v>
      </c>
      <c r="BT110" s="433">
        <f t="shared" si="173"/>
        <v>239176</v>
      </c>
      <c r="BU110" s="433">
        <f t="shared" si="173"/>
        <v>436757</v>
      </c>
      <c r="BV110" s="434">
        <f t="shared" si="173"/>
        <v>45.328000000000003</v>
      </c>
      <c r="BW110" s="434">
        <f t="shared" si="173"/>
        <v>38.218999999999994</v>
      </c>
      <c r="BX110" s="103">
        <f t="shared" si="173"/>
        <v>7.1090000000000009</v>
      </c>
      <c r="BY110" s="795">
        <f t="shared" si="173"/>
        <v>0</v>
      </c>
      <c r="BZ110" s="698">
        <f t="shared" si="173"/>
        <v>0</v>
      </c>
      <c r="CA110" s="698">
        <f t="shared" si="173"/>
        <v>0</v>
      </c>
      <c r="CB110" s="698">
        <f t="shared" si="173"/>
        <v>0</v>
      </c>
      <c r="CC110" s="698">
        <f t="shared" si="173"/>
        <v>0</v>
      </c>
      <c r="CD110" s="961">
        <f t="shared" si="173"/>
        <v>0</v>
      </c>
      <c r="CE110" s="887">
        <f t="shared" si="173"/>
        <v>1100972</v>
      </c>
      <c r="CF110" s="888">
        <f t="shared" si="173"/>
        <v>746098</v>
      </c>
      <c r="CG110" s="888">
        <f t="shared" si="173"/>
        <v>252181</v>
      </c>
      <c r="CH110" s="888">
        <f t="shared" ref="CH110:CJ110" si="174">SUM(CH105:CH109)</f>
        <v>7461</v>
      </c>
      <c r="CI110" s="888">
        <f t="shared" si="174"/>
        <v>95232</v>
      </c>
      <c r="CJ110" s="889">
        <f t="shared" si="174"/>
        <v>2.2342000000000004</v>
      </c>
    </row>
    <row r="111" spans="1:88" s="96" customFormat="1" ht="14.1" customHeight="1">
      <c r="A111" s="118">
        <v>18</v>
      </c>
      <c r="B111" s="77">
        <v>2301</v>
      </c>
      <c r="C111" s="93">
        <v>600080226</v>
      </c>
      <c r="D111" s="77">
        <v>72741830</v>
      </c>
      <c r="E111" s="77" t="s">
        <v>738</v>
      </c>
      <c r="F111" s="94">
        <v>3231</v>
      </c>
      <c r="G111" s="77" t="s">
        <v>295</v>
      </c>
      <c r="H111" s="95" t="s">
        <v>271</v>
      </c>
      <c r="I111" s="596">
        <v>5482610</v>
      </c>
      <c r="J111" s="595">
        <v>4060098</v>
      </c>
      <c r="K111" s="16">
        <v>3833564</v>
      </c>
      <c r="L111" s="16">
        <v>226534</v>
      </c>
      <c r="M111" s="595">
        <v>0</v>
      </c>
      <c r="N111" s="595">
        <v>0</v>
      </c>
      <c r="O111" s="595">
        <v>0</v>
      </c>
      <c r="P111" s="595">
        <v>1372313</v>
      </c>
      <c r="Q111" s="595">
        <v>40601</v>
      </c>
      <c r="R111" s="16">
        <v>9598</v>
      </c>
      <c r="S111" s="416">
        <v>6.6736999999999993</v>
      </c>
      <c r="T111" s="13">
        <v>6.0381</v>
      </c>
      <c r="U111" s="169">
        <v>0.63559999999999994</v>
      </c>
      <c r="V111" s="423">
        <f t="shared" si="114"/>
        <v>0</v>
      </c>
      <c r="W111" s="417">
        <f t="shared" si="115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16"/>
        <v>0</v>
      </c>
      <c r="AF111" s="417">
        <f t="shared" si="117"/>
        <v>0</v>
      </c>
      <c r="AG111" s="417">
        <f t="shared" si="118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19"/>
        <v>0</v>
      </c>
      <c r="AN111" s="417">
        <f t="shared" si="120"/>
        <v>0</v>
      </c>
      <c r="AO111" s="417">
        <f t="shared" si="121"/>
        <v>0</v>
      </c>
      <c r="AP111" s="417">
        <f t="shared" si="122"/>
        <v>0</v>
      </c>
      <c r="AQ111" s="417">
        <f t="shared" si="123"/>
        <v>0</v>
      </c>
      <c r="AR111" s="417">
        <f t="shared" si="124"/>
        <v>0</v>
      </c>
      <c r="AS111" s="68">
        <f t="shared" si="125"/>
        <v>0</v>
      </c>
      <c r="AT111" s="68">
        <f t="shared" si="126"/>
        <v>0</v>
      </c>
      <c r="AU111" s="417">
        <v>0</v>
      </c>
      <c r="AV111" s="417">
        <v>0</v>
      </c>
      <c r="AW111" s="417">
        <v>0</v>
      </c>
      <c r="AX111" s="417">
        <f t="shared" si="127"/>
        <v>0</v>
      </c>
      <c r="AY111" s="417">
        <f t="shared" si="128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29"/>
        <v>0</v>
      </c>
      <c r="BJ111" s="418">
        <f t="shared" si="130"/>
        <v>0</v>
      </c>
      <c r="BK111" s="420">
        <f t="shared" si="131"/>
        <v>0</v>
      </c>
      <c r="BL111" s="772">
        <f>I111+AY111</f>
        <v>5482610</v>
      </c>
      <c r="BM111" s="417">
        <f>J111+AG111</f>
        <v>4060098</v>
      </c>
      <c r="BN111" s="417">
        <f>K111+AE111</f>
        <v>3833564</v>
      </c>
      <c r="BO111" s="417">
        <f>L111+AF111</f>
        <v>226534</v>
      </c>
      <c r="BP111" s="417">
        <f>M111+AO111</f>
        <v>0</v>
      </c>
      <c r="BQ111" s="417">
        <f>N111+AM111</f>
        <v>0</v>
      </c>
      <c r="BR111" s="417">
        <f>O111+AN111</f>
        <v>0</v>
      </c>
      <c r="BS111" s="417">
        <f>P111+AS111</f>
        <v>1372313</v>
      </c>
      <c r="BT111" s="417">
        <f>Q111+AT111</f>
        <v>40601</v>
      </c>
      <c r="BU111" s="417">
        <f>R111+AX111</f>
        <v>9598</v>
      </c>
      <c r="BV111" s="418">
        <f>S111+BK111</f>
        <v>6.6736999999999993</v>
      </c>
      <c r="BW111" s="418">
        <f>T111+BI111</f>
        <v>6.0381</v>
      </c>
      <c r="BX111" s="420">
        <f>U111+BJ111</f>
        <v>0.63559999999999994</v>
      </c>
      <c r="BY111" s="419"/>
      <c r="BZ111" s="414"/>
      <c r="CA111" s="414"/>
      <c r="CB111" s="414"/>
      <c r="CC111" s="414"/>
      <c r="CD111" s="422"/>
      <c r="CE111" s="419">
        <v>103380</v>
      </c>
      <c r="CF111" s="414">
        <v>74360</v>
      </c>
      <c r="CG111" s="414">
        <v>25134</v>
      </c>
      <c r="CH111" s="414">
        <v>744</v>
      </c>
      <c r="CI111" s="414">
        <v>3142</v>
      </c>
      <c r="CJ111" s="509">
        <v>0.20860000000000001</v>
      </c>
    </row>
    <row r="112" spans="1:88" s="96" customFormat="1" ht="14.1" customHeight="1">
      <c r="A112" s="119">
        <v>18</v>
      </c>
      <c r="B112" s="97">
        <v>2301</v>
      </c>
      <c r="C112" s="98">
        <v>600080226</v>
      </c>
      <c r="D112" s="97">
        <v>72741830</v>
      </c>
      <c r="E112" s="97" t="s">
        <v>739</v>
      </c>
      <c r="F112" s="99"/>
      <c r="G112" s="100"/>
      <c r="H112" s="101"/>
      <c r="I112" s="438">
        <v>5482610</v>
      </c>
      <c r="J112" s="435">
        <v>4060098</v>
      </c>
      <c r="K112" s="435">
        <v>3833564</v>
      </c>
      <c r="L112" s="435">
        <v>226534</v>
      </c>
      <c r="M112" s="435">
        <v>0</v>
      </c>
      <c r="N112" s="435">
        <v>0</v>
      </c>
      <c r="O112" s="435">
        <v>0</v>
      </c>
      <c r="P112" s="435">
        <v>1372313</v>
      </c>
      <c r="Q112" s="435">
        <v>40601</v>
      </c>
      <c r="R112" s="435">
        <v>9598</v>
      </c>
      <c r="S112" s="436">
        <v>6.6736999999999993</v>
      </c>
      <c r="T112" s="436">
        <v>6.0381</v>
      </c>
      <c r="U112" s="696">
        <v>0.63559999999999994</v>
      </c>
      <c r="V112" s="438">
        <f t="shared" ref="V112:CG112" si="175">SUM(V111)</f>
        <v>0</v>
      </c>
      <c r="W112" s="435">
        <f t="shared" si="175"/>
        <v>0</v>
      </c>
      <c r="X112" s="435">
        <f t="shared" si="175"/>
        <v>0</v>
      </c>
      <c r="Y112" s="435">
        <f t="shared" si="175"/>
        <v>0</v>
      </c>
      <c r="Z112" s="435">
        <f t="shared" si="175"/>
        <v>0</v>
      </c>
      <c r="AA112" s="435">
        <f t="shared" si="175"/>
        <v>0</v>
      </c>
      <c r="AB112" s="435">
        <f t="shared" si="175"/>
        <v>0</v>
      </c>
      <c r="AC112" s="435">
        <f t="shared" si="175"/>
        <v>0</v>
      </c>
      <c r="AD112" s="435">
        <f t="shared" si="175"/>
        <v>0</v>
      </c>
      <c r="AE112" s="435">
        <f t="shared" si="175"/>
        <v>0</v>
      </c>
      <c r="AF112" s="435">
        <f t="shared" si="175"/>
        <v>0</v>
      </c>
      <c r="AG112" s="435">
        <f t="shared" si="175"/>
        <v>0</v>
      </c>
      <c r="AH112" s="435">
        <f t="shared" si="175"/>
        <v>0</v>
      </c>
      <c r="AI112" s="435">
        <f t="shared" si="175"/>
        <v>0</v>
      </c>
      <c r="AJ112" s="435">
        <f t="shared" si="175"/>
        <v>0</v>
      </c>
      <c r="AK112" s="435">
        <f t="shared" si="175"/>
        <v>0</v>
      </c>
      <c r="AL112" s="435">
        <f t="shared" si="175"/>
        <v>0</v>
      </c>
      <c r="AM112" s="435">
        <f t="shared" si="175"/>
        <v>0</v>
      </c>
      <c r="AN112" s="435">
        <f t="shared" si="175"/>
        <v>0</v>
      </c>
      <c r="AO112" s="435">
        <f t="shared" si="175"/>
        <v>0</v>
      </c>
      <c r="AP112" s="435">
        <f t="shared" si="175"/>
        <v>0</v>
      </c>
      <c r="AQ112" s="435">
        <f t="shared" si="175"/>
        <v>0</v>
      </c>
      <c r="AR112" s="435">
        <f t="shared" si="175"/>
        <v>0</v>
      </c>
      <c r="AS112" s="435">
        <f t="shared" si="175"/>
        <v>0</v>
      </c>
      <c r="AT112" s="435">
        <f t="shared" si="175"/>
        <v>0</v>
      </c>
      <c r="AU112" s="435">
        <f t="shared" si="175"/>
        <v>0</v>
      </c>
      <c r="AV112" s="435">
        <f t="shared" si="175"/>
        <v>0</v>
      </c>
      <c r="AW112" s="435">
        <f t="shared" si="175"/>
        <v>0</v>
      </c>
      <c r="AX112" s="435">
        <f t="shared" si="175"/>
        <v>0</v>
      </c>
      <c r="AY112" s="435">
        <f t="shared" si="175"/>
        <v>0</v>
      </c>
      <c r="AZ112" s="436">
        <f t="shared" si="175"/>
        <v>0</v>
      </c>
      <c r="BA112" s="436">
        <f t="shared" si="175"/>
        <v>0</v>
      </c>
      <c r="BB112" s="436">
        <f t="shared" si="175"/>
        <v>0</v>
      </c>
      <c r="BC112" s="436">
        <f t="shared" si="175"/>
        <v>0</v>
      </c>
      <c r="BD112" s="436">
        <f t="shared" si="175"/>
        <v>0</v>
      </c>
      <c r="BE112" s="436">
        <f t="shared" si="175"/>
        <v>0</v>
      </c>
      <c r="BF112" s="436">
        <f t="shared" si="175"/>
        <v>0</v>
      </c>
      <c r="BG112" s="436">
        <f t="shared" si="175"/>
        <v>0</v>
      </c>
      <c r="BH112" s="436">
        <f t="shared" si="175"/>
        <v>0</v>
      </c>
      <c r="BI112" s="436">
        <f t="shared" si="175"/>
        <v>0</v>
      </c>
      <c r="BJ112" s="436">
        <f t="shared" si="175"/>
        <v>0</v>
      </c>
      <c r="BK112" s="107">
        <f t="shared" si="175"/>
        <v>0</v>
      </c>
      <c r="BL112" s="786">
        <f t="shared" si="175"/>
        <v>5482610</v>
      </c>
      <c r="BM112" s="435">
        <f t="shared" si="175"/>
        <v>4060098</v>
      </c>
      <c r="BN112" s="435">
        <f t="shared" si="175"/>
        <v>3833564</v>
      </c>
      <c r="BO112" s="435">
        <f t="shared" si="175"/>
        <v>226534</v>
      </c>
      <c r="BP112" s="435">
        <f t="shared" si="175"/>
        <v>0</v>
      </c>
      <c r="BQ112" s="435">
        <f t="shared" si="175"/>
        <v>0</v>
      </c>
      <c r="BR112" s="435">
        <f t="shared" si="175"/>
        <v>0</v>
      </c>
      <c r="BS112" s="435">
        <f t="shared" si="175"/>
        <v>1372313</v>
      </c>
      <c r="BT112" s="435">
        <f t="shared" si="175"/>
        <v>40601</v>
      </c>
      <c r="BU112" s="435">
        <f t="shared" si="175"/>
        <v>9598</v>
      </c>
      <c r="BV112" s="436">
        <f t="shared" si="175"/>
        <v>6.6736999999999993</v>
      </c>
      <c r="BW112" s="436">
        <f t="shared" si="175"/>
        <v>6.0381</v>
      </c>
      <c r="BX112" s="107">
        <f t="shared" si="175"/>
        <v>0.63559999999999994</v>
      </c>
      <c r="BY112" s="796">
        <f t="shared" si="175"/>
        <v>0</v>
      </c>
      <c r="BZ112" s="699">
        <f t="shared" si="175"/>
        <v>0</v>
      </c>
      <c r="CA112" s="699">
        <f t="shared" si="175"/>
        <v>0</v>
      </c>
      <c r="CB112" s="699">
        <f t="shared" si="175"/>
        <v>0</v>
      </c>
      <c r="CC112" s="699">
        <f t="shared" si="175"/>
        <v>0</v>
      </c>
      <c r="CD112" s="962">
        <f t="shared" si="175"/>
        <v>0</v>
      </c>
      <c r="CE112" s="890">
        <f t="shared" si="175"/>
        <v>103380</v>
      </c>
      <c r="CF112" s="891">
        <f t="shared" si="175"/>
        <v>74360</v>
      </c>
      <c r="CG112" s="891">
        <f t="shared" si="175"/>
        <v>25134</v>
      </c>
      <c r="CH112" s="891">
        <f t="shared" ref="CH112:CJ112" si="176">SUM(CH111)</f>
        <v>744</v>
      </c>
      <c r="CI112" s="891">
        <f t="shared" si="176"/>
        <v>3142</v>
      </c>
      <c r="CJ112" s="892">
        <f t="shared" si="176"/>
        <v>0.20860000000000001</v>
      </c>
    </row>
    <row r="113" spans="1:88" s="96" customFormat="1" ht="14.1" customHeight="1">
      <c r="A113" s="118">
        <v>19</v>
      </c>
      <c r="B113" s="102">
        <v>2497</v>
      </c>
      <c r="C113" s="93">
        <v>600080064</v>
      </c>
      <c r="D113" s="77">
        <v>72744189</v>
      </c>
      <c r="E113" s="77" t="s">
        <v>740</v>
      </c>
      <c r="F113" s="94">
        <v>3111</v>
      </c>
      <c r="G113" s="77" t="s">
        <v>290</v>
      </c>
      <c r="H113" s="95" t="s">
        <v>271</v>
      </c>
      <c r="I113" s="596">
        <v>7021707</v>
      </c>
      <c r="J113" s="595">
        <v>5089167</v>
      </c>
      <c r="K113" s="595">
        <v>4702095</v>
      </c>
      <c r="L113" s="595">
        <v>387072</v>
      </c>
      <c r="M113" s="595">
        <v>95000</v>
      </c>
      <c r="N113" s="595">
        <v>90000</v>
      </c>
      <c r="O113" s="595">
        <v>5000</v>
      </c>
      <c r="P113" s="595">
        <v>1752248</v>
      </c>
      <c r="Q113" s="595">
        <v>50892</v>
      </c>
      <c r="R113" s="595">
        <v>34400</v>
      </c>
      <c r="S113" s="416">
        <v>9.450800000000001</v>
      </c>
      <c r="T113" s="416">
        <v>7.88</v>
      </c>
      <c r="U113" s="748">
        <v>1.5708</v>
      </c>
      <c r="V113" s="423">
        <f t="shared" si="114"/>
        <v>-30000</v>
      </c>
      <c r="W113" s="417">
        <f t="shared" si="115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16"/>
        <v>-30000</v>
      </c>
      <c r="AF113" s="417">
        <f t="shared" si="117"/>
        <v>0</v>
      </c>
      <c r="AG113" s="417">
        <f t="shared" si="118"/>
        <v>-30000</v>
      </c>
      <c r="AH113" s="417">
        <v>30000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19"/>
        <v>30000</v>
      </c>
      <c r="AN113" s="417">
        <f t="shared" si="120"/>
        <v>0</v>
      </c>
      <c r="AO113" s="417">
        <f t="shared" si="121"/>
        <v>30000</v>
      </c>
      <c r="AP113" s="417">
        <f t="shared" si="122"/>
        <v>0</v>
      </c>
      <c r="AQ113" s="417">
        <f t="shared" si="123"/>
        <v>0</v>
      </c>
      <c r="AR113" s="417">
        <f t="shared" si="124"/>
        <v>0</v>
      </c>
      <c r="AS113" s="68">
        <f t="shared" si="125"/>
        <v>0</v>
      </c>
      <c r="AT113" s="68">
        <f t="shared" si="126"/>
        <v>-300</v>
      </c>
      <c r="AU113" s="417">
        <v>0</v>
      </c>
      <c r="AV113" s="417">
        <v>0</v>
      </c>
      <c r="AW113" s="417">
        <v>0</v>
      </c>
      <c r="AX113" s="417">
        <f t="shared" si="127"/>
        <v>0</v>
      </c>
      <c r="AY113" s="417">
        <f t="shared" si="128"/>
        <v>-300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29"/>
        <v>0</v>
      </c>
      <c r="BJ113" s="418">
        <f t="shared" si="130"/>
        <v>0</v>
      </c>
      <c r="BK113" s="420">
        <f t="shared" si="131"/>
        <v>0</v>
      </c>
      <c r="BL113" s="772">
        <f t="shared" ref="BL113:BL120" si="177">I113+AY113</f>
        <v>7021407</v>
      </c>
      <c r="BM113" s="417">
        <f t="shared" ref="BM113:BM120" si="178">J113+AG113</f>
        <v>5059167</v>
      </c>
      <c r="BN113" s="417">
        <f t="shared" ref="BN113:BO120" si="179">K113+AE113</f>
        <v>4672095</v>
      </c>
      <c r="BO113" s="417">
        <f t="shared" si="179"/>
        <v>387072</v>
      </c>
      <c r="BP113" s="417">
        <f t="shared" ref="BP113:BP120" si="180">M113+AO113</f>
        <v>125000</v>
      </c>
      <c r="BQ113" s="417">
        <f t="shared" ref="BQ113:BR120" si="181">N113+AM113</f>
        <v>120000</v>
      </c>
      <c r="BR113" s="417">
        <f t="shared" si="181"/>
        <v>5000</v>
      </c>
      <c r="BS113" s="417">
        <f t="shared" ref="BS113:BT120" si="182">P113+AS113</f>
        <v>1752248</v>
      </c>
      <c r="BT113" s="417">
        <f t="shared" si="182"/>
        <v>50592</v>
      </c>
      <c r="BU113" s="417">
        <f t="shared" ref="BU113:BU120" si="183">R113+AX113</f>
        <v>34400</v>
      </c>
      <c r="BV113" s="418">
        <f t="shared" ref="BV113:BV120" si="184">S113+BK113</f>
        <v>9.450800000000001</v>
      </c>
      <c r="BW113" s="418">
        <f t="shared" ref="BW113:BX120" si="185">T113+BI113</f>
        <v>7.88</v>
      </c>
      <c r="BX113" s="420">
        <f t="shared" si="185"/>
        <v>1.5708</v>
      </c>
      <c r="BY113" s="419"/>
      <c r="BZ113" s="414"/>
      <c r="CA113" s="414"/>
      <c r="CB113" s="414"/>
      <c r="CC113" s="414"/>
      <c r="CD113" s="422"/>
      <c r="CE113" s="419">
        <v>181016</v>
      </c>
      <c r="CF113" s="414">
        <v>125800</v>
      </c>
      <c r="CG113" s="414">
        <v>42520</v>
      </c>
      <c r="CH113" s="414">
        <v>1258</v>
      </c>
      <c r="CI113" s="414">
        <v>11438</v>
      </c>
      <c r="CJ113" s="509">
        <v>0.504</v>
      </c>
    </row>
    <row r="114" spans="1:88" s="96" customFormat="1" ht="14.1" customHeight="1">
      <c r="A114" s="118">
        <v>19</v>
      </c>
      <c r="B114" s="77">
        <v>2497</v>
      </c>
      <c r="C114" s="93">
        <v>600080064</v>
      </c>
      <c r="D114" s="77">
        <v>72744189</v>
      </c>
      <c r="E114" s="77" t="s">
        <v>740</v>
      </c>
      <c r="F114" s="94">
        <v>3113</v>
      </c>
      <c r="G114" s="77" t="s">
        <v>293</v>
      </c>
      <c r="H114" s="95" t="s">
        <v>271</v>
      </c>
      <c r="I114" s="596">
        <v>21970444</v>
      </c>
      <c r="J114" s="595">
        <v>15958219</v>
      </c>
      <c r="K114" s="595">
        <v>13891395</v>
      </c>
      <c r="L114" s="595">
        <v>2066824</v>
      </c>
      <c r="M114" s="595">
        <v>100000</v>
      </c>
      <c r="N114" s="595">
        <v>95000</v>
      </c>
      <c r="O114" s="595">
        <v>5000</v>
      </c>
      <c r="P114" s="595">
        <v>5427678</v>
      </c>
      <c r="Q114" s="595">
        <v>159582</v>
      </c>
      <c r="R114" s="595">
        <v>324965</v>
      </c>
      <c r="S114" s="416">
        <v>26.619699999999998</v>
      </c>
      <c r="T114" s="416">
        <v>20.454499999999999</v>
      </c>
      <c r="U114" s="748">
        <v>6.1651999999999996</v>
      </c>
      <c r="V114" s="423">
        <f t="shared" si="114"/>
        <v>-30000</v>
      </c>
      <c r="W114" s="417">
        <f t="shared" si="115"/>
        <v>-5000</v>
      </c>
      <c r="X114" s="417">
        <v>0</v>
      </c>
      <c r="Y114" s="417">
        <v>0</v>
      </c>
      <c r="Z114" s="417">
        <v>101181</v>
      </c>
      <c r="AA114" s="417">
        <v>0</v>
      </c>
      <c r="AB114" s="417">
        <v>0</v>
      </c>
      <c r="AC114" s="417">
        <v>0</v>
      </c>
      <c r="AD114" s="417">
        <v>0</v>
      </c>
      <c r="AE114" s="417">
        <f t="shared" si="116"/>
        <v>71181</v>
      </c>
      <c r="AF114" s="417">
        <f t="shared" si="117"/>
        <v>-5000</v>
      </c>
      <c r="AG114" s="417">
        <f t="shared" si="118"/>
        <v>66181</v>
      </c>
      <c r="AH114" s="417">
        <v>30000</v>
      </c>
      <c r="AI114" s="417">
        <v>5000</v>
      </c>
      <c r="AJ114" s="417">
        <v>0</v>
      </c>
      <c r="AK114" s="417">
        <v>0</v>
      </c>
      <c r="AL114" s="417">
        <v>0</v>
      </c>
      <c r="AM114" s="417">
        <f t="shared" si="119"/>
        <v>30000</v>
      </c>
      <c r="AN114" s="417">
        <f t="shared" si="120"/>
        <v>5000</v>
      </c>
      <c r="AO114" s="417">
        <f t="shared" si="121"/>
        <v>35000</v>
      </c>
      <c r="AP114" s="417">
        <f t="shared" si="122"/>
        <v>101181</v>
      </c>
      <c r="AQ114" s="417">
        <f t="shared" si="123"/>
        <v>0</v>
      </c>
      <c r="AR114" s="417">
        <f t="shared" si="124"/>
        <v>101181</v>
      </c>
      <c r="AS114" s="68">
        <f t="shared" si="125"/>
        <v>34199</v>
      </c>
      <c r="AT114" s="68">
        <f t="shared" si="126"/>
        <v>662</v>
      </c>
      <c r="AU114" s="417">
        <v>0</v>
      </c>
      <c r="AV114" s="417">
        <v>0</v>
      </c>
      <c r="AW114" s="417">
        <v>0</v>
      </c>
      <c r="AX114" s="417">
        <f t="shared" si="127"/>
        <v>0</v>
      </c>
      <c r="AY114" s="417">
        <f t="shared" si="128"/>
        <v>136042</v>
      </c>
      <c r="AZ114" s="418">
        <v>0</v>
      </c>
      <c r="BA114" s="418">
        <v>0</v>
      </c>
      <c r="BB114" s="418">
        <v>0</v>
      </c>
      <c r="BC114" s="418">
        <v>0.21</v>
      </c>
      <c r="BD114" s="418">
        <v>0</v>
      </c>
      <c r="BE114" s="418">
        <v>0</v>
      </c>
      <c r="BF114" s="418">
        <v>0</v>
      </c>
      <c r="BG114" s="418">
        <v>0</v>
      </c>
      <c r="BH114" s="418">
        <v>0</v>
      </c>
      <c r="BI114" s="418">
        <f t="shared" si="129"/>
        <v>0.21</v>
      </c>
      <c r="BJ114" s="418">
        <f t="shared" si="130"/>
        <v>0</v>
      </c>
      <c r="BK114" s="420">
        <f t="shared" si="131"/>
        <v>0.21</v>
      </c>
      <c r="BL114" s="772">
        <f t="shared" si="177"/>
        <v>22106486</v>
      </c>
      <c r="BM114" s="417">
        <f t="shared" si="178"/>
        <v>16024400</v>
      </c>
      <c r="BN114" s="417">
        <f t="shared" si="179"/>
        <v>13962576</v>
      </c>
      <c r="BO114" s="417">
        <f t="shared" si="179"/>
        <v>2061824</v>
      </c>
      <c r="BP114" s="417">
        <f t="shared" si="180"/>
        <v>135000</v>
      </c>
      <c r="BQ114" s="417">
        <f t="shared" si="181"/>
        <v>125000</v>
      </c>
      <c r="BR114" s="417">
        <f t="shared" si="181"/>
        <v>10000</v>
      </c>
      <c r="BS114" s="417">
        <f t="shared" si="182"/>
        <v>5461877</v>
      </c>
      <c r="BT114" s="417">
        <f t="shared" si="182"/>
        <v>160244</v>
      </c>
      <c r="BU114" s="417">
        <f t="shared" si="183"/>
        <v>324965</v>
      </c>
      <c r="BV114" s="418">
        <f t="shared" si="184"/>
        <v>26.829699999999999</v>
      </c>
      <c r="BW114" s="418">
        <f t="shared" si="185"/>
        <v>20.6645</v>
      </c>
      <c r="BX114" s="420">
        <f t="shared" si="185"/>
        <v>6.1651999999999996</v>
      </c>
      <c r="BY114" s="419">
        <v>380136</v>
      </c>
      <c r="BZ114" s="414">
        <v>282000</v>
      </c>
      <c r="CA114" s="414">
        <v>0</v>
      </c>
      <c r="CB114" s="414">
        <v>95316</v>
      </c>
      <c r="CC114" s="414">
        <v>2820</v>
      </c>
      <c r="CD114" s="422">
        <v>0.5</v>
      </c>
      <c r="CE114" s="419">
        <v>972650</v>
      </c>
      <c r="CF114" s="414">
        <v>664913</v>
      </c>
      <c r="CG114" s="414">
        <v>224741</v>
      </c>
      <c r="CH114" s="414">
        <v>6649</v>
      </c>
      <c r="CI114" s="414">
        <v>76347</v>
      </c>
      <c r="CJ114" s="509">
        <v>1.9786999999999999</v>
      </c>
    </row>
    <row r="115" spans="1:88" s="96" customFormat="1" ht="14.1" customHeight="1">
      <c r="A115" s="118">
        <v>19</v>
      </c>
      <c r="B115" s="77">
        <v>2497</v>
      </c>
      <c r="C115" s="93">
        <v>600080064</v>
      </c>
      <c r="D115" s="77">
        <v>72744189</v>
      </c>
      <c r="E115" s="77" t="s">
        <v>740</v>
      </c>
      <c r="F115" s="94">
        <v>3113</v>
      </c>
      <c r="G115" s="43" t="s">
        <v>292</v>
      </c>
      <c r="H115" s="95" t="s">
        <v>271</v>
      </c>
      <c r="I115" s="596">
        <v>2139512</v>
      </c>
      <c r="J115" s="595">
        <v>1582212</v>
      </c>
      <c r="K115" s="595">
        <v>1582212</v>
      </c>
      <c r="L115" s="595">
        <v>0</v>
      </c>
      <c r="M115" s="595">
        <v>5000</v>
      </c>
      <c r="N115" s="595">
        <v>5000</v>
      </c>
      <c r="O115" s="595">
        <v>0</v>
      </c>
      <c r="P115" s="595">
        <v>536478</v>
      </c>
      <c r="Q115" s="595">
        <v>15822</v>
      </c>
      <c r="R115" s="595">
        <v>0</v>
      </c>
      <c r="S115" s="416">
        <v>3.7584</v>
      </c>
      <c r="T115" s="416">
        <v>3.7584</v>
      </c>
      <c r="U115" s="748">
        <v>0</v>
      </c>
      <c r="V115" s="423">
        <f t="shared" si="114"/>
        <v>0</v>
      </c>
      <c r="W115" s="417">
        <f t="shared" si="115"/>
        <v>0</v>
      </c>
      <c r="X115" s="417">
        <v>0</v>
      </c>
      <c r="Y115" s="417">
        <v>0</v>
      </c>
      <c r="Z115" s="417">
        <v>62502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16"/>
        <v>62502</v>
      </c>
      <c r="AF115" s="417">
        <f t="shared" si="117"/>
        <v>0</v>
      </c>
      <c r="AG115" s="417">
        <f t="shared" si="118"/>
        <v>62502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19"/>
        <v>0</v>
      </c>
      <c r="AN115" s="417">
        <f t="shared" si="120"/>
        <v>0</v>
      </c>
      <c r="AO115" s="417">
        <f t="shared" si="121"/>
        <v>0</v>
      </c>
      <c r="AP115" s="417">
        <f t="shared" si="122"/>
        <v>62502</v>
      </c>
      <c r="AQ115" s="417">
        <f t="shared" si="123"/>
        <v>0</v>
      </c>
      <c r="AR115" s="417">
        <f t="shared" si="124"/>
        <v>62502</v>
      </c>
      <c r="AS115" s="68">
        <f t="shared" si="125"/>
        <v>21126</v>
      </c>
      <c r="AT115" s="68">
        <f t="shared" si="126"/>
        <v>625</v>
      </c>
      <c r="AU115" s="417">
        <v>0</v>
      </c>
      <c r="AV115" s="417">
        <v>0</v>
      </c>
      <c r="AW115" s="417">
        <v>0</v>
      </c>
      <c r="AX115" s="417">
        <f t="shared" si="127"/>
        <v>0</v>
      </c>
      <c r="AY115" s="417">
        <f t="shared" si="128"/>
        <v>84253</v>
      </c>
      <c r="AZ115" s="418">
        <v>0</v>
      </c>
      <c r="BA115" s="418">
        <v>0</v>
      </c>
      <c r="BB115" s="418">
        <v>0</v>
      </c>
      <c r="BC115" s="418">
        <v>0.17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29"/>
        <v>0.17</v>
      </c>
      <c r="BJ115" s="418">
        <f t="shared" si="130"/>
        <v>0</v>
      </c>
      <c r="BK115" s="420">
        <f t="shared" si="131"/>
        <v>0.17</v>
      </c>
      <c r="BL115" s="772">
        <f t="shared" si="177"/>
        <v>2223765</v>
      </c>
      <c r="BM115" s="417">
        <f t="shared" si="178"/>
        <v>1644714</v>
      </c>
      <c r="BN115" s="417">
        <f t="shared" si="179"/>
        <v>1644714</v>
      </c>
      <c r="BO115" s="417">
        <f t="shared" si="179"/>
        <v>0</v>
      </c>
      <c r="BP115" s="417">
        <f t="shared" si="180"/>
        <v>5000</v>
      </c>
      <c r="BQ115" s="417">
        <f t="shared" si="181"/>
        <v>5000</v>
      </c>
      <c r="BR115" s="417">
        <f t="shared" si="181"/>
        <v>0</v>
      </c>
      <c r="BS115" s="417">
        <f t="shared" si="182"/>
        <v>557604</v>
      </c>
      <c r="BT115" s="417">
        <f t="shared" si="182"/>
        <v>16447</v>
      </c>
      <c r="BU115" s="417">
        <f t="shared" si="183"/>
        <v>0</v>
      </c>
      <c r="BV115" s="418">
        <f t="shared" si="184"/>
        <v>3.9283999999999999</v>
      </c>
      <c r="BW115" s="418">
        <f t="shared" si="185"/>
        <v>3.9283999999999999</v>
      </c>
      <c r="BX115" s="420">
        <f t="shared" si="185"/>
        <v>0</v>
      </c>
      <c r="BY115" s="419"/>
      <c r="BZ115" s="414"/>
      <c r="CA115" s="414"/>
      <c r="CB115" s="414"/>
      <c r="CC115" s="414"/>
      <c r="CD115" s="422"/>
      <c r="CE115" s="419">
        <v>0</v>
      </c>
      <c r="CF115" s="414">
        <v>0</v>
      </c>
      <c r="CG115" s="414">
        <v>0</v>
      </c>
      <c r="CH115" s="414">
        <v>0</v>
      </c>
      <c r="CI115" s="414">
        <v>0</v>
      </c>
      <c r="CJ115" s="509">
        <v>0</v>
      </c>
    </row>
    <row r="116" spans="1:88" s="96" customFormat="1" ht="14.1" customHeight="1">
      <c r="A116" s="118">
        <v>19</v>
      </c>
      <c r="B116" s="102">
        <v>2497</v>
      </c>
      <c r="C116" s="93">
        <v>600080064</v>
      </c>
      <c r="D116" s="77">
        <v>72744189</v>
      </c>
      <c r="E116" s="102" t="s">
        <v>740</v>
      </c>
      <c r="F116" s="94">
        <v>3113</v>
      </c>
      <c r="G116" s="77" t="s">
        <v>291</v>
      </c>
      <c r="H116" s="95" t="s">
        <v>272</v>
      </c>
      <c r="I116" s="596">
        <v>5274460</v>
      </c>
      <c r="J116" s="595">
        <v>3893887</v>
      </c>
      <c r="K116" s="595">
        <v>3893887</v>
      </c>
      <c r="L116" s="595">
        <v>0</v>
      </c>
      <c r="M116" s="595">
        <v>0</v>
      </c>
      <c r="N116" s="595">
        <v>0</v>
      </c>
      <c r="O116" s="595">
        <v>0</v>
      </c>
      <c r="P116" s="595">
        <v>1316134</v>
      </c>
      <c r="Q116" s="595">
        <v>38939</v>
      </c>
      <c r="R116" s="595">
        <v>25500</v>
      </c>
      <c r="S116" s="416">
        <v>10.3</v>
      </c>
      <c r="T116" s="416">
        <v>10.3</v>
      </c>
      <c r="U116" s="748">
        <v>0</v>
      </c>
      <c r="V116" s="423">
        <f t="shared" si="114"/>
        <v>0</v>
      </c>
      <c r="W116" s="417">
        <f t="shared" si="115"/>
        <v>0</v>
      </c>
      <c r="X116" s="417">
        <v>6189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16"/>
        <v>6189</v>
      </c>
      <c r="AF116" s="417">
        <f t="shared" si="117"/>
        <v>0</v>
      </c>
      <c r="AG116" s="417">
        <f t="shared" si="118"/>
        <v>6189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19"/>
        <v>0</v>
      </c>
      <c r="AN116" s="417">
        <f t="shared" si="120"/>
        <v>0</v>
      </c>
      <c r="AO116" s="417">
        <f t="shared" si="121"/>
        <v>0</v>
      </c>
      <c r="AP116" s="417">
        <f t="shared" si="122"/>
        <v>6189</v>
      </c>
      <c r="AQ116" s="417">
        <f t="shared" si="123"/>
        <v>0</v>
      </c>
      <c r="AR116" s="417">
        <f t="shared" si="124"/>
        <v>6189</v>
      </c>
      <c r="AS116" s="68">
        <f t="shared" si="125"/>
        <v>2092</v>
      </c>
      <c r="AT116" s="68">
        <f t="shared" si="126"/>
        <v>62</v>
      </c>
      <c r="AU116" s="417">
        <v>500</v>
      </c>
      <c r="AV116" s="417">
        <v>0</v>
      </c>
      <c r="AW116" s="417">
        <v>0</v>
      </c>
      <c r="AX116" s="417">
        <f t="shared" si="127"/>
        <v>500</v>
      </c>
      <c r="AY116" s="417">
        <f t="shared" si="128"/>
        <v>8843</v>
      </c>
      <c r="AZ116" s="418">
        <v>0</v>
      </c>
      <c r="BA116" s="418">
        <v>0</v>
      </c>
      <c r="BB116" s="418">
        <v>0.01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29"/>
        <v>0.01</v>
      </c>
      <c r="BJ116" s="418">
        <f t="shared" si="130"/>
        <v>0</v>
      </c>
      <c r="BK116" s="420">
        <f t="shared" si="131"/>
        <v>0.01</v>
      </c>
      <c r="BL116" s="772">
        <f t="shared" si="177"/>
        <v>5283303</v>
      </c>
      <c r="BM116" s="417">
        <f t="shared" si="178"/>
        <v>3900076</v>
      </c>
      <c r="BN116" s="417">
        <f t="shared" si="179"/>
        <v>3900076</v>
      </c>
      <c r="BO116" s="417">
        <f t="shared" si="179"/>
        <v>0</v>
      </c>
      <c r="BP116" s="417">
        <f t="shared" si="180"/>
        <v>0</v>
      </c>
      <c r="BQ116" s="417">
        <f t="shared" si="181"/>
        <v>0</v>
      </c>
      <c r="BR116" s="417">
        <f t="shared" si="181"/>
        <v>0</v>
      </c>
      <c r="BS116" s="417">
        <f t="shared" si="182"/>
        <v>1318226</v>
      </c>
      <c r="BT116" s="417">
        <f t="shared" si="182"/>
        <v>39001</v>
      </c>
      <c r="BU116" s="417">
        <f t="shared" si="183"/>
        <v>26000</v>
      </c>
      <c r="BV116" s="418">
        <f t="shared" si="184"/>
        <v>10.31</v>
      </c>
      <c r="BW116" s="418">
        <f t="shared" si="185"/>
        <v>10.31</v>
      </c>
      <c r="BX116" s="420">
        <f t="shared" si="185"/>
        <v>0</v>
      </c>
      <c r="BY116" s="419"/>
      <c r="BZ116" s="414"/>
      <c r="CA116" s="414"/>
      <c r="CB116" s="414"/>
      <c r="CC116" s="414"/>
      <c r="CD116" s="422"/>
      <c r="CE116" s="419">
        <v>0</v>
      </c>
      <c r="CF116" s="414">
        <v>0</v>
      </c>
      <c r="CG116" s="414">
        <v>0</v>
      </c>
      <c r="CH116" s="414">
        <v>0</v>
      </c>
      <c r="CI116" s="414">
        <v>0</v>
      </c>
      <c r="CJ116" s="509">
        <v>0</v>
      </c>
    </row>
    <row r="117" spans="1:88" s="96" customFormat="1" ht="14.1" customHeight="1">
      <c r="A117" s="118">
        <v>19</v>
      </c>
      <c r="B117" s="77">
        <v>2497</v>
      </c>
      <c r="C117" s="93">
        <v>600080064</v>
      </c>
      <c r="D117" s="77">
        <v>72744189</v>
      </c>
      <c r="E117" s="77" t="s">
        <v>740</v>
      </c>
      <c r="F117" s="94">
        <v>3141</v>
      </c>
      <c r="G117" s="77" t="s">
        <v>294</v>
      </c>
      <c r="H117" s="95" t="s">
        <v>272</v>
      </c>
      <c r="I117" s="596">
        <v>2468620</v>
      </c>
      <c r="J117" s="595">
        <v>1793803</v>
      </c>
      <c r="K117" s="595">
        <v>0</v>
      </c>
      <c r="L117" s="601">
        <v>1793803</v>
      </c>
      <c r="M117" s="595">
        <v>25000</v>
      </c>
      <c r="N117" s="595">
        <v>0</v>
      </c>
      <c r="O117" s="595">
        <v>25000</v>
      </c>
      <c r="P117" s="595">
        <v>614755</v>
      </c>
      <c r="Q117" s="595">
        <v>17938</v>
      </c>
      <c r="R117" s="595">
        <v>17124</v>
      </c>
      <c r="S117" s="416">
        <v>5.4532999999999996</v>
      </c>
      <c r="T117" s="416">
        <v>0</v>
      </c>
      <c r="U117" s="748">
        <v>5.4532999999999996</v>
      </c>
      <c r="V117" s="423">
        <f t="shared" si="114"/>
        <v>0</v>
      </c>
      <c r="W117" s="417">
        <f t="shared" si="115"/>
        <v>-35000</v>
      </c>
      <c r="X117" s="417">
        <v>0</v>
      </c>
      <c r="Y117" s="417">
        <v>0</v>
      </c>
      <c r="Z117" s="417">
        <v>0</v>
      </c>
      <c r="AA117" s="417">
        <v>-28701</v>
      </c>
      <c r="AB117" s="417">
        <v>0</v>
      </c>
      <c r="AC117" s="417">
        <v>0</v>
      </c>
      <c r="AD117" s="417">
        <v>0</v>
      </c>
      <c r="AE117" s="417">
        <f t="shared" si="116"/>
        <v>0</v>
      </c>
      <c r="AF117" s="417">
        <f t="shared" si="117"/>
        <v>-63701</v>
      </c>
      <c r="AG117" s="417">
        <f t="shared" si="118"/>
        <v>-63701</v>
      </c>
      <c r="AH117" s="417">
        <v>0</v>
      </c>
      <c r="AI117" s="417">
        <v>35000</v>
      </c>
      <c r="AJ117" s="417">
        <v>0</v>
      </c>
      <c r="AK117" s="417">
        <v>0</v>
      </c>
      <c r="AL117" s="417">
        <v>0</v>
      </c>
      <c r="AM117" s="417">
        <f t="shared" si="119"/>
        <v>0</v>
      </c>
      <c r="AN117" s="417">
        <f t="shared" si="120"/>
        <v>35000</v>
      </c>
      <c r="AO117" s="417">
        <f t="shared" si="121"/>
        <v>35000</v>
      </c>
      <c r="AP117" s="417">
        <f t="shared" si="122"/>
        <v>0</v>
      </c>
      <c r="AQ117" s="417">
        <f t="shared" si="123"/>
        <v>-28701</v>
      </c>
      <c r="AR117" s="417">
        <f t="shared" si="124"/>
        <v>-28701</v>
      </c>
      <c r="AS117" s="68">
        <f t="shared" si="125"/>
        <v>-9701</v>
      </c>
      <c r="AT117" s="68">
        <f t="shared" si="126"/>
        <v>-637</v>
      </c>
      <c r="AU117" s="417">
        <v>0</v>
      </c>
      <c r="AV117" s="417">
        <v>0</v>
      </c>
      <c r="AW117" s="417">
        <v>0</v>
      </c>
      <c r="AX117" s="417">
        <f t="shared" si="127"/>
        <v>0</v>
      </c>
      <c r="AY117" s="417">
        <f t="shared" si="128"/>
        <v>-39039</v>
      </c>
      <c r="AZ117" s="418">
        <v>0</v>
      </c>
      <c r="BA117" s="418">
        <v>0</v>
      </c>
      <c r="BB117" s="418">
        <v>0</v>
      </c>
      <c r="BC117" s="418">
        <v>0</v>
      </c>
      <c r="BD117" s="418">
        <v>-0.09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29"/>
        <v>0</v>
      </c>
      <c r="BJ117" s="418">
        <f t="shared" si="130"/>
        <v>-0.09</v>
      </c>
      <c r="BK117" s="420">
        <f t="shared" si="131"/>
        <v>-0.09</v>
      </c>
      <c r="BL117" s="772">
        <f t="shared" si="177"/>
        <v>2429581</v>
      </c>
      <c r="BM117" s="417">
        <f t="shared" si="178"/>
        <v>1730102</v>
      </c>
      <c r="BN117" s="417">
        <f t="shared" si="179"/>
        <v>0</v>
      </c>
      <c r="BO117" s="417">
        <f t="shared" si="179"/>
        <v>1730102</v>
      </c>
      <c r="BP117" s="417">
        <f t="shared" si="180"/>
        <v>60000</v>
      </c>
      <c r="BQ117" s="417">
        <f t="shared" si="181"/>
        <v>0</v>
      </c>
      <c r="BR117" s="417">
        <f t="shared" si="181"/>
        <v>60000</v>
      </c>
      <c r="BS117" s="417">
        <f t="shared" si="182"/>
        <v>605054</v>
      </c>
      <c r="BT117" s="417">
        <f t="shared" si="182"/>
        <v>17301</v>
      </c>
      <c r="BU117" s="417">
        <f t="shared" si="183"/>
        <v>17124</v>
      </c>
      <c r="BV117" s="418">
        <f t="shared" si="184"/>
        <v>5.3632999999999997</v>
      </c>
      <c r="BW117" s="418">
        <f t="shared" si="185"/>
        <v>0</v>
      </c>
      <c r="BX117" s="420">
        <f t="shared" si="185"/>
        <v>5.3632999999999997</v>
      </c>
      <c r="BY117" s="419"/>
      <c r="BZ117" s="414"/>
      <c r="CA117" s="414"/>
      <c r="CB117" s="414"/>
      <c r="CC117" s="414"/>
      <c r="CD117" s="422"/>
      <c r="CE117" s="419">
        <v>0</v>
      </c>
      <c r="CF117" s="414">
        <v>0</v>
      </c>
      <c r="CG117" s="414">
        <v>0</v>
      </c>
      <c r="CH117" s="414">
        <v>0</v>
      </c>
      <c r="CI117" s="414">
        <v>0</v>
      </c>
      <c r="CJ117" s="509">
        <v>0</v>
      </c>
    </row>
    <row r="118" spans="1:88" s="96" customFormat="1" ht="14.1" customHeight="1">
      <c r="A118" s="118">
        <v>19</v>
      </c>
      <c r="B118" s="77">
        <v>2497</v>
      </c>
      <c r="C118" s="93">
        <v>600080064</v>
      </c>
      <c r="D118" s="77">
        <v>72744189</v>
      </c>
      <c r="E118" s="77" t="s">
        <v>740</v>
      </c>
      <c r="F118" s="94">
        <v>3143</v>
      </c>
      <c r="G118" s="77" t="s">
        <v>595</v>
      </c>
      <c r="H118" s="95" t="s">
        <v>271</v>
      </c>
      <c r="I118" s="596">
        <v>1084503</v>
      </c>
      <c r="J118" s="595">
        <v>779713</v>
      </c>
      <c r="K118" s="595">
        <v>779713</v>
      </c>
      <c r="L118" s="595">
        <v>0</v>
      </c>
      <c r="M118" s="595">
        <v>25000</v>
      </c>
      <c r="N118" s="595">
        <v>25000</v>
      </c>
      <c r="O118" s="595">
        <v>0</v>
      </c>
      <c r="P118" s="595">
        <v>271993</v>
      </c>
      <c r="Q118" s="595">
        <v>7797</v>
      </c>
      <c r="R118" s="595">
        <v>0</v>
      </c>
      <c r="S118" s="416">
        <v>1.76</v>
      </c>
      <c r="T118" s="416">
        <v>1.76</v>
      </c>
      <c r="U118" s="748">
        <v>0</v>
      </c>
      <c r="V118" s="423">
        <f t="shared" si="114"/>
        <v>-35000</v>
      </c>
      <c r="W118" s="417">
        <f t="shared" si="115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16"/>
        <v>-35000</v>
      </c>
      <c r="AF118" s="417">
        <f t="shared" si="117"/>
        <v>0</v>
      </c>
      <c r="AG118" s="417">
        <f t="shared" si="118"/>
        <v>-35000</v>
      </c>
      <c r="AH118" s="417">
        <v>35000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19"/>
        <v>35000</v>
      </c>
      <c r="AN118" s="417">
        <f t="shared" si="120"/>
        <v>0</v>
      </c>
      <c r="AO118" s="417">
        <f t="shared" si="121"/>
        <v>35000</v>
      </c>
      <c r="AP118" s="417">
        <f t="shared" si="122"/>
        <v>0</v>
      </c>
      <c r="AQ118" s="417">
        <f t="shared" si="123"/>
        <v>0</v>
      </c>
      <c r="AR118" s="417">
        <f t="shared" si="124"/>
        <v>0</v>
      </c>
      <c r="AS118" s="68">
        <f t="shared" si="125"/>
        <v>0</v>
      </c>
      <c r="AT118" s="68">
        <f t="shared" si="126"/>
        <v>-350</v>
      </c>
      <c r="AU118" s="417">
        <v>0</v>
      </c>
      <c r="AV118" s="417">
        <v>0</v>
      </c>
      <c r="AW118" s="417">
        <v>0</v>
      </c>
      <c r="AX118" s="417">
        <f t="shared" si="127"/>
        <v>0</v>
      </c>
      <c r="AY118" s="417">
        <f t="shared" si="128"/>
        <v>-350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29"/>
        <v>0</v>
      </c>
      <c r="BJ118" s="418">
        <f t="shared" si="130"/>
        <v>0</v>
      </c>
      <c r="BK118" s="420">
        <f t="shared" si="131"/>
        <v>0</v>
      </c>
      <c r="BL118" s="772">
        <f t="shared" si="177"/>
        <v>1084153</v>
      </c>
      <c r="BM118" s="417">
        <f t="shared" si="178"/>
        <v>744713</v>
      </c>
      <c r="BN118" s="417">
        <f t="shared" si="179"/>
        <v>744713</v>
      </c>
      <c r="BO118" s="417">
        <f t="shared" si="179"/>
        <v>0</v>
      </c>
      <c r="BP118" s="417">
        <f t="shared" si="180"/>
        <v>60000</v>
      </c>
      <c r="BQ118" s="417">
        <f t="shared" si="181"/>
        <v>60000</v>
      </c>
      <c r="BR118" s="417">
        <f t="shared" si="181"/>
        <v>0</v>
      </c>
      <c r="BS118" s="417">
        <f t="shared" si="182"/>
        <v>271993</v>
      </c>
      <c r="BT118" s="417">
        <f t="shared" si="182"/>
        <v>7447</v>
      </c>
      <c r="BU118" s="417">
        <f t="shared" si="183"/>
        <v>0</v>
      </c>
      <c r="BV118" s="418">
        <f t="shared" si="184"/>
        <v>1.76</v>
      </c>
      <c r="BW118" s="418">
        <f t="shared" si="185"/>
        <v>1.76</v>
      </c>
      <c r="BX118" s="420">
        <f t="shared" si="185"/>
        <v>0</v>
      </c>
      <c r="BY118" s="419"/>
      <c r="BZ118" s="414"/>
      <c r="CA118" s="414"/>
      <c r="CB118" s="414"/>
      <c r="CC118" s="414"/>
      <c r="CD118" s="422"/>
      <c r="CE118" s="419">
        <v>0</v>
      </c>
      <c r="CF118" s="414">
        <v>0</v>
      </c>
      <c r="CG118" s="414">
        <v>0</v>
      </c>
      <c r="CH118" s="414">
        <v>0</v>
      </c>
      <c r="CI118" s="414">
        <v>0</v>
      </c>
      <c r="CJ118" s="509">
        <v>0</v>
      </c>
    </row>
    <row r="119" spans="1:88" s="96" customFormat="1" ht="14.1" customHeight="1">
      <c r="A119" s="118">
        <v>19</v>
      </c>
      <c r="B119" s="77">
        <v>2497</v>
      </c>
      <c r="C119" s="93">
        <v>600080064</v>
      </c>
      <c r="D119" s="77">
        <v>72744189</v>
      </c>
      <c r="E119" s="77" t="s">
        <v>740</v>
      </c>
      <c r="F119" s="94">
        <v>3143</v>
      </c>
      <c r="G119" s="77" t="s">
        <v>596</v>
      </c>
      <c r="H119" s="95" t="s">
        <v>272</v>
      </c>
      <c r="I119" s="596">
        <v>44567</v>
      </c>
      <c r="J119" s="595">
        <v>31900</v>
      </c>
      <c r="K119" s="595">
        <v>0</v>
      </c>
      <c r="L119" s="601">
        <v>31900</v>
      </c>
      <c r="M119" s="595">
        <v>0</v>
      </c>
      <c r="N119" s="601">
        <v>0</v>
      </c>
      <c r="O119" s="601">
        <v>0</v>
      </c>
      <c r="P119" s="595">
        <v>10782</v>
      </c>
      <c r="Q119" s="595">
        <v>319</v>
      </c>
      <c r="R119" s="602">
        <v>1566</v>
      </c>
      <c r="S119" s="416">
        <v>0.12060000000000001</v>
      </c>
      <c r="T119" s="603">
        <v>0</v>
      </c>
      <c r="U119" s="731">
        <v>0.12060000000000001</v>
      </c>
      <c r="V119" s="423">
        <f t="shared" si="114"/>
        <v>0</v>
      </c>
      <c r="W119" s="417">
        <f t="shared" si="115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16"/>
        <v>0</v>
      </c>
      <c r="AF119" s="417">
        <f t="shared" si="117"/>
        <v>0</v>
      </c>
      <c r="AG119" s="417">
        <f t="shared" si="118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19"/>
        <v>0</v>
      </c>
      <c r="AN119" s="417">
        <f t="shared" si="120"/>
        <v>0</v>
      </c>
      <c r="AO119" s="417">
        <f t="shared" si="121"/>
        <v>0</v>
      </c>
      <c r="AP119" s="417">
        <f t="shared" si="122"/>
        <v>0</v>
      </c>
      <c r="AQ119" s="417">
        <f t="shared" si="123"/>
        <v>0</v>
      </c>
      <c r="AR119" s="417">
        <f t="shared" si="124"/>
        <v>0</v>
      </c>
      <c r="AS119" s="68">
        <f t="shared" si="125"/>
        <v>0</v>
      </c>
      <c r="AT119" s="68">
        <f t="shared" si="126"/>
        <v>0</v>
      </c>
      <c r="AU119" s="417">
        <v>0</v>
      </c>
      <c r="AV119" s="417">
        <v>0</v>
      </c>
      <c r="AW119" s="417">
        <v>0</v>
      </c>
      <c r="AX119" s="417">
        <f t="shared" si="127"/>
        <v>0</v>
      </c>
      <c r="AY119" s="417">
        <f t="shared" si="128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29"/>
        <v>0</v>
      </c>
      <c r="BJ119" s="418">
        <f t="shared" si="130"/>
        <v>0</v>
      </c>
      <c r="BK119" s="420">
        <f t="shared" si="131"/>
        <v>0</v>
      </c>
      <c r="BL119" s="772">
        <f t="shared" si="177"/>
        <v>44567</v>
      </c>
      <c r="BM119" s="417">
        <f t="shared" si="178"/>
        <v>31900</v>
      </c>
      <c r="BN119" s="417">
        <f t="shared" si="179"/>
        <v>0</v>
      </c>
      <c r="BO119" s="417">
        <f t="shared" si="179"/>
        <v>31900</v>
      </c>
      <c r="BP119" s="417">
        <f t="shared" si="180"/>
        <v>0</v>
      </c>
      <c r="BQ119" s="417">
        <f t="shared" si="181"/>
        <v>0</v>
      </c>
      <c r="BR119" s="417">
        <f t="shared" si="181"/>
        <v>0</v>
      </c>
      <c r="BS119" s="417">
        <f t="shared" si="182"/>
        <v>10782</v>
      </c>
      <c r="BT119" s="417">
        <f t="shared" si="182"/>
        <v>319</v>
      </c>
      <c r="BU119" s="417">
        <f t="shared" si="183"/>
        <v>1566</v>
      </c>
      <c r="BV119" s="418">
        <f t="shared" si="184"/>
        <v>0.12060000000000001</v>
      </c>
      <c r="BW119" s="418">
        <f t="shared" si="185"/>
        <v>0</v>
      </c>
      <c r="BX119" s="420">
        <f t="shared" si="185"/>
        <v>0.12060000000000001</v>
      </c>
      <c r="BY119" s="419"/>
      <c r="BZ119" s="414"/>
      <c r="CA119" s="414"/>
      <c r="CB119" s="414"/>
      <c r="CC119" s="414"/>
      <c r="CD119" s="422"/>
      <c r="CE119" s="419">
        <v>0</v>
      </c>
      <c r="CF119" s="414">
        <v>0</v>
      </c>
      <c r="CG119" s="414">
        <v>0</v>
      </c>
      <c r="CH119" s="414">
        <v>0</v>
      </c>
      <c r="CI119" s="414">
        <v>0</v>
      </c>
      <c r="CJ119" s="509">
        <v>0</v>
      </c>
    </row>
    <row r="120" spans="1:88" s="96" customFormat="1" ht="14.1" customHeight="1">
      <c r="A120" s="118">
        <v>19</v>
      </c>
      <c r="B120" s="77">
        <v>2497</v>
      </c>
      <c r="C120" s="93">
        <v>600080064</v>
      </c>
      <c r="D120" s="77">
        <v>72744189</v>
      </c>
      <c r="E120" s="77" t="s">
        <v>740</v>
      </c>
      <c r="F120" s="94">
        <v>3143</v>
      </c>
      <c r="G120" s="77" t="s">
        <v>296</v>
      </c>
      <c r="H120" s="95" t="s">
        <v>272</v>
      </c>
      <c r="I120" s="596">
        <v>419968</v>
      </c>
      <c r="J120" s="595">
        <v>301182</v>
      </c>
      <c r="K120" s="595">
        <v>283032</v>
      </c>
      <c r="L120" s="595">
        <v>18150</v>
      </c>
      <c r="M120" s="595">
        <v>10000</v>
      </c>
      <c r="N120" s="595">
        <v>10000</v>
      </c>
      <c r="O120" s="595">
        <v>0</v>
      </c>
      <c r="P120" s="595">
        <v>105180</v>
      </c>
      <c r="Q120" s="595">
        <v>3012</v>
      </c>
      <c r="R120" s="595">
        <v>594</v>
      </c>
      <c r="S120" s="416">
        <v>0.65</v>
      </c>
      <c r="T120" s="416">
        <v>0.57999999999999996</v>
      </c>
      <c r="U120" s="748">
        <v>7.0000000000000007E-2</v>
      </c>
      <c r="V120" s="423">
        <f t="shared" si="114"/>
        <v>0</v>
      </c>
      <c r="W120" s="417">
        <f t="shared" si="115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116"/>
        <v>0</v>
      </c>
      <c r="AF120" s="417">
        <f t="shared" si="117"/>
        <v>0</v>
      </c>
      <c r="AG120" s="417">
        <f t="shared" si="118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19"/>
        <v>0</v>
      </c>
      <c r="AN120" s="417">
        <f t="shared" si="120"/>
        <v>0</v>
      </c>
      <c r="AO120" s="417">
        <f t="shared" si="121"/>
        <v>0</v>
      </c>
      <c r="AP120" s="417">
        <f t="shared" si="122"/>
        <v>0</v>
      </c>
      <c r="AQ120" s="417">
        <f t="shared" si="123"/>
        <v>0</v>
      </c>
      <c r="AR120" s="417">
        <f t="shared" si="124"/>
        <v>0</v>
      </c>
      <c r="AS120" s="68">
        <f t="shared" si="125"/>
        <v>0</v>
      </c>
      <c r="AT120" s="68">
        <f t="shared" si="126"/>
        <v>0</v>
      </c>
      <c r="AU120" s="417">
        <v>0</v>
      </c>
      <c r="AV120" s="417">
        <v>0</v>
      </c>
      <c r="AW120" s="417">
        <v>0</v>
      </c>
      <c r="AX120" s="417">
        <f t="shared" si="127"/>
        <v>0</v>
      </c>
      <c r="AY120" s="417">
        <f t="shared" si="128"/>
        <v>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29"/>
        <v>0</v>
      </c>
      <c r="BJ120" s="418">
        <f t="shared" si="130"/>
        <v>0</v>
      </c>
      <c r="BK120" s="420">
        <f t="shared" si="131"/>
        <v>0</v>
      </c>
      <c r="BL120" s="772">
        <f t="shared" si="177"/>
        <v>419968</v>
      </c>
      <c r="BM120" s="417">
        <f t="shared" si="178"/>
        <v>301182</v>
      </c>
      <c r="BN120" s="417">
        <f t="shared" si="179"/>
        <v>283032</v>
      </c>
      <c r="BO120" s="417">
        <f t="shared" si="179"/>
        <v>18150</v>
      </c>
      <c r="BP120" s="417">
        <f t="shared" si="180"/>
        <v>10000</v>
      </c>
      <c r="BQ120" s="417">
        <f t="shared" si="181"/>
        <v>10000</v>
      </c>
      <c r="BR120" s="417">
        <f t="shared" si="181"/>
        <v>0</v>
      </c>
      <c r="BS120" s="417">
        <f t="shared" si="182"/>
        <v>105180</v>
      </c>
      <c r="BT120" s="417">
        <f t="shared" si="182"/>
        <v>3012</v>
      </c>
      <c r="BU120" s="417">
        <f t="shared" si="183"/>
        <v>594</v>
      </c>
      <c r="BV120" s="418">
        <f t="shared" si="184"/>
        <v>0.65</v>
      </c>
      <c r="BW120" s="418">
        <f t="shared" si="185"/>
        <v>0.57999999999999996</v>
      </c>
      <c r="BX120" s="420">
        <f t="shared" si="185"/>
        <v>7.0000000000000007E-2</v>
      </c>
      <c r="BY120" s="419"/>
      <c r="BZ120" s="414"/>
      <c r="CA120" s="414"/>
      <c r="CB120" s="414"/>
      <c r="CC120" s="414"/>
      <c r="CD120" s="422"/>
      <c r="CE120" s="419">
        <v>0</v>
      </c>
      <c r="CF120" s="414">
        <v>0</v>
      </c>
      <c r="CG120" s="414">
        <v>0</v>
      </c>
      <c r="CH120" s="414">
        <v>0</v>
      </c>
      <c r="CI120" s="414">
        <v>0</v>
      </c>
      <c r="CJ120" s="509">
        <v>0</v>
      </c>
    </row>
    <row r="121" spans="1:88" s="96" customFormat="1" ht="14.1" customHeight="1">
      <c r="A121" s="119">
        <v>19</v>
      </c>
      <c r="B121" s="97">
        <v>2497</v>
      </c>
      <c r="C121" s="98">
        <v>600080064</v>
      </c>
      <c r="D121" s="97">
        <v>72744189</v>
      </c>
      <c r="E121" s="97" t="s">
        <v>741</v>
      </c>
      <c r="F121" s="99"/>
      <c r="G121" s="100"/>
      <c r="H121" s="101"/>
      <c r="I121" s="437">
        <v>40423781</v>
      </c>
      <c r="J121" s="433">
        <v>29430083</v>
      </c>
      <c r="K121" s="433">
        <v>25132334</v>
      </c>
      <c r="L121" s="433">
        <v>4297749</v>
      </c>
      <c r="M121" s="433">
        <v>260000</v>
      </c>
      <c r="N121" s="433">
        <v>225000</v>
      </c>
      <c r="O121" s="433">
        <v>35000</v>
      </c>
      <c r="P121" s="433">
        <v>10035248</v>
      </c>
      <c r="Q121" s="433">
        <v>294301</v>
      </c>
      <c r="R121" s="433">
        <v>404149</v>
      </c>
      <c r="S121" s="434">
        <v>58.1128</v>
      </c>
      <c r="T121" s="434">
        <v>44.732899999999994</v>
      </c>
      <c r="U121" s="695">
        <v>13.379899999999999</v>
      </c>
      <c r="V121" s="437">
        <f t="shared" ref="V121:CG121" si="186">SUM(V113:V120)</f>
        <v>-95000</v>
      </c>
      <c r="W121" s="433">
        <f t="shared" si="186"/>
        <v>-40000</v>
      </c>
      <c r="X121" s="433">
        <f t="shared" si="186"/>
        <v>6189</v>
      </c>
      <c r="Y121" s="433">
        <f t="shared" si="186"/>
        <v>0</v>
      </c>
      <c r="Z121" s="433">
        <f t="shared" si="186"/>
        <v>163683</v>
      </c>
      <c r="AA121" s="433">
        <f t="shared" si="186"/>
        <v>-28701</v>
      </c>
      <c r="AB121" s="433">
        <f t="shared" si="186"/>
        <v>0</v>
      </c>
      <c r="AC121" s="433">
        <f t="shared" si="186"/>
        <v>0</v>
      </c>
      <c r="AD121" s="433">
        <f t="shared" si="186"/>
        <v>0</v>
      </c>
      <c r="AE121" s="433">
        <f t="shared" si="186"/>
        <v>74872</v>
      </c>
      <c r="AF121" s="433">
        <f t="shared" si="186"/>
        <v>-68701</v>
      </c>
      <c r="AG121" s="433">
        <f t="shared" si="186"/>
        <v>6171</v>
      </c>
      <c r="AH121" s="433">
        <f t="shared" si="186"/>
        <v>95000</v>
      </c>
      <c r="AI121" s="433">
        <f t="shared" si="186"/>
        <v>40000</v>
      </c>
      <c r="AJ121" s="433">
        <f t="shared" si="186"/>
        <v>0</v>
      </c>
      <c r="AK121" s="433">
        <f t="shared" si="186"/>
        <v>0</v>
      </c>
      <c r="AL121" s="433">
        <f t="shared" si="186"/>
        <v>0</v>
      </c>
      <c r="AM121" s="433">
        <f t="shared" si="186"/>
        <v>95000</v>
      </c>
      <c r="AN121" s="433">
        <f t="shared" si="186"/>
        <v>40000</v>
      </c>
      <c r="AO121" s="433">
        <f t="shared" si="186"/>
        <v>135000</v>
      </c>
      <c r="AP121" s="433">
        <f t="shared" si="186"/>
        <v>169872</v>
      </c>
      <c r="AQ121" s="433">
        <f t="shared" si="186"/>
        <v>-28701</v>
      </c>
      <c r="AR121" s="433">
        <f t="shared" si="186"/>
        <v>141171</v>
      </c>
      <c r="AS121" s="433">
        <f t="shared" si="186"/>
        <v>47716</v>
      </c>
      <c r="AT121" s="433">
        <f t="shared" si="186"/>
        <v>62</v>
      </c>
      <c r="AU121" s="433">
        <f t="shared" si="186"/>
        <v>500</v>
      </c>
      <c r="AV121" s="433">
        <f t="shared" si="186"/>
        <v>0</v>
      </c>
      <c r="AW121" s="433">
        <f t="shared" si="186"/>
        <v>0</v>
      </c>
      <c r="AX121" s="433">
        <f t="shared" si="186"/>
        <v>500</v>
      </c>
      <c r="AY121" s="433">
        <f t="shared" si="186"/>
        <v>189449</v>
      </c>
      <c r="AZ121" s="434">
        <f t="shared" si="186"/>
        <v>0</v>
      </c>
      <c r="BA121" s="434">
        <f t="shared" si="186"/>
        <v>0</v>
      </c>
      <c r="BB121" s="434">
        <f t="shared" si="186"/>
        <v>0.01</v>
      </c>
      <c r="BC121" s="434">
        <f t="shared" si="186"/>
        <v>0.38</v>
      </c>
      <c r="BD121" s="434">
        <f t="shared" si="186"/>
        <v>-0.09</v>
      </c>
      <c r="BE121" s="434">
        <f t="shared" si="186"/>
        <v>0</v>
      </c>
      <c r="BF121" s="434">
        <f t="shared" si="186"/>
        <v>0</v>
      </c>
      <c r="BG121" s="434">
        <f t="shared" si="186"/>
        <v>0</v>
      </c>
      <c r="BH121" s="434">
        <f t="shared" si="186"/>
        <v>0</v>
      </c>
      <c r="BI121" s="434">
        <f t="shared" si="186"/>
        <v>0.39</v>
      </c>
      <c r="BJ121" s="434">
        <f t="shared" si="186"/>
        <v>-0.09</v>
      </c>
      <c r="BK121" s="103">
        <f t="shared" si="186"/>
        <v>0.30000000000000004</v>
      </c>
      <c r="BL121" s="785">
        <f t="shared" si="186"/>
        <v>40613230</v>
      </c>
      <c r="BM121" s="433">
        <f t="shared" si="186"/>
        <v>29436254</v>
      </c>
      <c r="BN121" s="433">
        <f t="shared" si="186"/>
        <v>25207206</v>
      </c>
      <c r="BO121" s="433">
        <f t="shared" si="186"/>
        <v>4229048</v>
      </c>
      <c r="BP121" s="433">
        <f t="shared" si="186"/>
        <v>395000</v>
      </c>
      <c r="BQ121" s="433">
        <f t="shared" si="186"/>
        <v>320000</v>
      </c>
      <c r="BR121" s="433">
        <f t="shared" si="186"/>
        <v>75000</v>
      </c>
      <c r="BS121" s="433">
        <f t="shared" si="186"/>
        <v>10082964</v>
      </c>
      <c r="BT121" s="433">
        <f t="shared" si="186"/>
        <v>294363</v>
      </c>
      <c r="BU121" s="433">
        <f t="shared" si="186"/>
        <v>404649</v>
      </c>
      <c r="BV121" s="434">
        <f t="shared" si="186"/>
        <v>58.412800000000004</v>
      </c>
      <c r="BW121" s="434">
        <f t="shared" si="186"/>
        <v>45.122899999999994</v>
      </c>
      <c r="BX121" s="103">
        <f t="shared" si="186"/>
        <v>13.289899999999999</v>
      </c>
      <c r="BY121" s="795">
        <f t="shared" si="186"/>
        <v>380136</v>
      </c>
      <c r="BZ121" s="698">
        <f t="shared" si="186"/>
        <v>282000</v>
      </c>
      <c r="CA121" s="698">
        <f t="shared" si="186"/>
        <v>0</v>
      </c>
      <c r="CB121" s="698">
        <f t="shared" si="186"/>
        <v>95316</v>
      </c>
      <c r="CC121" s="698">
        <f t="shared" si="186"/>
        <v>2820</v>
      </c>
      <c r="CD121" s="961">
        <f t="shared" si="186"/>
        <v>0.5</v>
      </c>
      <c r="CE121" s="887">
        <f t="shared" si="186"/>
        <v>1153666</v>
      </c>
      <c r="CF121" s="888">
        <f t="shared" si="186"/>
        <v>790713</v>
      </c>
      <c r="CG121" s="888">
        <f t="shared" si="186"/>
        <v>267261</v>
      </c>
      <c r="CH121" s="888">
        <f t="shared" ref="CH121:CJ121" si="187">SUM(CH113:CH120)</f>
        <v>7907</v>
      </c>
      <c r="CI121" s="888">
        <f t="shared" si="187"/>
        <v>87785</v>
      </c>
      <c r="CJ121" s="889">
        <f t="shared" si="187"/>
        <v>2.4826999999999999</v>
      </c>
    </row>
    <row r="122" spans="1:88" s="96" customFormat="1" ht="14.1" customHeight="1">
      <c r="A122" s="118">
        <v>20</v>
      </c>
      <c r="B122" s="102">
        <v>2446</v>
      </c>
      <c r="C122" s="93">
        <v>600080129</v>
      </c>
      <c r="D122" s="77">
        <v>72743522</v>
      </c>
      <c r="E122" s="77" t="s">
        <v>742</v>
      </c>
      <c r="F122" s="94">
        <v>3111</v>
      </c>
      <c r="G122" s="77" t="s">
        <v>290</v>
      </c>
      <c r="H122" s="95" t="s">
        <v>271</v>
      </c>
      <c r="I122" s="596">
        <v>3368080</v>
      </c>
      <c r="J122" s="595">
        <v>2476187</v>
      </c>
      <c r="K122" s="595">
        <v>2280151</v>
      </c>
      <c r="L122" s="595">
        <v>196036</v>
      </c>
      <c r="M122" s="595">
        <v>10000</v>
      </c>
      <c r="N122" s="595">
        <v>10000</v>
      </c>
      <c r="O122" s="595">
        <v>0</v>
      </c>
      <c r="P122" s="595">
        <v>840331</v>
      </c>
      <c r="Q122" s="595">
        <v>24762</v>
      </c>
      <c r="R122" s="595">
        <v>16800</v>
      </c>
      <c r="S122" s="416">
        <v>4.7854000000000001</v>
      </c>
      <c r="T122" s="416">
        <v>4</v>
      </c>
      <c r="U122" s="748">
        <v>0.78539999999999999</v>
      </c>
      <c r="V122" s="423">
        <f t="shared" si="114"/>
        <v>0</v>
      </c>
      <c r="W122" s="417">
        <f t="shared" si="115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16"/>
        <v>0</v>
      </c>
      <c r="AF122" s="417">
        <f t="shared" si="117"/>
        <v>0</v>
      </c>
      <c r="AG122" s="417">
        <f t="shared" si="118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19"/>
        <v>0</v>
      </c>
      <c r="AN122" s="417">
        <f t="shared" si="120"/>
        <v>0</v>
      </c>
      <c r="AO122" s="417">
        <f t="shared" si="121"/>
        <v>0</v>
      </c>
      <c r="AP122" s="417">
        <f t="shared" si="122"/>
        <v>0</v>
      </c>
      <c r="AQ122" s="417">
        <f t="shared" si="123"/>
        <v>0</v>
      </c>
      <c r="AR122" s="417">
        <f t="shared" si="124"/>
        <v>0</v>
      </c>
      <c r="AS122" s="68">
        <f t="shared" si="125"/>
        <v>0</v>
      </c>
      <c r="AT122" s="68">
        <f t="shared" si="126"/>
        <v>0</v>
      </c>
      <c r="AU122" s="417">
        <v>0</v>
      </c>
      <c r="AV122" s="417">
        <v>0</v>
      </c>
      <c r="AW122" s="417">
        <v>0</v>
      </c>
      <c r="AX122" s="417">
        <f t="shared" si="127"/>
        <v>0</v>
      </c>
      <c r="AY122" s="417">
        <f t="shared" si="128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29"/>
        <v>0</v>
      </c>
      <c r="BJ122" s="418">
        <f t="shared" si="130"/>
        <v>0</v>
      </c>
      <c r="BK122" s="420">
        <f t="shared" si="131"/>
        <v>0</v>
      </c>
      <c r="BL122" s="772">
        <f t="shared" ref="BL122:BL127" si="188">I122+AY122</f>
        <v>3368080</v>
      </c>
      <c r="BM122" s="417">
        <f t="shared" ref="BM122:BM127" si="189">J122+AG122</f>
        <v>2476187</v>
      </c>
      <c r="BN122" s="417">
        <f t="shared" ref="BN122:BO127" si="190">K122+AE122</f>
        <v>2280151</v>
      </c>
      <c r="BO122" s="417">
        <f t="shared" si="190"/>
        <v>196036</v>
      </c>
      <c r="BP122" s="417">
        <f t="shared" ref="BP122:BP127" si="191">M122+AO122</f>
        <v>10000</v>
      </c>
      <c r="BQ122" s="417">
        <f t="shared" ref="BQ122:BR127" si="192">N122+AM122</f>
        <v>10000</v>
      </c>
      <c r="BR122" s="417">
        <f t="shared" si="192"/>
        <v>0</v>
      </c>
      <c r="BS122" s="417">
        <f t="shared" ref="BS122:BT127" si="193">P122+AS122</f>
        <v>840331</v>
      </c>
      <c r="BT122" s="417">
        <f t="shared" si="193"/>
        <v>24762</v>
      </c>
      <c r="BU122" s="417">
        <f t="shared" ref="BU122:BU127" si="194">R122+AX122</f>
        <v>16800</v>
      </c>
      <c r="BV122" s="418">
        <f t="shared" ref="BV122:BV127" si="195">S122+BK122</f>
        <v>4.7854000000000001</v>
      </c>
      <c r="BW122" s="418">
        <f t="shared" ref="BW122:BX127" si="196">T122+BI122</f>
        <v>4</v>
      </c>
      <c r="BX122" s="420">
        <f t="shared" si="196"/>
        <v>0.78539999999999999</v>
      </c>
      <c r="BY122" s="419"/>
      <c r="BZ122" s="414"/>
      <c r="CA122" s="414"/>
      <c r="CB122" s="414"/>
      <c r="CC122" s="414"/>
      <c r="CD122" s="422"/>
      <c r="CE122" s="419">
        <v>90375</v>
      </c>
      <c r="CF122" s="414">
        <v>62900</v>
      </c>
      <c r="CG122" s="414">
        <v>21260</v>
      </c>
      <c r="CH122" s="414">
        <v>629</v>
      </c>
      <c r="CI122" s="414">
        <v>5586</v>
      </c>
      <c r="CJ122" s="509">
        <v>0.252</v>
      </c>
    </row>
    <row r="123" spans="1:88" s="96" customFormat="1" ht="14.1" customHeight="1">
      <c r="A123" s="118">
        <v>20</v>
      </c>
      <c r="B123" s="104">
        <v>2446</v>
      </c>
      <c r="C123" s="93">
        <v>600080129</v>
      </c>
      <c r="D123" s="77">
        <v>72743522</v>
      </c>
      <c r="E123" s="104" t="s">
        <v>742</v>
      </c>
      <c r="F123" s="105">
        <v>3117</v>
      </c>
      <c r="G123" s="104" t="s">
        <v>308</v>
      </c>
      <c r="H123" s="95" t="s">
        <v>271</v>
      </c>
      <c r="I123" s="596">
        <v>6010243</v>
      </c>
      <c r="J123" s="595">
        <v>4372039</v>
      </c>
      <c r="K123" s="595">
        <v>3619144</v>
      </c>
      <c r="L123" s="595">
        <v>752895</v>
      </c>
      <c r="M123" s="595">
        <v>20000</v>
      </c>
      <c r="N123" s="595">
        <v>10000</v>
      </c>
      <c r="O123" s="595">
        <v>10000</v>
      </c>
      <c r="P123" s="595">
        <v>1484509</v>
      </c>
      <c r="Q123" s="595">
        <v>43720</v>
      </c>
      <c r="R123" s="595">
        <v>89975</v>
      </c>
      <c r="S123" s="416">
        <v>7.7107000000000001</v>
      </c>
      <c r="T123" s="416">
        <v>5.6360000000000001</v>
      </c>
      <c r="U123" s="748">
        <v>2.0747</v>
      </c>
      <c r="V123" s="423">
        <f t="shared" si="114"/>
        <v>0</v>
      </c>
      <c r="W123" s="417">
        <f t="shared" si="115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16"/>
        <v>0</v>
      </c>
      <c r="AF123" s="417">
        <f t="shared" si="117"/>
        <v>0</v>
      </c>
      <c r="AG123" s="417">
        <f t="shared" si="118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19"/>
        <v>0</v>
      </c>
      <c r="AN123" s="417">
        <f t="shared" si="120"/>
        <v>0</v>
      </c>
      <c r="AO123" s="417">
        <f t="shared" si="121"/>
        <v>0</v>
      </c>
      <c r="AP123" s="417">
        <f t="shared" si="122"/>
        <v>0</v>
      </c>
      <c r="AQ123" s="417">
        <f t="shared" si="123"/>
        <v>0</v>
      </c>
      <c r="AR123" s="417">
        <f t="shared" si="124"/>
        <v>0</v>
      </c>
      <c r="AS123" s="68">
        <f t="shared" si="125"/>
        <v>0</v>
      </c>
      <c r="AT123" s="68">
        <f t="shared" si="126"/>
        <v>0</v>
      </c>
      <c r="AU123" s="417">
        <v>0</v>
      </c>
      <c r="AV123" s="417">
        <v>0</v>
      </c>
      <c r="AW123" s="417">
        <v>0</v>
      </c>
      <c r="AX123" s="417">
        <f t="shared" si="127"/>
        <v>0</v>
      </c>
      <c r="AY123" s="417">
        <f t="shared" si="128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29"/>
        <v>0</v>
      </c>
      <c r="BJ123" s="418">
        <f t="shared" si="130"/>
        <v>0</v>
      </c>
      <c r="BK123" s="420">
        <f t="shared" si="131"/>
        <v>0</v>
      </c>
      <c r="BL123" s="772">
        <f t="shared" si="188"/>
        <v>6010243</v>
      </c>
      <c r="BM123" s="417">
        <f t="shared" si="189"/>
        <v>4372039</v>
      </c>
      <c r="BN123" s="417">
        <f t="shared" si="190"/>
        <v>3619144</v>
      </c>
      <c r="BO123" s="417">
        <f t="shared" si="190"/>
        <v>752895</v>
      </c>
      <c r="BP123" s="417">
        <f t="shared" si="191"/>
        <v>20000</v>
      </c>
      <c r="BQ123" s="417">
        <f t="shared" si="192"/>
        <v>10000</v>
      </c>
      <c r="BR123" s="417">
        <f t="shared" si="192"/>
        <v>10000</v>
      </c>
      <c r="BS123" s="417">
        <f t="shared" si="193"/>
        <v>1484509</v>
      </c>
      <c r="BT123" s="417">
        <f t="shared" si="193"/>
        <v>43720</v>
      </c>
      <c r="BU123" s="417">
        <f t="shared" si="194"/>
        <v>89975</v>
      </c>
      <c r="BV123" s="418">
        <f t="shared" si="195"/>
        <v>7.7107000000000001</v>
      </c>
      <c r="BW123" s="418">
        <f t="shared" si="196"/>
        <v>5.6360000000000001</v>
      </c>
      <c r="BX123" s="420">
        <f t="shared" si="196"/>
        <v>2.0747</v>
      </c>
      <c r="BY123" s="419"/>
      <c r="BZ123" s="414"/>
      <c r="CA123" s="414"/>
      <c r="CB123" s="414"/>
      <c r="CC123" s="414"/>
      <c r="CD123" s="422"/>
      <c r="CE123" s="419">
        <v>345821</v>
      </c>
      <c r="CF123" s="414">
        <v>244868</v>
      </c>
      <c r="CG123" s="414">
        <v>82766</v>
      </c>
      <c r="CH123" s="414">
        <v>2449</v>
      </c>
      <c r="CI123" s="414">
        <v>15738</v>
      </c>
      <c r="CJ123" s="509">
        <v>0.66600000000000004</v>
      </c>
    </row>
    <row r="124" spans="1:88" s="96" customFormat="1" ht="14.1" customHeight="1">
      <c r="A124" s="118">
        <v>20</v>
      </c>
      <c r="B124" s="102">
        <v>2446</v>
      </c>
      <c r="C124" s="93">
        <v>600080129</v>
      </c>
      <c r="D124" s="77">
        <v>72743522</v>
      </c>
      <c r="E124" s="102" t="s">
        <v>742</v>
      </c>
      <c r="F124" s="94">
        <v>3117</v>
      </c>
      <c r="G124" s="77" t="s">
        <v>291</v>
      </c>
      <c r="H124" s="95" t="s">
        <v>272</v>
      </c>
      <c r="I124" s="596">
        <v>1833427</v>
      </c>
      <c r="J124" s="595">
        <v>1357698</v>
      </c>
      <c r="K124" s="595">
        <v>1357698</v>
      </c>
      <c r="L124" s="595">
        <v>0</v>
      </c>
      <c r="M124" s="595">
        <v>0</v>
      </c>
      <c r="N124" s="595">
        <v>0</v>
      </c>
      <c r="O124" s="595">
        <v>0</v>
      </c>
      <c r="P124" s="595">
        <v>458902</v>
      </c>
      <c r="Q124" s="595">
        <v>13577</v>
      </c>
      <c r="R124" s="595">
        <v>3250</v>
      </c>
      <c r="S124" s="416">
        <v>3.6</v>
      </c>
      <c r="T124" s="416">
        <v>3.6</v>
      </c>
      <c r="U124" s="748">
        <v>0</v>
      </c>
      <c r="V124" s="423">
        <f t="shared" si="114"/>
        <v>0</v>
      </c>
      <c r="W124" s="417">
        <f t="shared" si="115"/>
        <v>0</v>
      </c>
      <c r="X124" s="417">
        <v>46350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 t="shared" si="116"/>
        <v>46350</v>
      </c>
      <c r="AF124" s="417">
        <f t="shared" si="117"/>
        <v>0</v>
      </c>
      <c r="AG124" s="417">
        <f t="shared" si="118"/>
        <v>46350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19"/>
        <v>0</v>
      </c>
      <c r="AN124" s="417">
        <f t="shared" si="120"/>
        <v>0</v>
      </c>
      <c r="AO124" s="417">
        <f t="shared" si="121"/>
        <v>0</v>
      </c>
      <c r="AP124" s="417">
        <f t="shared" si="122"/>
        <v>46350</v>
      </c>
      <c r="AQ124" s="417">
        <f t="shared" si="123"/>
        <v>0</v>
      </c>
      <c r="AR124" s="417">
        <f t="shared" si="124"/>
        <v>46350</v>
      </c>
      <c r="AS124" s="68">
        <f t="shared" si="125"/>
        <v>15666</v>
      </c>
      <c r="AT124" s="68">
        <f t="shared" si="126"/>
        <v>464</v>
      </c>
      <c r="AU124" s="417">
        <v>0</v>
      </c>
      <c r="AV124" s="417">
        <v>0</v>
      </c>
      <c r="AW124" s="417">
        <v>0</v>
      </c>
      <c r="AX124" s="417">
        <f t="shared" si="127"/>
        <v>0</v>
      </c>
      <c r="AY124" s="417">
        <f t="shared" si="128"/>
        <v>62480</v>
      </c>
      <c r="AZ124" s="418">
        <v>0</v>
      </c>
      <c r="BA124" s="418">
        <v>0</v>
      </c>
      <c r="BB124" s="418">
        <v>0.13</v>
      </c>
      <c r="BC124" s="418">
        <v>0</v>
      </c>
      <c r="BD124" s="418">
        <v>0</v>
      </c>
      <c r="BE124" s="418">
        <v>0</v>
      </c>
      <c r="BF124" s="418">
        <v>0</v>
      </c>
      <c r="BG124" s="418">
        <v>0</v>
      </c>
      <c r="BH124" s="418">
        <v>0</v>
      </c>
      <c r="BI124" s="418">
        <f t="shared" si="129"/>
        <v>0.13</v>
      </c>
      <c r="BJ124" s="418">
        <f t="shared" si="130"/>
        <v>0</v>
      </c>
      <c r="BK124" s="420">
        <f t="shared" si="131"/>
        <v>0.13</v>
      </c>
      <c r="BL124" s="772">
        <f t="shared" si="188"/>
        <v>1895907</v>
      </c>
      <c r="BM124" s="417">
        <f t="shared" si="189"/>
        <v>1404048</v>
      </c>
      <c r="BN124" s="417">
        <f t="shared" si="190"/>
        <v>1404048</v>
      </c>
      <c r="BO124" s="417">
        <f t="shared" si="190"/>
        <v>0</v>
      </c>
      <c r="BP124" s="417">
        <f t="shared" si="191"/>
        <v>0</v>
      </c>
      <c r="BQ124" s="417">
        <f t="shared" si="192"/>
        <v>0</v>
      </c>
      <c r="BR124" s="417">
        <f t="shared" si="192"/>
        <v>0</v>
      </c>
      <c r="BS124" s="417">
        <f t="shared" si="193"/>
        <v>474568</v>
      </c>
      <c r="BT124" s="417">
        <f t="shared" si="193"/>
        <v>14041</v>
      </c>
      <c r="BU124" s="417">
        <f t="shared" si="194"/>
        <v>3250</v>
      </c>
      <c r="BV124" s="418">
        <f t="shared" si="195"/>
        <v>3.73</v>
      </c>
      <c r="BW124" s="418">
        <f t="shared" si="196"/>
        <v>3.73</v>
      </c>
      <c r="BX124" s="420">
        <f t="shared" si="196"/>
        <v>0</v>
      </c>
      <c r="BY124" s="419"/>
      <c r="BZ124" s="414"/>
      <c r="CA124" s="414"/>
      <c r="CB124" s="414"/>
      <c r="CC124" s="414"/>
      <c r="CD124" s="422"/>
      <c r="CE124" s="419">
        <v>0</v>
      </c>
      <c r="CF124" s="414">
        <v>0</v>
      </c>
      <c r="CG124" s="414">
        <v>0</v>
      </c>
      <c r="CH124" s="414">
        <v>0</v>
      </c>
      <c r="CI124" s="414">
        <v>0</v>
      </c>
      <c r="CJ124" s="509">
        <v>0</v>
      </c>
    </row>
    <row r="125" spans="1:88" s="96" customFormat="1" ht="14.1" customHeight="1">
      <c r="A125" s="118">
        <v>20</v>
      </c>
      <c r="B125" s="102">
        <v>2446</v>
      </c>
      <c r="C125" s="93">
        <v>600080129</v>
      </c>
      <c r="D125" s="77">
        <v>72743522</v>
      </c>
      <c r="E125" s="102" t="s">
        <v>742</v>
      </c>
      <c r="F125" s="94">
        <v>3141</v>
      </c>
      <c r="G125" s="77" t="s">
        <v>294</v>
      </c>
      <c r="H125" s="95" t="s">
        <v>272</v>
      </c>
      <c r="I125" s="596">
        <v>2048548</v>
      </c>
      <c r="J125" s="595">
        <v>1507726</v>
      </c>
      <c r="K125" s="595">
        <v>0</v>
      </c>
      <c r="L125" s="601">
        <v>1507726</v>
      </c>
      <c r="M125" s="595">
        <v>5000</v>
      </c>
      <c r="N125" s="595">
        <v>0</v>
      </c>
      <c r="O125" s="595">
        <v>5000</v>
      </c>
      <c r="P125" s="595">
        <v>511301</v>
      </c>
      <c r="Q125" s="595">
        <v>15077</v>
      </c>
      <c r="R125" s="595">
        <v>9444</v>
      </c>
      <c r="S125" s="416">
        <v>4.5366999999999997</v>
      </c>
      <c r="T125" s="416">
        <v>0</v>
      </c>
      <c r="U125" s="748">
        <v>4.5366999999999997</v>
      </c>
      <c r="V125" s="423">
        <f t="shared" si="114"/>
        <v>0</v>
      </c>
      <c r="W125" s="417">
        <f t="shared" si="115"/>
        <v>5000</v>
      </c>
      <c r="X125" s="417">
        <v>0</v>
      </c>
      <c r="Y125" s="417">
        <v>0</v>
      </c>
      <c r="Z125" s="417">
        <v>0</v>
      </c>
      <c r="AA125" s="417">
        <v>20447</v>
      </c>
      <c r="AB125" s="417">
        <v>0</v>
      </c>
      <c r="AC125" s="417">
        <v>0</v>
      </c>
      <c r="AD125" s="417">
        <v>0</v>
      </c>
      <c r="AE125" s="417">
        <f t="shared" si="116"/>
        <v>0</v>
      </c>
      <c r="AF125" s="417">
        <f t="shared" si="117"/>
        <v>25447</v>
      </c>
      <c r="AG125" s="417">
        <f t="shared" si="118"/>
        <v>25447</v>
      </c>
      <c r="AH125" s="417">
        <v>0</v>
      </c>
      <c r="AI125" s="417">
        <v>-5000</v>
      </c>
      <c r="AJ125" s="417">
        <v>0</v>
      </c>
      <c r="AK125" s="417">
        <v>0</v>
      </c>
      <c r="AL125" s="417">
        <v>0</v>
      </c>
      <c r="AM125" s="417">
        <f t="shared" si="119"/>
        <v>0</v>
      </c>
      <c r="AN125" s="417">
        <f t="shared" si="120"/>
        <v>-5000</v>
      </c>
      <c r="AO125" s="417">
        <f t="shared" si="121"/>
        <v>-5000</v>
      </c>
      <c r="AP125" s="417">
        <f t="shared" si="122"/>
        <v>0</v>
      </c>
      <c r="AQ125" s="417">
        <f t="shared" si="123"/>
        <v>20447</v>
      </c>
      <c r="AR125" s="417">
        <f t="shared" si="124"/>
        <v>20447</v>
      </c>
      <c r="AS125" s="68">
        <f t="shared" si="125"/>
        <v>6911</v>
      </c>
      <c r="AT125" s="68">
        <f t="shared" si="126"/>
        <v>254</v>
      </c>
      <c r="AU125" s="417">
        <v>0</v>
      </c>
      <c r="AV125" s="417">
        <v>0</v>
      </c>
      <c r="AW125" s="417">
        <v>0</v>
      </c>
      <c r="AX125" s="417">
        <f t="shared" si="127"/>
        <v>0</v>
      </c>
      <c r="AY125" s="417">
        <f t="shared" si="128"/>
        <v>27612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0.06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29"/>
        <v>0</v>
      </c>
      <c r="BJ125" s="418">
        <f t="shared" si="130"/>
        <v>0.06</v>
      </c>
      <c r="BK125" s="420">
        <f t="shared" si="131"/>
        <v>0.06</v>
      </c>
      <c r="BL125" s="772">
        <f t="shared" si="188"/>
        <v>2076160</v>
      </c>
      <c r="BM125" s="417">
        <f t="shared" si="189"/>
        <v>1533173</v>
      </c>
      <c r="BN125" s="417">
        <f t="shared" si="190"/>
        <v>0</v>
      </c>
      <c r="BO125" s="417">
        <f t="shared" si="190"/>
        <v>1533173</v>
      </c>
      <c r="BP125" s="417">
        <f t="shared" si="191"/>
        <v>0</v>
      </c>
      <c r="BQ125" s="417">
        <f t="shared" si="192"/>
        <v>0</v>
      </c>
      <c r="BR125" s="417">
        <f t="shared" si="192"/>
        <v>0</v>
      </c>
      <c r="BS125" s="417">
        <f t="shared" si="193"/>
        <v>518212</v>
      </c>
      <c r="BT125" s="417">
        <f t="shared" si="193"/>
        <v>15331</v>
      </c>
      <c r="BU125" s="417">
        <f t="shared" si="194"/>
        <v>9444</v>
      </c>
      <c r="BV125" s="418">
        <f t="shared" si="195"/>
        <v>4.5966999999999993</v>
      </c>
      <c r="BW125" s="418">
        <f t="shared" si="196"/>
        <v>0</v>
      </c>
      <c r="BX125" s="420">
        <f t="shared" si="196"/>
        <v>4.5966999999999993</v>
      </c>
      <c r="BY125" s="419"/>
      <c r="BZ125" s="414"/>
      <c r="CA125" s="414"/>
      <c r="CB125" s="414"/>
      <c r="CC125" s="414"/>
      <c r="CD125" s="422"/>
      <c r="CE125" s="419">
        <v>0</v>
      </c>
      <c r="CF125" s="414">
        <v>0</v>
      </c>
      <c r="CG125" s="414">
        <v>0</v>
      </c>
      <c r="CH125" s="414">
        <v>0</v>
      </c>
      <c r="CI125" s="414">
        <v>0</v>
      </c>
      <c r="CJ125" s="509">
        <v>0</v>
      </c>
    </row>
    <row r="126" spans="1:88" s="96" customFormat="1" ht="14.1" customHeight="1">
      <c r="A126" s="118">
        <v>20</v>
      </c>
      <c r="B126" s="77">
        <v>2446</v>
      </c>
      <c r="C126" s="93">
        <v>600080129</v>
      </c>
      <c r="D126" s="77">
        <v>72743522</v>
      </c>
      <c r="E126" s="77" t="s">
        <v>742</v>
      </c>
      <c r="F126" s="94">
        <v>3143</v>
      </c>
      <c r="G126" s="77" t="s">
        <v>595</v>
      </c>
      <c r="H126" s="95" t="s">
        <v>271</v>
      </c>
      <c r="I126" s="596">
        <v>917250</v>
      </c>
      <c r="J126" s="595">
        <v>680452</v>
      </c>
      <c r="K126" s="595">
        <v>680452</v>
      </c>
      <c r="L126" s="595">
        <v>0</v>
      </c>
      <c r="M126" s="595">
        <v>0</v>
      </c>
      <c r="N126" s="595">
        <v>0</v>
      </c>
      <c r="O126" s="595">
        <v>0</v>
      </c>
      <c r="P126" s="595">
        <v>229993</v>
      </c>
      <c r="Q126" s="595">
        <v>6805</v>
      </c>
      <c r="R126" s="595">
        <v>0</v>
      </c>
      <c r="S126" s="416">
        <v>1.3959999999999999</v>
      </c>
      <c r="T126" s="416">
        <v>1.3959999999999999</v>
      </c>
      <c r="U126" s="748">
        <v>0</v>
      </c>
      <c r="V126" s="423">
        <f t="shared" si="114"/>
        <v>0</v>
      </c>
      <c r="W126" s="417">
        <f t="shared" si="115"/>
        <v>0</v>
      </c>
      <c r="X126" s="417">
        <v>0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 t="shared" si="116"/>
        <v>0</v>
      </c>
      <c r="AF126" s="417">
        <f t="shared" si="117"/>
        <v>0</v>
      </c>
      <c r="AG126" s="417">
        <f t="shared" si="118"/>
        <v>0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19"/>
        <v>0</v>
      </c>
      <c r="AN126" s="417">
        <f t="shared" si="120"/>
        <v>0</v>
      </c>
      <c r="AO126" s="417">
        <f t="shared" si="121"/>
        <v>0</v>
      </c>
      <c r="AP126" s="417">
        <f t="shared" si="122"/>
        <v>0</v>
      </c>
      <c r="AQ126" s="417">
        <f t="shared" si="123"/>
        <v>0</v>
      </c>
      <c r="AR126" s="417">
        <f t="shared" si="124"/>
        <v>0</v>
      </c>
      <c r="AS126" s="68">
        <f t="shared" si="125"/>
        <v>0</v>
      </c>
      <c r="AT126" s="68">
        <f t="shared" si="126"/>
        <v>0</v>
      </c>
      <c r="AU126" s="417">
        <v>0</v>
      </c>
      <c r="AV126" s="417">
        <v>0</v>
      </c>
      <c r="AW126" s="417">
        <v>0</v>
      </c>
      <c r="AX126" s="417">
        <f t="shared" si="127"/>
        <v>0</v>
      </c>
      <c r="AY126" s="417">
        <f t="shared" si="128"/>
        <v>0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</v>
      </c>
      <c r="BE126" s="418">
        <v>0</v>
      </c>
      <c r="BF126" s="418">
        <v>0</v>
      </c>
      <c r="BG126" s="418">
        <v>0</v>
      </c>
      <c r="BH126" s="418">
        <v>0</v>
      </c>
      <c r="BI126" s="418">
        <f t="shared" si="129"/>
        <v>0</v>
      </c>
      <c r="BJ126" s="418">
        <f t="shared" si="130"/>
        <v>0</v>
      </c>
      <c r="BK126" s="420">
        <f t="shared" si="131"/>
        <v>0</v>
      </c>
      <c r="BL126" s="772">
        <f t="shared" si="188"/>
        <v>917250</v>
      </c>
      <c r="BM126" s="417">
        <f t="shared" si="189"/>
        <v>680452</v>
      </c>
      <c r="BN126" s="417">
        <f t="shared" si="190"/>
        <v>680452</v>
      </c>
      <c r="BO126" s="417">
        <f t="shared" si="190"/>
        <v>0</v>
      </c>
      <c r="BP126" s="417">
        <f t="shared" si="191"/>
        <v>0</v>
      </c>
      <c r="BQ126" s="417">
        <f t="shared" si="192"/>
        <v>0</v>
      </c>
      <c r="BR126" s="417">
        <f t="shared" si="192"/>
        <v>0</v>
      </c>
      <c r="BS126" s="417">
        <f t="shared" si="193"/>
        <v>229993</v>
      </c>
      <c r="BT126" s="417">
        <f t="shared" si="193"/>
        <v>6805</v>
      </c>
      <c r="BU126" s="417">
        <f t="shared" si="194"/>
        <v>0</v>
      </c>
      <c r="BV126" s="418">
        <f t="shared" si="195"/>
        <v>1.3959999999999999</v>
      </c>
      <c r="BW126" s="418">
        <f t="shared" si="196"/>
        <v>1.3959999999999999</v>
      </c>
      <c r="BX126" s="420">
        <f t="shared" si="196"/>
        <v>0</v>
      </c>
      <c r="BY126" s="419"/>
      <c r="BZ126" s="414"/>
      <c r="CA126" s="414"/>
      <c r="CB126" s="414"/>
      <c r="CC126" s="414"/>
      <c r="CD126" s="422"/>
      <c r="CE126" s="419">
        <v>0</v>
      </c>
      <c r="CF126" s="414">
        <v>0</v>
      </c>
      <c r="CG126" s="414">
        <v>0</v>
      </c>
      <c r="CH126" s="414">
        <v>0</v>
      </c>
      <c r="CI126" s="414">
        <v>0</v>
      </c>
      <c r="CJ126" s="509">
        <v>0</v>
      </c>
    </row>
    <row r="127" spans="1:88" s="96" customFormat="1" ht="14.1" customHeight="1">
      <c r="A127" s="118">
        <v>20</v>
      </c>
      <c r="B127" s="77">
        <v>2446</v>
      </c>
      <c r="C127" s="93">
        <v>600080129</v>
      </c>
      <c r="D127" s="77">
        <v>72743522</v>
      </c>
      <c r="E127" s="77" t="s">
        <v>742</v>
      </c>
      <c r="F127" s="94">
        <v>3143</v>
      </c>
      <c r="G127" s="77" t="s">
        <v>596</v>
      </c>
      <c r="H127" s="95" t="s">
        <v>272</v>
      </c>
      <c r="I127" s="596">
        <v>29967</v>
      </c>
      <c r="J127" s="595">
        <v>21450</v>
      </c>
      <c r="K127" s="595">
        <v>0</v>
      </c>
      <c r="L127" s="601">
        <v>21450</v>
      </c>
      <c r="M127" s="595">
        <v>0</v>
      </c>
      <c r="N127" s="602">
        <v>0</v>
      </c>
      <c r="O127" s="602">
        <v>0</v>
      </c>
      <c r="P127" s="595">
        <v>7250</v>
      </c>
      <c r="Q127" s="595">
        <v>214</v>
      </c>
      <c r="R127" s="602">
        <v>1053</v>
      </c>
      <c r="S127" s="416">
        <v>8.4199999999999997E-2</v>
      </c>
      <c r="T127" s="605">
        <v>0</v>
      </c>
      <c r="U127" s="731">
        <v>8.4199999999999997E-2</v>
      </c>
      <c r="V127" s="423">
        <f t="shared" si="114"/>
        <v>0</v>
      </c>
      <c r="W127" s="417">
        <f t="shared" si="115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 t="shared" si="116"/>
        <v>0</v>
      </c>
      <c r="AF127" s="417">
        <f t="shared" si="117"/>
        <v>0</v>
      </c>
      <c r="AG127" s="417">
        <f t="shared" si="118"/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19"/>
        <v>0</v>
      </c>
      <c r="AN127" s="417">
        <f t="shared" si="120"/>
        <v>0</v>
      </c>
      <c r="AO127" s="417">
        <f t="shared" si="121"/>
        <v>0</v>
      </c>
      <c r="AP127" s="417">
        <f t="shared" si="122"/>
        <v>0</v>
      </c>
      <c r="AQ127" s="417">
        <f t="shared" si="123"/>
        <v>0</v>
      </c>
      <c r="AR127" s="417">
        <f t="shared" si="124"/>
        <v>0</v>
      </c>
      <c r="AS127" s="68">
        <f t="shared" si="125"/>
        <v>0</v>
      </c>
      <c r="AT127" s="68">
        <f t="shared" si="126"/>
        <v>0</v>
      </c>
      <c r="AU127" s="417">
        <v>0</v>
      </c>
      <c r="AV127" s="417">
        <v>0</v>
      </c>
      <c r="AW127" s="417">
        <v>0</v>
      </c>
      <c r="AX127" s="417">
        <f t="shared" si="127"/>
        <v>0</v>
      </c>
      <c r="AY127" s="417">
        <f t="shared" si="128"/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418">
        <v>0</v>
      </c>
      <c r="BG127" s="418">
        <v>0</v>
      </c>
      <c r="BH127" s="418">
        <v>0</v>
      </c>
      <c r="BI127" s="418">
        <f t="shared" si="129"/>
        <v>0</v>
      </c>
      <c r="BJ127" s="418">
        <f t="shared" si="130"/>
        <v>0</v>
      </c>
      <c r="BK127" s="420">
        <f t="shared" si="131"/>
        <v>0</v>
      </c>
      <c r="BL127" s="772">
        <f t="shared" si="188"/>
        <v>29967</v>
      </c>
      <c r="BM127" s="417">
        <f t="shared" si="189"/>
        <v>21450</v>
      </c>
      <c r="BN127" s="417">
        <f t="shared" si="190"/>
        <v>0</v>
      </c>
      <c r="BO127" s="417">
        <f t="shared" si="190"/>
        <v>21450</v>
      </c>
      <c r="BP127" s="417">
        <f t="shared" si="191"/>
        <v>0</v>
      </c>
      <c r="BQ127" s="417">
        <f t="shared" si="192"/>
        <v>0</v>
      </c>
      <c r="BR127" s="417">
        <f t="shared" si="192"/>
        <v>0</v>
      </c>
      <c r="BS127" s="417">
        <f t="shared" si="193"/>
        <v>7250</v>
      </c>
      <c r="BT127" s="417">
        <f t="shared" si="193"/>
        <v>214</v>
      </c>
      <c r="BU127" s="417">
        <f t="shared" si="194"/>
        <v>1053</v>
      </c>
      <c r="BV127" s="418">
        <f t="shared" si="195"/>
        <v>8.4199999999999997E-2</v>
      </c>
      <c r="BW127" s="418">
        <f t="shared" si="196"/>
        <v>0</v>
      </c>
      <c r="BX127" s="420">
        <f t="shared" si="196"/>
        <v>8.4199999999999997E-2</v>
      </c>
      <c r="BY127" s="419"/>
      <c r="BZ127" s="414"/>
      <c r="CA127" s="414"/>
      <c r="CB127" s="414"/>
      <c r="CC127" s="414"/>
      <c r="CD127" s="422"/>
      <c r="CE127" s="419">
        <v>0</v>
      </c>
      <c r="CF127" s="414">
        <v>0</v>
      </c>
      <c r="CG127" s="414">
        <v>0</v>
      </c>
      <c r="CH127" s="414">
        <v>0</v>
      </c>
      <c r="CI127" s="414">
        <v>0</v>
      </c>
      <c r="CJ127" s="509">
        <v>0</v>
      </c>
    </row>
    <row r="128" spans="1:88" s="96" customFormat="1" ht="14.1" customHeight="1" thickBot="1">
      <c r="A128" s="120">
        <v>20</v>
      </c>
      <c r="B128" s="108">
        <v>2446</v>
      </c>
      <c r="C128" s="109">
        <v>600080129</v>
      </c>
      <c r="D128" s="108">
        <v>72743522</v>
      </c>
      <c r="E128" s="108" t="s">
        <v>743</v>
      </c>
      <c r="F128" s="110"/>
      <c r="G128" s="111"/>
      <c r="H128" s="112"/>
      <c r="I128" s="742">
        <v>14207515</v>
      </c>
      <c r="J128" s="496">
        <v>10415552</v>
      </c>
      <c r="K128" s="496">
        <v>7937445</v>
      </c>
      <c r="L128" s="496">
        <v>2478107</v>
      </c>
      <c r="M128" s="496">
        <v>35000</v>
      </c>
      <c r="N128" s="496">
        <v>20000</v>
      </c>
      <c r="O128" s="496">
        <v>15000</v>
      </c>
      <c r="P128" s="496">
        <v>3532286</v>
      </c>
      <c r="Q128" s="496">
        <v>104155</v>
      </c>
      <c r="R128" s="496">
        <v>120522</v>
      </c>
      <c r="S128" s="497">
        <v>22.113</v>
      </c>
      <c r="T128" s="497">
        <v>14.631999999999998</v>
      </c>
      <c r="U128" s="697">
        <v>7.4809999999999999</v>
      </c>
      <c r="V128" s="742">
        <f t="shared" ref="V128:CG128" si="197">SUM(V122:V127)</f>
        <v>0</v>
      </c>
      <c r="W128" s="496">
        <f t="shared" si="197"/>
        <v>5000</v>
      </c>
      <c r="X128" s="496">
        <f t="shared" si="197"/>
        <v>46350</v>
      </c>
      <c r="Y128" s="496">
        <f t="shared" si="197"/>
        <v>0</v>
      </c>
      <c r="Z128" s="496">
        <f t="shared" si="197"/>
        <v>0</v>
      </c>
      <c r="AA128" s="496">
        <f t="shared" si="197"/>
        <v>20447</v>
      </c>
      <c r="AB128" s="496">
        <f t="shared" si="197"/>
        <v>0</v>
      </c>
      <c r="AC128" s="496">
        <f t="shared" si="197"/>
        <v>0</v>
      </c>
      <c r="AD128" s="496">
        <f t="shared" si="197"/>
        <v>0</v>
      </c>
      <c r="AE128" s="496">
        <f t="shared" si="197"/>
        <v>46350</v>
      </c>
      <c r="AF128" s="496">
        <f t="shared" si="197"/>
        <v>25447</v>
      </c>
      <c r="AG128" s="496">
        <f t="shared" si="197"/>
        <v>71797</v>
      </c>
      <c r="AH128" s="496">
        <f t="shared" si="197"/>
        <v>0</v>
      </c>
      <c r="AI128" s="496">
        <f t="shared" si="197"/>
        <v>-5000</v>
      </c>
      <c r="AJ128" s="496">
        <f t="shared" si="197"/>
        <v>0</v>
      </c>
      <c r="AK128" s="496">
        <f t="shared" si="197"/>
        <v>0</v>
      </c>
      <c r="AL128" s="496">
        <f t="shared" si="197"/>
        <v>0</v>
      </c>
      <c r="AM128" s="496">
        <f t="shared" si="197"/>
        <v>0</v>
      </c>
      <c r="AN128" s="496">
        <f t="shared" si="197"/>
        <v>-5000</v>
      </c>
      <c r="AO128" s="496">
        <f t="shared" si="197"/>
        <v>-5000</v>
      </c>
      <c r="AP128" s="496">
        <f t="shared" si="197"/>
        <v>46350</v>
      </c>
      <c r="AQ128" s="496">
        <f t="shared" si="197"/>
        <v>20447</v>
      </c>
      <c r="AR128" s="496">
        <f t="shared" si="197"/>
        <v>66797</v>
      </c>
      <c r="AS128" s="496">
        <f t="shared" si="197"/>
        <v>22577</v>
      </c>
      <c r="AT128" s="496">
        <f t="shared" si="197"/>
        <v>718</v>
      </c>
      <c r="AU128" s="496">
        <f t="shared" si="197"/>
        <v>0</v>
      </c>
      <c r="AV128" s="496">
        <f t="shared" si="197"/>
        <v>0</v>
      </c>
      <c r="AW128" s="496">
        <f t="shared" si="197"/>
        <v>0</v>
      </c>
      <c r="AX128" s="496">
        <f t="shared" si="197"/>
        <v>0</v>
      </c>
      <c r="AY128" s="496">
        <f t="shared" si="197"/>
        <v>90092</v>
      </c>
      <c r="AZ128" s="497">
        <f t="shared" si="197"/>
        <v>0</v>
      </c>
      <c r="BA128" s="497">
        <f t="shared" si="197"/>
        <v>0</v>
      </c>
      <c r="BB128" s="497">
        <f t="shared" si="197"/>
        <v>0.13</v>
      </c>
      <c r="BC128" s="497">
        <f t="shared" si="197"/>
        <v>0</v>
      </c>
      <c r="BD128" s="497">
        <f t="shared" si="197"/>
        <v>0.06</v>
      </c>
      <c r="BE128" s="497">
        <f t="shared" si="197"/>
        <v>0</v>
      </c>
      <c r="BF128" s="497">
        <f t="shared" si="197"/>
        <v>0</v>
      </c>
      <c r="BG128" s="497">
        <f t="shared" si="197"/>
        <v>0</v>
      </c>
      <c r="BH128" s="497">
        <f t="shared" si="197"/>
        <v>0</v>
      </c>
      <c r="BI128" s="497">
        <f t="shared" si="197"/>
        <v>0.13</v>
      </c>
      <c r="BJ128" s="497">
        <f t="shared" si="197"/>
        <v>0.06</v>
      </c>
      <c r="BK128" s="743">
        <f t="shared" si="197"/>
        <v>0.19</v>
      </c>
      <c r="BL128" s="787">
        <f t="shared" si="197"/>
        <v>14297607</v>
      </c>
      <c r="BM128" s="496">
        <f t="shared" si="197"/>
        <v>10487349</v>
      </c>
      <c r="BN128" s="496">
        <f t="shared" si="197"/>
        <v>7983795</v>
      </c>
      <c r="BO128" s="496">
        <f t="shared" si="197"/>
        <v>2503554</v>
      </c>
      <c r="BP128" s="496">
        <f t="shared" si="197"/>
        <v>30000</v>
      </c>
      <c r="BQ128" s="496">
        <f t="shared" si="197"/>
        <v>20000</v>
      </c>
      <c r="BR128" s="496">
        <f t="shared" si="197"/>
        <v>10000</v>
      </c>
      <c r="BS128" s="496">
        <f t="shared" si="197"/>
        <v>3554863</v>
      </c>
      <c r="BT128" s="496">
        <f t="shared" si="197"/>
        <v>104873</v>
      </c>
      <c r="BU128" s="496">
        <f t="shared" si="197"/>
        <v>120522</v>
      </c>
      <c r="BV128" s="497">
        <f t="shared" si="197"/>
        <v>22.302999999999997</v>
      </c>
      <c r="BW128" s="497">
        <f t="shared" si="197"/>
        <v>14.762</v>
      </c>
      <c r="BX128" s="743">
        <f t="shared" si="197"/>
        <v>7.5409999999999995</v>
      </c>
      <c r="BY128" s="797">
        <f t="shared" si="197"/>
        <v>0</v>
      </c>
      <c r="BZ128" s="701">
        <f t="shared" si="197"/>
        <v>0</v>
      </c>
      <c r="CA128" s="701">
        <f t="shared" si="197"/>
        <v>0</v>
      </c>
      <c r="CB128" s="701">
        <f t="shared" si="197"/>
        <v>0</v>
      </c>
      <c r="CC128" s="701">
        <f t="shared" si="197"/>
        <v>0</v>
      </c>
      <c r="CD128" s="963">
        <f t="shared" si="197"/>
        <v>0</v>
      </c>
      <c r="CE128" s="966">
        <f t="shared" si="197"/>
        <v>436196</v>
      </c>
      <c r="CF128" s="967">
        <f t="shared" si="197"/>
        <v>307768</v>
      </c>
      <c r="CG128" s="967">
        <f t="shared" si="197"/>
        <v>104026</v>
      </c>
      <c r="CH128" s="967">
        <f t="shared" ref="CH128:CJ128" si="198">SUM(CH122:CH127)</f>
        <v>3078</v>
      </c>
      <c r="CI128" s="967">
        <f t="shared" si="198"/>
        <v>21324</v>
      </c>
      <c r="CJ128" s="968">
        <f t="shared" si="198"/>
        <v>0.91800000000000004</v>
      </c>
    </row>
    <row r="129" spans="1:88" s="96" customFormat="1" ht="14.1" customHeight="1" thickBot="1">
      <c r="A129" s="244"/>
      <c r="B129" s="245"/>
      <c r="C129" s="245"/>
      <c r="D129" s="245"/>
      <c r="E129" s="245" t="s">
        <v>744</v>
      </c>
      <c r="F129" s="245"/>
      <c r="G129" s="245"/>
      <c r="H129" s="246"/>
      <c r="I129" s="737">
        <f t="shared" ref="I129:AM129" si="199">I128+I121+I112+I110+I104+I102+I98+I92+I88+I84+I77+I70+I63+I56+I49+I42+I35+I28+I19+I13</f>
        <v>361682378</v>
      </c>
      <c r="J129" s="738">
        <f t="shared" si="199"/>
        <v>263305296</v>
      </c>
      <c r="K129" s="738">
        <f t="shared" si="199"/>
        <v>222270566</v>
      </c>
      <c r="L129" s="738">
        <f t="shared" si="199"/>
        <v>41034730</v>
      </c>
      <c r="M129" s="738">
        <f t="shared" si="199"/>
        <v>2276718</v>
      </c>
      <c r="N129" s="738">
        <f t="shared" si="199"/>
        <v>1374510</v>
      </c>
      <c r="O129" s="738">
        <f t="shared" si="199"/>
        <v>902208</v>
      </c>
      <c r="P129" s="738">
        <f t="shared" si="199"/>
        <v>89704123</v>
      </c>
      <c r="Q129" s="738">
        <f t="shared" si="199"/>
        <v>2633057</v>
      </c>
      <c r="R129" s="738">
        <f t="shared" si="199"/>
        <v>3763184</v>
      </c>
      <c r="S129" s="739">
        <f t="shared" si="199"/>
        <v>510.25530000000009</v>
      </c>
      <c r="T129" s="739">
        <f t="shared" si="199"/>
        <v>382.67449999999997</v>
      </c>
      <c r="U129" s="740">
        <f t="shared" si="199"/>
        <v>127.5808</v>
      </c>
      <c r="V129" s="737">
        <f t="shared" si="199"/>
        <v>54599</v>
      </c>
      <c r="W129" s="738">
        <f t="shared" si="199"/>
        <v>-105525</v>
      </c>
      <c r="X129" s="738">
        <f t="shared" si="199"/>
        <v>-369355</v>
      </c>
      <c r="Y129" s="738">
        <f t="shared" si="199"/>
        <v>0</v>
      </c>
      <c r="Z129" s="1088">
        <f t="shared" si="199"/>
        <v>340058</v>
      </c>
      <c r="AA129" s="738">
        <f t="shared" si="199"/>
        <v>-308913</v>
      </c>
      <c r="AB129" s="738">
        <f t="shared" si="199"/>
        <v>0</v>
      </c>
      <c r="AC129" s="738">
        <f t="shared" si="199"/>
        <v>0</v>
      </c>
      <c r="AD129" s="738">
        <f t="shared" si="199"/>
        <v>0</v>
      </c>
      <c r="AE129" s="738">
        <f t="shared" si="199"/>
        <v>25302</v>
      </c>
      <c r="AF129" s="738">
        <f t="shared" si="199"/>
        <v>-414438</v>
      </c>
      <c r="AG129" s="738">
        <f t="shared" si="199"/>
        <v>-389136</v>
      </c>
      <c r="AH129" s="738">
        <f t="shared" si="199"/>
        <v>130600</v>
      </c>
      <c r="AI129" s="738">
        <f t="shared" si="199"/>
        <v>105525</v>
      </c>
      <c r="AJ129" s="738">
        <f t="shared" si="199"/>
        <v>0</v>
      </c>
      <c r="AK129" s="738">
        <f t="shared" si="199"/>
        <v>-107613</v>
      </c>
      <c r="AL129" s="738">
        <f t="shared" si="199"/>
        <v>0</v>
      </c>
      <c r="AM129" s="738">
        <f t="shared" si="199"/>
        <v>22987</v>
      </c>
      <c r="AN129" s="738">
        <f t="shared" ref="AN129:BS129" si="200">AN128+AN121+AN112+AN110+AN104+AN102+AN98+AN92+AN88+AN84+AN77+AN70+AN63+AN56+AN49+AN42+AN35+AN28+AN19+AN13</f>
        <v>105525</v>
      </c>
      <c r="AO129" s="738">
        <f t="shared" si="200"/>
        <v>128512</v>
      </c>
      <c r="AP129" s="738">
        <f t="shared" si="200"/>
        <v>48289</v>
      </c>
      <c r="AQ129" s="738">
        <f t="shared" si="200"/>
        <v>-308913</v>
      </c>
      <c r="AR129" s="738">
        <f t="shared" si="200"/>
        <v>-260624</v>
      </c>
      <c r="AS129" s="738">
        <f t="shared" si="200"/>
        <v>-51718</v>
      </c>
      <c r="AT129" s="738">
        <f t="shared" si="200"/>
        <v>-3892</v>
      </c>
      <c r="AU129" s="738">
        <f t="shared" si="200"/>
        <v>28000</v>
      </c>
      <c r="AV129" s="738">
        <f t="shared" ref="AV129:AW129" si="201">AV128+AV121+AV112+AV110+AV104+AV102+AV98+AV92+AV88+AV84+AV77+AV70+AV63+AV56+AV49+AV42+AV35+AV28+AV19+AV13</f>
        <v>0</v>
      </c>
      <c r="AW129" s="738">
        <f t="shared" si="201"/>
        <v>0</v>
      </c>
      <c r="AX129" s="738">
        <f t="shared" si="200"/>
        <v>28000</v>
      </c>
      <c r="AY129" s="738">
        <f t="shared" si="200"/>
        <v>-288234</v>
      </c>
      <c r="AZ129" s="739">
        <f t="shared" si="200"/>
        <v>1.0000000000000002E-2</v>
      </c>
      <c r="BA129" s="739">
        <f t="shared" si="200"/>
        <v>-0.14999999999999997</v>
      </c>
      <c r="BB129" s="739">
        <f t="shared" si="200"/>
        <v>-0.88000000000000012</v>
      </c>
      <c r="BC129" s="739">
        <f t="shared" si="200"/>
        <v>0.81</v>
      </c>
      <c r="BD129" s="739">
        <f t="shared" si="200"/>
        <v>-0.90999999999999992</v>
      </c>
      <c r="BE129" s="739">
        <f t="shared" si="200"/>
        <v>0</v>
      </c>
      <c r="BF129" s="739">
        <f t="shared" si="200"/>
        <v>0</v>
      </c>
      <c r="BG129" s="739">
        <f t="shared" si="200"/>
        <v>0</v>
      </c>
      <c r="BH129" s="739">
        <f t="shared" si="200"/>
        <v>0</v>
      </c>
      <c r="BI129" s="739">
        <f t="shared" si="200"/>
        <v>-5.9999999999999942E-2</v>
      </c>
      <c r="BJ129" s="739">
        <f t="shared" si="200"/>
        <v>-1.0599999999999998</v>
      </c>
      <c r="BK129" s="1089">
        <f t="shared" si="200"/>
        <v>-1.1199999999999999</v>
      </c>
      <c r="BL129" s="549">
        <f t="shared" si="200"/>
        <v>361394144</v>
      </c>
      <c r="BM129" s="549">
        <f t="shared" si="200"/>
        <v>262916160</v>
      </c>
      <c r="BN129" s="549">
        <f t="shared" si="200"/>
        <v>222295868</v>
      </c>
      <c r="BO129" s="549">
        <f t="shared" si="200"/>
        <v>40620292</v>
      </c>
      <c r="BP129" s="549">
        <f t="shared" si="200"/>
        <v>2405230</v>
      </c>
      <c r="BQ129" s="549">
        <f t="shared" si="200"/>
        <v>1397497</v>
      </c>
      <c r="BR129" s="549">
        <f t="shared" si="200"/>
        <v>1007733</v>
      </c>
      <c r="BS129" s="549">
        <f t="shared" si="200"/>
        <v>89652405</v>
      </c>
      <c r="BT129" s="549">
        <f t="shared" ref="BT129:CD129" si="202">BT128+BT121+BT112+BT110+BT104+BT102+BT98+BT92+BT88+BT84+BT77+BT70+BT63+BT56+BT49+BT42+BT35+BT28+BT19+BT13</f>
        <v>2629165</v>
      </c>
      <c r="BU129" s="549">
        <f t="shared" si="202"/>
        <v>3791184</v>
      </c>
      <c r="BV129" s="542">
        <f t="shared" si="202"/>
        <v>509.13529999999997</v>
      </c>
      <c r="BW129" s="542">
        <f t="shared" si="202"/>
        <v>382.61450000000002</v>
      </c>
      <c r="BX129" s="756">
        <f t="shared" si="202"/>
        <v>126.52079999999999</v>
      </c>
      <c r="BY129" s="702">
        <f t="shared" si="202"/>
        <v>1900680</v>
      </c>
      <c r="BZ129" s="703">
        <f t="shared" si="202"/>
        <v>1410000</v>
      </c>
      <c r="CA129" s="703">
        <f t="shared" si="202"/>
        <v>0</v>
      </c>
      <c r="CB129" s="703">
        <f t="shared" si="202"/>
        <v>476580</v>
      </c>
      <c r="CC129" s="703">
        <f t="shared" si="202"/>
        <v>14100</v>
      </c>
      <c r="CD129" s="798">
        <f t="shared" si="202"/>
        <v>2.5</v>
      </c>
      <c r="CE129" s="964">
        <f t="shared" ref="CE129:CJ129" si="203">CE128+CE121+CE112+CE110+CE104+CE102+CE98+CE92+CE88+CE84+CE77+CE70+CE63+CE56+CE49+CE42+CE35+CE28+CE19+CE13</f>
        <v>10364783</v>
      </c>
      <c r="CF129" s="945">
        <f t="shared" si="203"/>
        <v>7062142</v>
      </c>
      <c r="CG129" s="945">
        <f t="shared" si="203"/>
        <v>2387004</v>
      </c>
      <c r="CH129" s="945">
        <f t="shared" si="203"/>
        <v>70621</v>
      </c>
      <c r="CI129" s="945">
        <f t="shared" si="203"/>
        <v>845016</v>
      </c>
      <c r="CJ129" s="965">
        <f t="shared" si="203"/>
        <v>22.116399999999999</v>
      </c>
    </row>
    <row r="130" spans="1:88" s="96" customFormat="1" ht="14.1" customHeight="1">
      <c r="A130" s="114"/>
      <c r="E130" s="113"/>
      <c r="F130" s="113"/>
      <c r="G130" s="113"/>
      <c r="H130" s="113"/>
      <c r="I130" s="427">
        <f>J129+M129+P129+Q129+R129</f>
        <v>361682378</v>
      </c>
      <c r="J130" s="427">
        <f>SUM(K129:L129)</f>
        <v>263305296</v>
      </c>
      <c r="K130" s="427"/>
      <c r="L130" s="427"/>
      <c r="M130" s="427">
        <f>SUM(N129:O129)</f>
        <v>2276718</v>
      </c>
      <c r="N130" s="427"/>
      <c r="O130" s="427"/>
      <c r="P130" s="427"/>
      <c r="Q130" s="427"/>
      <c r="R130" s="427"/>
      <c r="S130" s="428">
        <f>SUM(T129:U129)</f>
        <v>510.25529999999998</v>
      </c>
      <c r="T130" s="428"/>
      <c r="U130" s="428"/>
      <c r="V130" s="427">
        <f>AH129-185199</f>
        <v>-54599</v>
      </c>
      <c r="W130" s="427">
        <f>AI129</f>
        <v>105525</v>
      </c>
      <c r="X130" s="428"/>
      <c r="Y130" s="428"/>
      <c r="Z130" s="428"/>
      <c r="AA130" s="428"/>
      <c r="AB130" s="427"/>
      <c r="AC130" s="428"/>
      <c r="AD130" s="428"/>
      <c r="AE130" s="429"/>
      <c r="AF130" s="429"/>
      <c r="AG130" s="429">
        <f>SUM(AE129:AF129)</f>
        <v>-389136</v>
      </c>
      <c r="AH130" s="429"/>
      <c r="AI130" s="429"/>
      <c r="AJ130" s="430"/>
      <c r="AK130" s="430"/>
      <c r="AL130" s="430"/>
      <c r="AM130" s="429"/>
      <c r="AN130" s="429"/>
      <c r="AO130" s="429">
        <f>SUM(AM129:AN129)</f>
        <v>128512</v>
      </c>
      <c r="AP130" s="429"/>
      <c r="AQ130" s="429"/>
      <c r="AR130" s="429">
        <f>SUM(AP129:AQ129)</f>
        <v>-260624</v>
      </c>
      <c r="AS130" s="431"/>
      <c r="AT130" s="431"/>
      <c r="AU130" s="430"/>
      <c r="AV130" s="430"/>
      <c r="AW130" s="429"/>
      <c r="AX130" s="429">
        <f>SUM(AU129:AW129)</f>
        <v>28000</v>
      </c>
      <c r="AY130" s="429">
        <f>AG129+AO129+AS129+AT129+AX129</f>
        <v>-288234</v>
      </c>
      <c r="AZ130" s="432"/>
      <c r="BA130" s="432"/>
      <c r="BB130" s="432"/>
      <c r="BC130" s="432"/>
      <c r="BD130" s="432"/>
      <c r="BE130" s="432"/>
      <c r="BF130" s="507"/>
      <c r="BG130" s="432"/>
      <c r="BH130" s="432"/>
      <c r="BI130" s="507">
        <f>AZ129+BB129+BC129+BE129+BG129</f>
        <v>-6.0000000000000053E-2</v>
      </c>
      <c r="BJ130" s="507">
        <f>BA129+BD129+BF129+BH129</f>
        <v>-1.0599999999999998</v>
      </c>
      <c r="BK130" s="507">
        <f>SUM(BI129:BJ129)</f>
        <v>-1.1199999999999997</v>
      </c>
      <c r="BL130" s="427">
        <f>BM129+BP129+BS129+BT129+BU129</f>
        <v>361394144</v>
      </c>
      <c r="BM130" s="427">
        <f>SUM(BN129:BO129)</f>
        <v>262916160</v>
      </c>
      <c r="BN130" s="429">
        <f>K129+AE129</f>
        <v>222295868</v>
      </c>
      <c r="BO130" s="429">
        <f>L129+AF129</f>
        <v>40620292</v>
      </c>
      <c r="BP130" s="86">
        <f>SUM(BQ129:BR129)</f>
        <v>2405230</v>
      </c>
      <c r="BQ130" s="429">
        <f>N129+AM129</f>
        <v>1397497</v>
      </c>
      <c r="BR130" s="429">
        <f>O129+AN129</f>
        <v>1007733</v>
      </c>
      <c r="BS130" s="429">
        <f>P129+AS129</f>
        <v>89652405</v>
      </c>
      <c r="BT130" s="429">
        <f>Q129+AT129</f>
        <v>2629165</v>
      </c>
      <c r="BU130" s="429">
        <f>R129+AX129</f>
        <v>3791184</v>
      </c>
      <c r="BV130" s="428">
        <f>SUM(BW129:BX129)</f>
        <v>509.13530000000003</v>
      </c>
      <c r="BW130" s="507">
        <f>T129+BI129</f>
        <v>382.61449999999996</v>
      </c>
      <c r="BX130" s="507">
        <f>U129+BJ129</f>
        <v>126.52079999999999</v>
      </c>
      <c r="BY130" s="235">
        <f>SUM(BZ129:CC129)</f>
        <v>1900680</v>
      </c>
      <c r="BZ130" s="8"/>
      <c r="CA130" s="8"/>
      <c r="CB130" s="8"/>
      <c r="CC130" s="8"/>
      <c r="CD130" s="7"/>
      <c r="CE130" s="235">
        <f>SUM(CF129:CI129)</f>
        <v>10364783</v>
      </c>
      <c r="CF130" s="8"/>
      <c r="CG130" s="8"/>
      <c r="CH130" s="8"/>
      <c r="CI130" s="8"/>
      <c r="CJ130" s="7"/>
    </row>
    <row r="131" spans="1:88" customFormat="1" ht="13.5" thickBot="1">
      <c r="D131" s="23"/>
      <c r="E131" s="24"/>
      <c r="F131" s="23"/>
      <c r="G131" s="41"/>
      <c r="H131" s="24"/>
      <c r="I131" s="427">
        <f>J132+M132+P132+Q132+R132</f>
        <v>361682378</v>
      </c>
      <c r="J131" s="427">
        <f>SUM(K132:L132)</f>
        <v>263305296</v>
      </c>
      <c r="K131" s="427"/>
      <c r="L131" s="427"/>
      <c r="M131" s="427">
        <f>SUM(N132:O132)</f>
        <v>2276718</v>
      </c>
      <c r="N131" s="427"/>
      <c r="O131" s="427"/>
      <c r="P131" s="427"/>
      <c r="Q131" s="427"/>
      <c r="R131" s="427"/>
      <c r="S131" s="428">
        <f>SUM(T132:U132)</f>
        <v>510.25530000000003</v>
      </c>
      <c r="T131" s="428"/>
      <c r="U131" s="428"/>
      <c r="V131" s="427">
        <f>AH132-185199</f>
        <v>-54599</v>
      </c>
      <c r="W131" s="427">
        <f>AI132</f>
        <v>105525</v>
      </c>
      <c r="X131" s="428"/>
      <c r="Y131" s="428"/>
      <c r="Z131" s="428"/>
      <c r="AA131" s="428"/>
      <c r="AB131" s="427"/>
      <c r="AC131" s="428"/>
      <c r="AD131" s="428"/>
      <c r="AE131" s="429"/>
      <c r="AF131" s="429"/>
      <c r="AG131" s="429">
        <f>SUM(AE132:AF132)</f>
        <v>-389136</v>
      </c>
      <c r="AH131" s="429"/>
      <c r="AI131" s="429"/>
      <c r="AJ131" s="430"/>
      <c r="AK131" s="430"/>
      <c r="AL131" s="430"/>
      <c r="AM131" s="429"/>
      <c r="AN131" s="429"/>
      <c r="AO131" s="429">
        <f>SUM(AM132:AN132)</f>
        <v>128512</v>
      </c>
      <c r="AP131" s="429"/>
      <c r="AQ131" s="429"/>
      <c r="AR131" s="429">
        <f>SUM(AP132:AQ132)</f>
        <v>-260624</v>
      </c>
      <c r="AS131" s="431"/>
      <c r="AT131" s="431"/>
      <c r="AU131" s="430"/>
      <c r="AV131" s="430"/>
      <c r="AW131" s="429"/>
      <c r="AX131" s="429">
        <f>SUM(AU132:AW132)</f>
        <v>28000</v>
      </c>
      <c r="AY131" s="429">
        <f>AG132+AO132+AS132+AT132+AX132</f>
        <v>-288234</v>
      </c>
      <c r="AZ131" s="432"/>
      <c r="BA131" s="432"/>
      <c r="BB131" s="432"/>
      <c r="BC131" s="432"/>
      <c r="BD131" s="432"/>
      <c r="BE131" s="432"/>
      <c r="BF131" s="507"/>
      <c r="BG131" s="432"/>
      <c r="BH131" s="432"/>
      <c r="BI131" s="507">
        <f>AZ132+BB132+BC132+BE132+BG132</f>
        <v>-5.9999999999999942E-2</v>
      </c>
      <c r="BJ131" s="507">
        <f>BA132+BD132+BF132+BH132</f>
        <v>-1.06</v>
      </c>
      <c r="BK131" s="507">
        <f>SUM(BI132:BJ132)</f>
        <v>-1.1199999999999999</v>
      </c>
      <c r="BL131" s="427">
        <f>BM132+BP132+BS132+BT132+BU132</f>
        <v>361394144</v>
      </c>
      <c r="BM131" s="427">
        <f>SUM(BN132:BO132)</f>
        <v>262916160</v>
      </c>
      <c r="BN131" s="53"/>
      <c r="BO131" s="53"/>
      <c r="BP131" s="86">
        <f>SUM(BQ132:BR132)</f>
        <v>2405230</v>
      </c>
      <c r="BQ131" s="53"/>
      <c r="BR131" s="53"/>
      <c r="BS131" s="53"/>
      <c r="BT131" s="53"/>
      <c r="BU131" s="53"/>
      <c r="BV131" s="428">
        <f>SUM(BW132:BX132)</f>
        <v>509.13530000000003</v>
      </c>
      <c r="BW131" s="87"/>
      <c r="BX131" s="87"/>
      <c r="BY131" s="235">
        <f>SUM(BZ132:CC132)</f>
        <v>1900680</v>
      </c>
      <c r="BZ131" s="8"/>
      <c r="CA131" s="8"/>
      <c r="CB131" s="8"/>
      <c r="CC131" s="8"/>
      <c r="CD131" s="7"/>
      <c r="CE131" s="235">
        <f>SUM(CF132:CI132)</f>
        <v>10364783</v>
      </c>
      <c r="CF131" s="8"/>
      <c r="CG131" s="8"/>
      <c r="CH131" s="8"/>
      <c r="CI131" s="8"/>
      <c r="CJ131" s="7"/>
    </row>
    <row r="132" spans="1:88" customFormat="1" ht="13.5" thickBot="1">
      <c r="D132" s="23"/>
      <c r="E132" s="24"/>
      <c r="F132" s="23"/>
      <c r="G132" s="41"/>
      <c r="H132" s="439" t="s">
        <v>0</v>
      </c>
      <c r="I132" s="591">
        <f>SUM(I133:I142)</f>
        <v>361682378</v>
      </c>
      <c r="J132" s="592">
        <f t="shared" ref="J132:BT132" si="204">SUM(J133:J142)</f>
        <v>263305296</v>
      </c>
      <c r="K132" s="592">
        <f t="shared" si="204"/>
        <v>222270566</v>
      </c>
      <c r="L132" s="592">
        <f t="shared" si="204"/>
        <v>41034730</v>
      </c>
      <c r="M132" s="592">
        <f t="shared" si="204"/>
        <v>2276718</v>
      </c>
      <c r="N132" s="592">
        <f t="shared" si="204"/>
        <v>1374510</v>
      </c>
      <c r="O132" s="592">
        <f t="shared" si="204"/>
        <v>902208</v>
      </c>
      <c r="P132" s="592">
        <f t="shared" si="204"/>
        <v>89704123</v>
      </c>
      <c r="Q132" s="592">
        <f t="shared" si="204"/>
        <v>2633057</v>
      </c>
      <c r="R132" s="592">
        <f t="shared" si="204"/>
        <v>3763184</v>
      </c>
      <c r="S132" s="593">
        <f t="shared" si="204"/>
        <v>510.25530000000003</v>
      </c>
      <c r="T132" s="593">
        <f t="shared" si="204"/>
        <v>382.67450000000002</v>
      </c>
      <c r="U132" s="594">
        <f t="shared" si="204"/>
        <v>127.5808</v>
      </c>
      <c r="V132" s="149">
        <f t="shared" si="204"/>
        <v>54599</v>
      </c>
      <c r="W132" s="34">
        <f t="shared" si="204"/>
        <v>-105525</v>
      </c>
      <c r="X132" s="34">
        <f t="shared" si="204"/>
        <v>-369355</v>
      </c>
      <c r="Y132" s="34">
        <f t="shared" si="204"/>
        <v>0</v>
      </c>
      <c r="Z132" s="34">
        <f t="shared" si="204"/>
        <v>340058</v>
      </c>
      <c r="AA132" s="34">
        <f t="shared" si="204"/>
        <v>-308913</v>
      </c>
      <c r="AB132" s="34">
        <f t="shared" si="204"/>
        <v>0</v>
      </c>
      <c r="AC132" s="34">
        <f t="shared" si="204"/>
        <v>0</v>
      </c>
      <c r="AD132" s="34">
        <f t="shared" si="204"/>
        <v>0</v>
      </c>
      <c r="AE132" s="34">
        <f t="shared" si="204"/>
        <v>25302</v>
      </c>
      <c r="AF132" s="34">
        <f t="shared" si="204"/>
        <v>-414438</v>
      </c>
      <c r="AG132" s="34">
        <f t="shared" si="204"/>
        <v>-389136</v>
      </c>
      <c r="AH132" s="34">
        <f t="shared" si="204"/>
        <v>130600</v>
      </c>
      <c r="AI132" s="34">
        <f t="shared" si="204"/>
        <v>105525</v>
      </c>
      <c r="AJ132" s="34">
        <f t="shared" si="204"/>
        <v>0</v>
      </c>
      <c r="AK132" s="34">
        <f t="shared" si="204"/>
        <v>-107613</v>
      </c>
      <c r="AL132" s="34">
        <f t="shared" si="204"/>
        <v>0</v>
      </c>
      <c r="AM132" s="34">
        <f t="shared" si="204"/>
        <v>22987</v>
      </c>
      <c r="AN132" s="34">
        <f t="shared" si="204"/>
        <v>105525</v>
      </c>
      <c r="AO132" s="34">
        <f t="shared" si="204"/>
        <v>128512</v>
      </c>
      <c r="AP132" s="34">
        <f t="shared" si="204"/>
        <v>48289</v>
      </c>
      <c r="AQ132" s="34">
        <f t="shared" si="204"/>
        <v>-308913</v>
      </c>
      <c r="AR132" s="34">
        <f t="shared" si="204"/>
        <v>-260624</v>
      </c>
      <c r="AS132" s="34">
        <f t="shared" si="204"/>
        <v>-51718</v>
      </c>
      <c r="AT132" s="34">
        <f t="shared" si="204"/>
        <v>-3892</v>
      </c>
      <c r="AU132" s="34">
        <f t="shared" si="204"/>
        <v>28000</v>
      </c>
      <c r="AV132" s="34">
        <f t="shared" ref="AV132:AW132" si="205">SUM(AV133:AV142)</f>
        <v>0</v>
      </c>
      <c r="AW132" s="34">
        <f t="shared" si="205"/>
        <v>0</v>
      </c>
      <c r="AX132" s="34">
        <f t="shared" si="204"/>
        <v>28000</v>
      </c>
      <c r="AY132" s="34">
        <f t="shared" si="204"/>
        <v>-288234</v>
      </c>
      <c r="AZ132" s="35">
        <f t="shared" si="204"/>
        <v>1.0000000000000002E-2</v>
      </c>
      <c r="BA132" s="35">
        <f t="shared" si="204"/>
        <v>-0.14999999999999991</v>
      </c>
      <c r="BB132" s="35">
        <f t="shared" si="204"/>
        <v>-0.88</v>
      </c>
      <c r="BC132" s="35">
        <f t="shared" si="204"/>
        <v>0.81</v>
      </c>
      <c r="BD132" s="35">
        <f t="shared" si="204"/>
        <v>-0.91000000000000014</v>
      </c>
      <c r="BE132" s="35">
        <f t="shared" si="204"/>
        <v>0</v>
      </c>
      <c r="BF132" s="35">
        <f t="shared" si="204"/>
        <v>0</v>
      </c>
      <c r="BG132" s="35">
        <f t="shared" si="204"/>
        <v>0</v>
      </c>
      <c r="BH132" s="35">
        <f t="shared" si="204"/>
        <v>0</v>
      </c>
      <c r="BI132" s="35">
        <f t="shared" si="204"/>
        <v>-5.9999999999999928E-2</v>
      </c>
      <c r="BJ132" s="35">
        <f t="shared" si="204"/>
        <v>-1.06</v>
      </c>
      <c r="BK132" s="148">
        <f t="shared" si="204"/>
        <v>-1.1200000000000001</v>
      </c>
      <c r="BL132" s="139">
        <f t="shared" si="204"/>
        <v>361394144</v>
      </c>
      <c r="BM132" s="34">
        <f t="shared" si="204"/>
        <v>262916160</v>
      </c>
      <c r="BN132" s="34">
        <f t="shared" si="204"/>
        <v>222295868</v>
      </c>
      <c r="BO132" s="34">
        <f t="shared" si="204"/>
        <v>40620292</v>
      </c>
      <c r="BP132" s="34">
        <f t="shared" si="204"/>
        <v>2405230</v>
      </c>
      <c r="BQ132" s="34">
        <f t="shared" si="204"/>
        <v>1397497</v>
      </c>
      <c r="BR132" s="34">
        <f t="shared" si="204"/>
        <v>1007733</v>
      </c>
      <c r="BS132" s="34">
        <f t="shared" si="204"/>
        <v>89652405</v>
      </c>
      <c r="BT132" s="34">
        <f t="shared" si="204"/>
        <v>2629165</v>
      </c>
      <c r="BU132" s="34">
        <f t="shared" ref="BU132:BX132" si="206">SUM(BU133:BU142)</f>
        <v>3791184</v>
      </c>
      <c r="BV132" s="35">
        <f t="shared" si="206"/>
        <v>509.13530000000003</v>
      </c>
      <c r="BW132" s="35">
        <f t="shared" si="206"/>
        <v>382.61450000000002</v>
      </c>
      <c r="BX132" s="148">
        <f t="shared" si="206"/>
        <v>126.52079999999998</v>
      </c>
      <c r="BY132" s="671">
        <f t="shared" ref="BY132:CD132" si="207">SUM(BY133:BY142)</f>
        <v>1900680</v>
      </c>
      <c r="BZ132" s="667">
        <f t="shared" si="207"/>
        <v>1410000</v>
      </c>
      <c r="CA132" s="667">
        <f t="shared" si="207"/>
        <v>0</v>
      </c>
      <c r="CB132" s="667">
        <f t="shared" si="207"/>
        <v>476580</v>
      </c>
      <c r="CC132" s="667">
        <f t="shared" si="207"/>
        <v>14100</v>
      </c>
      <c r="CD132" s="672">
        <f t="shared" si="207"/>
        <v>2.5</v>
      </c>
      <c r="CE132" s="893">
        <f t="shared" ref="CE132:CJ132" si="208">SUM(CE133:CE142)</f>
        <v>10364783</v>
      </c>
      <c r="CF132" s="894">
        <f t="shared" si="208"/>
        <v>7062142</v>
      </c>
      <c r="CG132" s="894">
        <f t="shared" si="208"/>
        <v>2387004</v>
      </c>
      <c r="CH132" s="894">
        <f t="shared" si="208"/>
        <v>70621</v>
      </c>
      <c r="CI132" s="894">
        <f t="shared" ref="CI132" si="209">SUM(CI133:CI142)</f>
        <v>845016</v>
      </c>
      <c r="CJ132" s="885">
        <f t="shared" si="208"/>
        <v>22.116400000000002</v>
      </c>
    </row>
    <row r="133" spans="1:88" customFormat="1" ht="12.75">
      <c r="D133" s="23"/>
      <c r="E133" s="24"/>
      <c r="F133" s="23"/>
      <c r="G133" s="41"/>
      <c r="H133" s="440">
        <v>3111</v>
      </c>
      <c r="I133" s="488">
        <f t="shared" ref="I133:AO133" si="210">SUMIF($F$12:$F$144,"=3111",I$12:I$144)</f>
        <v>67973037</v>
      </c>
      <c r="J133" s="489">
        <f t="shared" si="210"/>
        <v>49788633</v>
      </c>
      <c r="K133" s="489">
        <f t="shared" si="210"/>
        <v>45774882</v>
      </c>
      <c r="L133" s="489">
        <f t="shared" si="210"/>
        <v>4013751</v>
      </c>
      <c r="M133" s="489">
        <f t="shared" si="210"/>
        <v>395000</v>
      </c>
      <c r="N133" s="489">
        <f t="shared" si="210"/>
        <v>280000</v>
      </c>
      <c r="O133" s="489">
        <f t="shared" si="210"/>
        <v>115000</v>
      </c>
      <c r="P133" s="489">
        <f t="shared" si="210"/>
        <v>16962067</v>
      </c>
      <c r="Q133" s="489">
        <f t="shared" si="210"/>
        <v>497887</v>
      </c>
      <c r="R133" s="489">
        <f t="shared" si="210"/>
        <v>329450</v>
      </c>
      <c r="S133" s="492">
        <f t="shared" si="210"/>
        <v>96.901299999999992</v>
      </c>
      <c r="T133" s="492">
        <f t="shared" si="210"/>
        <v>81.085799999999992</v>
      </c>
      <c r="U133" s="495">
        <f t="shared" si="210"/>
        <v>15.815499999999998</v>
      </c>
      <c r="V133" s="32">
        <f t="shared" si="210"/>
        <v>5000</v>
      </c>
      <c r="W133" s="146">
        <f t="shared" si="210"/>
        <v>-124000</v>
      </c>
      <c r="X133" s="146">
        <f t="shared" si="210"/>
        <v>0</v>
      </c>
      <c r="Y133" s="146">
        <f t="shared" si="210"/>
        <v>0</v>
      </c>
      <c r="Z133" s="146">
        <f t="shared" si="210"/>
        <v>0</v>
      </c>
      <c r="AA133" s="146">
        <f t="shared" si="210"/>
        <v>0</v>
      </c>
      <c r="AB133" s="146">
        <f t="shared" si="210"/>
        <v>0</v>
      </c>
      <c r="AC133" s="146">
        <f t="shared" si="210"/>
        <v>0</v>
      </c>
      <c r="AD133" s="146">
        <f t="shared" si="210"/>
        <v>0</v>
      </c>
      <c r="AE133" s="146">
        <f t="shared" si="210"/>
        <v>5000</v>
      </c>
      <c r="AF133" s="146">
        <f t="shared" si="210"/>
        <v>-124000</v>
      </c>
      <c r="AG133" s="146">
        <f t="shared" si="210"/>
        <v>-119000</v>
      </c>
      <c r="AH133" s="146">
        <f t="shared" si="210"/>
        <v>-5000</v>
      </c>
      <c r="AI133" s="146">
        <f t="shared" si="210"/>
        <v>124000</v>
      </c>
      <c r="AJ133" s="146">
        <f t="shared" si="210"/>
        <v>0</v>
      </c>
      <c r="AK133" s="146">
        <f t="shared" si="210"/>
        <v>0</v>
      </c>
      <c r="AL133" s="146">
        <f t="shared" si="210"/>
        <v>0</v>
      </c>
      <c r="AM133" s="146">
        <f t="shared" si="210"/>
        <v>-5000</v>
      </c>
      <c r="AN133" s="146">
        <f t="shared" si="210"/>
        <v>124000</v>
      </c>
      <c r="AO133" s="146">
        <f t="shared" si="210"/>
        <v>119000</v>
      </c>
      <c r="AP133" s="146">
        <f t="shared" ref="AP133:BW133" si="211">SUMIF($F$12:$F$144,"=3111",AP$12:AP$144)</f>
        <v>0</v>
      </c>
      <c r="AQ133" s="146">
        <f t="shared" si="211"/>
        <v>0</v>
      </c>
      <c r="AR133" s="146">
        <f t="shared" si="211"/>
        <v>0</v>
      </c>
      <c r="AS133" s="146">
        <f t="shared" si="211"/>
        <v>0</v>
      </c>
      <c r="AT133" s="146">
        <f t="shared" si="211"/>
        <v>-1190</v>
      </c>
      <c r="AU133" s="146">
        <f t="shared" si="211"/>
        <v>5000</v>
      </c>
      <c r="AV133" s="146">
        <f t="shared" si="211"/>
        <v>0</v>
      </c>
      <c r="AW133" s="146">
        <f t="shared" si="211"/>
        <v>0</v>
      </c>
      <c r="AX133" s="146">
        <f t="shared" si="211"/>
        <v>5000</v>
      </c>
      <c r="AY133" s="146">
        <f t="shared" si="211"/>
        <v>3810</v>
      </c>
      <c r="AZ133" s="147">
        <f t="shared" si="211"/>
        <v>0.05</v>
      </c>
      <c r="BA133" s="147">
        <f t="shared" si="211"/>
        <v>-0.35</v>
      </c>
      <c r="BB133" s="147">
        <f t="shared" si="211"/>
        <v>0</v>
      </c>
      <c r="BC133" s="147">
        <f t="shared" si="211"/>
        <v>0</v>
      </c>
      <c r="BD133" s="147">
        <f t="shared" si="211"/>
        <v>0</v>
      </c>
      <c r="BE133" s="147">
        <f t="shared" si="211"/>
        <v>0</v>
      </c>
      <c r="BF133" s="147">
        <f t="shared" si="211"/>
        <v>0</v>
      </c>
      <c r="BG133" s="147">
        <f t="shared" si="211"/>
        <v>0</v>
      </c>
      <c r="BH133" s="147">
        <f t="shared" si="211"/>
        <v>0</v>
      </c>
      <c r="BI133" s="147">
        <f t="shared" si="211"/>
        <v>0.05</v>
      </c>
      <c r="BJ133" s="147">
        <f t="shared" si="211"/>
        <v>-0.35</v>
      </c>
      <c r="BK133" s="424">
        <f t="shared" si="211"/>
        <v>-0.3</v>
      </c>
      <c r="BL133" s="31">
        <f t="shared" si="211"/>
        <v>67976847</v>
      </c>
      <c r="BM133" s="146">
        <f t="shared" si="211"/>
        <v>49669633</v>
      </c>
      <c r="BN133" s="146">
        <f t="shared" si="211"/>
        <v>45779882</v>
      </c>
      <c r="BO133" s="146">
        <f t="shared" si="211"/>
        <v>3889751</v>
      </c>
      <c r="BP133" s="146">
        <f t="shared" si="211"/>
        <v>514000</v>
      </c>
      <c r="BQ133" s="146">
        <f t="shared" si="211"/>
        <v>275000</v>
      </c>
      <c r="BR133" s="146">
        <f t="shared" si="211"/>
        <v>239000</v>
      </c>
      <c r="BS133" s="146">
        <f t="shared" si="211"/>
        <v>16962067</v>
      </c>
      <c r="BT133" s="146">
        <f t="shared" si="211"/>
        <v>496697</v>
      </c>
      <c r="BU133" s="146">
        <f t="shared" si="211"/>
        <v>334450</v>
      </c>
      <c r="BV133" s="147">
        <f t="shared" si="211"/>
        <v>96.601299999999995</v>
      </c>
      <c r="BW133" s="147">
        <f t="shared" si="211"/>
        <v>81.135799999999989</v>
      </c>
      <c r="BX133" s="424">
        <f t="shared" ref="BX133:CJ133" si="212">SUMIF($F$12:$F$144,"=3111",BX$12:BX$144)</f>
        <v>15.465499999999999</v>
      </c>
      <c r="BY133" s="31">
        <f t="shared" si="212"/>
        <v>0</v>
      </c>
      <c r="BZ133" s="146">
        <f t="shared" si="212"/>
        <v>0</v>
      </c>
      <c r="CA133" s="146">
        <f t="shared" si="212"/>
        <v>0</v>
      </c>
      <c r="CB133" s="146">
        <f t="shared" si="212"/>
        <v>0</v>
      </c>
      <c r="CC133" s="146">
        <f t="shared" si="212"/>
        <v>0</v>
      </c>
      <c r="CD133" s="238">
        <f t="shared" si="212"/>
        <v>0</v>
      </c>
      <c r="CE133" s="31">
        <f t="shared" si="212"/>
        <v>1893648</v>
      </c>
      <c r="CF133" s="146">
        <f t="shared" si="212"/>
        <v>1324810</v>
      </c>
      <c r="CG133" s="146">
        <f t="shared" si="212"/>
        <v>447785</v>
      </c>
      <c r="CH133" s="146">
        <f t="shared" si="212"/>
        <v>13249</v>
      </c>
      <c r="CI133" s="146">
        <f t="shared" si="212"/>
        <v>107804</v>
      </c>
      <c r="CJ133" s="238">
        <f t="shared" si="212"/>
        <v>5.0746999999999991</v>
      </c>
    </row>
    <row r="134" spans="1:88" customFormat="1" ht="12.75">
      <c r="D134" s="23"/>
      <c r="E134" s="24"/>
      <c r="F134" s="23"/>
      <c r="G134" s="41"/>
      <c r="H134" s="2">
        <v>3113</v>
      </c>
      <c r="I134" s="167">
        <f t="shared" ref="I134:AO134" si="213">SUMIF($F$12:$F$144,"=3113",I$12:I$144)</f>
        <v>173887608</v>
      </c>
      <c r="J134" s="16">
        <f t="shared" si="213"/>
        <v>126500161</v>
      </c>
      <c r="K134" s="16">
        <f t="shared" si="213"/>
        <v>114758912</v>
      </c>
      <c r="L134" s="16">
        <f t="shared" si="213"/>
        <v>11741249</v>
      </c>
      <c r="M134" s="16">
        <f t="shared" si="213"/>
        <v>665199</v>
      </c>
      <c r="N134" s="16">
        <f t="shared" si="213"/>
        <v>465199</v>
      </c>
      <c r="O134" s="16">
        <f t="shared" si="213"/>
        <v>200000</v>
      </c>
      <c r="P134" s="16">
        <f t="shared" si="213"/>
        <v>42919296</v>
      </c>
      <c r="Q134" s="16">
        <f t="shared" si="213"/>
        <v>1265002</v>
      </c>
      <c r="R134" s="16">
        <f t="shared" si="213"/>
        <v>2537950</v>
      </c>
      <c r="S134" s="13">
        <f t="shared" si="213"/>
        <v>226.89900000000003</v>
      </c>
      <c r="T134" s="13">
        <f t="shared" si="213"/>
        <v>190.51940000000002</v>
      </c>
      <c r="U134" s="17">
        <f t="shared" si="213"/>
        <v>36.379599999999996</v>
      </c>
      <c r="V134" s="38">
        <f t="shared" si="213"/>
        <v>99199</v>
      </c>
      <c r="W134" s="26">
        <f t="shared" si="213"/>
        <v>-75000</v>
      </c>
      <c r="X134" s="26">
        <f t="shared" si="213"/>
        <v>-106766</v>
      </c>
      <c r="Y134" s="26">
        <f t="shared" si="213"/>
        <v>0</v>
      </c>
      <c r="Z134" s="26">
        <f t="shared" si="213"/>
        <v>72456</v>
      </c>
      <c r="AA134" s="26">
        <f t="shared" si="213"/>
        <v>0</v>
      </c>
      <c r="AB134" s="26">
        <f t="shared" si="213"/>
        <v>0</v>
      </c>
      <c r="AC134" s="26">
        <f t="shared" si="213"/>
        <v>0</v>
      </c>
      <c r="AD134" s="26">
        <f t="shared" si="213"/>
        <v>0</v>
      </c>
      <c r="AE134" s="26">
        <f t="shared" si="213"/>
        <v>64889</v>
      </c>
      <c r="AF134" s="26">
        <f t="shared" si="213"/>
        <v>-75000</v>
      </c>
      <c r="AG134" s="26">
        <f t="shared" si="213"/>
        <v>-10111</v>
      </c>
      <c r="AH134" s="26">
        <f t="shared" si="213"/>
        <v>86000</v>
      </c>
      <c r="AI134" s="26">
        <f t="shared" si="213"/>
        <v>75000</v>
      </c>
      <c r="AJ134" s="26">
        <f t="shared" si="213"/>
        <v>0</v>
      </c>
      <c r="AK134" s="26">
        <f t="shared" si="213"/>
        <v>-107613</v>
      </c>
      <c r="AL134" s="26">
        <f t="shared" si="213"/>
        <v>0</v>
      </c>
      <c r="AM134" s="26">
        <f t="shared" si="213"/>
        <v>-21613</v>
      </c>
      <c r="AN134" s="26">
        <f t="shared" si="213"/>
        <v>75000</v>
      </c>
      <c r="AO134" s="26">
        <f t="shared" si="213"/>
        <v>53387</v>
      </c>
      <c r="AP134" s="26">
        <f t="shared" ref="AP134:BW134" si="214">SUMIF($F$12:$F$144,"=3113",AP$12:AP$144)</f>
        <v>43276</v>
      </c>
      <c r="AQ134" s="26">
        <f t="shared" si="214"/>
        <v>0</v>
      </c>
      <c r="AR134" s="26">
        <f t="shared" si="214"/>
        <v>43276</v>
      </c>
      <c r="AS134" s="26">
        <f t="shared" si="214"/>
        <v>51000</v>
      </c>
      <c r="AT134" s="26">
        <f t="shared" si="214"/>
        <v>-100</v>
      </c>
      <c r="AU134" s="26">
        <f t="shared" si="214"/>
        <v>17500</v>
      </c>
      <c r="AV134" s="26">
        <f t="shared" si="214"/>
        <v>0</v>
      </c>
      <c r="AW134" s="26">
        <f t="shared" si="214"/>
        <v>0</v>
      </c>
      <c r="AX134" s="26">
        <f t="shared" si="214"/>
        <v>17500</v>
      </c>
      <c r="AY134" s="26">
        <f t="shared" si="214"/>
        <v>111676</v>
      </c>
      <c r="AZ134" s="27">
        <f t="shared" si="214"/>
        <v>-0.02</v>
      </c>
      <c r="BA134" s="27">
        <f t="shared" si="214"/>
        <v>-0.09</v>
      </c>
      <c r="BB134" s="27">
        <f t="shared" si="214"/>
        <v>-0.29000000000000004</v>
      </c>
      <c r="BC134" s="27">
        <f t="shared" si="214"/>
        <v>0.2</v>
      </c>
      <c r="BD134" s="27">
        <f t="shared" si="214"/>
        <v>0</v>
      </c>
      <c r="BE134" s="27">
        <f t="shared" si="214"/>
        <v>0</v>
      </c>
      <c r="BF134" s="27">
        <f t="shared" si="214"/>
        <v>0</v>
      </c>
      <c r="BG134" s="27">
        <f t="shared" si="214"/>
        <v>0</v>
      </c>
      <c r="BH134" s="27">
        <f t="shared" si="214"/>
        <v>0</v>
      </c>
      <c r="BI134" s="27">
        <f t="shared" si="214"/>
        <v>-0.11000000000000003</v>
      </c>
      <c r="BJ134" s="27">
        <f t="shared" si="214"/>
        <v>-0.09</v>
      </c>
      <c r="BK134" s="425">
        <f t="shared" si="214"/>
        <v>-0.20000000000000009</v>
      </c>
      <c r="BL134" s="25">
        <f t="shared" si="214"/>
        <v>173999284</v>
      </c>
      <c r="BM134" s="26">
        <f t="shared" si="214"/>
        <v>126490050</v>
      </c>
      <c r="BN134" s="26">
        <f t="shared" si="214"/>
        <v>114823801</v>
      </c>
      <c r="BO134" s="26">
        <f t="shared" si="214"/>
        <v>11666249</v>
      </c>
      <c r="BP134" s="26">
        <f t="shared" si="214"/>
        <v>718586</v>
      </c>
      <c r="BQ134" s="26">
        <f t="shared" si="214"/>
        <v>443586</v>
      </c>
      <c r="BR134" s="26">
        <f t="shared" si="214"/>
        <v>275000</v>
      </c>
      <c r="BS134" s="26">
        <f t="shared" si="214"/>
        <v>42970296</v>
      </c>
      <c r="BT134" s="26">
        <f t="shared" si="214"/>
        <v>1264902</v>
      </c>
      <c r="BU134" s="26">
        <f t="shared" si="214"/>
        <v>2555450</v>
      </c>
      <c r="BV134" s="27">
        <f t="shared" si="214"/>
        <v>226.69900000000001</v>
      </c>
      <c r="BW134" s="27">
        <f t="shared" si="214"/>
        <v>190.40940000000003</v>
      </c>
      <c r="BX134" s="425">
        <f t="shared" ref="BX134:CJ134" si="215">SUMIF($F$12:$F$144,"=3113",BX$12:BX$144)</f>
        <v>36.2896</v>
      </c>
      <c r="BY134" s="25">
        <f t="shared" si="215"/>
        <v>1748626</v>
      </c>
      <c r="BZ134" s="26">
        <f t="shared" si="215"/>
        <v>1297200</v>
      </c>
      <c r="CA134" s="26">
        <f t="shared" si="215"/>
        <v>0</v>
      </c>
      <c r="CB134" s="26">
        <f t="shared" si="215"/>
        <v>438454</v>
      </c>
      <c r="CC134" s="26">
        <f t="shared" si="215"/>
        <v>12972</v>
      </c>
      <c r="CD134" s="239">
        <f t="shared" si="215"/>
        <v>2.2999999999999998</v>
      </c>
      <c r="CE134" s="25">
        <f t="shared" si="215"/>
        <v>5759590</v>
      </c>
      <c r="CF134" s="26">
        <f t="shared" si="215"/>
        <v>3832638</v>
      </c>
      <c r="CG134" s="26">
        <f t="shared" si="215"/>
        <v>1295431</v>
      </c>
      <c r="CH134" s="26">
        <f t="shared" si="215"/>
        <v>38326</v>
      </c>
      <c r="CI134" s="26">
        <f t="shared" si="215"/>
        <v>593195</v>
      </c>
      <c r="CJ134" s="239">
        <f t="shared" si="215"/>
        <v>11.750700000000002</v>
      </c>
    </row>
    <row r="135" spans="1:88" customFormat="1" ht="12.75">
      <c r="D135" s="23"/>
      <c r="E135" s="24"/>
      <c r="F135" s="23"/>
      <c r="G135" s="41"/>
      <c r="H135" s="2">
        <v>3114</v>
      </c>
      <c r="I135" s="167">
        <f t="shared" ref="I135:AO135" si="216">SUMIF($F$12:$F$144,"=3114",I$12:I$144)</f>
        <v>15412049</v>
      </c>
      <c r="J135" s="16">
        <f t="shared" si="216"/>
        <v>11220771</v>
      </c>
      <c r="K135" s="16">
        <f t="shared" si="216"/>
        <v>10096686</v>
      </c>
      <c r="L135" s="16">
        <f t="shared" si="216"/>
        <v>1124085</v>
      </c>
      <c r="M135" s="16">
        <f t="shared" si="216"/>
        <v>114208</v>
      </c>
      <c r="N135" s="16">
        <f t="shared" si="216"/>
        <v>60000</v>
      </c>
      <c r="O135" s="16">
        <f t="shared" si="216"/>
        <v>54208</v>
      </c>
      <c r="P135" s="16">
        <f t="shared" si="216"/>
        <v>3831222</v>
      </c>
      <c r="Q135" s="16">
        <f t="shared" si="216"/>
        <v>112208</v>
      </c>
      <c r="R135" s="16">
        <f t="shared" si="216"/>
        <v>133640</v>
      </c>
      <c r="S135" s="13">
        <f t="shared" si="216"/>
        <v>19.379100000000001</v>
      </c>
      <c r="T135" s="13">
        <f t="shared" si="216"/>
        <v>16.162199999999999</v>
      </c>
      <c r="U135" s="17">
        <f t="shared" si="216"/>
        <v>3.2168999999999999</v>
      </c>
      <c r="V135" s="38">
        <f t="shared" si="216"/>
        <v>16400</v>
      </c>
      <c r="W135" s="26">
        <f t="shared" si="216"/>
        <v>-18525</v>
      </c>
      <c r="X135" s="26">
        <f t="shared" si="216"/>
        <v>0</v>
      </c>
      <c r="Y135" s="26">
        <f t="shared" si="216"/>
        <v>0</v>
      </c>
      <c r="Z135" s="26">
        <f t="shared" si="216"/>
        <v>267602</v>
      </c>
      <c r="AA135" s="26">
        <f t="shared" si="216"/>
        <v>0</v>
      </c>
      <c r="AB135" s="26">
        <f t="shared" si="216"/>
        <v>0</v>
      </c>
      <c r="AC135" s="26">
        <f t="shared" si="216"/>
        <v>0</v>
      </c>
      <c r="AD135" s="26">
        <f t="shared" si="216"/>
        <v>0</v>
      </c>
      <c r="AE135" s="26">
        <f t="shared" si="216"/>
        <v>284002</v>
      </c>
      <c r="AF135" s="26">
        <f t="shared" si="216"/>
        <v>-18525</v>
      </c>
      <c r="AG135" s="26">
        <f t="shared" si="216"/>
        <v>265477</v>
      </c>
      <c r="AH135" s="26">
        <f t="shared" si="216"/>
        <v>-16400</v>
      </c>
      <c r="AI135" s="26">
        <f t="shared" si="216"/>
        <v>18525</v>
      </c>
      <c r="AJ135" s="26">
        <f t="shared" si="216"/>
        <v>0</v>
      </c>
      <c r="AK135" s="26">
        <f t="shared" si="216"/>
        <v>0</v>
      </c>
      <c r="AL135" s="26">
        <f t="shared" si="216"/>
        <v>0</v>
      </c>
      <c r="AM135" s="26">
        <f t="shared" si="216"/>
        <v>-16400</v>
      </c>
      <c r="AN135" s="26">
        <f t="shared" si="216"/>
        <v>18525</v>
      </c>
      <c r="AO135" s="26">
        <f t="shared" si="216"/>
        <v>2125</v>
      </c>
      <c r="AP135" s="26">
        <f t="shared" ref="AP135:BW135" si="217">SUMIF($F$12:$F$144,"=3114",AP$12:AP$144)</f>
        <v>267602</v>
      </c>
      <c r="AQ135" s="26">
        <f t="shared" si="217"/>
        <v>0</v>
      </c>
      <c r="AR135" s="26">
        <f t="shared" si="217"/>
        <v>267602</v>
      </c>
      <c r="AS135" s="26">
        <f t="shared" si="217"/>
        <v>90450</v>
      </c>
      <c r="AT135" s="26">
        <f t="shared" si="217"/>
        <v>2654</v>
      </c>
      <c r="AU135" s="26">
        <f t="shared" si="217"/>
        <v>3000</v>
      </c>
      <c r="AV135" s="26">
        <f t="shared" si="217"/>
        <v>0</v>
      </c>
      <c r="AW135" s="26">
        <f t="shared" si="217"/>
        <v>0</v>
      </c>
      <c r="AX135" s="26">
        <f t="shared" si="217"/>
        <v>3000</v>
      </c>
      <c r="AY135" s="26">
        <f t="shared" si="217"/>
        <v>363706</v>
      </c>
      <c r="AZ135" s="27">
        <f t="shared" si="217"/>
        <v>0</v>
      </c>
      <c r="BA135" s="27">
        <f t="shared" si="217"/>
        <v>-0.05</v>
      </c>
      <c r="BB135" s="27">
        <f t="shared" si="217"/>
        <v>0</v>
      </c>
      <c r="BC135" s="27">
        <f t="shared" si="217"/>
        <v>0.6100000000000001</v>
      </c>
      <c r="BD135" s="27">
        <f t="shared" si="217"/>
        <v>0</v>
      </c>
      <c r="BE135" s="27">
        <f t="shared" si="217"/>
        <v>0</v>
      </c>
      <c r="BF135" s="27">
        <f t="shared" si="217"/>
        <v>0</v>
      </c>
      <c r="BG135" s="27">
        <f t="shared" si="217"/>
        <v>0</v>
      </c>
      <c r="BH135" s="27">
        <f t="shared" si="217"/>
        <v>0</v>
      </c>
      <c r="BI135" s="27">
        <f t="shared" si="217"/>
        <v>0.6100000000000001</v>
      </c>
      <c r="BJ135" s="27">
        <f t="shared" si="217"/>
        <v>-0.05</v>
      </c>
      <c r="BK135" s="425">
        <f t="shared" si="217"/>
        <v>0.56000000000000005</v>
      </c>
      <c r="BL135" s="25">
        <f t="shared" si="217"/>
        <v>15775755</v>
      </c>
      <c r="BM135" s="26">
        <f t="shared" si="217"/>
        <v>11486248</v>
      </c>
      <c r="BN135" s="26">
        <f t="shared" si="217"/>
        <v>10380688</v>
      </c>
      <c r="BO135" s="26">
        <f t="shared" si="217"/>
        <v>1105560</v>
      </c>
      <c r="BP135" s="26">
        <f t="shared" si="217"/>
        <v>116333</v>
      </c>
      <c r="BQ135" s="26">
        <f t="shared" si="217"/>
        <v>43600</v>
      </c>
      <c r="BR135" s="26">
        <f t="shared" si="217"/>
        <v>72733</v>
      </c>
      <c r="BS135" s="26">
        <f t="shared" si="217"/>
        <v>3921672</v>
      </c>
      <c r="BT135" s="26">
        <f t="shared" si="217"/>
        <v>114862</v>
      </c>
      <c r="BU135" s="26">
        <f t="shared" si="217"/>
        <v>136640</v>
      </c>
      <c r="BV135" s="27">
        <f t="shared" si="217"/>
        <v>19.939100000000003</v>
      </c>
      <c r="BW135" s="27">
        <f t="shared" si="217"/>
        <v>16.772199999999998</v>
      </c>
      <c r="BX135" s="425">
        <f t="shared" ref="BX135:CJ135" si="218">SUMIF($F$12:$F$144,"=3114",BX$12:BX$144)</f>
        <v>3.1669</v>
      </c>
      <c r="BY135" s="25">
        <f t="shared" si="218"/>
        <v>0</v>
      </c>
      <c r="BZ135" s="26">
        <f t="shared" si="218"/>
        <v>0</v>
      </c>
      <c r="CA135" s="26">
        <f t="shared" si="218"/>
        <v>0</v>
      </c>
      <c r="CB135" s="26">
        <f t="shared" si="218"/>
        <v>0</v>
      </c>
      <c r="CC135" s="26">
        <f t="shared" si="218"/>
        <v>0</v>
      </c>
      <c r="CD135" s="239">
        <f t="shared" si="218"/>
        <v>0</v>
      </c>
      <c r="CE135" s="25">
        <f t="shared" si="218"/>
        <v>546179</v>
      </c>
      <c r="CF135" s="26">
        <f t="shared" si="218"/>
        <v>378099</v>
      </c>
      <c r="CG135" s="26">
        <f t="shared" si="218"/>
        <v>127797</v>
      </c>
      <c r="CH135" s="26">
        <f t="shared" si="218"/>
        <v>3781</v>
      </c>
      <c r="CI135" s="26">
        <f t="shared" si="218"/>
        <v>36502</v>
      </c>
      <c r="CJ135" s="239">
        <f t="shared" si="218"/>
        <v>1.0836000000000001</v>
      </c>
    </row>
    <row r="136" spans="1:88" customFormat="1" ht="12.75">
      <c r="D136" s="23"/>
      <c r="E136" s="24"/>
      <c r="F136" s="23"/>
      <c r="G136" s="41"/>
      <c r="H136" s="2">
        <v>3117</v>
      </c>
      <c r="I136" s="167">
        <f t="shared" ref="I136:AO136" si="219">SUMIF($F$12:$F$144,"=3117",I$12:I$144)</f>
        <v>41998106</v>
      </c>
      <c r="J136" s="16">
        <f t="shared" si="219"/>
        <v>30587201</v>
      </c>
      <c r="K136" s="16">
        <f t="shared" si="219"/>
        <v>26509130</v>
      </c>
      <c r="L136" s="16">
        <f t="shared" si="219"/>
        <v>4078071</v>
      </c>
      <c r="M136" s="16">
        <f t="shared" si="219"/>
        <v>161311</v>
      </c>
      <c r="N136" s="16">
        <f t="shared" si="219"/>
        <v>101311</v>
      </c>
      <c r="O136" s="16">
        <f t="shared" si="219"/>
        <v>60000</v>
      </c>
      <c r="P136" s="16">
        <f t="shared" si="219"/>
        <v>10392997</v>
      </c>
      <c r="Q136" s="16">
        <f t="shared" si="219"/>
        <v>305872</v>
      </c>
      <c r="R136" s="16">
        <f t="shared" si="219"/>
        <v>550725</v>
      </c>
      <c r="S136" s="13">
        <f t="shared" si="219"/>
        <v>59.99560000000001</v>
      </c>
      <c r="T136" s="13">
        <f t="shared" si="219"/>
        <v>48.712000000000003</v>
      </c>
      <c r="U136" s="17">
        <f t="shared" si="219"/>
        <v>11.2836</v>
      </c>
      <c r="V136" s="38">
        <f t="shared" si="219"/>
        <v>-23000</v>
      </c>
      <c r="W136" s="26">
        <f t="shared" si="219"/>
        <v>38000</v>
      </c>
      <c r="X136" s="26">
        <f t="shared" si="219"/>
        <v>-262589</v>
      </c>
      <c r="Y136" s="26">
        <f t="shared" si="219"/>
        <v>0</v>
      </c>
      <c r="Z136" s="26">
        <f t="shared" si="219"/>
        <v>0</v>
      </c>
      <c r="AA136" s="26">
        <f t="shared" si="219"/>
        <v>0</v>
      </c>
      <c r="AB136" s="26">
        <f t="shared" si="219"/>
        <v>0</v>
      </c>
      <c r="AC136" s="26">
        <f t="shared" si="219"/>
        <v>0</v>
      </c>
      <c r="AD136" s="26">
        <f t="shared" si="219"/>
        <v>0</v>
      </c>
      <c r="AE136" s="26">
        <f t="shared" si="219"/>
        <v>-285589</v>
      </c>
      <c r="AF136" s="26">
        <f t="shared" si="219"/>
        <v>38000</v>
      </c>
      <c r="AG136" s="26">
        <f t="shared" si="219"/>
        <v>-247589</v>
      </c>
      <c r="AH136" s="26">
        <f t="shared" si="219"/>
        <v>23000</v>
      </c>
      <c r="AI136" s="26">
        <f t="shared" si="219"/>
        <v>-38000</v>
      </c>
      <c r="AJ136" s="26">
        <f t="shared" si="219"/>
        <v>0</v>
      </c>
      <c r="AK136" s="26">
        <f t="shared" si="219"/>
        <v>0</v>
      </c>
      <c r="AL136" s="26">
        <f t="shared" si="219"/>
        <v>0</v>
      </c>
      <c r="AM136" s="26">
        <f t="shared" si="219"/>
        <v>23000</v>
      </c>
      <c r="AN136" s="26">
        <f t="shared" si="219"/>
        <v>-38000</v>
      </c>
      <c r="AO136" s="26">
        <f t="shared" si="219"/>
        <v>-15000</v>
      </c>
      <c r="AP136" s="26">
        <f t="shared" ref="AP136:BW136" si="220">SUMIF($F$12:$F$144,"=3117",AP$12:AP$144)</f>
        <v>-262589</v>
      </c>
      <c r="AQ136" s="26">
        <f t="shared" si="220"/>
        <v>0</v>
      </c>
      <c r="AR136" s="26">
        <f t="shared" si="220"/>
        <v>-262589</v>
      </c>
      <c r="AS136" s="26">
        <f t="shared" si="220"/>
        <v>-88754</v>
      </c>
      <c r="AT136" s="26">
        <f t="shared" si="220"/>
        <v>-2476</v>
      </c>
      <c r="AU136" s="26">
        <f t="shared" si="220"/>
        <v>2500</v>
      </c>
      <c r="AV136" s="26">
        <f t="shared" si="220"/>
        <v>0</v>
      </c>
      <c r="AW136" s="26">
        <f t="shared" si="220"/>
        <v>0</v>
      </c>
      <c r="AX136" s="26">
        <f t="shared" si="220"/>
        <v>2500</v>
      </c>
      <c r="AY136" s="26">
        <f t="shared" si="220"/>
        <v>-351319</v>
      </c>
      <c r="AZ136" s="27">
        <f t="shared" si="220"/>
        <v>0</v>
      </c>
      <c r="BA136" s="27">
        <f t="shared" si="220"/>
        <v>0.09</v>
      </c>
      <c r="BB136" s="27">
        <f t="shared" si="220"/>
        <v>-0.59</v>
      </c>
      <c r="BC136" s="27">
        <f t="shared" si="220"/>
        <v>0</v>
      </c>
      <c r="BD136" s="27">
        <f t="shared" si="220"/>
        <v>0</v>
      </c>
      <c r="BE136" s="27">
        <f t="shared" si="220"/>
        <v>0</v>
      </c>
      <c r="BF136" s="27">
        <f t="shared" si="220"/>
        <v>0</v>
      </c>
      <c r="BG136" s="27">
        <f t="shared" si="220"/>
        <v>0</v>
      </c>
      <c r="BH136" s="27">
        <f t="shared" si="220"/>
        <v>0</v>
      </c>
      <c r="BI136" s="27">
        <f t="shared" si="220"/>
        <v>-0.59</v>
      </c>
      <c r="BJ136" s="27">
        <f t="shared" si="220"/>
        <v>0.09</v>
      </c>
      <c r="BK136" s="425">
        <f t="shared" si="220"/>
        <v>-0.5</v>
      </c>
      <c r="BL136" s="25">
        <f t="shared" si="220"/>
        <v>41646787</v>
      </c>
      <c r="BM136" s="26">
        <f t="shared" si="220"/>
        <v>30339612</v>
      </c>
      <c r="BN136" s="26">
        <f t="shared" si="220"/>
        <v>26223541</v>
      </c>
      <c r="BO136" s="26">
        <f t="shared" si="220"/>
        <v>4116071</v>
      </c>
      <c r="BP136" s="26">
        <f t="shared" si="220"/>
        <v>146311</v>
      </c>
      <c r="BQ136" s="26">
        <f t="shared" si="220"/>
        <v>124311</v>
      </c>
      <c r="BR136" s="26">
        <f t="shared" si="220"/>
        <v>22000</v>
      </c>
      <c r="BS136" s="26">
        <f t="shared" si="220"/>
        <v>10304243</v>
      </c>
      <c r="BT136" s="26">
        <f t="shared" si="220"/>
        <v>303396</v>
      </c>
      <c r="BU136" s="26">
        <f t="shared" si="220"/>
        <v>553225</v>
      </c>
      <c r="BV136" s="27">
        <f t="shared" si="220"/>
        <v>59.495600000000003</v>
      </c>
      <c r="BW136" s="27">
        <f t="shared" si="220"/>
        <v>48.121999999999993</v>
      </c>
      <c r="BX136" s="425">
        <f t="shared" ref="BX136:CJ136" si="221">SUMIF($F$12:$F$144,"=3117",BX$12:BX$144)</f>
        <v>11.3736</v>
      </c>
      <c r="BY136" s="25">
        <f t="shared" si="221"/>
        <v>152054</v>
      </c>
      <c r="BZ136" s="26">
        <f t="shared" si="221"/>
        <v>112800</v>
      </c>
      <c r="CA136" s="26">
        <f t="shared" si="221"/>
        <v>0</v>
      </c>
      <c r="CB136" s="26">
        <f t="shared" si="221"/>
        <v>38126</v>
      </c>
      <c r="CC136" s="26">
        <f t="shared" si="221"/>
        <v>1128</v>
      </c>
      <c r="CD136" s="239">
        <f t="shared" si="221"/>
        <v>0.2</v>
      </c>
      <c r="CE136" s="25">
        <f t="shared" si="221"/>
        <v>1885031</v>
      </c>
      <c r="CF136" s="26">
        <f t="shared" si="221"/>
        <v>1328185</v>
      </c>
      <c r="CG136" s="26">
        <f t="shared" si="221"/>
        <v>448928</v>
      </c>
      <c r="CH136" s="26">
        <f t="shared" si="221"/>
        <v>13280</v>
      </c>
      <c r="CI136" s="26">
        <f t="shared" si="221"/>
        <v>94638</v>
      </c>
      <c r="CJ136" s="239">
        <f t="shared" si="221"/>
        <v>3.6507999999999998</v>
      </c>
    </row>
    <row r="137" spans="1:88" customFormat="1">
      <c r="D137" s="23"/>
      <c r="E137" s="24"/>
      <c r="F137" s="90"/>
      <c r="G137" s="41"/>
      <c r="H137" s="2">
        <v>3122</v>
      </c>
      <c r="I137" s="167">
        <f t="shared" ref="I137:AO137" si="222">SUMIF($F$12:$F$144,"=3122",I$12:I$144)</f>
        <v>0</v>
      </c>
      <c r="J137" s="16">
        <f t="shared" si="222"/>
        <v>0</v>
      </c>
      <c r="K137" s="16">
        <f t="shared" si="222"/>
        <v>0</v>
      </c>
      <c r="L137" s="16">
        <f t="shared" si="222"/>
        <v>0</v>
      </c>
      <c r="M137" s="16">
        <f t="shared" si="222"/>
        <v>0</v>
      </c>
      <c r="N137" s="16">
        <f t="shared" si="222"/>
        <v>0</v>
      </c>
      <c r="O137" s="16">
        <f t="shared" si="222"/>
        <v>0</v>
      </c>
      <c r="P137" s="16">
        <f t="shared" si="222"/>
        <v>0</v>
      </c>
      <c r="Q137" s="16">
        <f t="shared" si="222"/>
        <v>0</v>
      </c>
      <c r="R137" s="16">
        <f t="shared" si="222"/>
        <v>0</v>
      </c>
      <c r="S137" s="13">
        <f t="shared" si="222"/>
        <v>0</v>
      </c>
      <c r="T137" s="13">
        <f t="shared" si="222"/>
        <v>0</v>
      </c>
      <c r="U137" s="17">
        <f t="shared" si="222"/>
        <v>0</v>
      </c>
      <c r="V137" s="38">
        <f t="shared" si="222"/>
        <v>0</v>
      </c>
      <c r="W137" s="26">
        <f t="shared" si="222"/>
        <v>0</v>
      </c>
      <c r="X137" s="26">
        <f t="shared" si="222"/>
        <v>0</v>
      </c>
      <c r="Y137" s="26">
        <f t="shared" si="222"/>
        <v>0</v>
      </c>
      <c r="Z137" s="26">
        <f t="shared" si="222"/>
        <v>0</v>
      </c>
      <c r="AA137" s="26">
        <f t="shared" si="222"/>
        <v>0</v>
      </c>
      <c r="AB137" s="26">
        <f t="shared" si="222"/>
        <v>0</v>
      </c>
      <c r="AC137" s="26">
        <f t="shared" si="222"/>
        <v>0</v>
      </c>
      <c r="AD137" s="26">
        <f t="shared" si="222"/>
        <v>0</v>
      </c>
      <c r="AE137" s="26">
        <f t="shared" si="222"/>
        <v>0</v>
      </c>
      <c r="AF137" s="26">
        <f t="shared" si="222"/>
        <v>0</v>
      </c>
      <c r="AG137" s="26">
        <f t="shared" si="222"/>
        <v>0</v>
      </c>
      <c r="AH137" s="26">
        <f t="shared" si="222"/>
        <v>0</v>
      </c>
      <c r="AI137" s="26">
        <f t="shared" si="222"/>
        <v>0</v>
      </c>
      <c r="AJ137" s="26">
        <f t="shared" si="222"/>
        <v>0</v>
      </c>
      <c r="AK137" s="26">
        <f t="shared" si="222"/>
        <v>0</v>
      </c>
      <c r="AL137" s="26">
        <f t="shared" si="222"/>
        <v>0</v>
      </c>
      <c r="AM137" s="26">
        <f t="shared" si="222"/>
        <v>0</v>
      </c>
      <c r="AN137" s="26">
        <f t="shared" si="222"/>
        <v>0</v>
      </c>
      <c r="AO137" s="26">
        <f t="shared" si="222"/>
        <v>0</v>
      </c>
      <c r="AP137" s="26">
        <f t="shared" ref="AP137:BW137" si="223">SUMIF($F$12:$F$144,"=3122",AP$12:AP$144)</f>
        <v>0</v>
      </c>
      <c r="AQ137" s="26">
        <f t="shared" si="223"/>
        <v>0</v>
      </c>
      <c r="AR137" s="26">
        <f t="shared" si="223"/>
        <v>0</v>
      </c>
      <c r="AS137" s="26">
        <f t="shared" si="223"/>
        <v>0</v>
      </c>
      <c r="AT137" s="26">
        <f t="shared" si="223"/>
        <v>0</v>
      </c>
      <c r="AU137" s="26">
        <f t="shared" si="223"/>
        <v>0</v>
      </c>
      <c r="AV137" s="26">
        <f t="shared" si="223"/>
        <v>0</v>
      </c>
      <c r="AW137" s="26">
        <f t="shared" si="223"/>
        <v>0</v>
      </c>
      <c r="AX137" s="26">
        <f t="shared" si="223"/>
        <v>0</v>
      </c>
      <c r="AY137" s="26">
        <f t="shared" si="223"/>
        <v>0</v>
      </c>
      <c r="AZ137" s="27">
        <f t="shared" si="223"/>
        <v>0</v>
      </c>
      <c r="BA137" s="27">
        <f t="shared" si="223"/>
        <v>0</v>
      </c>
      <c r="BB137" s="27">
        <f t="shared" si="223"/>
        <v>0</v>
      </c>
      <c r="BC137" s="27">
        <f t="shared" si="223"/>
        <v>0</v>
      </c>
      <c r="BD137" s="27">
        <f t="shared" si="223"/>
        <v>0</v>
      </c>
      <c r="BE137" s="27">
        <f t="shared" si="223"/>
        <v>0</v>
      </c>
      <c r="BF137" s="27">
        <f t="shared" si="223"/>
        <v>0</v>
      </c>
      <c r="BG137" s="27">
        <f t="shared" si="223"/>
        <v>0</v>
      </c>
      <c r="BH137" s="27">
        <f t="shared" si="223"/>
        <v>0</v>
      </c>
      <c r="BI137" s="27">
        <f t="shared" si="223"/>
        <v>0</v>
      </c>
      <c r="BJ137" s="27">
        <f t="shared" si="223"/>
        <v>0</v>
      </c>
      <c r="BK137" s="425">
        <f t="shared" si="223"/>
        <v>0</v>
      </c>
      <c r="BL137" s="25">
        <f t="shared" si="223"/>
        <v>0</v>
      </c>
      <c r="BM137" s="26">
        <f t="shared" si="223"/>
        <v>0</v>
      </c>
      <c r="BN137" s="26">
        <f t="shared" si="223"/>
        <v>0</v>
      </c>
      <c r="BO137" s="26">
        <f t="shared" si="223"/>
        <v>0</v>
      </c>
      <c r="BP137" s="26">
        <f t="shared" si="223"/>
        <v>0</v>
      </c>
      <c r="BQ137" s="26">
        <f t="shared" si="223"/>
        <v>0</v>
      </c>
      <c r="BR137" s="26">
        <f t="shared" si="223"/>
        <v>0</v>
      </c>
      <c r="BS137" s="26">
        <f t="shared" si="223"/>
        <v>0</v>
      </c>
      <c r="BT137" s="26">
        <f t="shared" si="223"/>
        <v>0</v>
      </c>
      <c r="BU137" s="26">
        <f t="shared" si="223"/>
        <v>0</v>
      </c>
      <c r="BV137" s="27">
        <f t="shared" si="223"/>
        <v>0</v>
      </c>
      <c r="BW137" s="27">
        <f t="shared" si="223"/>
        <v>0</v>
      </c>
      <c r="BX137" s="425">
        <f t="shared" ref="BX137:CJ137" si="224">SUMIF($F$12:$F$144,"=3122",BX$12:BX$144)</f>
        <v>0</v>
      </c>
      <c r="BY137" s="25">
        <f t="shared" si="224"/>
        <v>0</v>
      </c>
      <c r="BZ137" s="26">
        <f t="shared" si="224"/>
        <v>0</v>
      </c>
      <c r="CA137" s="26">
        <f t="shared" si="224"/>
        <v>0</v>
      </c>
      <c r="CB137" s="26">
        <f t="shared" si="224"/>
        <v>0</v>
      </c>
      <c r="CC137" s="26">
        <f t="shared" si="224"/>
        <v>0</v>
      </c>
      <c r="CD137" s="239">
        <f t="shared" si="224"/>
        <v>0</v>
      </c>
      <c r="CE137" s="25">
        <f t="shared" si="224"/>
        <v>0</v>
      </c>
      <c r="CF137" s="26">
        <f t="shared" si="224"/>
        <v>0</v>
      </c>
      <c r="CG137" s="26">
        <f t="shared" si="224"/>
        <v>0</v>
      </c>
      <c r="CH137" s="26">
        <f t="shared" si="224"/>
        <v>0</v>
      </c>
      <c r="CI137" s="26">
        <f t="shared" si="224"/>
        <v>0</v>
      </c>
      <c r="CJ137" s="239">
        <f t="shared" si="224"/>
        <v>0</v>
      </c>
    </row>
    <row r="138" spans="1:88" customFormat="1" ht="12.75">
      <c r="C138" s="8"/>
      <c r="D138" s="23"/>
      <c r="E138" s="24"/>
      <c r="F138" s="23"/>
      <c r="G138" s="41"/>
      <c r="H138" s="2">
        <v>3124</v>
      </c>
      <c r="I138" s="167">
        <f t="shared" ref="I138:AO138" si="225">SUMIF($F$12:$F$144,"=3124",I$12:I$144)</f>
        <v>0</v>
      </c>
      <c r="J138" s="16">
        <f t="shared" si="225"/>
        <v>0</v>
      </c>
      <c r="K138" s="16">
        <f t="shared" si="225"/>
        <v>0</v>
      </c>
      <c r="L138" s="16">
        <f t="shared" si="225"/>
        <v>0</v>
      </c>
      <c r="M138" s="16">
        <f t="shared" si="225"/>
        <v>0</v>
      </c>
      <c r="N138" s="16">
        <f t="shared" si="225"/>
        <v>0</v>
      </c>
      <c r="O138" s="16">
        <f t="shared" si="225"/>
        <v>0</v>
      </c>
      <c r="P138" s="16">
        <f t="shared" si="225"/>
        <v>0</v>
      </c>
      <c r="Q138" s="16">
        <f t="shared" si="225"/>
        <v>0</v>
      </c>
      <c r="R138" s="16">
        <f t="shared" si="225"/>
        <v>0</v>
      </c>
      <c r="S138" s="13">
        <f t="shared" si="225"/>
        <v>0</v>
      </c>
      <c r="T138" s="13">
        <f t="shared" si="225"/>
        <v>0</v>
      </c>
      <c r="U138" s="17">
        <f t="shared" si="225"/>
        <v>0</v>
      </c>
      <c r="V138" s="38">
        <f t="shared" si="225"/>
        <v>0</v>
      </c>
      <c r="W138" s="26">
        <f t="shared" si="225"/>
        <v>0</v>
      </c>
      <c r="X138" s="26">
        <f t="shared" si="225"/>
        <v>0</v>
      </c>
      <c r="Y138" s="26">
        <f t="shared" si="225"/>
        <v>0</v>
      </c>
      <c r="Z138" s="26">
        <f t="shared" si="225"/>
        <v>0</v>
      </c>
      <c r="AA138" s="26">
        <f t="shared" si="225"/>
        <v>0</v>
      </c>
      <c r="AB138" s="26">
        <f t="shared" si="225"/>
        <v>0</v>
      </c>
      <c r="AC138" s="26">
        <f t="shared" si="225"/>
        <v>0</v>
      </c>
      <c r="AD138" s="26">
        <f t="shared" si="225"/>
        <v>0</v>
      </c>
      <c r="AE138" s="26">
        <f t="shared" si="225"/>
        <v>0</v>
      </c>
      <c r="AF138" s="26">
        <f t="shared" si="225"/>
        <v>0</v>
      </c>
      <c r="AG138" s="26">
        <f t="shared" si="225"/>
        <v>0</v>
      </c>
      <c r="AH138" s="26">
        <f t="shared" si="225"/>
        <v>0</v>
      </c>
      <c r="AI138" s="26">
        <f t="shared" si="225"/>
        <v>0</v>
      </c>
      <c r="AJ138" s="26">
        <f t="shared" si="225"/>
        <v>0</v>
      </c>
      <c r="AK138" s="26">
        <f t="shared" si="225"/>
        <v>0</v>
      </c>
      <c r="AL138" s="26">
        <f t="shared" si="225"/>
        <v>0</v>
      </c>
      <c r="AM138" s="26">
        <f t="shared" si="225"/>
        <v>0</v>
      </c>
      <c r="AN138" s="26">
        <f t="shared" si="225"/>
        <v>0</v>
      </c>
      <c r="AO138" s="26">
        <f t="shared" si="225"/>
        <v>0</v>
      </c>
      <c r="AP138" s="26">
        <f t="shared" ref="AP138:BW138" si="226">SUMIF($F$12:$F$144,"=3124",AP$12:AP$144)</f>
        <v>0</v>
      </c>
      <c r="AQ138" s="26">
        <f t="shared" si="226"/>
        <v>0</v>
      </c>
      <c r="AR138" s="26">
        <f t="shared" si="226"/>
        <v>0</v>
      </c>
      <c r="AS138" s="26">
        <f t="shared" si="226"/>
        <v>0</v>
      </c>
      <c r="AT138" s="26">
        <f t="shared" si="226"/>
        <v>0</v>
      </c>
      <c r="AU138" s="26">
        <f t="shared" si="226"/>
        <v>0</v>
      </c>
      <c r="AV138" s="26">
        <f t="shared" si="226"/>
        <v>0</v>
      </c>
      <c r="AW138" s="26">
        <f t="shared" si="226"/>
        <v>0</v>
      </c>
      <c r="AX138" s="26">
        <f t="shared" si="226"/>
        <v>0</v>
      </c>
      <c r="AY138" s="26">
        <f t="shared" si="226"/>
        <v>0</v>
      </c>
      <c r="AZ138" s="27">
        <f t="shared" si="226"/>
        <v>0</v>
      </c>
      <c r="BA138" s="27">
        <f t="shared" si="226"/>
        <v>0</v>
      </c>
      <c r="BB138" s="27">
        <f t="shared" si="226"/>
        <v>0</v>
      </c>
      <c r="BC138" s="27">
        <f t="shared" si="226"/>
        <v>0</v>
      </c>
      <c r="BD138" s="27">
        <f t="shared" si="226"/>
        <v>0</v>
      </c>
      <c r="BE138" s="27">
        <f t="shared" si="226"/>
        <v>0</v>
      </c>
      <c r="BF138" s="27">
        <f t="shared" si="226"/>
        <v>0</v>
      </c>
      <c r="BG138" s="27">
        <f t="shared" si="226"/>
        <v>0</v>
      </c>
      <c r="BH138" s="27">
        <f t="shared" si="226"/>
        <v>0</v>
      </c>
      <c r="BI138" s="27">
        <f t="shared" si="226"/>
        <v>0</v>
      </c>
      <c r="BJ138" s="27">
        <f t="shared" si="226"/>
        <v>0</v>
      </c>
      <c r="BK138" s="425">
        <f t="shared" si="226"/>
        <v>0</v>
      </c>
      <c r="BL138" s="25">
        <f t="shared" si="226"/>
        <v>0</v>
      </c>
      <c r="BM138" s="26">
        <f t="shared" si="226"/>
        <v>0</v>
      </c>
      <c r="BN138" s="26">
        <f t="shared" si="226"/>
        <v>0</v>
      </c>
      <c r="BO138" s="26">
        <f t="shared" si="226"/>
        <v>0</v>
      </c>
      <c r="BP138" s="26">
        <f t="shared" si="226"/>
        <v>0</v>
      </c>
      <c r="BQ138" s="26">
        <f t="shared" si="226"/>
        <v>0</v>
      </c>
      <c r="BR138" s="26">
        <f t="shared" si="226"/>
        <v>0</v>
      </c>
      <c r="BS138" s="26">
        <f t="shared" si="226"/>
        <v>0</v>
      </c>
      <c r="BT138" s="26">
        <f t="shared" si="226"/>
        <v>0</v>
      </c>
      <c r="BU138" s="26">
        <f t="shared" si="226"/>
        <v>0</v>
      </c>
      <c r="BV138" s="27">
        <f t="shared" si="226"/>
        <v>0</v>
      </c>
      <c r="BW138" s="27">
        <f t="shared" si="226"/>
        <v>0</v>
      </c>
      <c r="BX138" s="425">
        <f t="shared" ref="BX138:CJ138" si="227">SUMIF($F$12:$F$144,"=3124",BX$12:BX$144)</f>
        <v>0</v>
      </c>
      <c r="BY138" s="25">
        <f t="shared" si="227"/>
        <v>0</v>
      </c>
      <c r="BZ138" s="26">
        <f t="shared" si="227"/>
        <v>0</v>
      </c>
      <c r="CA138" s="26">
        <f t="shared" si="227"/>
        <v>0</v>
      </c>
      <c r="CB138" s="26">
        <f t="shared" si="227"/>
        <v>0</v>
      </c>
      <c r="CC138" s="26">
        <f t="shared" si="227"/>
        <v>0</v>
      </c>
      <c r="CD138" s="239">
        <f t="shared" si="227"/>
        <v>0</v>
      </c>
      <c r="CE138" s="25">
        <f t="shared" si="227"/>
        <v>0</v>
      </c>
      <c r="CF138" s="26">
        <f t="shared" si="227"/>
        <v>0</v>
      </c>
      <c r="CG138" s="26">
        <f t="shared" si="227"/>
        <v>0</v>
      </c>
      <c r="CH138" s="26">
        <f t="shared" si="227"/>
        <v>0</v>
      </c>
      <c r="CI138" s="26">
        <f t="shared" si="227"/>
        <v>0</v>
      </c>
      <c r="CJ138" s="239">
        <f t="shared" si="227"/>
        <v>0</v>
      </c>
    </row>
    <row r="139" spans="1:88" customFormat="1" ht="12.75">
      <c r="D139" s="23"/>
      <c r="E139" s="24"/>
      <c r="F139" s="24"/>
      <c r="G139" s="41"/>
      <c r="H139" s="2">
        <v>3141</v>
      </c>
      <c r="I139" s="167">
        <f t="shared" ref="I139:AO139" si="228">SUMIF($F$12:$F$144,"=3141",I$12:I$144)</f>
        <v>25797991</v>
      </c>
      <c r="J139" s="16">
        <f t="shared" si="228"/>
        <v>18780161</v>
      </c>
      <c r="K139" s="16">
        <f t="shared" si="228"/>
        <v>0</v>
      </c>
      <c r="L139" s="16">
        <f t="shared" si="228"/>
        <v>18780161</v>
      </c>
      <c r="M139" s="16">
        <f t="shared" si="228"/>
        <v>249000</v>
      </c>
      <c r="N139" s="16">
        <f t="shared" si="228"/>
        <v>0</v>
      </c>
      <c r="O139" s="16">
        <f t="shared" si="228"/>
        <v>249000</v>
      </c>
      <c r="P139" s="16">
        <f t="shared" si="228"/>
        <v>6431857</v>
      </c>
      <c r="Q139" s="16">
        <f t="shared" si="228"/>
        <v>187801</v>
      </c>
      <c r="R139" s="16">
        <f t="shared" si="228"/>
        <v>149172</v>
      </c>
      <c r="S139" s="13">
        <f t="shared" si="228"/>
        <v>56.693399999999997</v>
      </c>
      <c r="T139" s="13">
        <f t="shared" si="228"/>
        <v>0</v>
      </c>
      <c r="U139" s="17">
        <f t="shared" si="228"/>
        <v>56.693399999999997</v>
      </c>
      <c r="V139" s="38">
        <f t="shared" si="228"/>
        <v>0</v>
      </c>
      <c r="W139" s="26">
        <f t="shared" si="228"/>
        <v>94000</v>
      </c>
      <c r="X139" s="26">
        <f t="shared" si="228"/>
        <v>0</v>
      </c>
      <c r="Y139" s="26">
        <f t="shared" si="228"/>
        <v>0</v>
      </c>
      <c r="Z139" s="26">
        <f t="shared" si="228"/>
        <v>0</v>
      </c>
      <c r="AA139" s="26">
        <f t="shared" si="228"/>
        <v>-308913</v>
      </c>
      <c r="AB139" s="26">
        <f t="shared" si="228"/>
        <v>0</v>
      </c>
      <c r="AC139" s="26">
        <f t="shared" si="228"/>
        <v>0</v>
      </c>
      <c r="AD139" s="26">
        <f t="shared" si="228"/>
        <v>0</v>
      </c>
      <c r="AE139" s="26">
        <f t="shared" si="228"/>
        <v>0</v>
      </c>
      <c r="AF139" s="26">
        <f t="shared" si="228"/>
        <v>-214913</v>
      </c>
      <c r="AG139" s="26">
        <f t="shared" si="228"/>
        <v>-214913</v>
      </c>
      <c r="AH139" s="26">
        <f t="shared" si="228"/>
        <v>0</v>
      </c>
      <c r="AI139" s="26">
        <f t="shared" si="228"/>
        <v>-94000</v>
      </c>
      <c r="AJ139" s="26">
        <f t="shared" si="228"/>
        <v>0</v>
      </c>
      <c r="AK139" s="26">
        <f t="shared" si="228"/>
        <v>0</v>
      </c>
      <c r="AL139" s="26">
        <f t="shared" si="228"/>
        <v>0</v>
      </c>
      <c r="AM139" s="26">
        <f t="shared" si="228"/>
        <v>0</v>
      </c>
      <c r="AN139" s="26">
        <f t="shared" si="228"/>
        <v>-94000</v>
      </c>
      <c r="AO139" s="26">
        <f t="shared" si="228"/>
        <v>-94000</v>
      </c>
      <c r="AP139" s="26">
        <f t="shared" ref="AP139:BW139" si="229">SUMIF($F$12:$F$144,"=3141",AP$12:AP$144)</f>
        <v>0</v>
      </c>
      <c r="AQ139" s="26">
        <f t="shared" si="229"/>
        <v>-308913</v>
      </c>
      <c r="AR139" s="26">
        <f t="shared" si="229"/>
        <v>-308913</v>
      </c>
      <c r="AS139" s="26">
        <f t="shared" si="229"/>
        <v>-104414</v>
      </c>
      <c r="AT139" s="26">
        <f t="shared" si="229"/>
        <v>-2150</v>
      </c>
      <c r="AU139" s="26">
        <f t="shared" si="229"/>
        <v>0</v>
      </c>
      <c r="AV139" s="26">
        <f t="shared" si="229"/>
        <v>0</v>
      </c>
      <c r="AW139" s="26">
        <f t="shared" si="229"/>
        <v>0</v>
      </c>
      <c r="AX139" s="26">
        <f t="shared" si="229"/>
        <v>0</v>
      </c>
      <c r="AY139" s="26">
        <f t="shared" si="229"/>
        <v>-415477</v>
      </c>
      <c r="AZ139" s="27">
        <f t="shared" si="229"/>
        <v>0</v>
      </c>
      <c r="BA139" s="27">
        <f t="shared" si="229"/>
        <v>0.31</v>
      </c>
      <c r="BB139" s="27">
        <f t="shared" si="229"/>
        <v>0</v>
      </c>
      <c r="BC139" s="27">
        <f t="shared" si="229"/>
        <v>0</v>
      </c>
      <c r="BD139" s="27">
        <f t="shared" si="229"/>
        <v>-0.91000000000000014</v>
      </c>
      <c r="BE139" s="27">
        <f t="shared" si="229"/>
        <v>0</v>
      </c>
      <c r="BF139" s="27">
        <f t="shared" si="229"/>
        <v>0</v>
      </c>
      <c r="BG139" s="27">
        <f t="shared" si="229"/>
        <v>0</v>
      </c>
      <c r="BH139" s="27">
        <f t="shared" si="229"/>
        <v>0</v>
      </c>
      <c r="BI139" s="27">
        <f t="shared" si="229"/>
        <v>0</v>
      </c>
      <c r="BJ139" s="27">
        <f t="shared" si="229"/>
        <v>-0.60000000000000009</v>
      </c>
      <c r="BK139" s="425">
        <f t="shared" si="229"/>
        <v>-0.60000000000000009</v>
      </c>
      <c r="BL139" s="25">
        <f t="shared" si="229"/>
        <v>25382514</v>
      </c>
      <c r="BM139" s="26">
        <f t="shared" si="229"/>
        <v>18565248</v>
      </c>
      <c r="BN139" s="26">
        <f t="shared" si="229"/>
        <v>0</v>
      </c>
      <c r="BO139" s="26">
        <f t="shared" si="229"/>
        <v>18565248</v>
      </c>
      <c r="BP139" s="26">
        <f t="shared" si="229"/>
        <v>155000</v>
      </c>
      <c r="BQ139" s="26">
        <f t="shared" si="229"/>
        <v>0</v>
      </c>
      <c r="BR139" s="26">
        <f t="shared" si="229"/>
        <v>155000</v>
      </c>
      <c r="BS139" s="26">
        <f t="shared" si="229"/>
        <v>6327443</v>
      </c>
      <c r="BT139" s="26">
        <f t="shared" si="229"/>
        <v>185651</v>
      </c>
      <c r="BU139" s="26">
        <f t="shared" si="229"/>
        <v>149172</v>
      </c>
      <c r="BV139" s="27">
        <f t="shared" si="229"/>
        <v>56.093399999999995</v>
      </c>
      <c r="BW139" s="27">
        <f t="shared" si="229"/>
        <v>0</v>
      </c>
      <c r="BX139" s="425">
        <f t="shared" ref="BX139:CJ139" si="230">SUMIF($F$12:$F$144,"=3141",BX$12:BX$144)</f>
        <v>56.093399999999995</v>
      </c>
      <c r="BY139" s="25">
        <f t="shared" si="230"/>
        <v>0</v>
      </c>
      <c r="BZ139" s="26">
        <f t="shared" si="230"/>
        <v>0</v>
      </c>
      <c r="CA139" s="26">
        <f t="shared" si="230"/>
        <v>0</v>
      </c>
      <c r="CB139" s="26">
        <f t="shared" si="230"/>
        <v>0</v>
      </c>
      <c r="CC139" s="26">
        <f t="shared" si="230"/>
        <v>0</v>
      </c>
      <c r="CD139" s="239">
        <f t="shared" si="230"/>
        <v>0</v>
      </c>
      <c r="CE139" s="25">
        <f t="shared" si="230"/>
        <v>0</v>
      </c>
      <c r="CF139" s="26">
        <f t="shared" si="230"/>
        <v>0</v>
      </c>
      <c r="CG139" s="26">
        <f t="shared" si="230"/>
        <v>0</v>
      </c>
      <c r="CH139" s="26">
        <f t="shared" si="230"/>
        <v>0</v>
      </c>
      <c r="CI139" s="26">
        <f t="shared" si="230"/>
        <v>0</v>
      </c>
      <c r="CJ139" s="239">
        <f t="shared" si="230"/>
        <v>0</v>
      </c>
    </row>
    <row r="140" spans="1:88" customFormat="1" ht="12.75">
      <c r="C140" s="8"/>
      <c r="D140" s="23"/>
      <c r="E140" s="24"/>
      <c r="F140" s="23"/>
      <c r="G140" s="41"/>
      <c r="H140" s="2">
        <v>3143</v>
      </c>
      <c r="I140" s="167">
        <f t="shared" ref="I140:AO140" si="231">SUMIF($F$12:$F$144,"=3143",I$12:I$144)</f>
        <v>17904623</v>
      </c>
      <c r="J140" s="16">
        <f t="shared" si="231"/>
        <v>13116544</v>
      </c>
      <c r="K140" s="16">
        <f t="shared" si="231"/>
        <v>12700194</v>
      </c>
      <c r="L140" s="16">
        <f t="shared" si="231"/>
        <v>416350</v>
      </c>
      <c r="M140" s="16">
        <f t="shared" si="231"/>
        <v>152000</v>
      </c>
      <c r="N140" s="16">
        <f t="shared" si="231"/>
        <v>152000</v>
      </c>
      <c r="O140" s="16">
        <f t="shared" si="231"/>
        <v>0</v>
      </c>
      <c r="P140" s="16">
        <f t="shared" si="231"/>
        <v>4484768</v>
      </c>
      <c r="Q140" s="16">
        <f t="shared" si="231"/>
        <v>131169</v>
      </c>
      <c r="R140" s="16">
        <f t="shared" si="231"/>
        <v>20142</v>
      </c>
      <c r="S140" s="13">
        <f t="shared" si="231"/>
        <v>27.800199999999997</v>
      </c>
      <c r="T140" s="13">
        <f t="shared" si="231"/>
        <v>26.214500000000005</v>
      </c>
      <c r="U140" s="17">
        <f t="shared" si="231"/>
        <v>1.5857000000000001</v>
      </c>
      <c r="V140" s="38">
        <f t="shared" si="231"/>
        <v>-33000</v>
      </c>
      <c r="W140" s="26">
        <f t="shared" si="231"/>
        <v>0</v>
      </c>
      <c r="X140" s="26">
        <f t="shared" si="231"/>
        <v>0</v>
      </c>
      <c r="Y140" s="26">
        <f t="shared" si="231"/>
        <v>0</v>
      </c>
      <c r="Z140" s="26">
        <f t="shared" si="231"/>
        <v>0</v>
      </c>
      <c r="AA140" s="26">
        <f t="shared" si="231"/>
        <v>0</v>
      </c>
      <c r="AB140" s="26">
        <f t="shared" si="231"/>
        <v>0</v>
      </c>
      <c r="AC140" s="26">
        <f t="shared" si="231"/>
        <v>0</v>
      </c>
      <c r="AD140" s="26">
        <f t="shared" si="231"/>
        <v>0</v>
      </c>
      <c r="AE140" s="26">
        <f t="shared" si="231"/>
        <v>-33000</v>
      </c>
      <c r="AF140" s="26">
        <f t="shared" si="231"/>
        <v>0</v>
      </c>
      <c r="AG140" s="26">
        <f t="shared" si="231"/>
        <v>-33000</v>
      </c>
      <c r="AH140" s="26">
        <f t="shared" si="231"/>
        <v>33000</v>
      </c>
      <c r="AI140" s="26">
        <f t="shared" si="231"/>
        <v>0</v>
      </c>
      <c r="AJ140" s="26">
        <f t="shared" si="231"/>
        <v>0</v>
      </c>
      <c r="AK140" s="26">
        <f t="shared" si="231"/>
        <v>0</v>
      </c>
      <c r="AL140" s="26">
        <f t="shared" si="231"/>
        <v>0</v>
      </c>
      <c r="AM140" s="26">
        <f t="shared" si="231"/>
        <v>33000</v>
      </c>
      <c r="AN140" s="26">
        <f t="shared" si="231"/>
        <v>0</v>
      </c>
      <c r="AO140" s="26">
        <f t="shared" si="231"/>
        <v>33000</v>
      </c>
      <c r="AP140" s="26">
        <f t="shared" ref="AP140:BW140" si="232">SUMIF($F$12:$F$144,"=3143",AP$12:AP$144)</f>
        <v>0</v>
      </c>
      <c r="AQ140" s="26">
        <f t="shared" si="232"/>
        <v>0</v>
      </c>
      <c r="AR140" s="26">
        <f t="shared" si="232"/>
        <v>0</v>
      </c>
      <c r="AS140" s="26">
        <f t="shared" si="232"/>
        <v>0</v>
      </c>
      <c r="AT140" s="26">
        <f t="shared" si="232"/>
        <v>-330</v>
      </c>
      <c r="AU140" s="26">
        <f t="shared" si="232"/>
        <v>0</v>
      </c>
      <c r="AV140" s="26">
        <f t="shared" si="232"/>
        <v>0</v>
      </c>
      <c r="AW140" s="26">
        <f t="shared" si="232"/>
        <v>0</v>
      </c>
      <c r="AX140" s="26">
        <f t="shared" si="232"/>
        <v>0</v>
      </c>
      <c r="AY140" s="26">
        <f t="shared" si="232"/>
        <v>-330</v>
      </c>
      <c r="AZ140" s="27">
        <f t="shared" si="232"/>
        <v>0</v>
      </c>
      <c r="BA140" s="27">
        <f t="shared" si="232"/>
        <v>0</v>
      </c>
      <c r="BB140" s="27">
        <f t="shared" si="232"/>
        <v>0</v>
      </c>
      <c r="BC140" s="27">
        <f t="shared" si="232"/>
        <v>0</v>
      </c>
      <c r="BD140" s="27">
        <f t="shared" si="232"/>
        <v>0</v>
      </c>
      <c r="BE140" s="27">
        <f t="shared" si="232"/>
        <v>0</v>
      </c>
      <c r="BF140" s="27">
        <f t="shared" si="232"/>
        <v>0</v>
      </c>
      <c r="BG140" s="27">
        <f t="shared" si="232"/>
        <v>0</v>
      </c>
      <c r="BH140" s="27">
        <f t="shared" si="232"/>
        <v>0</v>
      </c>
      <c r="BI140" s="27">
        <f t="shared" si="232"/>
        <v>0</v>
      </c>
      <c r="BJ140" s="27">
        <f t="shared" si="232"/>
        <v>0</v>
      </c>
      <c r="BK140" s="425">
        <f t="shared" si="232"/>
        <v>0</v>
      </c>
      <c r="BL140" s="25">
        <f t="shared" si="232"/>
        <v>17904293</v>
      </c>
      <c r="BM140" s="26">
        <f t="shared" si="232"/>
        <v>13083544</v>
      </c>
      <c r="BN140" s="26">
        <f t="shared" si="232"/>
        <v>12667194</v>
      </c>
      <c r="BO140" s="26">
        <f t="shared" si="232"/>
        <v>416350</v>
      </c>
      <c r="BP140" s="26">
        <f t="shared" si="232"/>
        <v>185000</v>
      </c>
      <c r="BQ140" s="26">
        <f t="shared" si="232"/>
        <v>185000</v>
      </c>
      <c r="BR140" s="26">
        <f t="shared" si="232"/>
        <v>0</v>
      </c>
      <c r="BS140" s="26">
        <f t="shared" si="232"/>
        <v>4484768</v>
      </c>
      <c r="BT140" s="26">
        <f t="shared" si="232"/>
        <v>130839</v>
      </c>
      <c r="BU140" s="26">
        <f t="shared" si="232"/>
        <v>20142</v>
      </c>
      <c r="BV140" s="27">
        <f t="shared" si="232"/>
        <v>27.800199999999997</v>
      </c>
      <c r="BW140" s="27">
        <f t="shared" si="232"/>
        <v>26.214500000000005</v>
      </c>
      <c r="BX140" s="425">
        <f t="shared" ref="BX140:CJ140" si="233">SUMIF($F$12:$F$144,"=3143",BX$12:BX$144)</f>
        <v>1.5857000000000001</v>
      </c>
      <c r="BY140" s="25">
        <f t="shared" si="233"/>
        <v>0</v>
      </c>
      <c r="BZ140" s="26">
        <f t="shared" si="233"/>
        <v>0</v>
      </c>
      <c r="CA140" s="26">
        <f t="shared" si="233"/>
        <v>0</v>
      </c>
      <c r="CB140" s="26">
        <f t="shared" si="233"/>
        <v>0</v>
      </c>
      <c r="CC140" s="26">
        <f t="shared" si="233"/>
        <v>0</v>
      </c>
      <c r="CD140" s="239">
        <f t="shared" si="233"/>
        <v>0</v>
      </c>
      <c r="CE140" s="25">
        <f t="shared" si="233"/>
        <v>0</v>
      </c>
      <c r="CF140" s="26">
        <f t="shared" si="233"/>
        <v>0</v>
      </c>
      <c r="CG140" s="26">
        <f t="shared" si="233"/>
        <v>0</v>
      </c>
      <c r="CH140" s="26">
        <f t="shared" si="233"/>
        <v>0</v>
      </c>
      <c r="CI140" s="26">
        <f t="shared" si="233"/>
        <v>0</v>
      </c>
      <c r="CJ140" s="239">
        <f t="shared" si="233"/>
        <v>0</v>
      </c>
    </row>
    <row r="141" spans="1:88" customFormat="1" ht="12.75">
      <c r="D141" s="23"/>
      <c r="E141" s="24"/>
      <c r="F141" s="23"/>
      <c r="G141" s="41"/>
      <c r="H141" s="2">
        <v>3231</v>
      </c>
      <c r="I141" s="167">
        <f t="shared" ref="I141:AO141" si="234">SUMIF($F$12:$F$144,"=3231",I$12:I$144)</f>
        <v>15040199</v>
      </c>
      <c r="J141" s="16">
        <f t="shared" si="234"/>
        <v>10989459</v>
      </c>
      <c r="K141" s="16">
        <f t="shared" si="234"/>
        <v>10434955</v>
      </c>
      <c r="L141" s="16">
        <f t="shared" si="234"/>
        <v>554504</v>
      </c>
      <c r="M141" s="16">
        <f t="shared" si="234"/>
        <v>140000</v>
      </c>
      <c r="N141" s="16">
        <f t="shared" si="234"/>
        <v>90000</v>
      </c>
      <c r="O141" s="16">
        <f t="shared" si="234"/>
        <v>50000</v>
      </c>
      <c r="P141" s="16">
        <f t="shared" si="234"/>
        <v>3761757</v>
      </c>
      <c r="Q141" s="16">
        <f t="shared" si="234"/>
        <v>109895</v>
      </c>
      <c r="R141" s="16">
        <f t="shared" si="234"/>
        <v>39088</v>
      </c>
      <c r="S141" s="13">
        <f t="shared" si="234"/>
        <v>17.9267</v>
      </c>
      <c r="T141" s="13">
        <f t="shared" si="234"/>
        <v>16.3706</v>
      </c>
      <c r="U141" s="17">
        <f t="shared" si="234"/>
        <v>1.5560999999999998</v>
      </c>
      <c r="V141" s="38">
        <f t="shared" si="234"/>
        <v>-10000</v>
      </c>
      <c r="W141" s="26">
        <f t="shared" si="234"/>
        <v>-20000</v>
      </c>
      <c r="X141" s="26">
        <f t="shared" si="234"/>
        <v>0</v>
      </c>
      <c r="Y141" s="26">
        <f t="shared" si="234"/>
        <v>0</v>
      </c>
      <c r="Z141" s="26">
        <f t="shared" si="234"/>
        <v>0</v>
      </c>
      <c r="AA141" s="26">
        <f t="shared" si="234"/>
        <v>0</v>
      </c>
      <c r="AB141" s="26">
        <f t="shared" si="234"/>
        <v>0</v>
      </c>
      <c r="AC141" s="26">
        <f t="shared" si="234"/>
        <v>0</v>
      </c>
      <c r="AD141" s="26">
        <f t="shared" si="234"/>
        <v>0</v>
      </c>
      <c r="AE141" s="26">
        <f t="shared" si="234"/>
        <v>-10000</v>
      </c>
      <c r="AF141" s="26">
        <f t="shared" si="234"/>
        <v>-20000</v>
      </c>
      <c r="AG141" s="26">
        <f t="shared" si="234"/>
        <v>-30000</v>
      </c>
      <c r="AH141" s="26">
        <f t="shared" si="234"/>
        <v>10000</v>
      </c>
      <c r="AI141" s="26">
        <f t="shared" si="234"/>
        <v>20000</v>
      </c>
      <c r="AJ141" s="26">
        <f t="shared" si="234"/>
        <v>0</v>
      </c>
      <c r="AK141" s="26">
        <f t="shared" si="234"/>
        <v>0</v>
      </c>
      <c r="AL141" s="26">
        <f t="shared" si="234"/>
        <v>0</v>
      </c>
      <c r="AM141" s="26">
        <f t="shared" si="234"/>
        <v>10000</v>
      </c>
      <c r="AN141" s="26">
        <f t="shared" si="234"/>
        <v>20000</v>
      </c>
      <c r="AO141" s="26">
        <f t="shared" si="234"/>
        <v>30000</v>
      </c>
      <c r="AP141" s="26">
        <f t="shared" ref="AP141:BW141" si="235">SUMIF($F$12:$F$144,"=3231",AP$12:AP$144)</f>
        <v>0</v>
      </c>
      <c r="AQ141" s="26">
        <f t="shared" si="235"/>
        <v>0</v>
      </c>
      <c r="AR141" s="26">
        <f t="shared" si="235"/>
        <v>0</v>
      </c>
      <c r="AS141" s="26">
        <f t="shared" si="235"/>
        <v>0</v>
      </c>
      <c r="AT141" s="26">
        <f t="shared" si="235"/>
        <v>-300</v>
      </c>
      <c r="AU141" s="26">
        <f t="shared" si="235"/>
        <v>0</v>
      </c>
      <c r="AV141" s="26">
        <f t="shared" si="235"/>
        <v>0</v>
      </c>
      <c r="AW141" s="26">
        <f t="shared" si="235"/>
        <v>0</v>
      </c>
      <c r="AX141" s="26">
        <f t="shared" si="235"/>
        <v>0</v>
      </c>
      <c r="AY141" s="26">
        <f t="shared" si="235"/>
        <v>-300</v>
      </c>
      <c r="AZ141" s="27">
        <f t="shared" si="235"/>
        <v>-0.02</v>
      </c>
      <c r="BA141" s="27">
        <f t="shared" si="235"/>
        <v>-0.06</v>
      </c>
      <c r="BB141" s="27">
        <f t="shared" si="235"/>
        <v>0</v>
      </c>
      <c r="BC141" s="27">
        <f t="shared" si="235"/>
        <v>0</v>
      </c>
      <c r="BD141" s="27">
        <f t="shared" si="235"/>
        <v>0</v>
      </c>
      <c r="BE141" s="27">
        <f t="shared" si="235"/>
        <v>0</v>
      </c>
      <c r="BF141" s="27">
        <f t="shared" si="235"/>
        <v>0</v>
      </c>
      <c r="BG141" s="27">
        <f t="shared" si="235"/>
        <v>0</v>
      </c>
      <c r="BH141" s="27">
        <f t="shared" si="235"/>
        <v>0</v>
      </c>
      <c r="BI141" s="27">
        <f t="shared" si="235"/>
        <v>-0.02</v>
      </c>
      <c r="BJ141" s="27">
        <f t="shared" si="235"/>
        <v>-0.06</v>
      </c>
      <c r="BK141" s="425">
        <f t="shared" si="235"/>
        <v>-0.08</v>
      </c>
      <c r="BL141" s="25">
        <f t="shared" si="235"/>
        <v>15039899</v>
      </c>
      <c r="BM141" s="26">
        <f t="shared" si="235"/>
        <v>10959459</v>
      </c>
      <c r="BN141" s="26">
        <f t="shared" si="235"/>
        <v>10424955</v>
      </c>
      <c r="BO141" s="26">
        <f t="shared" si="235"/>
        <v>534504</v>
      </c>
      <c r="BP141" s="26">
        <f t="shared" si="235"/>
        <v>170000</v>
      </c>
      <c r="BQ141" s="26">
        <f t="shared" si="235"/>
        <v>100000</v>
      </c>
      <c r="BR141" s="26">
        <f t="shared" si="235"/>
        <v>70000</v>
      </c>
      <c r="BS141" s="26">
        <f t="shared" si="235"/>
        <v>3761757</v>
      </c>
      <c r="BT141" s="26">
        <f t="shared" si="235"/>
        <v>109595</v>
      </c>
      <c r="BU141" s="26">
        <f t="shared" si="235"/>
        <v>39088</v>
      </c>
      <c r="BV141" s="27">
        <f t="shared" si="235"/>
        <v>17.846700000000002</v>
      </c>
      <c r="BW141" s="27">
        <f t="shared" si="235"/>
        <v>16.3506</v>
      </c>
      <c r="BX141" s="425">
        <f t="shared" ref="BX141:CJ141" si="236">SUMIF($F$12:$F$144,"=3231",BX$12:BX$144)</f>
        <v>1.4961</v>
      </c>
      <c r="BY141" s="25">
        <f t="shared" si="236"/>
        <v>0</v>
      </c>
      <c r="BZ141" s="26">
        <f t="shared" si="236"/>
        <v>0</v>
      </c>
      <c r="CA141" s="26">
        <f t="shared" si="236"/>
        <v>0</v>
      </c>
      <c r="CB141" s="26">
        <f t="shared" si="236"/>
        <v>0</v>
      </c>
      <c r="CC141" s="26">
        <f t="shared" si="236"/>
        <v>0</v>
      </c>
      <c r="CD141" s="239">
        <f t="shared" si="236"/>
        <v>0</v>
      </c>
      <c r="CE141" s="25">
        <f t="shared" si="236"/>
        <v>280335</v>
      </c>
      <c r="CF141" s="26">
        <f t="shared" si="236"/>
        <v>198410</v>
      </c>
      <c r="CG141" s="26">
        <f t="shared" si="236"/>
        <v>67063</v>
      </c>
      <c r="CH141" s="26">
        <f t="shared" si="236"/>
        <v>1985</v>
      </c>
      <c r="CI141" s="26">
        <f t="shared" si="236"/>
        <v>12877</v>
      </c>
      <c r="CJ141" s="239">
        <f t="shared" si="236"/>
        <v>0.55659999999999998</v>
      </c>
    </row>
    <row r="142" spans="1:88" customFormat="1" ht="13.5" thickBot="1">
      <c r="D142" s="23"/>
      <c r="E142" s="24"/>
      <c r="F142" s="23"/>
      <c r="G142" s="41"/>
      <c r="H142" s="151">
        <v>3233</v>
      </c>
      <c r="I142" s="170">
        <f t="shared" ref="I142:AO142" si="237">SUMIF($F$12:$F$144,"=3233",I$12:I$144)</f>
        <v>3668765</v>
      </c>
      <c r="J142" s="171">
        <f t="shared" si="237"/>
        <v>2322366</v>
      </c>
      <c r="K142" s="171">
        <f t="shared" si="237"/>
        <v>1995807</v>
      </c>
      <c r="L142" s="171">
        <f t="shared" si="237"/>
        <v>326559</v>
      </c>
      <c r="M142" s="171">
        <f t="shared" si="237"/>
        <v>400000</v>
      </c>
      <c r="N142" s="171">
        <f t="shared" si="237"/>
        <v>226000</v>
      </c>
      <c r="O142" s="171">
        <f t="shared" si="237"/>
        <v>174000</v>
      </c>
      <c r="P142" s="171">
        <f t="shared" si="237"/>
        <v>920159</v>
      </c>
      <c r="Q142" s="171">
        <f t="shared" si="237"/>
        <v>23223</v>
      </c>
      <c r="R142" s="171">
        <f t="shared" si="237"/>
        <v>3017</v>
      </c>
      <c r="S142" s="172">
        <f t="shared" si="237"/>
        <v>4.66</v>
      </c>
      <c r="T142" s="172">
        <f t="shared" si="237"/>
        <v>3.6100000000000003</v>
      </c>
      <c r="U142" s="173">
        <f t="shared" si="237"/>
        <v>1.0499999999999998</v>
      </c>
      <c r="V142" s="150">
        <f t="shared" si="237"/>
        <v>0</v>
      </c>
      <c r="W142" s="29">
        <f t="shared" si="237"/>
        <v>0</v>
      </c>
      <c r="X142" s="29">
        <f t="shared" si="237"/>
        <v>0</v>
      </c>
      <c r="Y142" s="29">
        <f t="shared" si="237"/>
        <v>0</v>
      </c>
      <c r="Z142" s="29">
        <f t="shared" si="237"/>
        <v>0</v>
      </c>
      <c r="AA142" s="29">
        <f t="shared" si="237"/>
        <v>0</v>
      </c>
      <c r="AB142" s="29">
        <f t="shared" si="237"/>
        <v>0</v>
      </c>
      <c r="AC142" s="29">
        <f t="shared" si="237"/>
        <v>0</v>
      </c>
      <c r="AD142" s="29">
        <f t="shared" si="237"/>
        <v>0</v>
      </c>
      <c r="AE142" s="29">
        <f t="shared" si="237"/>
        <v>0</v>
      </c>
      <c r="AF142" s="29">
        <f t="shared" si="237"/>
        <v>0</v>
      </c>
      <c r="AG142" s="29">
        <f t="shared" si="237"/>
        <v>0</v>
      </c>
      <c r="AH142" s="29">
        <f t="shared" si="237"/>
        <v>0</v>
      </c>
      <c r="AI142" s="29">
        <f t="shared" si="237"/>
        <v>0</v>
      </c>
      <c r="AJ142" s="29">
        <f t="shared" si="237"/>
        <v>0</v>
      </c>
      <c r="AK142" s="29">
        <f t="shared" si="237"/>
        <v>0</v>
      </c>
      <c r="AL142" s="29">
        <f t="shared" si="237"/>
        <v>0</v>
      </c>
      <c r="AM142" s="29">
        <f t="shared" si="237"/>
        <v>0</v>
      </c>
      <c r="AN142" s="29">
        <f t="shared" si="237"/>
        <v>0</v>
      </c>
      <c r="AO142" s="29">
        <f t="shared" si="237"/>
        <v>0</v>
      </c>
      <c r="AP142" s="29">
        <f t="shared" ref="AP142:BW142" si="238">SUMIF($F$12:$F$144,"=3233",AP$12:AP$144)</f>
        <v>0</v>
      </c>
      <c r="AQ142" s="29">
        <f t="shared" si="238"/>
        <v>0</v>
      </c>
      <c r="AR142" s="29">
        <f t="shared" si="238"/>
        <v>0</v>
      </c>
      <c r="AS142" s="29">
        <f t="shared" si="238"/>
        <v>0</v>
      </c>
      <c r="AT142" s="29">
        <f t="shared" si="238"/>
        <v>0</v>
      </c>
      <c r="AU142" s="29">
        <f t="shared" si="238"/>
        <v>0</v>
      </c>
      <c r="AV142" s="29">
        <f t="shared" si="238"/>
        <v>0</v>
      </c>
      <c r="AW142" s="29">
        <f t="shared" si="238"/>
        <v>0</v>
      </c>
      <c r="AX142" s="29">
        <f t="shared" si="238"/>
        <v>0</v>
      </c>
      <c r="AY142" s="29">
        <f t="shared" si="238"/>
        <v>0</v>
      </c>
      <c r="AZ142" s="145">
        <f t="shared" si="238"/>
        <v>0</v>
      </c>
      <c r="BA142" s="145">
        <f t="shared" si="238"/>
        <v>0</v>
      </c>
      <c r="BB142" s="145">
        <f t="shared" si="238"/>
        <v>0</v>
      </c>
      <c r="BC142" s="145">
        <f t="shared" si="238"/>
        <v>0</v>
      </c>
      <c r="BD142" s="145">
        <f t="shared" si="238"/>
        <v>0</v>
      </c>
      <c r="BE142" s="145">
        <f t="shared" si="238"/>
        <v>0</v>
      </c>
      <c r="BF142" s="145">
        <f t="shared" si="238"/>
        <v>0</v>
      </c>
      <c r="BG142" s="145">
        <f t="shared" si="238"/>
        <v>0</v>
      </c>
      <c r="BH142" s="145">
        <f t="shared" si="238"/>
        <v>0</v>
      </c>
      <c r="BI142" s="145">
        <f t="shared" si="238"/>
        <v>0</v>
      </c>
      <c r="BJ142" s="145">
        <f t="shared" si="238"/>
        <v>0</v>
      </c>
      <c r="BK142" s="426">
        <f t="shared" si="238"/>
        <v>0</v>
      </c>
      <c r="BL142" s="28">
        <f t="shared" si="238"/>
        <v>3668765</v>
      </c>
      <c r="BM142" s="29">
        <f t="shared" si="238"/>
        <v>2322366</v>
      </c>
      <c r="BN142" s="29">
        <f t="shared" si="238"/>
        <v>1995807</v>
      </c>
      <c r="BO142" s="29">
        <f t="shared" si="238"/>
        <v>326559</v>
      </c>
      <c r="BP142" s="29">
        <f t="shared" si="238"/>
        <v>400000</v>
      </c>
      <c r="BQ142" s="29">
        <f t="shared" si="238"/>
        <v>226000</v>
      </c>
      <c r="BR142" s="29">
        <f t="shared" si="238"/>
        <v>174000</v>
      </c>
      <c r="BS142" s="29">
        <f t="shared" si="238"/>
        <v>920159</v>
      </c>
      <c r="BT142" s="29">
        <f t="shared" si="238"/>
        <v>23223</v>
      </c>
      <c r="BU142" s="29">
        <f t="shared" si="238"/>
        <v>3017</v>
      </c>
      <c r="BV142" s="145">
        <f t="shared" si="238"/>
        <v>4.66</v>
      </c>
      <c r="BW142" s="145">
        <f t="shared" si="238"/>
        <v>3.6100000000000003</v>
      </c>
      <c r="BX142" s="426">
        <f t="shared" ref="BX142:CJ142" si="239">SUMIF($F$12:$F$144,"=3233",BX$12:BX$144)</f>
        <v>1.0499999999999998</v>
      </c>
      <c r="BY142" s="28">
        <f t="shared" si="239"/>
        <v>0</v>
      </c>
      <c r="BZ142" s="29">
        <f t="shared" si="239"/>
        <v>0</v>
      </c>
      <c r="CA142" s="29">
        <f t="shared" si="239"/>
        <v>0</v>
      </c>
      <c r="CB142" s="29">
        <f t="shared" si="239"/>
        <v>0</v>
      </c>
      <c r="CC142" s="29">
        <f t="shared" si="239"/>
        <v>0</v>
      </c>
      <c r="CD142" s="240">
        <f t="shared" si="239"/>
        <v>0</v>
      </c>
      <c r="CE142" s="28">
        <f t="shared" si="239"/>
        <v>0</v>
      </c>
      <c r="CF142" s="29">
        <f t="shared" si="239"/>
        <v>0</v>
      </c>
      <c r="CG142" s="29">
        <f t="shared" si="239"/>
        <v>0</v>
      </c>
      <c r="CH142" s="29">
        <f t="shared" si="239"/>
        <v>0</v>
      </c>
      <c r="CI142" s="29">
        <f t="shared" si="239"/>
        <v>0</v>
      </c>
      <c r="CJ142" s="240">
        <f t="shared" si="239"/>
        <v>0</v>
      </c>
    </row>
    <row r="144" spans="1:88" s="54" customFormat="1">
      <c r="A144" s="90"/>
      <c r="B144" s="89"/>
      <c r="C144" s="89"/>
      <c r="D144" s="89"/>
      <c r="E144" s="90"/>
      <c r="F144" s="113"/>
      <c r="G144" s="90"/>
      <c r="H144" s="90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586"/>
      <c r="T144" s="586"/>
      <c r="U144" s="586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V144" s="55"/>
      <c r="BW144" s="55"/>
      <c r="BX144" s="55"/>
      <c r="CD144" s="55"/>
      <c r="CJ144" s="55"/>
    </row>
  </sheetData>
  <mergeCells count="57">
    <mergeCell ref="CE6:CJ7"/>
    <mergeCell ref="CE8:CJ9"/>
    <mergeCell ref="AB9:AB10"/>
    <mergeCell ref="BF8:BF9"/>
    <mergeCell ref="BC8:BD9"/>
    <mergeCell ref="BY6:CD7"/>
    <mergeCell ref="BY8:CD9"/>
    <mergeCell ref="AZ7:BK7"/>
    <mergeCell ref="BB8:BB9"/>
    <mergeCell ref="BE8:BE9"/>
    <mergeCell ref="BG8:BH9"/>
    <mergeCell ref="BI8:BK9"/>
    <mergeCell ref="BU9:BU10"/>
    <mergeCell ref="V6:BK6"/>
    <mergeCell ref="BL6:BX7"/>
    <mergeCell ref="V7:AG8"/>
    <mergeCell ref="BW8:BX9"/>
    <mergeCell ref="BQ9:BR9"/>
    <mergeCell ref="BS9:BS10"/>
    <mergeCell ref="BV8:BV10"/>
    <mergeCell ref="BM9:BM10"/>
    <mergeCell ref="BN9:BO9"/>
    <mergeCell ref="BP9:BP10"/>
    <mergeCell ref="I6:U7"/>
    <mergeCell ref="J8:R8"/>
    <mergeCell ref="S8:S10"/>
    <mergeCell ref="T8:U9"/>
    <mergeCell ref="BT9:BT10"/>
    <mergeCell ref="BL8:BL10"/>
    <mergeCell ref="BM8:BU8"/>
    <mergeCell ref="AZ8:BA9"/>
    <mergeCell ref="AP7:AR9"/>
    <mergeCell ref="AS7:AS10"/>
    <mergeCell ref="AT7:AT10"/>
    <mergeCell ref="AU7:AX9"/>
    <mergeCell ref="AY7:AY10"/>
    <mergeCell ref="I8:I10"/>
    <mergeCell ref="Q9:Q10"/>
    <mergeCell ref="R9:R10"/>
    <mergeCell ref="J9:J10"/>
    <mergeCell ref="K9:L9"/>
    <mergeCell ref="M9:M10"/>
    <mergeCell ref="N9:O9"/>
    <mergeCell ref="P9:P10"/>
    <mergeCell ref="AC9:AD9"/>
    <mergeCell ref="AE9:AF9"/>
    <mergeCell ref="V9:W9"/>
    <mergeCell ref="X9:X10"/>
    <mergeCell ref="Y9:Y10"/>
    <mergeCell ref="Z9:AA9"/>
    <mergeCell ref="AH7:AO8"/>
    <mergeCell ref="AG9:AG10"/>
    <mergeCell ref="AH9:AI9"/>
    <mergeCell ref="AJ9:AJ10"/>
    <mergeCell ref="AO9:AO10"/>
    <mergeCell ref="AM9:AN9"/>
    <mergeCell ref="AK9:AL9"/>
  </mergeCells>
  <phoneticPr fontId="41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CJ211"/>
  <sheetViews>
    <sheetView zoomScaleNormal="100" workbookViewId="0">
      <pane xSplit="8" ySplit="11" topLeftCell="BI188" activePane="bottomRight" state="frozen"/>
      <selection activeCell="V6" sqref="V6:BK10"/>
      <selection pane="topRight" activeCell="V6" sqref="V6:BK10"/>
      <selection pane="bottomLeft" activeCell="V6" sqref="V6:BK10"/>
      <selection pane="bottomRight" activeCell="BL6" sqref="BL6:BX7"/>
    </sheetView>
  </sheetViews>
  <sheetFormatPr defaultRowHeight="12.75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bestFit="1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customWidth="1"/>
    <col min="29" max="42" width="10.28515625" style="8" customWidth="1"/>
    <col min="43" max="43" width="10.28515625" style="7" customWidth="1"/>
    <col min="44" max="45" width="9.28515625" style="7" customWidth="1"/>
    <col min="46" max="46" width="9.140625" style="8" customWidth="1"/>
    <col min="47" max="48" width="9.7109375" style="8" customWidth="1"/>
    <col min="49" max="49" width="11.85546875" style="8" customWidth="1"/>
    <col min="50" max="50" width="10.28515625" style="8" customWidth="1"/>
    <col min="51" max="51" width="9.7109375" style="8" customWidth="1"/>
    <col min="52" max="54" width="9.140625" style="7" customWidth="1"/>
    <col min="55" max="55" width="10.140625" style="7" customWidth="1"/>
    <col min="56" max="57" width="9.28515625" style="7" customWidth="1"/>
    <col min="58" max="58" width="10.5703125" style="7" customWidth="1"/>
    <col min="59" max="63" width="9.28515625" style="7" customWidth="1"/>
    <col min="64" max="73" width="10.85546875" style="7" customWidth="1"/>
    <col min="74" max="76" width="9.28515625" style="7" customWidth="1"/>
    <col min="77" max="81" width="9.7109375" style="8" customWidth="1"/>
    <col min="82" max="82" width="9.7109375" style="7" customWidth="1"/>
    <col min="83" max="87" width="9.140625" customWidth="1"/>
    <col min="88" max="88" width="9.140625" style="7" customWidth="1"/>
    <col min="183" max="183" width="6.85546875" customWidth="1"/>
    <col min="184" max="184" width="35" customWidth="1"/>
    <col min="185" max="185" width="8" customWidth="1"/>
    <col min="186" max="186" width="31.85546875" customWidth="1"/>
    <col min="187" max="187" width="12" customWidth="1"/>
    <col min="188" max="188" width="11.5703125" customWidth="1"/>
    <col min="189" max="189" width="12" customWidth="1"/>
    <col min="190" max="190" width="11.140625" customWidth="1"/>
    <col min="191" max="192" width="10" customWidth="1"/>
    <col min="195" max="195" width="10.7109375" customWidth="1"/>
    <col min="439" max="439" width="6.85546875" customWidth="1"/>
    <col min="440" max="440" width="35" customWidth="1"/>
    <col min="441" max="441" width="8" customWidth="1"/>
    <col min="442" max="442" width="31.85546875" customWidth="1"/>
    <col min="443" max="443" width="12" customWidth="1"/>
    <col min="444" max="444" width="11.5703125" customWidth="1"/>
    <col min="445" max="445" width="12" customWidth="1"/>
    <col min="446" max="446" width="11.140625" customWidth="1"/>
    <col min="447" max="448" width="10" customWidth="1"/>
    <col min="451" max="451" width="10.7109375" customWidth="1"/>
    <col min="695" max="695" width="6.85546875" customWidth="1"/>
    <col min="696" max="696" width="35" customWidth="1"/>
    <col min="697" max="697" width="8" customWidth="1"/>
    <col min="698" max="698" width="31.85546875" customWidth="1"/>
    <col min="699" max="699" width="12" customWidth="1"/>
    <col min="700" max="700" width="11.5703125" customWidth="1"/>
    <col min="701" max="701" width="12" customWidth="1"/>
    <col min="702" max="702" width="11.140625" customWidth="1"/>
    <col min="703" max="704" width="10" customWidth="1"/>
    <col min="707" max="707" width="10.7109375" customWidth="1"/>
    <col min="951" max="951" width="6.85546875" customWidth="1"/>
    <col min="952" max="952" width="35" customWidth="1"/>
    <col min="953" max="953" width="8" customWidth="1"/>
    <col min="954" max="954" width="31.85546875" customWidth="1"/>
    <col min="955" max="955" width="12" customWidth="1"/>
    <col min="956" max="956" width="11.5703125" customWidth="1"/>
    <col min="957" max="957" width="12" customWidth="1"/>
    <col min="958" max="958" width="11.140625" customWidth="1"/>
    <col min="959" max="960" width="10" customWidth="1"/>
    <col min="963" max="963" width="10.7109375" customWidth="1"/>
    <col min="1207" max="1207" width="6.85546875" customWidth="1"/>
    <col min="1208" max="1208" width="35" customWidth="1"/>
    <col min="1209" max="1209" width="8" customWidth="1"/>
    <col min="1210" max="1210" width="31.85546875" customWidth="1"/>
    <col min="1211" max="1211" width="12" customWidth="1"/>
    <col min="1212" max="1212" width="11.5703125" customWidth="1"/>
    <col min="1213" max="1213" width="12" customWidth="1"/>
    <col min="1214" max="1214" width="11.140625" customWidth="1"/>
    <col min="1215" max="1216" width="10" customWidth="1"/>
    <col min="1219" max="1219" width="10.7109375" customWidth="1"/>
    <col min="1463" max="1463" width="6.85546875" customWidth="1"/>
    <col min="1464" max="1464" width="35" customWidth="1"/>
    <col min="1465" max="1465" width="8" customWidth="1"/>
    <col min="1466" max="1466" width="31.85546875" customWidth="1"/>
    <col min="1467" max="1467" width="12" customWidth="1"/>
    <col min="1468" max="1468" width="11.5703125" customWidth="1"/>
    <col min="1469" max="1469" width="12" customWidth="1"/>
    <col min="1470" max="1470" width="11.140625" customWidth="1"/>
    <col min="1471" max="1472" width="10" customWidth="1"/>
    <col min="1475" max="1475" width="10.7109375" customWidth="1"/>
    <col min="1719" max="1719" width="6.85546875" customWidth="1"/>
    <col min="1720" max="1720" width="35" customWidth="1"/>
    <col min="1721" max="1721" width="8" customWidth="1"/>
    <col min="1722" max="1722" width="31.85546875" customWidth="1"/>
    <col min="1723" max="1723" width="12" customWidth="1"/>
    <col min="1724" max="1724" width="11.5703125" customWidth="1"/>
    <col min="1725" max="1725" width="12" customWidth="1"/>
    <col min="1726" max="1726" width="11.140625" customWidth="1"/>
    <col min="1727" max="1728" width="10" customWidth="1"/>
    <col min="1731" max="1731" width="10.7109375" customWidth="1"/>
    <col min="1975" max="1975" width="6.85546875" customWidth="1"/>
    <col min="1976" max="1976" width="35" customWidth="1"/>
    <col min="1977" max="1977" width="8" customWidth="1"/>
    <col min="1978" max="1978" width="31.85546875" customWidth="1"/>
    <col min="1979" max="1979" width="12" customWidth="1"/>
    <col min="1980" max="1980" width="11.5703125" customWidth="1"/>
    <col min="1981" max="1981" width="12" customWidth="1"/>
    <col min="1982" max="1982" width="11.140625" customWidth="1"/>
    <col min="1983" max="1984" width="10" customWidth="1"/>
    <col min="1987" max="1987" width="10.7109375" customWidth="1"/>
    <col min="2231" max="2231" width="6.85546875" customWidth="1"/>
    <col min="2232" max="2232" width="35" customWidth="1"/>
    <col min="2233" max="2233" width="8" customWidth="1"/>
    <col min="2234" max="2234" width="31.85546875" customWidth="1"/>
    <col min="2235" max="2235" width="12" customWidth="1"/>
    <col min="2236" max="2236" width="11.5703125" customWidth="1"/>
    <col min="2237" max="2237" width="12" customWidth="1"/>
    <col min="2238" max="2238" width="11.140625" customWidth="1"/>
    <col min="2239" max="2240" width="10" customWidth="1"/>
    <col min="2243" max="2243" width="10.7109375" customWidth="1"/>
    <col min="2487" max="2487" width="6.85546875" customWidth="1"/>
    <col min="2488" max="2488" width="35" customWidth="1"/>
    <col min="2489" max="2489" width="8" customWidth="1"/>
    <col min="2490" max="2490" width="31.85546875" customWidth="1"/>
    <col min="2491" max="2491" width="12" customWidth="1"/>
    <col min="2492" max="2492" width="11.5703125" customWidth="1"/>
    <col min="2493" max="2493" width="12" customWidth="1"/>
    <col min="2494" max="2494" width="11.140625" customWidth="1"/>
    <col min="2495" max="2496" width="10" customWidth="1"/>
    <col min="2499" max="2499" width="10.7109375" customWidth="1"/>
    <col min="2743" max="2743" width="6.85546875" customWidth="1"/>
    <col min="2744" max="2744" width="35" customWidth="1"/>
    <col min="2745" max="2745" width="8" customWidth="1"/>
    <col min="2746" max="2746" width="31.85546875" customWidth="1"/>
    <col min="2747" max="2747" width="12" customWidth="1"/>
    <col min="2748" max="2748" width="11.5703125" customWidth="1"/>
    <col min="2749" max="2749" width="12" customWidth="1"/>
    <col min="2750" max="2750" width="11.140625" customWidth="1"/>
    <col min="2751" max="2752" width="10" customWidth="1"/>
    <col min="2755" max="2755" width="10.7109375" customWidth="1"/>
    <col min="2999" max="2999" width="6.85546875" customWidth="1"/>
    <col min="3000" max="3000" width="35" customWidth="1"/>
    <col min="3001" max="3001" width="8" customWidth="1"/>
    <col min="3002" max="3002" width="31.85546875" customWidth="1"/>
    <col min="3003" max="3003" width="12" customWidth="1"/>
    <col min="3004" max="3004" width="11.5703125" customWidth="1"/>
    <col min="3005" max="3005" width="12" customWidth="1"/>
    <col min="3006" max="3006" width="11.140625" customWidth="1"/>
    <col min="3007" max="3008" width="10" customWidth="1"/>
    <col min="3011" max="3011" width="10.7109375" customWidth="1"/>
    <col min="3255" max="3255" width="6.85546875" customWidth="1"/>
    <col min="3256" max="3256" width="35" customWidth="1"/>
    <col min="3257" max="3257" width="8" customWidth="1"/>
    <col min="3258" max="3258" width="31.85546875" customWidth="1"/>
    <col min="3259" max="3259" width="12" customWidth="1"/>
    <col min="3260" max="3260" width="11.5703125" customWidth="1"/>
    <col min="3261" max="3261" width="12" customWidth="1"/>
    <col min="3262" max="3262" width="11.140625" customWidth="1"/>
    <col min="3263" max="3264" width="10" customWidth="1"/>
    <col min="3267" max="3267" width="10.7109375" customWidth="1"/>
    <col min="3511" max="3511" width="6.85546875" customWidth="1"/>
    <col min="3512" max="3512" width="35" customWidth="1"/>
    <col min="3513" max="3513" width="8" customWidth="1"/>
    <col min="3514" max="3514" width="31.85546875" customWidth="1"/>
    <col min="3515" max="3515" width="12" customWidth="1"/>
    <col min="3516" max="3516" width="11.5703125" customWidth="1"/>
    <col min="3517" max="3517" width="12" customWidth="1"/>
    <col min="3518" max="3518" width="11.140625" customWidth="1"/>
    <col min="3519" max="3520" width="10" customWidth="1"/>
    <col min="3523" max="3523" width="10.7109375" customWidth="1"/>
    <col min="3767" max="3767" width="6.85546875" customWidth="1"/>
    <col min="3768" max="3768" width="35" customWidth="1"/>
    <col min="3769" max="3769" width="8" customWidth="1"/>
    <col min="3770" max="3770" width="31.85546875" customWidth="1"/>
    <col min="3771" max="3771" width="12" customWidth="1"/>
    <col min="3772" max="3772" width="11.5703125" customWidth="1"/>
    <col min="3773" max="3773" width="12" customWidth="1"/>
    <col min="3774" max="3774" width="11.140625" customWidth="1"/>
    <col min="3775" max="3776" width="10" customWidth="1"/>
    <col min="3779" max="3779" width="10.7109375" customWidth="1"/>
    <col min="4023" max="4023" width="6.85546875" customWidth="1"/>
    <col min="4024" max="4024" width="35" customWidth="1"/>
    <col min="4025" max="4025" width="8" customWidth="1"/>
    <col min="4026" max="4026" width="31.85546875" customWidth="1"/>
    <col min="4027" max="4027" width="12" customWidth="1"/>
    <col min="4028" max="4028" width="11.5703125" customWidth="1"/>
    <col min="4029" max="4029" width="12" customWidth="1"/>
    <col min="4030" max="4030" width="11.140625" customWidth="1"/>
    <col min="4031" max="4032" width="10" customWidth="1"/>
    <col min="4035" max="4035" width="10.7109375" customWidth="1"/>
    <col min="4279" max="4279" width="6.85546875" customWidth="1"/>
    <col min="4280" max="4280" width="35" customWidth="1"/>
    <col min="4281" max="4281" width="8" customWidth="1"/>
    <col min="4282" max="4282" width="31.85546875" customWidth="1"/>
    <col min="4283" max="4283" width="12" customWidth="1"/>
    <col min="4284" max="4284" width="11.5703125" customWidth="1"/>
    <col min="4285" max="4285" width="12" customWidth="1"/>
    <col min="4286" max="4286" width="11.140625" customWidth="1"/>
    <col min="4287" max="4288" width="10" customWidth="1"/>
    <col min="4291" max="4291" width="10.7109375" customWidth="1"/>
    <col min="4535" max="4535" width="6.85546875" customWidth="1"/>
    <col min="4536" max="4536" width="35" customWidth="1"/>
    <col min="4537" max="4537" width="8" customWidth="1"/>
    <col min="4538" max="4538" width="31.85546875" customWidth="1"/>
    <col min="4539" max="4539" width="12" customWidth="1"/>
    <col min="4540" max="4540" width="11.5703125" customWidth="1"/>
    <col min="4541" max="4541" width="12" customWidth="1"/>
    <col min="4542" max="4542" width="11.140625" customWidth="1"/>
    <col min="4543" max="4544" width="10" customWidth="1"/>
    <col min="4547" max="4547" width="10.7109375" customWidth="1"/>
    <col min="4791" max="4791" width="6.85546875" customWidth="1"/>
    <col min="4792" max="4792" width="35" customWidth="1"/>
    <col min="4793" max="4793" width="8" customWidth="1"/>
    <col min="4794" max="4794" width="31.85546875" customWidth="1"/>
    <col min="4795" max="4795" width="12" customWidth="1"/>
    <col min="4796" max="4796" width="11.5703125" customWidth="1"/>
    <col min="4797" max="4797" width="12" customWidth="1"/>
    <col min="4798" max="4798" width="11.140625" customWidth="1"/>
    <col min="4799" max="4800" width="10" customWidth="1"/>
    <col min="4803" max="4803" width="10.7109375" customWidth="1"/>
    <col min="5047" max="5047" width="6.85546875" customWidth="1"/>
    <col min="5048" max="5048" width="35" customWidth="1"/>
    <col min="5049" max="5049" width="8" customWidth="1"/>
    <col min="5050" max="5050" width="31.85546875" customWidth="1"/>
    <col min="5051" max="5051" width="12" customWidth="1"/>
    <col min="5052" max="5052" width="11.5703125" customWidth="1"/>
    <col min="5053" max="5053" width="12" customWidth="1"/>
    <col min="5054" max="5054" width="11.140625" customWidth="1"/>
    <col min="5055" max="5056" width="10" customWidth="1"/>
    <col min="5059" max="5059" width="10.7109375" customWidth="1"/>
    <col min="5303" max="5303" width="6.85546875" customWidth="1"/>
    <col min="5304" max="5304" width="35" customWidth="1"/>
    <col min="5305" max="5305" width="8" customWidth="1"/>
    <col min="5306" max="5306" width="31.85546875" customWidth="1"/>
    <col min="5307" max="5307" width="12" customWidth="1"/>
    <col min="5308" max="5308" width="11.5703125" customWidth="1"/>
    <col min="5309" max="5309" width="12" customWidth="1"/>
    <col min="5310" max="5310" width="11.140625" customWidth="1"/>
    <col min="5311" max="5312" width="10" customWidth="1"/>
    <col min="5315" max="5315" width="10.7109375" customWidth="1"/>
    <col min="5559" max="5559" width="6.85546875" customWidth="1"/>
    <col min="5560" max="5560" width="35" customWidth="1"/>
    <col min="5561" max="5561" width="8" customWidth="1"/>
    <col min="5562" max="5562" width="31.85546875" customWidth="1"/>
    <col min="5563" max="5563" width="12" customWidth="1"/>
    <col min="5564" max="5564" width="11.5703125" customWidth="1"/>
    <col min="5565" max="5565" width="12" customWidth="1"/>
    <col min="5566" max="5566" width="11.140625" customWidth="1"/>
    <col min="5567" max="5568" width="10" customWidth="1"/>
    <col min="5571" max="5571" width="10.7109375" customWidth="1"/>
    <col min="5815" max="5815" width="6.85546875" customWidth="1"/>
    <col min="5816" max="5816" width="35" customWidth="1"/>
    <col min="5817" max="5817" width="8" customWidth="1"/>
    <col min="5818" max="5818" width="31.85546875" customWidth="1"/>
    <col min="5819" max="5819" width="12" customWidth="1"/>
    <col min="5820" max="5820" width="11.5703125" customWidth="1"/>
    <col min="5821" max="5821" width="12" customWidth="1"/>
    <col min="5822" max="5822" width="11.140625" customWidth="1"/>
    <col min="5823" max="5824" width="10" customWidth="1"/>
    <col min="5827" max="5827" width="10.7109375" customWidth="1"/>
    <col min="6071" max="6071" width="6.85546875" customWidth="1"/>
    <col min="6072" max="6072" width="35" customWidth="1"/>
    <col min="6073" max="6073" width="8" customWidth="1"/>
    <col min="6074" max="6074" width="31.85546875" customWidth="1"/>
    <col min="6075" max="6075" width="12" customWidth="1"/>
    <col min="6076" max="6076" width="11.5703125" customWidth="1"/>
    <col min="6077" max="6077" width="12" customWidth="1"/>
    <col min="6078" max="6078" width="11.140625" customWidth="1"/>
    <col min="6079" max="6080" width="10" customWidth="1"/>
    <col min="6083" max="6083" width="10.7109375" customWidth="1"/>
    <col min="6327" max="6327" width="6.85546875" customWidth="1"/>
    <col min="6328" max="6328" width="35" customWidth="1"/>
    <col min="6329" max="6329" width="8" customWidth="1"/>
    <col min="6330" max="6330" width="31.85546875" customWidth="1"/>
    <col min="6331" max="6331" width="12" customWidth="1"/>
    <col min="6332" max="6332" width="11.5703125" customWidth="1"/>
    <col min="6333" max="6333" width="12" customWidth="1"/>
    <col min="6334" max="6334" width="11.140625" customWidth="1"/>
    <col min="6335" max="6336" width="10" customWidth="1"/>
    <col min="6339" max="6339" width="10.7109375" customWidth="1"/>
    <col min="6583" max="6583" width="6.85546875" customWidth="1"/>
    <col min="6584" max="6584" width="35" customWidth="1"/>
    <col min="6585" max="6585" width="8" customWidth="1"/>
    <col min="6586" max="6586" width="31.85546875" customWidth="1"/>
    <col min="6587" max="6587" width="12" customWidth="1"/>
    <col min="6588" max="6588" width="11.5703125" customWidth="1"/>
    <col min="6589" max="6589" width="12" customWidth="1"/>
    <col min="6590" max="6590" width="11.140625" customWidth="1"/>
    <col min="6591" max="6592" width="10" customWidth="1"/>
    <col min="6595" max="6595" width="10.7109375" customWidth="1"/>
    <col min="6839" max="6839" width="6.85546875" customWidth="1"/>
    <col min="6840" max="6840" width="35" customWidth="1"/>
    <col min="6841" max="6841" width="8" customWidth="1"/>
    <col min="6842" max="6842" width="31.85546875" customWidth="1"/>
    <col min="6843" max="6843" width="12" customWidth="1"/>
    <col min="6844" max="6844" width="11.5703125" customWidth="1"/>
    <col min="6845" max="6845" width="12" customWidth="1"/>
    <col min="6846" max="6846" width="11.140625" customWidth="1"/>
    <col min="6847" max="6848" width="10" customWidth="1"/>
    <col min="6851" max="6851" width="10.7109375" customWidth="1"/>
    <col min="7095" max="7095" width="6.85546875" customWidth="1"/>
    <col min="7096" max="7096" width="35" customWidth="1"/>
    <col min="7097" max="7097" width="8" customWidth="1"/>
    <col min="7098" max="7098" width="31.85546875" customWidth="1"/>
    <col min="7099" max="7099" width="12" customWidth="1"/>
    <col min="7100" max="7100" width="11.5703125" customWidth="1"/>
    <col min="7101" max="7101" width="12" customWidth="1"/>
    <col min="7102" max="7102" width="11.140625" customWidth="1"/>
    <col min="7103" max="7104" width="10" customWidth="1"/>
    <col min="7107" max="7107" width="10.7109375" customWidth="1"/>
    <col min="7351" max="7351" width="6.85546875" customWidth="1"/>
    <col min="7352" max="7352" width="35" customWidth="1"/>
    <col min="7353" max="7353" width="8" customWidth="1"/>
    <col min="7354" max="7354" width="31.85546875" customWidth="1"/>
    <col min="7355" max="7355" width="12" customWidth="1"/>
    <col min="7356" max="7356" width="11.5703125" customWidth="1"/>
    <col min="7357" max="7357" width="12" customWidth="1"/>
    <col min="7358" max="7358" width="11.140625" customWidth="1"/>
    <col min="7359" max="7360" width="10" customWidth="1"/>
    <col min="7363" max="7363" width="10.7109375" customWidth="1"/>
    <col min="7607" max="7607" width="6.85546875" customWidth="1"/>
    <col min="7608" max="7608" width="35" customWidth="1"/>
    <col min="7609" max="7609" width="8" customWidth="1"/>
    <col min="7610" max="7610" width="31.85546875" customWidth="1"/>
    <col min="7611" max="7611" width="12" customWidth="1"/>
    <col min="7612" max="7612" width="11.5703125" customWidth="1"/>
    <col min="7613" max="7613" width="12" customWidth="1"/>
    <col min="7614" max="7614" width="11.140625" customWidth="1"/>
    <col min="7615" max="7616" width="10" customWidth="1"/>
    <col min="7619" max="7619" width="10.7109375" customWidth="1"/>
    <col min="7863" max="7863" width="6.85546875" customWidth="1"/>
    <col min="7864" max="7864" width="35" customWidth="1"/>
    <col min="7865" max="7865" width="8" customWidth="1"/>
    <col min="7866" max="7866" width="31.85546875" customWidth="1"/>
    <col min="7867" max="7867" width="12" customWidth="1"/>
    <col min="7868" max="7868" width="11.5703125" customWidth="1"/>
    <col min="7869" max="7869" width="12" customWidth="1"/>
    <col min="7870" max="7870" width="11.140625" customWidth="1"/>
    <col min="7871" max="7872" width="10" customWidth="1"/>
    <col min="7875" max="7875" width="10.7109375" customWidth="1"/>
    <col min="8119" max="8119" width="6.85546875" customWidth="1"/>
    <col min="8120" max="8120" width="35" customWidth="1"/>
    <col min="8121" max="8121" width="8" customWidth="1"/>
    <col min="8122" max="8122" width="31.85546875" customWidth="1"/>
    <col min="8123" max="8123" width="12" customWidth="1"/>
    <col min="8124" max="8124" width="11.5703125" customWidth="1"/>
    <col min="8125" max="8125" width="12" customWidth="1"/>
    <col min="8126" max="8126" width="11.140625" customWidth="1"/>
    <col min="8127" max="8128" width="10" customWidth="1"/>
    <col min="8131" max="8131" width="10.7109375" customWidth="1"/>
    <col min="8375" max="8375" width="6.85546875" customWidth="1"/>
    <col min="8376" max="8376" width="35" customWidth="1"/>
    <col min="8377" max="8377" width="8" customWidth="1"/>
    <col min="8378" max="8378" width="31.85546875" customWidth="1"/>
    <col min="8379" max="8379" width="12" customWidth="1"/>
    <col min="8380" max="8380" width="11.5703125" customWidth="1"/>
    <col min="8381" max="8381" width="12" customWidth="1"/>
    <col min="8382" max="8382" width="11.140625" customWidth="1"/>
    <col min="8383" max="8384" width="10" customWidth="1"/>
    <col min="8387" max="8387" width="10.7109375" customWidth="1"/>
    <col min="8631" max="8631" width="6.85546875" customWidth="1"/>
    <col min="8632" max="8632" width="35" customWidth="1"/>
    <col min="8633" max="8633" width="8" customWidth="1"/>
    <col min="8634" max="8634" width="31.85546875" customWidth="1"/>
    <col min="8635" max="8635" width="12" customWidth="1"/>
    <col min="8636" max="8636" width="11.5703125" customWidth="1"/>
    <col min="8637" max="8637" width="12" customWidth="1"/>
    <col min="8638" max="8638" width="11.140625" customWidth="1"/>
    <col min="8639" max="8640" width="10" customWidth="1"/>
    <col min="8643" max="8643" width="10.7109375" customWidth="1"/>
    <col min="8887" max="8887" width="6.85546875" customWidth="1"/>
    <col min="8888" max="8888" width="35" customWidth="1"/>
    <col min="8889" max="8889" width="8" customWidth="1"/>
    <col min="8890" max="8890" width="31.85546875" customWidth="1"/>
    <col min="8891" max="8891" width="12" customWidth="1"/>
    <col min="8892" max="8892" width="11.5703125" customWidth="1"/>
    <col min="8893" max="8893" width="12" customWidth="1"/>
    <col min="8894" max="8894" width="11.140625" customWidth="1"/>
    <col min="8895" max="8896" width="10" customWidth="1"/>
    <col min="8899" max="8899" width="10.7109375" customWidth="1"/>
    <col min="9143" max="9143" width="6.85546875" customWidth="1"/>
    <col min="9144" max="9144" width="35" customWidth="1"/>
    <col min="9145" max="9145" width="8" customWidth="1"/>
    <col min="9146" max="9146" width="31.85546875" customWidth="1"/>
    <col min="9147" max="9147" width="12" customWidth="1"/>
    <col min="9148" max="9148" width="11.5703125" customWidth="1"/>
    <col min="9149" max="9149" width="12" customWidth="1"/>
    <col min="9150" max="9150" width="11.140625" customWidth="1"/>
    <col min="9151" max="9152" width="10" customWidth="1"/>
    <col min="9155" max="9155" width="10.7109375" customWidth="1"/>
    <col min="9399" max="9399" width="6.85546875" customWidth="1"/>
    <col min="9400" max="9400" width="35" customWidth="1"/>
    <col min="9401" max="9401" width="8" customWidth="1"/>
    <col min="9402" max="9402" width="31.85546875" customWidth="1"/>
    <col min="9403" max="9403" width="12" customWidth="1"/>
    <col min="9404" max="9404" width="11.5703125" customWidth="1"/>
    <col min="9405" max="9405" width="12" customWidth="1"/>
    <col min="9406" max="9406" width="11.140625" customWidth="1"/>
    <col min="9407" max="9408" width="10" customWidth="1"/>
    <col min="9411" max="9411" width="10.7109375" customWidth="1"/>
    <col min="9655" max="9655" width="6.85546875" customWidth="1"/>
    <col min="9656" max="9656" width="35" customWidth="1"/>
    <col min="9657" max="9657" width="8" customWidth="1"/>
    <col min="9658" max="9658" width="31.85546875" customWidth="1"/>
    <col min="9659" max="9659" width="12" customWidth="1"/>
    <col min="9660" max="9660" width="11.5703125" customWidth="1"/>
    <col min="9661" max="9661" width="12" customWidth="1"/>
    <col min="9662" max="9662" width="11.140625" customWidth="1"/>
    <col min="9663" max="9664" width="10" customWidth="1"/>
    <col min="9667" max="9667" width="10.7109375" customWidth="1"/>
    <col min="9911" max="9911" width="6.85546875" customWidth="1"/>
    <col min="9912" max="9912" width="35" customWidth="1"/>
    <col min="9913" max="9913" width="8" customWidth="1"/>
    <col min="9914" max="9914" width="31.85546875" customWidth="1"/>
    <col min="9915" max="9915" width="12" customWidth="1"/>
    <col min="9916" max="9916" width="11.5703125" customWidth="1"/>
    <col min="9917" max="9917" width="12" customWidth="1"/>
    <col min="9918" max="9918" width="11.140625" customWidth="1"/>
    <col min="9919" max="9920" width="10" customWidth="1"/>
    <col min="9923" max="9923" width="10.7109375" customWidth="1"/>
    <col min="10167" max="10167" width="6.85546875" customWidth="1"/>
    <col min="10168" max="10168" width="35" customWidth="1"/>
    <col min="10169" max="10169" width="8" customWidth="1"/>
    <col min="10170" max="10170" width="31.85546875" customWidth="1"/>
    <col min="10171" max="10171" width="12" customWidth="1"/>
    <col min="10172" max="10172" width="11.5703125" customWidth="1"/>
    <col min="10173" max="10173" width="12" customWidth="1"/>
    <col min="10174" max="10174" width="11.140625" customWidth="1"/>
    <col min="10175" max="10176" width="10" customWidth="1"/>
    <col min="10179" max="10179" width="10.7109375" customWidth="1"/>
    <col min="10423" max="10423" width="6.85546875" customWidth="1"/>
    <col min="10424" max="10424" width="35" customWidth="1"/>
    <col min="10425" max="10425" width="8" customWidth="1"/>
    <col min="10426" max="10426" width="31.85546875" customWidth="1"/>
    <col min="10427" max="10427" width="12" customWidth="1"/>
    <col min="10428" max="10428" width="11.5703125" customWidth="1"/>
    <col min="10429" max="10429" width="12" customWidth="1"/>
    <col min="10430" max="10430" width="11.140625" customWidth="1"/>
    <col min="10431" max="10432" width="10" customWidth="1"/>
    <col min="10435" max="10435" width="10.7109375" customWidth="1"/>
    <col min="10679" max="10679" width="6.85546875" customWidth="1"/>
    <col min="10680" max="10680" width="35" customWidth="1"/>
    <col min="10681" max="10681" width="8" customWidth="1"/>
    <col min="10682" max="10682" width="31.85546875" customWidth="1"/>
    <col min="10683" max="10683" width="12" customWidth="1"/>
    <col min="10684" max="10684" width="11.5703125" customWidth="1"/>
    <col min="10685" max="10685" width="12" customWidth="1"/>
    <col min="10686" max="10686" width="11.140625" customWidth="1"/>
    <col min="10687" max="10688" width="10" customWidth="1"/>
    <col min="10691" max="10691" width="10.7109375" customWidth="1"/>
    <col min="10935" max="10935" width="6.85546875" customWidth="1"/>
    <col min="10936" max="10936" width="35" customWidth="1"/>
    <col min="10937" max="10937" width="8" customWidth="1"/>
    <col min="10938" max="10938" width="31.85546875" customWidth="1"/>
    <col min="10939" max="10939" width="12" customWidth="1"/>
    <col min="10940" max="10940" width="11.5703125" customWidth="1"/>
    <col min="10941" max="10941" width="12" customWidth="1"/>
    <col min="10942" max="10942" width="11.140625" customWidth="1"/>
    <col min="10943" max="10944" width="10" customWidth="1"/>
    <col min="10947" max="10947" width="10.7109375" customWidth="1"/>
    <col min="11191" max="11191" width="6.85546875" customWidth="1"/>
    <col min="11192" max="11192" width="35" customWidth="1"/>
    <col min="11193" max="11193" width="8" customWidth="1"/>
    <col min="11194" max="11194" width="31.85546875" customWidth="1"/>
    <col min="11195" max="11195" width="12" customWidth="1"/>
    <col min="11196" max="11196" width="11.5703125" customWidth="1"/>
    <col min="11197" max="11197" width="12" customWidth="1"/>
    <col min="11198" max="11198" width="11.140625" customWidth="1"/>
    <col min="11199" max="11200" width="10" customWidth="1"/>
    <col min="11203" max="11203" width="10.7109375" customWidth="1"/>
    <col min="11447" max="11447" width="6.85546875" customWidth="1"/>
    <col min="11448" max="11448" width="35" customWidth="1"/>
    <col min="11449" max="11449" width="8" customWidth="1"/>
    <col min="11450" max="11450" width="31.85546875" customWidth="1"/>
    <col min="11451" max="11451" width="12" customWidth="1"/>
    <col min="11452" max="11452" width="11.5703125" customWidth="1"/>
    <col min="11453" max="11453" width="12" customWidth="1"/>
    <col min="11454" max="11454" width="11.140625" customWidth="1"/>
    <col min="11455" max="11456" width="10" customWidth="1"/>
    <col min="11459" max="11459" width="10.7109375" customWidth="1"/>
    <col min="11703" max="11703" width="6.85546875" customWidth="1"/>
    <col min="11704" max="11704" width="35" customWidth="1"/>
    <col min="11705" max="11705" width="8" customWidth="1"/>
    <col min="11706" max="11706" width="31.85546875" customWidth="1"/>
    <col min="11707" max="11707" width="12" customWidth="1"/>
    <col min="11708" max="11708" width="11.5703125" customWidth="1"/>
    <col min="11709" max="11709" width="12" customWidth="1"/>
    <col min="11710" max="11710" width="11.140625" customWidth="1"/>
    <col min="11711" max="11712" width="10" customWidth="1"/>
    <col min="11715" max="11715" width="10.7109375" customWidth="1"/>
    <col min="11959" max="11959" width="6.85546875" customWidth="1"/>
    <col min="11960" max="11960" width="35" customWidth="1"/>
    <col min="11961" max="11961" width="8" customWidth="1"/>
    <col min="11962" max="11962" width="31.85546875" customWidth="1"/>
    <col min="11963" max="11963" width="12" customWidth="1"/>
    <col min="11964" max="11964" width="11.5703125" customWidth="1"/>
    <col min="11965" max="11965" width="12" customWidth="1"/>
    <col min="11966" max="11966" width="11.140625" customWidth="1"/>
    <col min="11967" max="11968" width="10" customWidth="1"/>
    <col min="11971" max="11971" width="10.7109375" customWidth="1"/>
    <col min="12215" max="12215" width="6.85546875" customWidth="1"/>
    <col min="12216" max="12216" width="35" customWidth="1"/>
    <col min="12217" max="12217" width="8" customWidth="1"/>
    <col min="12218" max="12218" width="31.85546875" customWidth="1"/>
    <col min="12219" max="12219" width="12" customWidth="1"/>
    <col min="12220" max="12220" width="11.5703125" customWidth="1"/>
    <col min="12221" max="12221" width="12" customWidth="1"/>
    <col min="12222" max="12222" width="11.140625" customWidth="1"/>
    <col min="12223" max="12224" width="10" customWidth="1"/>
    <col min="12227" max="12227" width="10.7109375" customWidth="1"/>
    <col min="12471" max="12471" width="6.85546875" customWidth="1"/>
    <col min="12472" max="12472" width="35" customWidth="1"/>
    <col min="12473" max="12473" width="8" customWidth="1"/>
    <col min="12474" max="12474" width="31.85546875" customWidth="1"/>
    <col min="12475" max="12475" width="12" customWidth="1"/>
    <col min="12476" max="12476" width="11.5703125" customWidth="1"/>
    <col min="12477" max="12477" width="12" customWidth="1"/>
    <col min="12478" max="12478" width="11.140625" customWidth="1"/>
    <col min="12479" max="12480" width="10" customWidth="1"/>
    <col min="12483" max="12483" width="10.7109375" customWidth="1"/>
    <col min="12727" max="12727" width="6.85546875" customWidth="1"/>
    <col min="12728" max="12728" width="35" customWidth="1"/>
    <col min="12729" max="12729" width="8" customWidth="1"/>
    <col min="12730" max="12730" width="31.85546875" customWidth="1"/>
    <col min="12731" max="12731" width="12" customWidth="1"/>
    <col min="12732" max="12732" width="11.5703125" customWidth="1"/>
    <col min="12733" max="12733" width="12" customWidth="1"/>
    <col min="12734" max="12734" width="11.140625" customWidth="1"/>
    <col min="12735" max="12736" width="10" customWidth="1"/>
    <col min="12739" max="12739" width="10.7109375" customWidth="1"/>
    <col min="12983" max="12983" width="6.85546875" customWidth="1"/>
    <col min="12984" max="12984" width="35" customWidth="1"/>
    <col min="12985" max="12985" width="8" customWidth="1"/>
    <col min="12986" max="12986" width="31.85546875" customWidth="1"/>
    <col min="12987" max="12987" width="12" customWidth="1"/>
    <col min="12988" max="12988" width="11.5703125" customWidth="1"/>
    <col min="12989" max="12989" width="12" customWidth="1"/>
    <col min="12990" max="12990" width="11.140625" customWidth="1"/>
    <col min="12991" max="12992" width="10" customWidth="1"/>
    <col min="12995" max="12995" width="10.7109375" customWidth="1"/>
    <col min="13239" max="13239" width="6.85546875" customWidth="1"/>
    <col min="13240" max="13240" width="35" customWidth="1"/>
    <col min="13241" max="13241" width="8" customWidth="1"/>
    <col min="13242" max="13242" width="31.85546875" customWidth="1"/>
    <col min="13243" max="13243" width="12" customWidth="1"/>
    <col min="13244" max="13244" width="11.5703125" customWidth="1"/>
    <col min="13245" max="13245" width="12" customWidth="1"/>
    <col min="13246" max="13246" width="11.140625" customWidth="1"/>
    <col min="13247" max="13248" width="10" customWidth="1"/>
    <col min="13251" max="13251" width="10.7109375" customWidth="1"/>
    <col min="13495" max="13495" width="6.85546875" customWidth="1"/>
    <col min="13496" max="13496" width="35" customWidth="1"/>
    <col min="13497" max="13497" width="8" customWidth="1"/>
    <col min="13498" max="13498" width="31.85546875" customWidth="1"/>
    <col min="13499" max="13499" width="12" customWidth="1"/>
    <col min="13500" max="13500" width="11.5703125" customWidth="1"/>
    <col min="13501" max="13501" width="12" customWidth="1"/>
    <col min="13502" max="13502" width="11.140625" customWidth="1"/>
    <col min="13503" max="13504" width="10" customWidth="1"/>
    <col min="13507" max="13507" width="10.7109375" customWidth="1"/>
    <col min="13751" max="13751" width="6.85546875" customWidth="1"/>
    <col min="13752" max="13752" width="35" customWidth="1"/>
    <col min="13753" max="13753" width="8" customWidth="1"/>
    <col min="13754" max="13754" width="31.85546875" customWidth="1"/>
    <col min="13755" max="13755" width="12" customWidth="1"/>
    <col min="13756" max="13756" width="11.5703125" customWidth="1"/>
    <col min="13757" max="13757" width="12" customWidth="1"/>
    <col min="13758" max="13758" width="11.140625" customWidth="1"/>
    <col min="13759" max="13760" width="10" customWidth="1"/>
    <col min="13763" max="13763" width="10.7109375" customWidth="1"/>
    <col min="14007" max="14007" width="6.85546875" customWidth="1"/>
    <col min="14008" max="14008" width="35" customWidth="1"/>
    <col min="14009" max="14009" width="8" customWidth="1"/>
    <col min="14010" max="14010" width="31.85546875" customWidth="1"/>
    <col min="14011" max="14011" width="12" customWidth="1"/>
    <col min="14012" max="14012" width="11.5703125" customWidth="1"/>
    <col min="14013" max="14013" width="12" customWidth="1"/>
    <col min="14014" max="14014" width="11.140625" customWidth="1"/>
    <col min="14015" max="14016" width="10" customWidth="1"/>
    <col min="14019" max="14019" width="10.7109375" customWidth="1"/>
    <col min="14263" max="14263" width="6.85546875" customWidth="1"/>
    <col min="14264" max="14264" width="35" customWidth="1"/>
    <col min="14265" max="14265" width="8" customWidth="1"/>
    <col min="14266" max="14266" width="31.85546875" customWidth="1"/>
    <col min="14267" max="14267" width="12" customWidth="1"/>
    <col min="14268" max="14268" width="11.5703125" customWidth="1"/>
    <col min="14269" max="14269" width="12" customWidth="1"/>
    <col min="14270" max="14270" width="11.140625" customWidth="1"/>
    <col min="14271" max="14272" width="10" customWidth="1"/>
    <col min="14275" max="14275" width="10.7109375" customWidth="1"/>
    <col min="14519" max="14519" width="6.85546875" customWidth="1"/>
    <col min="14520" max="14520" width="35" customWidth="1"/>
    <col min="14521" max="14521" width="8" customWidth="1"/>
    <col min="14522" max="14522" width="31.85546875" customWidth="1"/>
    <col min="14523" max="14523" width="12" customWidth="1"/>
    <col min="14524" max="14524" width="11.5703125" customWidth="1"/>
    <col min="14525" max="14525" width="12" customWidth="1"/>
    <col min="14526" max="14526" width="11.140625" customWidth="1"/>
    <col min="14527" max="14528" width="10" customWidth="1"/>
    <col min="14531" max="14531" width="10.7109375" customWidth="1"/>
    <col min="14775" max="14775" width="6.85546875" customWidth="1"/>
    <col min="14776" max="14776" width="35" customWidth="1"/>
    <col min="14777" max="14777" width="8" customWidth="1"/>
    <col min="14778" max="14778" width="31.85546875" customWidth="1"/>
    <col min="14779" max="14779" width="12" customWidth="1"/>
    <col min="14780" max="14780" width="11.5703125" customWidth="1"/>
    <col min="14781" max="14781" width="12" customWidth="1"/>
    <col min="14782" max="14782" width="11.140625" customWidth="1"/>
    <col min="14783" max="14784" width="10" customWidth="1"/>
    <col min="14787" max="14787" width="10.7109375" customWidth="1"/>
    <col min="15031" max="15031" width="6.85546875" customWidth="1"/>
    <col min="15032" max="15032" width="35" customWidth="1"/>
    <col min="15033" max="15033" width="8" customWidth="1"/>
    <col min="15034" max="15034" width="31.85546875" customWidth="1"/>
    <col min="15035" max="15035" width="12" customWidth="1"/>
    <col min="15036" max="15036" width="11.5703125" customWidth="1"/>
    <col min="15037" max="15037" width="12" customWidth="1"/>
    <col min="15038" max="15038" width="11.140625" customWidth="1"/>
    <col min="15039" max="15040" width="10" customWidth="1"/>
    <col min="15043" max="15043" width="10.7109375" customWidth="1"/>
    <col min="15287" max="15287" width="6.85546875" customWidth="1"/>
    <col min="15288" max="15288" width="35" customWidth="1"/>
    <col min="15289" max="15289" width="8" customWidth="1"/>
    <col min="15290" max="15290" width="31.85546875" customWidth="1"/>
    <col min="15291" max="15291" width="12" customWidth="1"/>
    <col min="15292" max="15292" width="11.5703125" customWidth="1"/>
    <col min="15293" max="15293" width="12" customWidth="1"/>
    <col min="15294" max="15294" width="11.140625" customWidth="1"/>
    <col min="15295" max="15296" width="10" customWidth="1"/>
    <col min="15299" max="15299" width="10.7109375" customWidth="1"/>
    <col min="15543" max="15543" width="6.85546875" customWidth="1"/>
    <col min="15544" max="15544" width="35" customWidth="1"/>
    <col min="15545" max="15545" width="8" customWidth="1"/>
    <col min="15546" max="15546" width="31.85546875" customWidth="1"/>
    <col min="15547" max="15547" width="12" customWidth="1"/>
    <col min="15548" max="15548" width="11.5703125" customWidth="1"/>
    <col min="15549" max="15549" width="12" customWidth="1"/>
    <col min="15550" max="15550" width="11.140625" customWidth="1"/>
    <col min="15551" max="15552" width="10" customWidth="1"/>
    <col min="15555" max="15555" width="10.7109375" customWidth="1"/>
    <col min="15799" max="15799" width="6.85546875" customWidth="1"/>
    <col min="15800" max="15800" width="35" customWidth="1"/>
    <col min="15801" max="15801" width="8" customWidth="1"/>
    <col min="15802" max="15802" width="31.85546875" customWidth="1"/>
    <col min="15803" max="15803" width="12" customWidth="1"/>
    <col min="15804" max="15804" width="11.5703125" customWidth="1"/>
    <col min="15805" max="15805" width="12" customWidth="1"/>
    <col min="15806" max="15806" width="11.140625" customWidth="1"/>
    <col min="15807" max="15808" width="10" customWidth="1"/>
    <col min="15811" max="15811" width="10.7109375" customWidth="1"/>
    <col min="16055" max="16055" width="6.85546875" customWidth="1"/>
    <col min="16056" max="16056" width="35" customWidth="1"/>
    <col min="16057" max="16057" width="8" customWidth="1"/>
    <col min="16058" max="16058" width="31.85546875" customWidth="1"/>
    <col min="16059" max="16059" width="12" customWidth="1"/>
    <col min="16060" max="16060" width="11.5703125" customWidth="1"/>
    <col min="16061" max="16061" width="12" customWidth="1"/>
    <col min="16062" max="16062" width="11.140625" customWidth="1"/>
    <col min="16063" max="16064" width="10" customWidth="1"/>
    <col min="16067" max="16067" width="10.7109375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89"/>
      <c r="H1" s="90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5" customHeight="1">
      <c r="A2" s="50" t="s">
        <v>3</v>
      </c>
      <c r="B2" s="50"/>
      <c r="C2" s="42"/>
      <c r="D2" s="50"/>
      <c r="E2" s="50"/>
      <c r="F2" s="90"/>
      <c r="G2" s="89"/>
      <c r="H2" s="90"/>
    </row>
    <row r="3" spans="1:88" ht="12.75" customHeight="1">
      <c r="A3" s="1215" t="s">
        <v>4</v>
      </c>
      <c r="B3" s="1215"/>
      <c r="C3" s="1215"/>
      <c r="D3" s="1215"/>
      <c r="E3" s="1215"/>
      <c r="F3" s="90"/>
      <c r="G3" s="89"/>
      <c r="H3" s="90"/>
      <c r="AW3" s="506"/>
      <c r="AX3" s="506"/>
    </row>
    <row r="4" spans="1:88" ht="15">
      <c r="A4" s="89"/>
      <c r="B4" s="50"/>
      <c r="C4" s="50"/>
      <c r="D4" s="50"/>
      <c r="E4" s="50"/>
      <c r="F4" s="90"/>
      <c r="G4" s="89"/>
      <c r="H4" s="90"/>
      <c r="AW4" s="505"/>
      <c r="AX4" s="505"/>
    </row>
    <row r="5" spans="1:88" ht="16.5" thickBot="1">
      <c r="A5" s="181" t="s">
        <v>890</v>
      </c>
      <c r="B5" s="51"/>
      <c r="C5" s="51"/>
      <c r="D5" s="51"/>
      <c r="E5" s="52"/>
      <c r="F5" s="252"/>
      <c r="G5" s="252"/>
      <c r="H5" s="52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116" t="s">
        <v>877</v>
      </c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8"/>
      <c r="V6" s="1122" t="s">
        <v>888</v>
      </c>
      <c r="W6" s="1122"/>
      <c r="X6" s="1122"/>
      <c r="Y6" s="1122"/>
      <c r="Z6" s="1122"/>
      <c r="AA6" s="1122"/>
      <c r="AB6" s="1122"/>
      <c r="AC6" s="1122"/>
      <c r="AD6" s="1122"/>
      <c r="AE6" s="1122"/>
      <c r="AF6" s="1122"/>
      <c r="AG6" s="1122"/>
      <c r="AH6" s="1122"/>
      <c r="AI6" s="1122"/>
      <c r="AJ6" s="1122"/>
      <c r="AK6" s="1122"/>
      <c r="AL6" s="1122"/>
      <c r="AM6" s="1122"/>
      <c r="AN6" s="1122"/>
      <c r="AO6" s="1122"/>
      <c r="AP6" s="1122"/>
      <c r="AQ6" s="1122"/>
      <c r="AR6" s="1122"/>
      <c r="AS6" s="1122"/>
      <c r="AT6" s="1122"/>
      <c r="AU6" s="1122"/>
      <c r="AV6" s="1122"/>
      <c r="AW6" s="1122"/>
      <c r="AX6" s="1122"/>
      <c r="AY6" s="1122"/>
      <c r="AZ6" s="1122"/>
      <c r="BA6" s="1122"/>
      <c r="BB6" s="1122"/>
      <c r="BC6" s="1122"/>
      <c r="BD6" s="1122"/>
      <c r="BE6" s="1122"/>
      <c r="BF6" s="1122"/>
      <c r="BG6" s="1122"/>
      <c r="BH6" s="1122"/>
      <c r="BI6" s="1122"/>
      <c r="BJ6" s="1122"/>
      <c r="BK6" s="1123"/>
      <c r="BL6" s="1116" t="s">
        <v>889</v>
      </c>
      <c r="BM6" s="1117"/>
      <c r="BN6" s="1117"/>
      <c r="BO6" s="1117"/>
      <c r="BP6" s="1117"/>
      <c r="BQ6" s="1117"/>
      <c r="BR6" s="1117"/>
      <c r="BS6" s="1117"/>
      <c r="BT6" s="1117"/>
      <c r="BU6" s="1117"/>
      <c r="BV6" s="1117"/>
      <c r="BW6" s="1117"/>
      <c r="BX6" s="1118"/>
      <c r="BY6" s="1209" t="s">
        <v>847</v>
      </c>
      <c r="BZ6" s="1210"/>
      <c r="CA6" s="1210"/>
      <c r="CB6" s="1210"/>
      <c r="CC6" s="1210"/>
      <c r="CD6" s="1211"/>
      <c r="CE6" s="1168" t="s">
        <v>847</v>
      </c>
      <c r="CF6" s="1169"/>
      <c r="CG6" s="1169"/>
      <c r="CH6" s="1169"/>
      <c r="CI6" s="1170"/>
      <c r="CJ6" s="1171"/>
    </row>
    <row r="7" spans="1:88" ht="18" customHeight="1" thickBot="1">
      <c r="A7" s="89"/>
      <c r="B7" s="6"/>
      <c r="D7" s="10"/>
      <c r="E7" s="6"/>
      <c r="F7" s="90"/>
      <c r="G7" s="89"/>
      <c r="H7" s="90"/>
      <c r="I7" s="1119"/>
      <c r="J7" s="1120"/>
      <c r="K7" s="1120"/>
      <c r="L7" s="1120"/>
      <c r="M7" s="1120"/>
      <c r="N7" s="1120"/>
      <c r="O7" s="1120"/>
      <c r="P7" s="1120"/>
      <c r="Q7" s="1120"/>
      <c r="R7" s="1120"/>
      <c r="S7" s="1120"/>
      <c r="T7" s="1120"/>
      <c r="U7" s="1121"/>
      <c r="V7" s="1140" t="s">
        <v>807</v>
      </c>
      <c r="W7" s="1140"/>
      <c r="X7" s="1140"/>
      <c r="Y7" s="1140"/>
      <c r="Z7" s="1140"/>
      <c r="AA7" s="1140"/>
      <c r="AB7" s="1140"/>
      <c r="AC7" s="1140"/>
      <c r="AD7" s="1140"/>
      <c r="AE7" s="1140"/>
      <c r="AF7" s="1140"/>
      <c r="AG7" s="1141"/>
      <c r="AH7" s="1139" t="s">
        <v>808</v>
      </c>
      <c r="AI7" s="1140"/>
      <c r="AJ7" s="1140"/>
      <c r="AK7" s="1140"/>
      <c r="AL7" s="1140"/>
      <c r="AM7" s="1140"/>
      <c r="AN7" s="1140"/>
      <c r="AO7" s="1141"/>
      <c r="AP7" s="1190" t="s">
        <v>822</v>
      </c>
      <c r="AQ7" s="1190"/>
      <c r="AR7" s="1190"/>
      <c r="AS7" s="1113" t="s">
        <v>5</v>
      </c>
      <c r="AT7" s="1113" t="s">
        <v>275</v>
      </c>
      <c r="AU7" s="1197" t="s">
        <v>796</v>
      </c>
      <c r="AV7" s="1197"/>
      <c r="AW7" s="1197"/>
      <c r="AX7" s="1198"/>
      <c r="AY7" s="1203" t="s">
        <v>288</v>
      </c>
      <c r="AZ7" s="1206" t="s">
        <v>809</v>
      </c>
      <c r="BA7" s="1207"/>
      <c r="BB7" s="1207"/>
      <c r="BC7" s="1207"/>
      <c r="BD7" s="1207"/>
      <c r="BE7" s="1207"/>
      <c r="BF7" s="1207"/>
      <c r="BG7" s="1207"/>
      <c r="BH7" s="1207"/>
      <c r="BI7" s="1207"/>
      <c r="BJ7" s="1207"/>
      <c r="BK7" s="1208"/>
      <c r="BL7" s="1119"/>
      <c r="BM7" s="1120"/>
      <c r="BN7" s="1120"/>
      <c r="BO7" s="1120"/>
      <c r="BP7" s="1120"/>
      <c r="BQ7" s="1120"/>
      <c r="BR7" s="1120"/>
      <c r="BS7" s="1120"/>
      <c r="BT7" s="1120"/>
      <c r="BU7" s="1120"/>
      <c r="BV7" s="1120"/>
      <c r="BW7" s="1120"/>
      <c r="BX7" s="1121"/>
      <c r="BY7" s="1212"/>
      <c r="BZ7" s="1213"/>
      <c r="CA7" s="1213"/>
      <c r="CB7" s="1213"/>
      <c r="CC7" s="1213"/>
      <c r="CD7" s="1214"/>
      <c r="CE7" s="1172"/>
      <c r="CF7" s="1173"/>
      <c r="CG7" s="1173"/>
      <c r="CH7" s="1173"/>
      <c r="CI7" s="1174"/>
      <c r="CJ7" s="1175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127" t="s">
        <v>6</v>
      </c>
      <c r="J8" s="1124" t="s">
        <v>777</v>
      </c>
      <c r="K8" s="1125"/>
      <c r="L8" s="1125"/>
      <c r="M8" s="1125"/>
      <c r="N8" s="1125"/>
      <c r="O8" s="1125"/>
      <c r="P8" s="1125"/>
      <c r="Q8" s="1125"/>
      <c r="R8" s="1126"/>
      <c r="S8" s="1130" t="s">
        <v>813</v>
      </c>
      <c r="T8" s="1133" t="s">
        <v>814</v>
      </c>
      <c r="U8" s="1134"/>
      <c r="V8" s="1143"/>
      <c r="W8" s="1143"/>
      <c r="X8" s="1143"/>
      <c r="Y8" s="1143"/>
      <c r="Z8" s="1143"/>
      <c r="AA8" s="1143"/>
      <c r="AB8" s="1143"/>
      <c r="AC8" s="1143"/>
      <c r="AD8" s="1143"/>
      <c r="AE8" s="1143"/>
      <c r="AF8" s="1143"/>
      <c r="AG8" s="1144"/>
      <c r="AH8" s="1142"/>
      <c r="AI8" s="1143"/>
      <c r="AJ8" s="1143"/>
      <c r="AK8" s="1143"/>
      <c r="AL8" s="1143"/>
      <c r="AM8" s="1143"/>
      <c r="AN8" s="1143"/>
      <c r="AO8" s="1144"/>
      <c r="AP8" s="1190"/>
      <c r="AQ8" s="1190"/>
      <c r="AR8" s="1190"/>
      <c r="AS8" s="1114"/>
      <c r="AT8" s="1114"/>
      <c r="AU8" s="1199"/>
      <c r="AV8" s="1199"/>
      <c r="AW8" s="1199"/>
      <c r="AX8" s="1200"/>
      <c r="AY8" s="1204"/>
      <c r="AZ8" s="1145" t="s">
        <v>276</v>
      </c>
      <c r="BA8" s="1195"/>
      <c r="BB8" s="1184" t="s">
        <v>277</v>
      </c>
      <c r="BC8" s="1186" t="s">
        <v>860</v>
      </c>
      <c r="BD8" s="1187"/>
      <c r="BE8" s="1184" t="s">
        <v>787</v>
      </c>
      <c r="BF8" s="1184"/>
      <c r="BG8" s="1145" t="s">
        <v>278</v>
      </c>
      <c r="BH8" s="1195"/>
      <c r="BI8" s="1145" t="s">
        <v>823</v>
      </c>
      <c r="BJ8" s="1146"/>
      <c r="BK8" s="1147"/>
      <c r="BL8" s="1165" t="s">
        <v>6</v>
      </c>
      <c r="BM8" s="1161" t="s">
        <v>777</v>
      </c>
      <c r="BN8" s="1161"/>
      <c r="BO8" s="1161"/>
      <c r="BP8" s="1161"/>
      <c r="BQ8" s="1161"/>
      <c r="BR8" s="1161"/>
      <c r="BS8" s="1161"/>
      <c r="BT8" s="1161"/>
      <c r="BU8" s="1161"/>
      <c r="BV8" s="1130" t="s">
        <v>813</v>
      </c>
      <c r="BW8" s="1191" t="s">
        <v>778</v>
      </c>
      <c r="BX8" s="1192"/>
      <c r="BY8" s="1151" t="s">
        <v>846</v>
      </c>
      <c r="BZ8" s="1152"/>
      <c r="CA8" s="1152"/>
      <c r="CB8" s="1152"/>
      <c r="CC8" s="1152"/>
      <c r="CD8" s="1153"/>
      <c r="CE8" s="1176" t="s">
        <v>861</v>
      </c>
      <c r="CF8" s="1177"/>
      <c r="CG8" s="1177"/>
      <c r="CH8" s="1177"/>
      <c r="CI8" s="1177"/>
      <c r="CJ8" s="1178"/>
    </row>
    <row r="9" spans="1:88" ht="19.5" customHeight="1" thickBot="1">
      <c r="A9" s="12" t="s">
        <v>769</v>
      </c>
      <c r="D9" s="12"/>
      <c r="F9" s="59"/>
      <c r="G9" s="60"/>
      <c r="H9" s="60"/>
      <c r="I9" s="1128"/>
      <c r="J9" s="1137" t="s">
        <v>268</v>
      </c>
      <c r="K9" s="1108" t="s">
        <v>827</v>
      </c>
      <c r="L9" s="1109"/>
      <c r="M9" s="1111" t="s">
        <v>274</v>
      </c>
      <c r="N9" s="1108" t="s">
        <v>834</v>
      </c>
      <c r="O9" s="1109"/>
      <c r="P9" s="1111" t="s">
        <v>5</v>
      </c>
      <c r="Q9" s="1111" t="s">
        <v>1</v>
      </c>
      <c r="R9" s="1111" t="s">
        <v>7</v>
      </c>
      <c r="S9" s="1131"/>
      <c r="T9" s="1135"/>
      <c r="U9" s="1136"/>
      <c r="V9" s="1110" t="s">
        <v>279</v>
      </c>
      <c r="W9" s="1104"/>
      <c r="X9" s="1100" t="s">
        <v>812</v>
      </c>
      <c r="Y9" s="1100" t="s">
        <v>811</v>
      </c>
      <c r="Z9" s="1105" t="s">
        <v>860</v>
      </c>
      <c r="AA9" s="1105"/>
      <c r="AB9" s="1182"/>
      <c r="AC9" s="1105" t="s">
        <v>278</v>
      </c>
      <c r="AD9" s="1105"/>
      <c r="AE9" s="1103" t="s">
        <v>788</v>
      </c>
      <c r="AF9" s="1104"/>
      <c r="AG9" s="1106" t="s">
        <v>788</v>
      </c>
      <c r="AH9" s="1103" t="s">
        <v>280</v>
      </c>
      <c r="AI9" s="1104"/>
      <c r="AJ9" s="1101" t="s">
        <v>810</v>
      </c>
      <c r="AK9" s="1103" t="s">
        <v>281</v>
      </c>
      <c r="AL9" s="1104"/>
      <c r="AM9" s="1103" t="s">
        <v>745</v>
      </c>
      <c r="AN9" s="1104"/>
      <c r="AO9" s="1106" t="s">
        <v>745</v>
      </c>
      <c r="AP9" s="1190"/>
      <c r="AQ9" s="1190"/>
      <c r="AR9" s="1190"/>
      <c r="AS9" s="1114"/>
      <c r="AT9" s="1114"/>
      <c r="AU9" s="1201"/>
      <c r="AV9" s="1201"/>
      <c r="AW9" s="1201"/>
      <c r="AX9" s="1202"/>
      <c r="AY9" s="1204"/>
      <c r="AZ9" s="1148"/>
      <c r="BA9" s="1196"/>
      <c r="BB9" s="1185"/>
      <c r="BC9" s="1188"/>
      <c r="BD9" s="1189"/>
      <c r="BE9" s="1185"/>
      <c r="BF9" s="1185"/>
      <c r="BG9" s="1148"/>
      <c r="BH9" s="1196"/>
      <c r="BI9" s="1148"/>
      <c r="BJ9" s="1149"/>
      <c r="BK9" s="1150"/>
      <c r="BL9" s="1166"/>
      <c r="BM9" s="1157" t="s">
        <v>268</v>
      </c>
      <c r="BN9" s="1108" t="s">
        <v>827</v>
      </c>
      <c r="BO9" s="1109"/>
      <c r="BP9" s="1159" t="s">
        <v>274</v>
      </c>
      <c r="BQ9" s="1162" t="s">
        <v>834</v>
      </c>
      <c r="BR9" s="1162"/>
      <c r="BS9" s="1163" t="s">
        <v>5</v>
      </c>
      <c r="BT9" s="1163" t="s">
        <v>1</v>
      </c>
      <c r="BU9" s="1163" t="s">
        <v>7</v>
      </c>
      <c r="BV9" s="1131"/>
      <c r="BW9" s="1193"/>
      <c r="BX9" s="1194"/>
      <c r="BY9" s="1154"/>
      <c r="BZ9" s="1155"/>
      <c r="CA9" s="1155"/>
      <c r="CB9" s="1155"/>
      <c r="CC9" s="1155"/>
      <c r="CD9" s="1156"/>
      <c r="CE9" s="1179"/>
      <c r="CF9" s="1180"/>
      <c r="CG9" s="1180"/>
      <c r="CH9" s="1180"/>
      <c r="CI9" s="1180"/>
      <c r="CJ9" s="1181"/>
    </row>
    <row r="10" spans="1:88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216" t="s">
        <v>259</v>
      </c>
      <c r="H10" s="37" t="s">
        <v>270</v>
      </c>
      <c r="I10" s="1129"/>
      <c r="J10" s="1138"/>
      <c r="K10" s="587" t="s">
        <v>805</v>
      </c>
      <c r="L10" s="587" t="s">
        <v>806</v>
      </c>
      <c r="M10" s="1112"/>
      <c r="N10" s="587" t="s">
        <v>805</v>
      </c>
      <c r="O10" s="587" t="s">
        <v>806</v>
      </c>
      <c r="P10" s="1112"/>
      <c r="Q10" s="1112"/>
      <c r="R10" s="1112"/>
      <c r="S10" s="1132"/>
      <c r="T10" s="588" t="s">
        <v>805</v>
      </c>
      <c r="U10" s="604" t="s">
        <v>806</v>
      </c>
      <c r="V10" s="562" t="s">
        <v>805</v>
      </c>
      <c r="W10" s="556" t="s">
        <v>806</v>
      </c>
      <c r="X10" s="1100"/>
      <c r="Y10" s="1100"/>
      <c r="Z10" s="556" t="s">
        <v>805</v>
      </c>
      <c r="AA10" s="561" t="s">
        <v>806</v>
      </c>
      <c r="AB10" s="1183"/>
      <c r="AC10" s="556" t="s">
        <v>805</v>
      </c>
      <c r="AD10" s="561" t="s">
        <v>806</v>
      </c>
      <c r="AE10" s="556" t="s">
        <v>805</v>
      </c>
      <c r="AF10" s="561" t="s">
        <v>806</v>
      </c>
      <c r="AG10" s="1107"/>
      <c r="AH10" s="557" t="s">
        <v>805</v>
      </c>
      <c r="AI10" s="557" t="s">
        <v>806</v>
      </c>
      <c r="AJ10" s="1102"/>
      <c r="AK10" s="556" t="s">
        <v>805</v>
      </c>
      <c r="AL10" s="556" t="s">
        <v>806</v>
      </c>
      <c r="AM10" s="556" t="s">
        <v>805</v>
      </c>
      <c r="AN10" s="556" t="s">
        <v>806</v>
      </c>
      <c r="AO10" s="1107"/>
      <c r="AP10" s="556" t="s">
        <v>805</v>
      </c>
      <c r="AQ10" s="556" t="s">
        <v>806</v>
      </c>
      <c r="AR10" s="556" t="s">
        <v>256</v>
      </c>
      <c r="AS10" s="1115"/>
      <c r="AT10" s="1115"/>
      <c r="AU10" s="403" t="s">
        <v>277</v>
      </c>
      <c r="AV10" s="403" t="s">
        <v>278</v>
      </c>
      <c r="AW10" s="403"/>
      <c r="AX10" s="403" t="s">
        <v>746</v>
      </c>
      <c r="AY10" s="1205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67"/>
      <c r="BM10" s="1158"/>
      <c r="BN10" s="557" t="s">
        <v>805</v>
      </c>
      <c r="BO10" s="557" t="s">
        <v>806</v>
      </c>
      <c r="BP10" s="1160"/>
      <c r="BQ10" s="557" t="s">
        <v>805</v>
      </c>
      <c r="BR10" s="557" t="s">
        <v>806</v>
      </c>
      <c r="BS10" s="1164"/>
      <c r="BT10" s="1164"/>
      <c r="BU10" s="1164"/>
      <c r="BV10" s="1132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0" t="s">
        <v>841</v>
      </c>
      <c r="CF10" s="871" t="s">
        <v>268</v>
      </c>
      <c r="CG10" s="871" t="s">
        <v>840</v>
      </c>
      <c r="CH10" s="871" t="s">
        <v>1</v>
      </c>
      <c r="CI10" s="876" t="s">
        <v>796</v>
      </c>
      <c r="CJ10" s="872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217" t="s">
        <v>531</v>
      </c>
      <c r="H11" s="247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895" t="s">
        <v>824</v>
      </c>
      <c r="AH11" s="508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81" t="s">
        <v>857</v>
      </c>
      <c r="CF11" s="882" t="s">
        <v>802</v>
      </c>
      <c r="CG11" s="882" t="s">
        <v>858</v>
      </c>
      <c r="CH11" s="882" t="s">
        <v>859</v>
      </c>
      <c r="CI11" s="882" t="s">
        <v>796</v>
      </c>
      <c r="CJ11" s="883" t="s">
        <v>533</v>
      </c>
    </row>
    <row r="12" spans="1:88" s="221" customFormat="1" ht="14.1" customHeight="1">
      <c r="A12" s="218">
        <v>1</v>
      </c>
      <c r="B12" s="219">
        <v>3454</v>
      </c>
      <c r="C12" s="219">
        <v>600029085</v>
      </c>
      <c r="D12" s="219">
        <v>75122294</v>
      </c>
      <c r="E12" s="220" t="s">
        <v>8</v>
      </c>
      <c r="F12" s="219">
        <v>3233</v>
      </c>
      <c r="G12" s="220" t="s">
        <v>297</v>
      </c>
      <c r="H12" s="571" t="s">
        <v>272</v>
      </c>
      <c r="I12" s="405">
        <v>6070580</v>
      </c>
      <c r="J12" s="406">
        <v>4494653</v>
      </c>
      <c r="K12" s="406">
        <v>3170701</v>
      </c>
      <c r="L12" s="406">
        <v>1323952</v>
      </c>
      <c r="M12" s="406">
        <v>0</v>
      </c>
      <c r="N12" s="406">
        <v>0</v>
      </c>
      <c r="O12" s="406">
        <v>0</v>
      </c>
      <c r="P12" s="144">
        <v>1519193</v>
      </c>
      <c r="Q12" s="144">
        <v>44946</v>
      </c>
      <c r="R12" s="406">
        <v>11788</v>
      </c>
      <c r="S12" s="407">
        <v>10</v>
      </c>
      <c r="T12" s="408">
        <v>5.74</v>
      </c>
      <c r="U12" s="421">
        <v>4.26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836">
        <f>I12+AY12</f>
        <v>6070580</v>
      </c>
      <c r="BM12" s="835">
        <f>J12+AG12</f>
        <v>4494653</v>
      </c>
      <c r="BN12" s="835">
        <f>K12+AE12</f>
        <v>3170701</v>
      </c>
      <c r="BO12" s="835">
        <f>L12+AF12</f>
        <v>1323952</v>
      </c>
      <c r="BP12" s="835">
        <f>M12+AO12</f>
        <v>0</v>
      </c>
      <c r="BQ12" s="835">
        <f>N12+AM12</f>
        <v>0</v>
      </c>
      <c r="BR12" s="835">
        <f>O12+AN12</f>
        <v>0</v>
      </c>
      <c r="BS12" s="835">
        <f>P12+AS12</f>
        <v>1519193</v>
      </c>
      <c r="BT12" s="835">
        <f>Q12+AT12</f>
        <v>44946</v>
      </c>
      <c r="BU12" s="835">
        <f>R12+AX12</f>
        <v>11788</v>
      </c>
      <c r="BV12" s="837">
        <f>S12+BK12</f>
        <v>10</v>
      </c>
      <c r="BW12" s="837">
        <f>T12+BI12</f>
        <v>5.74</v>
      </c>
      <c r="BX12" s="846">
        <f>U12+BJ12</f>
        <v>4.26</v>
      </c>
      <c r="BY12" s="405"/>
      <c r="BZ12" s="406"/>
      <c r="CA12" s="406"/>
      <c r="CB12" s="406"/>
      <c r="CC12" s="406"/>
      <c r="CD12" s="494"/>
      <c r="CE12" s="405"/>
      <c r="CF12" s="406">
        <v>0</v>
      </c>
      <c r="CG12" s="406"/>
      <c r="CH12" s="406"/>
      <c r="CI12" s="1035">
        <v>0</v>
      </c>
      <c r="CJ12" s="605">
        <v>0</v>
      </c>
    </row>
    <row r="13" spans="1:88" s="221" customFormat="1" ht="12.75" customHeight="1">
      <c r="A13" s="153">
        <v>1</v>
      </c>
      <c r="B13" s="14">
        <v>3454</v>
      </c>
      <c r="C13" s="152">
        <v>600029085</v>
      </c>
      <c r="D13" s="152">
        <v>75122294</v>
      </c>
      <c r="E13" s="222" t="s">
        <v>9</v>
      </c>
      <c r="F13" s="14"/>
      <c r="G13" s="222"/>
      <c r="H13" s="558"/>
      <c r="I13" s="504">
        <v>6070580</v>
      </c>
      <c r="J13" s="503">
        <v>4494653</v>
      </c>
      <c r="K13" s="503">
        <v>3170701</v>
      </c>
      <c r="L13" s="503">
        <v>1323952</v>
      </c>
      <c r="M13" s="503">
        <v>0</v>
      </c>
      <c r="N13" s="503">
        <v>0</v>
      </c>
      <c r="O13" s="503">
        <v>0</v>
      </c>
      <c r="P13" s="503">
        <v>1519193</v>
      </c>
      <c r="Q13" s="503">
        <v>44946</v>
      </c>
      <c r="R13" s="503">
        <v>11788</v>
      </c>
      <c r="S13" s="543">
        <v>10</v>
      </c>
      <c r="T13" s="543">
        <v>5.74</v>
      </c>
      <c r="U13" s="1084">
        <v>4.26</v>
      </c>
      <c r="V13" s="504">
        <f t="shared" ref="V13:CG13" si="0">SUM(V12)</f>
        <v>0</v>
      </c>
      <c r="W13" s="503">
        <f t="shared" si="0"/>
        <v>0</v>
      </c>
      <c r="X13" s="503">
        <f t="shared" si="0"/>
        <v>0</v>
      </c>
      <c r="Y13" s="503">
        <f t="shared" si="0"/>
        <v>0</v>
      </c>
      <c r="Z13" s="503">
        <f t="shared" si="0"/>
        <v>0</v>
      </c>
      <c r="AA13" s="503">
        <f t="shared" si="0"/>
        <v>0</v>
      </c>
      <c r="AB13" s="503">
        <f t="shared" si="0"/>
        <v>0</v>
      </c>
      <c r="AC13" s="503">
        <f t="shared" si="0"/>
        <v>0</v>
      </c>
      <c r="AD13" s="503">
        <f t="shared" si="0"/>
        <v>0</v>
      </c>
      <c r="AE13" s="503">
        <f t="shared" si="0"/>
        <v>0</v>
      </c>
      <c r="AF13" s="503">
        <f t="shared" si="0"/>
        <v>0</v>
      </c>
      <c r="AG13" s="503">
        <f t="shared" si="0"/>
        <v>0</v>
      </c>
      <c r="AH13" s="503">
        <f t="shared" si="0"/>
        <v>0</v>
      </c>
      <c r="AI13" s="503">
        <f t="shared" si="0"/>
        <v>0</v>
      </c>
      <c r="AJ13" s="503">
        <f t="shared" si="0"/>
        <v>0</v>
      </c>
      <c r="AK13" s="503">
        <f t="shared" si="0"/>
        <v>0</v>
      </c>
      <c r="AL13" s="503">
        <f t="shared" si="0"/>
        <v>0</v>
      </c>
      <c r="AM13" s="503">
        <f t="shared" si="0"/>
        <v>0</v>
      </c>
      <c r="AN13" s="503">
        <f t="shared" si="0"/>
        <v>0</v>
      </c>
      <c r="AO13" s="503">
        <f t="shared" si="0"/>
        <v>0</v>
      </c>
      <c r="AP13" s="503">
        <f t="shared" si="0"/>
        <v>0</v>
      </c>
      <c r="AQ13" s="503">
        <f t="shared" si="0"/>
        <v>0</v>
      </c>
      <c r="AR13" s="503">
        <f t="shared" si="0"/>
        <v>0</v>
      </c>
      <c r="AS13" s="503">
        <f t="shared" si="0"/>
        <v>0</v>
      </c>
      <c r="AT13" s="503">
        <f t="shared" si="0"/>
        <v>0</v>
      </c>
      <c r="AU13" s="503">
        <f t="shared" si="0"/>
        <v>0</v>
      </c>
      <c r="AV13" s="503">
        <f t="shared" si="0"/>
        <v>0</v>
      </c>
      <c r="AW13" s="503">
        <f t="shared" si="0"/>
        <v>0</v>
      </c>
      <c r="AX13" s="503">
        <f t="shared" si="0"/>
        <v>0</v>
      </c>
      <c r="AY13" s="503">
        <f t="shared" si="0"/>
        <v>0</v>
      </c>
      <c r="AZ13" s="543">
        <f t="shared" si="0"/>
        <v>0</v>
      </c>
      <c r="BA13" s="543">
        <f t="shared" si="0"/>
        <v>0</v>
      </c>
      <c r="BB13" s="543">
        <f t="shared" si="0"/>
        <v>0</v>
      </c>
      <c r="BC13" s="543">
        <f t="shared" si="0"/>
        <v>0</v>
      </c>
      <c r="BD13" s="543">
        <f t="shared" si="0"/>
        <v>0</v>
      </c>
      <c r="BE13" s="543">
        <f t="shared" si="0"/>
        <v>0</v>
      </c>
      <c r="BF13" s="543">
        <f t="shared" si="0"/>
        <v>0</v>
      </c>
      <c r="BG13" s="543">
        <f t="shared" si="0"/>
        <v>0</v>
      </c>
      <c r="BH13" s="543">
        <f t="shared" si="0"/>
        <v>0</v>
      </c>
      <c r="BI13" s="543">
        <f t="shared" si="0"/>
        <v>0</v>
      </c>
      <c r="BJ13" s="543">
        <f t="shared" si="0"/>
        <v>0</v>
      </c>
      <c r="BK13" s="441">
        <f t="shared" si="0"/>
        <v>0</v>
      </c>
      <c r="BL13" s="788">
        <f t="shared" si="0"/>
        <v>6070580</v>
      </c>
      <c r="BM13" s="503">
        <f t="shared" si="0"/>
        <v>4494653</v>
      </c>
      <c r="BN13" s="503">
        <f t="shared" si="0"/>
        <v>3170701</v>
      </c>
      <c r="BO13" s="503">
        <f t="shared" si="0"/>
        <v>1323952</v>
      </c>
      <c r="BP13" s="503">
        <f t="shared" si="0"/>
        <v>0</v>
      </c>
      <c r="BQ13" s="503">
        <f t="shared" si="0"/>
        <v>0</v>
      </c>
      <c r="BR13" s="503">
        <f t="shared" si="0"/>
        <v>0</v>
      </c>
      <c r="BS13" s="503">
        <f t="shared" si="0"/>
        <v>1519193</v>
      </c>
      <c r="BT13" s="503">
        <f t="shared" si="0"/>
        <v>44946</v>
      </c>
      <c r="BU13" s="503">
        <f t="shared" si="0"/>
        <v>11788</v>
      </c>
      <c r="BV13" s="543">
        <f t="shared" si="0"/>
        <v>10</v>
      </c>
      <c r="BW13" s="543">
        <f t="shared" si="0"/>
        <v>5.74</v>
      </c>
      <c r="BX13" s="441">
        <f t="shared" si="0"/>
        <v>4.26</v>
      </c>
      <c r="BY13" s="799">
        <f t="shared" si="0"/>
        <v>0</v>
      </c>
      <c r="BZ13" s="705">
        <f t="shared" si="0"/>
        <v>0</v>
      </c>
      <c r="CA13" s="705">
        <f t="shared" si="0"/>
        <v>0</v>
      </c>
      <c r="CB13" s="705">
        <f t="shared" si="0"/>
        <v>0</v>
      </c>
      <c r="CC13" s="705">
        <f t="shared" si="0"/>
        <v>0</v>
      </c>
      <c r="CD13" s="800">
        <f t="shared" si="0"/>
        <v>0</v>
      </c>
      <c r="CE13" s="896">
        <f t="shared" si="0"/>
        <v>0</v>
      </c>
      <c r="CF13" s="897">
        <f t="shared" si="0"/>
        <v>0</v>
      </c>
      <c r="CG13" s="897">
        <f t="shared" si="0"/>
        <v>0</v>
      </c>
      <c r="CH13" s="897">
        <f t="shared" ref="CH13:CJ13" si="1">SUM(CH12)</f>
        <v>0</v>
      </c>
      <c r="CI13" s="897">
        <f t="shared" si="1"/>
        <v>0</v>
      </c>
      <c r="CJ13" s="898">
        <f t="shared" si="1"/>
        <v>0</v>
      </c>
    </row>
    <row r="14" spans="1:88" s="221" customFormat="1" ht="12.75" customHeight="1">
      <c r="A14" s="223">
        <v>2</v>
      </c>
      <c r="B14" s="224">
        <v>3470</v>
      </c>
      <c r="C14" s="224">
        <v>691003572</v>
      </c>
      <c r="D14" s="224">
        <v>72550341</v>
      </c>
      <c r="E14" s="225" t="s">
        <v>10</v>
      </c>
      <c r="F14" s="224">
        <v>3111</v>
      </c>
      <c r="G14" s="225" t="s">
        <v>290</v>
      </c>
      <c r="H14" s="226" t="s">
        <v>271</v>
      </c>
      <c r="I14" s="419">
        <v>5437588</v>
      </c>
      <c r="J14" s="414">
        <v>3991303</v>
      </c>
      <c r="K14" s="414">
        <v>3496020</v>
      </c>
      <c r="L14" s="414">
        <v>495283</v>
      </c>
      <c r="M14" s="414">
        <v>24000</v>
      </c>
      <c r="N14" s="414">
        <v>0</v>
      </c>
      <c r="O14" s="414">
        <v>24000</v>
      </c>
      <c r="P14" s="68">
        <v>1357172</v>
      </c>
      <c r="Q14" s="68">
        <v>39913</v>
      </c>
      <c r="R14" s="414">
        <v>25200</v>
      </c>
      <c r="S14" s="415">
        <v>7.6671000000000005</v>
      </c>
      <c r="T14" s="416">
        <v>6</v>
      </c>
      <c r="U14" s="422">
        <v>1.6670999999999998</v>
      </c>
      <c r="V14" s="423">
        <f t="shared" ref="V14:V76" si="2">AH14*-1</f>
        <v>0</v>
      </c>
      <c r="W14" s="417">
        <f t="shared" ref="W14:W76" si="3">AI14*-1</f>
        <v>-4000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ref="AE14:AE76" si="4">V14+X14+Y14+Z14+AC14</f>
        <v>0</v>
      </c>
      <c r="AF14" s="417">
        <f t="shared" ref="AF14:AF76" si="5">W14+AA14+AD14+AB14</f>
        <v>-4000</v>
      </c>
      <c r="AG14" s="417">
        <f t="shared" ref="AG14:AG76" si="6">SUM(AE14:AF14)</f>
        <v>-4000</v>
      </c>
      <c r="AH14" s="417">
        <v>0</v>
      </c>
      <c r="AI14" s="417">
        <v>4000</v>
      </c>
      <c r="AJ14" s="417">
        <v>0</v>
      </c>
      <c r="AK14" s="417">
        <v>0</v>
      </c>
      <c r="AL14" s="417">
        <v>0</v>
      </c>
      <c r="AM14" s="417">
        <f t="shared" ref="AM14:AM76" si="7">AH14+AJ14+AK14</f>
        <v>0</v>
      </c>
      <c r="AN14" s="417">
        <f t="shared" ref="AN14:AN76" si="8">AI14+AL14</f>
        <v>4000</v>
      </c>
      <c r="AO14" s="417">
        <f t="shared" ref="AO14:AO76" si="9">SUM(AM14:AN14)</f>
        <v>4000</v>
      </c>
      <c r="AP14" s="417">
        <f t="shared" ref="AP14:AP76" si="10">AE14+AM14</f>
        <v>0</v>
      </c>
      <c r="AQ14" s="417">
        <f t="shared" ref="AQ14:AQ76" si="11">AF14+AN14</f>
        <v>0</v>
      </c>
      <c r="AR14" s="417">
        <f t="shared" ref="AR14:AR76" si="12">SUM(AP14:AQ14)</f>
        <v>0</v>
      </c>
      <c r="AS14" s="68">
        <f t="shared" ref="AS14:AS76" si="13">ROUND((AG14+AH14+AI14+AJ14)*33.8%,0)</f>
        <v>0</v>
      </c>
      <c r="AT14" s="68">
        <f t="shared" ref="AT14:AT76" si="14">ROUND(AG14*1%,0)</f>
        <v>-40</v>
      </c>
      <c r="AU14" s="417">
        <v>0</v>
      </c>
      <c r="AV14" s="417">
        <v>0</v>
      </c>
      <c r="AW14" s="417">
        <v>0</v>
      </c>
      <c r="AX14" s="417">
        <f t="shared" ref="AX14:AX76" si="15">SUM(AU14:AW14)</f>
        <v>0</v>
      </c>
      <c r="AY14" s="417">
        <f t="shared" ref="AY14:AY76" si="16">AR14+AS14+AT14+AX14</f>
        <v>-40</v>
      </c>
      <c r="AZ14" s="418">
        <v>0</v>
      </c>
      <c r="BA14" s="418">
        <v>-0.02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ref="BI14:BI76" si="17">AZ14+BB14+BC14+BE14+BG14</f>
        <v>0</v>
      </c>
      <c r="BJ14" s="418">
        <f t="shared" ref="BJ14:BJ76" si="18">BA14+BD14+BH14+BF14</f>
        <v>-0.02</v>
      </c>
      <c r="BK14" s="420">
        <f t="shared" ref="BK14:BK76" si="19">SUM(BI14:BJ14)</f>
        <v>-0.02</v>
      </c>
      <c r="BL14" s="772">
        <f>I14+AY14</f>
        <v>5437548</v>
      </c>
      <c r="BM14" s="417">
        <f>J14+AG14</f>
        <v>3987303</v>
      </c>
      <c r="BN14" s="417">
        <f t="shared" ref="BN14:BO16" si="20">K14+AE14</f>
        <v>3496020</v>
      </c>
      <c r="BO14" s="417">
        <f t="shared" si="20"/>
        <v>491283</v>
      </c>
      <c r="BP14" s="417">
        <f>M14+AO14</f>
        <v>28000</v>
      </c>
      <c r="BQ14" s="417">
        <f t="shared" ref="BQ14:BR16" si="21">N14+AM14</f>
        <v>0</v>
      </c>
      <c r="BR14" s="417">
        <f t="shared" si="21"/>
        <v>28000</v>
      </c>
      <c r="BS14" s="417">
        <f t="shared" ref="BS14:BT16" si="22">P14+AS14</f>
        <v>1357172</v>
      </c>
      <c r="BT14" s="417">
        <f t="shared" si="22"/>
        <v>39873</v>
      </c>
      <c r="BU14" s="417">
        <f>R14+AX14</f>
        <v>25200</v>
      </c>
      <c r="BV14" s="418">
        <f>S14+BK14</f>
        <v>7.6471000000000009</v>
      </c>
      <c r="BW14" s="418">
        <f t="shared" ref="BW14:BX16" si="23">T14+BI14</f>
        <v>6</v>
      </c>
      <c r="BX14" s="420">
        <f t="shared" si="23"/>
        <v>1.6470999999999998</v>
      </c>
      <c r="BY14" s="419"/>
      <c r="BZ14" s="414"/>
      <c r="CA14" s="414"/>
      <c r="CB14" s="414"/>
      <c r="CC14" s="414"/>
      <c r="CD14" s="509"/>
      <c r="CE14" s="419">
        <v>232985</v>
      </c>
      <c r="CF14" s="414">
        <v>166622</v>
      </c>
      <c r="CG14" s="414">
        <v>56318</v>
      </c>
      <c r="CH14" s="414">
        <v>1666</v>
      </c>
      <c r="CI14" s="414">
        <v>8379</v>
      </c>
      <c r="CJ14" s="509">
        <v>0.56699999999999995</v>
      </c>
    </row>
    <row r="15" spans="1:88" s="221" customFormat="1" ht="12.75" customHeight="1">
      <c r="A15" s="223">
        <v>2</v>
      </c>
      <c r="B15" s="224">
        <v>3470</v>
      </c>
      <c r="C15" s="224">
        <v>691003572</v>
      </c>
      <c r="D15" s="224">
        <v>72550341</v>
      </c>
      <c r="E15" s="225" t="s">
        <v>10</v>
      </c>
      <c r="F15" s="224">
        <v>3111</v>
      </c>
      <c r="G15" s="225" t="s">
        <v>298</v>
      </c>
      <c r="H15" s="226" t="s">
        <v>272</v>
      </c>
      <c r="I15" s="419">
        <v>183276</v>
      </c>
      <c r="J15" s="414">
        <v>135961</v>
      </c>
      <c r="K15" s="414">
        <v>135961</v>
      </c>
      <c r="L15" s="414">
        <v>0</v>
      </c>
      <c r="M15" s="414">
        <v>0</v>
      </c>
      <c r="N15" s="414">
        <v>0</v>
      </c>
      <c r="O15" s="414">
        <v>0</v>
      </c>
      <c r="P15" s="68">
        <v>45955</v>
      </c>
      <c r="Q15" s="68">
        <v>1360</v>
      </c>
      <c r="R15" s="414">
        <v>0</v>
      </c>
      <c r="S15" s="415">
        <v>0.5</v>
      </c>
      <c r="T15" s="416">
        <v>0.5</v>
      </c>
      <c r="U15" s="422">
        <v>0</v>
      </c>
      <c r="V15" s="423">
        <f t="shared" si="2"/>
        <v>0</v>
      </c>
      <c r="W15" s="417">
        <f t="shared" si="3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4"/>
        <v>0</v>
      </c>
      <c r="AF15" s="417">
        <f t="shared" si="5"/>
        <v>0</v>
      </c>
      <c r="AG15" s="417">
        <f t="shared" si="6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7"/>
        <v>0</v>
      </c>
      <c r="AN15" s="417">
        <f t="shared" si="8"/>
        <v>0</v>
      </c>
      <c r="AO15" s="417">
        <f t="shared" si="9"/>
        <v>0</v>
      </c>
      <c r="AP15" s="417">
        <f t="shared" si="10"/>
        <v>0</v>
      </c>
      <c r="AQ15" s="417">
        <f t="shared" si="11"/>
        <v>0</v>
      </c>
      <c r="AR15" s="417">
        <f t="shared" si="12"/>
        <v>0</v>
      </c>
      <c r="AS15" s="68">
        <f t="shared" si="13"/>
        <v>0</v>
      </c>
      <c r="AT15" s="68">
        <f t="shared" si="14"/>
        <v>0</v>
      </c>
      <c r="AU15" s="417">
        <v>0</v>
      </c>
      <c r="AV15" s="417">
        <v>0</v>
      </c>
      <c r="AW15" s="417">
        <v>0</v>
      </c>
      <c r="AX15" s="417">
        <f t="shared" si="15"/>
        <v>0</v>
      </c>
      <c r="AY15" s="417">
        <f t="shared" si="16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7"/>
        <v>0</v>
      </c>
      <c r="BJ15" s="418">
        <f t="shared" si="18"/>
        <v>0</v>
      </c>
      <c r="BK15" s="420">
        <f t="shared" si="19"/>
        <v>0</v>
      </c>
      <c r="BL15" s="772">
        <f>I15+AY15</f>
        <v>183276</v>
      </c>
      <c r="BM15" s="417">
        <f>J15+AG15</f>
        <v>135961</v>
      </c>
      <c r="BN15" s="417">
        <f t="shared" si="20"/>
        <v>135961</v>
      </c>
      <c r="BO15" s="417">
        <f t="shared" si="20"/>
        <v>0</v>
      </c>
      <c r="BP15" s="417">
        <f>M15+AO15</f>
        <v>0</v>
      </c>
      <c r="BQ15" s="417">
        <f t="shared" si="21"/>
        <v>0</v>
      </c>
      <c r="BR15" s="417">
        <f t="shared" si="21"/>
        <v>0</v>
      </c>
      <c r="BS15" s="417">
        <f t="shared" si="22"/>
        <v>45955</v>
      </c>
      <c r="BT15" s="417">
        <f t="shared" si="22"/>
        <v>1360</v>
      </c>
      <c r="BU15" s="417">
        <f>R15+AX15</f>
        <v>0</v>
      </c>
      <c r="BV15" s="418">
        <f>S15+BK15</f>
        <v>0.5</v>
      </c>
      <c r="BW15" s="418">
        <f t="shared" si="23"/>
        <v>0.5</v>
      </c>
      <c r="BX15" s="420">
        <f t="shared" si="23"/>
        <v>0</v>
      </c>
      <c r="BY15" s="419"/>
      <c r="BZ15" s="414"/>
      <c r="CA15" s="414"/>
      <c r="CB15" s="414"/>
      <c r="CC15" s="414"/>
      <c r="CD15" s="509"/>
      <c r="CE15" s="419"/>
      <c r="CF15" s="414"/>
      <c r="CG15" s="414"/>
      <c r="CH15" s="414"/>
      <c r="CI15" s="414"/>
      <c r="CJ15" s="509"/>
    </row>
    <row r="16" spans="1:88" s="221" customFormat="1" ht="12.75" customHeight="1">
      <c r="A16" s="223">
        <v>2</v>
      </c>
      <c r="B16" s="224">
        <v>3470</v>
      </c>
      <c r="C16" s="224">
        <v>691003572</v>
      </c>
      <c r="D16" s="224">
        <v>72550341</v>
      </c>
      <c r="E16" s="225" t="s">
        <v>10</v>
      </c>
      <c r="F16" s="224">
        <v>3141</v>
      </c>
      <c r="G16" s="225" t="s">
        <v>294</v>
      </c>
      <c r="H16" s="226" t="s">
        <v>272</v>
      </c>
      <c r="I16" s="419">
        <v>804910</v>
      </c>
      <c r="J16" s="414">
        <v>594723</v>
      </c>
      <c r="K16" s="414">
        <v>0</v>
      </c>
      <c r="L16" s="414">
        <v>594723</v>
      </c>
      <c r="M16" s="414">
        <v>0</v>
      </c>
      <c r="N16" s="414">
        <v>0</v>
      </c>
      <c r="O16" s="414">
        <v>0</v>
      </c>
      <c r="P16" s="68">
        <v>201016</v>
      </c>
      <c r="Q16" s="68">
        <v>5947</v>
      </c>
      <c r="R16" s="414">
        <v>3224</v>
      </c>
      <c r="S16" s="415">
        <v>1.7799999999999998</v>
      </c>
      <c r="T16" s="416">
        <v>0</v>
      </c>
      <c r="U16" s="422">
        <v>1.7799999999999998</v>
      </c>
      <c r="V16" s="423">
        <f t="shared" si="2"/>
        <v>0</v>
      </c>
      <c r="W16" s="417">
        <f t="shared" si="3"/>
        <v>0</v>
      </c>
      <c r="X16" s="417">
        <v>0</v>
      </c>
      <c r="Y16" s="417">
        <v>0</v>
      </c>
      <c r="Z16" s="417">
        <v>0</v>
      </c>
      <c r="AA16" s="417">
        <v>-13140</v>
      </c>
      <c r="AB16" s="417">
        <v>0</v>
      </c>
      <c r="AC16" s="417">
        <v>0</v>
      </c>
      <c r="AD16" s="417">
        <v>0</v>
      </c>
      <c r="AE16" s="417">
        <f t="shared" si="4"/>
        <v>0</v>
      </c>
      <c r="AF16" s="417">
        <f t="shared" si="5"/>
        <v>-13140</v>
      </c>
      <c r="AG16" s="417">
        <f t="shared" si="6"/>
        <v>-13140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7"/>
        <v>0</v>
      </c>
      <c r="AN16" s="417">
        <f t="shared" si="8"/>
        <v>0</v>
      </c>
      <c r="AO16" s="417">
        <f t="shared" si="9"/>
        <v>0</v>
      </c>
      <c r="AP16" s="417">
        <f t="shared" si="10"/>
        <v>0</v>
      </c>
      <c r="AQ16" s="417">
        <f t="shared" si="11"/>
        <v>-13140</v>
      </c>
      <c r="AR16" s="417">
        <f t="shared" si="12"/>
        <v>-13140</v>
      </c>
      <c r="AS16" s="68">
        <f t="shared" si="13"/>
        <v>-4441</v>
      </c>
      <c r="AT16" s="68">
        <f t="shared" si="14"/>
        <v>-131</v>
      </c>
      <c r="AU16" s="417">
        <v>0</v>
      </c>
      <c r="AV16" s="417">
        <v>0</v>
      </c>
      <c r="AW16" s="417">
        <v>0</v>
      </c>
      <c r="AX16" s="417">
        <f t="shared" si="15"/>
        <v>0</v>
      </c>
      <c r="AY16" s="417">
        <f t="shared" si="16"/>
        <v>-17712</v>
      </c>
      <c r="AZ16" s="418">
        <v>0</v>
      </c>
      <c r="BA16" s="418">
        <v>0</v>
      </c>
      <c r="BB16" s="418">
        <v>0</v>
      </c>
      <c r="BC16" s="418">
        <v>0</v>
      </c>
      <c r="BD16" s="418">
        <v>-0.03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-0.03</v>
      </c>
      <c r="BK16" s="420">
        <f t="shared" si="19"/>
        <v>-0.03</v>
      </c>
      <c r="BL16" s="772">
        <f>I16+AY16</f>
        <v>787198</v>
      </c>
      <c r="BM16" s="417">
        <f>J16+AG16</f>
        <v>581583</v>
      </c>
      <c r="BN16" s="417">
        <f t="shared" si="20"/>
        <v>0</v>
      </c>
      <c r="BO16" s="417">
        <f t="shared" si="20"/>
        <v>581583</v>
      </c>
      <c r="BP16" s="417">
        <f>M16+AO16</f>
        <v>0</v>
      </c>
      <c r="BQ16" s="417">
        <f t="shared" si="21"/>
        <v>0</v>
      </c>
      <c r="BR16" s="417">
        <f t="shared" si="21"/>
        <v>0</v>
      </c>
      <c r="BS16" s="417">
        <f t="shared" si="22"/>
        <v>196575</v>
      </c>
      <c r="BT16" s="417">
        <f t="shared" si="22"/>
        <v>5816</v>
      </c>
      <c r="BU16" s="417">
        <f>R16+AX16</f>
        <v>3224</v>
      </c>
      <c r="BV16" s="418">
        <f>S16+BK16</f>
        <v>1.7499999999999998</v>
      </c>
      <c r="BW16" s="418">
        <f t="shared" si="23"/>
        <v>0</v>
      </c>
      <c r="BX16" s="420">
        <f t="shared" si="23"/>
        <v>1.7499999999999998</v>
      </c>
      <c r="BY16" s="419"/>
      <c r="BZ16" s="414"/>
      <c r="CA16" s="414"/>
      <c r="CB16" s="414"/>
      <c r="CC16" s="414"/>
      <c r="CD16" s="509"/>
      <c r="CE16" s="419"/>
      <c r="CF16" s="601"/>
      <c r="CG16" s="414"/>
      <c r="CH16" s="414"/>
      <c r="CI16" s="601"/>
      <c r="CJ16" s="603"/>
    </row>
    <row r="17" spans="1:88" s="221" customFormat="1" ht="12.75" customHeight="1">
      <c r="A17" s="153">
        <v>2</v>
      </c>
      <c r="B17" s="14">
        <v>3470</v>
      </c>
      <c r="C17" s="152">
        <v>691003572</v>
      </c>
      <c r="D17" s="152">
        <v>72550341</v>
      </c>
      <c r="E17" s="222" t="s">
        <v>11</v>
      </c>
      <c r="F17" s="14"/>
      <c r="G17" s="222"/>
      <c r="H17" s="558"/>
      <c r="I17" s="504">
        <v>6425774</v>
      </c>
      <c r="J17" s="503">
        <v>4721987</v>
      </c>
      <c r="K17" s="503">
        <v>3631981</v>
      </c>
      <c r="L17" s="503">
        <v>1090006</v>
      </c>
      <c r="M17" s="503">
        <v>24000</v>
      </c>
      <c r="N17" s="503">
        <v>0</v>
      </c>
      <c r="O17" s="503">
        <v>24000</v>
      </c>
      <c r="P17" s="503">
        <v>1604143</v>
      </c>
      <c r="Q17" s="503">
        <v>47220</v>
      </c>
      <c r="R17" s="503">
        <v>28424</v>
      </c>
      <c r="S17" s="543">
        <v>9.9471000000000007</v>
      </c>
      <c r="T17" s="543">
        <v>6.5</v>
      </c>
      <c r="U17" s="1084">
        <v>3.4470999999999998</v>
      </c>
      <c r="V17" s="504">
        <f t="shared" ref="V17:CG17" si="24">SUM(V14:V16)</f>
        <v>0</v>
      </c>
      <c r="W17" s="503">
        <f t="shared" si="24"/>
        <v>-4000</v>
      </c>
      <c r="X17" s="503">
        <f t="shared" si="24"/>
        <v>0</v>
      </c>
      <c r="Y17" s="503">
        <f t="shared" si="24"/>
        <v>0</v>
      </c>
      <c r="Z17" s="503">
        <f t="shared" si="24"/>
        <v>0</v>
      </c>
      <c r="AA17" s="503">
        <f t="shared" si="24"/>
        <v>-13140</v>
      </c>
      <c r="AB17" s="503">
        <f t="shared" si="24"/>
        <v>0</v>
      </c>
      <c r="AC17" s="503">
        <f t="shared" si="24"/>
        <v>0</v>
      </c>
      <c r="AD17" s="503">
        <f t="shared" si="24"/>
        <v>0</v>
      </c>
      <c r="AE17" s="503">
        <f t="shared" si="24"/>
        <v>0</v>
      </c>
      <c r="AF17" s="503">
        <f t="shared" si="24"/>
        <v>-17140</v>
      </c>
      <c r="AG17" s="503">
        <f t="shared" si="24"/>
        <v>-17140</v>
      </c>
      <c r="AH17" s="503">
        <f t="shared" si="24"/>
        <v>0</v>
      </c>
      <c r="AI17" s="503">
        <f t="shared" si="24"/>
        <v>4000</v>
      </c>
      <c r="AJ17" s="503">
        <f t="shared" si="24"/>
        <v>0</v>
      </c>
      <c r="AK17" s="503">
        <f t="shared" si="24"/>
        <v>0</v>
      </c>
      <c r="AL17" s="503">
        <f t="shared" si="24"/>
        <v>0</v>
      </c>
      <c r="AM17" s="503">
        <f t="shared" si="24"/>
        <v>0</v>
      </c>
      <c r="AN17" s="503">
        <f t="shared" si="24"/>
        <v>4000</v>
      </c>
      <c r="AO17" s="503">
        <f t="shared" si="24"/>
        <v>4000</v>
      </c>
      <c r="AP17" s="503">
        <f t="shared" si="24"/>
        <v>0</v>
      </c>
      <c r="AQ17" s="503">
        <f t="shared" si="24"/>
        <v>-13140</v>
      </c>
      <c r="AR17" s="503">
        <f t="shared" si="24"/>
        <v>-13140</v>
      </c>
      <c r="AS17" s="503">
        <f t="shared" si="24"/>
        <v>-4441</v>
      </c>
      <c r="AT17" s="503">
        <f t="shared" si="24"/>
        <v>-171</v>
      </c>
      <c r="AU17" s="503">
        <f t="shared" si="24"/>
        <v>0</v>
      </c>
      <c r="AV17" s="503">
        <f t="shared" si="24"/>
        <v>0</v>
      </c>
      <c r="AW17" s="503">
        <f t="shared" si="24"/>
        <v>0</v>
      </c>
      <c r="AX17" s="503">
        <f t="shared" si="24"/>
        <v>0</v>
      </c>
      <c r="AY17" s="503">
        <f t="shared" si="24"/>
        <v>-17752</v>
      </c>
      <c r="AZ17" s="543">
        <f t="shared" si="24"/>
        <v>0</v>
      </c>
      <c r="BA17" s="543">
        <f t="shared" si="24"/>
        <v>-0.02</v>
      </c>
      <c r="BB17" s="543">
        <f t="shared" si="24"/>
        <v>0</v>
      </c>
      <c r="BC17" s="543">
        <f t="shared" si="24"/>
        <v>0</v>
      </c>
      <c r="BD17" s="543">
        <f t="shared" si="24"/>
        <v>-0.03</v>
      </c>
      <c r="BE17" s="543">
        <f t="shared" si="24"/>
        <v>0</v>
      </c>
      <c r="BF17" s="543">
        <f t="shared" si="24"/>
        <v>0</v>
      </c>
      <c r="BG17" s="543">
        <f t="shared" si="24"/>
        <v>0</v>
      </c>
      <c r="BH17" s="543">
        <f t="shared" si="24"/>
        <v>0</v>
      </c>
      <c r="BI17" s="543">
        <f t="shared" si="24"/>
        <v>0</v>
      </c>
      <c r="BJ17" s="543">
        <f t="shared" si="24"/>
        <v>-0.05</v>
      </c>
      <c r="BK17" s="441">
        <f t="shared" si="24"/>
        <v>-0.05</v>
      </c>
      <c r="BL17" s="788">
        <f t="shared" si="24"/>
        <v>6408022</v>
      </c>
      <c r="BM17" s="503">
        <f t="shared" si="24"/>
        <v>4704847</v>
      </c>
      <c r="BN17" s="503">
        <f t="shared" si="24"/>
        <v>3631981</v>
      </c>
      <c r="BO17" s="503">
        <f t="shared" si="24"/>
        <v>1072866</v>
      </c>
      <c r="BP17" s="503">
        <f t="shared" si="24"/>
        <v>28000</v>
      </c>
      <c r="BQ17" s="503">
        <f t="shared" si="24"/>
        <v>0</v>
      </c>
      <c r="BR17" s="503">
        <f t="shared" si="24"/>
        <v>28000</v>
      </c>
      <c r="BS17" s="503">
        <f t="shared" si="24"/>
        <v>1599702</v>
      </c>
      <c r="BT17" s="503">
        <f t="shared" si="24"/>
        <v>47049</v>
      </c>
      <c r="BU17" s="503">
        <f t="shared" si="24"/>
        <v>28424</v>
      </c>
      <c r="BV17" s="543">
        <f t="shared" si="24"/>
        <v>9.8971000000000018</v>
      </c>
      <c r="BW17" s="543">
        <f t="shared" si="24"/>
        <v>6.5</v>
      </c>
      <c r="BX17" s="441">
        <f t="shared" si="24"/>
        <v>3.3970999999999996</v>
      </c>
      <c r="BY17" s="799">
        <f t="shared" si="24"/>
        <v>0</v>
      </c>
      <c r="BZ17" s="705">
        <f t="shared" si="24"/>
        <v>0</v>
      </c>
      <c r="CA17" s="705">
        <f t="shared" si="24"/>
        <v>0</v>
      </c>
      <c r="CB17" s="705">
        <f t="shared" si="24"/>
        <v>0</v>
      </c>
      <c r="CC17" s="705">
        <f t="shared" si="24"/>
        <v>0</v>
      </c>
      <c r="CD17" s="800">
        <f t="shared" si="24"/>
        <v>0</v>
      </c>
      <c r="CE17" s="896">
        <f t="shared" si="24"/>
        <v>232985</v>
      </c>
      <c r="CF17" s="897">
        <f t="shared" si="24"/>
        <v>166622</v>
      </c>
      <c r="CG17" s="897">
        <f t="shared" si="24"/>
        <v>56318</v>
      </c>
      <c r="CH17" s="897">
        <f t="shared" ref="CH17:CJ17" si="25">SUM(CH14:CH16)</f>
        <v>1666</v>
      </c>
      <c r="CI17" s="897">
        <f t="shared" si="25"/>
        <v>8379</v>
      </c>
      <c r="CJ17" s="898">
        <f t="shared" si="25"/>
        <v>0.56699999999999995</v>
      </c>
    </row>
    <row r="18" spans="1:88" s="221" customFormat="1" ht="12.75" customHeight="1">
      <c r="A18" s="223">
        <v>3</v>
      </c>
      <c r="B18" s="224">
        <v>3469</v>
      </c>
      <c r="C18" s="224">
        <v>691003548</v>
      </c>
      <c r="D18" s="224">
        <v>72550384</v>
      </c>
      <c r="E18" s="225" t="s">
        <v>12</v>
      </c>
      <c r="F18" s="224">
        <v>3111</v>
      </c>
      <c r="G18" s="225" t="s">
        <v>290</v>
      </c>
      <c r="H18" s="226" t="s">
        <v>271</v>
      </c>
      <c r="I18" s="419">
        <v>7019536</v>
      </c>
      <c r="J18" s="414">
        <v>5158521</v>
      </c>
      <c r="K18" s="414">
        <v>4530392</v>
      </c>
      <c r="L18" s="414">
        <v>628129</v>
      </c>
      <c r="M18" s="414">
        <v>25000</v>
      </c>
      <c r="N18" s="414">
        <v>0</v>
      </c>
      <c r="O18" s="414">
        <v>25000</v>
      </c>
      <c r="P18" s="68">
        <v>1752030</v>
      </c>
      <c r="Q18" s="68">
        <v>51585</v>
      </c>
      <c r="R18" s="414">
        <v>32400</v>
      </c>
      <c r="S18" s="415">
        <v>10.088900000000001</v>
      </c>
      <c r="T18" s="416">
        <v>8</v>
      </c>
      <c r="U18" s="422">
        <v>2.0888999999999998</v>
      </c>
      <c r="V18" s="423">
        <f t="shared" si="2"/>
        <v>0</v>
      </c>
      <c r="W18" s="417">
        <f t="shared" si="3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4"/>
        <v>0</v>
      </c>
      <c r="AF18" s="417">
        <f t="shared" si="5"/>
        <v>0</v>
      </c>
      <c r="AG18" s="417">
        <f t="shared" si="6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7"/>
        <v>0</v>
      </c>
      <c r="AN18" s="417">
        <f t="shared" si="8"/>
        <v>0</v>
      </c>
      <c r="AO18" s="417">
        <f t="shared" si="9"/>
        <v>0</v>
      </c>
      <c r="AP18" s="417">
        <f t="shared" si="10"/>
        <v>0</v>
      </c>
      <c r="AQ18" s="417">
        <f t="shared" si="11"/>
        <v>0</v>
      </c>
      <c r="AR18" s="417">
        <f t="shared" si="12"/>
        <v>0</v>
      </c>
      <c r="AS18" s="68">
        <f t="shared" si="13"/>
        <v>0</v>
      </c>
      <c r="AT18" s="68">
        <f t="shared" si="14"/>
        <v>0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0</v>
      </c>
      <c r="BJ18" s="418">
        <f t="shared" si="18"/>
        <v>0</v>
      </c>
      <c r="BK18" s="420">
        <f t="shared" si="19"/>
        <v>0</v>
      </c>
      <c r="BL18" s="772">
        <f>I18+AY18</f>
        <v>7019536</v>
      </c>
      <c r="BM18" s="417">
        <f>J18+AG18</f>
        <v>5158521</v>
      </c>
      <c r="BN18" s="417">
        <f t="shared" ref="BN18:BO20" si="26">K18+AE18</f>
        <v>4530392</v>
      </c>
      <c r="BO18" s="417">
        <f t="shared" si="26"/>
        <v>628129</v>
      </c>
      <c r="BP18" s="417">
        <f>M18+AO18</f>
        <v>25000</v>
      </c>
      <c r="BQ18" s="417">
        <f t="shared" ref="BQ18:BR20" si="27">N18+AM18</f>
        <v>0</v>
      </c>
      <c r="BR18" s="417">
        <f t="shared" si="27"/>
        <v>25000</v>
      </c>
      <c r="BS18" s="417">
        <f t="shared" ref="BS18:BT20" si="28">P18+AS18</f>
        <v>1752030</v>
      </c>
      <c r="BT18" s="417">
        <f t="shared" si="28"/>
        <v>51585</v>
      </c>
      <c r="BU18" s="417">
        <f>R18+AX18</f>
        <v>32400</v>
      </c>
      <c r="BV18" s="418">
        <f>S18+BK18</f>
        <v>10.088900000000001</v>
      </c>
      <c r="BW18" s="418">
        <f t="shared" ref="BW18:BX20" si="29">T18+BI18</f>
        <v>8</v>
      </c>
      <c r="BX18" s="420">
        <f t="shared" si="29"/>
        <v>2.0888999999999998</v>
      </c>
      <c r="BY18" s="419"/>
      <c r="BZ18" s="414"/>
      <c r="CA18" s="414"/>
      <c r="CB18" s="414"/>
      <c r="CC18" s="414"/>
      <c r="CD18" s="509"/>
      <c r="CE18" s="419">
        <v>293291</v>
      </c>
      <c r="CF18" s="414">
        <v>209583</v>
      </c>
      <c r="CG18" s="414">
        <v>70839</v>
      </c>
      <c r="CH18" s="414">
        <v>2096</v>
      </c>
      <c r="CI18" s="414">
        <v>10773</v>
      </c>
      <c r="CJ18" s="509">
        <v>0.7056</v>
      </c>
    </row>
    <row r="19" spans="1:88" s="221" customFormat="1" ht="12.75" customHeight="1">
      <c r="A19" s="223">
        <v>3</v>
      </c>
      <c r="B19" s="224">
        <v>3469</v>
      </c>
      <c r="C19" s="224">
        <v>691003548</v>
      </c>
      <c r="D19" s="224">
        <v>72550384</v>
      </c>
      <c r="E19" s="225" t="s">
        <v>12</v>
      </c>
      <c r="F19" s="224">
        <v>3111</v>
      </c>
      <c r="G19" s="225" t="s">
        <v>298</v>
      </c>
      <c r="H19" s="226" t="s">
        <v>272</v>
      </c>
      <c r="I19" s="419">
        <v>152730</v>
      </c>
      <c r="J19" s="414">
        <v>113301</v>
      </c>
      <c r="K19" s="414">
        <v>113301</v>
      </c>
      <c r="L19" s="414">
        <v>0</v>
      </c>
      <c r="M19" s="414">
        <v>0</v>
      </c>
      <c r="N19" s="414">
        <v>0</v>
      </c>
      <c r="O19" s="414">
        <v>0</v>
      </c>
      <c r="P19" s="68">
        <v>38296</v>
      </c>
      <c r="Q19" s="68">
        <v>1133</v>
      </c>
      <c r="R19" s="414">
        <v>0</v>
      </c>
      <c r="S19" s="415">
        <v>0.42</v>
      </c>
      <c r="T19" s="416">
        <v>0.42</v>
      </c>
      <c r="U19" s="422">
        <v>0</v>
      </c>
      <c r="V19" s="423">
        <f t="shared" si="2"/>
        <v>0</v>
      </c>
      <c r="W19" s="417">
        <f t="shared" si="3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4"/>
        <v>0</v>
      </c>
      <c r="AF19" s="417">
        <f t="shared" si="5"/>
        <v>0</v>
      </c>
      <c r="AG19" s="417">
        <f t="shared" si="6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7"/>
        <v>0</v>
      </c>
      <c r="AN19" s="417">
        <f t="shared" si="8"/>
        <v>0</v>
      </c>
      <c r="AO19" s="417">
        <f t="shared" si="9"/>
        <v>0</v>
      </c>
      <c r="AP19" s="417">
        <f t="shared" si="10"/>
        <v>0</v>
      </c>
      <c r="AQ19" s="417">
        <f t="shared" si="11"/>
        <v>0</v>
      </c>
      <c r="AR19" s="417">
        <f t="shared" si="12"/>
        <v>0</v>
      </c>
      <c r="AS19" s="68">
        <f t="shared" si="13"/>
        <v>0</v>
      </c>
      <c r="AT19" s="68">
        <f t="shared" si="14"/>
        <v>0</v>
      </c>
      <c r="AU19" s="417">
        <v>0</v>
      </c>
      <c r="AV19" s="417">
        <v>0</v>
      </c>
      <c r="AW19" s="417">
        <v>0</v>
      </c>
      <c r="AX19" s="417">
        <f t="shared" si="15"/>
        <v>0</v>
      </c>
      <c r="AY19" s="417">
        <f t="shared" si="16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7"/>
        <v>0</v>
      </c>
      <c r="BJ19" s="418">
        <f t="shared" si="18"/>
        <v>0</v>
      </c>
      <c r="BK19" s="420">
        <f t="shared" si="19"/>
        <v>0</v>
      </c>
      <c r="BL19" s="772">
        <f>I19+AY19</f>
        <v>152730</v>
      </c>
      <c r="BM19" s="417">
        <f>J19+AG19</f>
        <v>113301</v>
      </c>
      <c r="BN19" s="417">
        <f t="shared" si="26"/>
        <v>113301</v>
      </c>
      <c r="BO19" s="417">
        <f t="shared" si="26"/>
        <v>0</v>
      </c>
      <c r="BP19" s="417">
        <f>M19+AO19</f>
        <v>0</v>
      </c>
      <c r="BQ19" s="417">
        <f t="shared" si="27"/>
        <v>0</v>
      </c>
      <c r="BR19" s="417">
        <f t="shared" si="27"/>
        <v>0</v>
      </c>
      <c r="BS19" s="417">
        <f t="shared" si="28"/>
        <v>38296</v>
      </c>
      <c r="BT19" s="417">
        <f t="shared" si="28"/>
        <v>1133</v>
      </c>
      <c r="BU19" s="417">
        <f>R19+AX19</f>
        <v>0</v>
      </c>
      <c r="BV19" s="418">
        <f>S19+BK19</f>
        <v>0.42</v>
      </c>
      <c r="BW19" s="418">
        <f t="shared" si="29"/>
        <v>0.42</v>
      </c>
      <c r="BX19" s="420">
        <f t="shared" si="29"/>
        <v>0</v>
      </c>
      <c r="BY19" s="419"/>
      <c r="BZ19" s="414"/>
      <c r="CA19" s="414"/>
      <c r="CB19" s="414"/>
      <c r="CC19" s="414"/>
      <c r="CD19" s="509"/>
      <c r="CE19" s="419"/>
      <c r="CF19" s="414"/>
      <c r="CG19" s="414"/>
      <c r="CH19" s="414"/>
      <c r="CI19" s="414"/>
      <c r="CJ19" s="509"/>
    </row>
    <row r="20" spans="1:88" s="221" customFormat="1" ht="12.75" customHeight="1">
      <c r="A20" s="223">
        <v>3</v>
      </c>
      <c r="B20" s="224">
        <v>3469</v>
      </c>
      <c r="C20" s="224">
        <v>691003548</v>
      </c>
      <c r="D20" s="224">
        <v>72550384</v>
      </c>
      <c r="E20" s="225" t="s">
        <v>12</v>
      </c>
      <c r="F20" s="224">
        <v>3141</v>
      </c>
      <c r="G20" s="225" t="s">
        <v>294</v>
      </c>
      <c r="H20" s="226" t="s">
        <v>272</v>
      </c>
      <c r="I20" s="419">
        <v>980974</v>
      </c>
      <c r="J20" s="414">
        <v>724524</v>
      </c>
      <c r="K20" s="414">
        <v>0</v>
      </c>
      <c r="L20" s="414">
        <v>724524</v>
      </c>
      <c r="M20" s="414">
        <v>0</v>
      </c>
      <c r="N20" s="414">
        <v>0</v>
      </c>
      <c r="O20" s="414">
        <v>0</v>
      </c>
      <c r="P20" s="68">
        <v>244889</v>
      </c>
      <c r="Q20" s="68">
        <v>7245</v>
      </c>
      <c r="R20" s="414">
        <v>4316</v>
      </c>
      <c r="S20" s="415">
        <v>2.17</v>
      </c>
      <c r="T20" s="416">
        <v>0</v>
      </c>
      <c r="U20" s="422">
        <v>2.17</v>
      </c>
      <c r="V20" s="423">
        <f t="shared" si="2"/>
        <v>0</v>
      </c>
      <c r="W20" s="417">
        <f t="shared" si="3"/>
        <v>0</v>
      </c>
      <c r="X20" s="417">
        <v>0</v>
      </c>
      <c r="Y20" s="417">
        <v>0</v>
      </c>
      <c r="Z20" s="417">
        <v>0</v>
      </c>
      <c r="AA20" s="417">
        <v>-20218</v>
      </c>
      <c r="AB20" s="417">
        <v>0</v>
      </c>
      <c r="AC20" s="417">
        <v>0</v>
      </c>
      <c r="AD20" s="417">
        <v>0</v>
      </c>
      <c r="AE20" s="417">
        <f t="shared" si="4"/>
        <v>0</v>
      </c>
      <c r="AF20" s="417">
        <f t="shared" si="5"/>
        <v>-20218</v>
      </c>
      <c r="AG20" s="417">
        <f t="shared" si="6"/>
        <v>-20218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7"/>
        <v>0</v>
      </c>
      <c r="AN20" s="417">
        <f t="shared" si="8"/>
        <v>0</v>
      </c>
      <c r="AO20" s="417">
        <f t="shared" si="9"/>
        <v>0</v>
      </c>
      <c r="AP20" s="417">
        <f t="shared" si="10"/>
        <v>0</v>
      </c>
      <c r="AQ20" s="417">
        <f t="shared" si="11"/>
        <v>-20218</v>
      </c>
      <c r="AR20" s="417">
        <f t="shared" si="12"/>
        <v>-20218</v>
      </c>
      <c r="AS20" s="68">
        <f t="shared" si="13"/>
        <v>-6834</v>
      </c>
      <c r="AT20" s="68">
        <f t="shared" si="14"/>
        <v>-202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-27254</v>
      </c>
      <c r="AZ20" s="418">
        <v>0</v>
      </c>
      <c r="BA20" s="418">
        <v>0</v>
      </c>
      <c r="BB20" s="418">
        <v>0</v>
      </c>
      <c r="BC20" s="418">
        <v>0</v>
      </c>
      <c r="BD20" s="418">
        <v>-0.06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-0.06</v>
      </c>
      <c r="BK20" s="420">
        <f t="shared" si="19"/>
        <v>-0.06</v>
      </c>
      <c r="BL20" s="772">
        <f>I20+AY20</f>
        <v>953720</v>
      </c>
      <c r="BM20" s="417">
        <f>J20+AG20</f>
        <v>704306</v>
      </c>
      <c r="BN20" s="417">
        <f t="shared" si="26"/>
        <v>0</v>
      </c>
      <c r="BO20" s="417">
        <f t="shared" si="26"/>
        <v>704306</v>
      </c>
      <c r="BP20" s="417">
        <f>M20+AO20</f>
        <v>0</v>
      </c>
      <c r="BQ20" s="417">
        <f t="shared" si="27"/>
        <v>0</v>
      </c>
      <c r="BR20" s="417">
        <f t="shared" si="27"/>
        <v>0</v>
      </c>
      <c r="BS20" s="417">
        <f t="shared" si="28"/>
        <v>238055</v>
      </c>
      <c r="BT20" s="417">
        <f t="shared" si="28"/>
        <v>7043</v>
      </c>
      <c r="BU20" s="417">
        <f>R20+AX20</f>
        <v>4316</v>
      </c>
      <c r="BV20" s="418">
        <f>S20+BK20</f>
        <v>2.11</v>
      </c>
      <c r="BW20" s="418">
        <f t="shared" si="29"/>
        <v>0</v>
      </c>
      <c r="BX20" s="420">
        <f t="shared" si="29"/>
        <v>2.11</v>
      </c>
      <c r="BY20" s="419"/>
      <c r="BZ20" s="414"/>
      <c r="CA20" s="414"/>
      <c r="CB20" s="414"/>
      <c r="CC20" s="414"/>
      <c r="CD20" s="509"/>
      <c r="CE20" s="419"/>
      <c r="CF20" s="601"/>
      <c r="CG20" s="414"/>
      <c r="CH20" s="414"/>
      <c r="CI20" s="601"/>
      <c r="CJ20" s="603"/>
    </row>
    <row r="21" spans="1:88" s="221" customFormat="1" ht="12.75" customHeight="1">
      <c r="A21" s="153">
        <v>3</v>
      </c>
      <c r="B21" s="14">
        <v>3469</v>
      </c>
      <c r="C21" s="152">
        <v>691003548</v>
      </c>
      <c r="D21" s="152">
        <v>72550384</v>
      </c>
      <c r="E21" s="222" t="s">
        <v>13</v>
      </c>
      <c r="F21" s="14"/>
      <c r="G21" s="222"/>
      <c r="H21" s="558"/>
      <c r="I21" s="504">
        <v>8153240</v>
      </c>
      <c r="J21" s="503">
        <v>5996346</v>
      </c>
      <c r="K21" s="503">
        <v>4643693</v>
      </c>
      <c r="L21" s="503">
        <v>1352653</v>
      </c>
      <c r="M21" s="503">
        <v>25000</v>
      </c>
      <c r="N21" s="503">
        <v>0</v>
      </c>
      <c r="O21" s="503">
        <v>25000</v>
      </c>
      <c r="P21" s="503">
        <v>2035215</v>
      </c>
      <c r="Q21" s="503">
        <v>59963</v>
      </c>
      <c r="R21" s="503">
        <v>36716</v>
      </c>
      <c r="S21" s="543">
        <v>12.678900000000001</v>
      </c>
      <c r="T21" s="543">
        <v>8.42</v>
      </c>
      <c r="U21" s="1084">
        <v>4.2588999999999997</v>
      </c>
      <c r="V21" s="504">
        <f t="shared" ref="V21:CG21" si="30">SUM(V18:V20)</f>
        <v>0</v>
      </c>
      <c r="W21" s="503">
        <f t="shared" si="30"/>
        <v>0</v>
      </c>
      <c r="X21" s="503">
        <f t="shared" si="30"/>
        <v>0</v>
      </c>
      <c r="Y21" s="503">
        <f t="shared" si="30"/>
        <v>0</v>
      </c>
      <c r="Z21" s="503">
        <f t="shared" si="30"/>
        <v>0</v>
      </c>
      <c r="AA21" s="503">
        <f t="shared" si="30"/>
        <v>-20218</v>
      </c>
      <c r="AB21" s="503">
        <f t="shared" si="30"/>
        <v>0</v>
      </c>
      <c r="AC21" s="503">
        <f t="shared" si="30"/>
        <v>0</v>
      </c>
      <c r="AD21" s="503">
        <f t="shared" si="30"/>
        <v>0</v>
      </c>
      <c r="AE21" s="503">
        <f t="shared" si="30"/>
        <v>0</v>
      </c>
      <c r="AF21" s="503">
        <f t="shared" si="30"/>
        <v>-20218</v>
      </c>
      <c r="AG21" s="503">
        <f t="shared" si="30"/>
        <v>-20218</v>
      </c>
      <c r="AH21" s="503">
        <f t="shared" si="30"/>
        <v>0</v>
      </c>
      <c r="AI21" s="503">
        <f t="shared" si="30"/>
        <v>0</v>
      </c>
      <c r="AJ21" s="503">
        <f t="shared" si="30"/>
        <v>0</v>
      </c>
      <c r="AK21" s="503">
        <f t="shared" si="30"/>
        <v>0</v>
      </c>
      <c r="AL21" s="503">
        <f t="shared" si="30"/>
        <v>0</v>
      </c>
      <c r="AM21" s="503">
        <f t="shared" si="30"/>
        <v>0</v>
      </c>
      <c r="AN21" s="503">
        <f t="shared" si="30"/>
        <v>0</v>
      </c>
      <c r="AO21" s="503">
        <f t="shared" si="30"/>
        <v>0</v>
      </c>
      <c r="AP21" s="503">
        <f t="shared" si="30"/>
        <v>0</v>
      </c>
      <c r="AQ21" s="503">
        <f t="shared" si="30"/>
        <v>-20218</v>
      </c>
      <c r="AR21" s="503">
        <f t="shared" si="30"/>
        <v>-20218</v>
      </c>
      <c r="AS21" s="503">
        <f t="shared" si="30"/>
        <v>-6834</v>
      </c>
      <c r="AT21" s="503">
        <f t="shared" si="30"/>
        <v>-202</v>
      </c>
      <c r="AU21" s="503">
        <f t="shared" si="30"/>
        <v>0</v>
      </c>
      <c r="AV21" s="503">
        <f t="shared" si="30"/>
        <v>0</v>
      </c>
      <c r="AW21" s="503">
        <f t="shared" si="30"/>
        <v>0</v>
      </c>
      <c r="AX21" s="503">
        <f t="shared" si="30"/>
        <v>0</v>
      </c>
      <c r="AY21" s="503">
        <f t="shared" si="30"/>
        <v>-27254</v>
      </c>
      <c r="AZ21" s="543">
        <f t="shared" si="30"/>
        <v>0</v>
      </c>
      <c r="BA21" s="543">
        <f t="shared" si="30"/>
        <v>0</v>
      </c>
      <c r="BB21" s="543">
        <f t="shared" si="30"/>
        <v>0</v>
      </c>
      <c r="BC21" s="543">
        <f t="shared" si="30"/>
        <v>0</v>
      </c>
      <c r="BD21" s="543">
        <f t="shared" si="30"/>
        <v>-0.06</v>
      </c>
      <c r="BE21" s="543">
        <f t="shared" si="30"/>
        <v>0</v>
      </c>
      <c r="BF21" s="543">
        <f t="shared" si="30"/>
        <v>0</v>
      </c>
      <c r="BG21" s="543">
        <f t="shared" si="30"/>
        <v>0</v>
      </c>
      <c r="BH21" s="543">
        <f t="shared" si="30"/>
        <v>0</v>
      </c>
      <c r="BI21" s="543">
        <f t="shared" si="30"/>
        <v>0</v>
      </c>
      <c r="BJ21" s="543">
        <f t="shared" si="30"/>
        <v>-0.06</v>
      </c>
      <c r="BK21" s="441">
        <f t="shared" si="30"/>
        <v>-0.06</v>
      </c>
      <c r="BL21" s="788">
        <f t="shared" si="30"/>
        <v>8125986</v>
      </c>
      <c r="BM21" s="503">
        <f t="shared" si="30"/>
        <v>5976128</v>
      </c>
      <c r="BN21" s="503">
        <f t="shared" si="30"/>
        <v>4643693</v>
      </c>
      <c r="BO21" s="503">
        <f t="shared" si="30"/>
        <v>1332435</v>
      </c>
      <c r="BP21" s="503">
        <f t="shared" si="30"/>
        <v>25000</v>
      </c>
      <c r="BQ21" s="503">
        <f t="shared" si="30"/>
        <v>0</v>
      </c>
      <c r="BR21" s="503">
        <f t="shared" si="30"/>
        <v>25000</v>
      </c>
      <c r="BS21" s="503">
        <f t="shared" si="30"/>
        <v>2028381</v>
      </c>
      <c r="BT21" s="503">
        <f t="shared" si="30"/>
        <v>59761</v>
      </c>
      <c r="BU21" s="503">
        <f t="shared" si="30"/>
        <v>36716</v>
      </c>
      <c r="BV21" s="543">
        <f t="shared" si="30"/>
        <v>12.6189</v>
      </c>
      <c r="BW21" s="543">
        <f t="shared" si="30"/>
        <v>8.42</v>
      </c>
      <c r="BX21" s="441">
        <f t="shared" si="30"/>
        <v>4.1989000000000001</v>
      </c>
      <c r="BY21" s="799">
        <f t="shared" si="30"/>
        <v>0</v>
      </c>
      <c r="BZ21" s="705">
        <f t="shared" si="30"/>
        <v>0</v>
      </c>
      <c r="CA21" s="705">
        <f t="shared" si="30"/>
        <v>0</v>
      </c>
      <c r="CB21" s="705">
        <f t="shared" si="30"/>
        <v>0</v>
      </c>
      <c r="CC21" s="705">
        <f t="shared" si="30"/>
        <v>0</v>
      </c>
      <c r="CD21" s="800">
        <f t="shared" si="30"/>
        <v>0</v>
      </c>
      <c r="CE21" s="896">
        <f t="shared" si="30"/>
        <v>293291</v>
      </c>
      <c r="CF21" s="897">
        <f t="shared" si="30"/>
        <v>209583</v>
      </c>
      <c r="CG21" s="897">
        <f t="shared" si="30"/>
        <v>70839</v>
      </c>
      <c r="CH21" s="897">
        <f t="shared" ref="CH21:CJ21" si="31">SUM(CH18:CH20)</f>
        <v>2096</v>
      </c>
      <c r="CI21" s="897">
        <f t="shared" si="31"/>
        <v>10773</v>
      </c>
      <c r="CJ21" s="898">
        <f t="shared" si="31"/>
        <v>0.7056</v>
      </c>
    </row>
    <row r="22" spans="1:88" s="221" customFormat="1" ht="12.75" customHeight="1">
      <c r="A22" s="223">
        <v>4</v>
      </c>
      <c r="B22" s="224">
        <v>3462</v>
      </c>
      <c r="C22" s="224">
        <v>691001294</v>
      </c>
      <c r="D22" s="224">
        <v>72048115</v>
      </c>
      <c r="E22" s="225" t="s">
        <v>14</v>
      </c>
      <c r="F22" s="224">
        <v>3111</v>
      </c>
      <c r="G22" s="225" t="s">
        <v>290</v>
      </c>
      <c r="H22" s="226" t="s">
        <v>271</v>
      </c>
      <c r="I22" s="419">
        <v>5480488</v>
      </c>
      <c r="J22" s="414">
        <v>3997423</v>
      </c>
      <c r="K22" s="414">
        <v>3478140</v>
      </c>
      <c r="L22" s="414">
        <v>519283</v>
      </c>
      <c r="M22" s="414">
        <v>49000</v>
      </c>
      <c r="N22" s="414">
        <v>49000</v>
      </c>
      <c r="O22" s="414">
        <v>0</v>
      </c>
      <c r="P22" s="68">
        <v>1367691</v>
      </c>
      <c r="Q22" s="68">
        <v>39974</v>
      </c>
      <c r="R22" s="414">
        <v>26400</v>
      </c>
      <c r="S22" s="415">
        <v>7.6871</v>
      </c>
      <c r="T22" s="416">
        <v>5.92</v>
      </c>
      <c r="U22" s="422">
        <v>1.7670999999999999</v>
      </c>
      <c r="V22" s="423">
        <f t="shared" si="2"/>
        <v>-8590</v>
      </c>
      <c r="W22" s="417">
        <f t="shared" si="3"/>
        <v>-30420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4"/>
        <v>-8590</v>
      </c>
      <c r="AF22" s="417">
        <f t="shared" si="5"/>
        <v>-30420</v>
      </c>
      <c r="AG22" s="417">
        <f t="shared" si="6"/>
        <v>-39010</v>
      </c>
      <c r="AH22" s="417">
        <v>8590</v>
      </c>
      <c r="AI22" s="417">
        <v>30420</v>
      </c>
      <c r="AJ22" s="417">
        <v>0</v>
      </c>
      <c r="AK22" s="417">
        <v>0</v>
      </c>
      <c r="AL22" s="417">
        <v>0</v>
      </c>
      <c r="AM22" s="417">
        <f t="shared" si="7"/>
        <v>8590</v>
      </c>
      <c r="AN22" s="417">
        <f t="shared" si="8"/>
        <v>30420</v>
      </c>
      <c r="AO22" s="417">
        <f t="shared" si="9"/>
        <v>39010</v>
      </c>
      <c r="AP22" s="417">
        <f t="shared" si="10"/>
        <v>0</v>
      </c>
      <c r="AQ22" s="417">
        <f t="shared" si="11"/>
        <v>0</v>
      </c>
      <c r="AR22" s="417">
        <f t="shared" si="12"/>
        <v>0</v>
      </c>
      <c r="AS22" s="68">
        <f t="shared" si="13"/>
        <v>0</v>
      </c>
      <c r="AT22" s="68">
        <f t="shared" si="14"/>
        <v>-390</v>
      </c>
      <c r="AU22" s="417">
        <v>0</v>
      </c>
      <c r="AV22" s="417">
        <v>0</v>
      </c>
      <c r="AW22" s="417">
        <v>0</v>
      </c>
      <c r="AX22" s="417">
        <f t="shared" si="15"/>
        <v>0</v>
      </c>
      <c r="AY22" s="417">
        <f t="shared" si="16"/>
        <v>-390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0</v>
      </c>
      <c r="BJ22" s="418">
        <f t="shared" si="18"/>
        <v>0</v>
      </c>
      <c r="BK22" s="420">
        <f t="shared" si="19"/>
        <v>0</v>
      </c>
      <c r="BL22" s="772">
        <f>I22+AY22</f>
        <v>5480098</v>
      </c>
      <c r="BM22" s="417">
        <f>J22+AG22</f>
        <v>3958413</v>
      </c>
      <c r="BN22" s="417">
        <f t="shared" ref="BN22:BO24" si="32">K22+AE22</f>
        <v>3469550</v>
      </c>
      <c r="BO22" s="417">
        <f t="shared" si="32"/>
        <v>488863</v>
      </c>
      <c r="BP22" s="417">
        <f>M22+AO22</f>
        <v>88010</v>
      </c>
      <c r="BQ22" s="417">
        <f t="shared" ref="BQ22:BR24" si="33">N22+AM22</f>
        <v>57590</v>
      </c>
      <c r="BR22" s="417">
        <f t="shared" si="33"/>
        <v>30420</v>
      </c>
      <c r="BS22" s="417">
        <f t="shared" ref="BS22:BT24" si="34">P22+AS22</f>
        <v>1367691</v>
      </c>
      <c r="BT22" s="417">
        <f t="shared" si="34"/>
        <v>39584</v>
      </c>
      <c r="BU22" s="417">
        <f>R22+AX22</f>
        <v>26400</v>
      </c>
      <c r="BV22" s="418">
        <f>S22+BK22</f>
        <v>7.6871</v>
      </c>
      <c r="BW22" s="418">
        <f t="shared" ref="BW22:BX24" si="35">T22+BI22</f>
        <v>5.92</v>
      </c>
      <c r="BX22" s="420">
        <f t="shared" si="35"/>
        <v>1.7670999999999999</v>
      </c>
      <c r="BY22" s="419"/>
      <c r="BZ22" s="414"/>
      <c r="CA22" s="414"/>
      <c r="CB22" s="414"/>
      <c r="CC22" s="414"/>
      <c r="CD22" s="509"/>
      <c r="CE22" s="419">
        <v>233384</v>
      </c>
      <c r="CF22" s="414">
        <v>166622</v>
      </c>
      <c r="CG22" s="414">
        <v>56318</v>
      </c>
      <c r="CH22" s="414">
        <v>1666</v>
      </c>
      <c r="CI22" s="414">
        <v>8778</v>
      </c>
      <c r="CJ22" s="509">
        <v>0.56699999999999995</v>
      </c>
    </row>
    <row r="23" spans="1:88" s="221" customFormat="1" ht="12.75" customHeight="1">
      <c r="A23" s="223">
        <v>4</v>
      </c>
      <c r="B23" s="224">
        <v>3462</v>
      </c>
      <c r="C23" s="224">
        <v>691001294</v>
      </c>
      <c r="D23" s="224">
        <v>72048115</v>
      </c>
      <c r="E23" s="225" t="s">
        <v>14</v>
      </c>
      <c r="F23" s="224">
        <v>3111</v>
      </c>
      <c r="G23" s="225" t="s">
        <v>291</v>
      </c>
      <c r="H23" s="226" t="s">
        <v>272</v>
      </c>
      <c r="I23" s="419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68">
        <v>0</v>
      </c>
      <c r="Q23" s="68">
        <v>0</v>
      </c>
      <c r="R23" s="414">
        <v>0</v>
      </c>
      <c r="S23" s="415">
        <v>0</v>
      </c>
      <c r="T23" s="416">
        <v>0</v>
      </c>
      <c r="U23" s="422">
        <v>0</v>
      </c>
      <c r="V23" s="423">
        <f t="shared" si="2"/>
        <v>0</v>
      </c>
      <c r="W23" s="417">
        <f t="shared" si="3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4"/>
        <v>0</v>
      </c>
      <c r="AF23" s="417">
        <f t="shared" si="5"/>
        <v>0</v>
      </c>
      <c r="AG23" s="417">
        <f t="shared" si="6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7"/>
        <v>0</v>
      </c>
      <c r="AN23" s="417">
        <f t="shared" si="8"/>
        <v>0</v>
      </c>
      <c r="AO23" s="417">
        <f t="shared" si="9"/>
        <v>0</v>
      </c>
      <c r="AP23" s="417">
        <f t="shared" si="10"/>
        <v>0</v>
      </c>
      <c r="AQ23" s="417">
        <f t="shared" si="11"/>
        <v>0</v>
      </c>
      <c r="AR23" s="417">
        <f t="shared" si="12"/>
        <v>0</v>
      </c>
      <c r="AS23" s="68">
        <f t="shared" si="13"/>
        <v>0</v>
      </c>
      <c r="AT23" s="68">
        <f t="shared" si="14"/>
        <v>0</v>
      </c>
      <c r="AU23" s="417">
        <v>0</v>
      </c>
      <c r="AV23" s="417">
        <v>0</v>
      </c>
      <c r="AW23" s="417">
        <v>0</v>
      </c>
      <c r="AX23" s="417">
        <f t="shared" si="15"/>
        <v>0</v>
      </c>
      <c r="AY23" s="417">
        <f t="shared" si="16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7"/>
        <v>0</v>
      </c>
      <c r="BJ23" s="418">
        <f t="shared" si="18"/>
        <v>0</v>
      </c>
      <c r="BK23" s="420">
        <f t="shared" si="19"/>
        <v>0</v>
      </c>
      <c r="BL23" s="772">
        <f>I23+AY23</f>
        <v>0</v>
      </c>
      <c r="BM23" s="417">
        <f>J23+AG23</f>
        <v>0</v>
      </c>
      <c r="BN23" s="417">
        <f t="shared" si="32"/>
        <v>0</v>
      </c>
      <c r="BO23" s="417">
        <f t="shared" si="32"/>
        <v>0</v>
      </c>
      <c r="BP23" s="417">
        <f>M23+AO23</f>
        <v>0</v>
      </c>
      <c r="BQ23" s="417">
        <f t="shared" si="33"/>
        <v>0</v>
      </c>
      <c r="BR23" s="417">
        <f t="shared" si="33"/>
        <v>0</v>
      </c>
      <c r="BS23" s="417">
        <f t="shared" si="34"/>
        <v>0</v>
      </c>
      <c r="BT23" s="417">
        <f t="shared" si="34"/>
        <v>0</v>
      </c>
      <c r="BU23" s="417">
        <f>R23+AX23</f>
        <v>0</v>
      </c>
      <c r="BV23" s="418">
        <f>S23+BK23</f>
        <v>0</v>
      </c>
      <c r="BW23" s="418">
        <f t="shared" si="35"/>
        <v>0</v>
      </c>
      <c r="BX23" s="420">
        <f t="shared" si="35"/>
        <v>0</v>
      </c>
      <c r="BY23" s="419"/>
      <c r="BZ23" s="414"/>
      <c r="CA23" s="414"/>
      <c r="CB23" s="414"/>
      <c r="CC23" s="414"/>
      <c r="CD23" s="509"/>
      <c r="CE23" s="419"/>
      <c r="CF23" s="414"/>
      <c r="CG23" s="414"/>
      <c r="CH23" s="414"/>
      <c r="CI23" s="414"/>
      <c r="CJ23" s="509"/>
    </row>
    <row r="24" spans="1:88" s="221" customFormat="1" ht="12.75" customHeight="1">
      <c r="A24" s="223">
        <v>4</v>
      </c>
      <c r="B24" s="224">
        <v>3462</v>
      </c>
      <c r="C24" s="224">
        <v>691001294</v>
      </c>
      <c r="D24" s="224">
        <v>72048115</v>
      </c>
      <c r="E24" s="225" t="s">
        <v>14</v>
      </c>
      <c r="F24" s="224">
        <v>3141</v>
      </c>
      <c r="G24" s="225" t="s">
        <v>294</v>
      </c>
      <c r="H24" s="226" t="s">
        <v>272</v>
      </c>
      <c r="I24" s="419">
        <v>839546</v>
      </c>
      <c r="J24" s="414">
        <v>620263</v>
      </c>
      <c r="K24" s="414">
        <v>0</v>
      </c>
      <c r="L24" s="414">
        <v>620263</v>
      </c>
      <c r="M24" s="414">
        <v>0</v>
      </c>
      <c r="N24" s="414">
        <v>0</v>
      </c>
      <c r="O24" s="414">
        <v>0</v>
      </c>
      <c r="P24" s="68">
        <v>209649</v>
      </c>
      <c r="Q24" s="68">
        <v>6202</v>
      </c>
      <c r="R24" s="414">
        <v>3432</v>
      </c>
      <c r="S24" s="415">
        <v>1.86</v>
      </c>
      <c r="T24" s="416">
        <v>0</v>
      </c>
      <c r="U24" s="422">
        <v>1.86</v>
      </c>
      <c r="V24" s="423">
        <f t="shared" si="2"/>
        <v>0</v>
      </c>
      <c r="W24" s="417">
        <f t="shared" si="3"/>
        <v>0</v>
      </c>
      <c r="X24" s="417">
        <v>0</v>
      </c>
      <c r="Y24" s="417">
        <v>0</v>
      </c>
      <c r="Z24" s="417">
        <v>0</v>
      </c>
      <c r="AA24" s="417">
        <v>-4235</v>
      </c>
      <c r="AB24" s="417">
        <v>0</v>
      </c>
      <c r="AC24" s="417">
        <v>0</v>
      </c>
      <c r="AD24" s="417">
        <v>0</v>
      </c>
      <c r="AE24" s="417">
        <f t="shared" si="4"/>
        <v>0</v>
      </c>
      <c r="AF24" s="417">
        <f t="shared" si="5"/>
        <v>-4235</v>
      </c>
      <c r="AG24" s="417">
        <f t="shared" si="6"/>
        <v>-4235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7"/>
        <v>0</v>
      </c>
      <c r="AN24" s="417">
        <f t="shared" si="8"/>
        <v>0</v>
      </c>
      <c r="AO24" s="417">
        <f t="shared" si="9"/>
        <v>0</v>
      </c>
      <c r="AP24" s="417">
        <f t="shared" si="10"/>
        <v>0</v>
      </c>
      <c r="AQ24" s="417">
        <f t="shared" si="11"/>
        <v>-4235</v>
      </c>
      <c r="AR24" s="417">
        <f t="shared" si="12"/>
        <v>-4235</v>
      </c>
      <c r="AS24" s="68">
        <f t="shared" si="13"/>
        <v>-1431</v>
      </c>
      <c r="AT24" s="68">
        <f t="shared" si="14"/>
        <v>-42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-5708</v>
      </c>
      <c r="AZ24" s="418">
        <v>0</v>
      </c>
      <c r="BA24" s="418">
        <v>0</v>
      </c>
      <c r="BB24" s="418">
        <v>0</v>
      </c>
      <c r="BC24" s="418">
        <v>0</v>
      </c>
      <c r="BD24" s="418">
        <v>-0.01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-0.01</v>
      </c>
      <c r="BK24" s="420">
        <f t="shared" si="19"/>
        <v>-0.01</v>
      </c>
      <c r="BL24" s="772">
        <f>I24+AY24</f>
        <v>833838</v>
      </c>
      <c r="BM24" s="417">
        <f>J24+AG24</f>
        <v>616028</v>
      </c>
      <c r="BN24" s="417">
        <f t="shared" si="32"/>
        <v>0</v>
      </c>
      <c r="BO24" s="417">
        <f t="shared" si="32"/>
        <v>616028</v>
      </c>
      <c r="BP24" s="417">
        <f>M24+AO24</f>
        <v>0</v>
      </c>
      <c r="BQ24" s="417">
        <f t="shared" si="33"/>
        <v>0</v>
      </c>
      <c r="BR24" s="417">
        <f t="shared" si="33"/>
        <v>0</v>
      </c>
      <c r="BS24" s="417">
        <f t="shared" si="34"/>
        <v>208218</v>
      </c>
      <c r="BT24" s="417">
        <f t="shared" si="34"/>
        <v>6160</v>
      </c>
      <c r="BU24" s="417">
        <f>R24+AX24</f>
        <v>3432</v>
      </c>
      <c r="BV24" s="418">
        <f>S24+BK24</f>
        <v>1.85</v>
      </c>
      <c r="BW24" s="418">
        <f t="shared" si="35"/>
        <v>0</v>
      </c>
      <c r="BX24" s="420">
        <f t="shared" si="35"/>
        <v>1.85</v>
      </c>
      <c r="BY24" s="419"/>
      <c r="BZ24" s="414"/>
      <c r="CA24" s="414"/>
      <c r="CB24" s="414"/>
      <c r="CC24" s="414"/>
      <c r="CD24" s="509"/>
      <c r="CE24" s="419"/>
      <c r="CF24" s="601"/>
      <c r="CG24" s="414"/>
      <c r="CH24" s="414"/>
      <c r="CI24" s="601"/>
      <c r="CJ24" s="603"/>
    </row>
    <row r="25" spans="1:88" s="221" customFormat="1" ht="12.75" customHeight="1">
      <c r="A25" s="153">
        <v>4</v>
      </c>
      <c r="B25" s="14">
        <v>3462</v>
      </c>
      <c r="C25" s="152">
        <v>691001294</v>
      </c>
      <c r="D25" s="152">
        <v>72048115</v>
      </c>
      <c r="E25" s="222" t="s">
        <v>15</v>
      </c>
      <c r="F25" s="14"/>
      <c r="G25" s="222"/>
      <c r="H25" s="558"/>
      <c r="I25" s="504">
        <v>6320034</v>
      </c>
      <c r="J25" s="503">
        <v>4617686</v>
      </c>
      <c r="K25" s="503">
        <v>3478140</v>
      </c>
      <c r="L25" s="503">
        <v>1139546</v>
      </c>
      <c r="M25" s="503">
        <v>49000</v>
      </c>
      <c r="N25" s="503">
        <v>49000</v>
      </c>
      <c r="O25" s="503">
        <v>0</v>
      </c>
      <c r="P25" s="503">
        <v>1577340</v>
      </c>
      <c r="Q25" s="503">
        <v>46176</v>
      </c>
      <c r="R25" s="503">
        <v>29832</v>
      </c>
      <c r="S25" s="543">
        <v>9.5471000000000004</v>
      </c>
      <c r="T25" s="543">
        <v>5.92</v>
      </c>
      <c r="U25" s="1084">
        <v>3.6271</v>
      </c>
      <c r="V25" s="504">
        <f t="shared" ref="V25:CG25" si="36">SUM(V22:V24)</f>
        <v>-8590</v>
      </c>
      <c r="W25" s="503">
        <f t="shared" si="36"/>
        <v>-30420</v>
      </c>
      <c r="X25" s="503">
        <f t="shared" si="36"/>
        <v>0</v>
      </c>
      <c r="Y25" s="503">
        <f t="shared" si="36"/>
        <v>0</v>
      </c>
      <c r="Z25" s="503">
        <f t="shared" si="36"/>
        <v>0</v>
      </c>
      <c r="AA25" s="503">
        <f t="shared" si="36"/>
        <v>-4235</v>
      </c>
      <c r="AB25" s="503">
        <f t="shared" si="36"/>
        <v>0</v>
      </c>
      <c r="AC25" s="503">
        <f t="shared" si="36"/>
        <v>0</v>
      </c>
      <c r="AD25" s="503">
        <f t="shared" si="36"/>
        <v>0</v>
      </c>
      <c r="AE25" s="503">
        <f t="shared" si="36"/>
        <v>-8590</v>
      </c>
      <c r="AF25" s="503">
        <f t="shared" si="36"/>
        <v>-34655</v>
      </c>
      <c r="AG25" s="503">
        <f t="shared" si="36"/>
        <v>-43245</v>
      </c>
      <c r="AH25" s="503">
        <f t="shared" si="36"/>
        <v>8590</v>
      </c>
      <c r="AI25" s="503">
        <f t="shared" si="36"/>
        <v>30420</v>
      </c>
      <c r="AJ25" s="503">
        <f t="shared" si="36"/>
        <v>0</v>
      </c>
      <c r="AK25" s="503">
        <f t="shared" si="36"/>
        <v>0</v>
      </c>
      <c r="AL25" s="503">
        <f t="shared" si="36"/>
        <v>0</v>
      </c>
      <c r="AM25" s="503">
        <f t="shared" si="36"/>
        <v>8590</v>
      </c>
      <c r="AN25" s="503">
        <f t="shared" si="36"/>
        <v>30420</v>
      </c>
      <c r="AO25" s="503">
        <f t="shared" si="36"/>
        <v>39010</v>
      </c>
      <c r="AP25" s="503">
        <f t="shared" si="36"/>
        <v>0</v>
      </c>
      <c r="AQ25" s="503">
        <f t="shared" si="36"/>
        <v>-4235</v>
      </c>
      <c r="AR25" s="503">
        <f t="shared" si="36"/>
        <v>-4235</v>
      </c>
      <c r="AS25" s="503">
        <f t="shared" si="36"/>
        <v>-1431</v>
      </c>
      <c r="AT25" s="503">
        <f t="shared" si="36"/>
        <v>-432</v>
      </c>
      <c r="AU25" s="503">
        <f t="shared" si="36"/>
        <v>0</v>
      </c>
      <c r="AV25" s="503">
        <f t="shared" si="36"/>
        <v>0</v>
      </c>
      <c r="AW25" s="503">
        <f t="shared" si="36"/>
        <v>0</v>
      </c>
      <c r="AX25" s="503">
        <f t="shared" si="36"/>
        <v>0</v>
      </c>
      <c r="AY25" s="503">
        <f t="shared" si="36"/>
        <v>-6098</v>
      </c>
      <c r="AZ25" s="543">
        <f t="shared" si="36"/>
        <v>0</v>
      </c>
      <c r="BA25" s="543">
        <f t="shared" si="36"/>
        <v>0</v>
      </c>
      <c r="BB25" s="543">
        <f t="shared" si="36"/>
        <v>0</v>
      </c>
      <c r="BC25" s="543">
        <f t="shared" si="36"/>
        <v>0</v>
      </c>
      <c r="BD25" s="543">
        <f t="shared" si="36"/>
        <v>-0.01</v>
      </c>
      <c r="BE25" s="543">
        <f t="shared" si="36"/>
        <v>0</v>
      </c>
      <c r="BF25" s="543">
        <f t="shared" si="36"/>
        <v>0</v>
      </c>
      <c r="BG25" s="543">
        <f t="shared" si="36"/>
        <v>0</v>
      </c>
      <c r="BH25" s="543">
        <f t="shared" si="36"/>
        <v>0</v>
      </c>
      <c r="BI25" s="543">
        <f t="shared" si="36"/>
        <v>0</v>
      </c>
      <c r="BJ25" s="543">
        <f t="shared" si="36"/>
        <v>-0.01</v>
      </c>
      <c r="BK25" s="441">
        <f t="shared" si="36"/>
        <v>-0.01</v>
      </c>
      <c r="BL25" s="788">
        <f t="shared" si="36"/>
        <v>6313936</v>
      </c>
      <c r="BM25" s="503">
        <f t="shared" si="36"/>
        <v>4574441</v>
      </c>
      <c r="BN25" s="503">
        <f t="shared" si="36"/>
        <v>3469550</v>
      </c>
      <c r="BO25" s="503">
        <f t="shared" si="36"/>
        <v>1104891</v>
      </c>
      <c r="BP25" s="503">
        <f t="shared" si="36"/>
        <v>88010</v>
      </c>
      <c r="BQ25" s="503">
        <f t="shared" si="36"/>
        <v>57590</v>
      </c>
      <c r="BR25" s="503">
        <f t="shared" si="36"/>
        <v>30420</v>
      </c>
      <c r="BS25" s="503">
        <f t="shared" si="36"/>
        <v>1575909</v>
      </c>
      <c r="BT25" s="503">
        <f t="shared" si="36"/>
        <v>45744</v>
      </c>
      <c r="BU25" s="503">
        <f t="shared" si="36"/>
        <v>29832</v>
      </c>
      <c r="BV25" s="543">
        <f t="shared" si="36"/>
        <v>9.5371000000000006</v>
      </c>
      <c r="BW25" s="543">
        <f t="shared" si="36"/>
        <v>5.92</v>
      </c>
      <c r="BX25" s="441">
        <f t="shared" si="36"/>
        <v>3.6170999999999998</v>
      </c>
      <c r="BY25" s="799">
        <f t="shared" si="36"/>
        <v>0</v>
      </c>
      <c r="BZ25" s="705">
        <f t="shared" si="36"/>
        <v>0</v>
      </c>
      <c r="CA25" s="705">
        <f t="shared" si="36"/>
        <v>0</v>
      </c>
      <c r="CB25" s="705">
        <f t="shared" si="36"/>
        <v>0</v>
      </c>
      <c r="CC25" s="705">
        <f t="shared" si="36"/>
        <v>0</v>
      </c>
      <c r="CD25" s="800">
        <f t="shared" si="36"/>
        <v>0</v>
      </c>
      <c r="CE25" s="896">
        <f t="shared" si="36"/>
        <v>233384</v>
      </c>
      <c r="CF25" s="897">
        <f t="shared" si="36"/>
        <v>166622</v>
      </c>
      <c r="CG25" s="897">
        <f t="shared" si="36"/>
        <v>56318</v>
      </c>
      <c r="CH25" s="897">
        <f t="shared" ref="CH25:CJ25" si="37">SUM(CH22:CH24)</f>
        <v>1666</v>
      </c>
      <c r="CI25" s="897">
        <f t="shared" si="37"/>
        <v>8778</v>
      </c>
      <c r="CJ25" s="898">
        <f t="shared" si="37"/>
        <v>0.56699999999999995</v>
      </c>
    </row>
    <row r="26" spans="1:88" s="221" customFormat="1" ht="12.75" customHeight="1">
      <c r="A26" s="223">
        <v>5</v>
      </c>
      <c r="B26" s="224">
        <v>3464</v>
      </c>
      <c r="C26" s="224">
        <v>691001316</v>
      </c>
      <c r="D26" s="224">
        <v>72048140</v>
      </c>
      <c r="E26" s="225" t="s">
        <v>16</v>
      </c>
      <c r="F26" s="224">
        <v>3111</v>
      </c>
      <c r="G26" s="225" t="s">
        <v>290</v>
      </c>
      <c r="H26" s="226" t="s">
        <v>271</v>
      </c>
      <c r="I26" s="419">
        <v>7249207</v>
      </c>
      <c r="J26" s="414">
        <v>5313618</v>
      </c>
      <c r="K26" s="414">
        <v>4640453</v>
      </c>
      <c r="L26" s="414">
        <v>673165</v>
      </c>
      <c r="M26" s="414">
        <v>39200</v>
      </c>
      <c r="N26" s="414">
        <v>20000</v>
      </c>
      <c r="O26" s="414">
        <v>19200</v>
      </c>
      <c r="P26" s="68">
        <v>1809252</v>
      </c>
      <c r="Q26" s="68">
        <v>53137</v>
      </c>
      <c r="R26" s="414">
        <v>34000</v>
      </c>
      <c r="S26" s="415">
        <v>10.2761</v>
      </c>
      <c r="T26" s="416">
        <v>8</v>
      </c>
      <c r="U26" s="422">
        <v>2.2760999999999996</v>
      </c>
      <c r="V26" s="423">
        <f t="shared" si="2"/>
        <v>20000</v>
      </c>
      <c r="W26" s="417">
        <f t="shared" si="3"/>
        <v>-12000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4"/>
        <v>20000</v>
      </c>
      <c r="AF26" s="417">
        <f t="shared" si="5"/>
        <v>-12000</v>
      </c>
      <c r="AG26" s="417">
        <f t="shared" si="6"/>
        <v>8000</v>
      </c>
      <c r="AH26" s="417">
        <v>-20000</v>
      </c>
      <c r="AI26" s="417">
        <v>12000</v>
      </c>
      <c r="AJ26" s="417">
        <v>0</v>
      </c>
      <c r="AK26" s="417">
        <v>0</v>
      </c>
      <c r="AL26" s="417">
        <v>0</v>
      </c>
      <c r="AM26" s="417">
        <f t="shared" si="7"/>
        <v>-20000</v>
      </c>
      <c r="AN26" s="417">
        <f t="shared" si="8"/>
        <v>12000</v>
      </c>
      <c r="AO26" s="417">
        <f t="shared" si="9"/>
        <v>-8000</v>
      </c>
      <c r="AP26" s="417">
        <f t="shared" si="10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80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80</v>
      </c>
      <c r="AZ26" s="418">
        <v>0</v>
      </c>
      <c r="BA26" s="418">
        <v>-0.05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-0.05</v>
      </c>
      <c r="BK26" s="420">
        <f t="shared" si="19"/>
        <v>-0.05</v>
      </c>
      <c r="BL26" s="772">
        <f>I26+AY26</f>
        <v>7249287</v>
      </c>
      <c r="BM26" s="417">
        <f>J26+AG26</f>
        <v>5321618</v>
      </c>
      <c r="BN26" s="417">
        <f t="shared" ref="BN26:BO28" si="38">K26+AE26</f>
        <v>4660453</v>
      </c>
      <c r="BO26" s="417">
        <f t="shared" si="38"/>
        <v>661165</v>
      </c>
      <c r="BP26" s="417">
        <f>M26+AO26</f>
        <v>31200</v>
      </c>
      <c r="BQ26" s="417">
        <f t="shared" ref="BQ26:BR28" si="39">N26+AM26</f>
        <v>0</v>
      </c>
      <c r="BR26" s="417">
        <f t="shared" si="39"/>
        <v>31200</v>
      </c>
      <c r="BS26" s="417">
        <f t="shared" ref="BS26:BT28" si="40">P26+AS26</f>
        <v>1809252</v>
      </c>
      <c r="BT26" s="417">
        <f t="shared" si="40"/>
        <v>53217</v>
      </c>
      <c r="BU26" s="417">
        <f>R26+AX26</f>
        <v>34000</v>
      </c>
      <c r="BV26" s="418">
        <f>S26+BK26</f>
        <v>10.226099999999999</v>
      </c>
      <c r="BW26" s="418">
        <f t="shared" ref="BW26:BX28" si="41">T26+BI26</f>
        <v>8</v>
      </c>
      <c r="BX26" s="420">
        <f t="shared" si="41"/>
        <v>2.2260999999999997</v>
      </c>
      <c r="BY26" s="419"/>
      <c r="BZ26" s="414"/>
      <c r="CA26" s="414"/>
      <c r="CB26" s="414"/>
      <c r="CC26" s="414"/>
      <c r="CD26" s="509"/>
      <c r="CE26" s="419">
        <v>310781</v>
      </c>
      <c r="CF26" s="414">
        <v>222163</v>
      </c>
      <c r="CG26" s="414">
        <v>75091</v>
      </c>
      <c r="CH26" s="414">
        <v>2222</v>
      </c>
      <c r="CI26" s="414">
        <v>11305</v>
      </c>
      <c r="CJ26" s="509">
        <v>0.75600000000000001</v>
      </c>
    </row>
    <row r="27" spans="1:88" s="221" customFormat="1" ht="12.75" customHeight="1">
      <c r="A27" s="223">
        <v>5</v>
      </c>
      <c r="B27" s="224">
        <v>3464</v>
      </c>
      <c r="C27" s="224">
        <v>691001316</v>
      </c>
      <c r="D27" s="224">
        <v>72048140</v>
      </c>
      <c r="E27" s="225" t="s">
        <v>16</v>
      </c>
      <c r="F27" s="224">
        <v>3111</v>
      </c>
      <c r="G27" s="225" t="s">
        <v>291</v>
      </c>
      <c r="H27" s="226" t="s">
        <v>272</v>
      </c>
      <c r="I27" s="419">
        <v>687281</v>
      </c>
      <c r="J27" s="414">
        <v>509852</v>
      </c>
      <c r="K27" s="414">
        <v>509852</v>
      </c>
      <c r="L27" s="414">
        <v>0</v>
      </c>
      <c r="M27" s="414">
        <v>0</v>
      </c>
      <c r="N27" s="414">
        <v>0</v>
      </c>
      <c r="O27" s="414">
        <v>0</v>
      </c>
      <c r="P27" s="68">
        <v>172330</v>
      </c>
      <c r="Q27" s="68">
        <v>5099</v>
      </c>
      <c r="R27" s="414">
        <v>0</v>
      </c>
      <c r="S27" s="415">
        <v>1.38</v>
      </c>
      <c r="T27" s="416">
        <v>1.38</v>
      </c>
      <c r="U27" s="422">
        <v>0</v>
      </c>
      <c r="V27" s="423">
        <f t="shared" si="2"/>
        <v>0</v>
      </c>
      <c r="W27" s="417">
        <f t="shared" si="3"/>
        <v>0</v>
      </c>
      <c r="X27" s="417">
        <v>46350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4"/>
        <v>46350</v>
      </c>
      <c r="AF27" s="417">
        <f t="shared" si="5"/>
        <v>0</v>
      </c>
      <c r="AG27" s="417">
        <f t="shared" si="6"/>
        <v>46350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7"/>
        <v>0</v>
      </c>
      <c r="AN27" s="417">
        <f t="shared" si="8"/>
        <v>0</v>
      </c>
      <c r="AO27" s="417">
        <f t="shared" si="9"/>
        <v>0</v>
      </c>
      <c r="AP27" s="417">
        <f t="shared" si="10"/>
        <v>46350</v>
      </c>
      <c r="AQ27" s="417">
        <f t="shared" si="11"/>
        <v>0</v>
      </c>
      <c r="AR27" s="417">
        <f t="shared" si="12"/>
        <v>46350</v>
      </c>
      <c r="AS27" s="68">
        <f t="shared" si="13"/>
        <v>15666</v>
      </c>
      <c r="AT27" s="68">
        <f t="shared" si="14"/>
        <v>464</v>
      </c>
      <c r="AU27" s="417">
        <v>0</v>
      </c>
      <c r="AV27" s="417">
        <v>0</v>
      </c>
      <c r="AW27" s="417">
        <v>0</v>
      </c>
      <c r="AX27" s="417">
        <f t="shared" si="15"/>
        <v>0</v>
      </c>
      <c r="AY27" s="417">
        <f t="shared" si="16"/>
        <v>62480</v>
      </c>
      <c r="AZ27" s="418">
        <v>0</v>
      </c>
      <c r="BA27" s="418">
        <v>0</v>
      </c>
      <c r="BB27" s="418">
        <v>0.13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7"/>
        <v>0.13</v>
      </c>
      <c r="BJ27" s="418">
        <f t="shared" si="18"/>
        <v>0</v>
      </c>
      <c r="BK27" s="420">
        <f t="shared" si="19"/>
        <v>0.13</v>
      </c>
      <c r="BL27" s="772">
        <f>I27+AY27</f>
        <v>749761</v>
      </c>
      <c r="BM27" s="417">
        <f>J27+AG27</f>
        <v>556202</v>
      </c>
      <c r="BN27" s="417">
        <f t="shared" si="38"/>
        <v>556202</v>
      </c>
      <c r="BO27" s="417">
        <f t="shared" si="38"/>
        <v>0</v>
      </c>
      <c r="BP27" s="417">
        <f>M27+AO27</f>
        <v>0</v>
      </c>
      <c r="BQ27" s="417">
        <f t="shared" si="39"/>
        <v>0</v>
      </c>
      <c r="BR27" s="417">
        <f t="shared" si="39"/>
        <v>0</v>
      </c>
      <c r="BS27" s="417">
        <f t="shared" si="40"/>
        <v>187996</v>
      </c>
      <c r="BT27" s="417">
        <f t="shared" si="40"/>
        <v>5563</v>
      </c>
      <c r="BU27" s="417">
        <f>R27+AX27</f>
        <v>0</v>
      </c>
      <c r="BV27" s="418">
        <f>S27+BK27</f>
        <v>1.5099999999999998</v>
      </c>
      <c r="BW27" s="418">
        <f t="shared" si="41"/>
        <v>1.5099999999999998</v>
      </c>
      <c r="BX27" s="420">
        <f t="shared" si="41"/>
        <v>0</v>
      </c>
      <c r="BY27" s="419"/>
      <c r="BZ27" s="414"/>
      <c r="CA27" s="414"/>
      <c r="CB27" s="414"/>
      <c r="CC27" s="414"/>
      <c r="CD27" s="509"/>
      <c r="CE27" s="419"/>
      <c r="CF27" s="414"/>
      <c r="CG27" s="414"/>
      <c r="CH27" s="414"/>
      <c r="CI27" s="414"/>
      <c r="CJ27" s="509"/>
    </row>
    <row r="28" spans="1:88" s="221" customFormat="1" ht="12.75" customHeight="1">
      <c r="A28" s="223">
        <v>5</v>
      </c>
      <c r="B28" s="224">
        <v>3464</v>
      </c>
      <c r="C28" s="224">
        <v>691001316</v>
      </c>
      <c r="D28" s="224">
        <v>72048140</v>
      </c>
      <c r="E28" s="225" t="s">
        <v>16</v>
      </c>
      <c r="F28" s="224">
        <v>3141</v>
      </c>
      <c r="G28" s="225" t="s">
        <v>294</v>
      </c>
      <c r="H28" s="226" t="s">
        <v>272</v>
      </c>
      <c r="I28" s="419">
        <v>989012</v>
      </c>
      <c r="J28" s="414">
        <v>720522</v>
      </c>
      <c r="K28" s="414">
        <v>0</v>
      </c>
      <c r="L28" s="414">
        <v>720522</v>
      </c>
      <c r="M28" s="414">
        <v>10000</v>
      </c>
      <c r="N28" s="414">
        <v>0</v>
      </c>
      <c r="O28" s="414">
        <v>10000</v>
      </c>
      <c r="P28" s="68">
        <v>246917</v>
      </c>
      <c r="Q28" s="68">
        <v>7205</v>
      </c>
      <c r="R28" s="414">
        <v>4368</v>
      </c>
      <c r="S28" s="415">
        <v>2.19</v>
      </c>
      <c r="T28" s="416">
        <v>0</v>
      </c>
      <c r="U28" s="422">
        <v>2.19</v>
      </c>
      <c r="V28" s="423">
        <f t="shared" si="2"/>
        <v>0</v>
      </c>
      <c r="W28" s="417">
        <f t="shared" si="3"/>
        <v>10000</v>
      </c>
      <c r="X28" s="417">
        <v>0</v>
      </c>
      <c r="Y28" s="417">
        <v>0</v>
      </c>
      <c r="Z28" s="417">
        <v>0</v>
      </c>
      <c r="AA28" s="417">
        <v>-12047</v>
      </c>
      <c r="AB28" s="417">
        <v>0</v>
      </c>
      <c r="AC28" s="417">
        <v>0</v>
      </c>
      <c r="AD28" s="417">
        <v>0</v>
      </c>
      <c r="AE28" s="417">
        <f t="shared" si="4"/>
        <v>0</v>
      </c>
      <c r="AF28" s="417">
        <f t="shared" si="5"/>
        <v>-2047</v>
      </c>
      <c r="AG28" s="417">
        <f t="shared" si="6"/>
        <v>-2047</v>
      </c>
      <c r="AH28" s="417">
        <v>0</v>
      </c>
      <c r="AI28" s="417">
        <v>-10000</v>
      </c>
      <c r="AJ28" s="417">
        <v>0</v>
      </c>
      <c r="AK28" s="417">
        <v>0</v>
      </c>
      <c r="AL28" s="417">
        <v>0</v>
      </c>
      <c r="AM28" s="417">
        <f t="shared" si="7"/>
        <v>0</v>
      </c>
      <c r="AN28" s="417">
        <f t="shared" si="8"/>
        <v>-10000</v>
      </c>
      <c r="AO28" s="417">
        <f t="shared" si="9"/>
        <v>-10000</v>
      </c>
      <c r="AP28" s="417">
        <f t="shared" si="10"/>
        <v>0</v>
      </c>
      <c r="AQ28" s="417">
        <f t="shared" si="11"/>
        <v>-12047</v>
      </c>
      <c r="AR28" s="417">
        <f t="shared" si="12"/>
        <v>-12047</v>
      </c>
      <c r="AS28" s="68">
        <f t="shared" si="13"/>
        <v>-4072</v>
      </c>
      <c r="AT28" s="68">
        <f t="shared" si="14"/>
        <v>-20</v>
      </c>
      <c r="AU28" s="417">
        <v>0</v>
      </c>
      <c r="AV28" s="417">
        <v>0</v>
      </c>
      <c r="AW28" s="417">
        <v>0</v>
      </c>
      <c r="AX28" s="417">
        <f t="shared" si="15"/>
        <v>0</v>
      </c>
      <c r="AY28" s="417">
        <f t="shared" si="16"/>
        <v>-16139</v>
      </c>
      <c r="AZ28" s="418">
        <v>0</v>
      </c>
      <c r="BA28" s="418">
        <v>0</v>
      </c>
      <c r="BB28" s="418">
        <v>0</v>
      </c>
      <c r="BC28" s="418">
        <v>0</v>
      </c>
      <c r="BD28" s="418">
        <v>-0.04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7"/>
        <v>0</v>
      </c>
      <c r="BJ28" s="418">
        <f t="shared" si="18"/>
        <v>-0.04</v>
      </c>
      <c r="BK28" s="420">
        <f t="shared" si="19"/>
        <v>-0.04</v>
      </c>
      <c r="BL28" s="772">
        <f>I28+AY28</f>
        <v>972873</v>
      </c>
      <c r="BM28" s="417">
        <f>J28+AG28</f>
        <v>718475</v>
      </c>
      <c r="BN28" s="417">
        <f t="shared" si="38"/>
        <v>0</v>
      </c>
      <c r="BO28" s="417">
        <f t="shared" si="38"/>
        <v>718475</v>
      </c>
      <c r="BP28" s="417">
        <f>M28+AO28</f>
        <v>0</v>
      </c>
      <c r="BQ28" s="417">
        <f t="shared" si="39"/>
        <v>0</v>
      </c>
      <c r="BR28" s="417">
        <f t="shared" si="39"/>
        <v>0</v>
      </c>
      <c r="BS28" s="417">
        <f t="shared" si="40"/>
        <v>242845</v>
      </c>
      <c r="BT28" s="417">
        <f t="shared" si="40"/>
        <v>7185</v>
      </c>
      <c r="BU28" s="417">
        <f>R28+AX28</f>
        <v>4368</v>
      </c>
      <c r="BV28" s="418">
        <f>S28+BK28</f>
        <v>2.15</v>
      </c>
      <c r="BW28" s="418">
        <f t="shared" si="41"/>
        <v>0</v>
      </c>
      <c r="BX28" s="420">
        <f t="shared" si="41"/>
        <v>2.15</v>
      </c>
      <c r="BY28" s="419"/>
      <c r="BZ28" s="414"/>
      <c r="CA28" s="414"/>
      <c r="CB28" s="414"/>
      <c r="CC28" s="414"/>
      <c r="CD28" s="509"/>
      <c r="CE28" s="419"/>
      <c r="CF28" s="601"/>
      <c r="CG28" s="414"/>
      <c r="CH28" s="414"/>
      <c r="CI28" s="601"/>
      <c r="CJ28" s="603"/>
    </row>
    <row r="29" spans="1:88" s="221" customFormat="1" ht="12.75" customHeight="1">
      <c r="A29" s="153">
        <v>5</v>
      </c>
      <c r="B29" s="14">
        <v>3464</v>
      </c>
      <c r="C29" s="152">
        <v>691001316</v>
      </c>
      <c r="D29" s="152">
        <v>72048140</v>
      </c>
      <c r="E29" s="222" t="s">
        <v>17</v>
      </c>
      <c r="F29" s="14"/>
      <c r="G29" s="222"/>
      <c r="H29" s="558"/>
      <c r="I29" s="504">
        <v>8925500</v>
      </c>
      <c r="J29" s="503">
        <v>6543992</v>
      </c>
      <c r="K29" s="503">
        <v>5150305</v>
      </c>
      <c r="L29" s="503">
        <v>1393687</v>
      </c>
      <c r="M29" s="503">
        <v>49200</v>
      </c>
      <c r="N29" s="503">
        <v>20000</v>
      </c>
      <c r="O29" s="503">
        <v>29200</v>
      </c>
      <c r="P29" s="503">
        <v>2228499</v>
      </c>
      <c r="Q29" s="503">
        <v>65441</v>
      </c>
      <c r="R29" s="503">
        <v>38368</v>
      </c>
      <c r="S29" s="543">
        <v>13.846099999999998</v>
      </c>
      <c r="T29" s="543">
        <v>9.379999999999999</v>
      </c>
      <c r="U29" s="1084">
        <v>4.4660999999999991</v>
      </c>
      <c r="V29" s="504">
        <f t="shared" ref="V29:CG29" si="42">SUM(V26:V28)</f>
        <v>20000</v>
      </c>
      <c r="W29" s="503">
        <f t="shared" si="42"/>
        <v>-2000</v>
      </c>
      <c r="X29" s="503">
        <f t="shared" si="42"/>
        <v>46350</v>
      </c>
      <c r="Y29" s="503">
        <f t="shared" si="42"/>
        <v>0</v>
      </c>
      <c r="Z29" s="503">
        <f t="shared" si="42"/>
        <v>0</v>
      </c>
      <c r="AA29" s="503">
        <f t="shared" si="42"/>
        <v>-12047</v>
      </c>
      <c r="AB29" s="503">
        <f t="shared" si="42"/>
        <v>0</v>
      </c>
      <c r="AC29" s="503">
        <f t="shared" si="42"/>
        <v>0</v>
      </c>
      <c r="AD29" s="503">
        <f t="shared" si="42"/>
        <v>0</v>
      </c>
      <c r="AE29" s="503">
        <f t="shared" si="42"/>
        <v>66350</v>
      </c>
      <c r="AF29" s="503">
        <f t="shared" si="42"/>
        <v>-14047</v>
      </c>
      <c r="AG29" s="503">
        <f t="shared" si="42"/>
        <v>52303</v>
      </c>
      <c r="AH29" s="503">
        <f t="shared" si="42"/>
        <v>-20000</v>
      </c>
      <c r="AI29" s="503">
        <f t="shared" si="42"/>
        <v>2000</v>
      </c>
      <c r="AJ29" s="503">
        <f t="shared" si="42"/>
        <v>0</v>
      </c>
      <c r="AK29" s="503">
        <f t="shared" si="42"/>
        <v>0</v>
      </c>
      <c r="AL29" s="503">
        <f t="shared" si="42"/>
        <v>0</v>
      </c>
      <c r="AM29" s="503">
        <f t="shared" si="42"/>
        <v>-20000</v>
      </c>
      <c r="AN29" s="503">
        <f t="shared" si="42"/>
        <v>2000</v>
      </c>
      <c r="AO29" s="503">
        <f t="shared" si="42"/>
        <v>-18000</v>
      </c>
      <c r="AP29" s="503">
        <f t="shared" si="42"/>
        <v>46350</v>
      </c>
      <c r="AQ29" s="503">
        <f t="shared" si="42"/>
        <v>-12047</v>
      </c>
      <c r="AR29" s="503">
        <f t="shared" si="42"/>
        <v>34303</v>
      </c>
      <c r="AS29" s="503">
        <f t="shared" si="42"/>
        <v>11594</v>
      </c>
      <c r="AT29" s="503">
        <f t="shared" si="42"/>
        <v>524</v>
      </c>
      <c r="AU29" s="503">
        <f t="shared" si="42"/>
        <v>0</v>
      </c>
      <c r="AV29" s="503">
        <f t="shared" si="42"/>
        <v>0</v>
      </c>
      <c r="AW29" s="503">
        <f t="shared" si="42"/>
        <v>0</v>
      </c>
      <c r="AX29" s="503">
        <f t="shared" si="42"/>
        <v>0</v>
      </c>
      <c r="AY29" s="503">
        <f t="shared" si="42"/>
        <v>46421</v>
      </c>
      <c r="AZ29" s="543">
        <f t="shared" si="42"/>
        <v>0</v>
      </c>
      <c r="BA29" s="543">
        <f t="shared" si="42"/>
        <v>-0.05</v>
      </c>
      <c r="BB29" s="543">
        <f t="shared" si="42"/>
        <v>0.13</v>
      </c>
      <c r="BC29" s="543">
        <f t="shared" si="42"/>
        <v>0</v>
      </c>
      <c r="BD29" s="543">
        <f t="shared" si="42"/>
        <v>-0.04</v>
      </c>
      <c r="BE29" s="543">
        <f t="shared" si="42"/>
        <v>0</v>
      </c>
      <c r="BF29" s="543">
        <f t="shared" si="42"/>
        <v>0</v>
      </c>
      <c r="BG29" s="543">
        <f t="shared" si="42"/>
        <v>0</v>
      </c>
      <c r="BH29" s="543">
        <f t="shared" si="42"/>
        <v>0</v>
      </c>
      <c r="BI29" s="543">
        <f t="shared" si="42"/>
        <v>0.13</v>
      </c>
      <c r="BJ29" s="543">
        <f t="shared" si="42"/>
        <v>-0.09</v>
      </c>
      <c r="BK29" s="441">
        <f t="shared" si="42"/>
        <v>0.04</v>
      </c>
      <c r="BL29" s="788">
        <f t="shared" si="42"/>
        <v>8971921</v>
      </c>
      <c r="BM29" s="503">
        <f t="shared" si="42"/>
        <v>6596295</v>
      </c>
      <c r="BN29" s="503">
        <f t="shared" si="42"/>
        <v>5216655</v>
      </c>
      <c r="BO29" s="503">
        <f t="shared" si="42"/>
        <v>1379640</v>
      </c>
      <c r="BP29" s="503">
        <f t="shared" si="42"/>
        <v>31200</v>
      </c>
      <c r="BQ29" s="503">
        <f t="shared" si="42"/>
        <v>0</v>
      </c>
      <c r="BR29" s="503">
        <f t="shared" si="42"/>
        <v>31200</v>
      </c>
      <c r="BS29" s="503">
        <f t="shared" si="42"/>
        <v>2240093</v>
      </c>
      <c r="BT29" s="503">
        <f t="shared" si="42"/>
        <v>65965</v>
      </c>
      <c r="BU29" s="503">
        <f t="shared" si="42"/>
        <v>38368</v>
      </c>
      <c r="BV29" s="543">
        <f t="shared" si="42"/>
        <v>13.886099999999999</v>
      </c>
      <c r="BW29" s="543">
        <f t="shared" si="42"/>
        <v>9.51</v>
      </c>
      <c r="BX29" s="441">
        <f t="shared" si="42"/>
        <v>4.3760999999999992</v>
      </c>
      <c r="BY29" s="799">
        <f t="shared" si="42"/>
        <v>0</v>
      </c>
      <c r="BZ29" s="705">
        <f t="shared" si="42"/>
        <v>0</v>
      </c>
      <c r="CA29" s="705">
        <f t="shared" si="42"/>
        <v>0</v>
      </c>
      <c r="CB29" s="705">
        <f t="shared" si="42"/>
        <v>0</v>
      </c>
      <c r="CC29" s="705">
        <f t="shared" si="42"/>
        <v>0</v>
      </c>
      <c r="CD29" s="800">
        <f t="shared" si="42"/>
        <v>0</v>
      </c>
      <c r="CE29" s="896">
        <f t="shared" si="42"/>
        <v>310781</v>
      </c>
      <c r="CF29" s="897">
        <f t="shared" si="42"/>
        <v>222163</v>
      </c>
      <c r="CG29" s="897">
        <f t="shared" si="42"/>
        <v>75091</v>
      </c>
      <c r="CH29" s="897">
        <f t="shared" ref="CH29:CJ29" si="43">SUM(CH26:CH28)</f>
        <v>2222</v>
      </c>
      <c r="CI29" s="897">
        <f t="shared" si="43"/>
        <v>11305</v>
      </c>
      <c r="CJ29" s="898">
        <f t="shared" si="43"/>
        <v>0.75600000000000001</v>
      </c>
    </row>
    <row r="30" spans="1:88" s="221" customFormat="1" ht="12.75" customHeight="1">
      <c r="A30" s="223">
        <v>6</v>
      </c>
      <c r="B30" s="224">
        <v>3453</v>
      </c>
      <c r="C30" s="224">
        <v>667101411</v>
      </c>
      <c r="D30" s="224">
        <v>75109522</v>
      </c>
      <c r="E30" s="225" t="s">
        <v>18</v>
      </c>
      <c r="F30" s="224">
        <v>3111</v>
      </c>
      <c r="G30" s="225" t="s">
        <v>290</v>
      </c>
      <c r="H30" s="226" t="s">
        <v>271</v>
      </c>
      <c r="I30" s="419">
        <v>6435778</v>
      </c>
      <c r="J30" s="414">
        <v>4503407</v>
      </c>
      <c r="K30" s="414">
        <v>3889917</v>
      </c>
      <c r="L30" s="414">
        <v>613490</v>
      </c>
      <c r="M30" s="414">
        <v>323198</v>
      </c>
      <c r="N30" s="414">
        <v>297198</v>
      </c>
      <c r="O30" s="414">
        <v>26000</v>
      </c>
      <c r="P30" s="68">
        <v>1530939</v>
      </c>
      <c r="Q30" s="68">
        <v>45034</v>
      </c>
      <c r="R30" s="414">
        <v>33200</v>
      </c>
      <c r="S30" s="415">
        <v>8.8116000000000003</v>
      </c>
      <c r="T30" s="416">
        <v>6.75</v>
      </c>
      <c r="U30" s="422">
        <v>2.0615999999999999</v>
      </c>
      <c r="V30" s="423">
        <f t="shared" si="2"/>
        <v>0</v>
      </c>
      <c r="W30" s="417">
        <f t="shared" si="3"/>
        <v>-4000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4"/>
        <v>0</v>
      </c>
      <c r="AF30" s="417">
        <f t="shared" si="5"/>
        <v>-4000</v>
      </c>
      <c r="AG30" s="417">
        <f t="shared" si="6"/>
        <v>-4000</v>
      </c>
      <c r="AH30" s="417">
        <v>0</v>
      </c>
      <c r="AI30" s="417">
        <v>4000</v>
      </c>
      <c r="AJ30" s="417">
        <v>0</v>
      </c>
      <c r="AK30" s="417">
        <v>-170000</v>
      </c>
      <c r="AL30" s="417">
        <v>0</v>
      </c>
      <c r="AM30" s="417">
        <f t="shared" si="7"/>
        <v>-170000</v>
      </c>
      <c r="AN30" s="417">
        <f t="shared" si="8"/>
        <v>4000</v>
      </c>
      <c r="AO30" s="417">
        <f t="shared" si="9"/>
        <v>-166000</v>
      </c>
      <c r="AP30" s="417">
        <f t="shared" si="10"/>
        <v>-170000</v>
      </c>
      <c r="AQ30" s="417">
        <f t="shared" si="11"/>
        <v>0</v>
      </c>
      <c r="AR30" s="417">
        <f t="shared" si="12"/>
        <v>-170000</v>
      </c>
      <c r="AS30" s="68">
        <f t="shared" si="13"/>
        <v>0</v>
      </c>
      <c r="AT30" s="68">
        <f t="shared" si="14"/>
        <v>-40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-170040</v>
      </c>
      <c r="AZ30" s="418">
        <v>0</v>
      </c>
      <c r="BA30" s="418">
        <v>-0.02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-0.02</v>
      </c>
      <c r="BK30" s="420">
        <f t="shared" si="19"/>
        <v>-0.02</v>
      </c>
      <c r="BL30" s="772">
        <f>I30+AY30</f>
        <v>6265738</v>
      </c>
      <c r="BM30" s="417">
        <f>J30+AG30</f>
        <v>4499407</v>
      </c>
      <c r="BN30" s="417">
        <f>K30+AE30</f>
        <v>3889917</v>
      </c>
      <c r="BO30" s="417">
        <f>L30+AF30</f>
        <v>609490</v>
      </c>
      <c r="BP30" s="417">
        <f>M30+AO30</f>
        <v>157198</v>
      </c>
      <c r="BQ30" s="417">
        <f>N30+AM30</f>
        <v>127198</v>
      </c>
      <c r="BR30" s="417">
        <f>O30+AN30</f>
        <v>30000</v>
      </c>
      <c r="BS30" s="417">
        <f>P30+AS30</f>
        <v>1530939</v>
      </c>
      <c r="BT30" s="417">
        <f>Q30+AT30</f>
        <v>44994</v>
      </c>
      <c r="BU30" s="417">
        <f>R30+AX30</f>
        <v>33200</v>
      </c>
      <c r="BV30" s="418">
        <f>S30+BK30</f>
        <v>8.7916000000000007</v>
      </c>
      <c r="BW30" s="418">
        <f>T30+BI30</f>
        <v>6.75</v>
      </c>
      <c r="BX30" s="420">
        <f>U30+BJ30</f>
        <v>2.0415999999999999</v>
      </c>
      <c r="BY30" s="419"/>
      <c r="BZ30" s="414"/>
      <c r="CA30" s="414"/>
      <c r="CB30" s="414"/>
      <c r="CC30" s="414"/>
      <c r="CD30" s="509"/>
      <c r="CE30" s="419">
        <v>340765</v>
      </c>
      <c r="CF30" s="414">
        <v>244604</v>
      </c>
      <c r="CG30" s="414">
        <v>82676</v>
      </c>
      <c r="CH30" s="414">
        <v>2446</v>
      </c>
      <c r="CI30" s="414">
        <v>11039</v>
      </c>
      <c r="CJ30" s="509">
        <v>0.83160000000000001</v>
      </c>
    </row>
    <row r="31" spans="1:88" s="221" customFormat="1" ht="12.75" customHeight="1">
      <c r="A31" s="223">
        <v>6</v>
      </c>
      <c r="B31" s="224">
        <v>3453</v>
      </c>
      <c r="C31" s="224">
        <v>667101411</v>
      </c>
      <c r="D31" s="224">
        <v>75109522</v>
      </c>
      <c r="E31" s="225" t="s">
        <v>18</v>
      </c>
      <c r="F31" s="224">
        <v>3141</v>
      </c>
      <c r="G31" s="225" t="s">
        <v>294</v>
      </c>
      <c r="H31" s="226" t="s">
        <v>272</v>
      </c>
      <c r="I31" s="419">
        <v>813636</v>
      </c>
      <c r="J31" s="414">
        <v>601157</v>
      </c>
      <c r="K31" s="414">
        <v>0</v>
      </c>
      <c r="L31" s="414">
        <v>601157</v>
      </c>
      <c r="M31" s="414">
        <v>0</v>
      </c>
      <c r="N31" s="414">
        <v>0</v>
      </c>
      <c r="O31" s="414">
        <v>0</v>
      </c>
      <c r="P31" s="68">
        <v>203191</v>
      </c>
      <c r="Q31" s="68">
        <v>6012</v>
      </c>
      <c r="R31" s="414">
        <v>3276</v>
      </c>
      <c r="S31" s="415">
        <v>1.8</v>
      </c>
      <c r="T31" s="416">
        <v>0</v>
      </c>
      <c r="U31" s="422">
        <v>1.8</v>
      </c>
      <c r="V31" s="423">
        <f t="shared" si="2"/>
        <v>0</v>
      </c>
      <c r="W31" s="417">
        <f t="shared" si="3"/>
        <v>0</v>
      </c>
      <c r="X31" s="417">
        <v>0</v>
      </c>
      <c r="Y31" s="417">
        <v>0</v>
      </c>
      <c r="Z31" s="417">
        <v>0</v>
      </c>
      <c r="AA31" s="417">
        <v>-10850</v>
      </c>
      <c r="AB31" s="417">
        <v>0</v>
      </c>
      <c r="AC31" s="417">
        <v>0</v>
      </c>
      <c r="AD31" s="417">
        <v>0</v>
      </c>
      <c r="AE31" s="417">
        <f t="shared" si="4"/>
        <v>0</v>
      </c>
      <c r="AF31" s="417">
        <f t="shared" si="5"/>
        <v>-10850</v>
      </c>
      <c r="AG31" s="417">
        <f t="shared" si="6"/>
        <v>-10850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7"/>
        <v>0</v>
      </c>
      <c r="AN31" s="417">
        <f t="shared" si="8"/>
        <v>0</v>
      </c>
      <c r="AO31" s="417">
        <f t="shared" si="9"/>
        <v>0</v>
      </c>
      <c r="AP31" s="417">
        <f t="shared" si="10"/>
        <v>0</v>
      </c>
      <c r="AQ31" s="417">
        <f t="shared" si="11"/>
        <v>-10850</v>
      </c>
      <c r="AR31" s="417">
        <f t="shared" si="12"/>
        <v>-10850</v>
      </c>
      <c r="AS31" s="68">
        <f t="shared" si="13"/>
        <v>-3667</v>
      </c>
      <c r="AT31" s="68">
        <f t="shared" si="14"/>
        <v>-109</v>
      </c>
      <c r="AU31" s="417">
        <v>0</v>
      </c>
      <c r="AV31" s="417">
        <v>0</v>
      </c>
      <c r="AW31" s="417">
        <v>0</v>
      </c>
      <c r="AX31" s="417">
        <f t="shared" si="15"/>
        <v>0</v>
      </c>
      <c r="AY31" s="417">
        <f t="shared" si="16"/>
        <v>-14626</v>
      </c>
      <c r="AZ31" s="418">
        <v>0</v>
      </c>
      <c r="BA31" s="418">
        <v>0</v>
      </c>
      <c r="BB31" s="418">
        <v>0</v>
      </c>
      <c r="BC31" s="418">
        <v>0</v>
      </c>
      <c r="BD31" s="418">
        <v>-0.03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7"/>
        <v>0</v>
      </c>
      <c r="BJ31" s="418">
        <f t="shared" si="18"/>
        <v>-0.03</v>
      </c>
      <c r="BK31" s="420">
        <f t="shared" si="19"/>
        <v>-0.03</v>
      </c>
      <c r="BL31" s="772">
        <f>I31+AY31</f>
        <v>799010</v>
      </c>
      <c r="BM31" s="417">
        <f>J31+AG31</f>
        <v>590307</v>
      </c>
      <c r="BN31" s="417">
        <f>K31+AE31</f>
        <v>0</v>
      </c>
      <c r="BO31" s="417">
        <f>L31+AF31</f>
        <v>590307</v>
      </c>
      <c r="BP31" s="417">
        <f>M31+AO31</f>
        <v>0</v>
      </c>
      <c r="BQ31" s="417">
        <f>N31+AM31</f>
        <v>0</v>
      </c>
      <c r="BR31" s="417">
        <f>O31+AN31</f>
        <v>0</v>
      </c>
      <c r="BS31" s="417">
        <f>P31+AS31</f>
        <v>199524</v>
      </c>
      <c r="BT31" s="417">
        <f>Q31+AT31</f>
        <v>5903</v>
      </c>
      <c r="BU31" s="417">
        <f>R31+AX31</f>
        <v>3276</v>
      </c>
      <c r="BV31" s="418">
        <f>S31+BK31</f>
        <v>1.77</v>
      </c>
      <c r="BW31" s="418">
        <f>T31+BI31</f>
        <v>0</v>
      </c>
      <c r="BX31" s="420">
        <f>U31+BJ31</f>
        <v>1.77</v>
      </c>
      <c r="BY31" s="419"/>
      <c r="BZ31" s="414"/>
      <c r="CA31" s="414"/>
      <c r="CB31" s="414"/>
      <c r="CC31" s="414"/>
      <c r="CD31" s="509"/>
      <c r="CE31" s="419"/>
      <c r="CF31" s="601"/>
      <c r="CG31" s="414"/>
      <c r="CH31" s="414"/>
      <c r="CI31" s="601"/>
      <c r="CJ31" s="603"/>
    </row>
    <row r="32" spans="1:88" s="221" customFormat="1" ht="12.75" customHeight="1">
      <c r="A32" s="153">
        <v>6</v>
      </c>
      <c r="B32" s="14">
        <v>3453</v>
      </c>
      <c r="C32" s="152">
        <v>667101411</v>
      </c>
      <c r="D32" s="152">
        <v>75109522</v>
      </c>
      <c r="E32" s="222" t="s">
        <v>19</v>
      </c>
      <c r="F32" s="14"/>
      <c r="G32" s="222"/>
      <c r="H32" s="558"/>
      <c r="I32" s="504">
        <v>7249414</v>
      </c>
      <c r="J32" s="503">
        <v>5104564</v>
      </c>
      <c r="K32" s="503">
        <v>3889917</v>
      </c>
      <c r="L32" s="503">
        <v>1214647</v>
      </c>
      <c r="M32" s="503">
        <v>323198</v>
      </c>
      <c r="N32" s="503">
        <v>297198</v>
      </c>
      <c r="O32" s="503">
        <v>26000</v>
      </c>
      <c r="P32" s="503">
        <v>1734130</v>
      </c>
      <c r="Q32" s="503">
        <v>51046</v>
      </c>
      <c r="R32" s="503">
        <v>36476</v>
      </c>
      <c r="S32" s="543">
        <v>10.611600000000001</v>
      </c>
      <c r="T32" s="543">
        <v>6.75</v>
      </c>
      <c r="U32" s="1084">
        <v>3.8616000000000001</v>
      </c>
      <c r="V32" s="504">
        <f t="shared" ref="V32:CG32" si="44">SUM(V30:V31)</f>
        <v>0</v>
      </c>
      <c r="W32" s="503">
        <f t="shared" si="44"/>
        <v>-4000</v>
      </c>
      <c r="X32" s="503">
        <f t="shared" si="44"/>
        <v>0</v>
      </c>
      <c r="Y32" s="503">
        <f t="shared" si="44"/>
        <v>0</v>
      </c>
      <c r="Z32" s="503">
        <f t="shared" si="44"/>
        <v>0</v>
      </c>
      <c r="AA32" s="503">
        <f t="shared" si="44"/>
        <v>-10850</v>
      </c>
      <c r="AB32" s="503">
        <f t="shared" si="44"/>
        <v>0</v>
      </c>
      <c r="AC32" s="503">
        <f t="shared" si="44"/>
        <v>0</v>
      </c>
      <c r="AD32" s="503">
        <f t="shared" si="44"/>
        <v>0</v>
      </c>
      <c r="AE32" s="503">
        <f t="shared" si="44"/>
        <v>0</v>
      </c>
      <c r="AF32" s="503">
        <f t="shared" si="44"/>
        <v>-14850</v>
      </c>
      <c r="AG32" s="503">
        <f t="shared" si="44"/>
        <v>-14850</v>
      </c>
      <c r="AH32" s="503">
        <f t="shared" si="44"/>
        <v>0</v>
      </c>
      <c r="AI32" s="503">
        <f t="shared" si="44"/>
        <v>4000</v>
      </c>
      <c r="AJ32" s="503">
        <f t="shared" si="44"/>
        <v>0</v>
      </c>
      <c r="AK32" s="503">
        <f t="shared" si="44"/>
        <v>-170000</v>
      </c>
      <c r="AL32" s="503">
        <f t="shared" si="44"/>
        <v>0</v>
      </c>
      <c r="AM32" s="503">
        <f t="shared" si="44"/>
        <v>-170000</v>
      </c>
      <c r="AN32" s="503">
        <f t="shared" si="44"/>
        <v>4000</v>
      </c>
      <c r="AO32" s="503">
        <f t="shared" si="44"/>
        <v>-166000</v>
      </c>
      <c r="AP32" s="503">
        <f t="shared" si="44"/>
        <v>-170000</v>
      </c>
      <c r="AQ32" s="503">
        <f t="shared" si="44"/>
        <v>-10850</v>
      </c>
      <c r="AR32" s="503">
        <f t="shared" si="44"/>
        <v>-180850</v>
      </c>
      <c r="AS32" s="503">
        <f t="shared" si="44"/>
        <v>-3667</v>
      </c>
      <c r="AT32" s="503">
        <f t="shared" si="44"/>
        <v>-149</v>
      </c>
      <c r="AU32" s="503">
        <f t="shared" si="44"/>
        <v>0</v>
      </c>
      <c r="AV32" s="503">
        <f t="shared" si="44"/>
        <v>0</v>
      </c>
      <c r="AW32" s="503">
        <f t="shared" si="44"/>
        <v>0</v>
      </c>
      <c r="AX32" s="503">
        <f t="shared" si="44"/>
        <v>0</v>
      </c>
      <c r="AY32" s="503">
        <f t="shared" si="44"/>
        <v>-184666</v>
      </c>
      <c r="AZ32" s="543">
        <f t="shared" si="44"/>
        <v>0</v>
      </c>
      <c r="BA32" s="543">
        <f t="shared" si="44"/>
        <v>-0.02</v>
      </c>
      <c r="BB32" s="543">
        <f t="shared" si="44"/>
        <v>0</v>
      </c>
      <c r="BC32" s="543">
        <f t="shared" si="44"/>
        <v>0</v>
      </c>
      <c r="BD32" s="543">
        <f t="shared" si="44"/>
        <v>-0.03</v>
      </c>
      <c r="BE32" s="543">
        <f t="shared" si="44"/>
        <v>0</v>
      </c>
      <c r="BF32" s="543">
        <f t="shared" si="44"/>
        <v>0</v>
      </c>
      <c r="BG32" s="543">
        <f t="shared" si="44"/>
        <v>0</v>
      </c>
      <c r="BH32" s="543">
        <f t="shared" si="44"/>
        <v>0</v>
      </c>
      <c r="BI32" s="543">
        <f t="shared" si="44"/>
        <v>0</v>
      </c>
      <c r="BJ32" s="543">
        <f t="shared" si="44"/>
        <v>-0.05</v>
      </c>
      <c r="BK32" s="441">
        <f t="shared" si="44"/>
        <v>-0.05</v>
      </c>
      <c r="BL32" s="788">
        <f t="shared" si="44"/>
        <v>7064748</v>
      </c>
      <c r="BM32" s="503">
        <f t="shared" si="44"/>
        <v>5089714</v>
      </c>
      <c r="BN32" s="503">
        <f t="shared" si="44"/>
        <v>3889917</v>
      </c>
      <c r="BO32" s="503">
        <f t="shared" si="44"/>
        <v>1199797</v>
      </c>
      <c r="BP32" s="503">
        <f t="shared" si="44"/>
        <v>157198</v>
      </c>
      <c r="BQ32" s="503">
        <f t="shared" si="44"/>
        <v>127198</v>
      </c>
      <c r="BR32" s="503">
        <f t="shared" si="44"/>
        <v>30000</v>
      </c>
      <c r="BS32" s="503">
        <f t="shared" si="44"/>
        <v>1730463</v>
      </c>
      <c r="BT32" s="503">
        <f t="shared" si="44"/>
        <v>50897</v>
      </c>
      <c r="BU32" s="503">
        <f t="shared" si="44"/>
        <v>36476</v>
      </c>
      <c r="BV32" s="543">
        <f t="shared" si="44"/>
        <v>10.5616</v>
      </c>
      <c r="BW32" s="543">
        <f t="shared" si="44"/>
        <v>6.75</v>
      </c>
      <c r="BX32" s="441">
        <f t="shared" si="44"/>
        <v>3.8115999999999999</v>
      </c>
      <c r="BY32" s="799">
        <f t="shared" si="44"/>
        <v>0</v>
      </c>
      <c r="BZ32" s="705">
        <f t="shared" si="44"/>
        <v>0</v>
      </c>
      <c r="CA32" s="705">
        <f t="shared" si="44"/>
        <v>0</v>
      </c>
      <c r="CB32" s="705">
        <f t="shared" si="44"/>
        <v>0</v>
      </c>
      <c r="CC32" s="705">
        <f t="shared" si="44"/>
        <v>0</v>
      </c>
      <c r="CD32" s="800">
        <f t="shared" si="44"/>
        <v>0</v>
      </c>
      <c r="CE32" s="896">
        <f t="shared" si="44"/>
        <v>340765</v>
      </c>
      <c r="CF32" s="897">
        <f t="shared" si="44"/>
        <v>244604</v>
      </c>
      <c r="CG32" s="897">
        <f t="shared" si="44"/>
        <v>82676</v>
      </c>
      <c r="CH32" s="897">
        <f t="shared" ref="CH32:CJ32" si="45">SUM(CH30:CH31)</f>
        <v>2446</v>
      </c>
      <c r="CI32" s="897">
        <f t="shared" si="45"/>
        <v>11039</v>
      </c>
      <c r="CJ32" s="898">
        <f t="shared" si="45"/>
        <v>0.83160000000000001</v>
      </c>
    </row>
    <row r="33" spans="1:88" s="221" customFormat="1" ht="12.75" customHeight="1">
      <c r="A33" s="223">
        <v>7</v>
      </c>
      <c r="B33" s="224">
        <v>3471</v>
      </c>
      <c r="C33" s="224">
        <v>691003491</v>
      </c>
      <c r="D33" s="224">
        <v>72550376</v>
      </c>
      <c r="E33" s="225" t="s">
        <v>20</v>
      </c>
      <c r="F33" s="224">
        <v>3111</v>
      </c>
      <c r="G33" s="225" t="s">
        <v>290</v>
      </c>
      <c r="H33" s="226" t="s">
        <v>271</v>
      </c>
      <c r="I33" s="419">
        <v>6947207</v>
      </c>
      <c r="J33" s="414">
        <v>5123373</v>
      </c>
      <c r="K33" s="414">
        <v>4431008</v>
      </c>
      <c r="L33" s="414">
        <v>692365</v>
      </c>
      <c r="M33" s="414">
        <v>0</v>
      </c>
      <c r="N33" s="414">
        <v>0</v>
      </c>
      <c r="O33" s="414">
        <v>0</v>
      </c>
      <c r="P33" s="68">
        <v>1731700</v>
      </c>
      <c r="Q33" s="68">
        <v>51234</v>
      </c>
      <c r="R33" s="414">
        <v>40900</v>
      </c>
      <c r="S33" s="415">
        <v>9.9367000000000001</v>
      </c>
      <c r="T33" s="416">
        <v>7.5805999999999996</v>
      </c>
      <c r="U33" s="422">
        <v>2.3560999999999996</v>
      </c>
      <c r="V33" s="423">
        <f t="shared" si="2"/>
        <v>0</v>
      </c>
      <c r="W33" s="417">
        <f t="shared" si="3"/>
        <v>0</v>
      </c>
      <c r="X33" s="417">
        <v>0</v>
      </c>
      <c r="Y33" s="417">
        <v>0</v>
      </c>
      <c r="Z33" s="417">
        <v>65668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4"/>
        <v>65668</v>
      </c>
      <c r="AF33" s="417">
        <f t="shared" si="5"/>
        <v>0</v>
      </c>
      <c r="AG33" s="417">
        <f t="shared" si="6"/>
        <v>65668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7"/>
        <v>0</v>
      </c>
      <c r="AN33" s="417">
        <f t="shared" si="8"/>
        <v>0</v>
      </c>
      <c r="AO33" s="417">
        <f t="shared" si="9"/>
        <v>0</v>
      </c>
      <c r="AP33" s="417">
        <f t="shared" si="10"/>
        <v>65668</v>
      </c>
      <c r="AQ33" s="417">
        <f t="shared" si="11"/>
        <v>0</v>
      </c>
      <c r="AR33" s="417">
        <f t="shared" si="12"/>
        <v>65668</v>
      </c>
      <c r="AS33" s="68">
        <f t="shared" si="13"/>
        <v>22196</v>
      </c>
      <c r="AT33" s="68">
        <f t="shared" si="14"/>
        <v>657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88521</v>
      </c>
      <c r="AZ33" s="418">
        <v>0</v>
      </c>
      <c r="BA33" s="418">
        <v>0</v>
      </c>
      <c r="BB33" s="418">
        <v>0</v>
      </c>
      <c r="BC33" s="418">
        <v>0.16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0.16</v>
      </c>
      <c r="BJ33" s="418">
        <f t="shared" si="18"/>
        <v>0</v>
      </c>
      <c r="BK33" s="420">
        <f t="shared" si="19"/>
        <v>0.16</v>
      </c>
      <c r="BL33" s="772">
        <f>I33+AY33</f>
        <v>7035728</v>
      </c>
      <c r="BM33" s="417">
        <f>J33+AG33</f>
        <v>5189041</v>
      </c>
      <c r="BN33" s="417">
        <f t="shared" ref="BN33:BO35" si="46">K33+AE33</f>
        <v>4496676</v>
      </c>
      <c r="BO33" s="417">
        <f t="shared" si="46"/>
        <v>692365</v>
      </c>
      <c r="BP33" s="417">
        <f>M33+AO33</f>
        <v>0</v>
      </c>
      <c r="BQ33" s="417">
        <f t="shared" ref="BQ33:BR35" si="47">N33+AM33</f>
        <v>0</v>
      </c>
      <c r="BR33" s="417">
        <f t="shared" si="47"/>
        <v>0</v>
      </c>
      <c r="BS33" s="417">
        <f t="shared" ref="BS33:BT35" si="48">P33+AS33</f>
        <v>1753896</v>
      </c>
      <c r="BT33" s="417">
        <f t="shared" si="48"/>
        <v>51891</v>
      </c>
      <c r="BU33" s="417">
        <f>R33+AX33</f>
        <v>40900</v>
      </c>
      <c r="BV33" s="418">
        <f>S33+BK33</f>
        <v>10.0967</v>
      </c>
      <c r="BW33" s="418">
        <f t="shared" ref="BW33:BX35" si="49">T33+BI33</f>
        <v>7.7405999999999997</v>
      </c>
      <c r="BX33" s="420">
        <f t="shared" si="49"/>
        <v>2.3560999999999996</v>
      </c>
      <c r="BY33" s="419"/>
      <c r="BZ33" s="414"/>
      <c r="CA33" s="414"/>
      <c r="CB33" s="414"/>
      <c r="CC33" s="414"/>
      <c r="CD33" s="509"/>
      <c r="CE33" s="419">
        <v>313079</v>
      </c>
      <c r="CF33" s="414">
        <v>222163</v>
      </c>
      <c r="CG33" s="414">
        <v>75091</v>
      </c>
      <c r="CH33" s="414">
        <v>2222</v>
      </c>
      <c r="CI33" s="414">
        <v>13603</v>
      </c>
      <c r="CJ33" s="509">
        <v>0.75600000000000001</v>
      </c>
    </row>
    <row r="34" spans="1:88" s="221" customFormat="1" ht="12.75" customHeight="1">
      <c r="A34" s="223">
        <v>7</v>
      </c>
      <c r="B34" s="224">
        <v>3471</v>
      </c>
      <c r="C34" s="224">
        <v>691003491</v>
      </c>
      <c r="D34" s="224">
        <v>72550376</v>
      </c>
      <c r="E34" s="225" t="s">
        <v>20</v>
      </c>
      <c r="F34" s="224">
        <v>3111</v>
      </c>
      <c r="G34" s="225" t="s">
        <v>291</v>
      </c>
      <c r="H34" s="226" t="s">
        <v>272</v>
      </c>
      <c r="I34" s="419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68">
        <v>0</v>
      </c>
      <c r="Q34" s="68">
        <v>0</v>
      </c>
      <c r="R34" s="414">
        <v>0</v>
      </c>
      <c r="S34" s="415">
        <v>0</v>
      </c>
      <c r="T34" s="416">
        <v>0</v>
      </c>
      <c r="U34" s="422">
        <v>0</v>
      </c>
      <c r="V34" s="423">
        <f t="shared" si="2"/>
        <v>0</v>
      </c>
      <c r="W34" s="417">
        <f t="shared" si="3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4"/>
        <v>0</v>
      </c>
      <c r="AF34" s="417">
        <f t="shared" si="5"/>
        <v>0</v>
      </c>
      <c r="AG34" s="417">
        <f t="shared" si="6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7"/>
        <v>0</v>
      </c>
      <c r="AN34" s="417">
        <f t="shared" si="8"/>
        <v>0</v>
      </c>
      <c r="AO34" s="417">
        <f t="shared" si="9"/>
        <v>0</v>
      </c>
      <c r="AP34" s="417">
        <f t="shared" si="10"/>
        <v>0</v>
      </c>
      <c r="AQ34" s="417">
        <f t="shared" si="11"/>
        <v>0</v>
      </c>
      <c r="AR34" s="417">
        <f t="shared" si="12"/>
        <v>0</v>
      </c>
      <c r="AS34" s="68">
        <f t="shared" si="13"/>
        <v>0</v>
      </c>
      <c r="AT34" s="68">
        <f t="shared" si="14"/>
        <v>0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0</v>
      </c>
      <c r="BK34" s="420">
        <f t="shared" si="19"/>
        <v>0</v>
      </c>
      <c r="BL34" s="772">
        <f>I34+AY34</f>
        <v>0</v>
      </c>
      <c r="BM34" s="417">
        <f>J34+AG34</f>
        <v>0</v>
      </c>
      <c r="BN34" s="417">
        <f t="shared" si="46"/>
        <v>0</v>
      </c>
      <c r="BO34" s="417">
        <f t="shared" si="46"/>
        <v>0</v>
      </c>
      <c r="BP34" s="417">
        <f>M34+AO34</f>
        <v>0</v>
      </c>
      <c r="BQ34" s="417">
        <f t="shared" si="47"/>
        <v>0</v>
      </c>
      <c r="BR34" s="417">
        <f t="shared" si="47"/>
        <v>0</v>
      </c>
      <c r="BS34" s="417">
        <f t="shared" si="48"/>
        <v>0</v>
      </c>
      <c r="BT34" s="417">
        <f t="shared" si="48"/>
        <v>0</v>
      </c>
      <c r="BU34" s="417">
        <f>R34+AX34</f>
        <v>0</v>
      </c>
      <c r="BV34" s="418">
        <f>S34+BK34</f>
        <v>0</v>
      </c>
      <c r="BW34" s="418">
        <f t="shared" si="49"/>
        <v>0</v>
      </c>
      <c r="BX34" s="420">
        <f t="shared" si="49"/>
        <v>0</v>
      </c>
      <c r="BY34" s="419"/>
      <c r="BZ34" s="414"/>
      <c r="CA34" s="414"/>
      <c r="CB34" s="414"/>
      <c r="CC34" s="414"/>
      <c r="CD34" s="509"/>
      <c r="CE34" s="419"/>
      <c r="CF34" s="414"/>
      <c r="CG34" s="414"/>
      <c r="CH34" s="414"/>
      <c r="CI34" s="414"/>
      <c r="CJ34" s="509"/>
    </row>
    <row r="35" spans="1:88" s="221" customFormat="1" ht="12.75" customHeight="1">
      <c r="A35" s="223">
        <v>7</v>
      </c>
      <c r="B35" s="224">
        <v>3471</v>
      </c>
      <c r="C35" s="224">
        <v>691003491</v>
      </c>
      <c r="D35" s="224">
        <v>72550376</v>
      </c>
      <c r="E35" s="225" t="s">
        <v>20</v>
      </c>
      <c r="F35" s="224">
        <v>3141</v>
      </c>
      <c r="G35" s="225" t="s">
        <v>294</v>
      </c>
      <c r="H35" s="226" t="s">
        <v>272</v>
      </c>
      <c r="I35" s="419">
        <v>1045819</v>
      </c>
      <c r="J35" s="414">
        <v>772320</v>
      </c>
      <c r="K35" s="414">
        <v>0</v>
      </c>
      <c r="L35" s="414">
        <v>772320</v>
      </c>
      <c r="M35" s="414">
        <v>0</v>
      </c>
      <c r="N35" s="414">
        <v>0</v>
      </c>
      <c r="O35" s="414">
        <v>0</v>
      </c>
      <c r="P35" s="68">
        <v>261044</v>
      </c>
      <c r="Q35" s="68">
        <v>7723</v>
      </c>
      <c r="R35" s="414">
        <v>4732</v>
      </c>
      <c r="S35" s="415">
        <v>2.3200000000000003</v>
      </c>
      <c r="T35" s="416">
        <v>0</v>
      </c>
      <c r="U35" s="422">
        <v>2.3200000000000003</v>
      </c>
      <c r="V35" s="423">
        <f t="shared" si="2"/>
        <v>0</v>
      </c>
      <c r="W35" s="417">
        <f t="shared" si="3"/>
        <v>0</v>
      </c>
      <c r="X35" s="417">
        <v>0</v>
      </c>
      <c r="Y35" s="417">
        <v>0</v>
      </c>
      <c r="Z35" s="417">
        <v>0</v>
      </c>
      <c r="AA35" s="417">
        <v>-13933</v>
      </c>
      <c r="AB35" s="417">
        <v>0</v>
      </c>
      <c r="AC35" s="417">
        <v>0</v>
      </c>
      <c r="AD35" s="417">
        <v>0</v>
      </c>
      <c r="AE35" s="417">
        <f t="shared" si="4"/>
        <v>0</v>
      </c>
      <c r="AF35" s="417">
        <f t="shared" si="5"/>
        <v>-13933</v>
      </c>
      <c r="AG35" s="417">
        <f t="shared" si="6"/>
        <v>-13933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7"/>
        <v>0</v>
      </c>
      <c r="AN35" s="417">
        <f t="shared" si="8"/>
        <v>0</v>
      </c>
      <c r="AO35" s="417">
        <f t="shared" si="9"/>
        <v>0</v>
      </c>
      <c r="AP35" s="417">
        <f t="shared" si="10"/>
        <v>0</v>
      </c>
      <c r="AQ35" s="417">
        <f t="shared" si="11"/>
        <v>-13933</v>
      </c>
      <c r="AR35" s="417">
        <f t="shared" si="12"/>
        <v>-13933</v>
      </c>
      <c r="AS35" s="68">
        <f t="shared" si="13"/>
        <v>-4709</v>
      </c>
      <c r="AT35" s="68">
        <f t="shared" si="14"/>
        <v>-139</v>
      </c>
      <c r="AU35" s="417">
        <v>0</v>
      </c>
      <c r="AV35" s="417">
        <v>0</v>
      </c>
      <c r="AW35" s="417">
        <v>0</v>
      </c>
      <c r="AX35" s="417">
        <f t="shared" si="15"/>
        <v>0</v>
      </c>
      <c r="AY35" s="417">
        <f t="shared" si="16"/>
        <v>-18781</v>
      </c>
      <c r="AZ35" s="418">
        <v>0</v>
      </c>
      <c r="BA35" s="418">
        <v>0</v>
      </c>
      <c r="BB35" s="418">
        <v>0</v>
      </c>
      <c r="BC35" s="418">
        <v>0</v>
      </c>
      <c r="BD35" s="418">
        <v>-0.04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7"/>
        <v>0</v>
      </c>
      <c r="BJ35" s="418">
        <f t="shared" si="18"/>
        <v>-0.04</v>
      </c>
      <c r="BK35" s="420">
        <f t="shared" si="19"/>
        <v>-0.04</v>
      </c>
      <c r="BL35" s="772">
        <f>I35+AY35</f>
        <v>1027038</v>
      </c>
      <c r="BM35" s="417">
        <f>J35+AG35</f>
        <v>758387</v>
      </c>
      <c r="BN35" s="417">
        <f t="shared" si="46"/>
        <v>0</v>
      </c>
      <c r="BO35" s="417">
        <f t="shared" si="46"/>
        <v>758387</v>
      </c>
      <c r="BP35" s="417">
        <f>M35+AO35</f>
        <v>0</v>
      </c>
      <c r="BQ35" s="417">
        <f t="shared" si="47"/>
        <v>0</v>
      </c>
      <c r="BR35" s="417">
        <f t="shared" si="47"/>
        <v>0</v>
      </c>
      <c r="BS35" s="417">
        <f t="shared" si="48"/>
        <v>256335</v>
      </c>
      <c r="BT35" s="417">
        <f t="shared" si="48"/>
        <v>7584</v>
      </c>
      <c r="BU35" s="417">
        <f>R35+AX35</f>
        <v>4732</v>
      </c>
      <c r="BV35" s="418">
        <f>S35+BK35</f>
        <v>2.2800000000000002</v>
      </c>
      <c r="BW35" s="418">
        <f t="shared" si="49"/>
        <v>0</v>
      </c>
      <c r="BX35" s="420">
        <f t="shared" si="49"/>
        <v>2.2800000000000002</v>
      </c>
      <c r="BY35" s="419"/>
      <c r="BZ35" s="414"/>
      <c r="CA35" s="414"/>
      <c r="CB35" s="414"/>
      <c r="CC35" s="414"/>
      <c r="CD35" s="509"/>
      <c r="CE35" s="419"/>
      <c r="CF35" s="601"/>
      <c r="CG35" s="414"/>
      <c r="CH35" s="414"/>
      <c r="CI35" s="601"/>
      <c r="CJ35" s="603"/>
    </row>
    <row r="36" spans="1:88" s="221" customFormat="1" ht="12.75" customHeight="1">
      <c r="A36" s="153">
        <v>7</v>
      </c>
      <c r="B36" s="14">
        <v>3471</v>
      </c>
      <c r="C36" s="152">
        <v>691003491</v>
      </c>
      <c r="D36" s="152">
        <v>72550376</v>
      </c>
      <c r="E36" s="222" t="s">
        <v>21</v>
      </c>
      <c r="F36" s="14"/>
      <c r="G36" s="222"/>
      <c r="H36" s="558"/>
      <c r="I36" s="504">
        <v>7993026</v>
      </c>
      <c r="J36" s="503">
        <v>5895693</v>
      </c>
      <c r="K36" s="503">
        <v>4431008</v>
      </c>
      <c r="L36" s="503">
        <v>1464685</v>
      </c>
      <c r="M36" s="503">
        <v>0</v>
      </c>
      <c r="N36" s="503">
        <v>0</v>
      </c>
      <c r="O36" s="503">
        <v>0</v>
      </c>
      <c r="P36" s="503">
        <v>1992744</v>
      </c>
      <c r="Q36" s="503">
        <v>58957</v>
      </c>
      <c r="R36" s="503">
        <v>45632</v>
      </c>
      <c r="S36" s="543">
        <v>12.2567</v>
      </c>
      <c r="T36" s="543">
        <v>7.5805999999999996</v>
      </c>
      <c r="U36" s="1084">
        <v>4.6760999999999999</v>
      </c>
      <c r="V36" s="504">
        <f t="shared" ref="V36:CG36" si="50">SUM(V33:V35)</f>
        <v>0</v>
      </c>
      <c r="W36" s="503">
        <f t="shared" si="50"/>
        <v>0</v>
      </c>
      <c r="X36" s="503">
        <f t="shared" si="50"/>
        <v>0</v>
      </c>
      <c r="Y36" s="503">
        <f t="shared" si="50"/>
        <v>0</v>
      </c>
      <c r="Z36" s="503">
        <f t="shared" si="50"/>
        <v>65668</v>
      </c>
      <c r="AA36" s="503">
        <f t="shared" si="50"/>
        <v>-13933</v>
      </c>
      <c r="AB36" s="503">
        <f t="shared" si="50"/>
        <v>0</v>
      </c>
      <c r="AC36" s="503">
        <f t="shared" si="50"/>
        <v>0</v>
      </c>
      <c r="AD36" s="503">
        <f t="shared" si="50"/>
        <v>0</v>
      </c>
      <c r="AE36" s="503">
        <f t="shared" si="50"/>
        <v>65668</v>
      </c>
      <c r="AF36" s="503">
        <f t="shared" si="50"/>
        <v>-13933</v>
      </c>
      <c r="AG36" s="503">
        <f t="shared" si="50"/>
        <v>51735</v>
      </c>
      <c r="AH36" s="503">
        <f t="shared" si="50"/>
        <v>0</v>
      </c>
      <c r="AI36" s="503">
        <f t="shared" si="50"/>
        <v>0</v>
      </c>
      <c r="AJ36" s="503">
        <f t="shared" si="50"/>
        <v>0</v>
      </c>
      <c r="AK36" s="503">
        <f t="shared" si="50"/>
        <v>0</v>
      </c>
      <c r="AL36" s="503">
        <f t="shared" si="50"/>
        <v>0</v>
      </c>
      <c r="AM36" s="503">
        <f t="shared" si="50"/>
        <v>0</v>
      </c>
      <c r="AN36" s="503">
        <f t="shared" si="50"/>
        <v>0</v>
      </c>
      <c r="AO36" s="503">
        <f t="shared" si="50"/>
        <v>0</v>
      </c>
      <c r="AP36" s="503">
        <f t="shared" si="50"/>
        <v>65668</v>
      </c>
      <c r="AQ36" s="503">
        <f t="shared" si="50"/>
        <v>-13933</v>
      </c>
      <c r="AR36" s="503">
        <f t="shared" si="50"/>
        <v>51735</v>
      </c>
      <c r="AS36" s="503">
        <f t="shared" si="50"/>
        <v>17487</v>
      </c>
      <c r="AT36" s="503">
        <f t="shared" si="50"/>
        <v>518</v>
      </c>
      <c r="AU36" s="503">
        <f t="shared" si="50"/>
        <v>0</v>
      </c>
      <c r="AV36" s="503">
        <f t="shared" si="50"/>
        <v>0</v>
      </c>
      <c r="AW36" s="503">
        <f t="shared" si="50"/>
        <v>0</v>
      </c>
      <c r="AX36" s="503">
        <f t="shared" si="50"/>
        <v>0</v>
      </c>
      <c r="AY36" s="503">
        <f t="shared" si="50"/>
        <v>69740</v>
      </c>
      <c r="AZ36" s="543">
        <f t="shared" si="50"/>
        <v>0</v>
      </c>
      <c r="BA36" s="543">
        <f t="shared" si="50"/>
        <v>0</v>
      </c>
      <c r="BB36" s="543">
        <f t="shared" si="50"/>
        <v>0</v>
      </c>
      <c r="BC36" s="543">
        <f t="shared" si="50"/>
        <v>0.16</v>
      </c>
      <c r="BD36" s="543">
        <f t="shared" si="50"/>
        <v>-0.04</v>
      </c>
      <c r="BE36" s="543">
        <f t="shared" si="50"/>
        <v>0</v>
      </c>
      <c r="BF36" s="543">
        <f t="shared" si="50"/>
        <v>0</v>
      </c>
      <c r="BG36" s="543">
        <f t="shared" si="50"/>
        <v>0</v>
      </c>
      <c r="BH36" s="543">
        <f t="shared" si="50"/>
        <v>0</v>
      </c>
      <c r="BI36" s="543">
        <f t="shared" si="50"/>
        <v>0.16</v>
      </c>
      <c r="BJ36" s="543">
        <f t="shared" si="50"/>
        <v>-0.04</v>
      </c>
      <c r="BK36" s="441">
        <f t="shared" si="50"/>
        <v>0.12</v>
      </c>
      <c r="BL36" s="788">
        <f t="shared" si="50"/>
        <v>8062766</v>
      </c>
      <c r="BM36" s="503">
        <f t="shared" si="50"/>
        <v>5947428</v>
      </c>
      <c r="BN36" s="503">
        <f t="shared" si="50"/>
        <v>4496676</v>
      </c>
      <c r="BO36" s="503">
        <f t="shared" si="50"/>
        <v>1450752</v>
      </c>
      <c r="BP36" s="503">
        <f t="shared" si="50"/>
        <v>0</v>
      </c>
      <c r="BQ36" s="503">
        <f t="shared" si="50"/>
        <v>0</v>
      </c>
      <c r="BR36" s="503">
        <f t="shared" si="50"/>
        <v>0</v>
      </c>
      <c r="BS36" s="503">
        <f t="shared" si="50"/>
        <v>2010231</v>
      </c>
      <c r="BT36" s="503">
        <f t="shared" si="50"/>
        <v>59475</v>
      </c>
      <c r="BU36" s="503">
        <f t="shared" si="50"/>
        <v>45632</v>
      </c>
      <c r="BV36" s="543">
        <f t="shared" si="50"/>
        <v>12.3767</v>
      </c>
      <c r="BW36" s="543">
        <f t="shared" si="50"/>
        <v>7.7405999999999997</v>
      </c>
      <c r="BX36" s="441">
        <f t="shared" si="50"/>
        <v>4.6360999999999999</v>
      </c>
      <c r="BY36" s="799">
        <f t="shared" si="50"/>
        <v>0</v>
      </c>
      <c r="BZ36" s="705">
        <f t="shared" si="50"/>
        <v>0</v>
      </c>
      <c r="CA36" s="705">
        <f t="shared" si="50"/>
        <v>0</v>
      </c>
      <c r="CB36" s="705">
        <f t="shared" si="50"/>
        <v>0</v>
      </c>
      <c r="CC36" s="705">
        <f t="shared" si="50"/>
        <v>0</v>
      </c>
      <c r="CD36" s="800">
        <f t="shared" si="50"/>
        <v>0</v>
      </c>
      <c r="CE36" s="896">
        <f t="shared" si="50"/>
        <v>313079</v>
      </c>
      <c r="CF36" s="897">
        <f t="shared" si="50"/>
        <v>222163</v>
      </c>
      <c r="CG36" s="897">
        <f t="shared" si="50"/>
        <v>75091</v>
      </c>
      <c r="CH36" s="897">
        <f t="shared" ref="CH36:CJ36" si="51">SUM(CH33:CH35)</f>
        <v>2222</v>
      </c>
      <c r="CI36" s="897">
        <f t="shared" si="51"/>
        <v>13603</v>
      </c>
      <c r="CJ36" s="898">
        <f t="shared" si="51"/>
        <v>0.75600000000000001</v>
      </c>
    </row>
    <row r="37" spans="1:88" s="221" customFormat="1" ht="12.75" customHeight="1">
      <c r="A37" s="223">
        <v>8</v>
      </c>
      <c r="B37" s="224">
        <v>3472</v>
      </c>
      <c r="C37" s="224">
        <v>691003564</v>
      </c>
      <c r="D37" s="224">
        <v>72550368</v>
      </c>
      <c r="E37" s="225" t="s">
        <v>22</v>
      </c>
      <c r="F37" s="224">
        <v>3111</v>
      </c>
      <c r="G37" s="225" t="s">
        <v>290</v>
      </c>
      <c r="H37" s="226" t="s">
        <v>271</v>
      </c>
      <c r="I37" s="419">
        <v>5064557</v>
      </c>
      <c r="J37" s="414">
        <v>3740769</v>
      </c>
      <c r="K37" s="414">
        <v>3250913</v>
      </c>
      <c r="L37" s="414">
        <v>489856</v>
      </c>
      <c r="M37" s="414">
        <v>0</v>
      </c>
      <c r="N37" s="414">
        <v>0</v>
      </c>
      <c r="O37" s="414">
        <v>0</v>
      </c>
      <c r="P37" s="68">
        <v>1264380</v>
      </c>
      <c r="Q37" s="68">
        <v>37408</v>
      </c>
      <c r="R37" s="414">
        <v>22000</v>
      </c>
      <c r="S37" s="415">
        <v>7.6492000000000004</v>
      </c>
      <c r="T37" s="416">
        <v>6</v>
      </c>
      <c r="U37" s="422">
        <v>1.6492</v>
      </c>
      <c r="V37" s="423">
        <f t="shared" si="2"/>
        <v>0</v>
      </c>
      <c r="W37" s="417">
        <f t="shared" si="3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4"/>
        <v>0</v>
      </c>
      <c r="AF37" s="417">
        <f t="shared" si="5"/>
        <v>0</v>
      </c>
      <c r="AG37" s="417">
        <f t="shared" si="6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7"/>
        <v>0</v>
      </c>
      <c r="AN37" s="417">
        <f t="shared" si="8"/>
        <v>0</v>
      </c>
      <c r="AO37" s="417">
        <f t="shared" si="9"/>
        <v>0</v>
      </c>
      <c r="AP37" s="417">
        <f t="shared" si="10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>I37+AY37</f>
        <v>5064557</v>
      </c>
      <c r="BM37" s="417">
        <f>J37+AG37</f>
        <v>3740769</v>
      </c>
      <c r="BN37" s="417">
        <f t="shared" ref="BN37:BO39" si="52">K37+AE37</f>
        <v>3250913</v>
      </c>
      <c r="BO37" s="417">
        <f t="shared" si="52"/>
        <v>489856</v>
      </c>
      <c r="BP37" s="417">
        <f>M37+AO37</f>
        <v>0</v>
      </c>
      <c r="BQ37" s="417">
        <f t="shared" ref="BQ37:BR39" si="53">N37+AM37</f>
        <v>0</v>
      </c>
      <c r="BR37" s="417">
        <f t="shared" si="53"/>
        <v>0</v>
      </c>
      <c r="BS37" s="417">
        <f t="shared" ref="BS37:BT39" si="54">P37+AS37</f>
        <v>1264380</v>
      </c>
      <c r="BT37" s="417">
        <f t="shared" si="54"/>
        <v>37408</v>
      </c>
      <c r="BU37" s="417">
        <f>R37+AX37</f>
        <v>22000</v>
      </c>
      <c r="BV37" s="418">
        <f>S37+BK37</f>
        <v>7.6492000000000004</v>
      </c>
      <c r="BW37" s="418">
        <f t="shared" ref="BW37:BX39" si="55">T37+BI37</f>
        <v>6</v>
      </c>
      <c r="BX37" s="420">
        <f t="shared" si="55"/>
        <v>1.6492</v>
      </c>
      <c r="BY37" s="419"/>
      <c r="BZ37" s="414"/>
      <c r="CA37" s="414"/>
      <c r="CB37" s="414"/>
      <c r="CC37" s="414"/>
      <c r="CD37" s="509"/>
      <c r="CE37" s="419">
        <v>219203</v>
      </c>
      <c r="CF37" s="414">
        <v>157187</v>
      </c>
      <c r="CG37" s="414">
        <v>53129</v>
      </c>
      <c r="CH37" s="414">
        <v>1572</v>
      </c>
      <c r="CI37" s="414">
        <v>7315</v>
      </c>
      <c r="CJ37" s="509">
        <v>0.5292</v>
      </c>
    </row>
    <row r="38" spans="1:88" s="221" customFormat="1" ht="12.75" customHeight="1">
      <c r="A38" s="223">
        <v>8</v>
      </c>
      <c r="B38" s="224">
        <v>3472</v>
      </c>
      <c r="C38" s="224">
        <v>691003564</v>
      </c>
      <c r="D38" s="224">
        <v>72550368</v>
      </c>
      <c r="E38" s="225" t="s">
        <v>22</v>
      </c>
      <c r="F38" s="224">
        <v>3111</v>
      </c>
      <c r="G38" s="225" t="s">
        <v>291</v>
      </c>
      <c r="H38" s="226" t="s">
        <v>272</v>
      </c>
      <c r="I38" s="419">
        <v>358554</v>
      </c>
      <c r="J38" s="414">
        <v>262651</v>
      </c>
      <c r="K38" s="414">
        <v>262651</v>
      </c>
      <c r="L38" s="414">
        <v>0</v>
      </c>
      <c r="M38" s="414">
        <v>0</v>
      </c>
      <c r="N38" s="414">
        <v>0</v>
      </c>
      <c r="O38" s="414">
        <v>0</v>
      </c>
      <c r="P38" s="68">
        <v>88776</v>
      </c>
      <c r="Q38" s="68">
        <v>2627</v>
      </c>
      <c r="R38" s="414">
        <v>4500</v>
      </c>
      <c r="S38" s="415">
        <v>0.71</v>
      </c>
      <c r="T38" s="416">
        <v>0.71</v>
      </c>
      <c r="U38" s="422">
        <v>0</v>
      </c>
      <c r="V38" s="423">
        <f t="shared" si="2"/>
        <v>0</v>
      </c>
      <c r="W38" s="417">
        <f t="shared" si="3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4"/>
        <v>0</v>
      </c>
      <c r="AF38" s="417">
        <f t="shared" si="5"/>
        <v>0</v>
      </c>
      <c r="AG38" s="417">
        <f t="shared" si="6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7"/>
        <v>0</v>
      </c>
      <c r="AN38" s="417">
        <f t="shared" si="8"/>
        <v>0</v>
      </c>
      <c r="AO38" s="417">
        <f t="shared" si="9"/>
        <v>0</v>
      </c>
      <c r="AP38" s="417">
        <f t="shared" si="10"/>
        <v>0</v>
      </c>
      <c r="AQ38" s="417">
        <f t="shared" si="11"/>
        <v>0</v>
      </c>
      <c r="AR38" s="417">
        <f t="shared" si="12"/>
        <v>0</v>
      </c>
      <c r="AS38" s="68">
        <f t="shared" si="13"/>
        <v>0</v>
      </c>
      <c r="AT38" s="68">
        <f t="shared" si="14"/>
        <v>0</v>
      </c>
      <c r="AU38" s="417">
        <v>0</v>
      </c>
      <c r="AV38" s="417">
        <v>0</v>
      </c>
      <c r="AW38" s="417">
        <v>0</v>
      </c>
      <c r="AX38" s="417">
        <f t="shared" si="15"/>
        <v>0</v>
      </c>
      <c r="AY38" s="417">
        <f t="shared" si="16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7"/>
        <v>0</v>
      </c>
      <c r="BJ38" s="418">
        <f t="shared" si="18"/>
        <v>0</v>
      </c>
      <c r="BK38" s="420">
        <f t="shared" si="19"/>
        <v>0</v>
      </c>
      <c r="BL38" s="772">
        <f>I38+AY38</f>
        <v>358554</v>
      </c>
      <c r="BM38" s="417">
        <f>J38+AG38</f>
        <v>262651</v>
      </c>
      <c r="BN38" s="417">
        <f t="shared" si="52"/>
        <v>262651</v>
      </c>
      <c r="BO38" s="417">
        <f t="shared" si="52"/>
        <v>0</v>
      </c>
      <c r="BP38" s="417">
        <f>M38+AO38</f>
        <v>0</v>
      </c>
      <c r="BQ38" s="417">
        <f t="shared" si="53"/>
        <v>0</v>
      </c>
      <c r="BR38" s="417">
        <f t="shared" si="53"/>
        <v>0</v>
      </c>
      <c r="BS38" s="417">
        <f t="shared" si="54"/>
        <v>88776</v>
      </c>
      <c r="BT38" s="417">
        <f t="shared" si="54"/>
        <v>2627</v>
      </c>
      <c r="BU38" s="417">
        <f>R38+AX38</f>
        <v>4500</v>
      </c>
      <c r="BV38" s="418">
        <f>S38+BK38</f>
        <v>0.71</v>
      </c>
      <c r="BW38" s="418">
        <f t="shared" si="55"/>
        <v>0.71</v>
      </c>
      <c r="BX38" s="420">
        <f t="shared" si="55"/>
        <v>0</v>
      </c>
      <c r="BY38" s="419"/>
      <c r="BZ38" s="414"/>
      <c r="CA38" s="414"/>
      <c r="CB38" s="414"/>
      <c r="CC38" s="414"/>
      <c r="CD38" s="509"/>
      <c r="CE38" s="419"/>
      <c r="CF38" s="414"/>
      <c r="CG38" s="414"/>
      <c r="CH38" s="414"/>
      <c r="CI38" s="414"/>
      <c r="CJ38" s="509"/>
    </row>
    <row r="39" spans="1:88" s="221" customFormat="1" ht="12.75" customHeight="1">
      <c r="A39" s="223">
        <v>8</v>
      </c>
      <c r="B39" s="224">
        <v>3472</v>
      </c>
      <c r="C39" s="224">
        <v>691003564</v>
      </c>
      <c r="D39" s="224">
        <v>72550368</v>
      </c>
      <c r="E39" s="225" t="s">
        <v>22</v>
      </c>
      <c r="F39" s="224">
        <v>3141</v>
      </c>
      <c r="G39" s="225" t="s">
        <v>294</v>
      </c>
      <c r="H39" s="226" t="s">
        <v>272</v>
      </c>
      <c r="I39" s="419">
        <v>723922</v>
      </c>
      <c r="J39" s="414">
        <v>534990</v>
      </c>
      <c r="K39" s="414">
        <v>0</v>
      </c>
      <c r="L39" s="414">
        <v>534990</v>
      </c>
      <c r="M39" s="414">
        <v>0</v>
      </c>
      <c r="N39" s="414">
        <v>0</v>
      </c>
      <c r="O39" s="414">
        <v>0</v>
      </c>
      <c r="P39" s="68">
        <v>180826</v>
      </c>
      <c r="Q39" s="68">
        <v>5350</v>
      </c>
      <c r="R39" s="414">
        <v>2756</v>
      </c>
      <c r="S39" s="415">
        <v>1.6</v>
      </c>
      <c r="T39" s="416">
        <v>0</v>
      </c>
      <c r="U39" s="422">
        <v>1.6</v>
      </c>
      <c r="V39" s="423">
        <f t="shared" si="2"/>
        <v>0</v>
      </c>
      <c r="W39" s="417">
        <f t="shared" si="3"/>
        <v>0</v>
      </c>
      <c r="X39" s="417">
        <v>0</v>
      </c>
      <c r="Y39" s="417">
        <v>0</v>
      </c>
      <c r="Z39" s="417">
        <v>0</v>
      </c>
      <c r="AA39" s="417">
        <v>-6928</v>
      </c>
      <c r="AB39" s="417">
        <v>0</v>
      </c>
      <c r="AC39" s="417">
        <v>0</v>
      </c>
      <c r="AD39" s="417">
        <v>0</v>
      </c>
      <c r="AE39" s="417">
        <f t="shared" si="4"/>
        <v>0</v>
      </c>
      <c r="AF39" s="417">
        <f t="shared" si="5"/>
        <v>-6928</v>
      </c>
      <c r="AG39" s="417">
        <f t="shared" si="6"/>
        <v>-6928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7"/>
        <v>0</v>
      </c>
      <c r="AN39" s="417">
        <f t="shared" si="8"/>
        <v>0</v>
      </c>
      <c r="AO39" s="417">
        <f t="shared" si="9"/>
        <v>0</v>
      </c>
      <c r="AP39" s="417">
        <f t="shared" si="10"/>
        <v>0</v>
      </c>
      <c r="AQ39" s="417">
        <f t="shared" si="11"/>
        <v>-6928</v>
      </c>
      <c r="AR39" s="417">
        <f t="shared" si="12"/>
        <v>-6928</v>
      </c>
      <c r="AS39" s="68">
        <f t="shared" si="13"/>
        <v>-2342</v>
      </c>
      <c r="AT39" s="68">
        <f t="shared" si="14"/>
        <v>-69</v>
      </c>
      <c r="AU39" s="417">
        <v>0</v>
      </c>
      <c r="AV39" s="417">
        <v>0</v>
      </c>
      <c r="AW39" s="417">
        <v>0</v>
      </c>
      <c r="AX39" s="417">
        <f t="shared" si="15"/>
        <v>0</v>
      </c>
      <c r="AY39" s="417">
        <f t="shared" si="16"/>
        <v>-9339</v>
      </c>
      <c r="AZ39" s="418">
        <v>0</v>
      </c>
      <c r="BA39" s="418">
        <v>0</v>
      </c>
      <c r="BB39" s="418">
        <v>0</v>
      </c>
      <c r="BC39" s="418">
        <v>0</v>
      </c>
      <c r="BD39" s="418">
        <v>-0.02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7"/>
        <v>0</v>
      </c>
      <c r="BJ39" s="418">
        <f t="shared" si="18"/>
        <v>-0.02</v>
      </c>
      <c r="BK39" s="420">
        <f t="shared" si="19"/>
        <v>-0.02</v>
      </c>
      <c r="BL39" s="772">
        <f>I39+AY39</f>
        <v>714583</v>
      </c>
      <c r="BM39" s="417">
        <f>J39+AG39</f>
        <v>528062</v>
      </c>
      <c r="BN39" s="417">
        <f t="shared" si="52"/>
        <v>0</v>
      </c>
      <c r="BO39" s="417">
        <f t="shared" si="52"/>
        <v>528062</v>
      </c>
      <c r="BP39" s="417">
        <f>M39+AO39</f>
        <v>0</v>
      </c>
      <c r="BQ39" s="417">
        <f t="shared" si="53"/>
        <v>0</v>
      </c>
      <c r="BR39" s="417">
        <f t="shared" si="53"/>
        <v>0</v>
      </c>
      <c r="BS39" s="417">
        <f t="shared" si="54"/>
        <v>178484</v>
      </c>
      <c r="BT39" s="417">
        <f t="shared" si="54"/>
        <v>5281</v>
      </c>
      <c r="BU39" s="417">
        <f>R39+AX39</f>
        <v>2756</v>
      </c>
      <c r="BV39" s="418">
        <f>S39+BK39</f>
        <v>1.58</v>
      </c>
      <c r="BW39" s="418">
        <f t="shared" si="55"/>
        <v>0</v>
      </c>
      <c r="BX39" s="420">
        <f t="shared" si="55"/>
        <v>1.58</v>
      </c>
      <c r="BY39" s="419"/>
      <c r="BZ39" s="414"/>
      <c r="CA39" s="414"/>
      <c r="CB39" s="414"/>
      <c r="CC39" s="414"/>
      <c r="CD39" s="509"/>
      <c r="CE39" s="419"/>
      <c r="CF39" s="601"/>
      <c r="CG39" s="414"/>
      <c r="CH39" s="414"/>
      <c r="CI39" s="601"/>
      <c r="CJ39" s="603"/>
    </row>
    <row r="40" spans="1:88" s="221" customFormat="1" ht="12.75" customHeight="1">
      <c r="A40" s="153">
        <v>8</v>
      </c>
      <c r="B40" s="14">
        <v>3472</v>
      </c>
      <c r="C40" s="152">
        <v>691003564</v>
      </c>
      <c r="D40" s="152">
        <v>72550368</v>
      </c>
      <c r="E40" s="222" t="s">
        <v>23</v>
      </c>
      <c r="F40" s="14"/>
      <c r="G40" s="222"/>
      <c r="H40" s="558"/>
      <c r="I40" s="504">
        <v>6147033</v>
      </c>
      <c r="J40" s="503">
        <v>4538410</v>
      </c>
      <c r="K40" s="503">
        <v>3513564</v>
      </c>
      <c r="L40" s="503">
        <v>1024846</v>
      </c>
      <c r="M40" s="503">
        <v>0</v>
      </c>
      <c r="N40" s="503">
        <v>0</v>
      </c>
      <c r="O40" s="503">
        <v>0</v>
      </c>
      <c r="P40" s="503">
        <v>1533982</v>
      </c>
      <c r="Q40" s="503">
        <v>45385</v>
      </c>
      <c r="R40" s="503">
        <v>29256</v>
      </c>
      <c r="S40" s="543">
        <v>9.9592000000000009</v>
      </c>
      <c r="T40" s="543">
        <v>6.71</v>
      </c>
      <c r="U40" s="1084">
        <v>3.2492000000000001</v>
      </c>
      <c r="V40" s="504">
        <f t="shared" ref="V40:CG40" si="56">SUM(V37:V39)</f>
        <v>0</v>
      </c>
      <c r="W40" s="503">
        <f t="shared" si="56"/>
        <v>0</v>
      </c>
      <c r="X40" s="503">
        <f t="shared" si="56"/>
        <v>0</v>
      </c>
      <c r="Y40" s="503">
        <f t="shared" si="56"/>
        <v>0</v>
      </c>
      <c r="Z40" s="503">
        <f t="shared" si="56"/>
        <v>0</v>
      </c>
      <c r="AA40" s="503">
        <f t="shared" si="56"/>
        <v>-6928</v>
      </c>
      <c r="AB40" s="503">
        <f t="shared" si="56"/>
        <v>0</v>
      </c>
      <c r="AC40" s="503">
        <f t="shared" si="56"/>
        <v>0</v>
      </c>
      <c r="AD40" s="503">
        <f t="shared" si="56"/>
        <v>0</v>
      </c>
      <c r="AE40" s="503">
        <f t="shared" si="56"/>
        <v>0</v>
      </c>
      <c r="AF40" s="503">
        <f t="shared" si="56"/>
        <v>-6928</v>
      </c>
      <c r="AG40" s="503">
        <f t="shared" si="56"/>
        <v>-6928</v>
      </c>
      <c r="AH40" s="503">
        <f t="shared" si="56"/>
        <v>0</v>
      </c>
      <c r="AI40" s="503">
        <f t="shared" si="56"/>
        <v>0</v>
      </c>
      <c r="AJ40" s="503">
        <f t="shared" si="56"/>
        <v>0</v>
      </c>
      <c r="AK40" s="503">
        <f t="shared" si="56"/>
        <v>0</v>
      </c>
      <c r="AL40" s="503">
        <f t="shared" si="56"/>
        <v>0</v>
      </c>
      <c r="AM40" s="503">
        <f t="shared" si="56"/>
        <v>0</v>
      </c>
      <c r="AN40" s="503">
        <f t="shared" si="56"/>
        <v>0</v>
      </c>
      <c r="AO40" s="503">
        <f t="shared" si="56"/>
        <v>0</v>
      </c>
      <c r="AP40" s="503">
        <f t="shared" si="56"/>
        <v>0</v>
      </c>
      <c r="AQ40" s="503">
        <f t="shared" si="56"/>
        <v>-6928</v>
      </c>
      <c r="AR40" s="503">
        <f t="shared" si="56"/>
        <v>-6928</v>
      </c>
      <c r="AS40" s="503">
        <f t="shared" si="56"/>
        <v>-2342</v>
      </c>
      <c r="AT40" s="503">
        <f t="shared" si="56"/>
        <v>-69</v>
      </c>
      <c r="AU40" s="503">
        <f t="shared" si="56"/>
        <v>0</v>
      </c>
      <c r="AV40" s="503">
        <f t="shared" si="56"/>
        <v>0</v>
      </c>
      <c r="AW40" s="503">
        <f t="shared" si="56"/>
        <v>0</v>
      </c>
      <c r="AX40" s="503">
        <f t="shared" si="56"/>
        <v>0</v>
      </c>
      <c r="AY40" s="503">
        <f t="shared" si="56"/>
        <v>-9339</v>
      </c>
      <c r="AZ40" s="543">
        <f t="shared" si="56"/>
        <v>0</v>
      </c>
      <c r="BA40" s="543">
        <f t="shared" si="56"/>
        <v>0</v>
      </c>
      <c r="BB40" s="543">
        <f t="shared" si="56"/>
        <v>0</v>
      </c>
      <c r="BC40" s="543">
        <f t="shared" si="56"/>
        <v>0</v>
      </c>
      <c r="BD40" s="543">
        <f t="shared" si="56"/>
        <v>-0.02</v>
      </c>
      <c r="BE40" s="543">
        <f t="shared" si="56"/>
        <v>0</v>
      </c>
      <c r="BF40" s="543">
        <f t="shared" si="56"/>
        <v>0</v>
      </c>
      <c r="BG40" s="543">
        <f t="shared" si="56"/>
        <v>0</v>
      </c>
      <c r="BH40" s="543">
        <f t="shared" si="56"/>
        <v>0</v>
      </c>
      <c r="BI40" s="543">
        <f t="shared" si="56"/>
        <v>0</v>
      </c>
      <c r="BJ40" s="543">
        <f t="shared" si="56"/>
        <v>-0.02</v>
      </c>
      <c r="BK40" s="441">
        <f t="shared" si="56"/>
        <v>-0.02</v>
      </c>
      <c r="BL40" s="788">
        <f t="shared" si="56"/>
        <v>6137694</v>
      </c>
      <c r="BM40" s="503">
        <f t="shared" si="56"/>
        <v>4531482</v>
      </c>
      <c r="BN40" s="503">
        <f t="shared" si="56"/>
        <v>3513564</v>
      </c>
      <c r="BO40" s="503">
        <f t="shared" si="56"/>
        <v>1017918</v>
      </c>
      <c r="BP40" s="503">
        <f t="shared" si="56"/>
        <v>0</v>
      </c>
      <c r="BQ40" s="503">
        <f t="shared" si="56"/>
        <v>0</v>
      </c>
      <c r="BR40" s="503">
        <f t="shared" si="56"/>
        <v>0</v>
      </c>
      <c r="BS40" s="503">
        <f t="shared" si="56"/>
        <v>1531640</v>
      </c>
      <c r="BT40" s="503">
        <f t="shared" si="56"/>
        <v>45316</v>
      </c>
      <c r="BU40" s="503">
        <f t="shared" si="56"/>
        <v>29256</v>
      </c>
      <c r="BV40" s="543">
        <f t="shared" si="56"/>
        <v>9.9392000000000014</v>
      </c>
      <c r="BW40" s="543">
        <f t="shared" si="56"/>
        <v>6.71</v>
      </c>
      <c r="BX40" s="441">
        <f t="shared" si="56"/>
        <v>3.2292000000000001</v>
      </c>
      <c r="BY40" s="799">
        <f t="shared" si="56"/>
        <v>0</v>
      </c>
      <c r="BZ40" s="705">
        <f t="shared" si="56"/>
        <v>0</v>
      </c>
      <c r="CA40" s="705">
        <f t="shared" si="56"/>
        <v>0</v>
      </c>
      <c r="CB40" s="705">
        <f t="shared" si="56"/>
        <v>0</v>
      </c>
      <c r="CC40" s="705">
        <f t="shared" si="56"/>
        <v>0</v>
      </c>
      <c r="CD40" s="800">
        <f t="shared" si="56"/>
        <v>0</v>
      </c>
      <c r="CE40" s="896">
        <f t="shared" si="56"/>
        <v>219203</v>
      </c>
      <c r="CF40" s="897">
        <f t="shared" si="56"/>
        <v>157187</v>
      </c>
      <c r="CG40" s="897">
        <f t="shared" si="56"/>
        <v>53129</v>
      </c>
      <c r="CH40" s="897">
        <f t="shared" ref="CH40:CJ40" si="57">SUM(CH37:CH39)</f>
        <v>1572</v>
      </c>
      <c r="CI40" s="897">
        <f t="shared" si="57"/>
        <v>7315</v>
      </c>
      <c r="CJ40" s="898">
        <f t="shared" si="57"/>
        <v>0.5292</v>
      </c>
    </row>
    <row r="41" spans="1:88" s="221" customFormat="1" ht="12.75" customHeight="1">
      <c r="A41" s="223">
        <v>9</v>
      </c>
      <c r="B41" s="224">
        <v>3467</v>
      </c>
      <c r="C41" s="224">
        <v>691001243</v>
      </c>
      <c r="D41" s="224">
        <v>72048174</v>
      </c>
      <c r="E41" s="225" t="s">
        <v>24</v>
      </c>
      <c r="F41" s="224">
        <v>3111</v>
      </c>
      <c r="G41" s="225" t="s">
        <v>290</v>
      </c>
      <c r="H41" s="226" t="s">
        <v>271</v>
      </c>
      <c r="I41" s="419">
        <v>9428611</v>
      </c>
      <c r="J41" s="414">
        <v>6960617</v>
      </c>
      <c r="K41" s="414">
        <v>6038776</v>
      </c>
      <c r="L41" s="414">
        <v>921841</v>
      </c>
      <c r="M41" s="414">
        <v>0</v>
      </c>
      <c r="N41" s="414">
        <v>0</v>
      </c>
      <c r="O41" s="414">
        <v>0</v>
      </c>
      <c r="P41" s="68">
        <v>2352688</v>
      </c>
      <c r="Q41" s="68">
        <v>69606</v>
      </c>
      <c r="R41" s="414">
        <v>45700</v>
      </c>
      <c r="S41" s="415">
        <v>13.679699999999999</v>
      </c>
      <c r="T41" s="416">
        <v>10.5481</v>
      </c>
      <c r="U41" s="422">
        <v>3.1315999999999997</v>
      </c>
      <c r="V41" s="423">
        <f t="shared" si="2"/>
        <v>0</v>
      </c>
      <c r="W41" s="417">
        <f t="shared" si="3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4"/>
        <v>0</v>
      </c>
      <c r="AF41" s="417">
        <f t="shared" si="5"/>
        <v>0</v>
      </c>
      <c r="AG41" s="417">
        <f t="shared" si="6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7"/>
        <v>0</v>
      </c>
      <c r="AN41" s="417">
        <f t="shared" si="8"/>
        <v>0</v>
      </c>
      <c r="AO41" s="417">
        <f t="shared" si="9"/>
        <v>0</v>
      </c>
      <c r="AP41" s="417">
        <f t="shared" si="10"/>
        <v>0</v>
      </c>
      <c r="AQ41" s="417">
        <f t="shared" si="11"/>
        <v>0</v>
      </c>
      <c r="AR41" s="417">
        <f t="shared" si="12"/>
        <v>0</v>
      </c>
      <c r="AS41" s="68">
        <f t="shared" si="13"/>
        <v>0</v>
      </c>
      <c r="AT41" s="68">
        <f t="shared" si="14"/>
        <v>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</v>
      </c>
      <c r="BK41" s="420">
        <f t="shared" si="19"/>
        <v>0</v>
      </c>
      <c r="BL41" s="772">
        <f>I41+AY41</f>
        <v>9428611</v>
      </c>
      <c r="BM41" s="417">
        <f>J41+AG41</f>
        <v>6960617</v>
      </c>
      <c r="BN41" s="417">
        <f t="shared" ref="BN41:BO43" si="58">K41+AE41</f>
        <v>6038776</v>
      </c>
      <c r="BO41" s="417">
        <f t="shared" si="58"/>
        <v>921841</v>
      </c>
      <c r="BP41" s="417">
        <f>M41+AO41</f>
        <v>0</v>
      </c>
      <c r="BQ41" s="417">
        <f t="shared" ref="BQ41:BR43" si="59">N41+AM41</f>
        <v>0</v>
      </c>
      <c r="BR41" s="417">
        <f t="shared" si="59"/>
        <v>0</v>
      </c>
      <c r="BS41" s="417">
        <f t="shared" ref="BS41:BT43" si="60">P41+AS41</f>
        <v>2352688</v>
      </c>
      <c r="BT41" s="417">
        <f t="shared" si="60"/>
        <v>69606</v>
      </c>
      <c r="BU41" s="417">
        <f>R41+AX41</f>
        <v>45700</v>
      </c>
      <c r="BV41" s="418">
        <f>S41+BK41</f>
        <v>13.679699999999999</v>
      </c>
      <c r="BW41" s="418">
        <f t="shared" ref="BW41:BX43" si="61">T41+BI41</f>
        <v>10.5481</v>
      </c>
      <c r="BX41" s="420">
        <f t="shared" si="61"/>
        <v>3.1315999999999997</v>
      </c>
      <c r="BY41" s="419"/>
      <c r="BZ41" s="414"/>
      <c r="CA41" s="414"/>
      <c r="CB41" s="414"/>
      <c r="CC41" s="414"/>
      <c r="CD41" s="509"/>
      <c r="CE41" s="419">
        <v>413956</v>
      </c>
      <c r="CF41" s="414">
        <v>295814</v>
      </c>
      <c r="CG41" s="414">
        <v>99985</v>
      </c>
      <c r="CH41" s="414">
        <v>2958</v>
      </c>
      <c r="CI41" s="414">
        <v>15199</v>
      </c>
      <c r="CJ41" s="509">
        <v>1.0048999999999999</v>
      </c>
    </row>
    <row r="42" spans="1:88" s="221" customFormat="1">
      <c r="A42" s="223">
        <v>9</v>
      </c>
      <c r="B42" s="224">
        <v>3467</v>
      </c>
      <c r="C42" s="224">
        <v>691001243</v>
      </c>
      <c r="D42" s="224">
        <v>72048174</v>
      </c>
      <c r="E42" s="225" t="s">
        <v>24</v>
      </c>
      <c r="F42" s="224">
        <v>3111</v>
      </c>
      <c r="G42" s="225" t="s">
        <v>291</v>
      </c>
      <c r="H42" s="226" t="s">
        <v>272</v>
      </c>
      <c r="I42" s="419">
        <v>374880</v>
      </c>
      <c r="J42" s="414">
        <v>278101</v>
      </c>
      <c r="K42" s="414">
        <v>278101</v>
      </c>
      <c r="L42" s="414">
        <v>0</v>
      </c>
      <c r="M42" s="414">
        <v>0</v>
      </c>
      <c r="N42" s="414">
        <v>0</v>
      </c>
      <c r="O42" s="414">
        <v>0</v>
      </c>
      <c r="P42" s="68">
        <v>93998</v>
      </c>
      <c r="Q42" s="68">
        <v>2781</v>
      </c>
      <c r="R42" s="414">
        <v>0</v>
      </c>
      <c r="S42" s="415">
        <v>0.75</v>
      </c>
      <c r="T42" s="416">
        <v>0.75</v>
      </c>
      <c r="U42" s="422">
        <v>0</v>
      </c>
      <c r="V42" s="423">
        <f t="shared" si="2"/>
        <v>0</v>
      </c>
      <c r="W42" s="417">
        <f t="shared" si="3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4"/>
        <v>0</v>
      </c>
      <c r="AF42" s="417">
        <f t="shared" si="5"/>
        <v>0</v>
      </c>
      <c r="AG42" s="417">
        <f t="shared" si="6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7"/>
        <v>0</v>
      </c>
      <c r="AN42" s="417">
        <f t="shared" si="8"/>
        <v>0</v>
      </c>
      <c r="AO42" s="417">
        <f t="shared" si="9"/>
        <v>0</v>
      </c>
      <c r="AP42" s="417">
        <f t="shared" si="10"/>
        <v>0</v>
      </c>
      <c r="AQ42" s="417">
        <f t="shared" si="11"/>
        <v>0</v>
      </c>
      <c r="AR42" s="417">
        <f t="shared" si="12"/>
        <v>0</v>
      </c>
      <c r="AS42" s="68">
        <f t="shared" si="13"/>
        <v>0</v>
      </c>
      <c r="AT42" s="68">
        <f t="shared" si="14"/>
        <v>0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0</v>
      </c>
      <c r="BK42" s="420">
        <f t="shared" si="19"/>
        <v>0</v>
      </c>
      <c r="BL42" s="772">
        <f>I42+AY42</f>
        <v>374880</v>
      </c>
      <c r="BM42" s="417">
        <f>J42+AG42</f>
        <v>278101</v>
      </c>
      <c r="BN42" s="417">
        <f t="shared" si="58"/>
        <v>278101</v>
      </c>
      <c r="BO42" s="417">
        <f t="shared" si="58"/>
        <v>0</v>
      </c>
      <c r="BP42" s="417">
        <f>M42+AO42</f>
        <v>0</v>
      </c>
      <c r="BQ42" s="417">
        <f t="shared" si="59"/>
        <v>0</v>
      </c>
      <c r="BR42" s="417">
        <f t="shared" si="59"/>
        <v>0</v>
      </c>
      <c r="BS42" s="417">
        <f t="shared" si="60"/>
        <v>93998</v>
      </c>
      <c r="BT42" s="417">
        <f t="shared" si="60"/>
        <v>2781</v>
      </c>
      <c r="BU42" s="417">
        <f>R42+AX42</f>
        <v>0</v>
      </c>
      <c r="BV42" s="418">
        <f>S42+BK42</f>
        <v>0.75</v>
      </c>
      <c r="BW42" s="418">
        <f t="shared" si="61"/>
        <v>0.75</v>
      </c>
      <c r="BX42" s="420">
        <f t="shared" si="61"/>
        <v>0</v>
      </c>
      <c r="BY42" s="419"/>
      <c r="BZ42" s="414"/>
      <c r="CA42" s="414"/>
      <c r="CB42" s="414"/>
      <c r="CC42" s="414"/>
      <c r="CD42" s="509"/>
      <c r="CE42" s="419"/>
      <c r="CF42" s="414"/>
      <c r="CG42" s="414"/>
      <c r="CH42" s="414"/>
      <c r="CI42" s="414"/>
      <c r="CJ42" s="509"/>
    </row>
    <row r="43" spans="1:88" s="221" customFormat="1" ht="12.75" customHeight="1">
      <c r="A43" s="223">
        <v>9</v>
      </c>
      <c r="B43" s="224">
        <v>3467</v>
      </c>
      <c r="C43" s="224">
        <v>691001243</v>
      </c>
      <c r="D43" s="224">
        <v>72048174</v>
      </c>
      <c r="E43" s="225" t="s">
        <v>24</v>
      </c>
      <c r="F43" s="224">
        <v>3141</v>
      </c>
      <c r="G43" s="225" t="s">
        <v>294</v>
      </c>
      <c r="H43" s="226" t="s">
        <v>272</v>
      </c>
      <c r="I43" s="419">
        <v>1342279</v>
      </c>
      <c r="J43" s="414">
        <v>991534</v>
      </c>
      <c r="K43" s="414">
        <v>0</v>
      </c>
      <c r="L43" s="414">
        <v>991534</v>
      </c>
      <c r="M43" s="414">
        <v>0</v>
      </c>
      <c r="N43" s="414">
        <v>0</v>
      </c>
      <c r="O43" s="414">
        <v>0</v>
      </c>
      <c r="P43" s="68">
        <v>335138</v>
      </c>
      <c r="Q43" s="68">
        <v>9915</v>
      </c>
      <c r="R43" s="414">
        <v>5692</v>
      </c>
      <c r="S43" s="415">
        <v>2.98</v>
      </c>
      <c r="T43" s="416">
        <v>0</v>
      </c>
      <c r="U43" s="422">
        <v>2.98</v>
      </c>
      <c r="V43" s="423">
        <f t="shared" si="2"/>
        <v>0</v>
      </c>
      <c r="W43" s="417">
        <f t="shared" si="3"/>
        <v>0</v>
      </c>
      <c r="X43" s="417">
        <v>0</v>
      </c>
      <c r="Y43" s="417">
        <v>0</v>
      </c>
      <c r="Z43" s="417">
        <v>0</v>
      </c>
      <c r="AA43" s="417">
        <v>-19040</v>
      </c>
      <c r="AB43" s="417">
        <v>0</v>
      </c>
      <c r="AC43" s="417">
        <v>0</v>
      </c>
      <c r="AD43" s="417">
        <v>0</v>
      </c>
      <c r="AE43" s="417">
        <f t="shared" si="4"/>
        <v>0</v>
      </c>
      <c r="AF43" s="417">
        <f t="shared" si="5"/>
        <v>-19040</v>
      </c>
      <c r="AG43" s="417">
        <f t="shared" si="6"/>
        <v>-19040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7"/>
        <v>0</v>
      </c>
      <c r="AN43" s="417">
        <f t="shared" si="8"/>
        <v>0</v>
      </c>
      <c r="AO43" s="417">
        <f t="shared" si="9"/>
        <v>0</v>
      </c>
      <c r="AP43" s="417">
        <f t="shared" si="10"/>
        <v>0</v>
      </c>
      <c r="AQ43" s="417">
        <f t="shared" si="11"/>
        <v>-19040</v>
      </c>
      <c r="AR43" s="417">
        <f t="shared" si="12"/>
        <v>-19040</v>
      </c>
      <c r="AS43" s="68">
        <f t="shared" si="13"/>
        <v>-6436</v>
      </c>
      <c r="AT43" s="68">
        <f t="shared" si="14"/>
        <v>-190</v>
      </c>
      <c r="AU43" s="417">
        <v>0</v>
      </c>
      <c r="AV43" s="417">
        <v>0</v>
      </c>
      <c r="AW43" s="417">
        <v>0</v>
      </c>
      <c r="AX43" s="417">
        <f t="shared" si="15"/>
        <v>0</v>
      </c>
      <c r="AY43" s="417">
        <f t="shared" si="16"/>
        <v>-25666</v>
      </c>
      <c r="AZ43" s="418">
        <v>0</v>
      </c>
      <c r="BA43" s="418">
        <v>0</v>
      </c>
      <c r="BB43" s="418">
        <v>0</v>
      </c>
      <c r="BC43" s="418">
        <v>0</v>
      </c>
      <c r="BD43" s="418">
        <v>-0.06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7"/>
        <v>0</v>
      </c>
      <c r="BJ43" s="418">
        <f t="shared" si="18"/>
        <v>-0.06</v>
      </c>
      <c r="BK43" s="420">
        <f t="shared" si="19"/>
        <v>-0.06</v>
      </c>
      <c r="BL43" s="772">
        <f>I43+AY43</f>
        <v>1316613</v>
      </c>
      <c r="BM43" s="417">
        <f>J43+AG43</f>
        <v>972494</v>
      </c>
      <c r="BN43" s="417">
        <f t="shared" si="58"/>
        <v>0</v>
      </c>
      <c r="BO43" s="417">
        <f t="shared" si="58"/>
        <v>972494</v>
      </c>
      <c r="BP43" s="417">
        <f>M43+AO43</f>
        <v>0</v>
      </c>
      <c r="BQ43" s="417">
        <f t="shared" si="59"/>
        <v>0</v>
      </c>
      <c r="BR43" s="417">
        <f t="shared" si="59"/>
        <v>0</v>
      </c>
      <c r="BS43" s="417">
        <f t="shared" si="60"/>
        <v>328702</v>
      </c>
      <c r="BT43" s="417">
        <f t="shared" si="60"/>
        <v>9725</v>
      </c>
      <c r="BU43" s="417">
        <f>R43+AX43</f>
        <v>5692</v>
      </c>
      <c r="BV43" s="418">
        <f>S43+BK43</f>
        <v>2.92</v>
      </c>
      <c r="BW43" s="418">
        <f t="shared" si="61"/>
        <v>0</v>
      </c>
      <c r="BX43" s="420">
        <f t="shared" si="61"/>
        <v>2.92</v>
      </c>
      <c r="BY43" s="419"/>
      <c r="BZ43" s="414"/>
      <c r="CA43" s="414"/>
      <c r="CB43" s="414"/>
      <c r="CC43" s="414"/>
      <c r="CD43" s="509"/>
      <c r="CE43" s="419"/>
      <c r="CF43" s="414"/>
      <c r="CG43" s="414"/>
      <c r="CH43" s="414"/>
      <c r="CI43" s="414"/>
      <c r="CJ43" s="509"/>
    </row>
    <row r="44" spans="1:88" s="221" customFormat="1" ht="12.75" customHeight="1">
      <c r="A44" s="153">
        <v>9</v>
      </c>
      <c r="B44" s="14">
        <v>3467</v>
      </c>
      <c r="C44" s="152">
        <v>691001243</v>
      </c>
      <c r="D44" s="152">
        <v>72048174</v>
      </c>
      <c r="E44" s="222" t="s">
        <v>25</v>
      </c>
      <c r="F44" s="14"/>
      <c r="G44" s="222"/>
      <c r="H44" s="558"/>
      <c r="I44" s="504">
        <v>11145770</v>
      </c>
      <c r="J44" s="503">
        <v>8230252</v>
      </c>
      <c r="K44" s="503">
        <v>6316877</v>
      </c>
      <c r="L44" s="503">
        <v>1913375</v>
      </c>
      <c r="M44" s="503">
        <v>0</v>
      </c>
      <c r="N44" s="503">
        <v>0</v>
      </c>
      <c r="O44" s="503">
        <v>0</v>
      </c>
      <c r="P44" s="503">
        <v>2781824</v>
      </c>
      <c r="Q44" s="503">
        <v>82302</v>
      </c>
      <c r="R44" s="503">
        <v>51392</v>
      </c>
      <c r="S44" s="543">
        <v>17.409699999999997</v>
      </c>
      <c r="T44" s="543">
        <v>11.2981</v>
      </c>
      <c r="U44" s="1084">
        <v>6.1115999999999993</v>
      </c>
      <c r="V44" s="504">
        <f t="shared" ref="V44:CG44" si="62">SUM(V41:V43)</f>
        <v>0</v>
      </c>
      <c r="W44" s="503">
        <f t="shared" si="62"/>
        <v>0</v>
      </c>
      <c r="X44" s="503">
        <f t="shared" si="62"/>
        <v>0</v>
      </c>
      <c r="Y44" s="503">
        <f t="shared" si="62"/>
        <v>0</v>
      </c>
      <c r="Z44" s="503">
        <f t="shared" si="62"/>
        <v>0</v>
      </c>
      <c r="AA44" s="503">
        <f t="shared" si="62"/>
        <v>-19040</v>
      </c>
      <c r="AB44" s="503">
        <f t="shared" si="62"/>
        <v>0</v>
      </c>
      <c r="AC44" s="503">
        <f t="shared" si="62"/>
        <v>0</v>
      </c>
      <c r="AD44" s="503">
        <f t="shared" si="62"/>
        <v>0</v>
      </c>
      <c r="AE44" s="503">
        <f t="shared" si="62"/>
        <v>0</v>
      </c>
      <c r="AF44" s="503">
        <f t="shared" si="62"/>
        <v>-19040</v>
      </c>
      <c r="AG44" s="503">
        <f t="shared" si="62"/>
        <v>-19040</v>
      </c>
      <c r="AH44" s="503">
        <f t="shared" si="62"/>
        <v>0</v>
      </c>
      <c r="AI44" s="503">
        <f t="shared" si="62"/>
        <v>0</v>
      </c>
      <c r="AJ44" s="503">
        <f t="shared" si="62"/>
        <v>0</v>
      </c>
      <c r="AK44" s="503">
        <f t="shared" si="62"/>
        <v>0</v>
      </c>
      <c r="AL44" s="503">
        <f t="shared" si="62"/>
        <v>0</v>
      </c>
      <c r="AM44" s="503">
        <f t="shared" si="62"/>
        <v>0</v>
      </c>
      <c r="AN44" s="503">
        <f t="shared" si="62"/>
        <v>0</v>
      </c>
      <c r="AO44" s="503">
        <f t="shared" si="62"/>
        <v>0</v>
      </c>
      <c r="AP44" s="503">
        <f t="shared" si="62"/>
        <v>0</v>
      </c>
      <c r="AQ44" s="503">
        <f t="shared" si="62"/>
        <v>-19040</v>
      </c>
      <c r="AR44" s="503">
        <f t="shared" si="62"/>
        <v>-19040</v>
      </c>
      <c r="AS44" s="503">
        <f t="shared" si="62"/>
        <v>-6436</v>
      </c>
      <c r="AT44" s="503">
        <f t="shared" si="62"/>
        <v>-190</v>
      </c>
      <c r="AU44" s="503">
        <f t="shared" si="62"/>
        <v>0</v>
      </c>
      <c r="AV44" s="503">
        <f t="shared" si="62"/>
        <v>0</v>
      </c>
      <c r="AW44" s="503">
        <f t="shared" si="62"/>
        <v>0</v>
      </c>
      <c r="AX44" s="503">
        <f t="shared" si="62"/>
        <v>0</v>
      </c>
      <c r="AY44" s="503">
        <f t="shared" si="62"/>
        <v>-25666</v>
      </c>
      <c r="AZ44" s="543">
        <f t="shared" si="62"/>
        <v>0</v>
      </c>
      <c r="BA44" s="543">
        <f t="shared" si="62"/>
        <v>0</v>
      </c>
      <c r="BB44" s="543">
        <f t="shared" si="62"/>
        <v>0</v>
      </c>
      <c r="BC44" s="543">
        <f t="shared" si="62"/>
        <v>0</v>
      </c>
      <c r="BD44" s="543">
        <f t="shared" si="62"/>
        <v>-0.06</v>
      </c>
      <c r="BE44" s="543">
        <f t="shared" si="62"/>
        <v>0</v>
      </c>
      <c r="BF44" s="543">
        <f t="shared" si="62"/>
        <v>0</v>
      </c>
      <c r="BG44" s="543">
        <f t="shared" si="62"/>
        <v>0</v>
      </c>
      <c r="BH44" s="543">
        <f t="shared" si="62"/>
        <v>0</v>
      </c>
      <c r="BI44" s="543">
        <f t="shared" si="62"/>
        <v>0</v>
      </c>
      <c r="BJ44" s="543">
        <f t="shared" si="62"/>
        <v>-0.06</v>
      </c>
      <c r="BK44" s="441">
        <f t="shared" si="62"/>
        <v>-0.06</v>
      </c>
      <c r="BL44" s="788">
        <f t="shared" si="62"/>
        <v>11120104</v>
      </c>
      <c r="BM44" s="503">
        <f t="shared" si="62"/>
        <v>8211212</v>
      </c>
      <c r="BN44" s="503">
        <f t="shared" si="62"/>
        <v>6316877</v>
      </c>
      <c r="BO44" s="503">
        <f t="shared" si="62"/>
        <v>1894335</v>
      </c>
      <c r="BP44" s="503">
        <f t="shared" si="62"/>
        <v>0</v>
      </c>
      <c r="BQ44" s="503">
        <f t="shared" si="62"/>
        <v>0</v>
      </c>
      <c r="BR44" s="503">
        <f t="shared" si="62"/>
        <v>0</v>
      </c>
      <c r="BS44" s="503">
        <f t="shared" si="62"/>
        <v>2775388</v>
      </c>
      <c r="BT44" s="503">
        <f t="shared" si="62"/>
        <v>82112</v>
      </c>
      <c r="BU44" s="503">
        <f t="shared" si="62"/>
        <v>51392</v>
      </c>
      <c r="BV44" s="543">
        <f t="shared" si="62"/>
        <v>17.349699999999999</v>
      </c>
      <c r="BW44" s="543">
        <f t="shared" si="62"/>
        <v>11.2981</v>
      </c>
      <c r="BX44" s="441">
        <f t="shared" si="62"/>
        <v>6.0515999999999996</v>
      </c>
      <c r="BY44" s="799">
        <f t="shared" si="62"/>
        <v>0</v>
      </c>
      <c r="BZ44" s="705">
        <f t="shared" si="62"/>
        <v>0</v>
      </c>
      <c r="CA44" s="705">
        <f t="shared" si="62"/>
        <v>0</v>
      </c>
      <c r="CB44" s="705">
        <f t="shared" si="62"/>
        <v>0</v>
      </c>
      <c r="CC44" s="705">
        <f t="shared" si="62"/>
        <v>0</v>
      </c>
      <c r="CD44" s="800">
        <f t="shared" si="62"/>
        <v>0</v>
      </c>
      <c r="CE44" s="896">
        <f t="shared" si="62"/>
        <v>413956</v>
      </c>
      <c r="CF44" s="897">
        <f t="shared" si="62"/>
        <v>295814</v>
      </c>
      <c r="CG44" s="897">
        <f t="shared" si="62"/>
        <v>99985</v>
      </c>
      <c r="CH44" s="897">
        <f t="shared" ref="CH44:CJ44" si="63">SUM(CH41:CH43)</f>
        <v>2958</v>
      </c>
      <c r="CI44" s="897">
        <f t="shared" si="63"/>
        <v>15199</v>
      </c>
      <c r="CJ44" s="898">
        <f t="shared" si="63"/>
        <v>1.0048999999999999</v>
      </c>
    </row>
    <row r="45" spans="1:88" s="221" customFormat="1" ht="12.75" customHeight="1">
      <c r="A45" s="223">
        <v>10</v>
      </c>
      <c r="B45" s="224">
        <v>3461</v>
      </c>
      <c r="C45" s="224">
        <v>691001286</v>
      </c>
      <c r="D45" s="224">
        <v>72048107</v>
      </c>
      <c r="E45" s="225" t="s">
        <v>26</v>
      </c>
      <c r="F45" s="224">
        <v>3111</v>
      </c>
      <c r="G45" s="225" t="s">
        <v>290</v>
      </c>
      <c r="H45" s="226" t="s">
        <v>271</v>
      </c>
      <c r="I45" s="419">
        <v>9473885</v>
      </c>
      <c r="J45" s="414">
        <v>6994499</v>
      </c>
      <c r="K45" s="414">
        <v>6072658</v>
      </c>
      <c r="L45" s="414">
        <v>921841</v>
      </c>
      <c r="M45" s="414">
        <v>0</v>
      </c>
      <c r="N45" s="414">
        <v>0</v>
      </c>
      <c r="O45" s="414">
        <v>0</v>
      </c>
      <c r="P45" s="68">
        <v>2364141</v>
      </c>
      <c r="Q45" s="68">
        <v>69945</v>
      </c>
      <c r="R45" s="414">
        <v>45300</v>
      </c>
      <c r="S45" s="415">
        <v>13.831599999999998</v>
      </c>
      <c r="T45" s="416">
        <v>10.7</v>
      </c>
      <c r="U45" s="422">
        <v>3.1315999999999997</v>
      </c>
      <c r="V45" s="423">
        <f t="shared" si="2"/>
        <v>0</v>
      </c>
      <c r="W45" s="417">
        <f t="shared" si="3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4"/>
        <v>0</v>
      </c>
      <c r="AF45" s="417">
        <f t="shared" si="5"/>
        <v>0</v>
      </c>
      <c r="AG45" s="417">
        <f t="shared" si="6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7"/>
        <v>0</v>
      </c>
      <c r="AN45" s="417">
        <f t="shared" si="8"/>
        <v>0</v>
      </c>
      <c r="AO45" s="417">
        <f t="shared" si="9"/>
        <v>0</v>
      </c>
      <c r="AP45" s="417">
        <f t="shared" si="10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>I45+AY45</f>
        <v>9473885</v>
      </c>
      <c r="BM45" s="417">
        <f>J45+AG45</f>
        <v>6994499</v>
      </c>
      <c r="BN45" s="417">
        <f t="shared" ref="BN45:BO47" si="64">K45+AE45</f>
        <v>6072658</v>
      </c>
      <c r="BO45" s="417">
        <f t="shared" si="64"/>
        <v>921841</v>
      </c>
      <c r="BP45" s="417">
        <f>M45+AO45</f>
        <v>0</v>
      </c>
      <c r="BQ45" s="417">
        <f t="shared" ref="BQ45:BR47" si="65">N45+AM45</f>
        <v>0</v>
      </c>
      <c r="BR45" s="417">
        <f t="shared" si="65"/>
        <v>0</v>
      </c>
      <c r="BS45" s="417">
        <f t="shared" ref="BS45:BT47" si="66">P45+AS45</f>
        <v>2364141</v>
      </c>
      <c r="BT45" s="417">
        <f t="shared" si="66"/>
        <v>69945</v>
      </c>
      <c r="BU45" s="417">
        <f>R45+AX45</f>
        <v>45300</v>
      </c>
      <c r="BV45" s="418">
        <f>S45+BK45</f>
        <v>13.831599999999998</v>
      </c>
      <c r="BW45" s="418">
        <f t="shared" ref="BW45:BX47" si="67">T45+BI45</f>
        <v>10.7</v>
      </c>
      <c r="BX45" s="420">
        <f t="shared" si="67"/>
        <v>3.1315999999999997</v>
      </c>
      <c r="BY45" s="419"/>
      <c r="BZ45" s="414"/>
      <c r="CA45" s="414"/>
      <c r="CB45" s="414"/>
      <c r="CC45" s="414"/>
      <c r="CD45" s="509"/>
      <c r="CE45" s="419">
        <v>413823</v>
      </c>
      <c r="CF45" s="414">
        <v>295814</v>
      </c>
      <c r="CG45" s="414">
        <v>99985</v>
      </c>
      <c r="CH45" s="414">
        <v>2958</v>
      </c>
      <c r="CI45" s="414">
        <v>15066</v>
      </c>
      <c r="CJ45" s="509">
        <v>1.0048999999999999</v>
      </c>
    </row>
    <row r="46" spans="1:88" s="221" customFormat="1">
      <c r="A46" s="223">
        <v>10</v>
      </c>
      <c r="B46" s="224">
        <v>3461</v>
      </c>
      <c r="C46" s="224">
        <v>691001286</v>
      </c>
      <c r="D46" s="224">
        <v>72048107</v>
      </c>
      <c r="E46" s="225" t="s">
        <v>26</v>
      </c>
      <c r="F46" s="224">
        <v>3111</v>
      </c>
      <c r="G46" s="225" t="s">
        <v>291</v>
      </c>
      <c r="H46" s="226" t="s">
        <v>272</v>
      </c>
      <c r="I46" s="419">
        <v>793083</v>
      </c>
      <c r="J46" s="414">
        <v>580922</v>
      </c>
      <c r="K46" s="414">
        <v>580922</v>
      </c>
      <c r="L46" s="414">
        <v>0</v>
      </c>
      <c r="M46" s="414">
        <v>0</v>
      </c>
      <c r="N46" s="414">
        <v>0</v>
      </c>
      <c r="O46" s="414">
        <v>0</v>
      </c>
      <c r="P46" s="68">
        <v>196352</v>
      </c>
      <c r="Q46" s="68">
        <v>5809</v>
      </c>
      <c r="R46" s="414">
        <v>10000</v>
      </c>
      <c r="S46" s="415">
        <v>1.83</v>
      </c>
      <c r="T46" s="416">
        <v>1.83</v>
      </c>
      <c r="U46" s="422">
        <v>0</v>
      </c>
      <c r="V46" s="423">
        <f t="shared" si="2"/>
        <v>0</v>
      </c>
      <c r="W46" s="417">
        <f t="shared" si="3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4"/>
        <v>0</v>
      </c>
      <c r="AF46" s="417">
        <f t="shared" si="5"/>
        <v>0</v>
      </c>
      <c r="AG46" s="417">
        <f t="shared" si="6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7"/>
        <v>0</v>
      </c>
      <c r="AN46" s="417">
        <f t="shared" si="8"/>
        <v>0</v>
      </c>
      <c r="AO46" s="417">
        <f t="shared" si="9"/>
        <v>0</v>
      </c>
      <c r="AP46" s="417">
        <f t="shared" si="10"/>
        <v>0</v>
      </c>
      <c r="AQ46" s="417">
        <f t="shared" si="11"/>
        <v>0</v>
      </c>
      <c r="AR46" s="417">
        <f t="shared" si="12"/>
        <v>0</v>
      </c>
      <c r="AS46" s="68">
        <f t="shared" si="13"/>
        <v>0</v>
      </c>
      <c r="AT46" s="68">
        <f t="shared" si="14"/>
        <v>0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0</v>
      </c>
      <c r="BK46" s="420">
        <f t="shared" si="19"/>
        <v>0</v>
      </c>
      <c r="BL46" s="772">
        <f>I46+AY46</f>
        <v>793083</v>
      </c>
      <c r="BM46" s="417">
        <f>J46+AG46</f>
        <v>580922</v>
      </c>
      <c r="BN46" s="417">
        <f t="shared" si="64"/>
        <v>580922</v>
      </c>
      <c r="BO46" s="417">
        <f t="shared" si="64"/>
        <v>0</v>
      </c>
      <c r="BP46" s="417">
        <f>M46+AO46</f>
        <v>0</v>
      </c>
      <c r="BQ46" s="417">
        <f t="shared" si="65"/>
        <v>0</v>
      </c>
      <c r="BR46" s="417">
        <f t="shared" si="65"/>
        <v>0</v>
      </c>
      <c r="BS46" s="417">
        <f t="shared" si="66"/>
        <v>196352</v>
      </c>
      <c r="BT46" s="417">
        <f t="shared" si="66"/>
        <v>5809</v>
      </c>
      <c r="BU46" s="417">
        <f>R46+AX46</f>
        <v>10000</v>
      </c>
      <c r="BV46" s="418">
        <f>S46+BK46</f>
        <v>1.83</v>
      </c>
      <c r="BW46" s="418">
        <f t="shared" si="67"/>
        <v>1.83</v>
      </c>
      <c r="BX46" s="420">
        <f t="shared" si="67"/>
        <v>0</v>
      </c>
      <c r="BY46" s="419"/>
      <c r="BZ46" s="414"/>
      <c r="CA46" s="414"/>
      <c r="CB46" s="414"/>
      <c r="CC46" s="414"/>
      <c r="CD46" s="509"/>
      <c r="CE46" s="419"/>
      <c r="CF46" s="414"/>
      <c r="CG46" s="414"/>
      <c r="CH46" s="414"/>
      <c r="CI46" s="414"/>
      <c r="CJ46" s="509"/>
    </row>
    <row r="47" spans="1:88" s="221" customFormat="1" ht="12.75" customHeight="1">
      <c r="A47" s="223">
        <v>10</v>
      </c>
      <c r="B47" s="224">
        <v>3461</v>
      </c>
      <c r="C47" s="224">
        <v>691001286</v>
      </c>
      <c r="D47" s="224">
        <v>72048107</v>
      </c>
      <c r="E47" s="225" t="s">
        <v>26</v>
      </c>
      <c r="F47" s="224">
        <v>3141</v>
      </c>
      <c r="G47" s="225" t="s">
        <v>294</v>
      </c>
      <c r="H47" s="226" t="s">
        <v>272</v>
      </c>
      <c r="I47" s="419">
        <v>1392725</v>
      </c>
      <c r="J47" s="414">
        <v>1029243</v>
      </c>
      <c r="K47" s="414">
        <v>0</v>
      </c>
      <c r="L47" s="414">
        <v>1029243</v>
      </c>
      <c r="M47" s="414">
        <v>0</v>
      </c>
      <c r="N47" s="414">
        <v>0</v>
      </c>
      <c r="O47" s="414">
        <v>0</v>
      </c>
      <c r="P47" s="68">
        <v>347885</v>
      </c>
      <c r="Q47" s="68">
        <v>10293</v>
      </c>
      <c r="R47" s="414">
        <v>5304</v>
      </c>
      <c r="S47" s="415">
        <v>3.0900000000000003</v>
      </c>
      <c r="T47" s="416">
        <v>0</v>
      </c>
      <c r="U47" s="422">
        <v>3.0900000000000003</v>
      </c>
      <c r="V47" s="423">
        <f t="shared" si="2"/>
        <v>0</v>
      </c>
      <c r="W47" s="417">
        <f t="shared" si="3"/>
        <v>0</v>
      </c>
      <c r="X47" s="417">
        <v>0</v>
      </c>
      <c r="Y47" s="417">
        <v>0</v>
      </c>
      <c r="Z47" s="417">
        <v>0</v>
      </c>
      <c r="AA47" s="417">
        <v>-13394</v>
      </c>
      <c r="AB47" s="417">
        <v>0</v>
      </c>
      <c r="AC47" s="417">
        <v>0</v>
      </c>
      <c r="AD47" s="417">
        <v>0</v>
      </c>
      <c r="AE47" s="417">
        <f t="shared" si="4"/>
        <v>0</v>
      </c>
      <c r="AF47" s="417">
        <f t="shared" si="5"/>
        <v>-13394</v>
      </c>
      <c r="AG47" s="417">
        <f t="shared" si="6"/>
        <v>-13394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7"/>
        <v>0</v>
      </c>
      <c r="AN47" s="417">
        <f t="shared" si="8"/>
        <v>0</v>
      </c>
      <c r="AO47" s="417">
        <f t="shared" si="9"/>
        <v>0</v>
      </c>
      <c r="AP47" s="417">
        <f t="shared" si="10"/>
        <v>0</v>
      </c>
      <c r="AQ47" s="417">
        <f t="shared" si="11"/>
        <v>-13394</v>
      </c>
      <c r="AR47" s="417">
        <f t="shared" si="12"/>
        <v>-13394</v>
      </c>
      <c r="AS47" s="68">
        <f t="shared" si="13"/>
        <v>-4527</v>
      </c>
      <c r="AT47" s="68">
        <f t="shared" si="14"/>
        <v>-134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-18055</v>
      </c>
      <c r="AZ47" s="418">
        <v>0</v>
      </c>
      <c r="BA47" s="418">
        <v>0</v>
      </c>
      <c r="BB47" s="418">
        <v>0</v>
      </c>
      <c r="BC47" s="418">
        <v>0</v>
      </c>
      <c r="BD47" s="418">
        <v>-0.04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-0.04</v>
      </c>
      <c r="BK47" s="420">
        <f t="shared" si="19"/>
        <v>-0.04</v>
      </c>
      <c r="BL47" s="772">
        <f>I47+AY47</f>
        <v>1374670</v>
      </c>
      <c r="BM47" s="417">
        <f>J47+AG47</f>
        <v>1015849</v>
      </c>
      <c r="BN47" s="417">
        <f t="shared" si="64"/>
        <v>0</v>
      </c>
      <c r="BO47" s="417">
        <f t="shared" si="64"/>
        <v>1015849</v>
      </c>
      <c r="BP47" s="417">
        <f>M47+AO47</f>
        <v>0</v>
      </c>
      <c r="BQ47" s="417">
        <f t="shared" si="65"/>
        <v>0</v>
      </c>
      <c r="BR47" s="417">
        <f t="shared" si="65"/>
        <v>0</v>
      </c>
      <c r="BS47" s="417">
        <f t="shared" si="66"/>
        <v>343358</v>
      </c>
      <c r="BT47" s="417">
        <f t="shared" si="66"/>
        <v>10159</v>
      </c>
      <c r="BU47" s="417">
        <f>R47+AX47</f>
        <v>5304</v>
      </c>
      <c r="BV47" s="418">
        <f>S47+BK47</f>
        <v>3.0500000000000003</v>
      </c>
      <c r="BW47" s="418">
        <f t="shared" si="67"/>
        <v>0</v>
      </c>
      <c r="BX47" s="420">
        <f t="shared" si="67"/>
        <v>3.0500000000000003</v>
      </c>
      <c r="BY47" s="419"/>
      <c r="BZ47" s="414"/>
      <c r="CA47" s="414"/>
      <c r="CB47" s="414"/>
      <c r="CC47" s="414"/>
      <c r="CD47" s="509"/>
      <c r="CE47" s="419"/>
      <c r="CF47" s="414"/>
      <c r="CG47" s="414"/>
      <c r="CH47" s="414"/>
      <c r="CI47" s="414"/>
      <c r="CJ47" s="509"/>
    </row>
    <row r="48" spans="1:88" s="221" customFormat="1" ht="12.75" customHeight="1">
      <c r="A48" s="153">
        <v>10</v>
      </c>
      <c r="B48" s="14">
        <v>3461</v>
      </c>
      <c r="C48" s="152">
        <v>691001286</v>
      </c>
      <c r="D48" s="152">
        <v>72048107</v>
      </c>
      <c r="E48" s="222" t="s">
        <v>27</v>
      </c>
      <c r="F48" s="14"/>
      <c r="G48" s="222"/>
      <c r="H48" s="558"/>
      <c r="I48" s="504">
        <v>11659693</v>
      </c>
      <c r="J48" s="503">
        <v>8604664</v>
      </c>
      <c r="K48" s="503">
        <v>6653580</v>
      </c>
      <c r="L48" s="503">
        <v>1951084</v>
      </c>
      <c r="M48" s="503">
        <v>0</v>
      </c>
      <c r="N48" s="503">
        <v>0</v>
      </c>
      <c r="O48" s="503">
        <v>0</v>
      </c>
      <c r="P48" s="503">
        <v>2908378</v>
      </c>
      <c r="Q48" s="503">
        <v>86047</v>
      </c>
      <c r="R48" s="503">
        <v>60604</v>
      </c>
      <c r="S48" s="543">
        <v>18.7516</v>
      </c>
      <c r="T48" s="543">
        <v>12.53</v>
      </c>
      <c r="U48" s="1084">
        <v>6.2216000000000005</v>
      </c>
      <c r="V48" s="504">
        <f t="shared" ref="V48:CG48" si="68">SUM(V45:V47)</f>
        <v>0</v>
      </c>
      <c r="W48" s="503">
        <f t="shared" si="68"/>
        <v>0</v>
      </c>
      <c r="X48" s="503">
        <f t="shared" si="68"/>
        <v>0</v>
      </c>
      <c r="Y48" s="503">
        <f t="shared" si="68"/>
        <v>0</v>
      </c>
      <c r="Z48" s="503">
        <f t="shared" si="68"/>
        <v>0</v>
      </c>
      <c r="AA48" s="503">
        <f t="shared" si="68"/>
        <v>-13394</v>
      </c>
      <c r="AB48" s="503">
        <f t="shared" si="68"/>
        <v>0</v>
      </c>
      <c r="AC48" s="503">
        <f t="shared" si="68"/>
        <v>0</v>
      </c>
      <c r="AD48" s="503">
        <f t="shared" si="68"/>
        <v>0</v>
      </c>
      <c r="AE48" s="503">
        <f t="shared" si="68"/>
        <v>0</v>
      </c>
      <c r="AF48" s="503">
        <f t="shared" si="68"/>
        <v>-13394</v>
      </c>
      <c r="AG48" s="503">
        <f t="shared" si="68"/>
        <v>-13394</v>
      </c>
      <c r="AH48" s="503">
        <f t="shared" si="68"/>
        <v>0</v>
      </c>
      <c r="AI48" s="503">
        <f t="shared" si="68"/>
        <v>0</v>
      </c>
      <c r="AJ48" s="503">
        <f t="shared" si="68"/>
        <v>0</v>
      </c>
      <c r="AK48" s="503">
        <f t="shared" si="68"/>
        <v>0</v>
      </c>
      <c r="AL48" s="503">
        <f t="shared" si="68"/>
        <v>0</v>
      </c>
      <c r="AM48" s="503">
        <f t="shared" si="68"/>
        <v>0</v>
      </c>
      <c r="AN48" s="503">
        <f t="shared" si="68"/>
        <v>0</v>
      </c>
      <c r="AO48" s="503">
        <f t="shared" si="68"/>
        <v>0</v>
      </c>
      <c r="AP48" s="503">
        <f t="shared" si="68"/>
        <v>0</v>
      </c>
      <c r="AQ48" s="503">
        <f t="shared" si="68"/>
        <v>-13394</v>
      </c>
      <c r="AR48" s="503">
        <f t="shared" si="68"/>
        <v>-13394</v>
      </c>
      <c r="AS48" s="503">
        <f t="shared" si="68"/>
        <v>-4527</v>
      </c>
      <c r="AT48" s="503">
        <f t="shared" si="68"/>
        <v>-134</v>
      </c>
      <c r="AU48" s="503">
        <f t="shared" si="68"/>
        <v>0</v>
      </c>
      <c r="AV48" s="503">
        <f t="shared" si="68"/>
        <v>0</v>
      </c>
      <c r="AW48" s="503">
        <f t="shared" si="68"/>
        <v>0</v>
      </c>
      <c r="AX48" s="503">
        <f t="shared" si="68"/>
        <v>0</v>
      </c>
      <c r="AY48" s="503">
        <f t="shared" si="68"/>
        <v>-18055</v>
      </c>
      <c r="AZ48" s="543">
        <f t="shared" si="68"/>
        <v>0</v>
      </c>
      <c r="BA48" s="543">
        <f t="shared" si="68"/>
        <v>0</v>
      </c>
      <c r="BB48" s="543">
        <f t="shared" si="68"/>
        <v>0</v>
      </c>
      <c r="BC48" s="543">
        <f t="shared" si="68"/>
        <v>0</v>
      </c>
      <c r="BD48" s="543">
        <f t="shared" si="68"/>
        <v>-0.04</v>
      </c>
      <c r="BE48" s="543">
        <f t="shared" si="68"/>
        <v>0</v>
      </c>
      <c r="BF48" s="543">
        <f t="shared" si="68"/>
        <v>0</v>
      </c>
      <c r="BG48" s="543">
        <f t="shared" si="68"/>
        <v>0</v>
      </c>
      <c r="BH48" s="543">
        <f t="shared" si="68"/>
        <v>0</v>
      </c>
      <c r="BI48" s="543">
        <f t="shared" si="68"/>
        <v>0</v>
      </c>
      <c r="BJ48" s="543">
        <f t="shared" si="68"/>
        <v>-0.04</v>
      </c>
      <c r="BK48" s="441">
        <f t="shared" si="68"/>
        <v>-0.04</v>
      </c>
      <c r="BL48" s="788">
        <f t="shared" si="68"/>
        <v>11641638</v>
      </c>
      <c r="BM48" s="503">
        <f t="shared" si="68"/>
        <v>8591270</v>
      </c>
      <c r="BN48" s="503">
        <f t="shared" si="68"/>
        <v>6653580</v>
      </c>
      <c r="BO48" s="503">
        <f t="shared" si="68"/>
        <v>1937690</v>
      </c>
      <c r="BP48" s="503">
        <f t="shared" si="68"/>
        <v>0</v>
      </c>
      <c r="BQ48" s="503">
        <f t="shared" si="68"/>
        <v>0</v>
      </c>
      <c r="BR48" s="503">
        <f t="shared" si="68"/>
        <v>0</v>
      </c>
      <c r="BS48" s="503">
        <f t="shared" si="68"/>
        <v>2903851</v>
      </c>
      <c r="BT48" s="503">
        <f t="shared" si="68"/>
        <v>85913</v>
      </c>
      <c r="BU48" s="503">
        <f t="shared" si="68"/>
        <v>60604</v>
      </c>
      <c r="BV48" s="543">
        <f t="shared" si="68"/>
        <v>18.711599999999997</v>
      </c>
      <c r="BW48" s="543">
        <f t="shared" si="68"/>
        <v>12.53</v>
      </c>
      <c r="BX48" s="441">
        <f t="shared" si="68"/>
        <v>6.1815999999999995</v>
      </c>
      <c r="BY48" s="799">
        <f t="shared" si="68"/>
        <v>0</v>
      </c>
      <c r="BZ48" s="705">
        <f t="shared" si="68"/>
        <v>0</v>
      </c>
      <c r="CA48" s="705">
        <f t="shared" si="68"/>
        <v>0</v>
      </c>
      <c r="CB48" s="705">
        <f t="shared" si="68"/>
        <v>0</v>
      </c>
      <c r="CC48" s="705">
        <f t="shared" si="68"/>
        <v>0</v>
      </c>
      <c r="CD48" s="800">
        <f t="shared" si="68"/>
        <v>0</v>
      </c>
      <c r="CE48" s="896">
        <f t="shared" si="68"/>
        <v>413823</v>
      </c>
      <c r="CF48" s="897">
        <f t="shared" si="68"/>
        <v>295814</v>
      </c>
      <c r="CG48" s="897">
        <f t="shared" si="68"/>
        <v>99985</v>
      </c>
      <c r="CH48" s="897">
        <f t="shared" ref="CH48:CJ48" si="69">SUM(CH45:CH47)</f>
        <v>2958</v>
      </c>
      <c r="CI48" s="897">
        <f t="shared" si="69"/>
        <v>15066</v>
      </c>
      <c r="CJ48" s="898">
        <f t="shared" si="69"/>
        <v>1.0048999999999999</v>
      </c>
    </row>
    <row r="49" spans="1:88" s="221" customFormat="1" ht="12.75" customHeight="1">
      <c r="A49" s="223">
        <v>11</v>
      </c>
      <c r="B49" s="224">
        <v>3468</v>
      </c>
      <c r="C49" s="224">
        <v>691000891</v>
      </c>
      <c r="D49" s="224">
        <v>72048069</v>
      </c>
      <c r="E49" s="225" t="s">
        <v>28</v>
      </c>
      <c r="F49" s="224">
        <v>3111</v>
      </c>
      <c r="G49" s="225" t="s">
        <v>290</v>
      </c>
      <c r="H49" s="226" t="s">
        <v>271</v>
      </c>
      <c r="I49" s="419">
        <v>7136066</v>
      </c>
      <c r="J49" s="414">
        <v>5244737</v>
      </c>
      <c r="K49" s="414">
        <v>4611608</v>
      </c>
      <c r="L49" s="414">
        <v>633129</v>
      </c>
      <c r="M49" s="414">
        <v>20000</v>
      </c>
      <c r="N49" s="414">
        <v>0</v>
      </c>
      <c r="O49" s="414">
        <v>20000</v>
      </c>
      <c r="P49" s="68">
        <v>1779481</v>
      </c>
      <c r="Q49" s="68">
        <v>52448</v>
      </c>
      <c r="R49" s="414">
        <v>39400</v>
      </c>
      <c r="S49" s="415">
        <v>10.2156</v>
      </c>
      <c r="T49" s="416">
        <v>8.0967000000000002</v>
      </c>
      <c r="U49" s="422">
        <v>2.1189</v>
      </c>
      <c r="V49" s="423">
        <f t="shared" si="2"/>
        <v>0</v>
      </c>
      <c r="W49" s="417">
        <f t="shared" si="3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4"/>
        <v>0</v>
      </c>
      <c r="AF49" s="417">
        <f t="shared" si="5"/>
        <v>0</v>
      </c>
      <c r="AG49" s="417">
        <f t="shared" si="6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7"/>
        <v>0</v>
      </c>
      <c r="AN49" s="417">
        <f t="shared" si="8"/>
        <v>0</v>
      </c>
      <c r="AO49" s="417">
        <f t="shared" si="9"/>
        <v>0</v>
      </c>
      <c r="AP49" s="417">
        <f t="shared" si="10"/>
        <v>0</v>
      </c>
      <c r="AQ49" s="417">
        <f t="shared" si="11"/>
        <v>0</v>
      </c>
      <c r="AR49" s="417">
        <f t="shared" si="12"/>
        <v>0</v>
      </c>
      <c r="AS49" s="68">
        <f t="shared" si="13"/>
        <v>0</v>
      </c>
      <c r="AT49" s="68">
        <f t="shared" si="14"/>
        <v>0</v>
      </c>
      <c r="AU49" s="417">
        <v>0</v>
      </c>
      <c r="AV49" s="417">
        <v>0</v>
      </c>
      <c r="AW49" s="417">
        <v>0</v>
      </c>
      <c r="AX49" s="417">
        <f t="shared" si="15"/>
        <v>0</v>
      </c>
      <c r="AY49" s="417">
        <f t="shared" si="16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0</v>
      </c>
      <c r="BK49" s="420">
        <f t="shared" si="19"/>
        <v>0</v>
      </c>
      <c r="BL49" s="772">
        <f>I49+AY49</f>
        <v>7136066</v>
      </c>
      <c r="BM49" s="417">
        <f>J49+AG49</f>
        <v>5244737</v>
      </c>
      <c r="BN49" s="417">
        <f t="shared" ref="BN49:BO51" si="70">K49+AE49</f>
        <v>4611608</v>
      </c>
      <c r="BO49" s="417">
        <f t="shared" si="70"/>
        <v>633129</v>
      </c>
      <c r="BP49" s="417">
        <f>M49+AO49</f>
        <v>20000</v>
      </c>
      <c r="BQ49" s="417">
        <f t="shared" ref="BQ49:BR51" si="71">N49+AM49</f>
        <v>0</v>
      </c>
      <c r="BR49" s="417">
        <f t="shared" si="71"/>
        <v>20000</v>
      </c>
      <c r="BS49" s="417">
        <f t="shared" ref="BS49:BT51" si="72">P49+AS49</f>
        <v>1779481</v>
      </c>
      <c r="BT49" s="417">
        <f t="shared" si="72"/>
        <v>52448</v>
      </c>
      <c r="BU49" s="417">
        <f>R49+AX49</f>
        <v>39400</v>
      </c>
      <c r="BV49" s="418">
        <f>S49+BK49</f>
        <v>10.2156</v>
      </c>
      <c r="BW49" s="418">
        <f t="shared" ref="BW49:BX51" si="73">T49+BI49</f>
        <v>8.0967000000000002</v>
      </c>
      <c r="BX49" s="420">
        <f t="shared" si="73"/>
        <v>2.1189</v>
      </c>
      <c r="BY49" s="419"/>
      <c r="BZ49" s="414"/>
      <c r="CA49" s="414"/>
      <c r="CB49" s="414"/>
      <c r="CC49" s="414"/>
      <c r="CD49" s="509"/>
      <c r="CE49" s="419">
        <v>295626</v>
      </c>
      <c r="CF49" s="414">
        <v>209583</v>
      </c>
      <c r="CG49" s="414">
        <v>70839</v>
      </c>
      <c r="CH49" s="414">
        <v>2096</v>
      </c>
      <c r="CI49" s="414">
        <v>13108</v>
      </c>
      <c r="CJ49" s="509">
        <v>0.7056</v>
      </c>
    </row>
    <row r="50" spans="1:88" s="221" customFormat="1">
      <c r="A50" s="223">
        <v>11</v>
      </c>
      <c r="B50" s="224">
        <v>3468</v>
      </c>
      <c r="C50" s="224">
        <v>691000891</v>
      </c>
      <c r="D50" s="224">
        <v>72048069</v>
      </c>
      <c r="E50" s="225" t="s">
        <v>28</v>
      </c>
      <c r="F50" s="224">
        <v>3111</v>
      </c>
      <c r="G50" s="225" t="s">
        <v>291</v>
      </c>
      <c r="H50" s="226" t="s">
        <v>272</v>
      </c>
      <c r="I50" s="419">
        <v>1215197</v>
      </c>
      <c r="J50" s="414">
        <v>896103</v>
      </c>
      <c r="K50" s="414">
        <v>896103</v>
      </c>
      <c r="L50" s="414">
        <v>0</v>
      </c>
      <c r="M50" s="414">
        <v>0</v>
      </c>
      <c r="N50" s="414">
        <v>0</v>
      </c>
      <c r="O50" s="414">
        <v>0</v>
      </c>
      <c r="P50" s="68">
        <v>302883</v>
      </c>
      <c r="Q50" s="68">
        <v>8961</v>
      </c>
      <c r="R50" s="414">
        <v>7250</v>
      </c>
      <c r="S50" s="415">
        <v>2.42</v>
      </c>
      <c r="T50" s="416">
        <v>2.42</v>
      </c>
      <c r="U50" s="422">
        <v>0</v>
      </c>
      <c r="V50" s="423">
        <f t="shared" si="2"/>
        <v>0</v>
      </c>
      <c r="W50" s="417">
        <f t="shared" si="3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4"/>
        <v>0</v>
      </c>
      <c r="AF50" s="417">
        <f t="shared" si="5"/>
        <v>0</v>
      </c>
      <c r="AG50" s="417">
        <f t="shared" si="6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7"/>
        <v>0</v>
      </c>
      <c r="AN50" s="417">
        <f t="shared" si="8"/>
        <v>0</v>
      </c>
      <c r="AO50" s="417">
        <f t="shared" si="9"/>
        <v>0</v>
      </c>
      <c r="AP50" s="417">
        <f t="shared" si="10"/>
        <v>0</v>
      </c>
      <c r="AQ50" s="417">
        <f t="shared" si="11"/>
        <v>0</v>
      </c>
      <c r="AR50" s="417">
        <f t="shared" si="12"/>
        <v>0</v>
      </c>
      <c r="AS50" s="68">
        <f t="shared" si="13"/>
        <v>0</v>
      </c>
      <c r="AT50" s="68">
        <f t="shared" si="14"/>
        <v>0</v>
      </c>
      <c r="AU50" s="417">
        <v>0</v>
      </c>
      <c r="AV50" s="417">
        <v>0</v>
      </c>
      <c r="AW50" s="417">
        <v>0</v>
      </c>
      <c r="AX50" s="417">
        <f t="shared" si="15"/>
        <v>0</v>
      </c>
      <c r="AY50" s="417">
        <f t="shared" si="16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7"/>
        <v>0</v>
      </c>
      <c r="BJ50" s="418">
        <f t="shared" si="18"/>
        <v>0</v>
      </c>
      <c r="BK50" s="420">
        <f t="shared" si="19"/>
        <v>0</v>
      </c>
      <c r="BL50" s="772">
        <f>I50+AY50</f>
        <v>1215197</v>
      </c>
      <c r="BM50" s="417">
        <f>J50+AG50</f>
        <v>896103</v>
      </c>
      <c r="BN50" s="417">
        <f t="shared" si="70"/>
        <v>896103</v>
      </c>
      <c r="BO50" s="417">
        <f t="shared" si="70"/>
        <v>0</v>
      </c>
      <c r="BP50" s="417">
        <f>M50+AO50</f>
        <v>0</v>
      </c>
      <c r="BQ50" s="417">
        <f t="shared" si="71"/>
        <v>0</v>
      </c>
      <c r="BR50" s="417">
        <f t="shared" si="71"/>
        <v>0</v>
      </c>
      <c r="BS50" s="417">
        <f t="shared" si="72"/>
        <v>302883</v>
      </c>
      <c r="BT50" s="417">
        <f t="shared" si="72"/>
        <v>8961</v>
      </c>
      <c r="BU50" s="417">
        <f>R50+AX50</f>
        <v>7250</v>
      </c>
      <c r="BV50" s="418">
        <f>S50+BK50</f>
        <v>2.42</v>
      </c>
      <c r="BW50" s="418">
        <f t="shared" si="73"/>
        <v>2.42</v>
      </c>
      <c r="BX50" s="420">
        <f t="shared" si="73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 s="221" customFormat="1" ht="12.75" customHeight="1">
      <c r="A51" s="223">
        <v>11</v>
      </c>
      <c r="B51" s="224">
        <v>3468</v>
      </c>
      <c r="C51" s="224">
        <v>691000891</v>
      </c>
      <c r="D51" s="224">
        <v>72048069</v>
      </c>
      <c r="E51" s="225" t="s">
        <v>28</v>
      </c>
      <c r="F51" s="224">
        <v>3141</v>
      </c>
      <c r="G51" s="225" t="s">
        <v>294</v>
      </c>
      <c r="H51" s="226" t="s">
        <v>272</v>
      </c>
      <c r="I51" s="419">
        <v>923594</v>
      </c>
      <c r="J51" s="414">
        <v>682227</v>
      </c>
      <c r="K51" s="414">
        <v>0</v>
      </c>
      <c r="L51" s="414">
        <v>682227</v>
      </c>
      <c r="M51" s="414">
        <v>0</v>
      </c>
      <c r="N51" s="414">
        <v>0</v>
      </c>
      <c r="O51" s="414">
        <v>0</v>
      </c>
      <c r="P51" s="68">
        <v>230592</v>
      </c>
      <c r="Q51" s="68">
        <v>6823</v>
      </c>
      <c r="R51" s="414">
        <v>3952</v>
      </c>
      <c r="S51" s="415">
        <v>2.0500000000000003</v>
      </c>
      <c r="T51" s="416">
        <v>0</v>
      </c>
      <c r="U51" s="422">
        <v>2.0500000000000003</v>
      </c>
      <c r="V51" s="423">
        <f t="shared" si="2"/>
        <v>0</v>
      </c>
      <c r="W51" s="417">
        <f t="shared" si="3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4"/>
        <v>0</v>
      </c>
      <c r="AF51" s="417">
        <f t="shared" si="5"/>
        <v>0</v>
      </c>
      <c r="AG51" s="417">
        <f t="shared" si="6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7"/>
        <v>0</v>
      </c>
      <c r="AN51" s="417">
        <f t="shared" si="8"/>
        <v>0</v>
      </c>
      <c r="AO51" s="417">
        <f t="shared" si="9"/>
        <v>0</v>
      </c>
      <c r="AP51" s="417">
        <f t="shared" si="10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</v>
      </c>
      <c r="BK51" s="420">
        <f t="shared" si="19"/>
        <v>0</v>
      </c>
      <c r="BL51" s="772">
        <f>I51+AY51</f>
        <v>923594</v>
      </c>
      <c r="BM51" s="417">
        <f>J51+AG51</f>
        <v>682227</v>
      </c>
      <c r="BN51" s="417">
        <f t="shared" si="70"/>
        <v>0</v>
      </c>
      <c r="BO51" s="417">
        <f t="shared" si="70"/>
        <v>682227</v>
      </c>
      <c r="BP51" s="417">
        <f>M51+AO51</f>
        <v>0</v>
      </c>
      <c r="BQ51" s="417">
        <f t="shared" si="71"/>
        <v>0</v>
      </c>
      <c r="BR51" s="417">
        <f t="shared" si="71"/>
        <v>0</v>
      </c>
      <c r="BS51" s="417">
        <f t="shared" si="72"/>
        <v>230592</v>
      </c>
      <c r="BT51" s="417">
        <f t="shared" si="72"/>
        <v>6823</v>
      </c>
      <c r="BU51" s="417">
        <f>R51+AX51</f>
        <v>3952</v>
      </c>
      <c r="BV51" s="418">
        <f>S51+BK51</f>
        <v>2.0500000000000003</v>
      </c>
      <c r="BW51" s="418">
        <f t="shared" si="73"/>
        <v>0</v>
      </c>
      <c r="BX51" s="420">
        <f t="shared" si="73"/>
        <v>2.0500000000000003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1"/>
      <c r="CJ51" s="603"/>
    </row>
    <row r="52" spans="1:88" s="221" customFormat="1" ht="12.75" customHeight="1">
      <c r="A52" s="153">
        <v>11</v>
      </c>
      <c r="B52" s="14">
        <v>3468</v>
      </c>
      <c r="C52" s="152">
        <v>691000891</v>
      </c>
      <c r="D52" s="152">
        <v>72048069</v>
      </c>
      <c r="E52" s="222" t="s">
        <v>29</v>
      </c>
      <c r="F52" s="14"/>
      <c r="G52" s="222"/>
      <c r="H52" s="558"/>
      <c r="I52" s="504">
        <v>9274857</v>
      </c>
      <c r="J52" s="503">
        <v>6823067</v>
      </c>
      <c r="K52" s="503">
        <v>5507711</v>
      </c>
      <c r="L52" s="503">
        <v>1315356</v>
      </c>
      <c r="M52" s="503">
        <v>20000</v>
      </c>
      <c r="N52" s="503">
        <v>0</v>
      </c>
      <c r="O52" s="503">
        <v>20000</v>
      </c>
      <c r="P52" s="503">
        <v>2312956</v>
      </c>
      <c r="Q52" s="503">
        <v>68232</v>
      </c>
      <c r="R52" s="503">
        <v>50602</v>
      </c>
      <c r="S52" s="543">
        <v>14.685600000000001</v>
      </c>
      <c r="T52" s="543">
        <v>10.5167</v>
      </c>
      <c r="U52" s="1084">
        <v>4.1689000000000007</v>
      </c>
      <c r="V52" s="504">
        <f t="shared" ref="V52:CG52" si="74">SUM(V49:V51)</f>
        <v>0</v>
      </c>
      <c r="W52" s="503">
        <f t="shared" si="74"/>
        <v>0</v>
      </c>
      <c r="X52" s="503">
        <f t="shared" si="74"/>
        <v>0</v>
      </c>
      <c r="Y52" s="503">
        <f t="shared" si="74"/>
        <v>0</v>
      </c>
      <c r="Z52" s="503">
        <f t="shared" si="74"/>
        <v>0</v>
      </c>
      <c r="AA52" s="503">
        <f t="shared" si="74"/>
        <v>0</v>
      </c>
      <c r="AB52" s="503">
        <f t="shared" si="74"/>
        <v>0</v>
      </c>
      <c r="AC52" s="503">
        <f t="shared" si="74"/>
        <v>0</v>
      </c>
      <c r="AD52" s="503">
        <f t="shared" si="74"/>
        <v>0</v>
      </c>
      <c r="AE52" s="503">
        <f t="shared" si="74"/>
        <v>0</v>
      </c>
      <c r="AF52" s="503">
        <f t="shared" si="74"/>
        <v>0</v>
      </c>
      <c r="AG52" s="503">
        <f t="shared" si="74"/>
        <v>0</v>
      </c>
      <c r="AH52" s="503">
        <f t="shared" si="74"/>
        <v>0</v>
      </c>
      <c r="AI52" s="503">
        <f t="shared" si="74"/>
        <v>0</v>
      </c>
      <c r="AJ52" s="503">
        <f t="shared" si="74"/>
        <v>0</v>
      </c>
      <c r="AK52" s="503">
        <f t="shared" si="74"/>
        <v>0</v>
      </c>
      <c r="AL52" s="503">
        <f t="shared" si="74"/>
        <v>0</v>
      </c>
      <c r="AM52" s="503">
        <f t="shared" si="74"/>
        <v>0</v>
      </c>
      <c r="AN52" s="503">
        <f t="shared" si="74"/>
        <v>0</v>
      </c>
      <c r="AO52" s="503">
        <f t="shared" si="74"/>
        <v>0</v>
      </c>
      <c r="AP52" s="503">
        <f t="shared" si="74"/>
        <v>0</v>
      </c>
      <c r="AQ52" s="503">
        <f t="shared" si="74"/>
        <v>0</v>
      </c>
      <c r="AR52" s="503">
        <f t="shared" si="74"/>
        <v>0</v>
      </c>
      <c r="AS52" s="503">
        <f t="shared" si="74"/>
        <v>0</v>
      </c>
      <c r="AT52" s="503">
        <f t="shared" si="74"/>
        <v>0</v>
      </c>
      <c r="AU52" s="503">
        <f t="shared" si="74"/>
        <v>0</v>
      </c>
      <c r="AV52" s="503">
        <f t="shared" si="74"/>
        <v>0</v>
      </c>
      <c r="AW52" s="503">
        <f t="shared" si="74"/>
        <v>0</v>
      </c>
      <c r="AX52" s="503">
        <f t="shared" si="74"/>
        <v>0</v>
      </c>
      <c r="AY52" s="503">
        <f t="shared" si="74"/>
        <v>0</v>
      </c>
      <c r="AZ52" s="543">
        <f t="shared" si="74"/>
        <v>0</v>
      </c>
      <c r="BA52" s="543">
        <f t="shared" si="74"/>
        <v>0</v>
      </c>
      <c r="BB52" s="543">
        <f t="shared" si="74"/>
        <v>0</v>
      </c>
      <c r="BC52" s="543">
        <f t="shared" si="74"/>
        <v>0</v>
      </c>
      <c r="BD52" s="543">
        <f t="shared" si="74"/>
        <v>0</v>
      </c>
      <c r="BE52" s="543">
        <f t="shared" si="74"/>
        <v>0</v>
      </c>
      <c r="BF52" s="543">
        <f t="shared" si="74"/>
        <v>0</v>
      </c>
      <c r="BG52" s="543">
        <f t="shared" si="74"/>
        <v>0</v>
      </c>
      <c r="BH52" s="543">
        <f t="shared" si="74"/>
        <v>0</v>
      </c>
      <c r="BI52" s="543">
        <f t="shared" si="74"/>
        <v>0</v>
      </c>
      <c r="BJ52" s="543">
        <f t="shared" si="74"/>
        <v>0</v>
      </c>
      <c r="BK52" s="441">
        <f t="shared" si="74"/>
        <v>0</v>
      </c>
      <c r="BL52" s="788">
        <f t="shared" si="74"/>
        <v>9274857</v>
      </c>
      <c r="BM52" s="503">
        <f t="shared" si="74"/>
        <v>6823067</v>
      </c>
      <c r="BN52" s="503">
        <f t="shared" si="74"/>
        <v>5507711</v>
      </c>
      <c r="BO52" s="503">
        <f t="shared" si="74"/>
        <v>1315356</v>
      </c>
      <c r="BP52" s="503">
        <f t="shared" si="74"/>
        <v>20000</v>
      </c>
      <c r="BQ52" s="503">
        <f t="shared" si="74"/>
        <v>0</v>
      </c>
      <c r="BR52" s="503">
        <f t="shared" si="74"/>
        <v>20000</v>
      </c>
      <c r="BS52" s="503">
        <f t="shared" si="74"/>
        <v>2312956</v>
      </c>
      <c r="BT52" s="503">
        <f t="shared" si="74"/>
        <v>68232</v>
      </c>
      <c r="BU52" s="503">
        <f t="shared" si="74"/>
        <v>50602</v>
      </c>
      <c r="BV52" s="543">
        <f t="shared" si="74"/>
        <v>14.685600000000001</v>
      </c>
      <c r="BW52" s="543">
        <f t="shared" si="74"/>
        <v>10.5167</v>
      </c>
      <c r="BX52" s="441">
        <f t="shared" si="74"/>
        <v>4.1689000000000007</v>
      </c>
      <c r="BY52" s="799">
        <f t="shared" si="74"/>
        <v>0</v>
      </c>
      <c r="BZ52" s="705">
        <f t="shared" si="74"/>
        <v>0</v>
      </c>
      <c r="CA52" s="705">
        <f t="shared" si="74"/>
        <v>0</v>
      </c>
      <c r="CB52" s="705">
        <f t="shared" si="74"/>
        <v>0</v>
      </c>
      <c r="CC52" s="705">
        <f t="shared" si="74"/>
        <v>0</v>
      </c>
      <c r="CD52" s="800">
        <f t="shared" si="74"/>
        <v>0</v>
      </c>
      <c r="CE52" s="896">
        <f t="shared" si="74"/>
        <v>295626</v>
      </c>
      <c r="CF52" s="897">
        <f t="shared" si="74"/>
        <v>209583</v>
      </c>
      <c r="CG52" s="897">
        <f t="shared" si="74"/>
        <v>70839</v>
      </c>
      <c r="CH52" s="897">
        <f t="shared" ref="CH52:CJ52" si="75">SUM(CH49:CH51)</f>
        <v>2096</v>
      </c>
      <c r="CI52" s="897">
        <f t="shared" si="75"/>
        <v>13108</v>
      </c>
      <c r="CJ52" s="898">
        <f t="shared" si="75"/>
        <v>0.7056</v>
      </c>
    </row>
    <row r="53" spans="1:88" s="221" customFormat="1" ht="12.75" customHeight="1">
      <c r="A53" s="223">
        <v>12</v>
      </c>
      <c r="B53" s="224">
        <v>3465</v>
      </c>
      <c r="C53" s="224">
        <v>691001278</v>
      </c>
      <c r="D53" s="224">
        <v>72048131</v>
      </c>
      <c r="E53" s="225" t="s">
        <v>30</v>
      </c>
      <c r="F53" s="224">
        <v>3111</v>
      </c>
      <c r="G53" s="225" t="s">
        <v>290</v>
      </c>
      <c r="H53" s="226" t="s">
        <v>271</v>
      </c>
      <c r="I53" s="419">
        <v>7342608</v>
      </c>
      <c r="J53" s="414">
        <v>5399887</v>
      </c>
      <c r="K53" s="414">
        <v>4707522</v>
      </c>
      <c r="L53" s="414">
        <v>692365</v>
      </c>
      <c r="M53" s="414">
        <v>20000</v>
      </c>
      <c r="N53" s="414">
        <v>20000</v>
      </c>
      <c r="O53" s="414">
        <v>0</v>
      </c>
      <c r="P53" s="68">
        <v>1831922</v>
      </c>
      <c r="Q53" s="68">
        <v>53999</v>
      </c>
      <c r="R53" s="414">
        <v>36800</v>
      </c>
      <c r="S53" s="415">
        <v>10.3561</v>
      </c>
      <c r="T53" s="416">
        <v>8</v>
      </c>
      <c r="U53" s="422">
        <v>2.3560999999999996</v>
      </c>
      <c r="V53" s="423">
        <f t="shared" si="2"/>
        <v>0</v>
      </c>
      <c r="W53" s="417">
        <f t="shared" si="3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4"/>
        <v>0</v>
      </c>
      <c r="AF53" s="417">
        <f t="shared" si="5"/>
        <v>0</v>
      </c>
      <c r="AG53" s="417">
        <f t="shared" si="6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7"/>
        <v>0</v>
      </c>
      <c r="AN53" s="417">
        <f t="shared" si="8"/>
        <v>0</v>
      </c>
      <c r="AO53" s="417">
        <f t="shared" si="9"/>
        <v>0</v>
      </c>
      <c r="AP53" s="417">
        <f t="shared" si="10"/>
        <v>0</v>
      </c>
      <c r="AQ53" s="417">
        <f t="shared" si="11"/>
        <v>0</v>
      </c>
      <c r="AR53" s="417">
        <f t="shared" si="12"/>
        <v>0</v>
      </c>
      <c r="AS53" s="68">
        <f t="shared" si="13"/>
        <v>0</v>
      </c>
      <c r="AT53" s="68">
        <f t="shared" si="14"/>
        <v>0</v>
      </c>
      <c r="AU53" s="417">
        <v>0</v>
      </c>
      <c r="AV53" s="417">
        <v>0</v>
      </c>
      <c r="AW53" s="417">
        <v>0</v>
      </c>
      <c r="AX53" s="417">
        <f t="shared" si="15"/>
        <v>0</v>
      </c>
      <c r="AY53" s="417">
        <f t="shared" si="16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7"/>
        <v>0</v>
      </c>
      <c r="BJ53" s="418">
        <f t="shared" si="18"/>
        <v>0</v>
      </c>
      <c r="BK53" s="420">
        <f t="shared" si="19"/>
        <v>0</v>
      </c>
      <c r="BL53" s="772">
        <f>I53+AY53</f>
        <v>7342608</v>
      </c>
      <c r="BM53" s="417">
        <f>J53+AG53</f>
        <v>5399887</v>
      </c>
      <c r="BN53" s="417">
        <f t="shared" ref="BN53:BO55" si="76">K53+AE53</f>
        <v>4707522</v>
      </c>
      <c r="BO53" s="417">
        <f t="shared" si="76"/>
        <v>692365</v>
      </c>
      <c r="BP53" s="417">
        <f>M53+AO53</f>
        <v>20000</v>
      </c>
      <c r="BQ53" s="417">
        <f t="shared" ref="BQ53:BR55" si="77">N53+AM53</f>
        <v>20000</v>
      </c>
      <c r="BR53" s="417">
        <f t="shared" si="77"/>
        <v>0</v>
      </c>
      <c r="BS53" s="417">
        <f t="shared" ref="BS53:BT55" si="78">P53+AS53</f>
        <v>1831922</v>
      </c>
      <c r="BT53" s="417">
        <f t="shared" si="78"/>
        <v>53999</v>
      </c>
      <c r="BU53" s="417">
        <f>R53+AX53</f>
        <v>36800</v>
      </c>
      <c r="BV53" s="418">
        <f>S53+BK53</f>
        <v>10.3561</v>
      </c>
      <c r="BW53" s="418">
        <f t="shared" ref="BW53:BX55" si="79">T53+BI53</f>
        <v>8</v>
      </c>
      <c r="BX53" s="420">
        <f t="shared" si="79"/>
        <v>2.3560999999999996</v>
      </c>
      <c r="BY53" s="419"/>
      <c r="BZ53" s="414"/>
      <c r="CA53" s="414"/>
      <c r="CB53" s="414"/>
      <c r="CC53" s="414"/>
      <c r="CD53" s="509"/>
      <c r="CE53" s="419">
        <v>311712</v>
      </c>
      <c r="CF53" s="414">
        <v>222163</v>
      </c>
      <c r="CG53" s="414">
        <v>75091</v>
      </c>
      <c r="CH53" s="414">
        <v>2222</v>
      </c>
      <c r="CI53" s="414">
        <v>12236</v>
      </c>
      <c r="CJ53" s="509">
        <v>0.75600000000000001</v>
      </c>
    </row>
    <row r="54" spans="1:88" s="221" customFormat="1">
      <c r="A54" s="223">
        <v>12</v>
      </c>
      <c r="B54" s="224">
        <v>3465</v>
      </c>
      <c r="C54" s="224">
        <v>691001278</v>
      </c>
      <c r="D54" s="224">
        <v>72048131</v>
      </c>
      <c r="E54" s="225" t="s">
        <v>30</v>
      </c>
      <c r="F54" s="224">
        <v>3111</v>
      </c>
      <c r="G54" s="225" t="s">
        <v>291</v>
      </c>
      <c r="H54" s="226" t="s">
        <v>272</v>
      </c>
      <c r="I54" s="419">
        <v>274912</v>
      </c>
      <c r="J54" s="414">
        <v>203941</v>
      </c>
      <c r="K54" s="414">
        <v>203941</v>
      </c>
      <c r="L54" s="414">
        <v>0</v>
      </c>
      <c r="M54" s="414">
        <v>0</v>
      </c>
      <c r="N54" s="414">
        <v>0</v>
      </c>
      <c r="O54" s="414">
        <v>0</v>
      </c>
      <c r="P54" s="68">
        <v>68932</v>
      </c>
      <c r="Q54" s="68">
        <v>2039</v>
      </c>
      <c r="R54" s="414">
        <v>0</v>
      </c>
      <c r="S54" s="415">
        <v>0.75</v>
      </c>
      <c r="T54" s="416">
        <v>0.75</v>
      </c>
      <c r="U54" s="422">
        <v>0</v>
      </c>
      <c r="V54" s="423">
        <f t="shared" si="2"/>
        <v>0</v>
      </c>
      <c r="W54" s="417">
        <f t="shared" si="3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4"/>
        <v>0</v>
      </c>
      <c r="AF54" s="417">
        <f t="shared" si="5"/>
        <v>0</v>
      </c>
      <c r="AG54" s="417">
        <f t="shared" si="6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7"/>
        <v>0</v>
      </c>
      <c r="AN54" s="417">
        <f t="shared" si="8"/>
        <v>0</v>
      </c>
      <c r="AO54" s="417">
        <f t="shared" si="9"/>
        <v>0</v>
      </c>
      <c r="AP54" s="417">
        <f t="shared" si="10"/>
        <v>0</v>
      </c>
      <c r="AQ54" s="417">
        <f t="shared" si="11"/>
        <v>0</v>
      </c>
      <c r="AR54" s="417">
        <f t="shared" si="12"/>
        <v>0</v>
      </c>
      <c r="AS54" s="68">
        <f t="shared" si="13"/>
        <v>0</v>
      </c>
      <c r="AT54" s="68">
        <f t="shared" si="14"/>
        <v>0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0</v>
      </c>
      <c r="BK54" s="420">
        <f t="shared" si="19"/>
        <v>0</v>
      </c>
      <c r="BL54" s="772">
        <f>I54+AY54</f>
        <v>274912</v>
      </c>
      <c r="BM54" s="417">
        <f>J54+AG54</f>
        <v>203941</v>
      </c>
      <c r="BN54" s="417">
        <f t="shared" si="76"/>
        <v>203941</v>
      </c>
      <c r="BO54" s="417">
        <f t="shared" si="76"/>
        <v>0</v>
      </c>
      <c r="BP54" s="417">
        <f>M54+AO54</f>
        <v>0</v>
      </c>
      <c r="BQ54" s="417">
        <f t="shared" si="77"/>
        <v>0</v>
      </c>
      <c r="BR54" s="417">
        <f t="shared" si="77"/>
        <v>0</v>
      </c>
      <c r="BS54" s="417">
        <f t="shared" si="78"/>
        <v>68932</v>
      </c>
      <c r="BT54" s="417">
        <f t="shared" si="78"/>
        <v>2039</v>
      </c>
      <c r="BU54" s="417">
        <f>R54+AX54</f>
        <v>0</v>
      </c>
      <c r="BV54" s="418">
        <f>S54+BK54</f>
        <v>0.75</v>
      </c>
      <c r="BW54" s="418">
        <f t="shared" si="79"/>
        <v>0.75</v>
      </c>
      <c r="BX54" s="420">
        <f t="shared" si="79"/>
        <v>0</v>
      </c>
      <c r="BY54" s="419"/>
      <c r="BZ54" s="414"/>
      <c r="CA54" s="414"/>
      <c r="CB54" s="414"/>
      <c r="CC54" s="414"/>
      <c r="CD54" s="509"/>
      <c r="CE54" s="419"/>
      <c r="CF54" s="414"/>
      <c r="CG54" s="414"/>
      <c r="CH54" s="414"/>
      <c r="CI54" s="414"/>
      <c r="CJ54" s="509"/>
    </row>
    <row r="55" spans="1:88" s="221" customFormat="1" ht="12.75" customHeight="1">
      <c r="A55" s="223">
        <v>12</v>
      </c>
      <c r="B55" s="224">
        <v>3465</v>
      </c>
      <c r="C55" s="224">
        <v>691001278</v>
      </c>
      <c r="D55" s="224">
        <v>72048131</v>
      </c>
      <c r="E55" s="225" t="s">
        <v>30</v>
      </c>
      <c r="F55" s="224">
        <v>3141</v>
      </c>
      <c r="G55" s="225" t="s">
        <v>294</v>
      </c>
      <c r="H55" s="226" t="s">
        <v>272</v>
      </c>
      <c r="I55" s="419">
        <v>1053902</v>
      </c>
      <c r="J55" s="414">
        <v>778277</v>
      </c>
      <c r="K55" s="414">
        <v>0</v>
      </c>
      <c r="L55" s="414">
        <v>778277</v>
      </c>
      <c r="M55" s="414">
        <v>0</v>
      </c>
      <c r="N55" s="414">
        <v>0</v>
      </c>
      <c r="O55" s="414">
        <v>0</v>
      </c>
      <c r="P55" s="68">
        <v>263058</v>
      </c>
      <c r="Q55" s="68">
        <v>7783</v>
      </c>
      <c r="R55" s="414">
        <v>4784</v>
      </c>
      <c r="S55" s="415">
        <v>2.33</v>
      </c>
      <c r="T55" s="416">
        <v>0</v>
      </c>
      <c r="U55" s="422">
        <v>2.33</v>
      </c>
      <c r="V55" s="423">
        <f t="shared" si="2"/>
        <v>0</v>
      </c>
      <c r="W55" s="417">
        <f t="shared" si="3"/>
        <v>0</v>
      </c>
      <c r="X55" s="417">
        <v>0</v>
      </c>
      <c r="Y55" s="417">
        <v>0</v>
      </c>
      <c r="Z55" s="417">
        <v>0</v>
      </c>
      <c r="AA55" s="417">
        <v>-23935</v>
      </c>
      <c r="AB55" s="417">
        <v>0</v>
      </c>
      <c r="AC55" s="417">
        <v>0</v>
      </c>
      <c r="AD55" s="417">
        <v>0</v>
      </c>
      <c r="AE55" s="417">
        <f t="shared" si="4"/>
        <v>0</v>
      </c>
      <c r="AF55" s="417">
        <f t="shared" si="5"/>
        <v>-23935</v>
      </c>
      <c r="AG55" s="417">
        <f t="shared" si="6"/>
        <v>-23935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7"/>
        <v>0</v>
      </c>
      <c r="AN55" s="417">
        <f t="shared" si="8"/>
        <v>0</v>
      </c>
      <c r="AO55" s="417">
        <f t="shared" si="9"/>
        <v>0</v>
      </c>
      <c r="AP55" s="417">
        <f t="shared" si="10"/>
        <v>0</v>
      </c>
      <c r="AQ55" s="417">
        <f t="shared" si="11"/>
        <v>-23935</v>
      </c>
      <c r="AR55" s="417">
        <f t="shared" si="12"/>
        <v>-23935</v>
      </c>
      <c r="AS55" s="68">
        <f t="shared" si="13"/>
        <v>-8090</v>
      </c>
      <c r="AT55" s="68">
        <f t="shared" si="14"/>
        <v>-239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-32264</v>
      </c>
      <c r="AZ55" s="418">
        <v>0</v>
      </c>
      <c r="BA55" s="418">
        <v>0</v>
      </c>
      <c r="BB55" s="418">
        <v>0</v>
      </c>
      <c r="BC55" s="418">
        <v>0</v>
      </c>
      <c r="BD55" s="418">
        <v>-7.0000000000000007E-2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-7.0000000000000007E-2</v>
      </c>
      <c r="BK55" s="420">
        <f t="shared" si="19"/>
        <v>-7.0000000000000007E-2</v>
      </c>
      <c r="BL55" s="772">
        <f>I55+AY55</f>
        <v>1021638</v>
      </c>
      <c r="BM55" s="417">
        <f>J55+AG55</f>
        <v>754342</v>
      </c>
      <c r="BN55" s="417">
        <f t="shared" si="76"/>
        <v>0</v>
      </c>
      <c r="BO55" s="417">
        <f t="shared" si="76"/>
        <v>754342</v>
      </c>
      <c r="BP55" s="417">
        <f>M55+AO55</f>
        <v>0</v>
      </c>
      <c r="BQ55" s="417">
        <f t="shared" si="77"/>
        <v>0</v>
      </c>
      <c r="BR55" s="417">
        <f t="shared" si="77"/>
        <v>0</v>
      </c>
      <c r="BS55" s="417">
        <f t="shared" si="78"/>
        <v>254968</v>
      </c>
      <c r="BT55" s="417">
        <f t="shared" si="78"/>
        <v>7544</v>
      </c>
      <c r="BU55" s="417">
        <f>R55+AX55</f>
        <v>4784</v>
      </c>
      <c r="BV55" s="418">
        <f>S55+BK55</f>
        <v>2.2600000000000002</v>
      </c>
      <c r="BW55" s="418">
        <f t="shared" si="79"/>
        <v>0</v>
      </c>
      <c r="BX55" s="420">
        <f t="shared" si="79"/>
        <v>2.2600000000000002</v>
      </c>
      <c r="BY55" s="419"/>
      <c r="BZ55" s="414"/>
      <c r="CA55" s="414"/>
      <c r="CB55" s="414"/>
      <c r="CC55" s="414"/>
      <c r="CD55" s="509"/>
      <c r="CE55" s="419"/>
      <c r="CF55" s="601"/>
      <c r="CG55" s="414"/>
      <c r="CH55" s="414"/>
      <c r="CI55" s="601"/>
      <c r="CJ55" s="603"/>
    </row>
    <row r="56" spans="1:88" s="221" customFormat="1" ht="12.75" customHeight="1">
      <c r="A56" s="153">
        <v>12</v>
      </c>
      <c r="B56" s="14">
        <v>3465</v>
      </c>
      <c r="C56" s="152">
        <v>691001278</v>
      </c>
      <c r="D56" s="152">
        <v>72048131</v>
      </c>
      <c r="E56" s="222" t="s">
        <v>31</v>
      </c>
      <c r="F56" s="14"/>
      <c r="G56" s="222"/>
      <c r="H56" s="558"/>
      <c r="I56" s="504">
        <v>8671422</v>
      </c>
      <c r="J56" s="503">
        <v>6382105</v>
      </c>
      <c r="K56" s="503">
        <v>4911463</v>
      </c>
      <c r="L56" s="503">
        <v>1470642</v>
      </c>
      <c r="M56" s="503">
        <v>20000</v>
      </c>
      <c r="N56" s="503">
        <v>20000</v>
      </c>
      <c r="O56" s="503">
        <v>0</v>
      </c>
      <c r="P56" s="503">
        <v>2163912</v>
      </c>
      <c r="Q56" s="503">
        <v>63821</v>
      </c>
      <c r="R56" s="503">
        <v>41584</v>
      </c>
      <c r="S56" s="543">
        <v>13.4361</v>
      </c>
      <c r="T56" s="543">
        <v>8.75</v>
      </c>
      <c r="U56" s="1084">
        <v>4.6860999999999997</v>
      </c>
      <c r="V56" s="504">
        <f t="shared" ref="V56:CG56" si="80">SUM(V53:V55)</f>
        <v>0</v>
      </c>
      <c r="W56" s="503">
        <f t="shared" si="80"/>
        <v>0</v>
      </c>
      <c r="X56" s="503">
        <f t="shared" si="80"/>
        <v>0</v>
      </c>
      <c r="Y56" s="503">
        <f t="shared" si="80"/>
        <v>0</v>
      </c>
      <c r="Z56" s="503">
        <f t="shared" si="80"/>
        <v>0</v>
      </c>
      <c r="AA56" s="503">
        <f t="shared" si="80"/>
        <v>-23935</v>
      </c>
      <c r="AB56" s="503">
        <f t="shared" si="80"/>
        <v>0</v>
      </c>
      <c r="AC56" s="503">
        <f t="shared" si="80"/>
        <v>0</v>
      </c>
      <c r="AD56" s="503">
        <f t="shared" si="80"/>
        <v>0</v>
      </c>
      <c r="AE56" s="503">
        <f t="shared" si="80"/>
        <v>0</v>
      </c>
      <c r="AF56" s="503">
        <f t="shared" si="80"/>
        <v>-23935</v>
      </c>
      <c r="AG56" s="503">
        <f t="shared" si="80"/>
        <v>-23935</v>
      </c>
      <c r="AH56" s="503">
        <f t="shared" si="80"/>
        <v>0</v>
      </c>
      <c r="AI56" s="503">
        <f t="shared" si="80"/>
        <v>0</v>
      </c>
      <c r="AJ56" s="503">
        <f t="shared" si="80"/>
        <v>0</v>
      </c>
      <c r="AK56" s="503">
        <f t="shared" si="80"/>
        <v>0</v>
      </c>
      <c r="AL56" s="503">
        <f t="shared" si="80"/>
        <v>0</v>
      </c>
      <c r="AM56" s="503">
        <f t="shared" si="80"/>
        <v>0</v>
      </c>
      <c r="AN56" s="503">
        <f t="shared" si="80"/>
        <v>0</v>
      </c>
      <c r="AO56" s="503">
        <f t="shared" si="80"/>
        <v>0</v>
      </c>
      <c r="AP56" s="503">
        <f t="shared" si="80"/>
        <v>0</v>
      </c>
      <c r="AQ56" s="503">
        <f t="shared" si="80"/>
        <v>-23935</v>
      </c>
      <c r="AR56" s="503">
        <f t="shared" si="80"/>
        <v>-23935</v>
      </c>
      <c r="AS56" s="503">
        <f t="shared" si="80"/>
        <v>-8090</v>
      </c>
      <c r="AT56" s="503">
        <f t="shared" si="80"/>
        <v>-239</v>
      </c>
      <c r="AU56" s="503">
        <f t="shared" si="80"/>
        <v>0</v>
      </c>
      <c r="AV56" s="503">
        <f t="shared" si="80"/>
        <v>0</v>
      </c>
      <c r="AW56" s="503">
        <f t="shared" si="80"/>
        <v>0</v>
      </c>
      <c r="AX56" s="503">
        <f t="shared" si="80"/>
        <v>0</v>
      </c>
      <c r="AY56" s="503">
        <f t="shared" si="80"/>
        <v>-32264</v>
      </c>
      <c r="AZ56" s="543">
        <f t="shared" si="80"/>
        <v>0</v>
      </c>
      <c r="BA56" s="543">
        <f t="shared" si="80"/>
        <v>0</v>
      </c>
      <c r="BB56" s="543">
        <f t="shared" si="80"/>
        <v>0</v>
      </c>
      <c r="BC56" s="543">
        <f t="shared" si="80"/>
        <v>0</v>
      </c>
      <c r="BD56" s="543">
        <f t="shared" si="80"/>
        <v>-7.0000000000000007E-2</v>
      </c>
      <c r="BE56" s="543">
        <f t="shared" si="80"/>
        <v>0</v>
      </c>
      <c r="BF56" s="543">
        <f t="shared" si="80"/>
        <v>0</v>
      </c>
      <c r="BG56" s="543">
        <f t="shared" si="80"/>
        <v>0</v>
      </c>
      <c r="BH56" s="543">
        <f t="shared" si="80"/>
        <v>0</v>
      </c>
      <c r="BI56" s="543">
        <f t="shared" si="80"/>
        <v>0</v>
      </c>
      <c r="BJ56" s="543">
        <f t="shared" si="80"/>
        <v>-7.0000000000000007E-2</v>
      </c>
      <c r="BK56" s="441">
        <f t="shared" si="80"/>
        <v>-7.0000000000000007E-2</v>
      </c>
      <c r="BL56" s="788">
        <f t="shared" si="80"/>
        <v>8639158</v>
      </c>
      <c r="BM56" s="503">
        <f t="shared" si="80"/>
        <v>6358170</v>
      </c>
      <c r="BN56" s="503">
        <f t="shared" si="80"/>
        <v>4911463</v>
      </c>
      <c r="BO56" s="503">
        <f t="shared" si="80"/>
        <v>1446707</v>
      </c>
      <c r="BP56" s="503">
        <f t="shared" si="80"/>
        <v>20000</v>
      </c>
      <c r="BQ56" s="503">
        <f t="shared" si="80"/>
        <v>20000</v>
      </c>
      <c r="BR56" s="503">
        <f t="shared" si="80"/>
        <v>0</v>
      </c>
      <c r="BS56" s="503">
        <f t="shared" si="80"/>
        <v>2155822</v>
      </c>
      <c r="BT56" s="503">
        <f t="shared" si="80"/>
        <v>63582</v>
      </c>
      <c r="BU56" s="503">
        <f t="shared" si="80"/>
        <v>41584</v>
      </c>
      <c r="BV56" s="543">
        <f t="shared" si="80"/>
        <v>13.366099999999999</v>
      </c>
      <c r="BW56" s="543">
        <f t="shared" si="80"/>
        <v>8.75</v>
      </c>
      <c r="BX56" s="441">
        <f t="shared" si="80"/>
        <v>4.6160999999999994</v>
      </c>
      <c r="BY56" s="799">
        <f t="shared" si="80"/>
        <v>0</v>
      </c>
      <c r="BZ56" s="705">
        <f t="shared" si="80"/>
        <v>0</v>
      </c>
      <c r="CA56" s="705">
        <f t="shared" si="80"/>
        <v>0</v>
      </c>
      <c r="CB56" s="705">
        <f t="shared" si="80"/>
        <v>0</v>
      </c>
      <c r="CC56" s="705">
        <f t="shared" si="80"/>
        <v>0</v>
      </c>
      <c r="CD56" s="800">
        <f t="shared" si="80"/>
        <v>0</v>
      </c>
      <c r="CE56" s="896">
        <f t="shared" si="80"/>
        <v>311712</v>
      </c>
      <c r="CF56" s="897">
        <f t="shared" si="80"/>
        <v>222163</v>
      </c>
      <c r="CG56" s="897">
        <f t="shared" si="80"/>
        <v>75091</v>
      </c>
      <c r="CH56" s="897">
        <f t="shared" ref="CH56:CJ56" si="81">SUM(CH53:CH55)</f>
        <v>2222</v>
      </c>
      <c r="CI56" s="897">
        <f t="shared" si="81"/>
        <v>12236</v>
      </c>
      <c r="CJ56" s="898">
        <f t="shared" si="81"/>
        <v>0.75600000000000001</v>
      </c>
    </row>
    <row r="57" spans="1:88" s="221" customFormat="1" ht="12.75" customHeight="1">
      <c r="A57" s="223">
        <v>13</v>
      </c>
      <c r="B57" s="224">
        <v>3473</v>
      </c>
      <c r="C57" s="224">
        <v>691003530</v>
      </c>
      <c r="D57" s="224">
        <v>72550392</v>
      </c>
      <c r="E57" s="225" t="s">
        <v>32</v>
      </c>
      <c r="F57" s="224">
        <v>3111</v>
      </c>
      <c r="G57" s="225" t="s">
        <v>290</v>
      </c>
      <c r="H57" s="226" t="s">
        <v>271</v>
      </c>
      <c r="I57" s="419">
        <v>8915575</v>
      </c>
      <c r="J57" s="414">
        <v>6583067</v>
      </c>
      <c r="K57" s="414">
        <v>5770375</v>
      </c>
      <c r="L57" s="414">
        <v>812692</v>
      </c>
      <c r="M57" s="414">
        <v>0</v>
      </c>
      <c r="N57" s="414">
        <v>0</v>
      </c>
      <c r="O57" s="414">
        <v>0</v>
      </c>
      <c r="P57" s="68">
        <v>2225077</v>
      </c>
      <c r="Q57" s="68">
        <v>65831</v>
      </c>
      <c r="R57" s="414">
        <v>41600</v>
      </c>
      <c r="S57" s="415">
        <v>12.738899999999999</v>
      </c>
      <c r="T57" s="416">
        <v>10</v>
      </c>
      <c r="U57" s="422">
        <v>2.7389000000000001</v>
      </c>
      <c r="V57" s="423">
        <f t="shared" si="2"/>
        <v>0</v>
      </c>
      <c r="W57" s="417">
        <f t="shared" si="3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4"/>
        <v>0</v>
      </c>
      <c r="AF57" s="417">
        <f t="shared" si="5"/>
        <v>0</v>
      </c>
      <c r="AG57" s="417">
        <f t="shared" si="6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7"/>
        <v>0</v>
      </c>
      <c r="AN57" s="417">
        <f t="shared" si="8"/>
        <v>0</v>
      </c>
      <c r="AO57" s="417">
        <f t="shared" si="9"/>
        <v>0</v>
      </c>
      <c r="AP57" s="417">
        <f t="shared" si="10"/>
        <v>0</v>
      </c>
      <c r="AQ57" s="417">
        <f t="shared" si="11"/>
        <v>0</v>
      </c>
      <c r="AR57" s="417">
        <f t="shared" si="12"/>
        <v>0</v>
      </c>
      <c r="AS57" s="68">
        <f t="shared" si="13"/>
        <v>0</v>
      </c>
      <c r="AT57" s="68">
        <f t="shared" si="14"/>
        <v>0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</v>
      </c>
      <c r="BK57" s="420">
        <f t="shared" si="19"/>
        <v>0</v>
      </c>
      <c r="BL57" s="772">
        <f>I57+AY57</f>
        <v>8915575</v>
      </c>
      <c r="BM57" s="417">
        <f>J57+AG57</f>
        <v>6583067</v>
      </c>
      <c r="BN57" s="417">
        <f>K57+AE57</f>
        <v>5770375</v>
      </c>
      <c r="BO57" s="417">
        <f>L57+AF57</f>
        <v>812692</v>
      </c>
      <c r="BP57" s="417">
        <f>M57+AO57</f>
        <v>0</v>
      </c>
      <c r="BQ57" s="417">
        <f>N57+AM57</f>
        <v>0</v>
      </c>
      <c r="BR57" s="417">
        <f>O57+AN57</f>
        <v>0</v>
      </c>
      <c r="BS57" s="417">
        <f>P57+AS57</f>
        <v>2225077</v>
      </c>
      <c r="BT57" s="417">
        <f>Q57+AT57</f>
        <v>65831</v>
      </c>
      <c r="BU57" s="417">
        <f>R57+AX57</f>
        <v>41600</v>
      </c>
      <c r="BV57" s="418">
        <f>S57+BK57</f>
        <v>12.738899999999999</v>
      </c>
      <c r="BW57" s="418">
        <f>T57+BI57</f>
        <v>10</v>
      </c>
      <c r="BX57" s="420">
        <f>U57+BJ57</f>
        <v>2.7389000000000001</v>
      </c>
      <c r="BY57" s="419"/>
      <c r="BZ57" s="414"/>
      <c r="CA57" s="414"/>
      <c r="CB57" s="414"/>
      <c r="CC57" s="414"/>
      <c r="CD57" s="509"/>
      <c r="CE57" s="419">
        <v>365381</v>
      </c>
      <c r="CF57" s="414">
        <v>260793</v>
      </c>
      <c r="CG57" s="414">
        <v>88148</v>
      </c>
      <c r="CH57" s="414">
        <v>2608</v>
      </c>
      <c r="CI57" s="414">
        <v>13832</v>
      </c>
      <c r="CJ57" s="509">
        <v>0.87890000000000001</v>
      </c>
    </row>
    <row r="58" spans="1:88" s="221" customFormat="1" ht="12.75" customHeight="1">
      <c r="A58" s="223">
        <v>13</v>
      </c>
      <c r="B58" s="224">
        <v>3473</v>
      </c>
      <c r="C58" s="224">
        <v>691003530</v>
      </c>
      <c r="D58" s="224">
        <v>72550392</v>
      </c>
      <c r="E58" s="225" t="s">
        <v>33</v>
      </c>
      <c r="F58" s="224">
        <v>3141</v>
      </c>
      <c r="G58" s="225" t="s">
        <v>294</v>
      </c>
      <c r="H58" s="226" t="s">
        <v>272</v>
      </c>
      <c r="I58" s="419">
        <v>1134681</v>
      </c>
      <c r="J58" s="414">
        <v>822928</v>
      </c>
      <c r="K58" s="414">
        <v>0</v>
      </c>
      <c r="L58" s="414">
        <v>822928</v>
      </c>
      <c r="M58" s="414">
        <v>15000</v>
      </c>
      <c r="N58" s="414">
        <v>0</v>
      </c>
      <c r="O58" s="414">
        <v>15000</v>
      </c>
      <c r="P58" s="68">
        <v>283220</v>
      </c>
      <c r="Q58" s="68">
        <v>8229</v>
      </c>
      <c r="R58" s="414">
        <v>5304</v>
      </c>
      <c r="S58" s="415">
        <v>2.46</v>
      </c>
      <c r="T58" s="416">
        <v>0</v>
      </c>
      <c r="U58" s="422">
        <v>2.46</v>
      </c>
      <c r="V58" s="423">
        <f t="shared" si="2"/>
        <v>0</v>
      </c>
      <c r="W58" s="417">
        <f t="shared" si="3"/>
        <v>-10350</v>
      </c>
      <c r="X58" s="417">
        <v>0</v>
      </c>
      <c r="Y58" s="417">
        <v>0</v>
      </c>
      <c r="Z58" s="417">
        <v>0</v>
      </c>
      <c r="AA58" s="417">
        <v>-7967</v>
      </c>
      <c r="AB58" s="417">
        <v>0</v>
      </c>
      <c r="AC58" s="417">
        <v>0</v>
      </c>
      <c r="AD58" s="417">
        <v>0</v>
      </c>
      <c r="AE58" s="417">
        <f t="shared" si="4"/>
        <v>0</v>
      </c>
      <c r="AF58" s="417">
        <f t="shared" si="5"/>
        <v>-18317</v>
      </c>
      <c r="AG58" s="417">
        <f t="shared" si="6"/>
        <v>-18317</v>
      </c>
      <c r="AH58" s="417">
        <v>0</v>
      </c>
      <c r="AI58" s="417">
        <v>10350</v>
      </c>
      <c r="AJ58" s="417">
        <v>0</v>
      </c>
      <c r="AK58" s="417">
        <v>0</v>
      </c>
      <c r="AL58" s="417">
        <v>0</v>
      </c>
      <c r="AM58" s="417">
        <f t="shared" si="7"/>
        <v>0</v>
      </c>
      <c r="AN58" s="417">
        <f t="shared" si="8"/>
        <v>10350</v>
      </c>
      <c r="AO58" s="417">
        <f t="shared" si="9"/>
        <v>10350</v>
      </c>
      <c r="AP58" s="417">
        <f t="shared" si="10"/>
        <v>0</v>
      </c>
      <c r="AQ58" s="417">
        <f t="shared" si="11"/>
        <v>-7967</v>
      </c>
      <c r="AR58" s="417">
        <f t="shared" si="12"/>
        <v>-7967</v>
      </c>
      <c r="AS58" s="68">
        <f t="shared" si="13"/>
        <v>-2693</v>
      </c>
      <c r="AT58" s="68">
        <f t="shared" si="14"/>
        <v>-183</v>
      </c>
      <c r="AU58" s="417">
        <v>0</v>
      </c>
      <c r="AV58" s="417">
        <v>0</v>
      </c>
      <c r="AW58" s="417">
        <v>0</v>
      </c>
      <c r="AX58" s="417">
        <f t="shared" si="15"/>
        <v>0</v>
      </c>
      <c r="AY58" s="417">
        <f t="shared" si="16"/>
        <v>-10843</v>
      </c>
      <c r="AZ58" s="418">
        <v>0</v>
      </c>
      <c r="BA58" s="418">
        <v>0</v>
      </c>
      <c r="BB58" s="418">
        <v>0</v>
      </c>
      <c r="BC58" s="418">
        <v>0</v>
      </c>
      <c r="BD58" s="418">
        <v>-0.03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-0.03</v>
      </c>
      <c r="BK58" s="420">
        <f t="shared" si="19"/>
        <v>-0.03</v>
      </c>
      <c r="BL58" s="772">
        <f>I58+AY58</f>
        <v>1123838</v>
      </c>
      <c r="BM58" s="417">
        <f>J58+AG58</f>
        <v>804611</v>
      </c>
      <c r="BN58" s="417">
        <f>K58+AE58</f>
        <v>0</v>
      </c>
      <c r="BO58" s="417">
        <f>L58+AF58</f>
        <v>804611</v>
      </c>
      <c r="BP58" s="417">
        <f>M58+AO58</f>
        <v>25350</v>
      </c>
      <c r="BQ58" s="417">
        <f>N58+AM58</f>
        <v>0</v>
      </c>
      <c r="BR58" s="417">
        <f>O58+AN58</f>
        <v>25350</v>
      </c>
      <c r="BS58" s="417">
        <f>P58+AS58</f>
        <v>280527</v>
      </c>
      <c r="BT58" s="417">
        <f>Q58+AT58</f>
        <v>8046</v>
      </c>
      <c r="BU58" s="417">
        <f>R58+AX58</f>
        <v>5304</v>
      </c>
      <c r="BV58" s="418">
        <f>S58+BK58</f>
        <v>2.4300000000000002</v>
      </c>
      <c r="BW58" s="418">
        <f>T58+BI58</f>
        <v>0</v>
      </c>
      <c r="BX58" s="420">
        <f>U58+BJ58</f>
        <v>2.4300000000000002</v>
      </c>
      <c r="BY58" s="419"/>
      <c r="BZ58" s="414"/>
      <c r="CA58" s="414"/>
      <c r="CB58" s="414"/>
      <c r="CC58" s="414"/>
      <c r="CD58" s="509"/>
      <c r="CE58" s="419"/>
      <c r="CF58" s="601"/>
      <c r="CG58" s="414"/>
      <c r="CH58" s="414"/>
      <c r="CI58" s="601"/>
      <c r="CJ58" s="603"/>
    </row>
    <row r="59" spans="1:88" s="221" customFormat="1" ht="12.75" customHeight="1">
      <c r="A59" s="153">
        <v>13</v>
      </c>
      <c r="B59" s="14">
        <v>3473</v>
      </c>
      <c r="C59" s="152">
        <v>691003530</v>
      </c>
      <c r="D59" s="152">
        <v>72550392</v>
      </c>
      <c r="E59" s="222" t="s">
        <v>34</v>
      </c>
      <c r="F59" s="14"/>
      <c r="G59" s="222"/>
      <c r="H59" s="558"/>
      <c r="I59" s="504">
        <v>10050256</v>
      </c>
      <c r="J59" s="503">
        <v>7405995</v>
      </c>
      <c r="K59" s="503">
        <v>5770375</v>
      </c>
      <c r="L59" s="503">
        <v>1635620</v>
      </c>
      <c r="M59" s="503">
        <v>15000</v>
      </c>
      <c r="N59" s="503">
        <v>0</v>
      </c>
      <c r="O59" s="503">
        <v>15000</v>
      </c>
      <c r="P59" s="503">
        <v>2508297</v>
      </c>
      <c r="Q59" s="503">
        <v>74060</v>
      </c>
      <c r="R59" s="503">
        <v>46904</v>
      </c>
      <c r="S59" s="543">
        <v>15.198899999999998</v>
      </c>
      <c r="T59" s="543">
        <v>10</v>
      </c>
      <c r="U59" s="1084">
        <v>5.1989000000000001</v>
      </c>
      <c r="V59" s="504">
        <f t="shared" ref="V59:CG59" si="82">SUM(V57:V58)</f>
        <v>0</v>
      </c>
      <c r="W59" s="503">
        <f t="shared" si="82"/>
        <v>-10350</v>
      </c>
      <c r="X59" s="503">
        <f t="shared" si="82"/>
        <v>0</v>
      </c>
      <c r="Y59" s="503">
        <f t="shared" si="82"/>
        <v>0</v>
      </c>
      <c r="Z59" s="503">
        <f t="shared" si="82"/>
        <v>0</v>
      </c>
      <c r="AA59" s="503">
        <f t="shared" si="82"/>
        <v>-7967</v>
      </c>
      <c r="AB59" s="503">
        <f t="shared" si="82"/>
        <v>0</v>
      </c>
      <c r="AC59" s="503">
        <f t="shared" si="82"/>
        <v>0</v>
      </c>
      <c r="AD59" s="503">
        <f t="shared" si="82"/>
        <v>0</v>
      </c>
      <c r="AE59" s="503">
        <f t="shared" si="82"/>
        <v>0</v>
      </c>
      <c r="AF59" s="503">
        <f t="shared" si="82"/>
        <v>-18317</v>
      </c>
      <c r="AG59" s="503">
        <f t="shared" si="82"/>
        <v>-18317</v>
      </c>
      <c r="AH59" s="503">
        <f t="shared" si="82"/>
        <v>0</v>
      </c>
      <c r="AI59" s="503">
        <f t="shared" si="82"/>
        <v>10350</v>
      </c>
      <c r="AJ59" s="503">
        <f t="shared" si="82"/>
        <v>0</v>
      </c>
      <c r="AK59" s="503">
        <f t="shared" si="82"/>
        <v>0</v>
      </c>
      <c r="AL59" s="503">
        <f t="shared" si="82"/>
        <v>0</v>
      </c>
      <c r="AM59" s="503">
        <f t="shared" si="82"/>
        <v>0</v>
      </c>
      <c r="AN59" s="503">
        <f t="shared" si="82"/>
        <v>10350</v>
      </c>
      <c r="AO59" s="503">
        <f t="shared" si="82"/>
        <v>10350</v>
      </c>
      <c r="AP59" s="503">
        <f t="shared" si="82"/>
        <v>0</v>
      </c>
      <c r="AQ59" s="503">
        <f t="shared" si="82"/>
        <v>-7967</v>
      </c>
      <c r="AR59" s="503">
        <f t="shared" si="82"/>
        <v>-7967</v>
      </c>
      <c r="AS59" s="503">
        <f t="shared" si="82"/>
        <v>-2693</v>
      </c>
      <c r="AT59" s="503">
        <f t="shared" si="82"/>
        <v>-183</v>
      </c>
      <c r="AU59" s="503">
        <f t="shared" si="82"/>
        <v>0</v>
      </c>
      <c r="AV59" s="503">
        <f t="shared" si="82"/>
        <v>0</v>
      </c>
      <c r="AW59" s="503">
        <f t="shared" si="82"/>
        <v>0</v>
      </c>
      <c r="AX59" s="503">
        <f t="shared" si="82"/>
        <v>0</v>
      </c>
      <c r="AY59" s="503">
        <f t="shared" si="82"/>
        <v>-10843</v>
      </c>
      <c r="AZ59" s="543">
        <f t="shared" si="82"/>
        <v>0</v>
      </c>
      <c r="BA59" s="543">
        <f t="shared" si="82"/>
        <v>0</v>
      </c>
      <c r="BB59" s="543">
        <f t="shared" si="82"/>
        <v>0</v>
      </c>
      <c r="BC59" s="543">
        <f t="shared" si="82"/>
        <v>0</v>
      </c>
      <c r="BD59" s="543">
        <f t="shared" si="82"/>
        <v>-0.03</v>
      </c>
      <c r="BE59" s="543">
        <f t="shared" si="82"/>
        <v>0</v>
      </c>
      <c r="BF59" s="543">
        <f t="shared" si="82"/>
        <v>0</v>
      </c>
      <c r="BG59" s="543">
        <f t="shared" si="82"/>
        <v>0</v>
      </c>
      <c r="BH59" s="543">
        <f t="shared" si="82"/>
        <v>0</v>
      </c>
      <c r="BI59" s="543">
        <f t="shared" si="82"/>
        <v>0</v>
      </c>
      <c r="BJ59" s="543">
        <f t="shared" si="82"/>
        <v>-0.03</v>
      </c>
      <c r="BK59" s="441">
        <f t="shared" si="82"/>
        <v>-0.03</v>
      </c>
      <c r="BL59" s="788">
        <f t="shared" si="82"/>
        <v>10039413</v>
      </c>
      <c r="BM59" s="503">
        <f t="shared" si="82"/>
        <v>7387678</v>
      </c>
      <c r="BN59" s="503">
        <f t="shared" si="82"/>
        <v>5770375</v>
      </c>
      <c r="BO59" s="503">
        <f t="shared" si="82"/>
        <v>1617303</v>
      </c>
      <c r="BP59" s="503">
        <f t="shared" si="82"/>
        <v>25350</v>
      </c>
      <c r="BQ59" s="503">
        <f t="shared" si="82"/>
        <v>0</v>
      </c>
      <c r="BR59" s="503">
        <f t="shared" si="82"/>
        <v>25350</v>
      </c>
      <c r="BS59" s="503">
        <f t="shared" si="82"/>
        <v>2505604</v>
      </c>
      <c r="BT59" s="503">
        <f t="shared" si="82"/>
        <v>73877</v>
      </c>
      <c r="BU59" s="503">
        <f t="shared" si="82"/>
        <v>46904</v>
      </c>
      <c r="BV59" s="543">
        <f t="shared" si="82"/>
        <v>15.168899999999999</v>
      </c>
      <c r="BW59" s="543">
        <f t="shared" si="82"/>
        <v>10</v>
      </c>
      <c r="BX59" s="441">
        <f t="shared" si="82"/>
        <v>5.1689000000000007</v>
      </c>
      <c r="BY59" s="799">
        <f t="shared" si="82"/>
        <v>0</v>
      </c>
      <c r="BZ59" s="705">
        <f t="shared" si="82"/>
        <v>0</v>
      </c>
      <c r="CA59" s="705">
        <f t="shared" si="82"/>
        <v>0</v>
      </c>
      <c r="CB59" s="705">
        <f t="shared" si="82"/>
        <v>0</v>
      </c>
      <c r="CC59" s="705">
        <f t="shared" si="82"/>
        <v>0</v>
      </c>
      <c r="CD59" s="800">
        <f t="shared" si="82"/>
        <v>0</v>
      </c>
      <c r="CE59" s="896">
        <f t="shared" si="82"/>
        <v>365381</v>
      </c>
      <c r="CF59" s="897">
        <f t="shared" si="82"/>
        <v>260793</v>
      </c>
      <c r="CG59" s="897">
        <f t="shared" si="82"/>
        <v>88148</v>
      </c>
      <c r="CH59" s="897">
        <f t="shared" ref="CH59:CJ59" si="83">SUM(CH57:CH58)</f>
        <v>2608</v>
      </c>
      <c r="CI59" s="897">
        <f t="shared" si="83"/>
        <v>13832</v>
      </c>
      <c r="CJ59" s="898">
        <f t="shared" si="83"/>
        <v>0.87890000000000001</v>
      </c>
    </row>
    <row r="60" spans="1:88" s="221" customFormat="1" ht="12.75" customHeight="1">
      <c r="A60" s="223">
        <v>14</v>
      </c>
      <c r="B60" s="224">
        <v>3474</v>
      </c>
      <c r="C60" s="224">
        <v>691003505</v>
      </c>
      <c r="D60" s="224">
        <v>72550406</v>
      </c>
      <c r="E60" s="225" t="s">
        <v>35</v>
      </c>
      <c r="F60" s="224">
        <v>3111</v>
      </c>
      <c r="G60" s="225" t="s">
        <v>290</v>
      </c>
      <c r="H60" s="226" t="s">
        <v>271</v>
      </c>
      <c r="I60" s="419">
        <v>5558902</v>
      </c>
      <c r="J60" s="414">
        <v>4083361</v>
      </c>
      <c r="K60" s="414">
        <v>3578078</v>
      </c>
      <c r="L60" s="414">
        <v>505283</v>
      </c>
      <c r="M60" s="414">
        <v>14000</v>
      </c>
      <c r="N60" s="414">
        <v>0</v>
      </c>
      <c r="O60" s="414">
        <v>14000</v>
      </c>
      <c r="P60" s="68">
        <v>1384908</v>
      </c>
      <c r="Q60" s="68">
        <v>40833</v>
      </c>
      <c r="R60" s="414">
        <v>35800</v>
      </c>
      <c r="S60" s="415">
        <v>7.9491000000000005</v>
      </c>
      <c r="T60" s="416">
        <v>6.242</v>
      </c>
      <c r="U60" s="422">
        <v>1.7070999999999998</v>
      </c>
      <c r="V60" s="423">
        <f t="shared" si="2"/>
        <v>0</v>
      </c>
      <c r="W60" s="417">
        <f t="shared" si="3"/>
        <v>-4000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4"/>
        <v>0</v>
      </c>
      <c r="AF60" s="417">
        <f t="shared" si="5"/>
        <v>-4000</v>
      </c>
      <c r="AG60" s="417">
        <f t="shared" si="6"/>
        <v>-4000</v>
      </c>
      <c r="AH60" s="417">
        <v>0</v>
      </c>
      <c r="AI60" s="417">
        <v>4000</v>
      </c>
      <c r="AJ60" s="417">
        <v>0</v>
      </c>
      <c r="AK60" s="417">
        <v>0</v>
      </c>
      <c r="AL60" s="417">
        <v>0</v>
      </c>
      <c r="AM60" s="417">
        <f t="shared" si="7"/>
        <v>0</v>
      </c>
      <c r="AN60" s="417">
        <f t="shared" si="8"/>
        <v>4000</v>
      </c>
      <c r="AO60" s="417">
        <f t="shared" si="9"/>
        <v>4000</v>
      </c>
      <c r="AP60" s="417">
        <f t="shared" si="10"/>
        <v>0</v>
      </c>
      <c r="AQ60" s="417">
        <f t="shared" si="11"/>
        <v>0</v>
      </c>
      <c r="AR60" s="417">
        <f t="shared" si="12"/>
        <v>0</v>
      </c>
      <c r="AS60" s="68">
        <f t="shared" si="13"/>
        <v>0</v>
      </c>
      <c r="AT60" s="68">
        <f t="shared" si="14"/>
        <v>-40</v>
      </c>
      <c r="AU60" s="417">
        <v>0</v>
      </c>
      <c r="AV60" s="417">
        <v>0</v>
      </c>
      <c r="AW60" s="417">
        <v>0</v>
      </c>
      <c r="AX60" s="417">
        <f t="shared" si="15"/>
        <v>0</v>
      </c>
      <c r="AY60" s="417">
        <f t="shared" si="16"/>
        <v>-40</v>
      </c>
      <c r="AZ60" s="418">
        <v>0</v>
      </c>
      <c r="BA60" s="418">
        <v>-0.02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7"/>
        <v>0</v>
      </c>
      <c r="BJ60" s="418">
        <f t="shared" si="18"/>
        <v>-0.02</v>
      </c>
      <c r="BK60" s="420">
        <f t="shared" si="19"/>
        <v>-0.02</v>
      </c>
      <c r="BL60" s="772">
        <f>I60+AY60</f>
        <v>5558862</v>
      </c>
      <c r="BM60" s="417">
        <f>J60+AG60</f>
        <v>4079361</v>
      </c>
      <c r="BN60" s="417">
        <f t="shared" ref="BN60:BO62" si="84">K60+AE60</f>
        <v>3578078</v>
      </c>
      <c r="BO60" s="417">
        <f t="shared" si="84"/>
        <v>501283</v>
      </c>
      <c r="BP60" s="417">
        <f>M60+AO60</f>
        <v>18000</v>
      </c>
      <c r="BQ60" s="417">
        <f t="shared" ref="BQ60:BR62" si="85">N60+AM60</f>
        <v>0</v>
      </c>
      <c r="BR60" s="417">
        <f t="shared" si="85"/>
        <v>18000</v>
      </c>
      <c r="BS60" s="417">
        <f t="shared" ref="BS60:BT62" si="86">P60+AS60</f>
        <v>1384908</v>
      </c>
      <c r="BT60" s="417">
        <f t="shared" si="86"/>
        <v>40793</v>
      </c>
      <c r="BU60" s="417">
        <f>R60+AX60</f>
        <v>35800</v>
      </c>
      <c r="BV60" s="418">
        <f>S60+BK60</f>
        <v>7.9291000000000009</v>
      </c>
      <c r="BW60" s="418">
        <f t="shared" ref="BW60:BX62" si="87">T60+BI60</f>
        <v>6.242</v>
      </c>
      <c r="BX60" s="420">
        <f t="shared" si="87"/>
        <v>1.6870999999999998</v>
      </c>
      <c r="BY60" s="419"/>
      <c r="BZ60" s="414"/>
      <c r="CA60" s="414"/>
      <c r="CB60" s="414"/>
      <c r="CC60" s="414"/>
      <c r="CD60" s="509"/>
      <c r="CE60" s="419">
        <v>236517</v>
      </c>
      <c r="CF60" s="414">
        <v>166622</v>
      </c>
      <c r="CG60" s="414">
        <v>56318</v>
      </c>
      <c r="CH60" s="414">
        <v>1666</v>
      </c>
      <c r="CI60" s="414">
        <v>11911</v>
      </c>
      <c r="CJ60" s="509">
        <v>0.56699999999999995</v>
      </c>
    </row>
    <row r="61" spans="1:88" s="221" customFormat="1" ht="12.75" customHeight="1">
      <c r="A61" s="223">
        <v>14</v>
      </c>
      <c r="B61" s="224">
        <v>3474</v>
      </c>
      <c r="C61" s="224">
        <v>691003505</v>
      </c>
      <c r="D61" s="224">
        <v>72550406</v>
      </c>
      <c r="E61" s="225" t="s">
        <v>35</v>
      </c>
      <c r="F61" s="224">
        <v>3111</v>
      </c>
      <c r="G61" s="225" t="s">
        <v>291</v>
      </c>
      <c r="H61" s="226" t="s">
        <v>272</v>
      </c>
      <c r="I61" s="419">
        <v>791413</v>
      </c>
      <c r="J61" s="414">
        <v>587102</v>
      </c>
      <c r="K61" s="414">
        <v>587102</v>
      </c>
      <c r="L61" s="414">
        <v>0</v>
      </c>
      <c r="M61" s="414">
        <v>0</v>
      </c>
      <c r="N61" s="414">
        <v>0</v>
      </c>
      <c r="O61" s="414">
        <v>0</v>
      </c>
      <c r="P61" s="68">
        <v>198440</v>
      </c>
      <c r="Q61" s="68">
        <v>5871</v>
      </c>
      <c r="R61" s="414">
        <v>0</v>
      </c>
      <c r="S61" s="415">
        <v>1.58</v>
      </c>
      <c r="T61" s="416">
        <v>1.58</v>
      </c>
      <c r="U61" s="422">
        <v>0</v>
      </c>
      <c r="V61" s="423">
        <f t="shared" si="2"/>
        <v>0</v>
      </c>
      <c r="W61" s="417">
        <f t="shared" si="3"/>
        <v>0</v>
      </c>
      <c r="X61" s="417">
        <v>46350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4"/>
        <v>46350</v>
      </c>
      <c r="AF61" s="417">
        <f t="shared" si="5"/>
        <v>0</v>
      </c>
      <c r="AG61" s="417">
        <f t="shared" si="6"/>
        <v>46350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7"/>
        <v>0</v>
      </c>
      <c r="AN61" s="417">
        <f t="shared" si="8"/>
        <v>0</v>
      </c>
      <c r="AO61" s="417">
        <f t="shared" si="9"/>
        <v>0</v>
      </c>
      <c r="AP61" s="417">
        <f t="shared" si="10"/>
        <v>46350</v>
      </c>
      <c r="AQ61" s="417">
        <f t="shared" si="11"/>
        <v>0</v>
      </c>
      <c r="AR61" s="417">
        <f t="shared" si="12"/>
        <v>46350</v>
      </c>
      <c r="AS61" s="68">
        <f t="shared" si="13"/>
        <v>15666</v>
      </c>
      <c r="AT61" s="68">
        <f t="shared" si="14"/>
        <v>464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62480</v>
      </c>
      <c r="AZ61" s="418">
        <v>0</v>
      </c>
      <c r="BA61" s="418">
        <v>0</v>
      </c>
      <c r="BB61" s="418">
        <v>0.13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0.13</v>
      </c>
      <c r="BJ61" s="418">
        <f t="shared" si="18"/>
        <v>0</v>
      </c>
      <c r="BK61" s="420">
        <f t="shared" si="19"/>
        <v>0.13</v>
      </c>
      <c r="BL61" s="772">
        <f>I61+AY61</f>
        <v>853893</v>
      </c>
      <c r="BM61" s="417">
        <f>J61+AG61</f>
        <v>633452</v>
      </c>
      <c r="BN61" s="417">
        <f t="shared" si="84"/>
        <v>633452</v>
      </c>
      <c r="BO61" s="417">
        <f t="shared" si="84"/>
        <v>0</v>
      </c>
      <c r="BP61" s="417">
        <f>M61+AO61</f>
        <v>0</v>
      </c>
      <c r="BQ61" s="417">
        <f t="shared" si="85"/>
        <v>0</v>
      </c>
      <c r="BR61" s="417">
        <f t="shared" si="85"/>
        <v>0</v>
      </c>
      <c r="BS61" s="417">
        <f t="shared" si="86"/>
        <v>214106</v>
      </c>
      <c r="BT61" s="417">
        <f t="shared" si="86"/>
        <v>6335</v>
      </c>
      <c r="BU61" s="417">
        <f>R61+AX61</f>
        <v>0</v>
      </c>
      <c r="BV61" s="418">
        <f>S61+BK61</f>
        <v>1.71</v>
      </c>
      <c r="BW61" s="418">
        <f t="shared" si="87"/>
        <v>1.71</v>
      </c>
      <c r="BX61" s="420">
        <f t="shared" si="87"/>
        <v>0</v>
      </c>
      <c r="BY61" s="419"/>
      <c r="BZ61" s="414"/>
      <c r="CA61" s="414"/>
      <c r="CB61" s="414"/>
      <c r="CC61" s="414"/>
      <c r="CD61" s="509"/>
      <c r="CE61" s="419"/>
      <c r="CF61" s="414"/>
      <c r="CG61" s="414"/>
      <c r="CH61" s="414"/>
      <c r="CI61" s="414"/>
      <c r="CJ61" s="509"/>
    </row>
    <row r="62" spans="1:88" s="221" customFormat="1" ht="12.75" customHeight="1">
      <c r="A62" s="223">
        <v>14</v>
      </c>
      <c r="B62" s="224">
        <v>3474</v>
      </c>
      <c r="C62" s="224">
        <v>691003505</v>
      </c>
      <c r="D62" s="224">
        <v>72550406</v>
      </c>
      <c r="E62" s="225" t="s">
        <v>36</v>
      </c>
      <c r="F62" s="224">
        <v>3141</v>
      </c>
      <c r="G62" s="225" t="s">
        <v>294</v>
      </c>
      <c r="H62" s="226" t="s">
        <v>272</v>
      </c>
      <c r="I62" s="419">
        <v>848061</v>
      </c>
      <c r="J62" s="414">
        <v>622570</v>
      </c>
      <c r="K62" s="414">
        <v>0</v>
      </c>
      <c r="L62" s="414">
        <v>622570</v>
      </c>
      <c r="M62" s="414">
        <v>4000</v>
      </c>
      <c r="N62" s="414">
        <v>0</v>
      </c>
      <c r="O62" s="414">
        <v>4000</v>
      </c>
      <c r="P62" s="68">
        <v>211781</v>
      </c>
      <c r="Q62" s="68">
        <v>6226</v>
      </c>
      <c r="R62" s="414">
        <v>3484</v>
      </c>
      <c r="S62" s="415">
        <v>1.8900000000000001</v>
      </c>
      <c r="T62" s="416">
        <v>0</v>
      </c>
      <c r="U62" s="422">
        <v>1.8900000000000001</v>
      </c>
      <c r="V62" s="423">
        <f t="shared" si="2"/>
        <v>0</v>
      </c>
      <c r="W62" s="417">
        <f t="shared" si="3"/>
        <v>4000</v>
      </c>
      <c r="X62" s="417">
        <v>0</v>
      </c>
      <c r="Y62" s="417">
        <v>0</v>
      </c>
      <c r="Z62" s="417">
        <v>0</v>
      </c>
      <c r="AA62" s="417">
        <v>-23756</v>
      </c>
      <c r="AB62" s="417">
        <v>0</v>
      </c>
      <c r="AC62" s="417">
        <v>0</v>
      </c>
      <c r="AD62" s="417">
        <v>0</v>
      </c>
      <c r="AE62" s="417">
        <f t="shared" si="4"/>
        <v>0</v>
      </c>
      <c r="AF62" s="417">
        <f t="shared" si="5"/>
        <v>-19756</v>
      </c>
      <c r="AG62" s="417">
        <f t="shared" si="6"/>
        <v>-19756</v>
      </c>
      <c r="AH62" s="417">
        <v>0</v>
      </c>
      <c r="AI62" s="417">
        <v>-4000</v>
      </c>
      <c r="AJ62" s="417">
        <v>0</v>
      </c>
      <c r="AK62" s="417">
        <v>0</v>
      </c>
      <c r="AL62" s="417">
        <v>0</v>
      </c>
      <c r="AM62" s="417">
        <f t="shared" si="7"/>
        <v>0</v>
      </c>
      <c r="AN62" s="417">
        <f t="shared" si="8"/>
        <v>-4000</v>
      </c>
      <c r="AO62" s="417">
        <f t="shared" si="9"/>
        <v>-4000</v>
      </c>
      <c r="AP62" s="417">
        <f t="shared" si="10"/>
        <v>0</v>
      </c>
      <c r="AQ62" s="417">
        <f t="shared" si="11"/>
        <v>-23756</v>
      </c>
      <c r="AR62" s="417">
        <f t="shared" si="12"/>
        <v>-23756</v>
      </c>
      <c r="AS62" s="68">
        <f t="shared" si="13"/>
        <v>-8030</v>
      </c>
      <c r="AT62" s="68">
        <f t="shared" si="14"/>
        <v>-198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-31984</v>
      </c>
      <c r="AZ62" s="418">
        <v>0</v>
      </c>
      <c r="BA62" s="418">
        <v>0</v>
      </c>
      <c r="BB62" s="418">
        <v>0</v>
      </c>
      <c r="BC62" s="418">
        <v>0</v>
      </c>
      <c r="BD62" s="418">
        <v>-7.0000000000000007E-2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-7.0000000000000007E-2</v>
      </c>
      <c r="BK62" s="420">
        <f t="shared" si="19"/>
        <v>-7.0000000000000007E-2</v>
      </c>
      <c r="BL62" s="772">
        <f>I62+AY62</f>
        <v>816077</v>
      </c>
      <c r="BM62" s="417">
        <f>J62+AG62</f>
        <v>602814</v>
      </c>
      <c r="BN62" s="417">
        <f t="shared" si="84"/>
        <v>0</v>
      </c>
      <c r="BO62" s="417">
        <f t="shared" si="84"/>
        <v>602814</v>
      </c>
      <c r="BP62" s="417">
        <f>M62+AO62</f>
        <v>0</v>
      </c>
      <c r="BQ62" s="417">
        <f t="shared" si="85"/>
        <v>0</v>
      </c>
      <c r="BR62" s="417">
        <f t="shared" si="85"/>
        <v>0</v>
      </c>
      <c r="BS62" s="417">
        <f t="shared" si="86"/>
        <v>203751</v>
      </c>
      <c r="BT62" s="417">
        <f t="shared" si="86"/>
        <v>6028</v>
      </c>
      <c r="BU62" s="417">
        <f>R62+AX62</f>
        <v>3484</v>
      </c>
      <c r="BV62" s="418">
        <f>S62+BK62</f>
        <v>1.82</v>
      </c>
      <c r="BW62" s="418">
        <f t="shared" si="87"/>
        <v>0</v>
      </c>
      <c r="BX62" s="420">
        <f t="shared" si="87"/>
        <v>1.82</v>
      </c>
      <c r="BY62" s="419"/>
      <c r="BZ62" s="414"/>
      <c r="CA62" s="414"/>
      <c r="CB62" s="414"/>
      <c r="CC62" s="414"/>
      <c r="CD62" s="509"/>
      <c r="CE62" s="419"/>
      <c r="CF62" s="601"/>
      <c r="CG62" s="414"/>
      <c r="CH62" s="414"/>
      <c r="CI62" s="601"/>
      <c r="CJ62" s="603"/>
    </row>
    <row r="63" spans="1:88" s="221" customFormat="1" ht="12.75" customHeight="1">
      <c r="A63" s="153">
        <v>14</v>
      </c>
      <c r="B63" s="14">
        <v>3474</v>
      </c>
      <c r="C63" s="152">
        <v>691003505</v>
      </c>
      <c r="D63" s="152">
        <v>72550406</v>
      </c>
      <c r="E63" s="222" t="s">
        <v>37</v>
      </c>
      <c r="F63" s="14"/>
      <c r="G63" s="222"/>
      <c r="H63" s="558"/>
      <c r="I63" s="504">
        <v>7198376</v>
      </c>
      <c r="J63" s="503">
        <v>5293033</v>
      </c>
      <c r="K63" s="503">
        <v>4165180</v>
      </c>
      <c r="L63" s="503">
        <v>1127853</v>
      </c>
      <c r="M63" s="503">
        <v>18000</v>
      </c>
      <c r="N63" s="503">
        <v>0</v>
      </c>
      <c r="O63" s="503">
        <v>18000</v>
      </c>
      <c r="P63" s="503">
        <v>1795129</v>
      </c>
      <c r="Q63" s="503">
        <v>52930</v>
      </c>
      <c r="R63" s="503">
        <v>39284</v>
      </c>
      <c r="S63" s="543">
        <v>11.4191</v>
      </c>
      <c r="T63" s="543">
        <v>7.8220000000000001</v>
      </c>
      <c r="U63" s="1084">
        <v>3.5971000000000002</v>
      </c>
      <c r="V63" s="504">
        <f t="shared" ref="V63:CG63" si="88">SUM(V60:V62)</f>
        <v>0</v>
      </c>
      <c r="W63" s="503">
        <f t="shared" si="88"/>
        <v>0</v>
      </c>
      <c r="X63" s="503">
        <f t="shared" si="88"/>
        <v>46350</v>
      </c>
      <c r="Y63" s="503">
        <f t="shared" si="88"/>
        <v>0</v>
      </c>
      <c r="Z63" s="503">
        <f t="shared" si="88"/>
        <v>0</v>
      </c>
      <c r="AA63" s="503">
        <f t="shared" si="88"/>
        <v>-23756</v>
      </c>
      <c r="AB63" s="503">
        <f t="shared" si="88"/>
        <v>0</v>
      </c>
      <c r="AC63" s="503">
        <f t="shared" si="88"/>
        <v>0</v>
      </c>
      <c r="AD63" s="503">
        <f t="shared" si="88"/>
        <v>0</v>
      </c>
      <c r="AE63" s="503">
        <f t="shared" si="88"/>
        <v>46350</v>
      </c>
      <c r="AF63" s="503">
        <f t="shared" si="88"/>
        <v>-23756</v>
      </c>
      <c r="AG63" s="503">
        <f t="shared" si="88"/>
        <v>22594</v>
      </c>
      <c r="AH63" s="503">
        <f t="shared" si="88"/>
        <v>0</v>
      </c>
      <c r="AI63" s="503">
        <f t="shared" si="88"/>
        <v>0</v>
      </c>
      <c r="AJ63" s="503">
        <f t="shared" si="88"/>
        <v>0</v>
      </c>
      <c r="AK63" s="503">
        <f t="shared" si="88"/>
        <v>0</v>
      </c>
      <c r="AL63" s="503">
        <f t="shared" si="88"/>
        <v>0</v>
      </c>
      <c r="AM63" s="503">
        <f t="shared" si="88"/>
        <v>0</v>
      </c>
      <c r="AN63" s="503">
        <f t="shared" si="88"/>
        <v>0</v>
      </c>
      <c r="AO63" s="503">
        <f t="shared" si="88"/>
        <v>0</v>
      </c>
      <c r="AP63" s="503">
        <f t="shared" si="88"/>
        <v>46350</v>
      </c>
      <c r="AQ63" s="503">
        <f t="shared" si="88"/>
        <v>-23756</v>
      </c>
      <c r="AR63" s="503">
        <f t="shared" si="88"/>
        <v>22594</v>
      </c>
      <c r="AS63" s="503">
        <f t="shared" si="88"/>
        <v>7636</v>
      </c>
      <c r="AT63" s="503">
        <f t="shared" si="88"/>
        <v>226</v>
      </c>
      <c r="AU63" s="503">
        <f t="shared" si="88"/>
        <v>0</v>
      </c>
      <c r="AV63" s="503">
        <f t="shared" si="88"/>
        <v>0</v>
      </c>
      <c r="AW63" s="503">
        <f t="shared" si="88"/>
        <v>0</v>
      </c>
      <c r="AX63" s="503">
        <f t="shared" si="88"/>
        <v>0</v>
      </c>
      <c r="AY63" s="503">
        <f t="shared" si="88"/>
        <v>30456</v>
      </c>
      <c r="AZ63" s="543">
        <f t="shared" si="88"/>
        <v>0</v>
      </c>
      <c r="BA63" s="543">
        <f t="shared" si="88"/>
        <v>-0.02</v>
      </c>
      <c r="BB63" s="543">
        <f t="shared" si="88"/>
        <v>0.13</v>
      </c>
      <c r="BC63" s="543">
        <f t="shared" si="88"/>
        <v>0</v>
      </c>
      <c r="BD63" s="543">
        <f t="shared" si="88"/>
        <v>-7.0000000000000007E-2</v>
      </c>
      <c r="BE63" s="543">
        <f t="shared" si="88"/>
        <v>0</v>
      </c>
      <c r="BF63" s="543">
        <f t="shared" si="88"/>
        <v>0</v>
      </c>
      <c r="BG63" s="543">
        <f t="shared" si="88"/>
        <v>0</v>
      </c>
      <c r="BH63" s="543">
        <f t="shared" si="88"/>
        <v>0</v>
      </c>
      <c r="BI63" s="543">
        <f t="shared" si="88"/>
        <v>0.13</v>
      </c>
      <c r="BJ63" s="543">
        <f t="shared" si="88"/>
        <v>-9.0000000000000011E-2</v>
      </c>
      <c r="BK63" s="441">
        <f t="shared" si="88"/>
        <v>3.9999999999999994E-2</v>
      </c>
      <c r="BL63" s="788">
        <f t="shared" si="88"/>
        <v>7228832</v>
      </c>
      <c r="BM63" s="503">
        <f t="shared" si="88"/>
        <v>5315627</v>
      </c>
      <c r="BN63" s="503">
        <f t="shared" si="88"/>
        <v>4211530</v>
      </c>
      <c r="BO63" s="503">
        <f t="shared" si="88"/>
        <v>1104097</v>
      </c>
      <c r="BP63" s="503">
        <f t="shared" si="88"/>
        <v>18000</v>
      </c>
      <c r="BQ63" s="503">
        <f t="shared" si="88"/>
        <v>0</v>
      </c>
      <c r="BR63" s="503">
        <f t="shared" si="88"/>
        <v>18000</v>
      </c>
      <c r="BS63" s="503">
        <f t="shared" si="88"/>
        <v>1802765</v>
      </c>
      <c r="BT63" s="503">
        <f t="shared" si="88"/>
        <v>53156</v>
      </c>
      <c r="BU63" s="503">
        <f t="shared" si="88"/>
        <v>39284</v>
      </c>
      <c r="BV63" s="543">
        <f t="shared" si="88"/>
        <v>11.459100000000001</v>
      </c>
      <c r="BW63" s="543">
        <f t="shared" si="88"/>
        <v>7.952</v>
      </c>
      <c r="BX63" s="441">
        <f t="shared" si="88"/>
        <v>3.5070999999999999</v>
      </c>
      <c r="BY63" s="799">
        <f t="shared" si="88"/>
        <v>0</v>
      </c>
      <c r="BZ63" s="705">
        <f t="shared" si="88"/>
        <v>0</v>
      </c>
      <c r="CA63" s="705">
        <f t="shared" si="88"/>
        <v>0</v>
      </c>
      <c r="CB63" s="705">
        <f t="shared" si="88"/>
        <v>0</v>
      </c>
      <c r="CC63" s="705">
        <f t="shared" si="88"/>
        <v>0</v>
      </c>
      <c r="CD63" s="800">
        <f t="shared" si="88"/>
        <v>0</v>
      </c>
      <c r="CE63" s="896">
        <f t="shared" si="88"/>
        <v>236517</v>
      </c>
      <c r="CF63" s="897">
        <f t="shared" si="88"/>
        <v>166622</v>
      </c>
      <c r="CG63" s="897">
        <f t="shared" si="88"/>
        <v>56318</v>
      </c>
      <c r="CH63" s="897">
        <f t="shared" ref="CH63:CJ63" si="89">SUM(CH60:CH62)</f>
        <v>1666</v>
      </c>
      <c r="CI63" s="897">
        <f t="shared" si="89"/>
        <v>11911</v>
      </c>
      <c r="CJ63" s="898">
        <f t="shared" si="89"/>
        <v>0.56699999999999995</v>
      </c>
    </row>
    <row r="64" spans="1:88" s="221" customFormat="1" ht="12.75" customHeight="1">
      <c r="A64" s="223">
        <v>15</v>
      </c>
      <c r="B64" s="224">
        <v>3466</v>
      </c>
      <c r="C64" s="224">
        <v>691001260</v>
      </c>
      <c r="D64" s="224">
        <v>72048085</v>
      </c>
      <c r="E64" s="225" t="s">
        <v>38</v>
      </c>
      <c r="F64" s="224">
        <v>3111</v>
      </c>
      <c r="G64" s="225" t="s">
        <v>290</v>
      </c>
      <c r="H64" s="226" t="s">
        <v>271</v>
      </c>
      <c r="I64" s="419">
        <v>5580653</v>
      </c>
      <c r="J64" s="414">
        <v>4117488</v>
      </c>
      <c r="K64" s="414">
        <v>3600805</v>
      </c>
      <c r="L64" s="414">
        <v>516683</v>
      </c>
      <c r="M64" s="414">
        <v>2600</v>
      </c>
      <c r="N64" s="414">
        <v>0</v>
      </c>
      <c r="O64" s="414">
        <v>2600</v>
      </c>
      <c r="P64" s="68">
        <v>1392590</v>
      </c>
      <c r="Q64" s="68">
        <v>41175</v>
      </c>
      <c r="R64" s="414">
        <v>26800</v>
      </c>
      <c r="S64" s="415">
        <v>7.7571000000000003</v>
      </c>
      <c r="T64" s="416">
        <v>6</v>
      </c>
      <c r="U64" s="422">
        <v>1.7570999999999999</v>
      </c>
      <c r="V64" s="423">
        <f t="shared" si="2"/>
        <v>0</v>
      </c>
      <c r="W64" s="417">
        <f t="shared" si="3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4"/>
        <v>0</v>
      </c>
      <c r="AF64" s="417">
        <f t="shared" si="5"/>
        <v>0</v>
      </c>
      <c r="AG64" s="417">
        <f t="shared" si="6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7"/>
        <v>0</v>
      </c>
      <c r="AN64" s="417">
        <f t="shared" si="8"/>
        <v>0</v>
      </c>
      <c r="AO64" s="417">
        <f t="shared" si="9"/>
        <v>0</v>
      </c>
      <c r="AP64" s="417">
        <f t="shared" si="10"/>
        <v>0</v>
      </c>
      <c r="AQ64" s="417">
        <f t="shared" si="11"/>
        <v>0</v>
      </c>
      <c r="AR64" s="417">
        <f t="shared" si="12"/>
        <v>0</v>
      </c>
      <c r="AS64" s="68">
        <f t="shared" si="13"/>
        <v>0</v>
      </c>
      <c r="AT64" s="68">
        <f t="shared" si="14"/>
        <v>0</v>
      </c>
      <c r="AU64" s="417">
        <v>0</v>
      </c>
      <c r="AV64" s="417">
        <v>0</v>
      </c>
      <c r="AW64" s="417">
        <v>0</v>
      </c>
      <c r="AX64" s="417">
        <f t="shared" si="15"/>
        <v>0</v>
      </c>
      <c r="AY64" s="417">
        <f t="shared" si="16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0</v>
      </c>
      <c r="BK64" s="420">
        <f t="shared" si="19"/>
        <v>0</v>
      </c>
      <c r="BL64" s="772">
        <f>I64+AY64</f>
        <v>5580653</v>
      </c>
      <c r="BM64" s="417">
        <f>J64+AG64</f>
        <v>4117488</v>
      </c>
      <c r="BN64" s="417">
        <f t="shared" ref="BN64:BO66" si="90">K64+AE64</f>
        <v>3600805</v>
      </c>
      <c r="BO64" s="417">
        <f t="shared" si="90"/>
        <v>516683</v>
      </c>
      <c r="BP64" s="417">
        <f>M64+AO64</f>
        <v>2600</v>
      </c>
      <c r="BQ64" s="417">
        <f t="shared" ref="BQ64:BR66" si="91">N64+AM64</f>
        <v>0</v>
      </c>
      <c r="BR64" s="417">
        <f t="shared" si="91"/>
        <v>2600</v>
      </c>
      <c r="BS64" s="417">
        <f t="shared" ref="BS64:BT66" si="92">P64+AS64</f>
        <v>1392590</v>
      </c>
      <c r="BT64" s="417">
        <f t="shared" si="92"/>
        <v>41175</v>
      </c>
      <c r="BU64" s="417">
        <f>R64+AX64</f>
        <v>26800</v>
      </c>
      <c r="BV64" s="418">
        <f>S64+BK64</f>
        <v>7.7571000000000003</v>
      </c>
      <c r="BW64" s="418">
        <f t="shared" ref="BW64:BX66" si="93">T64+BI64</f>
        <v>6</v>
      </c>
      <c r="BX64" s="420">
        <f t="shared" si="93"/>
        <v>1.7570999999999999</v>
      </c>
      <c r="BY64" s="419"/>
      <c r="BZ64" s="414"/>
      <c r="CA64" s="414"/>
      <c r="CB64" s="414"/>
      <c r="CC64" s="414"/>
      <c r="CD64" s="509"/>
      <c r="CE64" s="419">
        <v>233517</v>
      </c>
      <c r="CF64" s="414">
        <v>166622</v>
      </c>
      <c r="CG64" s="414">
        <v>56318</v>
      </c>
      <c r="CH64" s="414">
        <v>1666</v>
      </c>
      <c r="CI64" s="414">
        <v>8911</v>
      </c>
      <c r="CJ64" s="509">
        <v>0.56699999999999995</v>
      </c>
    </row>
    <row r="65" spans="1:88" s="221" customFormat="1">
      <c r="A65" s="223">
        <v>15</v>
      </c>
      <c r="B65" s="224">
        <v>3466</v>
      </c>
      <c r="C65" s="224">
        <v>691001260</v>
      </c>
      <c r="D65" s="224">
        <v>72048085</v>
      </c>
      <c r="E65" s="225" t="s">
        <v>38</v>
      </c>
      <c r="F65" s="224">
        <v>3111</v>
      </c>
      <c r="G65" s="225" t="s">
        <v>291</v>
      </c>
      <c r="H65" s="226" t="s">
        <v>272</v>
      </c>
      <c r="I65" s="419">
        <v>566142</v>
      </c>
      <c r="J65" s="414">
        <v>414979</v>
      </c>
      <c r="K65" s="414">
        <v>414979</v>
      </c>
      <c r="L65" s="414">
        <v>0</v>
      </c>
      <c r="M65" s="414">
        <v>0</v>
      </c>
      <c r="N65" s="414">
        <v>0</v>
      </c>
      <c r="O65" s="414">
        <v>0</v>
      </c>
      <c r="P65" s="68">
        <v>140263</v>
      </c>
      <c r="Q65" s="68">
        <v>4150</v>
      </c>
      <c r="R65" s="414">
        <v>6750</v>
      </c>
      <c r="S65" s="415">
        <v>1.17</v>
      </c>
      <c r="T65" s="416">
        <v>1.17</v>
      </c>
      <c r="U65" s="422">
        <v>0</v>
      </c>
      <c r="V65" s="423">
        <f t="shared" si="2"/>
        <v>0</v>
      </c>
      <c r="W65" s="417">
        <f t="shared" si="3"/>
        <v>0</v>
      </c>
      <c r="X65" s="417">
        <f>15793+6866</f>
        <v>22659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4"/>
        <v>22659</v>
      </c>
      <c r="AF65" s="417">
        <f t="shared" si="5"/>
        <v>0</v>
      </c>
      <c r="AG65" s="417">
        <f t="shared" si="6"/>
        <v>22659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7"/>
        <v>0</v>
      </c>
      <c r="AN65" s="417">
        <f t="shared" si="8"/>
        <v>0</v>
      </c>
      <c r="AO65" s="417">
        <f t="shared" si="9"/>
        <v>0</v>
      </c>
      <c r="AP65" s="417">
        <f t="shared" si="10"/>
        <v>22659</v>
      </c>
      <c r="AQ65" s="417">
        <f t="shared" si="11"/>
        <v>0</v>
      </c>
      <c r="AR65" s="417">
        <f t="shared" si="12"/>
        <v>22659</v>
      </c>
      <c r="AS65" s="68">
        <f t="shared" si="13"/>
        <v>7659</v>
      </c>
      <c r="AT65" s="68">
        <f t="shared" si="14"/>
        <v>227</v>
      </c>
      <c r="AU65" s="417">
        <v>0</v>
      </c>
      <c r="AV65" s="417">
        <v>0</v>
      </c>
      <c r="AW65" s="417">
        <v>0</v>
      </c>
      <c r="AX65" s="417">
        <f t="shared" si="15"/>
        <v>0</v>
      </c>
      <c r="AY65" s="417">
        <f t="shared" si="16"/>
        <v>30545</v>
      </c>
      <c r="AZ65" s="418">
        <v>0</v>
      </c>
      <c r="BA65" s="418">
        <v>0</v>
      </c>
      <c r="BB65" s="418">
        <v>0.02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7"/>
        <v>0.02</v>
      </c>
      <c r="BJ65" s="418">
        <f t="shared" si="18"/>
        <v>0</v>
      </c>
      <c r="BK65" s="420">
        <f t="shared" si="19"/>
        <v>0.02</v>
      </c>
      <c r="BL65" s="772">
        <f>I65+AY65</f>
        <v>596687</v>
      </c>
      <c r="BM65" s="417">
        <f>J65+AG65</f>
        <v>437638</v>
      </c>
      <c r="BN65" s="417">
        <f t="shared" si="90"/>
        <v>437638</v>
      </c>
      <c r="BO65" s="417">
        <f t="shared" si="90"/>
        <v>0</v>
      </c>
      <c r="BP65" s="417">
        <f>M65+AO65</f>
        <v>0</v>
      </c>
      <c r="BQ65" s="417">
        <f t="shared" si="91"/>
        <v>0</v>
      </c>
      <c r="BR65" s="417">
        <f t="shared" si="91"/>
        <v>0</v>
      </c>
      <c r="BS65" s="417">
        <f t="shared" si="92"/>
        <v>147922</v>
      </c>
      <c r="BT65" s="417">
        <f t="shared" si="92"/>
        <v>4377</v>
      </c>
      <c r="BU65" s="417">
        <f>R65+AX65</f>
        <v>6750</v>
      </c>
      <c r="BV65" s="418">
        <f>S65+BK65</f>
        <v>1.19</v>
      </c>
      <c r="BW65" s="418">
        <f t="shared" si="93"/>
        <v>1.19</v>
      </c>
      <c r="BX65" s="420">
        <f t="shared" si="93"/>
        <v>0</v>
      </c>
      <c r="BY65" s="419"/>
      <c r="BZ65" s="414"/>
      <c r="CA65" s="414"/>
      <c r="CB65" s="414"/>
      <c r="CC65" s="414"/>
      <c r="CD65" s="509"/>
      <c r="CE65" s="419"/>
      <c r="CF65" s="414"/>
      <c r="CG65" s="414"/>
      <c r="CH65" s="414"/>
      <c r="CI65" s="414"/>
      <c r="CJ65" s="509"/>
    </row>
    <row r="66" spans="1:88" s="221" customFormat="1" ht="12.75" customHeight="1">
      <c r="A66" s="223">
        <v>15</v>
      </c>
      <c r="B66" s="224">
        <v>3466</v>
      </c>
      <c r="C66" s="224">
        <v>691001260</v>
      </c>
      <c r="D66" s="224">
        <v>72048085</v>
      </c>
      <c r="E66" s="225" t="s">
        <v>38</v>
      </c>
      <c r="F66" s="224">
        <v>3141</v>
      </c>
      <c r="G66" s="225" t="s">
        <v>294</v>
      </c>
      <c r="H66" s="226" t="s">
        <v>272</v>
      </c>
      <c r="I66" s="419">
        <v>848101</v>
      </c>
      <c r="J66" s="414">
        <v>626570</v>
      </c>
      <c r="K66" s="414">
        <v>0</v>
      </c>
      <c r="L66" s="414">
        <v>626570</v>
      </c>
      <c r="M66" s="414">
        <v>0</v>
      </c>
      <c r="N66" s="414">
        <v>0</v>
      </c>
      <c r="O66" s="414">
        <v>0</v>
      </c>
      <c r="P66" s="68">
        <v>211781</v>
      </c>
      <c r="Q66" s="68">
        <v>6266</v>
      </c>
      <c r="R66" s="414">
        <v>3484</v>
      </c>
      <c r="S66" s="415">
        <v>1.88</v>
      </c>
      <c r="T66" s="416">
        <v>0</v>
      </c>
      <c r="U66" s="422">
        <v>1.88</v>
      </c>
      <c r="V66" s="423">
        <f t="shared" si="2"/>
        <v>0</v>
      </c>
      <c r="W66" s="417">
        <f t="shared" si="3"/>
        <v>0</v>
      </c>
      <c r="X66" s="417">
        <v>0</v>
      </c>
      <c r="Y66" s="417">
        <v>0</v>
      </c>
      <c r="Z66" s="417">
        <v>0</v>
      </c>
      <c r="AA66" s="417">
        <v>-10616</v>
      </c>
      <c r="AB66" s="417">
        <v>0</v>
      </c>
      <c r="AC66" s="417">
        <v>0</v>
      </c>
      <c r="AD66" s="417">
        <v>0</v>
      </c>
      <c r="AE66" s="417">
        <f t="shared" si="4"/>
        <v>0</v>
      </c>
      <c r="AF66" s="417">
        <f t="shared" si="5"/>
        <v>-10616</v>
      </c>
      <c r="AG66" s="417">
        <f t="shared" si="6"/>
        <v>-10616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7"/>
        <v>0</v>
      </c>
      <c r="AN66" s="417">
        <f t="shared" si="8"/>
        <v>0</v>
      </c>
      <c r="AO66" s="417">
        <f t="shared" si="9"/>
        <v>0</v>
      </c>
      <c r="AP66" s="417">
        <f t="shared" si="10"/>
        <v>0</v>
      </c>
      <c r="AQ66" s="417">
        <f t="shared" si="11"/>
        <v>-10616</v>
      </c>
      <c r="AR66" s="417">
        <f t="shared" si="12"/>
        <v>-10616</v>
      </c>
      <c r="AS66" s="68">
        <f t="shared" si="13"/>
        <v>-3588</v>
      </c>
      <c r="AT66" s="68">
        <f t="shared" si="14"/>
        <v>-106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-14310</v>
      </c>
      <c r="AZ66" s="418">
        <v>0</v>
      </c>
      <c r="BA66" s="418">
        <v>0</v>
      </c>
      <c r="BB66" s="418">
        <v>0</v>
      </c>
      <c r="BC66" s="418">
        <v>0</v>
      </c>
      <c r="BD66" s="418">
        <v>-0.04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0</v>
      </c>
      <c r="BJ66" s="418">
        <f t="shared" si="18"/>
        <v>-0.04</v>
      </c>
      <c r="BK66" s="420">
        <f t="shared" si="19"/>
        <v>-0.04</v>
      </c>
      <c r="BL66" s="772">
        <f>I66+AY66</f>
        <v>833791</v>
      </c>
      <c r="BM66" s="417">
        <f>J66+AG66</f>
        <v>615954</v>
      </c>
      <c r="BN66" s="417">
        <f t="shared" si="90"/>
        <v>0</v>
      </c>
      <c r="BO66" s="417">
        <f t="shared" si="90"/>
        <v>615954</v>
      </c>
      <c r="BP66" s="417">
        <f>M66+AO66</f>
        <v>0</v>
      </c>
      <c r="BQ66" s="417">
        <f t="shared" si="91"/>
        <v>0</v>
      </c>
      <c r="BR66" s="417">
        <f t="shared" si="91"/>
        <v>0</v>
      </c>
      <c r="BS66" s="417">
        <f t="shared" si="92"/>
        <v>208193</v>
      </c>
      <c r="BT66" s="417">
        <f t="shared" si="92"/>
        <v>6160</v>
      </c>
      <c r="BU66" s="417">
        <f>R66+AX66</f>
        <v>3484</v>
      </c>
      <c r="BV66" s="418">
        <f>S66+BK66</f>
        <v>1.8399999999999999</v>
      </c>
      <c r="BW66" s="418">
        <f t="shared" si="93"/>
        <v>0</v>
      </c>
      <c r="BX66" s="420">
        <f t="shared" si="93"/>
        <v>1.8399999999999999</v>
      </c>
      <c r="BY66" s="419"/>
      <c r="BZ66" s="414"/>
      <c r="CA66" s="414"/>
      <c r="CB66" s="414"/>
      <c r="CC66" s="414"/>
      <c r="CD66" s="509"/>
      <c r="CE66" s="419"/>
      <c r="CF66" s="601"/>
      <c r="CG66" s="414"/>
      <c r="CH66" s="414"/>
      <c r="CI66" s="601"/>
      <c r="CJ66" s="603"/>
    </row>
    <row r="67" spans="1:88" s="221" customFormat="1" ht="12.75" customHeight="1">
      <c r="A67" s="153">
        <v>15</v>
      </c>
      <c r="B67" s="14">
        <v>3466</v>
      </c>
      <c r="C67" s="152">
        <v>691001260</v>
      </c>
      <c r="D67" s="152">
        <v>72048085</v>
      </c>
      <c r="E67" s="222" t="s">
        <v>39</v>
      </c>
      <c r="F67" s="14"/>
      <c r="G67" s="222"/>
      <c r="H67" s="558"/>
      <c r="I67" s="504">
        <v>6994896</v>
      </c>
      <c r="J67" s="503">
        <v>5159037</v>
      </c>
      <c r="K67" s="503">
        <v>4015784</v>
      </c>
      <c r="L67" s="503">
        <v>1143253</v>
      </c>
      <c r="M67" s="503">
        <v>2600</v>
      </c>
      <c r="N67" s="503">
        <v>0</v>
      </c>
      <c r="O67" s="503">
        <v>2600</v>
      </c>
      <c r="P67" s="503">
        <v>1744634</v>
      </c>
      <c r="Q67" s="503">
        <v>51591</v>
      </c>
      <c r="R67" s="503">
        <v>37034</v>
      </c>
      <c r="S67" s="543">
        <v>10.807099999999998</v>
      </c>
      <c r="T67" s="543">
        <v>7.17</v>
      </c>
      <c r="U67" s="1084">
        <v>3.6370999999999998</v>
      </c>
      <c r="V67" s="504">
        <f t="shared" ref="V67:CG67" si="94">SUM(V64:V66)</f>
        <v>0</v>
      </c>
      <c r="W67" s="503">
        <f t="shared" si="94"/>
        <v>0</v>
      </c>
      <c r="X67" s="503">
        <f t="shared" si="94"/>
        <v>22659</v>
      </c>
      <c r="Y67" s="503">
        <f t="shared" si="94"/>
        <v>0</v>
      </c>
      <c r="Z67" s="503">
        <f t="shared" si="94"/>
        <v>0</v>
      </c>
      <c r="AA67" s="503">
        <f t="shared" si="94"/>
        <v>-10616</v>
      </c>
      <c r="AB67" s="503">
        <f t="shared" si="94"/>
        <v>0</v>
      </c>
      <c r="AC67" s="503">
        <f t="shared" si="94"/>
        <v>0</v>
      </c>
      <c r="AD67" s="503">
        <f t="shared" si="94"/>
        <v>0</v>
      </c>
      <c r="AE67" s="503">
        <f t="shared" si="94"/>
        <v>22659</v>
      </c>
      <c r="AF67" s="503">
        <f t="shared" si="94"/>
        <v>-10616</v>
      </c>
      <c r="AG67" s="503">
        <f t="shared" si="94"/>
        <v>12043</v>
      </c>
      <c r="AH67" s="503">
        <f t="shared" si="94"/>
        <v>0</v>
      </c>
      <c r="AI67" s="503">
        <f t="shared" si="94"/>
        <v>0</v>
      </c>
      <c r="AJ67" s="503">
        <f t="shared" si="94"/>
        <v>0</v>
      </c>
      <c r="AK67" s="503">
        <f t="shared" si="94"/>
        <v>0</v>
      </c>
      <c r="AL67" s="503">
        <f t="shared" si="94"/>
        <v>0</v>
      </c>
      <c r="AM67" s="503">
        <f t="shared" si="94"/>
        <v>0</v>
      </c>
      <c r="AN67" s="503">
        <f t="shared" si="94"/>
        <v>0</v>
      </c>
      <c r="AO67" s="503">
        <f t="shared" si="94"/>
        <v>0</v>
      </c>
      <c r="AP67" s="503">
        <f t="shared" si="94"/>
        <v>22659</v>
      </c>
      <c r="AQ67" s="503">
        <f t="shared" si="94"/>
        <v>-10616</v>
      </c>
      <c r="AR67" s="503">
        <f t="shared" si="94"/>
        <v>12043</v>
      </c>
      <c r="AS67" s="503">
        <f t="shared" si="94"/>
        <v>4071</v>
      </c>
      <c r="AT67" s="503">
        <f t="shared" si="94"/>
        <v>121</v>
      </c>
      <c r="AU67" s="503">
        <f t="shared" si="94"/>
        <v>0</v>
      </c>
      <c r="AV67" s="503">
        <f t="shared" si="94"/>
        <v>0</v>
      </c>
      <c r="AW67" s="503">
        <f t="shared" si="94"/>
        <v>0</v>
      </c>
      <c r="AX67" s="503">
        <f t="shared" si="94"/>
        <v>0</v>
      </c>
      <c r="AY67" s="503">
        <f t="shared" si="94"/>
        <v>16235</v>
      </c>
      <c r="AZ67" s="543">
        <f t="shared" si="94"/>
        <v>0</v>
      </c>
      <c r="BA67" s="543">
        <f t="shared" si="94"/>
        <v>0</v>
      </c>
      <c r="BB67" s="543">
        <f t="shared" si="94"/>
        <v>0.02</v>
      </c>
      <c r="BC67" s="543">
        <f t="shared" si="94"/>
        <v>0</v>
      </c>
      <c r="BD67" s="543">
        <f t="shared" si="94"/>
        <v>-0.04</v>
      </c>
      <c r="BE67" s="543">
        <f t="shared" si="94"/>
        <v>0</v>
      </c>
      <c r="BF67" s="543">
        <f t="shared" si="94"/>
        <v>0</v>
      </c>
      <c r="BG67" s="543">
        <f t="shared" si="94"/>
        <v>0</v>
      </c>
      <c r="BH67" s="543">
        <f t="shared" si="94"/>
        <v>0</v>
      </c>
      <c r="BI67" s="543">
        <f t="shared" si="94"/>
        <v>0.02</v>
      </c>
      <c r="BJ67" s="543">
        <f t="shared" si="94"/>
        <v>-0.04</v>
      </c>
      <c r="BK67" s="441">
        <f t="shared" si="94"/>
        <v>-0.02</v>
      </c>
      <c r="BL67" s="788">
        <f t="shared" si="94"/>
        <v>7011131</v>
      </c>
      <c r="BM67" s="503">
        <f t="shared" si="94"/>
        <v>5171080</v>
      </c>
      <c r="BN67" s="503">
        <f t="shared" si="94"/>
        <v>4038443</v>
      </c>
      <c r="BO67" s="503">
        <f t="shared" si="94"/>
        <v>1132637</v>
      </c>
      <c r="BP67" s="503">
        <f t="shared" si="94"/>
        <v>2600</v>
      </c>
      <c r="BQ67" s="503">
        <f t="shared" si="94"/>
        <v>0</v>
      </c>
      <c r="BR67" s="503">
        <f t="shared" si="94"/>
        <v>2600</v>
      </c>
      <c r="BS67" s="503">
        <f t="shared" si="94"/>
        <v>1748705</v>
      </c>
      <c r="BT67" s="503">
        <f t="shared" si="94"/>
        <v>51712</v>
      </c>
      <c r="BU67" s="503">
        <f t="shared" si="94"/>
        <v>37034</v>
      </c>
      <c r="BV67" s="543">
        <f t="shared" si="94"/>
        <v>10.787100000000001</v>
      </c>
      <c r="BW67" s="543">
        <f t="shared" si="94"/>
        <v>7.1899999999999995</v>
      </c>
      <c r="BX67" s="441">
        <f t="shared" si="94"/>
        <v>3.5970999999999997</v>
      </c>
      <c r="BY67" s="799">
        <f t="shared" si="94"/>
        <v>0</v>
      </c>
      <c r="BZ67" s="705">
        <f t="shared" si="94"/>
        <v>0</v>
      </c>
      <c r="CA67" s="705">
        <f t="shared" si="94"/>
        <v>0</v>
      </c>
      <c r="CB67" s="705">
        <f t="shared" si="94"/>
        <v>0</v>
      </c>
      <c r="CC67" s="705">
        <f t="shared" si="94"/>
        <v>0</v>
      </c>
      <c r="CD67" s="800">
        <f t="shared" si="94"/>
        <v>0</v>
      </c>
      <c r="CE67" s="896">
        <f t="shared" si="94"/>
        <v>233517</v>
      </c>
      <c r="CF67" s="897">
        <f t="shared" si="94"/>
        <v>166622</v>
      </c>
      <c r="CG67" s="897">
        <f t="shared" si="94"/>
        <v>56318</v>
      </c>
      <c r="CH67" s="897">
        <f t="shared" ref="CH67:CJ67" si="95">SUM(CH64:CH66)</f>
        <v>1666</v>
      </c>
      <c r="CI67" s="897">
        <f t="shared" si="95"/>
        <v>8911</v>
      </c>
      <c r="CJ67" s="898">
        <f t="shared" si="95"/>
        <v>0.56699999999999995</v>
      </c>
    </row>
    <row r="68" spans="1:88" s="221" customFormat="1" ht="12.75" customHeight="1">
      <c r="A68" s="223">
        <v>16</v>
      </c>
      <c r="B68" s="224">
        <v>3407</v>
      </c>
      <c r="C68" s="224">
        <v>667000089</v>
      </c>
      <c r="D68" s="224">
        <v>72743778</v>
      </c>
      <c r="E68" s="225" t="s">
        <v>40</v>
      </c>
      <c r="F68" s="224">
        <v>3111</v>
      </c>
      <c r="G68" s="225" t="s">
        <v>290</v>
      </c>
      <c r="H68" s="226" t="s">
        <v>271</v>
      </c>
      <c r="I68" s="419">
        <v>12980069</v>
      </c>
      <c r="J68" s="414">
        <v>9585510</v>
      </c>
      <c r="K68" s="414">
        <v>8321002</v>
      </c>
      <c r="L68" s="414">
        <v>1264508</v>
      </c>
      <c r="M68" s="414">
        <v>0</v>
      </c>
      <c r="N68" s="414">
        <v>0</v>
      </c>
      <c r="O68" s="414">
        <v>0</v>
      </c>
      <c r="P68" s="68">
        <v>3239903</v>
      </c>
      <c r="Q68" s="68">
        <v>95856</v>
      </c>
      <c r="R68" s="414">
        <v>58800</v>
      </c>
      <c r="S68" s="415">
        <v>18.659000000000002</v>
      </c>
      <c r="T68" s="416">
        <v>14.2903</v>
      </c>
      <c r="U68" s="422">
        <v>4.3687000000000005</v>
      </c>
      <c r="V68" s="423">
        <f t="shared" si="2"/>
        <v>0</v>
      </c>
      <c r="W68" s="417">
        <f t="shared" si="3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4"/>
        <v>0</v>
      </c>
      <c r="AF68" s="417">
        <f t="shared" si="5"/>
        <v>0</v>
      </c>
      <c r="AG68" s="417">
        <f t="shared" si="6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7"/>
        <v>0</v>
      </c>
      <c r="AN68" s="417">
        <f t="shared" si="8"/>
        <v>0</v>
      </c>
      <c r="AO68" s="417">
        <f t="shared" si="9"/>
        <v>0</v>
      </c>
      <c r="AP68" s="417">
        <f t="shared" si="10"/>
        <v>0</v>
      </c>
      <c r="AQ68" s="417">
        <f t="shared" si="11"/>
        <v>0</v>
      </c>
      <c r="AR68" s="417">
        <f t="shared" si="12"/>
        <v>0</v>
      </c>
      <c r="AS68" s="68">
        <f t="shared" si="13"/>
        <v>0</v>
      </c>
      <c r="AT68" s="68">
        <f t="shared" si="14"/>
        <v>0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</v>
      </c>
      <c r="BK68" s="420">
        <f t="shared" si="19"/>
        <v>0</v>
      </c>
      <c r="BL68" s="772">
        <f>I68+AY68</f>
        <v>12980069</v>
      </c>
      <c r="BM68" s="417">
        <f>J68+AG68</f>
        <v>9585510</v>
      </c>
      <c r="BN68" s="417">
        <f t="shared" ref="BN68:BO70" si="96">K68+AE68</f>
        <v>8321002</v>
      </c>
      <c r="BO68" s="417">
        <f t="shared" si="96"/>
        <v>1264508</v>
      </c>
      <c r="BP68" s="417">
        <f>M68+AO68</f>
        <v>0</v>
      </c>
      <c r="BQ68" s="417">
        <f t="shared" ref="BQ68:BR70" si="97">N68+AM68</f>
        <v>0</v>
      </c>
      <c r="BR68" s="417">
        <f t="shared" si="97"/>
        <v>0</v>
      </c>
      <c r="BS68" s="417">
        <f t="shared" ref="BS68:BT70" si="98">P68+AS68</f>
        <v>3239903</v>
      </c>
      <c r="BT68" s="417">
        <f t="shared" si="98"/>
        <v>95856</v>
      </c>
      <c r="BU68" s="417">
        <f>R68+AX68</f>
        <v>58800</v>
      </c>
      <c r="BV68" s="418">
        <f>S68+BK68</f>
        <v>18.659000000000002</v>
      </c>
      <c r="BW68" s="418">
        <f t="shared" ref="BW68:BX70" si="99">T68+BI68</f>
        <v>14.2903</v>
      </c>
      <c r="BX68" s="420">
        <f t="shared" si="99"/>
        <v>4.3687000000000005</v>
      </c>
      <c r="BY68" s="419"/>
      <c r="BZ68" s="414"/>
      <c r="CA68" s="414"/>
      <c r="CB68" s="414"/>
      <c r="CC68" s="414"/>
      <c r="CD68" s="509"/>
      <c r="CE68" s="419">
        <v>566512</v>
      </c>
      <c r="CF68" s="414">
        <v>405757</v>
      </c>
      <c r="CG68" s="414">
        <v>137146</v>
      </c>
      <c r="CH68" s="414">
        <v>4058</v>
      </c>
      <c r="CI68" s="414">
        <v>19551</v>
      </c>
      <c r="CJ68" s="509">
        <v>1.4018000000000002</v>
      </c>
    </row>
    <row r="69" spans="1:88" s="221" customFormat="1" ht="12.75" customHeight="1">
      <c r="A69" s="223">
        <v>16</v>
      </c>
      <c r="B69" s="224">
        <v>3407</v>
      </c>
      <c r="C69" s="224">
        <v>667000089</v>
      </c>
      <c r="D69" s="224">
        <v>72743778</v>
      </c>
      <c r="E69" s="225" t="s">
        <v>40</v>
      </c>
      <c r="F69" s="224">
        <v>3111</v>
      </c>
      <c r="G69" s="225" t="s">
        <v>291</v>
      </c>
      <c r="H69" s="226" t="s">
        <v>272</v>
      </c>
      <c r="I69" s="419">
        <v>760673</v>
      </c>
      <c r="J69" s="414">
        <v>563927</v>
      </c>
      <c r="K69" s="414">
        <v>563927</v>
      </c>
      <c r="L69" s="414">
        <v>0</v>
      </c>
      <c r="M69" s="414">
        <v>0</v>
      </c>
      <c r="N69" s="414">
        <v>0</v>
      </c>
      <c r="O69" s="414">
        <v>0</v>
      </c>
      <c r="P69" s="68">
        <v>190607</v>
      </c>
      <c r="Q69" s="68">
        <v>5639</v>
      </c>
      <c r="R69" s="414">
        <v>500</v>
      </c>
      <c r="S69" s="415">
        <v>1.52</v>
      </c>
      <c r="T69" s="416">
        <v>1.52</v>
      </c>
      <c r="U69" s="422">
        <v>0</v>
      </c>
      <c r="V69" s="423">
        <f t="shared" si="2"/>
        <v>0</v>
      </c>
      <c r="W69" s="417">
        <f t="shared" si="3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4"/>
        <v>0</v>
      </c>
      <c r="AF69" s="417">
        <f t="shared" si="5"/>
        <v>0</v>
      </c>
      <c r="AG69" s="417">
        <f t="shared" si="6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7"/>
        <v>0</v>
      </c>
      <c r="AN69" s="417">
        <f t="shared" si="8"/>
        <v>0</v>
      </c>
      <c r="AO69" s="417">
        <f t="shared" si="9"/>
        <v>0</v>
      </c>
      <c r="AP69" s="417">
        <f t="shared" si="10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>I69+AY69</f>
        <v>760673</v>
      </c>
      <c r="BM69" s="417">
        <f>J69+AG69</f>
        <v>563927</v>
      </c>
      <c r="BN69" s="417">
        <f t="shared" si="96"/>
        <v>563927</v>
      </c>
      <c r="BO69" s="417">
        <f t="shared" si="96"/>
        <v>0</v>
      </c>
      <c r="BP69" s="417">
        <f>M69+AO69</f>
        <v>0</v>
      </c>
      <c r="BQ69" s="417">
        <f t="shared" si="97"/>
        <v>0</v>
      </c>
      <c r="BR69" s="417">
        <f t="shared" si="97"/>
        <v>0</v>
      </c>
      <c r="BS69" s="417">
        <f t="shared" si="98"/>
        <v>190607</v>
      </c>
      <c r="BT69" s="417">
        <f t="shared" si="98"/>
        <v>5639</v>
      </c>
      <c r="BU69" s="417">
        <f>R69+AX69</f>
        <v>500</v>
      </c>
      <c r="BV69" s="418">
        <f>S69+BK69</f>
        <v>1.52</v>
      </c>
      <c r="BW69" s="418">
        <f t="shared" si="99"/>
        <v>1.52</v>
      </c>
      <c r="BX69" s="420">
        <f t="shared" si="99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 s="221" customFormat="1" ht="12.75" customHeight="1">
      <c r="A70" s="223">
        <v>16</v>
      </c>
      <c r="B70" s="224">
        <v>3407</v>
      </c>
      <c r="C70" s="224">
        <v>667000089</v>
      </c>
      <c r="D70" s="224">
        <v>72743778</v>
      </c>
      <c r="E70" s="225" t="s">
        <v>40</v>
      </c>
      <c r="F70" s="224">
        <v>3141</v>
      </c>
      <c r="G70" s="225" t="s">
        <v>294</v>
      </c>
      <c r="H70" s="226" t="s">
        <v>272</v>
      </c>
      <c r="I70" s="419">
        <v>1808865</v>
      </c>
      <c r="J70" s="414">
        <v>1336179</v>
      </c>
      <c r="K70" s="414">
        <v>0</v>
      </c>
      <c r="L70" s="414">
        <v>1336179</v>
      </c>
      <c r="M70" s="414">
        <v>0</v>
      </c>
      <c r="N70" s="414">
        <v>0</v>
      </c>
      <c r="O70" s="414">
        <v>0</v>
      </c>
      <c r="P70" s="68">
        <v>451628</v>
      </c>
      <c r="Q70" s="68">
        <v>13362</v>
      </c>
      <c r="R70" s="414">
        <v>7696</v>
      </c>
      <c r="S70" s="415">
        <v>4</v>
      </c>
      <c r="T70" s="416">
        <v>0</v>
      </c>
      <c r="U70" s="422">
        <v>4</v>
      </c>
      <c r="V70" s="423">
        <f t="shared" si="2"/>
        <v>0</v>
      </c>
      <c r="W70" s="417">
        <f t="shared" si="3"/>
        <v>0</v>
      </c>
      <c r="X70" s="417">
        <v>0</v>
      </c>
      <c r="Y70" s="417">
        <v>0</v>
      </c>
      <c r="Z70" s="417">
        <v>0</v>
      </c>
      <c r="AA70" s="417">
        <v>-24801</v>
      </c>
      <c r="AB70" s="417">
        <v>0</v>
      </c>
      <c r="AC70" s="417">
        <v>0</v>
      </c>
      <c r="AD70" s="417">
        <v>0</v>
      </c>
      <c r="AE70" s="417">
        <f t="shared" si="4"/>
        <v>0</v>
      </c>
      <c r="AF70" s="417">
        <f t="shared" si="5"/>
        <v>-24801</v>
      </c>
      <c r="AG70" s="417">
        <f t="shared" si="6"/>
        <v>-24801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7"/>
        <v>0</v>
      </c>
      <c r="AN70" s="417">
        <f t="shared" si="8"/>
        <v>0</v>
      </c>
      <c r="AO70" s="417">
        <f t="shared" si="9"/>
        <v>0</v>
      </c>
      <c r="AP70" s="417">
        <f t="shared" si="10"/>
        <v>0</v>
      </c>
      <c r="AQ70" s="417">
        <f t="shared" si="11"/>
        <v>-24801</v>
      </c>
      <c r="AR70" s="417">
        <f t="shared" si="12"/>
        <v>-24801</v>
      </c>
      <c r="AS70" s="68">
        <f t="shared" si="13"/>
        <v>-8383</v>
      </c>
      <c r="AT70" s="68">
        <f t="shared" si="14"/>
        <v>-248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-33432</v>
      </c>
      <c r="AZ70" s="418">
        <v>0</v>
      </c>
      <c r="BA70" s="418">
        <v>0</v>
      </c>
      <c r="BB70" s="418">
        <v>0</v>
      </c>
      <c r="BC70" s="418">
        <v>0</v>
      </c>
      <c r="BD70" s="418">
        <v>-0.06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-0.06</v>
      </c>
      <c r="BK70" s="420">
        <f t="shared" si="19"/>
        <v>-0.06</v>
      </c>
      <c r="BL70" s="772">
        <f>I70+AY70</f>
        <v>1775433</v>
      </c>
      <c r="BM70" s="417">
        <f>J70+AG70</f>
        <v>1311378</v>
      </c>
      <c r="BN70" s="417">
        <f t="shared" si="96"/>
        <v>0</v>
      </c>
      <c r="BO70" s="417">
        <f t="shared" si="96"/>
        <v>1311378</v>
      </c>
      <c r="BP70" s="417">
        <f>M70+AO70</f>
        <v>0</v>
      </c>
      <c r="BQ70" s="417">
        <f t="shared" si="97"/>
        <v>0</v>
      </c>
      <c r="BR70" s="417">
        <f t="shared" si="97"/>
        <v>0</v>
      </c>
      <c r="BS70" s="417">
        <f t="shared" si="98"/>
        <v>443245</v>
      </c>
      <c r="BT70" s="417">
        <f t="shared" si="98"/>
        <v>13114</v>
      </c>
      <c r="BU70" s="417">
        <f>R70+AX70</f>
        <v>7696</v>
      </c>
      <c r="BV70" s="418">
        <f>S70+BK70</f>
        <v>3.94</v>
      </c>
      <c r="BW70" s="418">
        <f t="shared" si="99"/>
        <v>0</v>
      </c>
      <c r="BX70" s="420">
        <f t="shared" si="99"/>
        <v>3.94</v>
      </c>
      <c r="BY70" s="419"/>
      <c r="BZ70" s="414"/>
      <c r="CA70" s="414"/>
      <c r="CB70" s="414"/>
      <c r="CC70" s="414"/>
      <c r="CD70" s="509"/>
      <c r="CE70" s="419"/>
      <c r="CF70" s="414"/>
      <c r="CG70" s="414"/>
      <c r="CH70" s="414"/>
      <c r="CI70" s="414"/>
      <c r="CJ70" s="509"/>
    </row>
    <row r="71" spans="1:88" s="221" customFormat="1" ht="12.75" customHeight="1">
      <c r="A71" s="153">
        <v>16</v>
      </c>
      <c r="B71" s="14">
        <v>3407</v>
      </c>
      <c r="C71" s="152">
        <v>667000089</v>
      </c>
      <c r="D71" s="152">
        <v>72743778</v>
      </c>
      <c r="E71" s="222" t="s">
        <v>41</v>
      </c>
      <c r="F71" s="14"/>
      <c r="G71" s="222"/>
      <c r="H71" s="558"/>
      <c r="I71" s="504">
        <v>15549607</v>
      </c>
      <c r="J71" s="503">
        <v>11485616</v>
      </c>
      <c r="K71" s="503">
        <v>8884929</v>
      </c>
      <c r="L71" s="503">
        <v>2600687</v>
      </c>
      <c r="M71" s="503">
        <v>0</v>
      </c>
      <c r="N71" s="503">
        <v>0</v>
      </c>
      <c r="O71" s="503">
        <v>0</v>
      </c>
      <c r="P71" s="503">
        <v>3882138</v>
      </c>
      <c r="Q71" s="503">
        <v>114857</v>
      </c>
      <c r="R71" s="503">
        <v>66996</v>
      </c>
      <c r="S71" s="543">
        <v>24.179000000000002</v>
      </c>
      <c r="T71" s="543">
        <v>15.8103</v>
      </c>
      <c r="U71" s="1084">
        <v>8.3687000000000005</v>
      </c>
      <c r="V71" s="504">
        <f t="shared" ref="V71:CG71" si="100">SUM(V68:V70)</f>
        <v>0</v>
      </c>
      <c r="W71" s="503">
        <f t="shared" si="100"/>
        <v>0</v>
      </c>
      <c r="X71" s="503">
        <f t="shared" si="100"/>
        <v>0</v>
      </c>
      <c r="Y71" s="503">
        <f t="shared" si="100"/>
        <v>0</v>
      </c>
      <c r="Z71" s="503">
        <f t="shared" si="100"/>
        <v>0</v>
      </c>
      <c r="AA71" s="503">
        <f t="shared" si="100"/>
        <v>-24801</v>
      </c>
      <c r="AB71" s="503">
        <f t="shared" si="100"/>
        <v>0</v>
      </c>
      <c r="AC71" s="503">
        <f t="shared" si="100"/>
        <v>0</v>
      </c>
      <c r="AD71" s="503">
        <f t="shared" si="100"/>
        <v>0</v>
      </c>
      <c r="AE71" s="503">
        <f t="shared" si="100"/>
        <v>0</v>
      </c>
      <c r="AF71" s="503">
        <f t="shared" si="100"/>
        <v>-24801</v>
      </c>
      <c r="AG71" s="503">
        <f t="shared" si="100"/>
        <v>-24801</v>
      </c>
      <c r="AH71" s="503">
        <f t="shared" si="100"/>
        <v>0</v>
      </c>
      <c r="AI71" s="503">
        <f t="shared" si="100"/>
        <v>0</v>
      </c>
      <c r="AJ71" s="503">
        <f t="shared" si="100"/>
        <v>0</v>
      </c>
      <c r="AK71" s="503">
        <f t="shared" si="100"/>
        <v>0</v>
      </c>
      <c r="AL71" s="503">
        <f t="shared" si="100"/>
        <v>0</v>
      </c>
      <c r="AM71" s="503">
        <f t="shared" si="100"/>
        <v>0</v>
      </c>
      <c r="AN71" s="503">
        <f t="shared" si="100"/>
        <v>0</v>
      </c>
      <c r="AO71" s="503">
        <f t="shared" si="100"/>
        <v>0</v>
      </c>
      <c r="AP71" s="503">
        <f t="shared" si="100"/>
        <v>0</v>
      </c>
      <c r="AQ71" s="503">
        <f t="shared" si="100"/>
        <v>-24801</v>
      </c>
      <c r="AR71" s="503">
        <f t="shared" si="100"/>
        <v>-24801</v>
      </c>
      <c r="AS71" s="503">
        <f t="shared" si="100"/>
        <v>-8383</v>
      </c>
      <c r="AT71" s="503">
        <f t="shared" si="100"/>
        <v>-248</v>
      </c>
      <c r="AU71" s="503">
        <f t="shared" si="100"/>
        <v>0</v>
      </c>
      <c r="AV71" s="503">
        <f t="shared" si="100"/>
        <v>0</v>
      </c>
      <c r="AW71" s="503">
        <f t="shared" si="100"/>
        <v>0</v>
      </c>
      <c r="AX71" s="503">
        <f t="shared" si="100"/>
        <v>0</v>
      </c>
      <c r="AY71" s="503">
        <f t="shared" si="100"/>
        <v>-33432</v>
      </c>
      <c r="AZ71" s="543">
        <f t="shared" si="100"/>
        <v>0</v>
      </c>
      <c r="BA71" s="543">
        <f t="shared" si="100"/>
        <v>0</v>
      </c>
      <c r="BB71" s="543">
        <f t="shared" si="100"/>
        <v>0</v>
      </c>
      <c r="BC71" s="543">
        <f t="shared" si="100"/>
        <v>0</v>
      </c>
      <c r="BD71" s="543">
        <f t="shared" si="100"/>
        <v>-0.06</v>
      </c>
      <c r="BE71" s="543">
        <f t="shared" si="100"/>
        <v>0</v>
      </c>
      <c r="BF71" s="543">
        <f t="shared" si="100"/>
        <v>0</v>
      </c>
      <c r="BG71" s="543">
        <f t="shared" si="100"/>
        <v>0</v>
      </c>
      <c r="BH71" s="543">
        <f t="shared" si="100"/>
        <v>0</v>
      </c>
      <c r="BI71" s="543">
        <f t="shared" si="100"/>
        <v>0</v>
      </c>
      <c r="BJ71" s="543">
        <f t="shared" si="100"/>
        <v>-0.06</v>
      </c>
      <c r="BK71" s="441">
        <f t="shared" si="100"/>
        <v>-0.06</v>
      </c>
      <c r="BL71" s="788">
        <f t="shared" si="100"/>
        <v>15516175</v>
      </c>
      <c r="BM71" s="503">
        <f t="shared" si="100"/>
        <v>11460815</v>
      </c>
      <c r="BN71" s="503">
        <f t="shared" si="100"/>
        <v>8884929</v>
      </c>
      <c r="BO71" s="503">
        <f t="shared" si="100"/>
        <v>2575886</v>
      </c>
      <c r="BP71" s="503">
        <f t="shared" si="100"/>
        <v>0</v>
      </c>
      <c r="BQ71" s="503">
        <f t="shared" si="100"/>
        <v>0</v>
      </c>
      <c r="BR71" s="503">
        <f t="shared" si="100"/>
        <v>0</v>
      </c>
      <c r="BS71" s="503">
        <f t="shared" si="100"/>
        <v>3873755</v>
      </c>
      <c r="BT71" s="503">
        <f t="shared" si="100"/>
        <v>114609</v>
      </c>
      <c r="BU71" s="503">
        <f t="shared" si="100"/>
        <v>66996</v>
      </c>
      <c r="BV71" s="543">
        <f t="shared" si="100"/>
        <v>24.119000000000003</v>
      </c>
      <c r="BW71" s="543">
        <f t="shared" si="100"/>
        <v>15.8103</v>
      </c>
      <c r="BX71" s="441">
        <f t="shared" si="100"/>
        <v>8.3087</v>
      </c>
      <c r="BY71" s="799">
        <f t="shared" si="100"/>
        <v>0</v>
      </c>
      <c r="BZ71" s="705">
        <f t="shared" si="100"/>
        <v>0</v>
      </c>
      <c r="CA71" s="705">
        <f t="shared" si="100"/>
        <v>0</v>
      </c>
      <c r="CB71" s="705">
        <f t="shared" si="100"/>
        <v>0</v>
      </c>
      <c r="CC71" s="705">
        <f t="shared" si="100"/>
        <v>0</v>
      </c>
      <c r="CD71" s="800">
        <f t="shared" si="100"/>
        <v>0</v>
      </c>
      <c r="CE71" s="896">
        <f t="shared" si="100"/>
        <v>566512</v>
      </c>
      <c r="CF71" s="897">
        <f t="shared" si="100"/>
        <v>405757</v>
      </c>
      <c r="CG71" s="897">
        <f t="shared" si="100"/>
        <v>137146</v>
      </c>
      <c r="CH71" s="897">
        <f t="shared" ref="CH71:CJ71" si="101">SUM(CH68:CH70)</f>
        <v>4058</v>
      </c>
      <c r="CI71" s="897">
        <f t="shared" si="101"/>
        <v>19551</v>
      </c>
      <c r="CJ71" s="898">
        <f t="shared" si="101"/>
        <v>1.4018000000000002</v>
      </c>
    </row>
    <row r="72" spans="1:88" s="221" customFormat="1" ht="12.75" customHeight="1">
      <c r="A72" s="223">
        <v>17</v>
      </c>
      <c r="B72" s="224">
        <v>3463</v>
      </c>
      <c r="C72" s="224">
        <v>691001308</v>
      </c>
      <c r="D72" s="224">
        <v>72048166</v>
      </c>
      <c r="E72" s="225" t="s">
        <v>42</v>
      </c>
      <c r="F72" s="224">
        <v>3111</v>
      </c>
      <c r="G72" s="225" t="s">
        <v>290</v>
      </c>
      <c r="H72" s="226" t="s">
        <v>271</v>
      </c>
      <c r="I72" s="419">
        <v>7663430</v>
      </c>
      <c r="J72" s="414">
        <v>5585809</v>
      </c>
      <c r="K72" s="414">
        <v>4913444</v>
      </c>
      <c r="L72" s="414">
        <v>672365</v>
      </c>
      <c r="M72" s="414">
        <v>70000</v>
      </c>
      <c r="N72" s="414">
        <v>50000</v>
      </c>
      <c r="O72" s="414">
        <v>20000</v>
      </c>
      <c r="P72" s="68">
        <v>1911663</v>
      </c>
      <c r="Q72" s="68">
        <v>55858</v>
      </c>
      <c r="R72" s="414">
        <v>40100</v>
      </c>
      <c r="S72" s="415">
        <v>10.7477</v>
      </c>
      <c r="T72" s="416">
        <v>8.4515999999999991</v>
      </c>
      <c r="U72" s="422">
        <v>2.2961</v>
      </c>
      <c r="V72" s="423">
        <f t="shared" si="2"/>
        <v>0</v>
      </c>
      <c r="W72" s="417">
        <f t="shared" si="3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4"/>
        <v>0</v>
      </c>
      <c r="AF72" s="417">
        <f t="shared" si="5"/>
        <v>0</v>
      </c>
      <c r="AG72" s="417">
        <f t="shared" si="6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7"/>
        <v>0</v>
      </c>
      <c r="AN72" s="417">
        <f t="shared" si="8"/>
        <v>0</v>
      </c>
      <c r="AO72" s="417">
        <f t="shared" si="9"/>
        <v>0</v>
      </c>
      <c r="AP72" s="417">
        <f t="shared" si="10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0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0</v>
      </c>
      <c r="BK72" s="420">
        <f t="shared" si="19"/>
        <v>0</v>
      </c>
      <c r="BL72" s="772">
        <f>I72+AY72</f>
        <v>7663430</v>
      </c>
      <c r="BM72" s="417">
        <f>J72+AG72</f>
        <v>5585809</v>
      </c>
      <c r="BN72" s="417">
        <f t="shared" ref="BN72:BO74" si="102">K72+AE72</f>
        <v>4913444</v>
      </c>
      <c r="BO72" s="417">
        <f t="shared" si="102"/>
        <v>672365</v>
      </c>
      <c r="BP72" s="417">
        <f>M72+AO72</f>
        <v>70000</v>
      </c>
      <c r="BQ72" s="417">
        <f t="shared" ref="BQ72:BR74" si="103">N72+AM72</f>
        <v>50000</v>
      </c>
      <c r="BR72" s="417">
        <f t="shared" si="103"/>
        <v>20000</v>
      </c>
      <c r="BS72" s="417">
        <f t="shared" ref="BS72:BT74" si="104">P72+AS72</f>
        <v>1911663</v>
      </c>
      <c r="BT72" s="417">
        <f t="shared" si="104"/>
        <v>55858</v>
      </c>
      <c r="BU72" s="417">
        <f>R72+AX72</f>
        <v>40100</v>
      </c>
      <c r="BV72" s="418">
        <f>S72+BK72</f>
        <v>10.7477</v>
      </c>
      <c r="BW72" s="418">
        <f t="shared" ref="BW72:BX74" si="105">T72+BI72</f>
        <v>8.4515999999999991</v>
      </c>
      <c r="BX72" s="420">
        <f t="shared" si="105"/>
        <v>2.2961</v>
      </c>
      <c r="BY72" s="419"/>
      <c r="BZ72" s="414"/>
      <c r="CA72" s="414"/>
      <c r="CB72" s="414"/>
      <c r="CC72" s="414"/>
      <c r="CD72" s="509"/>
      <c r="CE72" s="419">
        <v>312813</v>
      </c>
      <c r="CF72" s="414">
        <v>222163</v>
      </c>
      <c r="CG72" s="414">
        <v>75091</v>
      </c>
      <c r="CH72" s="414">
        <v>2222</v>
      </c>
      <c r="CI72" s="414">
        <v>13337</v>
      </c>
      <c r="CJ72" s="509">
        <v>0.75600000000000001</v>
      </c>
    </row>
    <row r="73" spans="1:88" s="221" customFormat="1">
      <c r="A73" s="223">
        <v>17</v>
      </c>
      <c r="B73" s="224">
        <v>3463</v>
      </c>
      <c r="C73" s="224">
        <v>691001308</v>
      </c>
      <c r="D73" s="224">
        <v>72048166</v>
      </c>
      <c r="E73" s="225" t="s">
        <v>42</v>
      </c>
      <c r="F73" s="224">
        <v>3111</v>
      </c>
      <c r="G73" s="225" t="s">
        <v>291</v>
      </c>
      <c r="H73" s="226" t="s">
        <v>272</v>
      </c>
      <c r="I73" s="419">
        <v>1658254</v>
      </c>
      <c r="J73" s="414">
        <v>1227933</v>
      </c>
      <c r="K73" s="414">
        <v>1227933</v>
      </c>
      <c r="L73" s="414">
        <v>0</v>
      </c>
      <c r="M73" s="414">
        <v>0</v>
      </c>
      <c r="N73" s="414">
        <v>0</v>
      </c>
      <c r="O73" s="414">
        <v>0</v>
      </c>
      <c r="P73" s="68">
        <v>415042</v>
      </c>
      <c r="Q73" s="68">
        <v>12279</v>
      </c>
      <c r="R73" s="414">
        <v>3000</v>
      </c>
      <c r="S73" s="415">
        <v>3.23</v>
      </c>
      <c r="T73" s="416">
        <v>3.23</v>
      </c>
      <c r="U73" s="422">
        <v>0</v>
      </c>
      <c r="V73" s="423">
        <f t="shared" si="2"/>
        <v>0</v>
      </c>
      <c r="W73" s="417">
        <f t="shared" si="3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4"/>
        <v>0</v>
      </c>
      <c r="AF73" s="417">
        <f t="shared" si="5"/>
        <v>0</v>
      </c>
      <c r="AG73" s="417">
        <f t="shared" si="6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7"/>
        <v>0</v>
      </c>
      <c r="AN73" s="417">
        <f t="shared" si="8"/>
        <v>0</v>
      </c>
      <c r="AO73" s="417">
        <f t="shared" si="9"/>
        <v>0</v>
      </c>
      <c r="AP73" s="417">
        <f t="shared" si="10"/>
        <v>0</v>
      </c>
      <c r="AQ73" s="417">
        <f t="shared" si="11"/>
        <v>0</v>
      </c>
      <c r="AR73" s="417">
        <f t="shared" si="12"/>
        <v>0</v>
      </c>
      <c r="AS73" s="68">
        <f t="shared" si="13"/>
        <v>0</v>
      </c>
      <c r="AT73" s="68">
        <f t="shared" si="14"/>
        <v>0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</v>
      </c>
      <c r="BJ73" s="418">
        <f t="shared" si="18"/>
        <v>0</v>
      </c>
      <c r="BK73" s="420">
        <f t="shared" si="19"/>
        <v>0</v>
      </c>
      <c r="BL73" s="772">
        <f>I73+AY73</f>
        <v>1658254</v>
      </c>
      <c r="BM73" s="417">
        <f>J73+AG73</f>
        <v>1227933</v>
      </c>
      <c r="BN73" s="417">
        <f t="shared" si="102"/>
        <v>1227933</v>
      </c>
      <c r="BO73" s="417">
        <f t="shared" si="102"/>
        <v>0</v>
      </c>
      <c r="BP73" s="417">
        <f>M73+AO73</f>
        <v>0</v>
      </c>
      <c r="BQ73" s="417">
        <f t="shared" si="103"/>
        <v>0</v>
      </c>
      <c r="BR73" s="417">
        <f t="shared" si="103"/>
        <v>0</v>
      </c>
      <c r="BS73" s="417">
        <f t="shared" si="104"/>
        <v>415042</v>
      </c>
      <c r="BT73" s="417">
        <f t="shared" si="104"/>
        <v>12279</v>
      </c>
      <c r="BU73" s="417">
        <f>R73+AX73</f>
        <v>3000</v>
      </c>
      <c r="BV73" s="418">
        <f>S73+BK73</f>
        <v>3.23</v>
      </c>
      <c r="BW73" s="418">
        <f t="shared" si="105"/>
        <v>3.23</v>
      </c>
      <c r="BX73" s="420">
        <f t="shared" si="105"/>
        <v>0</v>
      </c>
      <c r="BY73" s="419"/>
      <c r="BZ73" s="414"/>
      <c r="CA73" s="414"/>
      <c r="CB73" s="414"/>
      <c r="CC73" s="414"/>
      <c r="CD73" s="509"/>
      <c r="CE73" s="419"/>
      <c r="CF73" s="414"/>
      <c r="CG73" s="414"/>
      <c r="CH73" s="414"/>
      <c r="CI73" s="414"/>
      <c r="CJ73" s="509"/>
    </row>
    <row r="74" spans="1:88" s="221" customFormat="1" ht="12.75" customHeight="1">
      <c r="A74" s="223">
        <v>17</v>
      </c>
      <c r="B74" s="224">
        <v>3463</v>
      </c>
      <c r="C74" s="224">
        <v>691001308</v>
      </c>
      <c r="D74" s="224">
        <v>72048166</v>
      </c>
      <c r="E74" s="225" t="s">
        <v>42</v>
      </c>
      <c r="F74" s="224">
        <v>3141</v>
      </c>
      <c r="G74" s="225" t="s">
        <v>294</v>
      </c>
      <c r="H74" s="226" t="s">
        <v>272</v>
      </c>
      <c r="I74" s="419">
        <v>1037686</v>
      </c>
      <c r="J74" s="414">
        <v>761362</v>
      </c>
      <c r="K74" s="414">
        <v>0</v>
      </c>
      <c r="L74" s="414">
        <v>761362</v>
      </c>
      <c r="M74" s="414">
        <v>5000</v>
      </c>
      <c r="N74" s="414">
        <v>0</v>
      </c>
      <c r="O74" s="414">
        <v>5000</v>
      </c>
      <c r="P74" s="68">
        <v>259031</v>
      </c>
      <c r="Q74" s="68">
        <v>7613</v>
      </c>
      <c r="R74" s="414">
        <v>4680</v>
      </c>
      <c r="S74" s="415">
        <v>2.2999999999999998</v>
      </c>
      <c r="T74" s="416">
        <v>0</v>
      </c>
      <c r="U74" s="422">
        <v>2.2999999999999998</v>
      </c>
      <c r="V74" s="423">
        <f t="shared" si="2"/>
        <v>0</v>
      </c>
      <c r="W74" s="417">
        <f t="shared" si="3"/>
        <v>0</v>
      </c>
      <c r="X74" s="417">
        <v>0</v>
      </c>
      <c r="Y74" s="417">
        <v>0</v>
      </c>
      <c r="Z74" s="417">
        <v>0</v>
      </c>
      <c r="AA74" s="417">
        <v>-1987</v>
      </c>
      <c r="AB74" s="417">
        <v>0</v>
      </c>
      <c r="AC74" s="417">
        <v>0</v>
      </c>
      <c r="AD74" s="417">
        <v>0</v>
      </c>
      <c r="AE74" s="417">
        <f t="shared" si="4"/>
        <v>0</v>
      </c>
      <c r="AF74" s="417">
        <f t="shared" si="5"/>
        <v>-1987</v>
      </c>
      <c r="AG74" s="417">
        <f t="shared" si="6"/>
        <v>-1987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7"/>
        <v>0</v>
      </c>
      <c r="AN74" s="417">
        <f t="shared" si="8"/>
        <v>0</v>
      </c>
      <c r="AO74" s="417">
        <f t="shared" si="9"/>
        <v>0</v>
      </c>
      <c r="AP74" s="417">
        <f t="shared" si="10"/>
        <v>0</v>
      </c>
      <c r="AQ74" s="417">
        <f t="shared" si="11"/>
        <v>-1987</v>
      </c>
      <c r="AR74" s="417">
        <f t="shared" si="12"/>
        <v>-1987</v>
      </c>
      <c r="AS74" s="68">
        <f t="shared" si="13"/>
        <v>-672</v>
      </c>
      <c r="AT74" s="68">
        <f t="shared" si="14"/>
        <v>-20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-2679</v>
      </c>
      <c r="AZ74" s="418">
        <v>0</v>
      </c>
      <c r="BA74" s="418">
        <v>0</v>
      </c>
      <c r="BB74" s="418">
        <v>0</v>
      </c>
      <c r="BC74" s="418">
        <v>0</v>
      </c>
      <c r="BD74" s="418">
        <v>-0.01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-0.01</v>
      </c>
      <c r="BK74" s="420">
        <f t="shared" si="19"/>
        <v>-0.01</v>
      </c>
      <c r="BL74" s="772">
        <f>I74+AY74</f>
        <v>1035007</v>
      </c>
      <c r="BM74" s="417">
        <f>J74+AG74</f>
        <v>759375</v>
      </c>
      <c r="BN74" s="417">
        <f t="shared" si="102"/>
        <v>0</v>
      </c>
      <c r="BO74" s="417">
        <f t="shared" si="102"/>
        <v>759375</v>
      </c>
      <c r="BP74" s="417">
        <f>M74+AO74</f>
        <v>5000</v>
      </c>
      <c r="BQ74" s="417">
        <f t="shared" si="103"/>
        <v>0</v>
      </c>
      <c r="BR74" s="417">
        <f t="shared" si="103"/>
        <v>5000</v>
      </c>
      <c r="BS74" s="417">
        <f t="shared" si="104"/>
        <v>258359</v>
      </c>
      <c r="BT74" s="417">
        <f t="shared" si="104"/>
        <v>7593</v>
      </c>
      <c r="BU74" s="417">
        <f>R74+AX74</f>
        <v>4680</v>
      </c>
      <c r="BV74" s="418">
        <f>S74+BK74</f>
        <v>2.29</v>
      </c>
      <c r="BW74" s="418">
        <f t="shared" si="105"/>
        <v>0</v>
      </c>
      <c r="BX74" s="420">
        <f t="shared" si="105"/>
        <v>2.29</v>
      </c>
      <c r="BY74" s="419"/>
      <c r="BZ74" s="414"/>
      <c r="CA74" s="414"/>
      <c r="CB74" s="414"/>
      <c r="CC74" s="414"/>
      <c r="CD74" s="509"/>
      <c r="CE74" s="419"/>
      <c r="CF74" s="601"/>
      <c r="CG74" s="414"/>
      <c r="CH74" s="414"/>
      <c r="CI74" s="601"/>
      <c r="CJ74" s="603"/>
    </row>
    <row r="75" spans="1:88" s="221" customFormat="1" ht="12.75" customHeight="1">
      <c r="A75" s="153">
        <v>17</v>
      </c>
      <c r="B75" s="14">
        <v>3463</v>
      </c>
      <c r="C75" s="152">
        <v>691001308</v>
      </c>
      <c r="D75" s="152">
        <v>72048166</v>
      </c>
      <c r="E75" s="222" t="s">
        <v>43</v>
      </c>
      <c r="F75" s="14"/>
      <c r="G75" s="222"/>
      <c r="H75" s="558"/>
      <c r="I75" s="504">
        <v>10359370</v>
      </c>
      <c r="J75" s="503">
        <v>7575104</v>
      </c>
      <c r="K75" s="503">
        <v>6141377</v>
      </c>
      <c r="L75" s="503">
        <v>1433727</v>
      </c>
      <c r="M75" s="503">
        <v>75000</v>
      </c>
      <c r="N75" s="503">
        <v>50000</v>
      </c>
      <c r="O75" s="503">
        <v>25000</v>
      </c>
      <c r="P75" s="503">
        <v>2585736</v>
      </c>
      <c r="Q75" s="503">
        <v>75750</v>
      </c>
      <c r="R75" s="503">
        <v>47780</v>
      </c>
      <c r="S75" s="543">
        <v>16.277699999999999</v>
      </c>
      <c r="T75" s="543">
        <v>11.6816</v>
      </c>
      <c r="U75" s="1084">
        <v>4.5960999999999999</v>
      </c>
      <c r="V75" s="504">
        <f t="shared" ref="V75:CG75" si="106">SUM(V72:V74)</f>
        <v>0</v>
      </c>
      <c r="W75" s="503">
        <f t="shared" si="106"/>
        <v>0</v>
      </c>
      <c r="X75" s="503">
        <f t="shared" si="106"/>
        <v>0</v>
      </c>
      <c r="Y75" s="503">
        <f t="shared" si="106"/>
        <v>0</v>
      </c>
      <c r="Z75" s="503">
        <f t="shared" si="106"/>
        <v>0</v>
      </c>
      <c r="AA75" s="503">
        <f t="shared" si="106"/>
        <v>-1987</v>
      </c>
      <c r="AB75" s="503">
        <f t="shared" si="106"/>
        <v>0</v>
      </c>
      <c r="AC75" s="503">
        <f t="shared" si="106"/>
        <v>0</v>
      </c>
      <c r="AD75" s="503">
        <f t="shared" si="106"/>
        <v>0</v>
      </c>
      <c r="AE75" s="503">
        <f t="shared" si="106"/>
        <v>0</v>
      </c>
      <c r="AF75" s="503">
        <f t="shared" si="106"/>
        <v>-1987</v>
      </c>
      <c r="AG75" s="503">
        <f t="shared" si="106"/>
        <v>-1987</v>
      </c>
      <c r="AH75" s="503">
        <f t="shared" si="106"/>
        <v>0</v>
      </c>
      <c r="AI75" s="503">
        <f t="shared" si="106"/>
        <v>0</v>
      </c>
      <c r="AJ75" s="503">
        <f t="shared" si="106"/>
        <v>0</v>
      </c>
      <c r="AK75" s="503">
        <f t="shared" si="106"/>
        <v>0</v>
      </c>
      <c r="AL75" s="503">
        <f t="shared" si="106"/>
        <v>0</v>
      </c>
      <c r="AM75" s="503">
        <f t="shared" si="106"/>
        <v>0</v>
      </c>
      <c r="AN75" s="503">
        <f t="shared" si="106"/>
        <v>0</v>
      </c>
      <c r="AO75" s="503">
        <f t="shared" si="106"/>
        <v>0</v>
      </c>
      <c r="AP75" s="503">
        <f t="shared" si="106"/>
        <v>0</v>
      </c>
      <c r="AQ75" s="503">
        <f t="shared" si="106"/>
        <v>-1987</v>
      </c>
      <c r="AR75" s="503">
        <f t="shared" si="106"/>
        <v>-1987</v>
      </c>
      <c r="AS75" s="503">
        <f t="shared" si="106"/>
        <v>-672</v>
      </c>
      <c r="AT75" s="503">
        <f t="shared" si="106"/>
        <v>-20</v>
      </c>
      <c r="AU75" s="503">
        <f t="shared" si="106"/>
        <v>0</v>
      </c>
      <c r="AV75" s="503">
        <f t="shared" si="106"/>
        <v>0</v>
      </c>
      <c r="AW75" s="503">
        <f t="shared" si="106"/>
        <v>0</v>
      </c>
      <c r="AX75" s="503">
        <f t="shared" si="106"/>
        <v>0</v>
      </c>
      <c r="AY75" s="503">
        <f t="shared" si="106"/>
        <v>-2679</v>
      </c>
      <c r="AZ75" s="543">
        <f t="shared" si="106"/>
        <v>0</v>
      </c>
      <c r="BA75" s="543">
        <f t="shared" si="106"/>
        <v>0</v>
      </c>
      <c r="BB75" s="543">
        <f t="shared" si="106"/>
        <v>0</v>
      </c>
      <c r="BC75" s="543">
        <f t="shared" si="106"/>
        <v>0</v>
      </c>
      <c r="BD75" s="543">
        <f t="shared" si="106"/>
        <v>-0.01</v>
      </c>
      <c r="BE75" s="543">
        <f t="shared" si="106"/>
        <v>0</v>
      </c>
      <c r="BF75" s="543">
        <f t="shared" si="106"/>
        <v>0</v>
      </c>
      <c r="BG75" s="543">
        <f t="shared" si="106"/>
        <v>0</v>
      </c>
      <c r="BH75" s="543">
        <f t="shared" si="106"/>
        <v>0</v>
      </c>
      <c r="BI75" s="543">
        <f t="shared" si="106"/>
        <v>0</v>
      </c>
      <c r="BJ75" s="543">
        <f t="shared" si="106"/>
        <v>-0.01</v>
      </c>
      <c r="BK75" s="441">
        <f t="shared" si="106"/>
        <v>-0.01</v>
      </c>
      <c r="BL75" s="788">
        <f t="shared" si="106"/>
        <v>10356691</v>
      </c>
      <c r="BM75" s="503">
        <f t="shared" si="106"/>
        <v>7573117</v>
      </c>
      <c r="BN75" s="503">
        <f t="shared" si="106"/>
        <v>6141377</v>
      </c>
      <c r="BO75" s="503">
        <f t="shared" si="106"/>
        <v>1431740</v>
      </c>
      <c r="BP75" s="503">
        <f t="shared" si="106"/>
        <v>75000</v>
      </c>
      <c r="BQ75" s="503">
        <f t="shared" si="106"/>
        <v>50000</v>
      </c>
      <c r="BR75" s="503">
        <f t="shared" si="106"/>
        <v>25000</v>
      </c>
      <c r="BS75" s="503">
        <f t="shared" si="106"/>
        <v>2585064</v>
      </c>
      <c r="BT75" s="503">
        <f t="shared" si="106"/>
        <v>75730</v>
      </c>
      <c r="BU75" s="503">
        <f t="shared" si="106"/>
        <v>47780</v>
      </c>
      <c r="BV75" s="543">
        <f t="shared" si="106"/>
        <v>16.267700000000001</v>
      </c>
      <c r="BW75" s="543">
        <f t="shared" si="106"/>
        <v>11.6816</v>
      </c>
      <c r="BX75" s="441">
        <f t="shared" si="106"/>
        <v>4.5861000000000001</v>
      </c>
      <c r="BY75" s="799">
        <f t="shared" si="106"/>
        <v>0</v>
      </c>
      <c r="BZ75" s="705">
        <f t="shared" si="106"/>
        <v>0</v>
      </c>
      <c r="CA75" s="705">
        <f t="shared" si="106"/>
        <v>0</v>
      </c>
      <c r="CB75" s="705">
        <f t="shared" si="106"/>
        <v>0</v>
      </c>
      <c r="CC75" s="705">
        <f t="shared" si="106"/>
        <v>0</v>
      </c>
      <c r="CD75" s="800">
        <f t="shared" si="106"/>
        <v>0</v>
      </c>
      <c r="CE75" s="896">
        <f t="shared" si="106"/>
        <v>312813</v>
      </c>
      <c r="CF75" s="897">
        <f t="shared" si="106"/>
        <v>222163</v>
      </c>
      <c r="CG75" s="897">
        <f t="shared" si="106"/>
        <v>75091</v>
      </c>
      <c r="CH75" s="897">
        <f t="shared" ref="CH75:CJ75" si="107">SUM(CH72:CH74)</f>
        <v>2222</v>
      </c>
      <c r="CI75" s="897">
        <f t="shared" si="107"/>
        <v>13337</v>
      </c>
      <c r="CJ75" s="898">
        <f t="shared" si="107"/>
        <v>0.75600000000000001</v>
      </c>
    </row>
    <row r="76" spans="1:88" s="221" customFormat="1" ht="12.75" customHeight="1">
      <c r="A76" s="223">
        <v>18</v>
      </c>
      <c r="B76" s="224">
        <v>3460</v>
      </c>
      <c r="C76" s="224">
        <v>691000387</v>
      </c>
      <c r="D76" s="224">
        <v>86797034</v>
      </c>
      <c r="E76" s="225" t="s">
        <v>44</v>
      </c>
      <c r="F76" s="224">
        <v>3111</v>
      </c>
      <c r="G76" s="225" t="s">
        <v>290</v>
      </c>
      <c r="H76" s="226" t="s">
        <v>271</v>
      </c>
      <c r="I76" s="419">
        <v>7019213</v>
      </c>
      <c r="J76" s="414">
        <v>5177903</v>
      </c>
      <c r="K76" s="414">
        <v>4524774</v>
      </c>
      <c r="L76" s="414">
        <v>653129</v>
      </c>
      <c r="M76" s="414">
        <v>0</v>
      </c>
      <c r="N76" s="414">
        <v>0</v>
      </c>
      <c r="O76" s="414">
        <v>0</v>
      </c>
      <c r="P76" s="68">
        <v>1750131</v>
      </c>
      <c r="Q76" s="68">
        <v>51779</v>
      </c>
      <c r="R76" s="414">
        <v>39400</v>
      </c>
      <c r="S76" s="415">
        <v>10.2957</v>
      </c>
      <c r="T76" s="416">
        <v>8.0968</v>
      </c>
      <c r="U76" s="422">
        <v>2.1989000000000001</v>
      </c>
      <c r="V76" s="423">
        <f t="shared" si="2"/>
        <v>0</v>
      </c>
      <c r="W76" s="417">
        <f t="shared" si="3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4"/>
        <v>0</v>
      </c>
      <c r="AF76" s="417">
        <f t="shared" si="5"/>
        <v>0</v>
      </c>
      <c r="AG76" s="417">
        <f t="shared" si="6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7"/>
        <v>0</v>
      </c>
      <c r="AN76" s="417">
        <f t="shared" si="8"/>
        <v>0</v>
      </c>
      <c r="AO76" s="417">
        <f t="shared" si="9"/>
        <v>0</v>
      </c>
      <c r="AP76" s="417">
        <f t="shared" si="10"/>
        <v>0</v>
      </c>
      <c r="AQ76" s="417">
        <f t="shared" si="11"/>
        <v>0</v>
      </c>
      <c r="AR76" s="417">
        <f t="shared" si="12"/>
        <v>0</v>
      </c>
      <c r="AS76" s="68">
        <f t="shared" si="13"/>
        <v>0</v>
      </c>
      <c r="AT76" s="68">
        <f t="shared" si="14"/>
        <v>0</v>
      </c>
      <c r="AU76" s="417">
        <v>0</v>
      </c>
      <c r="AV76" s="417">
        <v>0</v>
      </c>
      <c r="AW76" s="417">
        <v>0</v>
      </c>
      <c r="AX76" s="417">
        <f t="shared" si="15"/>
        <v>0</v>
      </c>
      <c r="AY76" s="417">
        <f t="shared" si="16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7"/>
        <v>0</v>
      </c>
      <c r="BJ76" s="418">
        <f t="shared" si="18"/>
        <v>0</v>
      </c>
      <c r="BK76" s="420">
        <f t="shared" si="19"/>
        <v>0</v>
      </c>
      <c r="BL76" s="772">
        <f>I76+AY76</f>
        <v>7019213</v>
      </c>
      <c r="BM76" s="417">
        <f>J76+AG76</f>
        <v>5177903</v>
      </c>
      <c r="BN76" s="417">
        <f t="shared" ref="BN76:BO78" si="108">K76+AE76</f>
        <v>4524774</v>
      </c>
      <c r="BO76" s="417">
        <f t="shared" si="108"/>
        <v>653129</v>
      </c>
      <c r="BP76" s="417">
        <f>M76+AO76</f>
        <v>0</v>
      </c>
      <c r="BQ76" s="417">
        <f t="shared" ref="BQ76:BR78" si="109">N76+AM76</f>
        <v>0</v>
      </c>
      <c r="BR76" s="417">
        <f t="shared" si="109"/>
        <v>0</v>
      </c>
      <c r="BS76" s="417">
        <f t="shared" ref="BS76:BT78" si="110">P76+AS76</f>
        <v>1750131</v>
      </c>
      <c r="BT76" s="417">
        <f t="shared" si="110"/>
        <v>51779</v>
      </c>
      <c r="BU76" s="417">
        <f>R76+AX76</f>
        <v>39400</v>
      </c>
      <c r="BV76" s="418">
        <f>S76+BK76</f>
        <v>10.2957</v>
      </c>
      <c r="BW76" s="418">
        <f t="shared" ref="BW76:BX78" si="111">T76+BI76</f>
        <v>8.0968</v>
      </c>
      <c r="BX76" s="420">
        <f t="shared" si="111"/>
        <v>2.1989000000000001</v>
      </c>
      <c r="BY76" s="419"/>
      <c r="BZ76" s="414"/>
      <c r="CA76" s="414"/>
      <c r="CB76" s="414"/>
      <c r="CC76" s="414"/>
      <c r="CD76" s="509"/>
      <c r="CE76" s="419">
        <v>295626</v>
      </c>
      <c r="CF76" s="414">
        <v>209583</v>
      </c>
      <c r="CG76" s="414">
        <v>70839</v>
      </c>
      <c r="CH76" s="414">
        <v>2096</v>
      </c>
      <c r="CI76" s="414">
        <v>13108</v>
      </c>
      <c r="CJ76" s="509">
        <v>0.7056</v>
      </c>
    </row>
    <row r="77" spans="1:88" s="221" customFormat="1" ht="12.75" customHeight="1">
      <c r="A77" s="223">
        <v>18</v>
      </c>
      <c r="B77" s="224">
        <v>3460</v>
      </c>
      <c r="C77" s="224">
        <v>691000387</v>
      </c>
      <c r="D77" s="224">
        <v>86797034</v>
      </c>
      <c r="E77" s="225" t="s">
        <v>44</v>
      </c>
      <c r="F77" s="224">
        <v>3111</v>
      </c>
      <c r="G77" s="225" t="s">
        <v>291</v>
      </c>
      <c r="H77" s="226" t="s">
        <v>272</v>
      </c>
      <c r="I77" s="419">
        <v>301986</v>
      </c>
      <c r="J77" s="414">
        <v>224026</v>
      </c>
      <c r="K77" s="414">
        <v>224026</v>
      </c>
      <c r="L77" s="414">
        <v>0</v>
      </c>
      <c r="M77" s="414">
        <v>0</v>
      </c>
      <c r="N77" s="414">
        <v>0</v>
      </c>
      <c r="O77" s="414">
        <v>0</v>
      </c>
      <c r="P77" s="68">
        <v>75720</v>
      </c>
      <c r="Q77" s="68">
        <v>2240</v>
      </c>
      <c r="R77" s="414">
        <v>0</v>
      </c>
      <c r="S77" s="415">
        <v>0.61</v>
      </c>
      <c r="T77" s="416">
        <v>0.61</v>
      </c>
      <c r="U77" s="422">
        <v>0</v>
      </c>
      <c r="V77" s="423">
        <f t="shared" ref="V77:V139" si="112">AH77*-1</f>
        <v>0</v>
      </c>
      <c r="W77" s="417">
        <f t="shared" ref="W77:W139" si="113">AI77*-1</f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ref="AE77:AE139" si="114">V77+X77+Y77+Z77+AC77</f>
        <v>0</v>
      </c>
      <c r="AF77" s="417">
        <f t="shared" ref="AF77:AF139" si="115">W77+AA77+AD77+AB77</f>
        <v>0</v>
      </c>
      <c r="AG77" s="417">
        <f t="shared" ref="AG77:AG139" si="116">SUM(AE77:AF77)</f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139" si="117">AH77+AJ77+AK77</f>
        <v>0</v>
      </c>
      <c r="AN77" s="417">
        <f t="shared" ref="AN77:AN139" si="118">AI77+AL77</f>
        <v>0</v>
      </c>
      <c r="AO77" s="417">
        <f t="shared" ref="AO77:AO139" si="119">SUM(AM77:AN77)</f>
        <v>0</v>
      </c>
      <c r="AP77" s="417">
        <f t="shared" ref="AP77:AP139" si="120">AE77+AM77</f>
        <v>0</v>
      </c>
      <c r="AQ77" s="417">
        <f t="shared" ref="AQ77:AQ139" si="121">AF77+AN77</f>
        <v>0</v>
      </c>
      <c r="AR77" s="417">
        <f t="shared" ref="AR77:AR139" si="122">SUM(AP77:AQ77)</f>
        <v>0</v>
      </c>
      <c r="AS77" s="68">
        <f t="shared" ref="AS77:AS139" si="123">ROUND((AG77+AH77+AI77+AJ77)*33.8%,0)</f>
        <v>0</v>
      </c>
      <c r="AT77" s="68">
        <f t="shared" ref="AT77:AT139" si="124">ROUND(AG77*1%,0)</f>
        <v>0</v>
      </c>
      <c r="AU77" s="417">
        <v>0</v>
      </c>
      <c r="AV77" s="417">
        <v>0</v>
      </c>
      <c r="AW77" s="417">
        <v>0</v>
      </c>
      <c r="AX77" s="417">
        <f t="shared" ref="AX77:AX139" si="125">SUM(AU77:AW77)</f>
        <v>0</v>
      </c>
      <c r="AY77" s="417">
        <f t="shared" ref="AY77:AY139" si="126">AR77+AS77+AT77+AX77</f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ref="BI77:BI139" si="127">AZ77+BB77+BC77+BE77+BG77</f>
        <v>0</v>
      </c>
      <c r="BJ77" s="418">
        <f t="shared" ref="BJ77:BJ139" si="128">BA77+BD77+BH77+BF77</f>
        <v>0</v>
      </c>
      <c r="BK77" s="420">
        <f t="shared" ref="BK77:BK139" si="129">SUM(BI77:BJ77)</f>
        <v>0</v>
      </c>
      <c r="BL77" s="772">
        <f>I77+AY77</f>
        <v>301986</v>
      </c>
      <c r="BM77" s="417">
        <f>J77+AG77</f>
        <v>224026</v>
      </c>
      <c r="BN77" s="417">
        <f t="shared" si="108"/>
        <v>224026</v>
      </c>
      <c r="BO77" s="417">
        <f t="shared" si="108"/>
        <v>0</v>
      </c>
      <c r="BP77" s="417">
        <f>M77+AO77</f>
        <v>0</v>
      </c>
      <c r="BQ77" s="417">
        <f t="shared" si="109"/>
        <v>0</v>
      </c>
      <c r="BR77" s="417">
        <f t="shared" si="109"/>
        <v>0</v>
      </c>
      <c r="BS77" s="417">
        <f t="shared" si="110"/>
        <v>75720</v>
      </c>
      <c r="BT77" s="417">
        <f t="shared" si="110"/>
        <v>2240</v>
      </c>
      <c r="BU77" s="417">
        <f>R77+AX77</f>
        <v>0</v>
      </c>
      <c r="BV77" s="418">
        <f>S77+BK77</f>
        <v>0.61</v>
      </c>
      <c r="BW77" s="418">
        <f t="shared" si="111"/>
        <v>0.61</v>
      </c>
      <c r="BX77" s="420">
        <f t="shared" si="111"/>
        <v>0</v>
      </c>
      <c r="BY77" s="419"/>
      <c r="BZ77" s="414"/>
      <c r="CA77" s="414"/>
      <c r="CB77" s="414"/>
      <c r="CC77" s="414"/>
      <c r="CD77" s="509"/>
      <c r="CE77" s="419"/>
      <c r="CF77" s="414"/>
      <c r="CG77" s="414"/>
      <c r="CH77" s="414"/>
      <c r="CI77" s="414"/>
      <c r="CJ77" s="509"/>
    </row>
    <row r="78" spans="1:88" s="221" customFormat="1" ht="12.75" customHeight="1">
      <c r="A78" s="223">
        <v>18</v>
      </c>
      <c r="B78" s="224">
        <v>3460</v>
      </c>
      <c r="C78" s="224">
        <v>691000387</v>
      </c>
      <c r="D78" s="224">
        <v>86797034</v>
      </c>
      <c r="E78" s="225" t="s">
        <v>44</v>
      </c>
      <c r="F78" s="224">
        <v>3141</v>
      </c>
      <c r="G78" s="225" t="s">
        <v>294</v>
      </c>
      <c r="H78" s="226" t="s">
        <v>272</v>
      </c>
      <c r="I78" s="419">
        <v>923594</v>
      </c>
      <c r="J78" s="414">
        <v>682227</v>
      </c>
      <c r="K78" s="414">
        <v>0</v>
      </c>
      <c r="L78" s="414">
        <v>682227</v>
      </c>
      <c r="M78" s="414">
        <v>0</v>
      </c>
      <c r="N78" s="414">
        <v>0</v>
      </c>
      <c r="O78" s="414">
        <v>0</v>
      </c>
      <c r="P78" s="68">
        <v>230592</v>
      </c>
      <c r="Q78" s="68">
        <v>6823</v>
      </c>
      <c r="R78" s="414">
        <v>3952</v>
      </c>
      <c r="S78" s="415">
        <v>2.0500000000000003</v>
      </c>
      <c r="T78" s="416">
        <v>0</v>
      </c>
      <c r="U78" s="422">
        <v>2.0500000000000003</v>
      </c>
      <c r="V78" s="423">
        <f t="shared" si="112"/>
        <v>0</v>
      </c>
      <c r="W78" s="417">
        <f t="shared" si="113"/>
        <v>0</v>
      </c>
      <c r="X78" s="417">
        <v>0</v>
      </c>
      <c r="Y78" s="417">
        <v>0</v>
      </c>
      <c r="Z78" s="417">
        <v>0</v>
      </c>
      <c r="AA78" s="417">
        <v>43876</v>
      </c>
      <c r="AB78" s="417">
        <v>0</v>
      </c>
      <c r="AC78" s="417">
        <v>0</v>
      </c>
      <c r="AD78" s="417">
        <v>0</v>
      </c>
      <c r="AE78" s="417">
        <f t="shared" si="114"/>
        <v>0</v>
      </c>
      <c r="AF78" s="417">
        <f t="shared" si="115"/>
        <v>43876</v>
      </c>
      <c r="AG78" s="417">
        <f t="shared" si="116"/>
        <v>43876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si="117"/>
        <v>0</v>
      </c>
      <c r="AN78" s="417">
        <f t="shared" si="118"/>
        <v>0</v>
      </c>
      <c r="AO78" s="417">
        <f t="shared" si="119"/>
        <v>0</v>
      </c>
      <c r="AP78" s="417">
        <f t="shared" si="120"/>
        <v>0</v>
      </c>
      <c r="AQ78" s="417">
        <f t="shared" si="121"/>
        <v>43876</v>
      </c>
      <c r="AR78" s="417">
        <f t="shared" si="122"/>
        <v>43876</v>
      </c>
      <c r="AS78" s="68">
        <f t="shared" si="123"/>
        <v>14830</v>
      </c>
      <c r="AT78" s="68">
        <f t="shared" si="124"/>
        <v>439</v>
      </c>
      <c r="AU78" s="417">
        <v>0</v>
      </c>
      <c r="AV78" s="417">
        <v>0</v>
      </c>
      <c r="AW78" s="417">
        <v>0</v>
      </c>
      <c r="AX78" s="417">
        <f t="shared" si="125"/>
        <v>0</v>
      </c>
      <c r="AY78" s="417">
        <f t="shared" si="126"/>
        <v>59145</v>
      </c>
      <c r="AZ78" s="418">
        <v>0</v>
      </c>
      <c r="BA78" s="418">
        <v>0</v>
      </c>
      <c r="BB78" s="418">
        <v>0</v>
      </c>
      <c r="BC78" s="418">
        <v>0</v>
      </c>
      <c r="BD78" s="418">
        <v>0.13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si="127"/>
        <v>0</v>
      </c>
      <c r="BJ78" s="418">
        <f t="shared" si="128"/>
        <v>0.13</v>
      </c>
      <c r="BK78" s="420">
        <f t="shared" si="129"/>
        <v>0.13</v>
      </c>
      <c r="BL78" s="772">
        <f>I78+AY78</f>
        <v>982739</v>
      </c>
      <c r="BM78" s="417">
        <f>J78+AG78</f>
        <v>726103</v>
      </c>
      <c r="BN78" s="417">
        <f t="shared" si="108"/>
        <v>0</v>
      </c>
      <c r="BO78" s="417">
        <f t="shared" si="108"/>
        <v>726103</v>
      </c>
      <c r="BP78" s="417">
        <f>M78+AO78</f>
        <v>0</v>
      </c>
      <c r="BQ78" s="417">
        <f t="shared" si="109"/>
        <v>0</v>
      </c>
      <c r="BR78" s="417">
        <f t="shared" si="109"/>
        <v>0</v>
      </c>
      <c r="BS78" s="417">
        <f t="shared" si="110"/>
        <v>245422</v>
      </c>
      <c r="BT78" s="417">
        <f t="shared" si="110"/>
        <v>7262</v>
      </c>
      <c r="BU78" s="417">
        <f>R78+AX78</f>
        <v>3952</v>
      </c>
      <c r="BV78" s="418">
        <f>S78+BK78</f>
        <v>2.1800000000000002</v>
      </c>
      <c r="BW78" s="418">
        <f t="shared" si="111"/>
        <v>0</v>
      </c>
      <c r="BX78" s="420">
        <f t="shared" si="111"/>
        <v>2.1800000000000002</v>
      </c>
      <c r="BY78" s="419"/>
      <c r="BZ78" s="414"/>
      <c r="CA78" s="414"/>
      <c r="CB78" s="414"/>
      <c r="CC78" s="414"/>
      <c r="CD78" s="509"/>
      <c r="CE78" s="419"/>
      <c r="CF78" s="601"/>
      <c r="CG78" s="414"/>
      <c r="CH78" s="414"/>
      <c r="CI78" s="601"/>
      <c r="CJ78" s="603"/>
    </row>
    <row r="79" spans="1:88" s="221" customFormat="1" ht="12.75" customHeight="1">
      <c r="A79" s="153">
        <v>18</v>
      </c>
      <c r="B79" s="14">
        <v>3460</v>
      </c>
      <c r="C79" s="152">
        <v>691000387</v>
      </c>
      <c r="D79" s="152">
        <v>86797034</v>
      </c>
      <c r="E79" s="222" t="s">
        <v>45</v>
      </c>
      <c r="F79" s="14"/>
      <c r="G79" s="222"/>
      <c r="H79" s="558"/>
      <c r="I79" s="504">
        <v>8244793</v>
      </c>
      <c r="J79" s="503">
        <v>6084156</v>
      </c>
      <c r="K79" s="503">
        <v>4748800</v>
      </c>
      <c r="L79" s="503">
        <v>1335356</v>
      </c>
      <c r="M79" s="503">
        <v>0</v>
      </c>
      <c r="N79" s="503">
        <v>0</v>
      </c>
      <c r="O79" s="503">
        <v>0</v>
      </c>
      <c r="P79" s="503">
        <v>2056443</v>
      </c>
      <c r="Q79" s="503">
        <v>60842</v>
      </c>
      <c r="R79" s="503">
        <v>43352</v>
      </c>
      <c r="S79" s="543">
        <v>12.9557</v>
      </c>
      <c r="T79" s="543">
        <v>8.7067999999999994</v>
      </c>
      <c r="U79" s="1084">
        <v>4.2489000000000008</v>
      </c>
      <c r="V79" s="504">
        <f t="shared" ref="V79:CG79" si="130">SUM(V76:V78)</f>
        <v>0</v>
      </c>
      <c r="W79" s="503">
        <f t="shared" si="130"/>
        <v>0</v>
      </c>
      <c r="X79" s="503">
        <f t="shared" si="130"/>
        <v>0</v>
      </c>
      <c r="Y79" s="503">
        <f t="shared" si="130"/>
        <v>0</v>
      </c>
      <c r="Z79" s="503">
        <f t="shared" si="130"/>
        <v>0</v>
      </c>
      <c r="AA79" s="503">
        <f t="shared" si="130"/>
        <v>43876</v>
      </c>
      <c r="AB79" s="503">
        <f t="shared" si="130"/>
        <v>0</v>
      </c>
      <c r="AC79" s="503">
        <f t="shared" si="130"/>
        <v>0</v>
      </c>
      <c r="AD79" s="503">
        <f t="shared" si="130"/>
        <v>0</v>
      </c>
      <c r="AE79" s="503">
        <f t="shared" si="130"/>
        <v>0</v>
      </c>
      <c r="AF79" s="503">
        <f t="shared" si="130"/>
        <v>43876</v>
      </c>
      <c r="AG79" s="503">
        <f t="shared" si="130"/>
        <v>43876</v>
      </c>
      <c r="AH79" s="503">
        <f t="shared" si="130"/>
        <v>0</v>
      </c>
      <c r="AI79" s="503">
        <f t="shared" si="130"/>
        <v>0</v>
      </c>
      <c r="AJ79" s="503">
        <f t="shared" si="130"/>
        <v>0</v>
      </c>
      <c r="AK79" s="503">
        <f t="shared" si="130"/>
        <v>0</v>
      </c>
      <c r="AL79" s="503">
        <f t="shared" si="130"/>
        <v>0</v>
      </c>
      <c r="AM79" s="503">
        <f t="shared" si="130"/>
        <v>0</v>
      </c>
      <c r="AN79" s="503">
        <f t="shared" si="130"/>
        <v>0</v>
      </c>
      <c r="AO79" s="503">
        <f t="shared" si="130"/>
        <v>0</v>
      </c>
      <c r="AP79" s="503">
        <f t="shared" si="130"/>
        <v>0</v>
      </c>
      <c r="AQ79" s="503">
        <f t="shared" si="130"/>
        <v>43876</v>
      </c>
      <c r="AR79" s="503">
        <f t="shared" si="130"/>
        <v>43876</v>
      </c>
      <c r="AS79" s="503">
        <f t="shared" si="130"/>
        <v>14830</v>
      </c>
      <c r="AT79" s="503">
        <f t="shared" si="130"/>
        <v>439</v>
      </c>
      <c r="AU79" s="503">
        <f t="shared" si="130"/>
        <v>0</v>
      </c>
      <c r="AV79" s="503">
        <f t="shared" si="130"/>
        <v>0</v>
      </c>
      <c r="AW79" s="503">
        <f t="shared" si="130"/>
        <v>0</v>
      </c>
      <c r="AX79" s="503">
        <f t="shared" si="130"/>
        <v>0</v>
      </c>
      <c r="AY79" s="503">
        <f t="shared" si="130"/>
        <v>59145</v>
      </c>
      <c r="AZ79" s="543">
        <f t="shared" si="130"/>
        <v>0</v>
      </c>
      <c r="BA79" s="543">
        <f t="shared" si="130"/>
        <v>0</v>
      </c>
      <c r="BB79" s="543">
        <f t="shared" si="130"/>
        <v>0</v>
      </c>
      <c r="BC79" s="543">
        <f t="shared" si="130"/>
        <v>0</v>
      </c>
      <c r="BD79" s="543">
        <f t="shared" si="130"/>
        <v>0.13</v>
      </c>
      <c r="BE79" s="543">
        <f t="shared" si="130"/>
        <v>0</v>
      </c>
      <c r="BF79" s="543">
        <f t="shared" si="130"/>
        <v>0</v>
      </c>
      <c r="BG79" s="543">
        <f t="shared" si="130"/>
        <v>0</v>
      </c>
      <c r="BH79" s="543">
        <f t="shared" si="130"/>
        <v>0</v>
      </c>
      <c r="BI79" s="543">
        <f t="shared" si="130"/>
        <v>0</v>
      </c>
      <c r="BJ79" s="543">
        <f t="shared" si="130"/>
        <v>0.13</v>
      </c>
      <c r="BK79" s="441">
        <f t="shared" si="130"/>
        <v>0.13</v>
      </c>
      <c r="BL79" s="788">
        <f t="shared" si="130"/>
        <v>8303938</v>
      </c>
      <c r="BM79" s="503">
        <f t="shared" si="130"/>
        <v>6128032</v>
      </c>
      <c r="BN79" s="503">
        <f t="shared" si="130"/>
        <v>4748800</v>
      </c>
      <c r="BO79" s="503">
        <f t="shared" si="130"/>
        <v>1379232</v>
      </c>
      <c r="BP79" s="503">
        <f t="shared" si="130"/>
        <v>0</v>
      </c>
      <c r="BQ79" s="503">
        <f t="shared" si="130"/>
        <v>0</v>
      </c>
      <c r="BR79" s="503">
        <f t="shared" si="130"/>
        <v>0</v>
      </c>
      <c r="BS79" s="503">
        <f t="shared" si="130"/>
        <v>2071273</v>
      </c>
      <c r="BT79" s="503">
        <f t="shared" si="130"/>
        <v>61281</v>
      </c>
      <c r="BU79" s="503">
        <f t="shared" si="130"/>
        <v>43352</v>
      </c>
      <c r="BV79" s="543">
        <f t="shared" si="130"/>
        <v>13.085699999999999</v>
      </c>
      <c r="BW79" s="543">
        <f t="shared" si="130"/>
        <v>8.7067999999999994</v>
      </c>
      <c r="BX79" s="441">
        <f t="shared" si="130"/>
        <v>4.3788999999999998</v>
      </c>
      <c r="BY79" s="799">
        <f t="shared" si="130"/>
        <v>0</v>
      </c>
      <c r="BZ79" s="705">
        <f t="shared" si="130"/>
        <v>0</v>
      </c>
      <c r="CA79" s="705">
        <f t="shared" si="130"/>
        <v>0</v>
      </c>
      <c r="CB79" s="705">
        <f t="shared" si="130"/>
        <v>0</v>
      </c>
      <c r="CC79" s="705">
        <f t="shared" si="130"/>
        <v>0</v>
      </c>
      <c r="CD79" s="800">
        <f t="shared" si="130"/>
        <v>0</v>
      </c>
      <c r="CE79" s="896">
        <f t="shared" si="130"/>
        <v>295626</v>
      </c>
      <c r="CF79" s="897">
        <f t="shared" si="130"/>
        <v>209583</v>
      </c>
      <c r="CG79" s="897">
        <f t="shared" si="130"/>
        <v>70839</v>
      </c>
      <c r="CH79" s="897">
        <f t="shared" ref="CH79:CJ79" si="131">SUM(CH76:CH78)</f>
        <v>2096</v>
      </c>
      <c r="CI79" s="897">
        <f t="shared" si="131"/>
        <v>13108</v>
      </c>
      <c r="CJ79" s="898">
        <f t="shared" si="131"/>
        <v>0.7056</v>
      </c>
    </row>
    <row r="80" spans="1:88" s="221" customFormat="1" ht="12.75" customHeight="1">
      <c r="A80" s="223">
        <v>19</v>
      </c>
      <c r="B80" s="224">
        <v>3413</v>
      </c>
      <c r="C80" s="224">
        <v>600077918</v>
      </c>
      <c r="D80" s="224">
        <v>72743433</v>
      </c>
      <c r="E80" s="225" t="s">
        <v>273</v>
      </c>
      <c r="F80" s="224">
        <v>3111</v>
      </c>
      <c r="G80" s="225" t="s">
        <v>290</v>
      </c>
      <c r="H80" s="226" t="s">
        <v>271</v>
      </c>
      <c r="I80" s="419">
        <v>12186022</v>
      </c>
      <c r="J80" s="414">
        <v>8992784</v>
      </c>
      <c r="K80" s="414">
        <v>7792963</v>
      </c>
      <c r="L80" s="414">
        <v>1199821</v>
      </c>
      <c r="M80" s="414">
        <v>0</v>
      </c>
      <c r="N80" s="414">
        <v>0</v>
      </c>
      <c r="O80" s="414">
        <v>0</v>
      </c>
      <c r="P80" s="68">
        <v>3039561</v>
      </c>
      <c r="Q80" s="68">
        <v>89927</v>
      </c>
      <c r="R80" s="414">
        <v>63750</v>
      </c>
      <c r="S80" s="415">
        <v>16.881899999999998</v>
      </c>
      <c r="T80" s="416">
        <v>12.7097</v>
      </c>
      <c r="U80" s="422">
        <v>4.1722000000000001</v>
      </c>
      <c r="V80" s="423">
        <f t="shared" si="112"/>
        <v>0</v>
      </c>
      <c r="W80" s="417">
        <f t="shared" si="113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14"/>
        <v>0</v>
      </c>
      <c r="AF80" s="417">
        <f t="shared" si="115"/>
        <v>0</v>
      </c>
      <c r="AG80" s="417">
        <f t="shared" si="116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7"/>
        <v>0</v>
      </c>
      <c r="AN80" s="417">
        <f t="shared" si="118"/>
        <v>0</v>
      </c>
      <c r="AO80" s="417">
        <f t="shared" si="119"/>
        <v>0</v>
      </c>
      <c r="AP80" s="417">
        <f t="shared" si="120"/>
        <v>0</v>
      </c>
      <c r="AQ80" s="417">
        <f t="shared" si="121"/>
        <v>0</v>
      </c>
      <c r="AR80" s="417">
        <f t="shared" si="122"/>
        <v>0</v>
      </c>
      <c r="AS80" s="68">
        <f t="shared" si="123"/>
        <v>0</v>
      </c>
      <c r="AT80" s="68">
        <f t="shared" si="124"/>
        <v>0</v>
      </c>
      <c r="AU80" s="417">
        <v>0</v>
      </c>
      <c r="AV80" s="417">
        <v>0</v>
      </c>
      <c r="AW80" s="417">
        <v>0</v>
      </c>
      <c r="AX80" s="417">
        <f t="shared" si="125"/>
        <v>0</v>
      </c>
      <c r="AY80" s="417">
        <f t="shared" si="126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27"/>
        <v>0</v>
      </c>
      <c r="BJ80" s="418">
        <f t="shared" si="128"/>
        <v>0</v>
      </c>
      <c r="BK80" s="420">
        <f t="shared" si="129"/>
        <v>0</v>
      </c>
      <c r="BL80" s="772">
        <f>I80+AY80</f>
        <v>12186022</v>
      </c>
      <c r="BM80" s="417">
        <f>J80+AG80</f>
        <v>8992784</v>
      </c>
      <c r="BN80" s="417">
        <f t="shared" ref="BN80:BO83" si="132">K80+AE80</f>
        <v>7792963</v>
      </c>
      <c r="BO80" s="417">
        <f t="shared" si="132"/>
        <v>1199821</v>
      </c>
      <c r="BP80" s="417">
        <f>M80+AO80</f>
        <v>0</v>
      </c>
      <c r="BQ80" s="417">
        <f t="shared" ref="BQ80:BR83" si="133">N80+AM80</f>
        <v>0</v>
      </c>
      <c r="BR80" s="417">
        <f t="shared" si="133"/>
        <v>0</v>
      </c>
      <c r="BS80" s="417">
        <f t="shared" ref="BS80:BT83" si="134">P80+AS80</f>
        <v>3039561</v>
      </c>
      <c r="BT80" s="417">
        <f t="shared" si="134"/>
        <v>89927</v>
      </c>
      <c r="BU80" s="417">
        <f>R80+AX80</f>
        <v>63750</v>
      </c>
      <c r="BV80" s="418">
        <f>S80+BK80</f>
        <v>16.881899999999998</v>
      </c>
      <c r="BW80" s="418">
        <f t="shared" ref="BW80:BX83" si="135">T80+BI80</f>
        <v>12.7097</v>
      </c>
      <c r="BX80" s="420">
        <f t="shared" si="135"/>
        <v>4.1722000000000001</v>
      </c>
      <c r="BY80" s="419"/>
      <c r="BZ80" s="414"/>
      <c r="CA80" s="414"/>
      <c r="CB80" s="414"/>
      <c r="CC80" s="414"/>
      <c r="CD80" s="509"/>
      <c r="CE80" s="419">
        <v>540231</v>
      </c>
      <c r="CF80" s="414">
        <v>385013</v>
      </c>
      <c r="CG80" s="414">
        <v>130134</v>
      </c>
      <c r="CH80" s="414">
        <v>3850</v>
      </c>
      <c r="CI80" s="414">
        <v>21234</v>
      </c>
      <c r="CJ80" s="509">
        <v>1.3388</v>
      </c>
    </row>
    <row r="81" spans="1:88" s="221" customFormat="1" ht="12.75" customHeight="1">
      <c r="A81" s="223">
        <v>19</v>
      </c>
      <c r="B81" s="224">
        <v>3413</v>
      </c>
      <c r="C81" s="224">
        <v>600077918</v>
      </c>
      <c r="D81" s="224">
        <v>72743433</v>
      </c>
      <c r="E81" s="225" t="s">
        <v>273</v>
      </c>
      <c r="F81" s="224">
        <v>3111</v>
      </c>
      <c r="G81" s="225" t="s">
        <v>292</v>
      </c>
      <c r="H81" s="226" t="s">
        <v>271</v>
      </c>
      <c r="I81" s="419">
        <v>2004692</v>
      </c>
      <c r="J81" s="414">
        <v>1487160</v>
      </c>
      <c r="K81" s="414">
        <v>1487160</v>
      </c>
      <c r="L81" s="414">
        <v>0</v>
      </c>
      <c r="M81" s="414">
        <v>0</v>
      </c>
      <c r="N81" s="414">
        <v>0</v>
      </c>
      <c r="O81" s="414">
        <v>0</v>
      </c>
      <c r="P81" s="68">
        <v>502660</v>
      </c>
      <c r="Q81" s="68">
        <v>14872</v>
      </c>
      <c r="R81" s="414">
        <v>0</v>
      </c>
      <c r="S81" s="415">
        <v>4</v>
      </c>
      <c r="T81" s="416">
        <v>4</v>
      </c>
      <c r="U81" s="422">
        <v>0</v>
      </c>
      <c r="V81" s="423">
        <f t="shared" si="112"/>
        <v>0</v>
      </c>
      <c r="W81" s="417">
        <f t="shared" si="113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14"/>
        <v>0</v>
      </c>
      <c r="AF81" s="417">
        <f t="shared" si="115"/>
        <v>0</v>
      </c>
      <c r="AG81" s="417">
        <f t="shared" si="116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17"/>
        <v>0</v>
      </c>
      <c r="AN81" s="417">
        <f t="shared" si="118"/>
        <v>0</v>
      </c>
      <c r="AO81" s="417">
        <f t="shared" si="119"/>
        <v>0</v>
      </c>
      <c r="AP81" s="417">
        <f t="shared" si="120"/>
        <v>0</v>
      </c>
      <c r="AQ81" s="417">
        <f t="shared" si="121"/>
        <v>0</v>
      </c>
      <c r="AR81" s="417">
        <f t="shared" si="122"/>
        <v>0</v>
      </c>
      <c r="AS81" s="68">
        <f t="shared" si="123"/>
        <v>0</v>
      </c>
      <c r="AT81" s="68">
        <f t="shared" si="124"/>
        <v>0</v>
      </c>
      <c r="AU81" s="417">
        <v>0</v>
      </c>
      <c r="AV81" s="417">
        <v>0</v>
      </c>
      <c r="AW81" s="417">
        <v>0</v>
      </c>
      <c r="AX81" s="417">
        <f t="shared" si="125"/>
        <v>0</v>
      </c>
      <c r="AY81" s="417">
        <f t="shared" si="126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27"/>
        <v>0</v>
      </c>
      <c r="BJ81" s="418">
        <f t="shared" si="128"/>
        <v>0</v>
      </c>
      <c r="BK81" s="420">
        <f t="shared" si="129"/>
        <v>0</v>
      </c>
      <c r="BL81" s="772">
        <f>I81+AY81</f>
        <v>2004692</v>
      </c>
      <c r="BM81" s="417">
        <f>J81+AG81</f>
        <v>1487160</v>
      </c>
      <c r="BN81" s="417">
        <f t="shared" si="132"/>
        <v>1487160</v>
      </c>
      <c r="BO81" s="417">
        <f t="shared" si="132"/>
        <v>0</v>
      </c>
      <c r="BP81" s="417">
        <f>M81+AO81</f>
        <v>0</v>
      </c>
      <c r="BQ81" s="417">
        <f t="shared" si="133"/>
        <v>0</v>
      </c>
      <c r="BR81" s="417">
        <f t="shared" si="133"/>
        <v>0</v>
      </c>
      <c r="BS81" s="417">
        <f t="shared" si="134"/>
        <v>502660</v>
      </c>
      <c r="BT81" s="417">
        <f t="shared" si="134"/>
        <v>14872</v>
      </c>
      <c r="BU81" s="417">
        <f>R81+AX81</f>
        <v>0</v>
      </c>
      <c r="BV81" s="418">
        <f>S81+BK81</f>
        <v>4</v>
      </c>
      <c r="BW81" s="418">
        <f t="shared" si="135"/>
        <v>4</v>
      </c>
      <c r="BX81" s="420">
        <f t="shared" si="135"/>
        <v>0</v>
      </c>
      <c r="BY81" s="419"/>
      <c r="BZ81" s="414"/>
      <c r="CA81" s="414"/>
      <c r="CB81" s="414"/>
      <c r="CC81" s="414"/>
      <c r="CD81" s="509"/>
      <c r="CE81" s="419"/>
      <c r="CF81" s="414"/>
      <c r="CG81" s="414"/>
      <c r="CH81" s="414"/>
      <c r="CI81" s="414"/>
      <c r="CJ81" s="509"/>
    </row>
    <row r="82" spans="1:88" s="221" customFormat="1">
      <c r="A82" s="223">
        <v>19</v>
      </c>
      <c r="B82" s="224">
        <v>3413</v>
      </c>
      <c r="C82" s="224">
        <v>600077918</v>
      </c>
      <c r="D82" s="224">
        <v>72743433</v>
      </c>
      <c r="E82" s="225" t="s">
        <v>273</v>
      </c>
      <c r="F82" s="224">
        <v>3111</v>
      </c>
      <c r="G82" s="225" t="s">
        <v>291</v>
      </c>
      <c r="H82" s="226" t="s">
        <v>272</v>
      </c>
      <c r="I82" s="419">
        <v>166613</v>
      </c>
      <c r="J82" s="414">
        <v>123600</v>
      </c>
      <c r="K82" s="414">
        <v>123600</v>
      </c>
      <c r="L82" s="414">
        <v>0</v>
      </c>
      <c r="M82" s="414">
        <v>0</v>
      </c>
      <c r="N82" s="414">
        <v>0</v>
      </c>
      <c r="O82" s="414">
        <v>0</v>
      </c>
      <c r="P82" s="68">
        <v>41777</v>
      </c>
      <c r="Q82" s="68">
        <v>1236</v>
      </c>
      <c r="R82" s="414">
        <v>0</v>
      </c>
      <c r="S82" s="415">
        <v>0.33</v>
      </c>
      <c r="T82" s="416">
        <v>0.33</v>
      </c>
      <c r="U82" s="422">
        <v>0</v>
      </c>
      <c r="V82" s="423">
        <f t="shared" si="112"/>
        <v>0</v>
      </c>
      <c r="W82" s="417">
        <f t="shared" si="113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14"/>
        <v>0</v>
      </c>
      <c r="AF82" s="417">
        <f t="shared" si="115"/>
        <v>0</v>
      </c>
      <c r="AG82" s="417">
        <f t="shared" si="116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17"/>
        <v>0</v>
      </c>
      <c r="AN82" s="417">
        <f t="shared" si="118"/>
        <v>0</v>
      </c>
      <c r="AO82" s="417">
        <f t="shared" si="119"/>
        <v>0</v>
      </c>
      <c r="AP82" s="417">
        <f t="shared" si="120"/>
        <v>0</v>
      </c>
      <c r="AQ82" s="417">
        <f t="shared" si="121"/>
        <v>0</v>
      </c>
      <c r="AR82" s="417">
        <f t="shared" si="122"/>
        <v>0</v>
      </c>
      <c r="AS82" s="68">
        <f t="shared" si="123"/>
        <v>0</v>
      </c>
      <c r="AT82" s="68">
        <f t="shared" si="124"/>
        <v>0</v>
      </c>
      <c r="AU82" s="417">
        <v>0</v>
      </c>
      <c r="AV82" s="417">
        <v>0</v>
      </c>
      <c r="AW82" s="417">
        <v>0</v>
      </c>
      <c r="AX82" s="417">
        <f t="shared" si="125"/>
        <v>0</v>
      </c>
      <c r="AY82" s="417">
        <f t="shared" si="126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27"/>
        <v>0</v>
      </c>
      <c r="BJ82" s="418">
        <f t="shared" si="128"/>
        <v>0</v>
      </c>
      <c r="BK82" s="420">
        <f t="shared" si="129"/>
        <v>0</v>
      </c>
      <c r="BL82" s="772">
        <f>I82+AY82</f>
        <v>166613</v>
      </c>
      <c r="BM82" s="417">
        <f>J82+AG82</f>
        <v>123600</v>
      </c>
      <c r="BN82" s="417">
        <f t="shared" si="132"/>
        <v>123600</v>
      </c>
      <c r="BO82" s="417">
        <f t="shared" si="132"/>
        <v>0</v>
      </c>
      <c r="BP82" s="417">
        <f>M82+AO82</f>
        <v>0</v>
      </c>
      <c r="BQ82" s="417">
        <f t="shared" si="133"/>
        <v>0</v>
      </c>
      <c r="BR82" s="417">
        <f t="shared" si="133"/>
        <v>0</v>
      </c>
      <c r="BS82" s="417">
        <f t="shared" si="134"/>
        <v>41777</v>
      </c>
      <c r="BT82" s="417">
        <f t="shared" si="134"/>
        <v>1236</v>
      </c>
      <c r="BU82" s="417">
        <f>R82+AX82</f>
        <v>0</v>
      </c>
      <c r="BV82" s="418">
        <f>S82+BK82</f>
        <v>0.33</v>
      </c>
      <c r="BW82" s="418">
        <f t="shared" si="135"/>
        <v>0.33</v>
      </c>
      <c r="BX82" s="420">
        <f t="shared" si="135"/>
        <v>0</v>
      </c>
      <c r="BY82" s="419"/>
      <c r="BZ82" s="414"/>
      <c r="CA82" s="414"/>
      <c r="CB82" s="414"/>
      <c r="CC82" s="414"/>
      <c r="CD82" s="509"/>
      <c r="CE82" s="419"/>
      <c r="CF82" s="414"/>
      <c r="CG82" s="414"/>
      <c r="CH82" s="414"/>
      <c r="CI82" s="414"/>
      <c r="CJ82" s="509"/>
    </row>
    <row r="83" spans="1:88" s="221" customFormat="1" ht="12.75" customHeight="1">
      <c r="A83" s="223">
        <v>19</v>
      </c>
      <c r="B83" s="224">
        <v>3413</v>
      </c>
      <c r="C83" s="224">
        <v>600077918</v>
      </c>
      <c r="D83" s="224">
        <v>72743433</v>
      </c>
      <c r="E83" s="225" t="s">
        <v>273</v>
      </c>
      <c r="F83" s="224">
        <v>3141</v>
      </c>
      <c r="G83" s="225" t="s">
        <v>294</v>
      </c>
      <c r="H83" s="226" t="s">
        <v>272</v>
      </c>
      <c r="I83" s="419">
        <v>1324439</v>
      </c>
      <c r="J83" s="414">
        <v>978400</v>
      </c>
      <c r="K83" s="414">
        <v>0</v>
      </c>
      <c r="L83" s="414">
        <v>978400</v>
      </c>
      <c r="M83" s="414">
        <v>0</v>
      </c>
      <c r="N83" s="414">
        <v>0</v>
      </c>
      <c r="O83" s="414">
        <v>0</v>
      </c>
      <c r="P83" s="68">
        <v>330699</v>
      </c>
      <c r="Q83" s="68">
        <v>9784</v>
      </c>
      <c r="R83" s="414">
        <v>5556</v>
      </c>
      <c r="S83" s="415">
        <v>2.9299999999999997</v>
      </c>
      <c r="T83" s="416">
        <v>0</v>
      </c>
      <c r="U83" s="422">
        <v>2.9299999999999997</v>
      </c>
      <c r="V83" s="423">
        <f t="shared" si="112"/>
        <v>0</v>
      </c>
      <c r="W83" s="417">
        <f t="shared" si="113"/>
        <v>0</v>
      </c>
      <c r="X83" s="417">
        <v>0</v>
      </c>
      <c r="Y83" s="417">
        <v>0</v>
      </c>
      <c r="Z83" s="417">
        <v>0</v>
      </c>
      <c r="AA83" s="417">
        <v>-14639</v>
      </c>
      <c r="AB83" s="417">
        <v>0</v>
      </c>
      <c r="AC83" s="417">
        <v>0</v>
      </c>
      <c r="AD83" s="417">
        <v>0</v>
      </c>
      <c r="AE83" s="417">
        <f t="shared" si="114"/>
        <v>0</v>
      </c>
      <c r="AF83" s="417">
        <f t="shared" si="115"/>
        <v>-14639</v>
      </c>
      <c r="AG83" s="417">
        <f t="shared" si="116"/>
        <v>-14639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17"/>
        <v>0</v>
      </c>
      <c r="AN83" s="417">
        <f t="shared" si="118"/>
        <v>0</v>
      </c>
      <c r="AO83" s="417">
        <f t="shared" si="119"/>
        <v>0</v>
      </c>
      <c r="AP83" s="417">
        <f t="shared" si="120"/>
        <v>0</v>
      </c>
      <c r="AQ83" s="417">
        <f t="shared" si="121"/>
        <v>-14639</v>
      </c>
      <c r="AR83" s="417">
        <f t="shared" si="122"/>
        <v>-14639</v>
      </c>
      <c r="AS83" s="68">
        <f t="shared" si="123"/>
        <v>-4948</v>
      </c>
      <c r="AT83" s="68">
        <f t="shared" si="124"/>
        <v>-146</v>
      </c>
      <c r="AU83" s="417">
        <v>0</v>
      </c>
      <c r="AV83" s="417">
        <v>0</v>
      </c>
      <c r="AW83" s="417">
        <v>0</v>
      </c>
      <c r="AX83" s="417">
        <f t="shared" si="125"/>
        <v>0</v>
      </c>
      <c r="AY83" s="417">
        <f t="shared" si="126"/>
        <v>-19733</v>
      </c>
      <c r="AZ83" s="418">
        <v>0</v>
      </c>
      <c r="BA83" s="418">
        <v>0</v>
      </c>
      <c r="BB83" s="418">
        <v>0</v>
      </c>
      <c r="BC83" s="418">
        <v>0</v>
      </c>
      <c r="BD83" s="418">
        <v>-0.04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27"/>
        <v>0</v>
      </c>
      <c r="BJ83" s="418">
        <f t="shared" si="128"/>
        <v>-0.04</v>
      </c>
      <c r="BK83" s="420">
        <f t="shared" si="129"/>
        <v>-0.04</v>
      </c>
      <c r="BL83" s="772">
        <f>I83+AY83</f>
        <v>1304706</v>
      </c>
      <c r="BM83" s="417">
        <f>J83+AG83</f>
        <v>963761</v>
      </c>
      <c r="BN83" s="417">
        <f t="shared" si="132"/>
        <v>0</v>
      </c>
      <c r="BO83" s="417">
        <f t="shared" si="132"/>
        <v>963761</v>
      </c>
      <c r="BP83" s="417">
        <f>M83+AO83</f>
        <v>0</v>
      </c>
      <c r="BQ83" s="417">
        <f t="shared" si="133"/>
        <v>0</v>
      </c>
      <c r="BR83" s="417">
        <f t="shared" si="133"/>
        <v>0</v>
      </c>
      <c r="BS83" s="417">
        <f t="shared" si="134"/>
        <v>325751</v>
      </c>
      <c r="BT83" s="417">
        <f t="shared" si="134"/>
        <v>9638</v>
      </c>
      <c r="BU83" s="417">
        <f>R83+AX83</f>
        <v>5556</v>
      </c>
      <c r="BV83" s="418">
        <f>S83+BK83</f>
        <v>2.8899999999999997</v>
      </c>
      <c r="BW83" s="418">
        <f t="shared" si="135"/>
        <v>0</v>
      </c>
      <c r="BX83" s="420">
        <f t="shared" si="135"/>
        <v>2.8899999999999997</v>
      </c>
      <c r="BY83" s="419"/>
      <c r="BZ83" s="414"/>
      <c r="CA83" s="414"/>
      <c r="CB83" s="414"/>
      <c r="CC83" s="414"/>
      <c r="CD83" s="509"/>
      <c r="CE83" s="419"/>
      <c r="CF83" s="414"/>
      <c r="CG83" s="414"/>
      <c r="CH83" s="414"/>
      <c r="CI83" s="414"/>
      <c r="CJ83" s="509"/>
    </row>
    <row r="84" spans="1:88" s="221" customFormat="1" ht="12.75" customHeight="1">
      <c r="A84" s="153">
        <v>19</v>
      </c>
      <c r="B84" s="14">
        <v>3413</v>
      </c>
      <c r="C84" s="152">
        <v>600077918</v>
      </c>
      <c r="D84" s="152">
        <v>72743433</v>
      </c>
      <c r="E84" s="222" t="s">
        <v>46</v>
      </c>
      <c r="F84" s="14"/>
      <c r="G84" s="222"/>
      <c r="H84" s="558"/>
      <c r="I84" s="504">
        <v>15681766</v>
      </c>
      <c r="J84" s="503">
        <v>11581944</v>
      </c>
      <c r="K84" s="503">
        <v>9403723</v>
      </c>
      <c r="L84" s="503">
        <v>2178221</v>
      </c>
      <c r="M84" s="503">
        <v>0</v>
      </c>
      <c r="N84" s="503">
        <v>0</v>
      </c>
      <c r="O84" s="503">
        <v>0</v>
      </c>
      <c r="P84" s="503">
        <v>3914697</v>
      </c>
      <c r="Q84" s="503">
        <v>115819</v>
      </c>
      <c r="R84" s="503">
        <v>69306</v>
      </c>
      <c r="S84" s="543">
        <v>24.141899999999996</v>
      </c>
      <c r="T84" s="543">
        <v>17.039699999999996</v>
      </c>
      <c r="U84" s="1084">
        <v>7.1021999999999998</v>
      </c>
      <c r="V84" s="504">
        <f t="shared" ref="V84:CG84" si="136">SUM(V80:V83)</f>
        <v>0</v>
      </c>
      <c r="W84" s="503">
        <f t="shared" si="136"/>
        <v>0</v>
      </c>
      <c r="X84" s="503">
        <f t="shared" si="136"/>
        <v>0</v>
      </c>
      <c r="Y84" s="503">
        <f t="shared" si="136"/>
        <v>0</v>
      </c>
      <c r="Z84" s="503">
        <f t="shared" si="136"/>
        <v>0</v>
      </c>
      <c r="AA84" s="503">
        <f t="shared" si="136"/>
        <v>-14639</v>
      </c>
      <c r="AB84" s="503">
        <f t="shared" si="136"/>
        <v>0</v>
      </c>
      <c r="AC84" s="503">
        <f t="shared" si="136"/>
        <v>0</v>
      </c>
      <c r="AD84" s="503">
        <f t="shared" si="136"/>
        <v>0</v>
      </c>
      <c r="AE84" s="503">
        <f t="shared" si="136"/>
        <v>0</v>
      </c>
      <c r="AF84" s="503">
        <f t="shared" si="136"/>
        <v>-14639</v>
      </c>
      <c r="AG84" s="503">
        <f t="shared" si="136"/>
        <v>-14639</v>
      </c>
      <c r="AH84" s="503">
        <f t="shared" si="136"/>
        <v>0</v>
      </c>
      <c r="AI84" s="503">
        <f t="shared" si="136"/>
        <v>0</v>
      </c>
      <c r="AJ84" s="503">
        <f t="shared" si="136"/>
        <v>0</v>
      </c>
      <c r="AK84" s="503">
        <f t="shared" si="136"/>
        <v>0</v>
      </c>
      <c r="AL84" s="503">
        <f t="shared" si="136"/>
        <v>0</v>
      </c>
      <c r="AM84" s="503">
        <f t="shared" si="136"/>
        <v>0</v>
      </c>
      <c r="AN84" s="503">
        <f t="shared" si="136"/>
        <v>0</v>
      </c>
      <c r="AO84" s="503">
        <f t="shared" si="136"/>
        <v>0</v>
      </c>
      <c r="AP84" s="503">
        <f t="shared" si="136"/>
        <v>0</v>
      </c>
      <c r="AQ84" s="503">
        <f t="shared" si="136"/>
        <v>-14639</v>
      </c>
      <c r="AR84" s="503">
        <f t="shared" si="136"/>
        <v>-14639</v>
      </c>
      <c r="AS84" s="503">
        <f t="shared" si="136"/>
        <v>-4948</v>
      </c>
      <c r="AT84" s="503">
        <f t="shared" si="136"/>
        <v>-146</v>
      </c>
      <c r="AU84" s="503">
        <f t="shared" si="136"/>
        <v>0</v>
      </c>
      <c r="AV84" s="503">
        <f t="shared" si="136"/>
        <v>0</v>
      </c>
      <c r="AW84" s="503">
        <f t="shared" si="136"/>
        <v>0</v>
      </c>
      <c r="AX84" s="503">
        <f t="shared" si="136"/>
        <v>0</v>
      </c>
      <c r="AY84" s="503">
        <f t="shared" si="136"/>
        <v>-19733</v>
      </c>
      <c r="AZ84" s="543">
        <f t="shared" si="136"/>
        <v>0</v>
      </c>
      <c r="BA84" s="543">
        <f t="shared" si="136"/>
        <v>0</v>
      </c>
      <c r="BB84" s="543">
        <f t="shared" si="136"/>
        <v>0</v>
      </c>
      <c r="BC84" s="543">
        <f t="shared" si="136"/>
        <v>0</v>
      </c>
      <c r="BD84" s="543">
        <f t="shared" si="136"/>
        <v>-0.04</v>
      </c>
      <c r="BE84" s="543">
        <f t="shared" si="136"/>
        <v>0</v>
      </c>
      <c r="BF84" s="543">
        <f t="shared" si="136"/>
        <v>0</v>
      </c>
      <c r="BG84" s="543">
        <f t="shared" si="136"/>
        <v>0</v>
      </c>
      <c r="BH84" s="543">
        <f t="shared" si="136"/>
        <v>0</v>
      </c>
      <c r="BI84" s="543">
        <f t="shared" si="136"/>
        <v>0</v>
      </c>
      <c r="BJ84" s="543">
        <f t="shared" si="136"/>
        <v>-0.04</v>
      </c>
      <c r="BK84" s="441">
        <f t="shared" si="136"/>
        <v>-0.04</v>
      </c>
      <c r="BL84" s="788">
        <f t="shared" si="136"/>
        <v>15662033</v>
      </c>
      <c r="BM84" s="503">
        <f t="shared" si="136"/>
        <v>11567305</v>
      </c>
      <c r="BN84" s="503">
        <f t="shared" si="136"/>
        <v>9403723</v>
      </c>
      <c r="BO84" s="503">
        <f t="shared" si="136"/>
        <v>2163582</v>
      </c>
      <c r="BP84" s="503">
        <f t="shared" si="136"/>
        <v>0</v>
      </c>
      <c r="BQ84" s="503">
        <f t="shared" si="136"/>
        <v>0</v>
      </c>
      <c r="BR84" s="503">
        <f t="shared" si="136"/>
        <v>0</v>
      </c>
      <c r="BS84" s="503">
        <f t="shared" si="136"/>
        <v>3909749</v>
      </c>
      <c r="BT84" s="503">
        <f t="shared" si="136"/>
        <v>115673</v>
      </c>
      <c r="BU84" s="503">
        <f t="shared" si="136"/>
        <v>69306</v>
      </c>
      <c r="BV84" s="543">
        <f t="shared" si="136"/>
        <v>24.101899999999997</v>
      </c>
      <c r="BW84" s="543">
        <f t="shared" si="136"/>
        <v>17.039699999999996</v>
      </c>
      <c r="BX84" s="441">
        <f t="shared" si="136"/>
        <v>7.0621999999999998</v>
      </c>
      <c r="BY84" s="799">
        <f t="shared" si="136"/>
        <v>0</v>
      </c>
      <c r="BZ84" s="705">
        <f t="shared" si="136"/>
        <v>0</v>
      </c>
      <c r="CA84" s="705">
        <f t="shared" si="136"/>
        <v>0</v>
      </c>
      <c r="CB84" s="705">
        <f t="shared" si="136"/>
        <v>0</v>
      </c>
      <c r="CC84" s="705">
        <f t="shared" si="136"/>
        <v>0</v>
      </c>
      <c r="CD84" s="800">
        <f t="shared" si="136"/>
        <v>0</v>
      </c>
      <c r="CE84" s="896">
        <f t="shared" si="136"/>
        <v>540231</v>
      </c>
      <c r="CF84" s="897">
        <f t="shared" si="136"/>
        <v>385013</v>
      </c>
      <c r="CG84" s="897">
        <f t="shared" si="136"/>
        <v>130134</v>
      </c>
      <c r="CH84" s="897">
        <f t="shared" ref="CH84:CJ84" si="137">SUM(CH80:CH83)</f>
        <v>3850</v>
      </c>
      <c r="CI84" s="897">
        <f t="shared" si="137"/>
        <v>21234</v>
      </c>
      <c r="CJ84" s="898">
        <f t="shared" si="137"/>
        <v>1.3388</v>
      </c>
    </row>
    <row r="85" spans="1:88" s="221" customFormat="1" ht="12.75" customHeight="1">
      <c r="A85" s="223">
        <v>20</v>
      </c>
      <c r="B85" s="224">
        <v>3409</v>
      </c>
      <c r="C85" s="224">
        <v>600078396</v>
      </c>
      <c r="D85" s="224">
        <v>43257399</v>
      </c>
      <c r="E85" s="225" t="s">
        <v>47</v>
      </c>
      <c r="F85" s="224">
        <v>3113</v>
      </c>
      <c r="G85" s="225" t="s">
        <v>293</v>
      </c>
      <c r="H85" s="226" t="s">
        <v>271</v>
      </c>
      <c r="I85" s="419">
        <v>26754682</v>
      </c>
      <c r="J85" s="414">
        <v>19472654</v>
      </c>
      <c r="K85" s="414">
        <v>17283152</v>
      </c>
      <c r="L85" s="414">
        <v>2189502</v>
      </c>
      <c r="M85" s="414">
        <v>0</v>
      </c>
      <c r="N85" s="414">
        <v>0</v>
      </c>
      <c r="O85" s="414">
        <v>0</v>
      </c>
      <c r="P85" s="68">
        <v>6581757</v>
      </c>
      <c r="Q85" s="68">
        <v>194726</v>
      </c>
      <c r="R85" s="414">
        <v>505545</v>
      </c>
      <c r="S85" s="415">
        <v>32.200400000000002</v>
      </c>
      <c r="T85" s="416">
        <v>25.730900000000002</v>
      </c>
      <c r="U85" s="422">
        <v>6.4695</v>
      </c>
      <c r="V85" s="423">
        <f t="shared" si="112"/>
        <v>0</v>
      </c>
      <c r="W85" s="417">
        <f t="shared" si="113"/>
        <v>0</v>
      </c>
      <c r="X85" s="417">
        <v>0</v>
      </c>
      <c r="Y85" s="417">
        <v>63552</v>
      </c>
      <c r="Z85" s="417">
        <v>295603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14"/>
        <v>359155</v>
      </c>
      <c r="AF85" s="417">
        <f t="shared" si="115"/>
        <v>0</v>
      </c>
      <c r="AG85" s="417">
        <f t="shared" si="116"/>
        <v>359155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17"/>
        <v>0</v>
      </c>
      <c r="AN85" s="417">
        <f t="shared" si="118"/>
        <v>0</v>
      </c>
      <c r="AO85" s="417">
        <f t="shared" si="119"/>
        <v>0</v>
      </c>
      <c r="AP85" s="417">
        <f t="shared" si="120"/>
        <v>359155</v>
      </c>
      <c r="AQ85" s="417">
        <f t="shared" si="121"/>
        <v>0</v>
      </c>
      <c r="AR85" s="417">
        <f t="shared" si="122"/>
        <v>359155</v>
      </c>
      <c r="AS85" s="68">
        <f t="shared" si="123"/>
        <v>121394</v>
      </c>
      <c r="AT85" s="68">
        <f t="shared" si="124"/>
        <v>3592</v>
      </c>
      <c r="AU85" s="417">
        <v>0</v>
      </c>
      <c r="AV85" s="417">
        <v>0</v>
      </c>
      <c r="AW85" s="417">
        <v>0</v>
      </c>
      <c r="AX85" s="417">
        <f t="shared" si="125"/>
        <v>0</v>
      </c>
      <c r="AY85" s="417">
        <f t="shared" si="126"/>
        <v>484141</v>
      </c>
      <c r="AZ85" s="418">
        <v>0</v>
      </c>
      <c r="BA85" s="418">
        <v>0</v>
      </c>
      <c r="BB85" s="418">
        <v>0</v>
      </c>
      <c r="BC85" s="418">
        <v>0.6</v>
      </c>
      <c r="BD85" s="418">
        <v>0</v>
      </c>
      <c r="BE85" s="418">
        <v>0.09</v>
      </c>
      <c r="BF85" s="418">
        <v>0</v>
      </c>
      <c r="BG85" s="418">
        <v>0</v>
      </c>
      <c r="BH85" s="418">
        <v>0</v>
      </c>
      <c r="BI85" s="418">
        <f t="shared" si="127"/>
        <v>0.69</v>
      </c>
      <c r="BJ85" s="418">
        <f t="shared" si="128"/>
        <v>0</v>
      </c>
      <c r="BK85" s="420">
        <f t="shared" si="129"/>
        <v>0.69</v>
      </c>
      <c r="BL85" s="772">
        <f>I85+AY85</f>
        <v>27238823</v>
      </c>
      <c r="BM85" s="417">
        <f>J85+AG85</f>
        <v>19831809</v>
      </c>
      <c r="BN85" s="417">
        <f t="shared" ref="BN85:BO89" si="138">K85+AE85</f>
        <v>17642307</v>
      </c>
      <c r="BO85" s="417">
        <f t="shared" si="138"/>
        <v>2189502</v>
      </c>
      <c r="BP85" s="417">
        <f>M85+AO85</f>
        <v>0</v>
      </c>
      <c r="BQ85" s="417">
        <f t="shared" ref="BQ85:BR89" si="139">N85+AM85</f>
        <v>0</v>
      </c>
      <c r="BR85" s="417">
        <f t="shared" si="139"/>
        <v>0</v>
      </c>
      <c r="BS85" s="417">
        <f t="shared" ref="BS85:BT89" si="140">P85+AS85</f>
        <v>6703151</v>
      </c>
      <c r="BT85" s="417">
        <f t="shared" si="140"/>
        <v>198318</v>
      </c>
      <c r="BU85" s="417">
        <f>R85+AX85</f>
        <v>505545</v>
      </c>
      <c r="BV85" s="418">
        <f>S85+BK85</f>
        <v>32.8904</v>
      </c>
      <c r="BW85" s="418">
        <f t="shared" ref="BW85:BX89" si="141">T85+BI85</f>
        <v>26.420900000000003</v>
      </c>
      <c r="BX85" s="420">
        <f t="shared" si="141"/>
        <v>6.4695</v>
      </c>
      <c r="BY85" s="419"/>
      <c r="BZ85" s="414"/>
      <c r="CA85" s="414"/>
      <c r="CB85" s="414"/>
      <c r="CC85" s="414"/>
      <c r="CD85" s="509"/>
      <c r="CE85" s="419">
        <v>1057743</v>
      </c>
      <c r="CF85" s="414">
        <v>702799</v>
      </c>
      <c r="CG85" s="414">
        <v>237546</v>
      </c>
      <c r="CH85" s="414">
        <v>7028</v>
      </c>
      <c r="CI85" s="414">
        <v>110370</v>
      </c>
      <c r="CJ85" s="509">
        <v>2.0768</v>
      </c>
    </row>
    <row r="86" spans="1:88" s="221" customFormat="1">
      <c r="A86" s="223">
        <v>20</v>
      </c>
      <c r="B86" s="224">
        <v>3409</v>
      </c>
      <c r="C86" s="224">
        <v>600078396</v>
      </c>
      <c r="D86" s="224">
        <v>43257399</v>
      </c>
      <c r="E86" s="225" t="s">
        <v>47</v>
      </c>
      <c r="F86" s="224">
        <v>3113</v>
      </c>
      <c r="G86" s="225" t="s">
        <v>291</v>
      </c>
      <c r="H86" s="226" t="s">
        <v>272</v>
      </c>
      <c r="I86" s="419">
        <v>4654571</v>
      </c>
      <c r="J86" s="414">
        <v>3435513</v>
      </c>
      <c r="K86" s="414">
        <v>3435513</v>
      </c>
      <c r="L86" s="414">
        <v>0</v>
      </c>
      <c r="M86" s="414">
        <v>0</v>
      </c>
      <c r="N86" s="414">
        <v>0</v>
      </c>
      <c r="O86" s="414">
        <v>0</v>
      </c>
      <c r="P86" s="68">
        <v>1161203</v>
      </c>
      <c r="Q86" s="68">
        <v>34355</v>
      </c>
      <c r="R86" s="414">
        <v>23500</v>
      </c>
      <c r="S86" s="415">
        <v>8.98</v>
      </c>
      <c r="T86" s="416">
        <v>8.98</v>
      </c>
      <c r="U86" s="422">
        <v>0</v>
      </c>
      <c r="V86" s="423">
        <f t="shared" si="112"/>
        <v>0</v>
      </c>
      <c r="W86" s="417">
        <f t="shared" si="113"/>
        <v>0</v>
      </c>
      <c r="X86" s="417">
        <f>688117-512940</f>
        <v>175177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14"/>
        <v>175177</v>
      </c>
      <c r="AF86" s="417">
        <f t="shared" si="115"/>
        <v>0</v>
      </c>
      <c r="AG86" s="417">
        <f t="shared" si="116"/>
        <v>175177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17"/>
        <v>0</v>
      </c>
      <c r="AN86" s="417">
        <f t="shared" si="118"/>
        <v>0</v>
      </c>
      <c r="AO86" s="417">
        <f t="shared" si="119"/>
        <v>0</v>
      </c>
      <c r="AP86" s="417">
        <f t="shared" si="120"/>
        <v>175177</v>
      </c>
      <c r="AQ86" s="417">
        <f t="shared" si="121"/>
        <v>0</v>
      </c>
      <c r="AR86" s="417">
        <f t="shared" si="122"/>
        <v>175177</v>
      </c>
      <c r="AS86" s="68">
        <f t="shared" si="123"/>
        <v>59210</v>
      </c>
      <c r="AT86" s="68">
        <f t="shared" si="124"/>
        <v>1752</v>
      </c>
      <c r="AU86" s="417">
        <f>25500-19000</f>
        <v>6500</v>
      </c>
      <c r="AV86" s="417">
        <v>0</v>
      </c>
      <c r="AW86" s="417">
        <v>0</v>
      </c>
      <c r="AX86" s="417">
        <f t="shared" si="125"/>
        <v>6500</v>
      </c>
      <c r="AY86" s="417">
        <f t="shared" si="126"/>
        <v>242639</v>
      </c>
      <c r="AZ86" s="418">
        <v>0</v>
      </c>
      <c r="BA86" s="418">
        <v>0</v>
      </c>
      <c r="BB86" s="418">
        <f>1.83-1.38</f>
        <v>0.45000000000000018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27"/>
        <v>0.45000000000000018</v>
      </c>
      <c r="BJ86" s="418">
        <f t="shared" si="128"/>
        <v>0</v>
      </c>
      <c r="BK86" s="420">
        <f t="shared" si="129"/>
        <v>0.45000000000000018</v>
      </c>
      <c r="BL86" s="772">
        <f>I86+AY86</f>
        <v>4897210</v>
      </c>
      <c r="BM86" s="417">
        <f>J86+AG86</f>
        <v>3610690</v>
      </c>
      <c r="BN86" s="417">
        <f t="shared" si="138"/>
        <v>3610690</v>
      </c>
      <c r="BO86" s="417">
        <f t="shared" si="138"/>
        <v>0</v>
      </c>
      <c r="BP86" s="417">
        <f>M86+AO86</f>
        <v>0</v>
      </c>
      <c r="BQ86" s="417">
        <f t="shared" si="139"/>
        <v>0</v>
      </c>
      <c r="BR86" s="417">
        <f t="shared" si="139"/>
        <v>0</v>
      </c>
      <c r="BS86" s="417">
        <f t="shared" si="140"/>
        <v>1220413</v>
      </c>
      <c r="BT86" s="417">
        <f t="shared" si="140"/>
        <v>36107</v>
      </c>
      <c r="BU86" s="417">
        <f>R86+AX86</f>
        <v>30000</v>
      </c>
      <c r="BV86" s="418">
        <f>S86+BK86</f>
        <v>9.43</v>
      </c>
      <c r="BW86" s="418">
        <f t="shared" si="141"/>
        <v>9.43</v>
      </c>
      <c r="BX86" s="420">
        <f t="shared" si="141"/>
        <v>0</v>
      </c>
      <c r="BY86" s="419"/>
      <c r="BZ86" s="414"/>
      <c r="CA86" s="414"/>
      <c r="CB86" s="414"/>
      <c r="CC86" s="414"/>
      <c r="CD86" s="509"/>
      <c r="CE86" s="419"/>
      <c r="CF86" s="414"/>
      <c r="CG86" s="414"/>
      <c r="CH86" s="414"/>
      <c r="CI86" s="414"/>
      <c r="CJ86" s="509"/>
    </row>
    <row r="87" spans="1:88" s="221" customFormat="1" ht="12.75" customHeight="1">
      <c r="A87" s="223">
        <v>20</v>
      </c>
      <c r="B87" s="224">
        <v>3409</v>
      </c>
      <c r="C87" s="224">
        <v>600078396</v>
      </c>
      <c r="D87" s="224">
        <v>43257399</v>
      </c>
      <c r="E87" s="225" t="s">
        <v>47</v>
      </c>
      <c r="F87" s="224">
        <v>3141</v>
      </c>
      <c r="G87" s="225" t="s">
        <v>294</v>
      </c>
      <c r="H87" s="226" t="s">
        <v>272</v>
      </c>
      <c r="I87" s="419">
        <v>1266329</v>
      </c>
      <c r="J87" s="414">
        <v>933357</v>
      </c>
      <c r="K87" s="414">
        <v>0</v>
      </c>
      <c r="L87" s="414">
        <v>933357</v>
      </c>
      <c r="M87" s="414">
        <v>0</v>
      </c>
      <c r="N87" s="414">
        <v>0</v>
      </c>
      <c r="O87" s="414">
        <v>0</v>
      </c>
      <c r="P87" s="68">
        <v>315474</v>
      </c>
      <c r="Q87" s="68">
        <v>9334</v>
      </c>
      <c r="R87" s="414">
        <v>8164</v>
      </c>
      <c r="S87" s="415">
        <v>2.8000000000000003</v>
      </c>
      <c r="T87" s="416">
        <v>0</v>
      </c>
      <c r="U87" s="422">
        <v>2.8000000000000003</v>
      </c>
      <c r="V87" s="423">
        <f t="shared" si="112"/>
        <v>0</v>
      </c>
      <c r="W87" s="417">
        <f t="shared" si="113"/>
        <v>0</v>
      </c>
      <c r="X87" s="417">
        <v>0</v>
      </c>
      <c r="Y87" s="417">
        <v>0</v>
      </c>
      <c r="Z87" s="417">
        <v>0</v>
      </c>
      <c r="AA87" s="417">
        <v>129187</v>
      </c>
      <c r="AB87" s="417">
        <v>0</v>
      </c>
      <c r="AC87" s="417">
        <v>0</v>
      </c>
      <c r="AD87" s="417">
        <v>0</v>
      </c>
      <c r="AE87" s="417">
        <f t="shared" si="114"/>
        <v>0</v>
      </c>
      <c r="AF87" s="417">
        <f t="shared" si="115"/>
        <v>129187</v>
      </c>
      <c r="AG87" s="417">
        <f t="shared" si="116"/>
        <v>129187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17"/>
        <v>0</v>
      </c>
      <c r="AN87" s="417">
        <f t="shared" si="118"/>
        <v>0</v>
      </c>
      <c r="AO87" s="417">
        <f t="shared" si="119"/>
        <v>0</v>
      </c>
      <c r="AP87" s="417">
        <f t="shared" si="120"/>
        <v>0</v>
      </c>
      <c r="AQ87" s="417">
        <f t="shared" si="121"/>
        <v>129187</v>
      </c>
      <c r="AR87" s="417">
        <f t="shared" si="122"/>
        <v>129187</v>
      </c>
      <c r="AS87" s="68">
        <f t="shared" si="123"/>
        <v>43665</v>
      </c>
      <c r="AT87" s="68">
        <f t="shared" si="124"/>
        <v>1292</v>
      </c>
      <c r="AU87" s="417">
        <v>0</v>
      </c>
      <c r="AV87" s="417">
        <v>0</v>
      </c>
      <c r="AW87" s="417">
        <v>0</v>
      </c>
      <c r="AX87" s="417">
        <f t="shared" si="125"/>
        <v>0</v>
      </c>
      <c r="AY87" s="417">
        <f t="shared" si="126"/>
        <v>174144</v>
      </c>
      <c r="AZ87" s="418">
        <v>0</v>
      </c>
      <c r="BA87" s="418">
        <v>0</v>
      </c>
      <c r="BB87" s="418">
        <v>0</v>
      </c>
      <c r="BC87" s="418">
        <v>0</v>
      </c>
      <c r="BD87" s="418">
        <v>0.39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27"/>
        <v>0</v>
      </c>
      <c r="BJ87" s="418">
        <f t="shared" si="128"/>
        <v>0.39</v>
      </c>
      <c r="BK87" s="420">
        <f t="shared" si="129"/>
        <v>0.39</v>
      </c>
      <c r="BL87" s="772">
        <f>I87+AY87</f>
        <v>1440473</v>
      </c>
      <c r="BM87" s="417">
        <f>J87+AG87</f>
        <v>1062544</v>
      </c>
      <c r="BN87" s="417">
        <f t="shared" si="138"/>
        <v>0</v>
      </c>
      <c r="BO87" s="417">
        <f t="shared" si="138"/>
        <v>1062544</v>
      </c>
      <c r="BP87" s="417">
        <f>M87+AO87</f>
        <v>0</v>
      </c>
      <c r="BQ87" s="417">
        <f t="shared" si="139"/>
        <v>0</v>
      </c>
      <c r="BR87" s="417">
        <f t="shared" si="139"/>
        <v>0</v>
      </c>
      <c r="BS87" s="417">
        <f t="shared" si="140"/>
        <v>359139</v>
      </c>
      <c r="BT87" s="417">
        <f t="shared" si="140"/>
        <v>10626</v>
      </c>
      <c r="BU87" s="417">
        <f>R87+AX87</f>
        <v>8164</v>
      </c>
      <c r="BV87" s="418">
        <f>S87+BK87</f>
        <v>3.1900000000000004</v>
      </c>
      <c r="BW87" s="418">
        <f t="shared" si="141"/>
        <v>0</v>
      </c>
      <c r="BX87" s="420">
        <f t="shared" si="141"/>
        <v>3.1900000000000004</v>
      </c>
      <c r="BY87" s="419"/>
      <c r="BZ87" s="414"/>
      <c r="CA87" s="414"/>
      <c r="CB87" s="414"/>
      <c r="CC87" s="414"/>
      <c r="CD87" s="509"/>
      <c r="CE87" s="419"/>
      <c r="CF87" s="601"/>
      <c r="CG87" s="414"/>
      <c r="CH87" s="414"/>
      <c r="CI87" s="601"/>
      <c r="CJ87" s="603"/>
    </row>
    <row r="88" spans="1:88" s="221" customFormat="1" ht="12.75" customHeight="1">
      <c r="A88" s="223">
        <v>20</v>
      </c>
      <c r="B88" s="224">
        <v>3409</v>
      </c>
      <c r="C88" s="224">
        <v>600078396</v>
      </c>
      <c r="D88" s="224">
        <v>43257399</v>
      </c>
      <c r="E88" s="225" t="s">
        <v>47</v>
      </c>
      <c r="F88" s="224">
        <v>3143</v>
      </c>
      <c r="G88" s="225" t="s">
        <v>595</v>
      </c>
      <c r="H88" s="226" t="s">
        <v>271</v>
      </c>
      <c r="I88" s="419">
        <v>3367292</v>
      </c>
      <c r="J88" s="414">
        <v>2497991</v>
      </c>
      <c r="K88" s="414">
        <v>2497991</v>
      </c>
      <c r="L88" s="414">
        <v>0</v>
      </c>
      <c r="M88" s="414">
        <v>0</v>
      </c>
      <c r="N88" s="414">
        <v>0</v>
      </c>
      <c r="O88" s="414">
        <v>0</v>
      </c>
      <c r="P88" s="68">
        <v>844321</v>
      </c>
      <c r="Q88" s="68">
        <v>24980</v>
      </c>
      <c r="R88" s="414">
        <v>0</v>
      </c>
      <c r="S88" s="415">
        <v>5.25</v>
      </c>
      <c r="T88" s="416">
        <v>5.25</v>
      </c>
      <c r="U88" s="422">
        <v>0</v>
      </c>
      <c r="V88" s="423">
        <f t="shared" si="112"/>
        <v>0</v>
      </c>
      <c r="W88" s="417">
        <f t="shared" si="113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14"/>
        <v>0</v>
      </c>
      <c r="AF88" s="417">
        <f t="shared" si="115"/>
        <v>0</v>
      </c>
      <c r="AG88" s="417">
        <f t="shared" si="116"/>
        <v>0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17"/>
        <v>0</v>
      </c>
      <c r="AN88" s="417">
        <f t="shared" si="118"/>
        <v>0</v>
      </c>
      <c r="AO88" s="417">
        <f t="shared" si="119"/>
        <v>0</v>
      </c>
      <c r="AP88" s="417">
        <f t="shared" si="120"/>
        <v>0</v>
      </c>
      <c r="AQ88" s="417">
        <f t="shared" si="121"/>
        <v>0</v>
      </c>
      <c r="AR88" s="417">
        <f t="shared" si="122"/>
        <v>0</v>
      </c>
      <c r="AS88" s="68">
        <f t="shared" si="123"/>
        <v>0</v>
      </c>
      <c r="AT88" s="68">
        <f t="shared" si="124"/>
        <v>0</v>
      </c>
      <c r="AU88" s="417">
        <v>0</v>
      </c>
      <c r="AV88" s="417">
        <v>0</v>
      </c>
      <c r="AW88" s="417">
        <v>0</v>
      </c>
      <c r="AX88" s="417">
        <f t="shared" si="125"/>
        <v>0</v>
      </c>
      <c r="AY88" s="417">
        <f t="shared" si="126"/>
        <v>0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27"/>
        <v>0</v>
      </c>
      <c r="BJ88" s="418">
        <f t="shared" si="128"/>
        <v>0</v>
      </c>
      <c r="BK88" s="420">
        <f t="shared" si="129"/>
        <v>0</v>
      </c>
      <c r="BL88" s="772">
        <f>I88+AY88</f>
        <v>3367292</v>
      </c>
      <c r="BM88" s="417">
        <f>J88+AG88</f>
        <v>2497991</v>
      </c>
      <c r="BN88" s="417">
        <f t="shared" si="138"/>
        <v>2497991</v>
      </c>
      <c r="BO88" s="417">
        <f t="shared" si="138"/>
        <v>0</v>
      </c>
      <c r="BP88" s="417">
        <f>M88+AO88</f>
        <v>0</v>
      </c>
      <c r="BQ88" s="417">
        <f t="shared" si="139"/>
        <v>0</v>
      </c>
      <c r="BR88" s="417">
        <f t="shared" si="139"/>
        <v>0</v>
      </c>
      <c r="BS88" s="417">
        <f t="shared" si="140"/>
        <v>844321</v>
      </c>
      <c r="BT88" s="417">
        <f t="shared" si="140"/>
        <v>24980</v>
      </c>
      <c r="BU88" s="417">
        <f>R88+AX88</f>
        <v>0</v>
      </c>
      <c r="BV88" s="418">
        <f>S88+BK88</f>
        <v>5.25</v>
      </c>
      <c r="BW88" s="418">
        <f t="shared" si="141"/>
        <v>5.25</v>
      </c>
      <c r="BX88" s="420">
        <f t="shared" si="141"/>
        <v>0</v>
      </c>
      <c r="BY88" s="419"/>
      <c r="BZ88" s="414"/>
      <c r="CA88" s="414"/>
      <c r="CB88" s="414"/>
      <c r="CC88" s="414"/>
      <c r="CD88" s="509"/>
      <c r="CE88" s="419"/>
      <c r="CF88" s="414"/>
      <c r="CG88" s="414"/>
      <c r="CH88" s="414"/>
      <c r="CI88" s="414"/>
      <c r="CJ88" s="509"/>
    </row>
    <row r="89" spans="1:88" s="221" customFormat="1" ht="12.75" customHeight="1">
      <c r="A89" s="223">
        <v>20</v>
      </c>
      <c r="B89" s="224">
        <v>3409</v>
      </c>
      <c r="C89" s="224">
        <v>600078396</v>
      </c>
      <c r="D89" s="224">
        <v>43257399</v>
      </c>
      <c r="E89" s="225" t="s">
        <v>47</v>
      </c>
      <c r="F89" s="224">
        <v>3143</v>
      </c>
      <c r="G89" s="225" t="s">
        <v>596</v>
      </c>
      <c r="H89" s="226" t="s">
        <v>272</v>
      </c>
      <c r="I89" s="419">
        <v>104502</v>
      </c>
      <c r="J89" s="414">
        <v>74800</v>
      </c>
      <c r="K89" s="414">
        <v>0</v>
      </c>
      <c r="L89" s="414">
        <v>74800</v>
      </c>
      <c r="M89" s="414">
        <v>0</v>
      </c>
      <c r="N89" s="414">
        <v>0</v>
      </c>
      <c r="O89" s="414">
        <v>0</v>
      </c>
      <c r="P89" s="68">
        <v>25282</v>
      </c>
      <c r="Q89" s="68">
        <v>748</v>
      </c>
      <c r="R89" s="414">
        <v>3672</v>
      </c>
      <c r="S89" s="415">
        <v>0.28000000000000003</v>
      </c>
      <c r="T89" s="416">
        <v>0</v>
      </c>
      <c r="U89" s="422">
        <v>0.28000000000000003</v>
      </c>
      <c r="V89" s="423">
        <f t="shared" si="112"/>
        <v>0</v>
      </c>
      <c r="W89" s="417">
        <f t="shared" si="113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14"/>
        <v>0</v>
      </c>
      <c r="AF89" s="417">
        <f t="shared" si="115"/>
        <v>0</v>
      </c>
      <c r="AG89" s="417">
        <f t="shared" si="116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17"/>
        <v>0</v>
      </c>
      <c r="AN89" s="417">
        <f t="shared" si="118"/>
        <v>0</v>
      </c>
      <c r="AO89" s="417">
        <f t="shared" si="119"/>
        <v>0</v>
      </c>
      <c r="AP89" s="417">
        <f t="shared" si="120"/>
        <v>0</v>
      </c>
      <c r="AQ89" s="417">
        <f t="shared" si="121"/>
        <v>0</v>
      </c>
      <c r="AR89" s="417">
        <f t="shared" si="122"/>
        <v>0</v>
      </c>
      <c r="AS89" s="68">
        <f t="shared" si="123"/>
        <v>0</v>
      </c>
      <c r="AT89" s="68">
        <f t="shared" si="124"/>
        <v>0</v>
      </c>
      <c r="AU89" s="417">
        <v>0</v>
      </c>
      <c r="AV89" s="417">
        <v>0</v>
      </c>
      <c r="AW89" s="417">
        <v>0</v>
      </c>
      <c r="AX89" s="417">
        <f t="shared" si="125"/>
        <v>0</v>
      </c>
      <c r="AY89" s="417">
        <f t="shared" si="126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27"/>
        <v>0</v>
      </c>
      <c r="BJ89" s="418">
        <f t="shared" si="128"/>
        <v>0</v>
      </c>
      <c r="BK89" s="420">
        <f t="shared" si="129"/>
        <v>0</v>
      </c>
      <c r="BL89" s="772">
        <f>I89+AY89</f>
        <v>104502</v>
      </c>
      <c r="BM89" s="417">
        <f>J89+AG89</f>
        <v>74800</v>
      </c>
      <c r="BN89" s="417">
        <f t="shared" si="138"/>
        <v>0</v>
      </c>
      <c r="BO89" s="417">
        <f t="shared" si="138"/>
        <v>74800</v>
      </c>
      <c r="BP89" s="417">
        <f>M89+AO89</f>
        <v>0</v>
      </c>
      <c r="BQ89" s="417">
        <f t="shared" si="139"/>
        <v>0</v>
      </c>
      <c r="BR89" s="417">
        <f t="shared" si="139"/>
        <v>0</v>
      </c>
      <c r="BS89" s="417">
        <f t="shared" si="140"/>
        <v>25282</v>
      </c>
      <c r="BT89" s="417">
        <f t="shared" si="140"/>
        <v>748</v>
      </c>
      <c r="BU89" s="417">
        <f>R89+AX89</f>
        <v>3672</v>
      </c>
      <c r="BV89" s="418">
        <f>S89+BK89</f>
        <v>0.28000000000000003</v>
      </c>
      <c r="BW89" s="418">
        <f t="shared" si="141"/>
        <v>0</v>
      </c>
      <c r="BX89" s="420">
        <f t="shared" si="141"/>
        <v>0.28000000000000003</v>
      </c>
      <c r="BY89" s="419"/>
      <c r="BZ89" s="414"/>
      <c r="CA89" s="414"/>
      <c r="CB89" s="414"/>
      <c r="CC89" s="414"/>
      <c r="CD89" s="509"/>
      <c r="CE89" s="419"/>
      <c r="CF89" s="601"/>
      <c r="CG89" s="414"/>
      <c r="CH89" s="414"/>
      <c r="CI89" s="602"/>
      <c r="CJ89" s="603"/>
    </row>
    <row r="90" spans="1:88" s="221" customFormat="1" ht="12.75" customHeight="1">
      <c r="A90" s="153">
        <v>20</v>
      </c>
      <c r="B90" s="14">
        <v>3409</v>
      </c>
      <c r="C90" s="152">
        <v>600078396</v>
      </c>
      <c r="D90" s="152">
        <v>43257399</v>
      </c>
      <c r="E90" s="222" t="s">
        <v>48</v>
      </c>
      <c r="F90" s="14"/>
      <c r="G90" s="222"/>
      <c r="H90" s="558"/>
      <c r="I90" s="504">
        <v>36147376</v>
      </c>
      <c r="J90" s="503">
        <v>26414315</v>
      </c>
      <c r="K90" s="503">
        <v>23216656</v>
      </c>
      <c r="L90" s="503">
        <v>3197659</v>
      </c>
      <c r="M90" s="503">
        <v>0</v>
      </c>
      <c r="N90" s="503">
        <v>0</v>
      </c>
      <c r="O90" s="503">
        <v>0</v>
      </c>
      <c r="P90" s="503">
        <v>8928037</v>
      </c>
      <c r="Q90" s="503">
        <v>264143</v>
      </c>
      <c r="R90" s="503">
        <v>540881</v>
      </c>
      <c r="S90" s="543">
        <v>49.510400000000004</v>
      </c>
      <c r="T90" s="543">
        <v>39.960900000000002</v>
      </c>
      <c r="U90" s="1084">
        <v>9.5495000000000001</v>
      </c>
      <c r="V90" s="504">
        <f t="shared" ref="V90:CG90" si="142">SUM(V85:V89)</f>
        <v>0</v>
      </c>
      <c r="W90" s="503">
        <f t="shared" si="142"/>
        <v>0</v>
      </c>
      <c r="X90" s="503">
        <f t="shared" si="142"/>
        <v>175177</v>
      </c>
      <c r="Y90" s="503">
        <f t="shared" si="142"/>
        <v>63552</v>
      </c>
      <c r="Z90" s="503">
        <f t="shared" si="142"/>
        <v>295603</v>
      </c>
      <c r="AA90" s="503">
        <f t="shared" si="142"/>
        <v>129187</v>
      </c>
      <c r="AB90" s="503">
        <f t="shared" si="142"/>
        <v>0</v>
      </c>
      <c r="AC90" s="503">
        <f t="shared" si="142"/>
        <v>0</v>
      </c>
      <c r="AD90" s="503">
        <f t="shared" si="142"/>
        <v>0</v>
      </c>
      <c r="AE90" s="503">
        <f t="shared" si="142"/>
        <v>534332</v>
      </c>
      <c r="AF90" s="503">
        <f t="shared" si="142"/>
        <v>129187</v>
      </c>
      <c r="AG90" s="503">
        <f t="shared" si="142"/>
        <v>663519</v>
      </c>
      <c r="AH90" s="503">
        <f t="shared" si="142"/>
        <v>0</v>
      </c>
      <c r="AI90" s="503">
        <f t="shared" si="142"/>
        <v>0</v>
      </c>
      <c r="AJ90" s="503">
        <f t="shared" si="142"/>
        <v>0</v>
      </c>
      <c r="AK90" s="503">
        <f t="shared" si="142"/>
        <v>0</v>
      </c>
      <c r="AL90" s="503">
        <f t="shared" si="142"/>
        <v>0</v>
      </c>
      <c r="AM90" s="503">
        <f t="shared" si="142"/>
        <v>0</v>
      </c>
      <c r="AN90" s="503">
        <f t="shared" si="142"/>
        <v>0</v>
      </c>
      <c r="AO90" s="503">
        <f t="shared" si="142"/>
        <v>0</v>
      </c>
      <c r="AP90" s="503">
        <f t="shared" si="142"/>
        <v>534332</v>
      </c>
      <c r="AQ90" s="503">
        <f t="shared" si="142"/>
        <v>129187</v>
      </c>
      <c r="AR90" s="503">
        <f t="shared" si="142"/>
        <v>663519</v>
      </c>
      <c r="AS90" s="503">
        <f t="shared" si="142"/>
        <v>224269</v>
      </c>
      <c r="AT90" s="503">
        <f t="shared" si="142"/>
        <v>6636</v>
      </c>
      <c r="AU90" s="503">
        <f t="shared" si="142"/>
        <v>6500</v>
      </c>
      <c r="AV90" s="503">
        <f t="shared" si="142"/>
        <v>0</v>
      </c>
      <c r="AW90" s="503">
        <f t="shared" si="142"/>
        <v>0</v>
      </c>
      <c r="AX90" s="503">
        <f t="shared" si="142"/>
        <v>6500</v>
      </c>
      <c r="AY90" s="503">
        <f t="shared" si="142"/>
        <v>900924</v>
      </c>
      <c r="AZ90" s="543">
        <f t="shared" si="142"/>
        <v>0</v>
      </c>
      <c r="BA90" s="543">
        <f t="shared" si="142"/>
        <v>0</v>
      </c>
      <c r="BB90" s="543">
        <f t="shared" si="142"/>
        <v>0.45000000000000018</v>
      </c>
      <c r="BC90" s="543">
        <f t="shared" si="142"/>
        <v>0.6</v>
      </c>
      <c r="BD90" s="543">
        <f t="shared" si="142"/>
        <v>0.39</v>
      </c>
      <c r="BE90" s="543">
        <f t="shared" si="142"/>
        <v>0.09</v>
      </c>
      <c r="BF90" s="543">
        <f t="shared" si="142"/>
        <v>0</v>
      </c>
      <c r="BG90" s="543">
        <f t="shared" si="142"/>
        <v>0</v>
      </c>
      <c r="BH90" s="543">
        <f t="shared" si="142"/>
        <v>0</v>
      </c>
      <c r="BI90" s="543">
        <f t="shared" si="142"/>
        <v>1.1400000000000001</v>
      </c>
      <c r="BJ90" s="543">
        <f t="shared" si="142"/>
        <v>0.39</v>
      </c>
      <c r="BK90" s="441">
        <f t="shared" si="142"/>
        <v>1.5300000000000002</v>
      </c>
      <c r="BL90" s="788">
        <f t="shared" si="142"/>
        <v>37048300</v>
      </c>
      <c r="BM90" s="503">
        <f t="shared" si="142"/>
        <v>27077834</v>
      </c>
      <c r="BN90" s="503">
        <f t="shared" si="142"/>
        <v>23750988</v>
      </c>
      <c r="BO90" s="503">
        <f t="shared" si="142"/>
        <v>3326846</v>
      </c>
      <c r="BP90" s="503">
        <f t="shared" si="142"/>
        <v>0</v>
      </c>
      <c r="BQ90" s="503">
        <f t="shared" si="142"/>
        <v>0</v>
      </c>
      <c r="BR90" s="503">
        <f t="shared" si="142"/>
        <v>0</v>
      </c>
      <c r="BS90" s="503">
        <f t="shared" si="142"/>
        <v>9152306</v>
      </c>
      <c r="BT90" s="503">
        <f t="shared" si="142"/>
        <v>270779</v>
      </c>
      <c r="BU90" s="503">
        <f t="shared" si="142"/>
        <v>547381</v>
      </c>
      <c r="BV90" s="543">
        <f t="shared" si="142"/>
        <v>51.040399999999998</v>
      </c>
      <c r="BW90" s="543">
        <f t="shared" si="142"/>
        <v>41.100900000000003</v>
      </c>
      <c r="BX90" s="441">
        <f t="shared" si="142"/>
        <v>9.9395000000000007</v>
      </c>
      <c r="BY90" s="799">
        <f t="shared" si="142"/>
        <v>0</v>
      </c>
      <c r="BZ90" s="705">
        <f t="shared" si="142"/>
        <v>0</v>
      </c>
      <c r="CA90" s="705">
        <f t="shared" si="142"/>
        <v>0</v>
      </c>
      <c r="CB90" s="705">
        <f t="shared" si="142"/>
        <v>0</v>
      </c>
      <c r="CC90" s="705">
        <f t="shared" si="142"/>
        <v>0</v>
      </c>
      <c r="CD90" s="800">
        <f t="shared" si="142"/>
        <v>0</v>
      </c>
      <c r="CE90" s="896">
        <f t="shared" si="142"/>
        <v>1057743</v>
      </c>
      <c r="CF90" s="897">
        <f t="shared" si="142"/>
        <v>702799</v>
      </c>
      <c r="CG90" s="897">
        <f t="shared" si="142"/>
        <v>237546</v>
      </c>
      <c r="CH90" s="897">
        <f t="shared" ref="CH90:CJ90" si="143">SUM(CH85:CH89)</f>
        <v>7028</v>
      </c>
      <c r="CI90" s="897">
        <f t="shared" si="143"/>
        <v>110370</v>
      </c>
      <c r="CJ90" s="898">
        <f t="shared" si="143"/>
        <v>2.0768</v>
      </c>
    </row>
    <row r="91" spans="1:88" s="221" customFormat="1" ht="12.75" customHeight="1">
      <c r="A91" s="223">
        <v>21</v>
      </c>
      <c r="B91" s="224">
        <v>3415</v>
      </c>
      <c r="C91" s="224">
        <v>600078523</v>
      </c>
      <c r="D91" s="224">
        <v>72743271</v>
      </c>
      <c r="E91" s="225" t="s">
        <v>49</v>
      </c>
      <c r="F91" s="224">
        <v>3113</v>
      </c>
      <c r="G91" s="225" t="s">
        <v>293</v>
      </c>
      <c r="H91" s="226" t="s">
        <v>271</v>
      </c>
      <c r="I91" s="419">
        <v>34025721</v>
      </c>
      <c r="J91" s="414">
        <v>24805705</v>
      </c>
      <c r="K91" s="414">
        <v>22419344</v>
      </c>
      <c r="L91" s="414">
        <v>2386361</v>
      </c>
      <c r="M91" s="414">
        <v>10000</v>
      </c>
      <c r="N91" s="414">
        <v>10000</v>
      </c>
      <c r="O91" s="414">
        <v>0</v>
      </c>
      <c r="P91" s="68">
        <v>8387709</v>
      </c>
      <c r="Q91" s="68">
        <v>248057</v>
      </c>
      <c r="R91" s="414">
        <v>574250</v>
      </c>
      <c r="S91" s="415">
        <v>37.807000000000002</v>
      </c>
      <c r="T91" s="416">
        <v>30.590800000000002</v>
      </c>
      <c r="U91" s="422">
        <v>7.2162000000000006</v>
      </c>
      <c r="V91" s="423">
        <f t="shared" si="112"/>
        <v>5000</v>
      </c>
      <c r="W91" s="417">
        <f t="shared" si="113"/>
        <v>0</v>
      </c>
      <c r="X91" s="417">
        <v>0</v>
      </c>
      <c r="Y91" s="417">
        <v>21184</v>
      </c>
      <c r="Z91" s="417">
        <v>-78694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14"/>
        <v>-52510</v>
      </c>
      <c r="AF91" s="417">
        <f t="shared" si="115"/>
        <v>0</v>
      </c>
      <c r="AG91" s="417">
        <f t="shared" si="116"/>
        <v>-52510</v>
      </c>
      <c r="AH91" s="417">
        <v>-5000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7"/>
        <v>-5000</v>
      </c>
      <c r="AN91" s="417">
        <f t="shared" si="118"/>
        <v>0</v>
      </c>
      <c r="AO91" s="417">
        <f t="shared" si="119"/>
        <v>-5000</v>
      </c>
      <c r="AP91" s="417">
        <f t="shared" si="120"/>
        <v>-57510</v>
      </c>
      <c r="AQ91" s="417">
        <f t="shared" si="121"/>
        <v>0</v>
      </c>
      <c r="AR91" s="417">
        <f t="shared" si="122"/>
        <v>-57510</v>
      </c>
      <c r="AS91" s="68">
        <f t="shared" si="123"/>
        <v>-19438</v>
      </c>
      <c r="AT91" s="68">
        <f t="shared" si="124"/>
        <v>-525</v>
      </c>
      <c r="AU91" s="417">
        <v>0</v>
      </c>
      <c r="AV91" s="417">
        <v>0</v>
      </c>
      <c r="AW91" s="417">
        <v>0</v>
      </c>
      <c r="AX91" s="417">
        <f t="shared" si="125"/>
        <v>0</v>
      </c>
      <c r="AY91" s="417">
        <f t="shared" si="126"/>
        <v>-77473</v>
      </c>
      <c r="AZ91" s="418">
        <v>0</v>
      </c>
      <c r="BA91" s="418">
        <v>0</v>
      </c>
      <c r="BB91" s="418">
        <v>0</v>
      </c>
      <c r="BC91" s="418">
        <v>-0.15</v>
      </c>
      <c r="BD91" s="418">
        <v>0</v>
      </c>
      <c r="BE91" s="418">
        <v>0.03</v>
      </c>
      <c r="BF91" s="418">
        <v>0</v>
      </c>
      <c r="BG91" s="418">
        <v>0</v>
      </c>
      <c r="BH91" s="418">
        <v>0</v>
      </c>
      <c r="BI91" s="418">
        <f t="shared" si="127"/>
        <v>-0.12</v>
      </c>
      <c r="BJ91" s="418">
        <f t="shared" si="128"/>
        <v>0</v>
      </c>
      <c r="BK91" s="420">
        <f t="shared" si="129"/>
        <v>-0.12</v>
      </c>
      <c r="BL91" s="772">
        <f>I91+AY91</f>
        <v>33948248</v>
      </c>
      <c r="BM91" s="417">
        <f>J91+AG91</f>
        <v>24753195</v>
      </c>
      <c r="BN91" s="417">
        <f t="shared" ref="BN91:BO95" si="144">K91+AE91</f>
        <v>22366834</v>
      </c>
      <c r="BO91" s="417">
        <f t="shared" si="144"/>
        <v>2386361</v>
      </c>
      <c r="BP91" s="417">
        <f>M91+AO91</f>
        <v>5000</v>
      </c>
      <c r="BQ91" s="417">
        <f t="shared" ref="BQ91:BR95" si="145">N91+AM91</f>
        <v>5000</v>
      </c>
      <c r="BR91" s="417">
        <f t="shared" si="145"/>
        <v>0</v>
      </c>
      <c r="BS91" s="417">
        <f t="shared" ref="BS91:BT95" si="146">P91+AS91</f>
        <v>8368271</v>
      </c>
      <c r="BT91" s="417">
        <f t="shared" si="146"/>
        <v>247532</v>
      </c>
      <c r="BU91" s="417">
        <f>R91+AX91</f>
        <v>574250</v>
      </c>
      <c r="BV91" s="418">
        <f>S91+BK91</f>
        <v>37.687000000000005</v>
      </c>
      <c r="BW91" s="418">
        <f t="shared" ref="BW91:BX95" si="147">T91+BI91</f>
        <v>30.470800000000001</v>
      </c>
      <c r="BX91" s="420">
        <f t="shared" si="147"/>
        <v>7.2162000000000006</v>
      </c>
      <c r="BY91" s="419">
        <v>760272</v>
      </c>
      <c r="BZ91" s="414">
        <v>564000</v>
      </c>
      <c r="CA91" s="414">
        <v>0</v>
      </c>
      <c r="CB91" s="414">
        <v>190632</v>
      </c>
      <c r="CC91" s="414">
        <v>5640</v>
      </c>
      <c r="CD91" s="509">
        <v>1</v>
      </c>
      <c r="CE91" s="419">
        <v>1163882</v>
      </c>
      <c r="CF91" s="414">
        <v>765917</v>
      </c>
      <c r="CG91" s="414">
        <v>258880</v>
      </c>
      <c r="CH91" s="414">
        <v>7659</v>
      </c>
      <c r="CI91" s="414">
        <v>131426</v>
      </c>
      <c r="CJ91" s="509">
        <v>2.3162000000000003</v>
      </c>
    </row>
    <row r="92" spans="1:88" s="221" customFormat="1">
      <c r="A92" s="223">
        <v>21</v>
      </c>
      <c r="B92" s="224">
        <v>3415</v>
      </c>
      <c r="C92" s="224">
        <v>600078523</v>
      </c>
      <c r="D92" s="224">
        <v>72743271</v>
      </c>
      <c r="E92" s="225" t="s">
        <v>49</v>
      </c>
      <c r="F92" s="224">
        <v>3113</v>
      </c>
      <c r="G92" s="225" t="s">
        <v>291</v>
      </c>
      <c r="H92" s="226" t="s">
        <v>272</v>
      </c>
      <c r="I92" s="419">
        <v>2825440</v>
      </c>
      <c r="J92" s="414">
        <v>2096023</v>
      </c>
      <c r="K92" s="414">
        <v>2096023</v>
      </c>
      <c r="L92" s="414">
        <v>0</v>
      </c>
      <c r="M92" s="414">
        <v>0</v>
      </c>
      <c r="N92" s="414">
        <v>0</v>
      </c>
      <c r="O92" s="414">
        <v>0</v>
      </c>
      <c r="P92" s="68">
        <v>708456</v>
      </c>
      <c r="Q92" s="68">
        <v>20961</v>
      </c>
      <c r="R92" s="414">
        <v>0</v>
      </c>
      <c r="S92" s="415">
        <v>5.7200000000000006</v>
      </c>
      <c r="T92" s="416">
        <v>5.7200000000000006</v>
      </c>
      <c r="U92" s="422">
        <v>0</v>
      </c>
      <c r="V92" s="423">
        <f t="shared" si="112"/>
        <v>0</v>
      </c>
      <c r="W92" s="417">
        <f t="shared" si="113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114"/>
        <v>0</v>
      </c>
      <c r="AF92" s="417">
        <f t="shared" si="115"/>
        <v>0</v>
      </c>
      <c r="AG92" s="417">
        <f t="shared" si="116"/>
        <v>0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17"/>
        <v>0</v>
      </c>
      <c r="AN92" s="417">
        <f t="shared" si="118"/>
        <v>0</v>
      </c>
      <c r="AO92" s="417">
        <f t="shared" si="119"/>
        <v>0</v>
      </c>
      <c r="AP92" s="417">
        <f t="shared" si="120"/>
        <v>0</v>
      </c>
      <c r="AQ92" s="417">
        <f t="shared" si="121"/>
        <v>0</v>
      </c>
      <c r="AR92" s="417">
        <f t="shared" si="122"/>
        <v>0</v>
      </c>
      <c r="AS92" s="68">
        <f t="shared" si="123"/>
        <v>0</v>
      </c>
      <c r="AT92" s="68">
        <f t="shared" si="124"/>
        <v>0</v>
      </c>
      <c r="AU92" s="417">
        <v>0</v>
      </c>
      <c r="AV92" s="417">
        <v>0</v>
      </c>
      <c r="AW92" s="417">
        <v>0</v>
      </c>
      <c r="AX92" s="417">
        <f t="shared" si="125"/>
        <v>0</v>
      </c>
      <c r="AY92" s="417">
        <f t="shared" si="126"/>
        <v>0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27"/>
        <v>0</v>
      </c>
      <c r="BJ92" s="418">
        <f t="shared" si="128"/>
        <v>0</v>
      </c>
      <c r="BK92" s="420">
        <f t="shared" si="129"/>
        <v>0</v>
      </c>
      <c r="BL92" s="772">
        <f>I92+AY92</f>
        <v>2825440</v>
      </c>
      <c r="BM92" s="417">
        <f>J92+AG92</f>
        <v>2096023</v>
      </c>
      <c r="BN92" s="417">
        <f t="shared" si="144"/>
        <v>2096023</v>
      </c>
      <c r="BO92" s="417">
        <f t="shared" si="144"/>
        <v>0</v>
      </c>
      <c r="BP92" s="417">
        <f>M92+AO92</f>
        <v>0</v>
      </c>
      <c r="BQ92" s="417">
        <f t="shared" si="145"/>
        <v>0</v>
      </c>
      <c r="BR92" s="417">
        <f t="shared" si="145"/>
        <v>0</v>
      </c>
      <c r="BS92" s="417">
        <f t="shared" si="146"/>
        <v>708456</v>
      </c>
      <c r="BT92" s="417">
        <f t="shared" si="146"/>
        <v>20961</v>
      </c>
      <c r="BU92" s="417">
        <f>R92+AX92</f>
        <v>0</v>
      </c>
      <c r="BV92" s="418">
        <f>S92+BK92</f>
        <v>5.7200000000000006</v>
      </c>
      <c r="BW92" s="418">
        <f t="shared" si="147"/>
        <v>5.7200000000000006</v>
      </c>
      <c r="BX92" s="420">
        <f t="shared" si="147"/>
        <v>0</v>
      </c>
      <c r="BY92" s="419"/>
      <c r="BZ92" s="414"/>
      <c r="CA92" s="414"/>
      <c r="CB92" s="414"/>
      <c r="CC92" s="414"/>
      <c r="CD92" s="509"/>
      <c r="CE92" s="419"/>
      <c r="CF92" s="414"/>
      <c r="CG92" s="414"/>
      <c r="CH92" s="414"/>
      <c r="CI92" s="414"/>
      <c r="CJ92" s="509"/>
    </row>
    <row r="93" spans="1:88" s="221" customFormat="1" ht="12.75" customHeight="1">
      <c r="A93" s="223">
        <v>21</v>
      </c>
      <c r="B93" s="224">
        <v>3415</v>
      </c>
      <c r="C93" s="224">
        <v>600078523</v>
      </c>
      <c r="D93" s="224">
        <v>72743271</v>
      </c>
      <c r="E93" s="225" t="s">
        <v>49</v>
      </c>
      <c r="F93" s="224">
        <v>3141</v>
      </c>
      <c r="G93" s="225" t="s">
        <v>294</v>
      </c>
      <c r="H93" s="226" t="s">
        <v>272</v>
      </c>
      <c r="I93" s="419">
        <v>2773611</v>
      </c>
      <c r="J93" s="414">
        <v>2041335</v>
      </c>
      <c r="K93" s="414">
        <v>0</v>
      </c>
      <c r="L93" s="414">
        <v>2041335</v>
      </c>
      <c r="M93" s="414">
        <v>0</v>
      </c>
      <c r="N93" s="414">
        <v>0</v>
      </c>
      <c r="O93" s="414">
        <v>0</v>
      </c>
      <c r="P93" s="68">
        <v>689971</v>
      </c>
      <c r="Q93" s="68">
        <v>20413</v>
      </c>
      <c r="R93" s="414">
        <v>21892</v>
      </c>
      <c r="S93" s="415">
        <v>6.12</v>
      </c>
      <c r="T93" s="416">
        <v>0</v>
      </c>
      <c r="U93" s="422">
        <v>6.12</v>
      </c>
      <c r="V93" s="423">
        <f t="shared" si="112"/>
        <v>0</v>
      </c>
      <c r="W93" s="417">
        <f t="shared" si="113"/>
        <v>0</v>
      </c>
      <c r="X93" s="417">
        <v>0</v>
      </c>
      <c r="Y93" s="417">
        <v>0</v>
      </c>
      <c r="Z93" s="417">
        <v>0</v>
      </c>
      <c r="AA93" s="417">
        <v>7761</v>
      </c>
      <c r="AB93" s="417">
        <v>0</v>
      </c>
      <c r="AC93" s="417">
        <v>0</v>
      </c>
      <c r="AD93" s="417">
        <v>0</v>
      </c>
      <c r="AE93" s="417">
        <f t="shared" si="114"/>
        <v>0</v>
      </c>
      <c r="AF93" s="417">
        <f t="shared" si="115"/>
        <v>7761</v>
      </c>
      <c r="AG93" s="417">
        <f t="shared" si="116"/>
        <v>7761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17"/>
        <v>0</v>
      </c>
      <c r="AN93" s="417">
        <f t="shared" si="118"/>
        <v>0</v>
      </c>
      <c r="AO93" s="417">
        <f t="shared" si="119"/>
        <v>0</v>
      </c>
      <c r="AP93" s="417">
        <f t="shared" si="120"/>
        <v>0</v>
      </c>
      <c r="AQ93" s="417">
        <f t="shared" si="121"/>
        <v>7761</v>
      </c>
      <c r="AR93" s="417">
        <f t="shared" si="122"/>
        <v>7761</v>
      </c>
      <c r="AS93" s="68">
        <f t="shared" si="123"/>
        <v>2623</v>
      </c>
      <c r="AT93" s="68">
        <f t="shared" si="124"/>
        <v>78</v>
      </c>
      <c r="AU93" s="417">
        <v>0</v>
      </c>
      <c r="AV93" s="417">
        <v>0</v>
      </c>
      <c r="AW93" s="417">
        <v>0</v>
      </c>
      <c r="AX93" s="417">
        <f t="shared" si="125"/>
        <v>0</v>
      </c>
      <c r="AY93" s="417">
        <f t="shared" si="126"/>
        <v>10462</v>
      </c>
      <c r="AZ93" s="418">
        <v>0</v>
      </c>
      <c r="BA93" s="418">
        <v>0</v>
      </c>
      <c r="BB93" s="418">
        <v>0</v>
      </c>
      <c r="BC93" s="418">
        <v>0</v>
      </c>
      <c r="BD93" s="418">
        <v>0.02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27"/>
        <v>0</v>
      </c>
      <c r="BJ93" s="418">
        <f t="shared" si="128"/>
        <v>0.02</v>
      </c>
      <c r="BK93" s="420">
        <f t="shared" si="129"/>
        <v>0.02</v>
      </c>
      <c r="BL93" s="772">
        <f>I93+AY93</f>
        <v>2784073</v>
      </c>
      <c r="BM93" s="417">
        <f>J93+AG93</f>
        <v>2049096</v>
      </c>
      <c r="BN93" s="417">
        <f t="shared" si="144"/>
        <v>0</v>
      </c>
      <c r="BO93" s="417">
        <f t="shared" si="144"/>
        <v>2049096</v>
      </c>
      <c r="BP93" s="417">
        <f>M93+AO93</f>
        <v>0</v>
      </c>
      <c r="BQ93" s="417">
        <f t="shared" si="145"/>
        <v>0</v>
      </c>
      <c r="BR93" s="417">
        <f t="shared" si="145"/>
        <v>0</v>
      </c>
      <c r="BS93" s="417">
        <f t="shared" si="146"/>
        <v>692594</v>
      </c>
      <c r="BT93" s="417">
        <f t="shared" si="146"/>
        <v>20491</v>
      </c>
      <c r="BU93" s="417">
        <f>R93+AX93</f>
        <v>21892</v>
      </c>
      <c r="BV93" s="418">
        <f>S93+BK93</f>
        <v>6.14</v>
      </c>
      <c r="BW93" s="418">
        <f t="shared" si="147"/>
        <v>0</v>
      </c>
      <c r="BX93" s="420">
        <f t="shared" si="147"/>
        <v>6.14</v>
      </c>
      <c r="BY93" s="419"/>
      <c r="BZ93" s="414"/>
      <c r="CA93" s="414"/>
      <c r="CB93" s="414"/>
      <c r="CC93" s="414"/>
      <c r="CD93" s="509"/>
      <c r="CE93" s="419"/>
      <c r="CF93" s="601"/>
      <c r="CG93" s="414"/>
      <c r="CH93" s="414"/>
      <c r="CI93" s="601"/>
      <c r="CJ93" s="603"/>
    </row>
    <row r="94" spans="1:88" s="221" customFormat="1" ht="12.75" customHeight="1">
      <c r="A94" s="223">
        <v>21</v>
      </c>
      <c r="B94" s="224">
        <v>3415</v>
      </c>
      <c r="C94" s="224">
        <v>600078523</v>
      </c>
      <c r="D94" s="224">
        <v>72743271</v>
      </c>
      <c r="E94" s="225" t="s">
        <v>49</v>
      </c>
      <c r="F94" s="224">
        <v>3143</v>
      </c>
      <c r="G94" s="225" t="s">
        <v>595</v>
      </c>
      <c r="H94" s="226" t="s">
        <v>271</v>
      </c>
      <c r="I94" s="419">
        <v>3281467</v>
      </c>
      <c r="J94" s="414">
        <v>2434323</v>
      </c>
      <c r="K94" s="414">
        <v>2434323</v>
      </c>
      <c r="L94" s="414">
        <v>0</v>
      </c>
      <c r="M94" s="414">
        <v>0</v>
      </c>
      <c r="N94" s="414">
        <v>0</v>
      </c>
      <c r="O94" s="414">
        <v>0</v>
      </c>
      <c r="P94" s="68">
        <v>822801</v>
      </c>
      <c r="Q94" s="68">
        <v>24343</v>
      </c>
      <c r="R94" s="414">
        <v>0</v>
      </c>
      <c r="S94" s="415">
        <v>4.8093000000000004</v>
      </c>
      <c r="T94" s="416">
        <v>4.8093000000000004</v>
      </c>
      <c r="U94" s="422">
        <v>0</v>
      </c>
      <c r="V94" s="423">
        <f t="shared" si="112"/>
        <v>0</v>
      </c>
      <c r="W94" s="417">
        <f t="shared" si="113"/>
        <v>0</v>
      </c>
      <c r="X94" s="417">
        <v>0</v>
      </c>
      <c r="Y94" s="417">
        <v>0</v>
      </c>
      <c r="Z94" s="417">
        <v>80717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14"/>
        <v>80717</v>
      </c>
      <c r="AF94" s="417">
        <f t="shared" si="115"/>
        <v>0</v>
      </c>
      <c r="AG94" s="417">
        <f t="shared" si="116"/>
        <v>80717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17"/>
        <v>0</v>
      </c>
      <c r="AN94" s="417">
        <f t="shared" si="118"/>
        <v>0</v>
      </c>
      <c r="AO94" s="417">
        <f t="shared" si="119"/>
        <v>0</v>
      </c>
      <c r="AP94" s="417">
        <f t="shared" si="120"/>
        <v>80717</v>
      </c>
      <c r="AQ94" s="417">
        <f t="shared" si="121"/>
        <v>0</v>
      </c>
      <c r="AR94" s="417">
        <f t="shared" si="122"/>
        <v>80717</v>
      </c>
      <c r="AS94" s="68">
        <f t="shared" si="123"/>
        <v>27282</v>
      </c>
      <c r="AT94" s="68">
        <f t="shared" si="124"/>
        <v>807</v>
      </c>
      <c r="AU94" s="417">
        <v>0</v>
      </c>
      <c r="AV94" s="417">
        <v>0</v>
      </c>
      <c r="AW94" s="417">
        <v>0</v>
      </c>
      <c r="AX94" s="417">
        <f t="shared" si="125"/>
        <v>0</v>
      </c>
      <c r="AY94" s="417">
        <f t="shared" si="126"/>
        <v>108806</v>
      </c>
      <c r="AZ94" s="418">
        <v>0</v>
      </c>
      <c r="BA94" s="418">
        <v>0</v>
      </c>
      <c r="BB94" s="418">
        <v>0</v>
      </c>
      <c r="BC94" s="418">
        <v>0.19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27"/>
        <v>0.19</v>
      </c>
      <c r="BJ94" s="418">
        <f t="shared" si="128"/>
        <v>0</v>
      </c>
      <c r="BK94" s="420">
        <f t="shared" si="129"/>
        <v>0.19</v>
      </c>
      <c r="BL94" s="772">
        <f>I94+AY94</f>
        <v>3390273</v>
      </c>
      <c r="BM94" s="417">
        <f>J94+AG94</f>
        <v>2515040</v>
      </c>
      <c r="BN94" s="417">
        <f t="shared" si="144"/>
        <v>2515040</v>
      </c>
      <c r="BO94" s="417">
        <f t="shared" si="144"/>
        <v>0</v>
      </c>
      <c r="BP94" s="417">
        <f>M94+AO94</f>
        <v>0</v>
      </c>
      <c r="BQ94" s="417">
        <f t="shared" si="145"/>
        <v>0</v>
      </c>
      <c r="BR94" s="417">
        <f t="shared" si="145"/>
        <v>0</v>
      </c>
      <c r="BS94" s="417">
        <f t="shared" si="146"/>
        <v>850083</v>
      </c>
      <c r="BT94" s="417">
        <f t="shared" si="146"/>
        <v>25150</v>
      </c>
      <c r="BU94" s="417">
        <f>R94+AX94</f>
        <v>0</v>
      </c>
      <c r="BV94" s="418">
        <f>S94+BK94</f>
        <v>4.9993000000000007</v>
      </c>
      <c r="BW94" s="418">
        <f t="shared" si="147"/>
        <v>4.9993000000000007</v>
      </c>
      <c r="BX94" s="420">
        <f t="shared" si="147"/>
        <v>0</v>
      </c>
      <c r="BY94" s="419"/>
      <c r="BZ94" s="414"/>
      <c r="CA94" s="414"/>
      <c r="CB94" s="414"/>
      <c r="CC94" s="414"/>
      <c r="CD94" s="509"/>
      <c r="CE94" s="419"/>
      <c r="CF94" s="414"/>
      <c r="CG94" s="414"/>
      <c r="CH94" s="414"/>
      <c r="CI94" s="414"/>
      <c r="CJ94" s="509"/>
    </row>
    <row r="95" spans="1:88" s="221" customFormat="1" ht="12.75" customHeight="1">
      <c r="A95" s="223">
        <v>21</v>
      </c>
      <c r="B95" s="224">
        <v>3415</v>
      </c>
      <c r="C95" s="224">
        <v>600078523</v>
      </c>
      <c r="D95" s="224">
        <v>72743271</v>
      </c>
      <c r="E95" s="225" t="s">
        <v>49</v>
      </c>
      <c r="F95" s="224">
        <v>3143</v>
      </c>
      <c r="G95" s="225" t="s">
        <v>596</v>
      </c>
      <c r="H95" s="226" t="s">
        <v>272</v>
      </c>
      <c r="I95" s="419">
        <v>102197</v>
      </c>
      <c r="J95" s="414">
        <v>73150</v>
      </c>
      <c r="K95" s="414">
        <v>0</v>
      </c>
      <c r="L95" s="414">
        <v>73150</v>
      </c>
      <c r="M95" s="414">
        <v>0</v>
      </c>
      <c r="N95" s="414">
        <v>0</v>
      </c>
      <c r="O95" s="414">
        <v>0</v>
      </c>
      <c r="P95" s="68">
        <v>24724</v>
      </c>
      <c r="Q95" s="68">
        <v>732</v>
      </c>
      <c r="R95" s="414">
        <v>3591</v>
      </c>
      <c r="S95" s="415">
        <v>0.27</v>
      </c>
      <c r="T95" s="416">
        <v>0</v>
      </c>
      <c r="U95" s="422">
        <v>0.27</v>
      </c>
      <c r="V95" s="423">
        <f t="shared" si="112"/>
        <v>0</v>
      </c>
      <c r="W95" s="417">
        <f t="shared" si="113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14"/>
        <v>0</v>
      </c>
      <c r="AF95" s="417">
        <f t="shared" si="115"/>
        <v>0</v>
      </c>
      <c r="AG95" s="417">
        <f t="shared" si="116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17"/>
        <v>0</v>
      </c>
      <c r="AN95" s="417">
        <f t="shared" si="118"/>
        <v>0</v>
      </c>
      <c r="AO95" s="417">
        <f t="shared" si="119"/>
        <v>0</v>
      </c>
      <c r="AP95" s="417">
        <f t="shared" si="120"/>
        <v>0</v>
      </c>
      <c r="AQ95" s="417">
        <f t="shared" si="121"/>
        <v>0</v>
      </c>
      <c r="AR95" s="417">
        <f t="shared" si="122"/>
        <v>0</v>
      </c>
      <c r="AS95" s="68">
        <f t="shared" si="123"/>
        <v>0</v>
      </c>
      <c r="AT95" s="68">
        <f t="shared" si="124"/>
        <v>0</v>
      </c>
      <c r="AU95" s="417">
        <v>0</v>
      </c>
      <c r="AV95" s="417">
        <v>0</v>
      </c>
      <c r="AW95" s="417">
        <v>0</v>
      </c>
      <c r="AX95" s="417">
        <f t="shared" si="125"/>
        <v>0</v>
      </c>
      <c r="AY95" s="417">
        <f t="shared" si="126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27"/>
        <v>0</v>
      </c>
      <c r="BJ95" s="418">
        <f t="shared" si="128"/>
        <v>0</v>
      </c>
      <c r="BK95" s="420">
        <f t="shared" si="129"/>
        <v>0</v>
      </c>
      <c r="BL95" s="772">
        <f>I95+AY95</f>
        <v>102197</v>
      </c>
      <c r="BM95" s="417">
        <f>J95+AG95</f>
        <v>73150</v>
      </c>
      <c r="BN95" s="417">
        <f t="shared" si="144"/>
        <v>0</v>
      </c>
      <c r="BO95" s="417">
        <f t="shared" si="144"/>
        <v>73150</v>
      </c>
      <c r="BP95" s="417">
        <f>M95+AO95</f>
        <v>0</v>
      </c>
      <c r="BQ95" s="417">
        <f t="shared" si="145"/>
        <v>0</v>
      </c>
      <c r="BR95" s="417">
        <f t="shared" si="145"/>
        <v>0</v>
      </c>
      <c r="BS95" s="417">
        <f t="shared" si="146"/>
        <v>24724</v>
      </c>
      <c r="BT95" s="417">
        <f t="shared" si="146"/>
        <v>732</v>
      </c>
      <c r="BU95" s="417">
        <f>R95+AX95</f>
        <v>3591</v>
      </c>
      <c r="BV95" s="418">
        <f>S95+BK95</f>
        <v>0.27</v>
      </c>
      <c r="BW95" s="418">
        <f t="shared" si="147"/>
        <v>0</v>
      </c>
      <c r="BX95" s="420">
        <f t="shared" si="147"/>
        <v>0.27</v>
      </c>
      <c r="BY95" s="419"/>
      <c r="BZ95" s="414"/>
      <c r="CA95" s="414"/>
      <c r="CB95" s="414"/>
      <c r="CC95" s="414"/>
      <c r="CD95" s="509"/>
      <c r="CE95" s="419"/>
      <c r="CF95" s="601"/>
      <c r="CG95" s="414"/>
      <c r="CH95" s="414"/>
      <c r="CI95" s="602"/>
      <c r="CJ95" s="603"/>
    </row>
    <row r="96" spans="1:88" s="221" customFormat="1" ht="12.75" customHeight="1">
      <c r="A96" s="153">
        <v>21</v>
      </c>
      <c r="B96" s="14">
        <v>3415</v>
      </c>
      <c r="C96" s="152">
        <v>600078523</v>
      </c>
      <c r="D96" s="152">
        <v>72743271</v>
      </c>
      <c r="E96" s="222" t="s">
        <v>50</v>
      </c>
      <c r="F96" s="14"/>
      <c r="G96" s="222"/>
      <c r="H96" s="558"/>
      <c r="I96" s="504">
        <v>43008436</v>
      </c>
      <c r="J96" s="503">
        <v>31450536</v>
      </c>
      <c r="K96" s="503">
        <v>26949690</v>
      </c>
      <c r="L96" s="503">
        <v>4500846</v>
      </c>
      <c r="M96" s="503">
        <v>10000</v>
      </c>
      <c r="N96" s="503">
        <v>10000</v>
      </c>
      <c r="O96" s="503">
        <v>0</v>
      </c>
      <c r="P96" s="503">
        <v>10633661</v>
      </c>
      <c r="Q96" s="503">
        <v>314506</v>
      </c>
      <c r="R96" s="503">
        <v>599733</v>
      </c>
      <c r="S96" s="543">
        <v>54.726300000000002</v>
      </c>
      <c r="T96" s="543">
        <v>41.120100000000001</v>
      </c>
      <c r="U96" s="1084">
        <v>13.606200000000001</v>
      </c>
      <c r="V96" s="504">
        <f t="shared" ref="V96:CG96" si="148">SUM(V91:V95)</f>
        <v>5000</v>
      </c>
      <c r="W96" s="503">
        <f t="shared" si="148"/>
        <v>0</v>
      </c>
      <c r="X96" s="503">
        <f t="shared" si="148"/>
        <v>0</v>
      </c>
      <c r="Y96" s="503">
        <f t="shared" si="148"/>
        <v>21184</v>
      </c>
      <c r="Z96" s="503">
        <f t="shared" si="148"/>
        <v>2023</v>
      </c>
      <c r="AA96" s="503">
        <f t="shared" si="148"/>
        <v>7761</v>
      </c>
      <c r="AB96" s="503">
        <f t="shared" si="148"/>
        <v>0</v>
      </c>
      <c r="AC96" s="503">
        <f t="shared" si="148"/>
        <v>0</v>
      </c>
      <c r="AD96" s="503">
        <f t="shared" si="148"/>
        <v>0</v>
      </c>
      <c r="AE96" s="503">
        <f t="shared" si="148"/>
        <v>28207</v>
      </c>
      <c r="AF96" s="503">
        <f t="shared" si="148"/>
        <v>7761</v>
      </c>
      <c r="AG96" s="503">
        <f t="shared" si="148"/>
        <v>35968</v>
      </c>
      <c r="AH96" s="503">
        <f t="shared" si="148"/>
        <v>-5000</v>
      </c>
      <c r="AI96" s="503">
        <f t="shared" si="148"/>
        <v>0</v>
      </c>
      <c r="AJ96" s="503">
        <f t="shared" si="148"/>
        <v>0</v>
      </c>
      <c r="AK96" s="503">
        <f t="shared" si="148"/>
        <v>0</v>
      </c>
      <c r="AL96" s="503">
        <f t="shared" si="148"/>
        <v>0</v>
      </c>
      <c r="AM96" s="503">
        <f t="shared" si="148"/>
        <v>-5000</v>
      </c>
      <c r="AN96" s="503">
        <f t="shared" si="148"/>
        <v>0</v>
      </c>
      <c r="AO96" s="503">
        <f t="shared" si="148"/>
        <v>-5000</v>
      </c>
      <c r="AP96" s="503">
        <f t="shared" si="148"/>
        <v>23207</v>
      </c>
      <c r="AQ96" s="503">
        <f t="shared" si="148"/>
        <v>7761</v>
      </c>
      <c r="AR96" s="503">
        <f t="shared" si="148"/>
        <v>30968</v>
      </c>
      <c r="AS96" s="503">
        <f t="shared" si="148"/>
        <v>10467</v>
      </c>
      <c r="AT96" s="503">
        <f t="shared" si="148"/>
        <v>360</v>
      </c>
      <c r="AU96" s="503">
        <f t="shared" si="148"/>
        <v>0</v>
      </c>
      <c r="AV96" s="503">
        <f t="shared" si="148"/>
        <v>0</v>
      </c>
      <c r="AW96" s="503">
        <f t="shared" si="148"/>
        <v>0</v>
      </c>
      <c r="AX96" s="503">
        <f t="shared" si="148"/>
        <v>0</v>
      </c>
      <c r="AY96" s="503">
        <f t="shared" si="148"/>
        <v>41795</v>
      </c>
      <c r="AZ96" s="543">
        <f t="shared" si="148"/>
        <v>0</v>
      </c>
      <c r="BA96" s="543">
        <f t="shared" si="148"/>
        <v>0</v>
      </c>
      <c r="BB96" s="543">
        <f t="shared" si="148"/>
        <v>0</v>
      </c>
      <c r="BC96" s="543">
        <f t="shared" si="148"/>
        <v>4.0000000000000008E-2</v>
      </c>
      <c r="BD96" s="543">
        <f t="shared" si="148"/>
        <v>0.02</v>
      </c>
      <c r="BE96" s="543">
        <f t="shared" si="148"/>
        <v>0.03</v>
      </c>
      <c r="BF96" s="543">
        <f t="shared" si="148"/>
        <v>0</v>
      </c>
      <c r="BG96" s="543">
        <f t="shared" si="148"/>
        <v>0</v>
      </c>
      <c r="BH96" s="543">
        <f t="shared" si="148"/>
        <v>0</v>
      </c>
      <c r="BI96" s="543">
        <f t="shared" si="148"/>
        <v>7.0000000000000007E-2</v>
      </c>
      <c r="BJ96" s="543">
        <f t="shared" si="148"/>
        <v>0.02</v>
      </c>
      <c r="BK96" s="441">
        <f t="shared" si="148"/>
        <v>9.0000000000000011E-2</v>
      </c>
      <c r="BL96" s="788">
        <f t="shared" si="148"/>
        <v>43050231</v>
      </c>
      <c r="BM96" s="503">
        <f t="shared" si="148"/>
        <v>31486504</v>
      </c>
      <c r="BN96" s="503">
        <f t="shared" si="148"/>
        <v>26977897</v>
      </c>
      <c r="BO96" s="503">
        <f t="shared" si="148"/>
        <v>4508607</v>
      </c>
      <c r="BP96" s="503">
        <f t="shared" si="148"/>
        <v>5000</v>
      </c>
      <c r="BQ96" s="503">
        <f t="shared" si="148"/>
        <v>5000</v>
      </c>
      <c r="BR96" s="503">
        <f t="shared" si="148"/>
        <v>0</v>
      </c>
      <c r="BS96" s="503">
        <f t="shared" si="148"/>
        <v>10644128</v>
      </c>
      <c r="BT96" s="503">
        <f t="shared" si="148"/>
        <v>314866</v>
      </c>
      <c r="BU96" s="503">
        <f t="shared" si="148"/>
        <v>599733</v>
      </c>
      <c r="BV96" s="543">
        <f t="shared" si="148"/>
        <v>54.816300000000005</v>
      </c>
      <c r="BW96" s="543">
        <f t="shared" si="148"/>
        <v>41.190100000000001</v>
      </c>
      <c r="BX96" s="441">
        <f t="shared" si="148"/>
        <v>13.626200000000001</v>
      </c>
      <c r="BY96" s="799">
        <f t="shared" si="148"/>
        <v>760272</v>
      </c>
      <c r="BZ96" s="705">
        <f t="shared" si="148"/>
        <v>564000</v>
      </c>
      <c r="CA96" s="705">
        <f t="shared" si="148"/>
        <v>0</v>
      </c>
      <c r="CB96" s="705">
        <f t="shared" si="148"/>
        <v>190632</v>
      </c>
      <c r="CC96" s="705">
        <f t="shared" si="148"/>
        <v>5640</v>
      </c>
      <c r="CD96" s="800">
        <f t="shared" si="148"/>
        <v>1</v>
      </c>
      <c r="CE96" s="896">
        <f t="shared" si="148"/>
        <v>1163882</v>
      </c>
      <c r="CF96" s="897">
        <f t="shared" si="148"/>
        <v>765917</v>
      </c>
      <c r="CG96" s="897">
        <f t="shared" si="148"/>
        <v>258880</v>
      </c>
      <c r="CH96" s="897">
        <f t="shared" ref="CH96:CJ96" si="149">SUM(CH91:CH95)</f>
        <v>7659</v>
      </c>
      <c r="CI96" s="897">
        <f t="shared" si="149"/>
        <v>131426</v>
      </c>
      <c r="CJ96" s="898">
        <f t="shared" si="149"/>
        <v>2.3162000000000003</v>
      </c>
    </row>
    <row r="97" spans="1:88" s="221" customFormat="1" ht="12.75" customHeight="1">
      <c r="A97" s="223">
        <v>22</v>
      </c>
      <c r="B97" s="224">
        <v>3412</v>
      </c>
      <c r="C97" s="224">
        <v>600078540</v>
      </c>
      <c r="D97" s="224">
        <v>72742879</v>
      </c>
      <c r="E97" s="225" t="s">
        <v>51</v>
      </c>
      <c r="F97" s="224">
        <v>3113</v>
      </c>
      <c r="G97" s="225" t="s">
        <v>293</v>
      </c>
      <c r="H97" s="226" t="s">
        <v>271</v>
      </c>
      <c r="I97" s="419">
        <v>46385247</v>
      </c>
      <c r="J97" s="414">
        <v>33622553</v>
      </c>
      <c r="K97" s="414">
        <v>30592485</v>
      </c>
      <c r="L97" s="414">
        <v>3030068</v>
      </c>
      <c r="M97" s="414">
        <v>160730</v>
      </c>
      <c r="N97" s="414">
        <v>115730</v>
      </c>
      <c r="O97" s="414">
        <v>45000</v>
      </c>
      <c r="P97" s="68">
        <v>11401603</v>
      </c>
      <c r="Q97" s="68">
        <v>336226</v>
      </c>
      <c r="R97" s="414">
        <v>864135</v>
      </c>
      <c r="S97" s="415">
        <v>50.252299999999991</v>
      </c>
      <c r="T97" s="416">
        <v>40.927999999999997</v>
      </c>
      <c r="U97" s="422">
        <v>9.3243000000000009</v>
      </c>
      <c r="V97" s="423">
        <f t="shared" si="112"/>
        <v>0</v>
      </c>
      <c r="W97" s="417">
        <f t="shared" si="113"/>
        <v>0</v>
      </c>
      <c r="X97" s="417">
        <v>0</v>
      </c>
      <c r="Y97" s="417">
        <v>51636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14"/>
        <v>51636</v>
      </c>
      <c r="AF97" s="417">
        <f t="shared" si="115"/>
        <v>0</v>
      </c>
      <c r="AG97" s="417">
        <f t="shared" si="116"/>
        <v>51636</v>
      </c>
      <c r="AH97" s="417">
        <v>0</v>
      </c>
      <c r="AI97" s="417">
        <v>0</v>
      </c>
      <c r="AJ97" s="417">
        <v>0</v>
      </c>
      <c r="AK97" s="417">
        <v>-50730</v>
      </c>
      <c r="AL97" s="417">
        <v>0</v>
      </c>
      <c r="AM97" s="417">
        <f t="shared" si="117"/>
        <v>-50730</v>
      </c>
      <c r="AN97" s="417">
        <f t="shared" si="118"/>
        <v>0</v>
      </c>
      <c r="AO97" s="417">
        <f t="shared" si="119"/>
        <v>-50730</v>
      </c>
      <c r="AP97" s="417">
        <f t="shared" si="120"/>
        <v>906</v>
      </c>
      <c r="AQ97" s="417">
        <f t="shared" si="121"/>
        <v>0</v>
      </c>
      <c r="AR97" s="417">
        <f t="shared" si="122"/>
        <v>906</v>
      </c>
      <c r="AS97" s="68">
        <f t="shared" si="123"/>
        <v>17453</v>
      </c>
      <c r="AT97" s="68">
        <f t="shared" si="124"/>
        <v>516</v>
      </c>
      <c r="AU97" s="417">
        <v>0</v>
      </c>
      <c r="AV97" s="417">
        <v>0</v>
      </c>
      <c r="AW97" s="417">
        <v>0</v>
      </c>
      <c r="AX97" s="417">
        <f t="shared" si="125"/>
        <v>0</v>
      </c>
      <c r="AY97" s="417">
        <f t="shared" si="126"/>
        <v>18875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7.0000000000000007E-2</v>
      </c>
      <c r="BF97" s="418">
        <v>0</v>
      </c>
      <c r="BG97" s="418">
        <v>0</v>
      </c>
      <c r="BH97" s="418">
        <v>0</v>
      </c>
      <c r="BI97" s="418">
        <f t="shared" si="127"/>
        <v>7.0000000000000007E-2</v>
      </c>
      <c r="BJ97" s="418">
        <f t="shared" si="128"/>
        <v>0</v>
      </c>
      <c r="BK97" s="420">
        <f t="shared" si="129"/>
        <v>7.0000000000000007E-2</v>
      </c>
      <c r="BL97" s="772">
        <f>I97+AY97</f>
        <v>46404122</v>
      </c>
      <c r="BM97" s="417">
        <f>J97+AG97</f>
        <v>33674189</v>
      </c>
      <c r="BN97" s="417">
        <f t="shared" ref="BN97:BO101" si="150">K97+AE97</f>
        <v>30644121</v>
      </c>
      <c r="BO97" s="417">
        <f t="shared" si="150"/>
        <v>3030068</v>
      </c>
      <c r="BP97" s="417">
        <f>M97+AO97</f>
        <v>110000</v>
      </c>
      <c r="BQ97" s="417">
        <f t="shared" ref="BQ97:BR101" si="151">N97+AM97</f>
        <v>65000</v>
      </c>
      <c r="BR97" s="417">
        <f t="shared" si="151"/>
        <v>45000</v>
      </c>
      <c r="BS97" s="417">
        <f t="shared" ref="BS97:BT101" si="152">P97+AS97</f>
        <v>11419056</v>
      </c>
      <c r="BT97" s="417">
        <f t="shared" si="152"/>
        <v>336742</v>
      </c>
      <c r="BU97" s="417">
        <f>R97+AX97</f>
        <v>864135</v>
      </c>
      <c r="BV97" s="418">
        <f>S97+BK97</f>
        <v>50.322299999999991</v>
      </c>
      <c r="BW97" s="418">
        <f t="shared" ref="BW97:BX101" si="153">T97+BI97</f>
        <v>40.997999999999998</v>
      </c>
      <c r="BX97" s="420">
        <f t="shared" si="153"/>
        <v>9.3243000000000009</v>
      </c>
      <c r="BY97" s="419"/>
      <c r="BZ97" s="414"/>
      <c r="CA97" s="414"/>
      <c r="CB97" s="414"/>
      <c r="CC97" s="414"/>
      <c r="CD97" s="509"/>
      <c r="CE97" s="419">
        <v>1530525</v>
      </c>
      <c r="CF97" s="414">
        <v>986999</v>
      </c>
      <c r="CG97" s="414">
        <v>333606</v>
      </c>
      <c r="CH97" s="414">
        <v>9870</v>
      </c>
      <c r="CI97" s="414">
        <v>200050</v>
      </c>
      <c r="CJ97" s="509">
        <v>3.0442999999999998</v>
      </c>
    </row>
    <row r="98" spans="1:88" s="221" customFormat="1">
      <c r="A98" s="223">
        <v>22</v>
      </c>
      <c r="B98" s="224">
        <v>3412</v>
      </c>
      <c r="C98" s="224">
        <v>600078540</v>
      </c>
      <c r="D98" s="224">
        <v>72742879</v>
      </c>
      <c r="E98" s="225" t="s">
        <v>51</v>
      </c>
      <c r="F98" s="224">
        <v>3113</v>
      </c>
      <c r="G98" s="225" t="s">
        <v>291</v>
      </c>
      <c r="H98" s="226" t="s">
        <v>272</v>
      </c>
      <c r="I98" s="419">
        <v>5438436</v>
      </c>
      <c r="J98" s="414">
        <v>4019611</v>
      </c>
      <c r="K98" s="414">
        <v>4019611</v>
      </c>
      <c r="L98" s="414">
        <v>0</v>
      </c>
      <c r="M98" s="414">
        <v>0</v>
      </c>
      <c r="N98" s="414">
        <v>0</v>
      </c>
      <c r="O98" s="414">
        <v>0</v>
      </c>
      <c r="P98" s="68">
        <v>1358629</v>
      </c>
      <c r="Q98" s="68">
        <v>40196</v>
      </c>
      <c r="R98" s="414">
        <v>20000</v>
      </c>
      <c r="S98" s="415">
        <v>10.84</v>
      </c>
      <c r="T98" s="416">
        <v>10.84</v>
      </c>
      <c r="U98" s="422">
        <v>0</v>
      </c>
      <c r="V98" s="423">
        <f t="shared" si="112"/>
        <v>0</v>
      </c>
      <c r="W98" s="417">
        <f t="shared" si="113"/>
        <v>0</v>
      </c>
      <c r="X98" s="417">
        <v>46350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14"/>
        <v>46350</v>
      </c>
      <c r="AF98" s="417">
        <f t="shared" si="115"/>
        <v>0</v>
      </c>
      <c r="AG98" s="417">
        <f t="shared" si="116"/>
        <v>46350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17"/>
        <v>0</v>
      </c>
      <c r="AN98" s="417">
        <f t="shared" si="118"/>
        <v>0</v>
      </c>
      <c r="AO98" s="417">
        <f t="shared" si="119"/>
        <v>0</v>
      </c>
      <c r="AP98" s="417">
        <f t="shared" si="120"/>
        <v>46350</v>
      </c>
      <c r="AQ98" s="417">
        <f t="shared" si="121"/>
        <v>0</v>
      </c>
      <c r="AR98" s="417">
        <f t="shared" si="122"/>
        <v>46350</v>
      </c>
      <c r="AS98" s="68">
        <f t="shared" si="123"/>
        <v>15666</v>
      </c>
      <c r="AT98" s="68">
        <f t="shared" si="124"/>
        <v>464</v>
      </c>
      <c r="AU98" s="417">
        <v>0</v>
      </c>
      <c r="AV98" s="417">
        <v>0</v>
      </c>
      <c r="AW98" s="417">
        <v>0</v>
      </c>
      <c r="AX98" s="417">
        <f t="shared" si="125"/>
        <v>0</v>
      </c>
      <c r="AY98" s="417">
        <f t="shared" si="126"/>
        <v>62480</v>
      </c>
      <c r="AZ98" s="418">
        <v>0</v>
      </c>
      <c r="BA98" s="418">
        <v>0</v>
      </c>
      <c r="BB98" s="418">
        <v>0.13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27"/>
        <v>0.13</v>
      </c>
      <c r="BJ98" s="418">
        <f t="shared" si="128"/>
        <v>0</v>
      </c>
      <c r="BK98" s="420">
        <f t="shared" si="129"/>
        <v>0.13</v>
      </c>
      <c r="BL98" s="772">
        <f>I98+AY98</f>
        <v>5500916</v>
      </c>
      <c r="BM98" s="417">
        <f>J98+AG98</f>
        <v>4065961</v>
      </c>
      <c r="BN98" s="417">
        <f t="shared" si="150"/>
        <v>4065961</v>
      </c>
      <c r="BO98" s="417">
        <f t="shared" si="150"/>
        <v>0</v>
      </c>
      <c r="BP98" s="417">
        <f>M98+AO98</f>
        <v>0</v>
      </c>
      <c r="BQ98" s="417">
        <f t="shared" si="151"/>
        <v>0</v>
      </c>
      <c r="BR98" s="417">
        <f t="shared" si="151"/>
        <v>0</v>
      </c>
      <c r="BS98" s="417">
        <f t="shared" si="152"/>
        <v>1374295</v>
      </c>
      <c r="BT98" s="417">
        <f t="shared" si="152"/>
        <v>40660</v>
      </c>
      <c r="BU98" s="417">
        <f>R98+AX98</f>
        <v>20000</v>
      </c>
      <c r="BV98" s="418">
        <f>S98+BK98</f>
        <v>10.97</v>
      </c>
      <c r="BW98" s="418">
        <f t="shared" si="153"/>
        <v>10.97</v>
      </c>
      <c r="BX98" s="420">
        <f t="shared" si="153"/>
        <v>0</v>
      </c>
      <c r="BY98" s="419"/>
      <c r="BZ98" s="414"/>
      <c r="CA98" s="414"/>
      <c r="CB98" s="414"/>
      <c r="CC98" s="414"/>
      <c r="CD98" s="509"/>
      <c r="CE98" s="419"/>
      <c r="CF98" s="414"/>
      <c r="CG98" s="414"/>
      <c r="CH98" s="414"/>
      <c r="CI98" s="414"/>
      <c r="CJ98" s="509"/>
    </row>
    <row r="99" spans="1:88" s="221" customFormat="1" ht="12.75" customHeight="1">
      <c r="A99" s="223">
        <v>22</v>
      </c>
      <c r="B99" s="224">
        <v>3412</v>
      </c>
      <c r="C99" s="224">
        <v>600078540</v>
      </c>
      <c r="D99" s="224">
        <v>72742879</v>
      </c>
      <c r="E99" s="225" t="s">
        <v>51</v>
      </c>
      <c r="F99" s="224">
        <v>3141</v>
      </c>
      <c r="G99" s="225" t="s">
        <v>294</v>
      </c>
      <c r="H99" s="226" t="s">
        <v>272</v>
      </c>
      <c r="I99" s="419">
        <v>3854248</v>
      </c>
      <c r="J99" s="414">
        <v>2834778</v>
      </c>
      <c r="K99" s="414">
        <v>0</v>
      </c>
      <c r="L99" s="414">
        <v>2834778</v>
      </c>
      <c r="M99" s="414">
        <v>0</v>
      </c>
      <c r="N99" s="414">
        <v>0</v>
      </c>
      <c r="O99" s="414">
        <v>0</v>
      </c>
      <c r="P99" s="68">
        <v>958155</v>
      </c>
      <c r="Q99" s="68">
        <v>28347</v>
      </c>
      <c r="R99" s="414">
        <v>32968</v>
      </c>
      <c r="S99" s="415">
        <v>8.5</v>
      </c>
      <c r="T99" s="416">
        <v>0</v>
      </c>
      <c r="U99" s="422">
        <v>8.5</v>
      </c>
      <c r="V99" s="423">
        <f t="shared" si="112"/>
        <v>0</v>
      </c>
      <c r="W99" s="417">
        <f t="shared" si="113"/>
        <v>0</v>
      </c>
      <c r="X99" s="417">
        <v>0</v>
      </c>
      <c r="Y99" s="417">
        <v>0</v>
      </c>
      <c r="Z99" s="417">
        <v>0</v>
      </c>
      <c r="AA99" s="417">
        <v>14313</v>
      </c>
      <c r="AB99" s="417">
        <v>0</v>
      </c>
      <c r="AC99" s="417">
        <v>0</v>
      </c>
      <c r="AD99" s="417">
        <v>0</v>
      </c>
      <c r="AE99" s="417">
        <f t="shared" si="114"/>
        <v>0</v>
      </c>
      <c r="AF99" s="417">
        <f t="shared" si="115"/>
        <v>14313</v>
      </c>
      <c r="AG99" s="417">
        <f t="shared" si="116"/>
        <v>14313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17"/>
        <v>0</v>
      </c>
      <c r="AN99" s="417">
        <f t="shared" si="118"/>
        <v>0</v>
      </c>
      <c r="AO99" s="417">
        <f t="shared" si="119"/>
        <v>0</v>
      </c>
      <c r="AP99" s="417">
        <f t="shared" si="120"/>
        <v>0</v>
      </c>
      <c r="AQ99" s="417">
        <f t="shared" si="121"/>
        <v>14313</v>
      </c>
      <c r="AR99" s="417">
        <f t="shared" si="122"/>
        <v>14313</v>
      </c>
      <c r="AS99" s="68">
        <f t="shared" si="123"/>
        <v>4838</v>
      </c>
      <c r="AT99" s="68">
        <f t="shared" si="124"/>
        <v>143</v>
      </c>
      <c r="AU99" s="417">
        <v>0</v>
      </c>
      <c r="AV99" s="417">
        <v>0</v>
      </c>
      <c r="AW99" s="417">
        <v>0</v>
      </c>
      <c r="AX99" s="417">
        <f t="shared" si="125"/>
        <v>0</v>
      </c>
      <c r="AY99" s="417">
        <f t="shared" si="126"/>
        <v>19294</v>
      </c>
      <c r="AZ99" s="418">
        <v>0</v>
      </c>
      <c r="BA99" s="418">
        <v>0</v>
      </c>
      <c r="BB99" s="418">
        <v>0</v>
      </c>
      <c r="BC99" s="418">
        <v>0</v>
      </c>
      <c r="BD99" s="418">
        <v>0.05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27"/>
        <v>0</v>
      </c>
      <c r="BJ99" s="418">
        <f t="shared" si="128"/>
        <v>0.05</v>
      </c>
      <c r="BK99" s="420">
        <f t="shared" si="129"/>
        <v>0.05</v>
      </c>
      <c r="BL99" s="772">
        <f>I99+AY99</f>
        <v>3873542</v>
      </c>
      <c r="BM99" s="417">
        <f>J99+AG99</f>
        <v>2849091</v>
      </c>
      <c r="BN99" s="417">
        <f t="shared" si="150"/>
        <v>0</v>
      </c>
      <c r="BO99" s="417">
        <f t="shared" si="150"/>
        <v>2849091</v>
      </c>
      <c r="BP99" s="417">
        <f>M99+AO99</f>
        <v>0</v>
      </c>
      <c r="BQ99" s="417">
        <f t="shared" si="151"/>
        <v>0</v>
      </c>
      <c r="BR99" s="417">
        <f t="shared" si="151"/>
        <v>0</v>
      </c>
      <c r="BS99" s="417">
        <f t="shared" si="152"/>
        <v>962993</v>
      </c>
      <c r="BT99" s="417">
        <f t="shared" si="152"/>
        <v>28490</v>
      </c>
      <c r="BU99" s="417">
        <f>R99+AX99</f>
        <v>32968</v>
      </c>
      <c r="BV99" s="418">
        <f>S99+BK99</f>
        <v>8.5500000000000007</v>
      </c>
      <c r="BW99" s="418">
        <f t="shared" si="153"/>
        <v>0</v>
      </c>
      <c r="BX99" s="420">
        <f t="shared" si="153"/>
        <v>8.5500000000000007</v>
      </c>
      <c r="BY99" s="419"/>
      <c r="BZ99" s="414"/>
      <c r="CA99" s="414"/>
      <c r="CB99" s="414"/>
      <c r="CC99" s="414"/>
      <c r="CD99" s="509"/>
      <c r="CE99" s="419"/>
      <c r="CF99" s="601"/>
      <c r="CG99" s="414"/>
      <c r="CH99" s="414"/>
      <c r="CI99" s="601"/>
      <c r="CJ99" s="603"/>
    </row>
    <row r="100" spans="1:88" s="221" customFormat="1" ht="12.75" customHeight="1">
      <c r="A100" s="223">
        <v>22</v>
      </c>
      <c r="B100" s="224">
        <v>3412</v>
      </c>
      <c r="C100" s="224">
        <v>600078540</v>
      </c>
      <c r="D100" s="224">
        <v>72742879</v>
      </c>
      <c r="E100" s="225" t="s">
        <v>51</v>
      </c>
      <c r="F100" s="224">
        <v>3143</v>
      </c>
      <c r="G100" s="225" t="s">
        <v>595</v>
      </c>
      <c r="H100" s="226" t="s">
        <v>271</v>
      </c>
      <c r="I100" s="419">
        <v>4394944</v>
      </c>
      <c r="J100" s="414">
        <v>3220641</v>
      </c>
      <c r="K100" s="414">
        <v>3220641</v>
      </c>
      <c r="L100" s="414">
        <v>0</v>
      </c>
      <c r="M100" s="414">
        <v>40000</v>
      </c>
      <c r="N100" s="414">
        <v>40000</v>
      </c>
      <c r="O100" s="414">
        <v>0</v>
      </c>
      <c r="P100" s="68">
        <v>1102097</v>
      </c>
      <c r="Q100" s="68">
        <v>32206</v>
      </c>
      <c r="R100" s="414">
        <v>0</v>
      </c>
      <c r="S100" s="415">
        <v>6.1460999999999997</v>
      </c>
      <c r="T100" s="416">
        <v>6.1460999999999997</v>
      </c>
      <c r="U100" s="422">
        <v>0</v>
      </c>
      <c r="V100" s="423">
        <f t="shared" si="112"/>
        <v>0</v>
      </c>
      <c r="W100" s="417">
        <f t="shared" si="113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14"/>
        <v>0</v>
      </c>
      <c r="AF100" s="417">
        <f t="shared" si="115"/>
        <v>0</v>
      </c>
      <c r="AG100" s="417">
        <f t="shared" si="116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17"/>
        <v>0</v>
      </c>
      <c r="AN100" s="417">
        <f t="shared" si="118"/>
        <v>0</v>
      </c>
      <c r="AO100" s="417">
        <f t="shared" si="119"/>
        <v>0</v>
      </c>
      <c r="AP100" s="417">
        <f t="shared" si="120"/>
        <v>0</v>
      </c>
      <c r="AQ100" s="417">
        <f t="shared" si="121"/>
        <v>0</v>
      </c>
      <c r="AR100" s="417">
        <f t="shared" si="122"/>
        <v>0</v>
      </c>
      <c r="AS100" s="68">
        <f t="shared" si="123"/>
        <v>0</v>
      </c>
      <c r="AT100" s="68">
        <f t="shared" si="124"/>
        <v>0</v>
      </c>
      <c r="AU100" s="417">
        <v>0</v>
      </c>
      <c r="AV100" s="417">
        <v>0</v>
      </c>
      <c r="AW100" s="417">
        <v>0</v>
      </c>
      <c r="AX100" s="417">
        <f t="shared" si="125"/>
        <v>0</v>
      </c>
      <c r="AY100" s="417">
        <f t="shared" si="126"/>
        <v>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27"/>
        <v>0</v>
      </c>
      <c r="BJ100" s="418">
        <f t="shared" si="128"/>
        <v>0</v>
      </c>
      <c r="BK100" s="420">
        <f t="shared" si="129"/>
        <v>0</v>
      </c>
      <c r="BL100" s="772">
        <f>I100+AY100</f>
        <v>4394944</v>
      </c>
      <c r="BM100" s="417">
        <f>J100+AG100</f>
        <v>3220641</v>
      </c>
      <c r="BN100" s="417">
        <f t="shared" si="150"/>
        <v>3220641</v>
      </c>
      <c r="BO100" s="417">
        <f t="shared" si="150"/>
        <v>0</v>
      </c>
      <c r="BP100" s="417">
        <f>M100+AO100</f>
        <v>40000</v>
      </c>
      <c r="BQ100" s="417">
        <f t="shared" si="151"/>
        <v>40000</v>
      </c>
      <c r="BR100" s="417">
        <f t="shared" si="151"/>
        <v>0</v>
      </c>
      <c r="BS100" s="417">
        <f t="shared" si="152"/>
        <v>1102097</v>
      </c>
      <c r="BT100" s="417">
        <f t="shared" si="152"/>
        <v>32206</v>
      </c>
      <c r="BU100" s="417">
        <f>R100+AX100</f>
        <v>0</v>
      </c>
      <c r="BV100" s="418">
        <f>S100+BK100</f>
        <v>6.1460999999999997</v>
      </c>
      <c r="BW100" s="418">
        <f t="shared" si="153"/>
        <v>6.1460999999999997</v>
      </c>
      <c r="BX100" s="420">
        <f t="shared" si="153"/>
        <v>0</v>
      </c>
      <c r="BY100" s="419"/>
      <c r="BZ100" s="414"/>
      <c r="CA100" s="414"/>
      <c r="CB100" s="414"/>
      <c r="CC100" s="414"/>
      <c r="CD100" s="509"/>
      <c r="CE100" s="419"/>
      <c r="CF100" s="414"/>
      <c r="CG100" s="414"/>
      <c r="CH100" s="414"/>
      <c r="CI100" s="414"/>
      <c r="CJ100" s="509"/>
    </row>
    <row r="101" spans="1:88" s="221" customFormat="1" ht="12.75" customHeight="1">
      <c r="A101" s="223">
        <v>22</v>
      </c>
      <c r="B101" s="224">
        <v>3412</v>
      </c>
      <c r="C101" s="224">
        <v>600078540</v>
      </c>
      <c r="D101" s="224">
        <v>72742879</v>
      </c>
      <c r="E101" s="225" t="s">
        <v>51</v>
      </c>
      <c r="F101" s="224">
        <v>3143</v>
      </c>
      <c r="G101" s="225" t="s">
        <v>596</v>
      </c>
      <c r="H101" s="226" t="s">
        <v>272</v>
      </c>
      <c r="I101" s="419">
        <v>161364</v>
      </c>
      <c r="J101" s="414">
        <v>115500</v>
      </c>
      <c r="K101" s="414">
        <v>0</v>
      </c>
      <c r="L101" s="414">
        <v>115500</v>
      </c>
      <c r="M101" s="414">
        <v>0</v>
      </c>
      <c r="N101" s="414">
        <v>0</v>
      </c>
      <c r="O101" s="414">
        <v>0</v>
      </c>
      <c r="P101" s="68">
        <v>39039</v>
      </c>
      <c r="Q101" s="68">
        <v>1155</v>
      </c>
      <c r="R101" s="414">
        <v>5670</v>
      </c>
      <c r="S101" s="415">
        <v>0.43999999999999995</v>
      </c>
      <c r="T101" s="416">
        <v>0</v>
      </c>
      <c r="U101" s="422">
        <v>0.43999999999999995</v>
      </c>
      <c r="V101" s="423">
        <f t="shared" si="112"/>
        <v>0</v>
      </c>
      <c r="W101" s="417">
        <f t="shared" si="113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14"/>
        <v>0</v>
      </c>
      <c r="AF101" s="417">
        <f t="shared" si="115"/>
        <v>0</v>
      </c>
      <c r="AG101" s="417">
        <f t="shared" si="116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17"/>
        <v>0</v>
      </c>
      <c r="AN101" s="417">
        <f t="shared" si="118"/>
        <v>0</v>
      </c>
      <c r="AO101" s="417">
        <f t="shared" si="119"/>
        <v>0</v>
      </c>
      <c r="AP101" s="417">
        <f t="shared" si="120"/>
        <v>0</v>
      </c>
      <c r="AQ101" s="417">
        <f t="shared" si="121"/>
        <v>0</v>
      </c>
      <c r="AR101" s="417">
        <f t="shared" si="122"/>
        <v>0</v>
      </c>
      <c r="AS101" s="68">
        <f t="shared" si="123"/>
        <v>0</v>
      </c>
      <c r="AT101" s="68">
        <f t="shared" si="124"/>
        <v>0</v>
      </c>
      <c r="AU101" s="417">
        <v>0</v>
      </c>
      <c r="AV101" s="417">
        <v>0</v>
      </c>
      <c r="AW101" s="417">
        <v>0</v>
      </c>
      <c r="AX101" s="417">
        <f t="shared" si="125"/>
        <v>0</v>
      </c>
      <c r="AY101" s="417">
        <f t="shared" si="126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27"/>
        <v>0</v>
      </c>
      <c r="BJ101" s="418">
        <f t="shared" si="128"/>
        <v>0</v>
      </c>
      <c r="BK101" s="420">
        <f t="shared" si="129"/>
        <v>0</v>
      </c>
      <c r="BL101" s="772">
        <f>I101+AY101</f>
        <v>161364</v>
      </c>
      <c r="BM101" s="417">
        <f>J101+AG101</f>
        <v>115500</v>
      </c>
      <c r="BN101" s="417">
        <f t="shared" si="150"/>
        <v>0</v>
      </c>
      <c r="BO101" s="417">
        <f t="shared" si="150"/>
        <v>115500</v>
      </c>
      <c r="BP101" s="417">
        <f>M101+AO101</f>
        <v>0</v>
      </c>
      <c r="BQ101" s="417">
        <f t="shared" si="151"/>
        <v>0</v>
      </c>
      <c r="BR101" s="417">
        <f t="shared" si="151"/>
        <v>0</v>
      </c>
      <c r="BS101" s="417">
        <f t="shared" si="152"/>
        <v>39039</v>
      </c>
      <c r="BT101" s="417">
        <f t="shared" si="152"/>
        <v>1155</v>
      </c>
      <c r="BU101" s="417">
        <f>R101+AX101</f>
        <v>5670</v>
      </c>
      <c r="BV101" s="418">
        <f>S101+BK101</f>
        <v>0.43999999999999995</v>
      </c>
      <c r="BW101" s="418">
        <f t="shared" si="153"/>
        <v>0</v>
      </c>
      <c r="BX101" s="420">
        <f t="shared" si="153"/>
        <v>0.43999999999999995</v>
      </c>
      <c r="BY101" s="419"/>
      <c r="BZ101" s="414"/>
      <c r="CA101" s="414"/>
      <c r="CB101" s="414"/>
      <c r="CC101" s="414"/>
      <c r="CD101" s="509"/>
      <c r="CE101" s="419"/>
      <c r="CF101" s="601"/>
      <c r="CG101" s="414"/>
      <c r="CH101" s="414"/>
      <c r="CI101" s="602"/>
      <c r="CJ101" s="603"/>
    </row>
    <row r="102" spans="1:88" s="221" customFormat="1" ht="12.75" customHeight="1">
      <c r="A102" s="153">
        <v>22</v>
      </c>
      <c r="B102" s="14">
        <v>3412</v>
      </c>
      <c r="C102" s="152">
        <v>600078540</v>
      </c>
      <c r="D102" s="152">
        <v>72742879</v>
      </c>
      <c r="E102" s="222" t="s">
        <v>52</v>
      </c>
      <c r="F102" s="14"/>
      <c r="G102" s="222"/>
      <c r="H102" s="558"/>
      <c r="I102" s="504">
        <v>60234239</v>
      </c>
      <c r="J102" s="503">
        <v>43813083</v>
      </c>
      <c r="K102" s="503">
        <v>37832737</v>
      </c>
      <c r="L102" s="503">
        <v>5980346</v>
      </c>
      <c r="M102" s="503">
        <v>200730</v>
      </c>
      <c r="N102" s="503">
        <v>155730</v>
      </c>
      <c r="O102" s="503">
        <v>45000</v>
      </c>
      <c r="P102" s="503">
        <v>14859523</v>
      </c>
      <c r="Q102" s="503">
        <v>438130</v>
      </c>
      <c r="R102" s="503">
        <v>922773</v>
      </c>
      <c r="S102" s="543">
        <v>76.178399999999996</v>
      </c>
      <c r="T102" s="543">
        <v>57.914099999999998</v>
      </c>
      <c r="U102" s="1084">
        <v>18.264300000000002</v>
      </c>
      <c r="V102" s="504">
        <f t="shared" ref="V102:CG102" si="154">SUM(V97:V101)</f>
        <v>0</v>
      </c>
      <c r="W102" s="503">
        <f t="shared" si="154"/>
        <v>0</v>
      </c>
      <c r="X102" s="503">
        <f t="shared" si="154"/>
        <v>46350</v>
      </c>
      <c r="Y102" s="503">
        <f t="shared" si="154"/>
        <v>51636</v>
      </c>
      <c r="Z102" s="503">
        <f t="shared" si="154"/>
        <v>0</v>
      </c>
      <c r="AA102" s="503">
        <f t="shared" si="154"/>
        <v>14313</v>
      </c>
      <c r="AB102" s="503">
        <f t="shared" si="154"/>
        <v>0</v>
      </c>
      <c r="AC102" s="503">
        <f t="shared" si="154"/>
        <v>0</v>
      </c>
      <c r="AD102" s="503">
        <f t="shared" si="154"/>
        <v>0</v>
      </c>
      <c r="AE102" s="503">
        <f t="shared" si="154"/>
        <v>97986</v>
      </c>
      <c r="AF102" s="503">
        <f t="shared" si="154"/>
        <v>14313</v>
      </c>
      <c r="AG102" s="503">
        <f t="shared" si="154"/>
        <v>112299</v>
      </c>
      <c r="AH102" s="503">
        <f t="shared" si="154"/>
        <v>0</v>
      </c>
      <c r="AI102" s="503">
        <f t="shared" si="154"/>
        <v>0</v>
      </c>
      <c r="AJ102" s="503">
        <f t="shared" si="154"/>
        <v>0</v>
      </c>
      <c r="AK102" s="503">
        <f t="shared" si="154"/>
        <v>-50730</v>
      </c>
      <c r="AL102" s="503">
        <f t="shared" si="154"/>
        <v>0</v>
      </c>
      <c r="AM102" s="503">
        <f t="shared" si="154"/>
        <v>-50730</v>
      </c>
      <c r="AN102" s="503">
        <f t="shared" si="154"/>
        <v>0</v>
      </c>
      <c r="AO102" s="503">
        <f t="shared" si="154"/>
        <v>-50730</v>
      </c>
      <c r="AP102" s="503">
        <f t="shared" si="154"/>
        <v>47256</v>
      </c>
      <c r="AQ102" s="503">
        <f t="shared" si="154"/>
        <v>14313</v>
      </c>
      <c r="AR102" s="503">
        <f t="shared" si="154"/>
        <v>61569</v>
      </c>
      <c r="AS102" s="503">
        <f t="shared" si="154"/>
        <v>37957</v>
      </c>
      <c r="AT102" s="503">
        <f t="shared" si="154"/>
        <v>1123</v>
      </c>
      <c r="AU102" s="503">
        <f t="shared" si="154"/>
        <v>0</v>
      </c>
      <c r="AV102" s="503">
        <f t="shared" si="154"/>
        <v>0</v>
      </c>
      <c r="AW102" s="503">
        <f t="shared" si="154"/>
        <v>0</v>
      </c>
      <c r="AX102" s="503">
        <f t="shared" si="154"/>
        <v>0</v>
      </c>
      <c r="AY102" s="503">
        <f t="shared" si="154"/>
        <v>100649</v>
      </c>
      <c r="AZ102" s="543">
        <f t="shared" si="154"/>
        <v>0</v>
      </c>
      <c r="BA102" s="543">
        <f t="shared" si="154"/>
        <v>0</v>
      </c>
      <c r="BB102" s="543">
        <f t="shared" si="154"/>
        <v>0.13</v>
      </c>
      <c r="BC102" s="543">
        <f t="shared" si="154"/>
        <v>0</v>
      </c>
      <c r="BD102" s="543">
        <f t="shared" si="154"/>
        <v>0.05</v>
      </c>
      <c r="BE102" s="543">
        <f t="shared" si="154"/>
        <v>7.0000000000000007E-2</v>
      </c>
      <c r="BF102" s="543">
        <f t="shared" si="154"/>
        <v>0</v>
      </c>
      <c r="BG102" s="543">
        <f t="shared" si="154"/>
        <v>0</v>
      </c>
      <c r="BH102" s="543">
        <f t="shared" si="154"/>
        <v>0</v>
      </c>
      <c r="BI102" s="543">
        <f t="shared" si="154"/>
        <v>0.2</v>
      </c>
      <c r="BJ102" s="543">
        <f t="shared" si="154"/>
        <v>0.05</v>
      </c>
      <c r="BK102" s="441">
        <f t="shared" si="154"/>
        <v>0.25</v>
      </c>
      <c r="BL102" s="788">
        <f t="shared" si="154"/>
        <v>60334888</v>
      </c>
      <c r="BM102" s="503">
        <f t="shared" si="154"/>
        <v>43925382</v>
      </c>
      <c r="BN102" s="503">
        <f t="shared" si="154"/>
        <v>37930723</v>
      </c>
      <c r="BO102" s="503">
        <f t="shared" si="154"/>
        <v>5994659</v>
      </c>
      <c r="BP102" s="503">
        <f t="shared" si="154"/>
        <v>150000</v>
      </c>
      <c r="BQ102" s="503">
        <f t="shared" si="154"/>
        <v>105000</v>
      </c>
      <c r="BR102" s="503">
        <f t="shared" si="154"/>
        <v>45000</v>
      </c>
      <c r="BS102" s="503">
        <f t="shared" si="154"/>
        <v>14897480</v>
      </c>
      <c r="BT102" s="503">
        <f t="shared" si="154"/>
        <v>439253</v>
      </c>
      <c r="BU102" s="503">
        <f t="shared" si="154"/>
        <v>922773</v>
      </c>
      <c r="BV102" s="543">
        <f t="shared" si="154"/>
        <v>76.428399999999996</v>
      </c>
      <c r="BW102" s="543">
        <f t="shared" si="154"/>
        <v>58.114099999999993</v>
      </c>
      <c r="BX102" s="441">
        <f t="shared" si="154"/>
        <v>18.314300000000003</v>
      </c>
      <c r="BY102" s="799">
        <f t="shared" si="154"/>
        <v>0</v>
      </c>
      <c r="BZ102" s="705">
        <f t="shared" si="154"/>
        <v>0</v>
      </c>
      <c r="CA102" s="705">
        <f t="shared" si="154"/>
        <v>0</v>
      </c>
      <c r="CB102" s="705">
        <f t="shared" si="154"/>
        <v>0</v>
      </c>
      <c r="CC102" s="705">
        <f t="shared" si="154"/>
        <v>0</v>
      </c>
      <c r="CD102" s="800">
        <f t="shared" si="154"/>
        <v>0</v>
      </c>
      <c r="CE102" s="896">
        <f t="shared" si="154"/>
        <v>1530525</v>
      </c>
      <c r="CF102" s="897">
        <f t="shared" si="154"/>
        <v>986999</v>
      </c>
      <c r="CG102" s="897">
        <f t="shared" si="154"/>
        <v>333606</v>
      </c>
      <c r="CH102" s="897">
        <f t="shared" ref="CH102:CJ102" si="155">SUM(CH97:CH101)</f>
        <v>9870</v>
      </c>
      <c r="CI102" s="897">
        <f t="shared" si="155"/>
        <v>200050</v>
      </c>
      <c r="CJ102" s="898">
        <f t="shared" si="155"/>
        <v>3.0442999999999998</v>
      </c>
    </row>
    <row r="103" spans="1:88" s="221" customFormat="1" ht="12" customHeight="1">
      <c r="A103" s="223">
        <v>23</v>
      </c>
      <c r="B103" s="224">
        <v>3416</v>
      </c>
      <c r="C103" s="224">
        <v>600078426</v>
      </c>
      <c r="D103" s="224">
        <v>72743034</v>
      </c>
      <c r="E103" s="225" t="s">
        <v>53</v>
      </c>
      <c r="F103" s="224">
        <v>3113</v>
      </c>
      <c r="G103" s="225" t="s">
        <v>293</v>
      </c>
      <c r="H103" s="226" t="s">
        <v>271</v>
      </c>
      <c r="I103" s="419">
        <v>39803361</v>
      </c>
      <c r="J103" s="414">
        <v>28710096</v>
      </c>
      <c r="K103" s="414">
        <v>25974308</v>
      </c>
      <c r="L103" s="414">
        <v>2735788</v>
      </c>
      <c r="M103" s="414">
        <v>287000</v>
      </c>
      <c r="N103" s="414">
        <v>282000</v>
      </c>
      <c r="O103" s="414">
        <v>5000</v>
      </c>
      <c r="P103" s="68">
        <v>9801019</v>
      </c>
      <c r="Q103" s="68">
        <v>287101</v>
      </c>
      <c r="R103" s="414">
        <v>718145</v>
      </c>
      <c r="S103" s="415">
        <v>44.173100000000005</v>
      </c>
      <c r="T103" s="416">
        <v>35.818300000000001</v>
      </c>
      <c r="U103" s="422">
        <v>8.3548000000000009</v>
      </c>
      <c r="V103" s="423">
        <f t="shared" si="112"/>
        <v>0</v>
      </c>
      <c r="W103" s="417">
        <f t="shared" si="113"/>
        <v>-11000</v>
      </c>
      <c r="X103" s="417">
        <v>0</v>
      </c>
      <c r="Y103" s="417">
        <v>0</v>
      </c>
      <c r="Z103" s="417">
        <v>273009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14"/>
        <v>273009</v>
      </c>
      <c r="AF103" s="417">
        <f t="shared" si="115"/>
        <v>-11000</v>
      </c>
      <c r="AG103" s="417">
        <f t="shared" si="116"/>
        <v>262009</v>
      </c>
      <c r="AH103" s="417">
        <v>0</v>
      </c>
      <c r="AI103" s="417">
        <v>11000</v>
      </c>
      <c r="AJ103" s="417">
        <v>0</v>
      </c>
      <c r="AK103" s="417">
        <v>0</v>
      </c>
      <c r="AL103" s="417">
        <v>0</v>
      </c>
      <c r="AM103" s="417">
        <f t="shared" si="117"/>
        <v>0</v>
      </c>
      <c r="AN103" s="417">
        <f t="shared" si="118"/>
        <v>11000</v>
      </c>
      <c r="AO103" s="417">
        <f t="shared" si="119"/>
        <v>11000</v>
      </c>
      <c r="AP103" s="417">
        <f t="shared" si="120"/>
        <v>273009</v>
      </c>
      <c r="AQ103" s="417">
        <f t="shared" si="121"/>
        <v>0</v>
      </c>
      <c r="AR103" s="417">
        <f t="shared" si="122"/>
        <v>273009</v>
      </c>
      <c r="AS103" s="68">
        <f t="shared" si="123"/>
        <v>92277</v>
      </c>
      <c r="AT103" s="68">
        <f t="shared" si="124"/>
        <v>2620</v>
      </c>
      <c r="AU103" s="417">
        <v>0</v>
      </c>
      <c r="AV103" s="417">
        <v>0</v>
      </c>
      <c r="AW103" s="417">
        <v>0</v>
      </c>
      <c r="AX103" s="417">
        <f t="shared" si="125"/>
        <v>0</v>
      </c>
      <c r="AY103" s="417">
        <f t="shared" si="126"/>
        <v>367906</v>
      </c>
      <c r="AZ103" s="418">
        <v>0</v>
      </c>
      <c r="BA103" s="418">
        <v>-0.04</v>
      </c>
      <c r="BB103" s="418">
        <v>0</v>
      </c>
      <c r="BC103" s="418">
        <v>0.55000000000000004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27"/>
        <v>0.55000000000000004</v>
      </c>
      <c r="BJ103" s="418">
        <f t="shared" si="128"/>
        <v>-0.04</v>
      </c>
      <c r="BK103" s="420">
        <f t="shared" si="129"/>
        <v>0.51</v>
      </c>
      <c r="BL103" s="772">
        <f>I103+AY103</f>
        <v>40171267</v>
      </c>
      <c r="BM103" s="417">
        <f>J103+AG103</f>
        <v>28972105</v>
      </c>
      <c r="BN103" s="417">
        <f t="shared" ref="BN103:BO107" si="156">K103+AE103</f>
        <v>26247317</v>
      </c>
      <c r="BO103" s="417">
        <f t="shared" si="156"/>
        <v>2724788</v>
      </c>
      <c r="BP103" s="417">
        <f>M103+AO103</f>
        <v>298000</v>
      </c>
      <c r="BQ103" s="417">
        <f t="shared" ref="BQ103:BR107" si="157">N103+AM103</f>
        <v>282000</v>
      </c>
      <c r="BR103" s="417">
        <f t="shared" si="157"/>
        <v>16000</v>
      </c>
      <c r="BS103" s="417">
        <f t="shared" ref="BS103:BT107" si="158">P103+AS103</f>
        <v>9893296</v>
      </c>
      <c r="BT103" s="417">
        <f t="shared" si="158"/>
        <v>289721</v>
      </c>
      <c r="BU103" s="417">
        <f>R103+AX103</f>
        <v>718145</v>
      </c>
      <c r="BV103" s="418">
        <f>S103+BK103</f>
        <v>44.683100000000003</v>
      </c>
      <c r="BW103" s="418">
        <f t="shared" ref="BW103:BX107" si="159">T103+BI103</f>
        <v>36.368299999999998</v>
      </c>
      <c r="BX103" s="420">
        <f t="shared" si="159"/>
        <v>8.3148000000000017</v>
      </c>
      <c r="BY103" s="419">
        <v>757452</v>
      </c>
      <c r="BZ103" s="414">
        <v>282000</v>
      </c>
      <c r="CA103" s="414">
        <v>282000</v>
      </c>
      <c r="CB103" s="414">
        <v>190632</v>
      </c>
      <c r="CC103" s="414">
        <v>2820</v>
      </c>
      <c r="CD103" s="509">
        <v>0.5</v>
      </c>
      <c r="CE103" s="419">
        <v>1356810</v>
      </c>
      <c r="CF103" s="414">
        <v>879679</v>
      </c>
      <c r="CG103" s="414">
        <v>297332</v>
      </c>
      <c r="CH103" s="414">
        <v>8797</v>
      </c>
      <c r="CI103" s="414">
        <v>171002</v>
      </c>
      <c r="CJ103" s="509">
        <v>2.6880999999999999</v>
      </c>
    </row>
    <row r="104" spans="1:88" s="221" customFormat="1" ht="12" customHeight="1">
      <c r="A104" s="223">
        <v>23</v>
      </c>
      <c r="B104" s="224">
        <v>3416</v>
      </c>
      <c r="C104" s="224">
        <v>600078426</v>
      </c>
      <c r="D104" s="224">
        <v>72743034</v>
      </c>
      <c r="E104" s="225" t="s">
        <v>53</v>
      </c>
      <c r="F104" s="224">
        <v>3113</v>
      </c>
      <c r="G104" s="225" t="s">
        <v>291</v>
      </c>
      <c r="H104" s="226" t="s">
        <v>272</v>
      </c>
      <c r="I104" s="419">
        <v>5664680</v>
      </c>
      <c r="J104" s="414">
        <v>4199873</v>
      </c>
      <c r="K104" s="414">
        <v>4199873</v>
      </c>
      <c r="L104" s="414">
        <v>0</v>
      </c>
      <c r="M104" s="414">
        <v>0</v>
      </c>
      <c r="N104" s="414">
        <v>0</v>
      </c>
      <c r="O104" s="414">
        <v>0</v>
      </c>
      <c r="P104" s="68">
        <v>1419558</v>
      </c>
      <c r="Q104" s="68">
        <v>41999</v>
      </c>
      <c r="R104" s="414">
        <v>3250</v>
      </c>
      <c r="S104" s="415">
        <v>11.01</v>
      </c>
      <c r="T104" s="416">
        <v>11.01</v>
      </c>
      <c r="U104" s="422">
        <v>0</v>
      </c>
      <c r="V104" s="423">
        <f t="shared" si="112"/>
        <v>0</v>
      </c>
      <c r="W104" s="417">
        <f t="shared" si="113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14"/>
        <v>0</v>
      </c>
      <c r="AF104" s="417">
        <f t="shared" si="115"/>
        <v>0</v>
      </c>
      <c r="AG104" s="417">
        <f t="shared" si="116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17"/>
        <v>0</v>
      </c>
      <c r="AN104" s="417">
        <f t="shared" si="118"/>
        <v>0</v>
      </c>
      <c r="AO104" s="417">
        <f t="shared" si="119"/>
        <v>0</v>
      </c>
      <c r="AP104" s="417">
        <f t="shared" si="120"/>
        <v>0</v>
      </c>
      <c r="AQ104" s="417">
        <f t="shared" si="121"/>
        <v>0</v>
      </c>
      <c r="AR104" s="417">
        <f t="shared" si="122"/>
        <v>0</v>
      </c>
      <c r="AS104" s="68">
        <f t="shared" si="123"/>
        <v>0</v>
      </c>
      <c r="AT104" s="68">
        <f t="shared" si="124"/>
        <v>0</v>
      </c>
      <c r="AU104" s="417">
        <v>0</v>
      </c>
      <c r="AV104" s="417">
        <v>0</v>
      </c>
      <c r="AW104" s="417">
        <v>0</v>
      </c>
      <c r="AX104" s="417">
        <f t="shared" si="125"/>
        <v>0</v>
      </c>
      <c r="AY104" s="417">
        <f t="shared" si="126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27"/>
        <v>0</v>
      </c>
      <c r="BJ104" s="418">
        <f t="shared" si="128"/>
        <v>0</v>
      </c>
      <c r="BK104" s="420">
        <f t="shared" si="129"/>
        <v>0</v>
      </c>
      <c r="BL104" s="772">
        <f>I104+AY104</f>
        <v>5664680</v>
      </c>
      <c r="BM104" s="417">
        <f>J104+AG104</f>
        <v>4199873</v>
      </c>
      <c r="BN104" s="417">
        <f t="shared" si="156"/>
        <v>4199873</v>
      </c>
      <c r="BO104" s="417">
        <f t="shared" si="156"/>
        <v>0</v>
      </c>
      <c r="BP104" s="417">
        <f>M104+AO104</f>
        <v>0</v>
      </c>
      <c r="BQ104" s="417">
        <f t="shared" si="157"/>
        <v>0</v>
      </c>
      <c r="BR104" s="417">
        <f t="shared" si="157"/>
        <v>0</v>
      </c>
      <c r="BS104" s="417">
        <f t="shared" si="158"/>
        <v>1419558</v>
      </c>
      <c r="BT104" s="417">
        <f t="shared" si="158"/>
        <v>41999</v>
      </c>
      <c r="BU104" s="417">
        <f>R104+AX104</f>
        <v>3250</v>
      </c>
      <c r="BV104" s="418">
        <f>S104+BK104</f>
        <v>11.01</v>
      </c>
      <c r="BW104" s="418">
        <f t="shared" si="159"/>
        <v>11.01</v>
      </c>
      <c r="BX104" s="420">
        <f t="shared" si="159"/>
        <v>0</v>
      </c>
      <c r="BY104" s="419"/>
      <c r="BZ104" s="414"/>
      <c r="CA104" s="414"/>
      <c r="CB104" s="414"/>
      <c r="CC104" s="414"/>
      <c r="CD104" s="509"/>
      <c r="CE104" s="419"/>
      <c r="CF104" s="414"/>
      <c r="CG104" s="414"/>
      <c r="CH104" s="414"/>
      <c r="CI104" s="414"/>
      <c r="CJ104" s="509"/>
    </row>
    <row r="105" spans="1:88" s="221" customFormat="1" ht="12.75" customHeight="1">
      <c r="A105" s="223">
        <v>23</v>
      </c>
      <c r="B105" s="224">
        <v>3416</v>
      </c>
      <c r="C105" s="224">
        <v>600078426</v>
      </c>
      <c r="D105" s="224">
        <v>72743034</v>
      </c>
      <c r="E105" s="225" t="s">
        <v>53</v>
      </c>
      <c r="F105" s="224">
        <v>3141</v>
      </c>
      <c r="G105" s="225" t="s">
        <v>294</v>
      </c>
      <c r="H105" s="226" t="s">
        <v>272</v>
      </c>
      <c r="I105" s="419">
        <v>3215262</v>
      </c>
      <c r="J105" s="414">
        <v>2365690</v>
      </c>
      <c r="K105" s="414">
        <v>0</v>
      </c>
      <c r="L105" s="414">
        <v>2365690</v>
      </c>
      <c r="M105" s="414">
        <v>0</v>
      </c>
      <c r="N105" s="414">
        <v>0</v>
      </c>
      <c r="O105" s="414">
        <v>0</v>
      </c>
      <c r="P105" s="68">
        <v>799603</v>
      </c>
      <c r="Q105" s="68">
        <v>23657</v>
      </c>
      <c r="R105" s="414">
        <v>26312</v>
      </c>
      <c r="S105" s="415">
        <v>7.09</v>
      </c>
      <c r="T105" s="416">
        <v>0</v>
      </c>
      <c r="U105" s="422">
        <v>7.09</v>
      </c>
      <c r="V105" s="423">
        <f t="shared" si="112"/>
        <v>0</v>
      </c>
      <c r="W105" s="417">
        <f t="shared" si="113"/>
        <v>0</v>
      </c>
      <c r="X105" s="417">
        <v>0</v>
      </c>
      <c r="Y105" s="417">
        <v>0</v>
      </c>
      <c r="Z105" s="417">
        <v>0</v>
      </c>
      <c r="AA105" s="417">
        <v>6245</v>
      </c>
      <c r="AB105" s="417">
        <v>0</v>
      </c>
      <c r="AC105" s="417">
        <v>0</v>
      </c>
      <c r="AD105" s="417">
        <v>0</v>
      </c>
      <c r="AE105" s="417">
        <f t="shared" si="114"/>
        <v>0</v>
      </c>
      <c r="AF105" s="417">
        <f t="shared" si="115"/>
        <v>6245</v>
      </c>
      <c r="AG105" s="417">
        <f t="shared" si="116"/>
        <v>6245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17"/>
        <v>0</v>
      </c>
      <c r="AN105" s="417">
        <f t="shared" si="118"/>
        <v>0</v>
      </c>
      <c r="AO105" s="417">
        <f t="shared" si="119"/>
        <v>0</v>
      </c>
      <c r="AP105" s="417">
        <f t="shared" si="120"/>
        <v>0</v>
      </c>
      <c r="AQ105" s="417">
        <f t="shared" si="121"/>
        <v>6245</v>
      </c>
      <c r="AR105" s="417">
        <f t="shared" si="122"/>
        <v>6245</v>
      </c>
      <c r="AS105" s="68">
        <f t="shared" si="123"/>
        <v>2111</v>
      </c>
      <c r="AT105" s="68">
        <f t="shared" si="124"/>
        <v>62</v>
      </c>
      <c r="AU105" s="417">
        <v>0</v>
      </c>
      <c r="AV105" s="417">
        <v>0</v>
      </c>
      <c r="AW105" s="417">
        <v>0</v>
      </c>
      <c r="AX105" s="417">
        <f t="shared" si="125"/>
        <v>0</v>
      </c>
      <c r="AY105" s="417">
        <f t="shared" si="126"/>
        <v>8418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0.02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27"/>
        <v>0</v>
      </c>
      <c r="BJ105" s="418">
        <f t="shared" si="128"/>
        <v>0.02</v>
      </c>
      <c r="BK105" s="420">
        <f t="shared" si="129"/>
        <v>0.02</v>
      </c>
      <c r="BL105" s="772">
        <f>I105+AY105</f>
        <v>3223680</v>
      </c>
      <c r="BM105" s="417">
        <f>J105+AG105</f>
        <v>2371935</v>
      </c>
      <c r="BN105" s="417">
        <f t="shared" si="156"/>
        <v>0</v>
      </c>
      <c r="BO105" s="417">
        <f t="shared" si="156"/>
        <v>2371935</v>
      </c>
      <c r="BP105" s="417">
        <f>M105+AO105</f>
        <v>0</v>
      </c>
      <c r="BQ105" s="417">
        <f t="shared" si="157"/>
        <v>0</v>
      </c>
      <c r="BR105" s="417">
        <f t="shared" si="157"/>
        <v>0</v>
      </c>
      <c r="BS105" s="417">
        <f t="shared" si="158"/>
        <v>801714</v>
      </c>
      <c r="BT105" s="417">
        <f t="shared" si="158"/>
        <v>23719</v>
      </c>
      <c r="BU105" s="417">
        <f>R105+AX105</f>
        <v>26312</v>
      </c>
      <c r="BV105" s="418">
        <f>S105+BK105</f>
        <v>7.1099999999999994</v>
      </c>
      <c r="BW105" s="418">
        <f t="shared" si="159"/>
        <v>0</v>
      </c>
      <c r="BX105" s="420">
        <f t="shared" si="159"/>
        <v>7.1099999999999994</v>
      </c>
      <c r="BY105" s="419"/>
      <c r="BZ105" s="414"/>
      <c r="CA105" s="414"/>
      <c r="CB105" s="414"/>
      <c r="CC105" s="414"/>
      <c r="CD105" s="509"/>
      <c r="CE105" s="419"/>
      <c r="CF105" s="601"/>
      <c r="CG105" s="414"/>
      <c r="CH105" s="414"/>
      <c r="CI105" s="601"/>
      <c r="CJ105" s="603"/>
    </row>
    <row r="106" spans="1:88" s="221" customFormat="1" ht="12.75" customHeight="1">
      <c r="A106" s="223">
        <v>23</v>
      </c>
      <c r="B106" s="224">
        <v>3416</v>
      </c>
      <c r="C106" s="224">
        <v>600078426</v>
      </c>
      <c r="D106" s="224">
        <v>72743034</v>
      </c>
      <c r="E106" s="225" t="s">
        <v>53</v>
      </c>
      <c r="F106" s="224">
        <v>3143</v>
      </c>
      <c r="G106" s="225" t="s">
        <v>595</v>
      </c>
      <c r="H106" s="226" t="s">
        <v>271</v>
      </c>
      <c r="I106" s="419">
        <v>4032350</v>
      </c>
      <c r="J106" s="414">
        <v>2991357</v>
      </c>
      <c r="K106" s="414">
        <v>2991357</v>
      </c>
      <c r="L106" s="414">
        <v>0</v>
      </c>
      <c r="M106" s="414">
        <v>0</v>
      </c>
      <c r="N106" s="414">
        <v>0</v>
      </c>
      <c r="O106" s="414">
        <v>0</v>
      </c>
      <c r="P106" s="68">
        <v>1011079</v>
      </c>
      <c r="Q106" s="68">
        <v>29914</v>
      </c>
      <c r="R106" s="414">
        <v>0</v>
      </c>
      <c r="S106" s="415">
        <v>5.6891999999999996</v>
      </c>
      <c r="T106" s="416">
        <v>5.6891999999999996</v>
      </c>
      <c r="U106" s="422">
        <v>0</v>
      </c>
      <c r="V106" s="423">
        <f t="shared" si="112"/>
        <v>0</v>
      </c>
      <c r="W106" s="417">
        <f t="shared" si="113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14"/>
        <v>0</v>
      </c>
      <c r="AF106" s="417">
        <f t="shared" si="115"/>
        <v>0</v>
      </c>
      <c r="AG106" s="417">
        <f t="shared" si="116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17"/>
        <v>0</v>
      </c>
      <c r="AN106" s="417">
        <f t="shared" si="118"/>
        <v>0</v>
      </c>
      <c r="AO106" s="417">
        <f t="shared" si="119"/>
        <v>0</v>
      </c>
      <c r="AP106" s="417">
        <f t="shared" si="120"/>
        <v>0</v>
      </c>
      <c r="AQ106" s="417">
        <f t="shared" si="121"/>
        <v>0</v>
      </c>
      <c r="AR106" s="417">
        <f t="shared" si="122"/>
        <v>0</v>
      </c>
      <c r="AS106" s="68">
        <f t="shared" si="123"/>
        <v>0</v>
      </c>
      <c r="AT106" s="68">
        <f t="shared" si="124"/>
        <v>0</v>
      </c>
      <c r="AU106" s="417">
        <v>0</v>
      </c>
      <c r="AV106" s="417">
        <v>0</v>
      </c>
      <c r="AW106" s="417">
        <v>0</v>
      </c>
      <c r="AX106" s="417">
        <f t="shared" si="125"/>
        <v>0</v>
      </c>
      <c r="AY106" s="417">
        <f t="shared" si="126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27"/>
        <v>0</v>
      </c>
      <c r="BJ106" s="418">
        <f t="shared" si="128"/>
        <v>0</v>
      </c>
      <c r="BK106" s="420">
        <f t="shared" si="129"/>
        <v>0</v>
      </c>
      <c r="BL106" s="772">
        <f>I106+AY106</f>
        <v>4032350</v>
      </c>
      <c r="BM106" s="417">
        <f>J106+AG106</f>
        <v>2991357</v>
      </c>
      <c r="BN106" s="417">
        <f t="shared" si="156"/>
        <v>2991357</v>
      </c>
      <c r="BO106" s="417">
        <f t="shared" si="156"/>
        <v>0</v>
      </c>
      <c r="BP106" s="417">
        <f>M106+AO106</f>
        <v>0</v>
      </c>
      <c r="BQ106" s="417">
        <f t="shared" si="157"/>
        <v>0</v>
      </c>
      <c r="BR106" s="417">
        <f t="shared" si="157"/>
        <v>0</v>
      </c>
      <c r="BS106" s="417">
        <f t="shared" si="158"/>
        <v>1011079</v>
      </c>
      <c r="BT106" s="417">
        <f t="shared" si="158"/>
        <v>29914</v>
      </c>
      <c r="BU106" s="417">
        <f>R106+AX106</f>
        <v>0</v>
      </c>
      <c r="BV106" s="418">
        <f>S106+BK106</f>
        <v>5.6891999999999996</v>
      </c>
      <c r="BW106" s="418">
        <f t="shared" si="159"/>
        <v>5.6891999999999996</v>
      </c>
      <c r="BX106" s="420">
        <f t="shared" si="159"/>
        <v>0</v>
      </c>
      <c r="BY106" s="419"/>
      <c r="BZ106" s="414"/>
      <c r="CA106" s="414"/>
      <c r="CB106" s="414"/>
      <c r="CC106" s="414"/>
      <c r="CD106" s="509"/>
      <c r="CE106" s="419"/>
      <c r="CF106" s="414"/>
      <c r="CG106" s="414"/>
      <c r="CH106" s="414"/>
      <c r="CI106" s="414"/>
      <c r="CJ106" s="509"/>
    </row>
    <row r="107" spans="1:88" s="221" customFormat="1" ht="12.75" customHeight="1">
      <c r="A107" s="223">
        <v>23</v>
      </c>
      <c r="B107" s="224">
        <v>3416</v>
      </c>
      <c r="C107" s="224">
        <v>600078426</v>
      </c>
      <c r="D107" s="224">
        <v>72743034</v>
      </c>
      <c r="E107" s="225" t="s">
        <v>53</v>
      </c>
      <c r="F107" s="224">
        <v>3143</v>
      </c>
      <c r="G107" s="225" t="s">
        <v>596</v>
      </c>
      <c r="H107" s="226" t="s">
        <v>272</v>
      </c>
      <c r="I107" s="419">
        <v>126785</v>
      </c>
      <c r="J107" s="414">
        <v>90750</v>
      </c>
      <c r="K107" s="414">
        <v>0</v>
      </c>
      <c r="L107" s="414">
        <v>90750</v>
      </c>
      <c r="M107" s="414">
        <v>0</v>
      </c>
      <c r="N107" s="414">
        <v>0</v>
      </c>
      <c r="O107" s="414">
        <v>0</v>
      </c>
      <c r="P107" s="68">
        <v>30673</v>
      </c>
      <c r="Q107" s="68">
        <v>907</v>
      </c>
      <c r="R107" s="414">
        <v>4455</v>
      </c>
      <c r="S107" s="415">
        <v>0.34</v>
      </c>
      <c r="T107" s="416">
        <v>0</v>
      </c>
      <c r="U107" s="422">
        <v>0.34</v>
      </c>
      <c r="V107" s="423">
        <f t="shared" si="112"/>
        <v>0</v>
      </c>
      <c r="W107" s="417">
        <f t="shared" si="113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114"/>
        <v>0</v>
      </c>
      <c r="AF107" s="417">
        <f t="shared" si="115"/>
        <v>0</v>
      </c>
      <c r="AG107" s="417">
        <f t="shared" si="116"/>
        <v>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17"/>
        <v>0</v>
      </c>
      <c r="AN107" s="417">
        <f t="shared" si="118"/>
        <v>0</v>
      </c>
      <c r="AO107" s="417">
        <f t="shared" si="119"/>
        <v>0</v>
      </c>
      <c r="AP107" s="417">
        <f t="shared" si="120"/>
        <v>0</v>
      </c>
      <c r="AQ107" s="417">
        <f t="shared" si="121"/>
        <v>0</v>
      </c>
      <c r="AR107" s="417">
        <f t="shared" si="122"/>
        <v>0</v>
      </c>
      <c r="AS107" s="68">
        <f t="shared" si="123"/>
        <v>0</v>
      </c>
      <c r="AT107" s="68">
        <f t="shared" si="124"/>
        <v>0</v>
      </c>
      <c r="AU107" s="417">
        <v>0</v>
      </c>
      <c r="AV107" s="417">
        <v>0</v>
      </c>
      <c r="AW107" s="417">
        <v>0</v>
      </c>
      <c r="AX107" s="417">
        <f t="shared" si="125"/>
        <v>0</v>
      </c>
      <c r="AY107" s="417">
        <f t="shared" si="126"/>
        <v>0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27"/>
        <v>0</v>
      </c>
      <c r="BJ107" s="418">
        <f t="shared" si="128"/>
        <v>0</v>
      </c>
      <c r="BK107" s="420">
        <f t="shared" si="129"/>
        <v>0</v>
      </c>
      <c r="BL107" s="772">
        <f>I107+AY107</f>
        <v>126785</v>
      </c>
      <c r="BM107" s="417">
        <f>J107+AG107</f>
        <v>90750</v>
      </c>
      <c r="BN107" s="417">
        <f t="shared" si="156"/>
        <v>0</v>
      </c>
      <c r="BO107" s="417">
        <f t="shared" si="156"/>
        <v>90750</v>
      </c>
      <c r="BP107" s="417">
        <f>M107+AO107</f>
        <v>0</v>
      </c>
      <c r="BQ107" s="417">
        <f t="shared" si="157"/>
        <v>0</v>
      </c>
      <c r="BR107" s="417">
        <f t="shared" si="157"/>
        <v>0</v>
      </c>
      <c r="BS107" s="417">
        <f t="shared" si="158"/>
        <v>30673</v>
      </c>
      <c r="BT107" s="417">
        <f t="shared" si="158"/>
        <v>907</v>
      </c>
      <c r="BU107" s="417">
        <f>R107+AX107</f>
        <v>4455</v>
      </c>
      <c r="BV107" s="418">
        <f>S107+BK107</f>
        <v>0.34</v>
      </c>
      <c r="BW107" s="418">
        <f t="shared" si="159"/>
        <v>0</v>
      </c>
      <c r="BX107" s="420">
        <f t="shared" si="159"/>
        <v>0.34</v>
      </c>
      <c r="BY107" s="419"/>
      <c r="BZ107" s="414"/>
      <c r="CA107" s="414"/>
      <c r="CB107" s="414"/>
      <c r="CC107" s="414"/>
      <c r="CD107" s="509"/>
      <c r="CE107" s="419"/>
      <c r="CF107" s="601"/>
      <c r="CG107" s="414"/>
      <c r="CH107" s="414"/>
      <c r="CI107" s="602"/>
      <c r="CJ107" s="603"/>
    </row>
    <row r="108" spans="1:88" s="221" customFormat="1" ht="12.75" customHeight="1">
      <c r="A108" s="153">
        <v>23</v>
      </c>
      <c r="B108" s="14">
        <v>3416</v>
      </c>
      <c r="C108" s="152">
        <v>600078426</v>
      </c>
      <c r="D108" s="152">
        <v>72743034</v>
      </c>
      <c r="E108" s="222" t="s">
        <v>54</v>
      </c>
      <c r="F108" s="14"/>
      <c r="G108" s="222"/>
      <c r="H108" s="558"/>
      <c r="I108" s="504">
        <v>52842438</v>
      </c>
      <c r="J108" s="503">
        <v>38357766</v>
      </c>
      <c r="K108" s="503">
        <v>33165538</v>
      </c>
      <c r="L108" s="503">
        <v>5192228</v>
      </c>
      <c r="M108" s="503">
        <v>287000</v>
      </c>
      <c r="N108" s="503">
        <v>282000</v>
      </c>
      <c r="O108" s="503">
        <v>5000</v>
      </c>
      <c r="P108" s="503">
        <v>13061932</v>
      </c>
      <c r="Q108" s="503">
        <v>383578</v>
      </c>
      <c r="R108" s="503">
        <v>752162</v>
      </c>
      <c r="S108" s="543">
        <v>68.302300000000002</v>
      </c>
      <c r="T108" s="543">
        <v>52.517499999999998</v>
      </c>
      <c r="U108" s="1084">
        <v>15.784800000000001</v>
      </c>
      <c r="V108" s="504">
        <f t="shared" ref="V108:CG108" si="160">SUM(V103:V107)</f>
        <v>0</v>
      </c>
      <c r="W108" s="503">
        <f t="shared" si="160"/>
        <v>-11000</v>
      </c>
      <c r="X108" s="503">
        <f t="shared" si="160"/>
        <v>0</v>
      </c>
      <c r="Y108" s="503">
        <f t="shared" si="160"/>
        <v>0</v>
      </c>
      <c r="Z108" s="503">
        <f t="shared" si="160"/>
        <v>273009</v>
      </c>
      <c r="AA108" s="503">
        <f t="shared" si="160"/>
        <v>6245</v>
      </c>
      <c r="AB108" s="503">
        <f t="shared" si="160"/>
        <v>0</v>
      </c>
      <c r="AC108" s="503">
        <f t="shared" si="160"/>
        <v>0</v>
      </c>
      <c r="AD108" s="503">
        <f t="shared" si="160"/>
        <v>0</v>
      </c>
      <c r="AE108" s="503">
        <f t="shared" si="160"/>
        <v>273009</v>
      </c>
      <c r="AF108" s="503">
        <f t="shared" si="160"/>
        <v>-4755</v>
      </c>
      <c r="AG108" s="503">
        <f t="shared" si="160"/>
        <v>268254</v>
      </c>
      <c r="AH108" s="503">
        <f t="shared" si="160"/>
        <v>0</v>
      </c>
      <c r="AI108" s="503">
        <f t="shared" si="160"/>
        <v>11000</v>
      </c>
      <c r="AJ108" s="503">
        <f t="shared" si="160"/>
        <v>0</v>
      </c>
      <c r="AK108" s="503">
        <f t="shared" si="160"/>
        <v>0</v>
      </c>
      <c r="AL108" s="503">
        <f t="shared" si="160"/>
        <v>0</v>
      </c>
      <c r="AM108" s="503">
        <f t="shared" si="160"/>
        <v>0</v>
      </c>
      <c r="AN108" s="503">
        <f t="shared" si="160"/>
        <v>11000</v>
      </c>
      <c r="AO108" s="503">
        <f t="shared" si="160"/>
        <v>11000</v>
      </c>
      <c r="AP108" s="503">
        <f t="shared" si="160"/>
        <v>273009</v>
      </c>
      <c r="AQ108" s="503">
        <f t="shared" si="160"/>
        <v>6245</v>
      </c>
      <c r="AR108" s="503">
        <f t="shared" si="160"/>
        <v>279254</v>
      </c>
      <c r="AS108" s="503">
        <f t="shared" si="160"/>
        <v>94388</v>
      </c>
      <c r="AT108" s="503">
        <f t="shared" si="160"/>
        <v>2682</v>
      </c>
      <c r="AU108" s="503">
        <f t="shared" si="160"/>
        <v>0</v>
      </c>
      <c r="AV108" s="503">
        <f t="shared" si="160"/>
        <v>0</v>
      </c>
      <c r="AW108" s="503">
        <f t="shared" si="160"/>
        <v>0</v>
      </c>
      <c r="AX108" s="503">
        <f t="shared" si="160"/>
        <v>0</v>
      </c>
      <c r="AY108" s="503">
        <f t="shared" si="160"/>
        <v>376324</v>
      </c>
      <c r="AZ108" s="543">
        <f t="shared" si="160"/>
        <v>0</v>
      </c>
      <c r="BA108" s="543">
        <f t="shared" si="160"/>
        <v>-0.04</v>
      </c>
      <c r="BB108" s="543">
        <f t="shared" si="160"/>
        <v>0</v>
      </c>
      <c r="BC108" s="543">
        <f t="shared" si="160"/>
        <v>0.55000000000000004</v>
      </c>
      <c r="BD108" s="543">
        <f t="shared" si="160"/>
        <v>0.02</v>
      </c>
      <c r="BE108" s="543">
        <f t="shared" si="160"/>
        <v>0</v>
      </c>
      <c r="BF108" s="543">
        <f t="shared" si="160"/>
        <v>0</v>
      </c>
      <c r="BG108" s="543">
        <f t="shared" si="160"/>
        <v>0</v>
      </c>
      <c r="BH108" s="543">
        <f t="shared" si="160"/>
        <v>0</v>
      </c>
      <c r="BI108" s="543">
        <f t="shared" si="160"/>
        <v>0.55000000000000004</v>
      </c>
      <c r="BJ108" s="543">
        <f t="shared" si="160"/>
        <v>-0.02</v>
      </c>
      <c r="BK108" s="441">
        <f t="shared" si="160"/>
        <v>0.53</v>
      </c>
      <c r="BL108" s="788">
        <f t="shared" si="160"/>
        <v>53218762</v>
      </c>
      <c r="BM108" s="503">
        <f t="shared" si="160"/>
        <v>38626020</v>
      </c>
      <c r="BN108" s="503">
        <f t="shared" si="160"/>
        <v>33438547</v>
      </c>
      <c r="BO108" s="503">
        <f t="shared" si="160"/>
        <v>5187473</v>
      </c>
      <c r="BP108" s="503">
        <f t="shared" si="160"/>
        <v>298000</v>
      </c>
      <c r="BQ108" s="503">
        <f t="shared" si="160"/>
        <v>282000</v>
      </c>
      <c r="BR108" s="503">
        <f t="shared" si="160"/>
        <v>16000</v>
      </c>
      <c r="BS108" s="503">
        <f t="shared" si="160"/>
        <v>13156320</v>
      </c>
      <c r="BT108" s="503">
        <f t="shared" si="160"/>
        <v>386260</v>
      </c>
      <c r="BU108" s="503">
        <f t="shared" si="160"/>
        <v>752162</v>
      </c>
      <c r="BV108" s="543">
        <f t="shared" si="160"/>
        <v>68.832300000000004</v>
      </c>
      <c r="BW108" s="543">
        <f t="shared" si="160"/>
        <v>53.067499999999995</v>
      </c>
      <c r="BX108" s="441">
        <f t="shared" si="160"/>
        <v>15.764800000000001</v>
      </c>
      <c r="BY108" s="799">
        <f t="shared" si="160"/>
        <v>757452</v>
      </c>
      <c r="BZ108" s="705">
        <f t="shared" si="160"/>
        <v>282000</v>
      </c>
      <c r="CA108" s="705">
        <f t="shared" si="160"/>
        <v>282000</v>
      </c>
      <c r="CB108" s="705">
        <f t="shared" si="160"/>
        <v>190632</v>
      </c>
      <c r="CC108" s="705">
        <f t="shared" si="160"/>
        <v>2820</v>
      </c>
      <c r="CD108" s="800">
        <f t="shared" si="160"/>
        <v>0.5</v>
      </c>
      <c r="CE108" s="896">
        <f t="shared" si="160"/>
        <v>1356810</v>
      </c>
      <c r="CF108" s="897">
        <f t="shared" si="160"/>
        <v>879679</v>
      </c>
      <c r="CG108" s="897">
        <f t="shared" si="160"/>
        <v>297332</v>
      </c>
      <c r="CH108" s="897">
        <f t="shared" ref="CH108:CJ108" si="161">SUM(CH103:CH107)</f>
        <v>8797</v>
      </c>
      <c r="CI108" s="897">
        <f t="shared" si="161"/>
        <v>171002</v>
      </c>
      <c r="CJ108" s="898">
        <f t="shared" si="161"/>
        <v>2.6880999999999999</v>
      </c>
    </row>
    <row r="109" spans="1:88" s="221" customFormat="1" ht="12.75" customHeight="1">
      <c r="A109" s="223">
        <v>24</v>
      </c>
      <c r="B109" s="224">
        <v>3414</v>
      </c>
      <c r="C109" s="224">
        <v>600078388</v>
      </c>
      <c r="D109" s="224">
        <v>43257721</v>
      </c>
      <c r="E109" s="225" t="s">
        <v>55</v>
      </c>
      <c r="F109" s="224">
        <v>3113</v>
      </c>
      <c r="G109" s="225" t="s">
        <v>293</v>
      </c>
      <c r="H109" s="226" t="s">
        <v>271</v>
      </c>
      <c r="I109" s="419">
        <v>38650417</v>
      </c>
      <c r="J109" s="414">
        <v>28047524</v>
      </c>
      <c r="K109" s="414">
        <v>25389674</v>
      </c>
      <c r="L109" s="414">
        <v>2657850</v>
      </c>
      <c r="M109" s="414">
        <v>100000</v>
      </c>
      <c r="N109" s="414">
        <v>70000</v>
      </c>
      <c r="O109" s="414">
        <v>30000</v>
      </c>
      <c r="P109" s="68">
        <v>9513863</v>
      </c>
      <c r="Q109" s="68">
        <v>280475</v>
      </c>
      <c r="R109" s="414">
        <v>708555</v>
      </c>
      <c r="S109" s="415">
        <v>43.943500000000007</v>
      </c>
      <c r="T109" s="416">
        <v>35.834500000000006</v>
      </c>
      <c r="U109" s="422">
        <v>8.109</v>
      </c>
      <c r="V109" s="423">
        <f t="shared" si="112"/>
        <v>0</v>
      </c>
      <c r="W109" s="417">
        <f t="shared" si="113"/>
        <v>0</v>
      </c>
      <c r="X109" s="417">
        <v>0</v>
      </c>
      <c r="Y109" s="417">
        <v>0</v>
      </c>
      <c r="Z109" s="417">
        <v>122027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14"/>
        <v>122027</v>
      </c>
      <c r="AF109" s="417">
        <f t="shared" si="115"/>
        <v>0</v>
      </c>
      <c r="AG109" s="417">
        <f t="shared" si="116"/>
        <v>122027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17"/>
        <v>0</v>
      </c>
      <c r="AN109" s="417">
        <f t="shared" si="118"/>
        <v>0</v>
      </c>
      <c r="AO109" s="417">
        <f t="shared" si="119"/>
        <v>0</v>
      </c>
      <c r="AP109" s="417">
        <f t="shared" si="120"/>
        <v>122027</v>
      </c>
      <c r="AQ109" s="417">
        <f t="shared" si="121"/>
        <v>0</v>
      </c>
      <c r="AR109" s="417">
        <f t="shared" si="122"/>
        <v>122027</v>
      </c>
      <c r="AS109" s="68">
        <f t="shared" si="123"/>
        <v>41245</v>
      </c>
      <c r="AT109" s="68">
        <f t="shared" si="124"/>
        <v>1220</v>
      </c>
      <c r="AU109" s="417">
        <v>0</v>
      </c>
      <c r="AV109" s="417">
        <v>0</v>
      </c>
      <c r="AW109" s="417">
        <v>0</v>
      </c>
      <c r="AX109" s="417">
        <f t="shared" si="125"/>
        <v>0</v>
      </c>
      <c r="AY109" s="417">
        <f t="shared" si="126"/>
        <v>164492</v>
      </c>
      <c r="AZ109" s="418">
        <v>0</v>
      </c>
      <c r="BA109" s="418">
        <v>0</v>
      </c>
      <c r="BB109" s="418">
        <v>0</v>
      </c>
      <c r="BC109" s="418">
        <v>0.25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27"/>
        <v>0.25</v>
      </c>
      <c r="BJ109" s="418">
        <f t="shared" si="128"/>
        <v>0</v>
      </c>
      <c r="BK109" s="420">
        <f t="shared" si="129"/>
        <v>0.25</v>
      </c>
      <c r="BL109" s="772">
        <f>I109+AY109</f>
        <v>38814909</v>
      </c>
      <c r="BM109" s="417">
        <f>J109+AG109</f>
        <v>28169551</v>
      </c>
      <c r="BN109" s="417">
        <f t="shared" ref="BN109:BO113" si="162">K109+AE109</f>
        <v>25511701</v>
      </c>
      <c r="BO109" s="417">
        <f t="shared" si="162"/>
        <v>2657850</v>
      </c>
      <c r="BP109" s="417">
        <f>M109+AO109</f>
        <v>100000</v>
      </c>
      <c r="BQ109" s="417">
        <f t="shared" ref="BQ109:BR113" si="163">N109+AM109</f>
        <v>70000</v>
      </c>
      <c r="BR109" s="417">
        <f t="shared" si="163"/>
        <v>30000</v>
      </c>
      <c r="BS109" s="417">
        <f t="shared" ref="BS109:BT113" si="164">P109+AS109</f>
        <v>9555108</v>
      </c>
      <c r="BT109" s="417">
        <f t="shared" si="164"/>
        <v>281695</v>
      </c>
      <c r="BU109" s="417">
        <f>R109+AX109</f>
        <v>708555</v>
      </c>
      <c r="BV109" s="418">
        <f>S109+BK109</f>
        <v>44.193500000000007</v>
      </c>
      <c r="BW109" s="418">
        <f t="shared" ref="BW109:BX113" si="165">T109+BI109</f>
        <v>36.084500000000006</v>
      </c>
      <c r="BX109" s="420">
        <f t="shared" si="165"/>
        <v>8.109</v>
      </c>
      <c r="BY109" s="419">
        <v>380136</v>
      </c>
      <c r="BZ109" s="414">
        <v>282000</v>
      </c>
      <c r="CA109" s="414">
        <v>0</v>
      </c>
      <c r="CB109" s="414">
        <v>95316</v>
      </c>
      <c r="CC109" s="414">
        <v>2820</v>
      </c>
      <c r="CD109" s="509">
        <v>0.5</v>
      </c>
      <c r="CE109" s="419">
        <v>1327306</v>
      </c>
      <c r="CF109" s="414">
        <v>862767</v>
      </c>
      <c r="CG109" s="414">
        <v>291615</v>
      </c>
      <c r="CH109" s="414">
        <v>8628</v>
      </c>
      <c r="CI109" s="414">
        <v>164296</v>
      </c>
      <c r="CJ109" s="509">
        <v>2.6031</v>
      </c>
    </row>
    <row r="110" spans="1:88" s="221" customFormat="1">
      <c r="A110" s="223">
        <v>24</v>
      </c>
      <c r="B110" s="224">
        <v>3414</v>
      </c>
      <c r="C110" s="224">
        <v>600078388</v>
      </c>
      <c r="D110" s="224">
        <v>43257721</v>
      </c>
      <c r="E110" s="225" t="s">
        <v>55</v>
      </c>
      <c r="F110" s="224">
        <v>3113</v>
      </c>
      <c r="G110" s="225" t="s">
        <v>291</v>
      </c>
      <c r="H110" s="226" t="s">
        <v>272</v>
      </c>
      <c r="I110" s="419">
        <v>5295364</v>
      </c>
      <c r="J110" s="414">
        <v>3928312</v>
      </c>
      <c r="K110" s="414">
        <v>3928312</v>
      </c>
      <c r="L110" s="414">
        <v>0</v>
      </c>
      <c r="M110" s="414">
        <v>0</v>
      </c>
      <c r="N110" s="414">
        <v>0</v>
      </c>
      <c r="O110" s="414">
        <v>0</v>
      </c>
      <c r="P110" s="68">
        <v>1327769</v>
      </c>
      <c r="Q110" s="68">
        <v>39283</v>
      </c>
      <c r="R110" s="414">
        <v>0</v>
      </c>
      <c r="S110" s="415">
        <v>10.35</v>
      </c>
      <c r="T110" s="416">
        <v>10.35</v>
      </c>
      <c r="U110" s="422">
        <v>0</v>
      </c>
      <c r="V110" s="423">
        <f t="shared" si="112"/>
        <v>0</v>
      </c>
      <c r="W110" s="417">
        <f t="shared" si="113"/>
        <v>0</v>
      </c>
      <c r="X110" s="417">
        <v>9593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14"/>
        <v>9593</v>
      </c>
      <c r="AF110" s="417">
        <f t="shared" si="115"/>
        <v>0</v>
      </c>
      <c r="AG110" s="417">
        <f t="shared" si="116"/>
        <v>9593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17"/>
        <v>0</v>
      </c>
      <c r="AN110" s="417">
        <f t="shared" si="118"/>
        <v>0</v>
      </c>
      <c r="AO110" s="417">
        <f t="shared" si="119"/>
        <v>0</v>
      </c>
      <c r="AP110" s="417">
        <f t="shared" si="120"/>
        <v>9593</v>
      </c>
      <c r="AQ110" s="417">
        <f t="shared" si="121"/>
        <v>0</v>
      </c>
      <c r="AR110" s="417">
        <f t="shared" si="122"/>
        <v>9593</v>
      </c>
      <c r="AS110" s="68">
        <f t="shared" si="123"/>
        <v>3242</v>
      </c>
      <c r="AT110" s="68">
        <f t="shared" si="124"/>
        <v>96</v>
      </c>
      <c r="AU110" s="417">
        <v>0</v>
      </c>
      <c r="AV110" s="417">
        <v>0</v>
      </c>
      <c r="AW110" s="417">
        <v>0</v>
      </c>
      <c r="AX110" s="417">
        <f t="shared" si="125"/>
        <v>0</v>
      </c>
      <c r="AY110" s="417">
        <f t="shared" si="126"/>
        <v>12931</v>
      </c>
      <c r="AZ110" s="418">
        <v>0</v>
      </c>
      <c r="BA110" s="418">
        <v>0</v>
      </c>
      <c r="BB110" s="418">
        <v>0.04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27"/>
        <v>0.04</v>
      </c>
      <c r="BJ110" s="418">
        <f t="shared" si="128"/>
        <v>0</v>
      </c>
      <c r="BK110" s="420">
        <f t="shared" si="129"/>
        <v>0.04</v>
      </c>
      <c r="BL110" s="772">
        <f>I110+AY110</f>
        <v>5308295</v>
      </c>
      <c r="BM110" s="417">
        <f>J110+AG110</f>
        <v>3937905</v>
      </c>
      <c r="BN110" s="417">
        <f t="shared" si="162"/>
        <v>3937905</v>
      </c>
      <c r="BO110" s="417">
        <f t="shared" si="162"/>
        <v>0</v>
      </c>
      <c r="BP110" s="417">
        <f>M110+AO110</f>
        <v>0</v>
      </c>
      <c r="BQ110" s="417">
        <f t="shared" si="163"/>
        <v>0</v>
      </c>
      <c r="BR110" s="417">
        <f t="shared" si="163"/>
        <v>0</v>
      </c>
      <c r="BS110" s="417">
        <f t="shared" si="164"/>
        <v>1331011</v>
      </c>
      <c r="BT110" s="417">
        <f t="shared" si="164"/>
        <v>39379</v>
      </c>
      <c r="BU110" s="417">
        <f>R110+AX110</f>
        <v>0</v>
      </c>
      <c r="BV110" s="418">
        <f>S110+BK110</f>
        <v>10.389999999999999</v>
      </c>
      <c r="BW110" s="418">
        <f t="shared" si="165"/>
        <v>10.389999999999999</v>
      </c>
      <c r="BX110" s="420">
        <f t="shared" si="165"/>
        <v>0</v>
      </c>
      <c r="BY110" s="419"/>
      <c r="BZ110" s="414"/>
      <c r="CA110" s="414"/>
      <c r="CB110" s="414"/>
      <c r="CC110" s="414"/>
      <c r="CD110" s="509"/>
      <c r="CE110" s="419"/>
      <c r="CF110" s="414"/>
      <c r="CG110" s="414"/>
      <c r="CH110" s="414"/>
      <c r="CI110" s="414"/>
      <c r="CJ110" s="509"/>
    </row>
    <row r="111" spans="1:88" s="221" customFormat="1" ht="12.75" customHeight="1">
      <c r="A111" s="223">
        <v>24</v>
      </c>
      <c r="B111" s="224">
        <v>3414</v>
      </c>
      <c r="C111" s="224">
        <v>600078388</v>
      </c>
      <c r="D111" s="224">
        <v>43257721</v>
      </c>
      <c r="E111" s="225" t="s">
        <v>55</v>
      </c>
      <c r="F111" s="224">
        <v>3141</v>
      </c>
      <c r="G111" s="225" t="s">
        <v>294</v>
      </c>
      <c r="H111" s="226" t="s">
        <v>272</v>
      </c>
      <c r="I111" s="419">
        <v>3433137</v>
      </c>
      <c r="J111" s="414">
        <v>2525659</v>
      </c>
      <c r="K111" s="414">
        <v>0</v>
      </c>
      <c r="L111" s="414">
        <v>2525659</v>
      </c>
      <c r="M111" s="414">
        <v>0</v>
      </c>
      <c r="N111" s="414">
        <v>0</v>
      </c>
      <c r="O111" s="414">
        <v>0</v>
      </c>
      <c r="P111" s="68">
        <v>853673</v>
      </c>
      <c r="Q111" s="68">
        <v>25257</v>
      </c>
      <c r="R111" s="414">
        <v>28548</v>
      </c>
      <c r="S111" s="415">
        <v>7.57</v>
      </c>
      <c r="T111" s="416">
        <v>0</v>
      </c>
      <c r="U111" s="422">
        <v>7.57</v>
      </c>
      <c r="V111" s="423">
        <f t="shared" si="112"/>
        <v>0</v>
      </c>
      <c r="W111" s="417">
        <f t="shared" si="113"/>
        <v>0</v>
      </c>
      <c r="X111" s="417">
        <v>0</v>
      </c>
      <c r="Y111" s="417">
        <v>0</v>
      </c>
      <c r="Z111" s="417">
        <v>0</v>
      </c>
      <c r="AA111" s="417">
        <v>-45830</v>
      </c>
      <c r="AB111" s="417">
        <v>0</v>
      </c>
      <c r="AC111" s="417">
        <v>0</v>
      </c>
      <c r="AD111" s="417">
        <v>0</v>
      </c>
      <c r="AE111" s="417">
        <f t="shared" si="114"/>
        <v>0</v>
      </c>
      <c r="AF111" s="417">
        <f t="shared" si="115"/>
        <v>-45830</v>
      </c>
      <c r="AG111" s="417">
        <f t="shared" si="116"/>
        <v>-45830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17"/>
        <v>0</v>
      </c>
      <c r="AN111" s="417">
        <f t="shared" si="118"/>
        <v>0</v>
      </c>
      <c r="AO111" s="417">
        <f t="shared" si="119"/>
        <v>0</v>
      </c>
      <c r="AP111" s="417">
        <f t="shared" si="120"/>
        <v>0</v>
      </c>
      <c r="AQ111" s="417">
        <f t="shared" si="121"/>
        <v>-45830</v>
      </c>
      <c r="AR111" s="417">
        <f t="shared" si="122"/>
        <v>-45830</v>
      </c>
      <c r="AS111" s="68">
        <f t="shared" si="123"/>
        <v>-15491</v>
      </c>
      <c r="AT111" s="68">
        <f t="shared" si="124"/>
        <v>-458</v>
      </c>
      <c r="AU111" s="417">
        <v>0</v>
      </c>
      <c r="AV111" s="417">
        <v>0</v>
      </c>
      <c r="AW111" s="417">
        <v>0</v>
      </c>
      <c r="AX111" s="417">
        <f t="shared" si="125"/>
        <v>0</v>
      </c>
      <c r="AY111" s="417">
        <f t="shared" si="126"/>
        <v>-61779</v>
      </c>
      <c r="AZ111" s="418">
        <v>0</v>
      </c>
      <c r="BA111" s="418">
        <v>0</v>
      </c>
      <c r="BB111" s="418">
        <v>0</v>
      </c>
      <c r="BC111" s="418">
        <v>0</v>
      </c>
      <c r="BD111" s="418">
        <v>-0.13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27"/>
        <v>0</v>
      </c>
      <c r="BJ111" s="418">
        <f t="shared" si="128"/>
        <v>-0.13</v>
      </c>
      <c r="BK111" s="420">
        <f t="shared" si="129"/>
        <v>-0.13</v>
      </c>
      <c r="BL111" s="772">
        <f>I111+AY111</f>
        <v>3371358</v>
      </c>
      <c r="BM111" s="417">
        <f>J111+AG111</f>
        <v>2479829</v>
      </c>
      <c r="BN111" s="417">
        <f t="shared" si="162"/>
        <v>0</v>
      </c>
      <c r="BO111" s="417">
        <f t="shared" si="162"/>
        <v>2479829</v>
      </c>
      <c r="BP111" s="417">
        <f>M111+AO111</f>
        <v>0</v>
      </c>
      <c r="BQ111" s="417">
        <f t="shared" si="163"/>
        <v>0</v>
      </c>
      <c r="BR111" s="417">
        <f t="shared" si="163"/>
        <v>0</v>
      </c>
      <c r="BS111" s="417">
        <f t="shared" si="164"/>
        <v>838182</v>
      </c>
      <c r="BT111" s="417">
        <f t="shared" si="164"/>
        <v>24799</v>
      </c>
      <c r="BU111" s="417">
        <f>R111+AX111</f>
        <v>28548</v>
      </c>
      <c r="BV111" s="418">
        <f>S111+BK111</f>
        <v>7.44</v>
      </c>
      <c r="BW111" s="418">
        <f t="shared" si="165"/>
        <v>0</v>
      </c>
      <c r="BX111" s="420">
        <f t="shared" si="165"/>
        <v>7.44</v>
      </c>
      <c r="BY111" s="419"/>
      <c r="BZ111" s="414"/>
      <c r="CA111" s="414"/>
      <c r="CB111" s="414"/>
      <c r="CC111" s="414"/>
      <c r="CD111" s="509"/>
      <c r="CE111" s="419"/>
      <c r="CF111" s="601"/>
      <c r="CG111" s="414"/>
      <c r="CH111" s="414"/>
      <c r="CI111" s="601"/>
      <c r="CJ111" s="603"/>
    </row>
    <row r="112" spans="1:88" s="221" customFormat="1" ht="12.75" customHeight="1">
      <c r="A112" s="223">
        <v>24</v>
      </c>
      <c r="B112" s="224">
        <v>3414</v>
      </c>
      <c r="C112" s="224">
        <v>600078388</v>
      </c>
      <c r="D112" s="224">
        <v>43257721</v>
      </c>
      <c r="E112" s="225" t="s">
        <v>55</v>
      </c>
      <c r="F112" s="224">
        <v>3143</v>
      </c>
      <c r="G112" s="225" t="s">
        <v>595</v>
      </c>
      <c r="H112" s="226" t="s">
        <v>271</v>
      </c>
      <c r="I112" s="419">
        <v>3830962</v>
      </c>
      <c r="J112" s="414">
        <v>2841960</v>
      </c>
      <c r="K112" s="414">
        <v>2841960</v>
      </c>
      <c r="L112" s="414">
        <v>0</v>
      </c>
      <c r="M112" s="414">
        <v>0</v>
      </c>
      <c r="N112" s="414">
        <v>0</v>
      </c>
      <c r="O112" s="414">
        <v>0</v>
      </c>
      <c r="P112" s="68">
        <v>960582</v>
      </c>
      <c r="Q112" s="68">
        <v>28420</v>
      </c>
      <c r="R112" s="414">
        <v>0</v>
      </c>
      <c r="S112" s="415">
        <v>5.4820000000000002</v>
      </c>
      <c r="T112" s="416">
        <v>5.4820000000000002</v>
      </c>
      <c r="U112" s="422">
        <v>0</v>
      </c>
      <c r="V112" s="423">
        <f t="shared" si="112"/>
        <v>0</v>
      </c>
      <c r="W112" s="417">
        <f t="shared" si="113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114"/>
        <v>0</v>
      </c>
      <c r="AF112" s="417">
        <f t="shared" si="115"/>
        <v>0</v>
      </c>
      <c r="AG112" s="417">
        <f t="shared" si="116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17"/>
        <v>0</v>
      </c>
      <c r="AN112" s="417">
        <f t="shared" si="118"/>
        <v>0</v>
      </c>
      <c r="AO112" s="417">
        <f t="shared" si="119"/>
        <v>0</v>
      </c>
      <c r="AP112" s="417">
        <f t="shared" si="120"/>
        <v>0</v>
      </c>
      <c r="AQ112" s="417">
        <f t="shared" si="121"/>
        <v>0</v>
      </c>
      <c r="AR112" s="417">
        <f t="shared" si="122"/>
        <v>0</v>
      </c>
      <c r="AS112" s="68">
        <f t="shared" si="123"/>
        <v>0</v>
      </c>
      <c r="AT112" s="68">
        <f t="shared" si="124"/>
        <v>0</v>
      </c>
      <c r="AU112" s="417">
        <v>0</v>
      </c>
      <c r="AV112" s="417">
        <v>0</v>
      </c>
      <c r="AW112" s="417">
        <v>0</v>
      </c>
      <c r="AX112" s="417">
        <f t="shared" si="125"/>
        <v>0</v>
      </c>
      <c r="AY112" s="417">
        <f t="shared" si="126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27"/>
        <v>0</v>
      </c>
      <c r="BJ112" s="418">
        <f t="shared" si="128"/>
        <v>0</v>
      </c>
      <c r="BK112" s="420">
        <f t="shared" si="129"/>
        <v>0</v>
      </c>
      <c r="BL112" s="772">
        <f>I112+AY112</f>
        <v>3830962</v>
      </c>
      <c r="BM112" s="417">
        <f>J112+AG112</f>
        <v>2841960</v>
      </c>
      <c r="BN112" s="417">
        <f t="shared" si="162"/>
        <v>2841960</v>
      </c>
      <c r="BO112" s="417">
        <f t="shared" si="162"/>
        <v>0</v>
      </c>
      <c r="BP112" s="417">
        <f>M112+AO112</f>
        <v>0</v>
      </c>
      <c r="BQ112" s="417">
        <f t="shared" si="163"/>
        <v>0</v>
      </c>
      <c r="BR112" s="417">
        <f t="shared" si="163"/>
        <v>0</v>
      </c>
      <c r="BS112" s="417">
        <f t="shared" si="164"/>
        <v>960582</v>
      </c>
      <c r="BT112" s="417">
        <f t="shared" si="164"/>
        <v>28420</v>
      </c>
      <c r="BU112" s="417">
        <f>R112+AX112</f>
        <v>0</v>
      </c>
      <c r="BV112" s="418">
        <f>S112+BK112</f>
        <v>5.4820000000000002</v>
      </c>
      <c r="BW112" s="418">
        <f t="shared" si="165"/>
        <v>5.4820000000000002</v>
      </c>
      <c r="BX112" s="420">
        <f t="shared" si="165"/>
        <v>0</v>
      </c>
      <c r="BY112" s="419"/>
      <c r="BZ112" s="414"/>
      <c r="CA112" s="414"/>
      <c r="CB112" s="414"/>
      <c r="CC112" s="414"/>
      <c r="CD112" s="509"/>
      <c r="CE112" s="419"/>
      <c r="CF112" s="414"/>
      <c r="CG112" s="414"/>
      <c r="CH112" s="414"/>
      <c r="CI112" s="414"/>
      <c r="CJ112" s="509"/>
    </row>
    <row r="113" spans="1:88" s="221" customFormat="1" ht="12.75" customHeight="1">
      <c r="A113" s="223">
        <v>24</v>
      </c>
      <c r="B113" s="224">
        <v>3414</v>
      </c>
      <c r="C113" s="224">
        <v>600078388</v>
      </c>
      <c r="D113" s="224">
        <v>43257721</v>
      </c>
      <c r="E113" s="225" t="s">
        <v>55</v>
      </c>
      <c r="F113" s="224">
        <v>3143</v>
      </c>
      <c r="G113" s="225" t="s">
        <v>596</v>
      </c>
      <c r="H113" s="226" t="s">
        <v>272</v>
      </c>
      <c r="I113" s="419">
        <v>128322</v>
      </c>
      <c r="J113" s="414">
        <v>91850</v>
      </c>
      <c r="K113" s="414">
        <v>0</v>
      </c>
      <c r="L113" s="414">
        <v>91850</v>
      </c>
      <c r="M113" s="414">
        <v>0</v>
      </c>
      <c r="N113" s="414">
        <v>0</v>
      </c>
      <c r="O113" s="414">
        <v>0</v>
      </c>
      <c r="P113" s="68">
        <v>31045</v>
      </c>
      <c r="Q113" s="68">
        <v>918</v>
      </c>
      <c r="R113" s="414">
        <v>4509</v>
      </c>
      <c r="S113" s="415">
        <v>0.35</v>
      </c>
      <c r="T113" s="416">
        <v>0</v>
      </c>
      <c r="U113" s="422">
        <v>0.35</v>
      </c>
      <c r="V113" s="423">
        <f t="shared" si="112"/>
        <v>0</v>
      </c>
      <c r="W113" s="417">
        <f t="shared" si="113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14"/>
        <v>0</v>
      </c>
      <c r="AF113" s="417">
        <f t="shared" si="115"/>
        <v>0</v>
      </c>
      <c r="AG113" s="417">
        <f t="shared" si="116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17"/>
        <v>0</v>
      </c>
      <c r="AN113" s="417">
        <f t="shared" si="118"/>
        <v>0</v>
      </c>
      <c r="AO113" s="417">
        <f t="shared" si="119"/>
        <v>0</v>
      </c>
      <c r="AP113" s="417">
        <f t="shared" si="120"/>
        <v>0</v>
      </c>
      <c r="AQ113" s="417">
        <f t="shared" si="121"/>
        <v>0</v>
      </c>
      <c r="AR113" s="417">
        <f t="shared" si="122"/>
        <v>0</v>
      </c>
      <c r="AS113" s="68">
        <f t="shared" si="123"/>
        <v>0</v>
      </c>
      <c r="AT113" s="68">
        <f t="shared" si="124"/>
        <v>0</v>
      </c>
      <c r="AU113" s="417">
        <v>0</v>
      </c>
      <c r="AV113" s="417">
        <v>0</v>
      </c>
      <c r="AW113" s="417">
        <v>0</v>
      </c>
      <c r="AX113" s="417">
        <f t="shared" si="125"/>
        <v>0</v>
      </c>
      <c r="AY113" s="417">
        <f t="shared" si="126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27"/>
        <v>0</v>
      </c>
      <c r="BJ113" s="418">
        <f t="shared" si="128"/>
        <v>0</v>
      </c>
      <c r="BK113" s="420">
        <f t="shared" si="129"/>
        <v>0</v>
      </c>
      <c r="BL113" s="772">
        <f>I113+AY113</f>
        <v>128322</v>
      </c>
      <c r="BM113" s="417">
        <f>J113+AG113</f>
        <v>91850</v>
      </c>
      <c r="BN113" s="417">
        <f t="shared" si="162"/>
        <v>0</v>
      </c>
      <c r="BO113" s="417">
        <f t="shared" si="162"/>
        <v>91850</v>
      </c>
      <c r="BP113" s="417">
        <f>M113+AO113</f>
        <v>0</v>
      </c>
      <c r="BQ113" s="417">
        <f t="shared" si="163"/>
        <v>0</v>
      </c>
      <c r="BR113" s="417">
        <f t="shared" si="163"/>
        <v>0</v>
      </c>
      <c r="BS113" s="417">
        <f t="shared" si="164"/>
        <v>31045</v>
      </c>
      <c r="BT113" s="417">
        <f t="shared" si="164"/>
        <v>918</v>
      </c>
      <c r="BU113" s="417">
        <f>R113+AX113</f>
        <v>4509</v>
      </c>
      <c r="BV113" s="418">
        <f>S113+BK113</f>
        <v>0.35</v>
      </c>
      <c r="BW113" s="418">
        <f t="shared" si="165"/>
        <v>0</v>
      </c>
      <c r="BX113" s="420">
        <f t="shared" si="165"/>
        <v>0.35</v>
      </c>
      <c r="BY113" s="419"/>
      <c r="BZ113" s="414"/>
      <c r="CA113" s="414"/>
      <c r="CB113" s="414"/>
      <c r="CC113" s="414"/>
      <c r="CD113" s="509"/>
      <c r="CE113" s="419"/>
      <c r="CF113" s="601"/>
      <c r="CG113" s="414"/>
      <c r="CH113" s="414"/>
      <c r="CI113" s="602"/>
      <c r="CJ113" s="603"/>
    </row>
    <row r="114" spans="1:88" s="221" customFormat="1" ht="12.75" customHeight="1">
      <c r="A114" s="153">
        <v>24</v>
      </c>
      <c r="B114" s="14">
        <v>3414</v>
      </c>
      <c r="C114" s="152">
        <v>600078388</v>
      </c>
      <c r="D114" s="152">
        <v>43257721</v>
      </c>
      <c r="E114" s="222" t="s">
        <v>56</v>
      </c>
      <c r="F114" s="14"/>
      <c r="G114" s="222"/>
      <c r="H114" s="558"/>
      <c r="I114" s="504">
        <v>51338202</v>
      </c>
      <c r="J114" s="503">
        <v>37435305</v>
      </c>
      <c r="K114" s="503">
        <v>32159946</v>
      </c>
      <c r="L114" s="503">
        <v>5275359</v>
      </c>
      <c r="M114" s="503">
        <v>100000</v>
      </c>
      <c r="N114" s="503">
        <v>70000</v>
      </c>
      <c r="O114" s="503">
        <v>30000</v>
      </c>
      <c r="P114" s="503">
        <v>12686932</v>
      </c>
      <c r="Q114" s="503">
        <v>374353</v>
      </c>
      <c r="R114" s="503">
        <v>741612</v>
      </c>
      <c r="S114" s="543">
        <v>67.69550000000001</v>
      </c>
      <c r="T114" s="543">
        <v>51.666500000000006</v>
      </c>
      <c r="U114" s="1084">
        <v>16.029</v>
      </c>
      <c r="V114" s="504">
        <f t="shared" ref="V114:CG114" si="166">SUM(V109:V113)</f>
        <v>0</v>
      </c>
      <c r="W114" s="503">
        <f t="shared" si="166"/>
        <v>0</v>
      </c>
      <c r="X114" s="503">
        <f t="shared" si="166"/>
        <v>9593</v>
      </c>
      <c r="Y114" s="503">
        <f t="shared" si="166"/>
        <v>0</v>
      </c>
      <c r="Z114" s="503">
        <f t="shared" si="166"/>
        <v>122027</v>
      </c>
      <c r="AA114" s="503">
        <f t="shared" si="166"/>
        <v>-45830</v>
      </c>
      <c r="AB114" s="503">
        <f t="shared" si="166"/>
        <v>0</v>
      </c>
      <c r="AC114" s="503">
        <f t="shared" si="166"/>
        <v>0</v>
      </c>
      <c r="AD114" s="503">
        <f t="shared" si="166"/>
        <v>0</v>
      </c>
      <c r="AE114" s="503">
        <f t="shared" si="166"/>
        <v>131620</v>
      </c>
      <c r="AF114" s="503">
        <f t="shared" si="166"/>
        <v>-45830</v>
      </c>
      <c r="AG114" s="503">
        <f t="shared" si="166"/>
        <v>85790</v>
      </c>
      <c r="AH114" s="503">
        <f t="shared" si="166"/>
        <v>0</v>
      </c>
      <c r="AI114" s="503">
        <f t="shared" si="166"/>
        <v>0</v>
      </c>
      <c r="AJ114" s="503">
        <f t="shared" si="166"/>
        <v>0</v>
      </c>
      <c r="AK114" s="503">
        <f t="shared" si="166"/>
        <v>0</v>
      </c>
      <c r="AL114" s="503">
        <f t="shared" si="166"/>
        <v>0</v>
      </c>
      <c r="AM114" s="503">
        <f t="shared" si="166"/>
        <v>0</v>
      </c>
      <c r="AN114" s="503">
        <f t="shared" si="166"/>
        <v>0</v>
      </c>
      <c r="AO114" s="503">
        <f t="shared" si="166"/>
        <v>0</v>
      </c>
      <c r="AP114" s="503">
        <f t="shared" si="166"/>
        <v>131620</v>
      </c>
      <c r="AQ114" s="503">
        <f t="shared" si="166"/>
        <v>-45830</v>
      </c>
      <c r="AR114" s="503">
        <f t="shared" si="166"/>
        <v>85790</v>
      </c>
      <c r="AS114" s="503">
        <f t="shared" si="166"/>
        <v>28996</v>
      </c>
      <c r="AT114" s="503">
        <f t="shared" si="166"/>
        <v>858</v>
      </c>
      <c r="AU114" s="503">
        <f t="shared" si="166"/>
        <v>0</v>
      </c>
      <c r="AV114" s="503">
        <f t="shared" si="166"/>
        <v>0</v>
      </c>
      <c r="AW114" s="503">
        <f t="shared" si="166"/>
        <v>0</v>
      </c>
      <c r="AX114" s="503">
        <f t="shared" si="166"/>
        <v>0</v>
      </c>
      <c r="AY114" s="503">
        <f t="shared" si="166"/>
        <v>115644</v>
      </c>
      <c r="AZ114" s="543">
        <f t="shared" si="166"/>
        <v>0</v>
      </c>
      <c r="BA114" s="543">
        <f t="shared" si="166"/>
        <v>0</v>
      </c>
      <c r="BB114" s="543">
        <f t="shared" si="166"/>
        <v>0.04</v>
      </c>
      <c r="BC114" s="543">
        <f t="shared" si="166"/>
        <v>0.25</v>
      </c>
      <c r="BD114" s="543">
        <f t="shared" si="166"/>
        <v>-0.13</v>
      </c>
      <c r="BE114" s="543">
        <f t="shared" si="166"/>
        <v>0</v>
      </c>
      <c r="BF114" s="543">
        <f t="shared" si="166"/>
        <v>0</v>
      </c>
      <c r="BG114" s="543">
        <f t="shared" si="166"/>
        <v>0</v>
      </c>
      <c r="BH114" s="543">
        <f t="shared" si="166"/>
        <v>0</v>
      </c>
      <c r="BI114" s="543">
        <f t="shared" si="166"/>
        <v>0.28999999999999998</v>
      </c>
      <c r="BJ114" s="543">
        <f t="shared" si="166"/>
        <v>-0.13</v>
      </c>
      <c r="BK114" s="441">
        <f t="shared" si="166"/>
        <v>0.15999999999999998</v>
      </c>
      <c r="BL114" s="788">
        <f t="shared" si="166"/>
        <v>51453846</v>
      </c>
      <c r="BM114" s="503">
        <f t="shared" si="166"/>
        <v>37521095</v>
      </c>
      <c r="BN114" s="503">
        <f t="shared" si="166"/>
        <v>32291566</v>
      </c>
      <c r="BO114" s="503">
        <f t="shared" si="166"/>
        <v>5229529</v>
      </c>
      <c r="BP114" s="503">
        <f t="shared" si="166"/>
        <v>100000</v>
      </c>
      <c r="BQ114" s="503">
        <f t="shared" si="166"/>
        <v>70000</v>
      </c>
      <c r="BR114" s="503">
        <f t="shared" si="166"/>
        <v>30000</v>
      </c>
      <c r="BS114" s="503">
        <f t="shared" si="166"/>
        <v>12715928</v>
      </c>
      <c r="BT114" s="503">
        <f t="shared" si="166"/>
        <v>375211</v>
      </c>
      <c r="BU114" s="503">
        <f t="shared" si="166"/>
        <v>741612</v>
      </c>
      <c r="BV114" s="543">
        <f t="shared" si="166"/>
        <v>67.855500000000006</v>
      </c>
      <c r="BW114" s="543">
        <f t="shared" si="166"/>
        <v>51.956500000000005</v>
      </c>
      <c r="BX114" s="441">
        <f t="shared" si="166"/>
        <v>15.898999999999999</v>
      </c>
      <c r="BY114" s="799">
        <f t="shared" si="166"/>
        <v>380136</v>
      </c>
      <c r="BZ114" s="705">
        <f t="shared" si="166"/>
        <v>282000</v>
      </c>
      <c r="CA114" s="705">
        <f t="shared" si="166"/>
        <v>0</v>
      </c>
      <c r="CB114" s="705">
        <f t="shared" si="166"/>
        <v>95316</v>
      </c>
      <c r="CC114" s="705">
        <f t="shared" si="166"/>
        <v>2820</v>
      </c>
      <c r="CD114" s="800">
        <f t="shared" si="166"/>
        <v>0.5</v>
      </c>
      <c r="CE114" s="896">
        <f t="shared" si="166"/>
        <v>1327306</v>
      </c>
      <c r="CF114" s="897">
        <f t="shared" si="166"/>
        <v>862767</v>
      </c>
      <c r="CG114" s="897">
        <f t="shared" si="166"/>
        <v>291615</v>
      </c>
      <c r="CH114" s="897">
        <f t="shared" ref="CH114:CJ114" si="167">SUM(CH109:CH113)</f>
        <v>8628</v>
      </c>
      <c r="CI114" s="897">
        <f t="shared" si="167"/>
        <v>164296</v>
      </c>
      <c r="CJ114" s="898">
        <f t="shared" si="167"/>
        <v>2.6031</v>
      </c>
    </row>
    <row r="115" spans="1:88" s="221" customFormat="1" ht="12.75" customHeight="1">
      <c r="A115" s="223">
        <v>25</v>
      </c>
      <c r="B115" s="224">
        <v>3411</v>
      </c>
      <c r="C115" s="224">
        <v>600078400</v>
      </c>
      <c r="D115" s="224">
        <v>72742950</v>
      </c>
      <c r="E115" s="225" t="s">
        <v>57</v>
      </c>
      <c r="F115" s="224">
        <v>3113</v>
      </c>
      <c r="G115" s="225" t="s">
        <v>293</v>
      </c>
      <c r="H115" s="226" t="s">
        <v>271</v>
      </c>
      <c r="I115" s="419">
        <v>38573754</v>
      </c>
      <c r="J115" s="414">
        <v>28071512</v>
      </c>
      <c r="K115" s="414">
        <v>25417340</v>
      </c>
      <c r="L115" s="414">
        <v>2654172</v>
      </c>
      <c r="M115" s="414">
        <v>9904</v>
      </c>
      <c r="N115" s="414">
        <v>9904</v>
      </c>
      <c r="O115" s="414">
        <v>0</v>
      </c>
      <c r="P115" s="68">
        <v>9491518</v>
      </c>
      <c r="Q115" s="68">
        <v>280715</v>
      </c>
      <c r="R115" s="414">
        <v>720105</v>
      </c>
      <c r="S115" s="415">
        <v>43.0745</v>
      </c>
      <c r="T115" s="416">
        <v>34.984500000000004</v>
      </c>
      <c r="U115" s="422">
        <v>8.09</v>
      </c>
      <c r="V115" s="423">
        <f t="shared" si="112"/>
        <v>0</v>
      </c>
      <c r="W115" s="417">
        <f t="shared" si="113"/>
        <v>0</v>
      </c>
      <c r="X115" s="417">
        <v>0</v>
      </c>
      <c r="Y115" s="417">
        <v>31776</v>
      </c>
      <c r="Z115" s="417">
        <v>99220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14"/>
        <v>130996</v>
      </c>
      <c r="AF115" s="417">
        <f t="shared" si="115"/>
        <v>0</v>
      </c>
      <c r="AG115" s="417">
        <f t="shared" si="116"/>
        <v>130996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17"/>
        <v>0</v>
      </c>
      <c r="AN115" s="417">
        <f t="shared" si="118"/>
        <v>0</v>
      </c>
      <c r="AO115" s="417">
        <f t="shared" si="119"/>
        <v>0</v>
      </c>
      <c r="AP115" s="417">
        <f t="shared" si="120"/>
        <v>130996</v>
      </c>
      <c r="AQ115" s="417">
        <f t="shared" si="121"/>
        <v>0</v>
      </c>
      <c r="AR115" s="417">
        <f t="shared" si="122"/>
        <v>130996</v>
      </c>
      <c r="AS115" s="68">
        <f t="shared" si="123"/>
        <v>44277</v>
      </c>
      <c r="AT115" s="68">
        <f t="shared" si="124"/>
        <v>1310</v>
      </c>
      <c r="AU115" s="417">
        <v>0</v>
      </c>
      <c r="AV115" s="417">
        <v>0</v>
      </c>
      <c r="AW115" s="417">
        <v>0</v>
      </c>
      <c r="AX115" s="417">
        <f t="shared" si="125"/>
        <v>0</v>
      </c>
      <c r="AY115" s="417">
        <f t="shared" si="126"/>
        <v>176583</v>
      </c>
      <c r="AZ115" s="418">
        <v>0</v>
      </c>
      <c r="BA115" s="418">
        <v>0</v>
      </c>
      <c r="BB115" s="418">
        <v>0</v>
      </c>
      <c r="BC115" s="418">
        <v>0.2</v>
      </c>
      <c r="BD115" s="418">
        <v>0</v>
      </c>
      <c r="BE115" s="418">
        <v>0.05</v>
      </c>
      <c r="BF115" s="418">
        <v>0</v>
      </c>
      <c r="BG115" s="418">
        <v>0</v>
      </c>
      <c r="BH115" s="418">
        <v>0</v>
      </c>
      <c r="BI115" s="418">
        <f t="shared" si="127"/>
        <v>0.25</v>
      </c>
      <c r="BJ115" s="418">
        <f t="shared" si="128"/>
        <v>0</v>
      </c>
      <c r="BK115" s="420">
        <f t="shared" si="129"/>
        <v>0.25</v>
      </c>
      <c r="BL115" s="772">
        <f>I115+AY115</f>
        <v>38750337</v>
      </c>
      <c r="BM115" s="417">
        <f>J115+AG115</f>
        <v>28202508</v>
      </c>
      <c r="BN115" s="417">
        <f t="shared" ref="BN115:BO119" si="168">K115+AE115</f>
        <v>25548336</v>
      </c>
      <c r="BO115" s="417">
        <f t="shared" si="168"/>
        <v>2654172</v>
      </c>
      <c r="BP115" s="417">
        <f>M115+AO115</f>
        <v>9904</v>
      </c>
      <c r="BQ115" s="417">
        <f t="shared" ref="BQ115:BR119" si="169">N115+AM115</f>
        <v>9904</v>
      </c>
      <c r="BR115" s="417">
        <f t="shared" si="169"/>
        <v>0</v>
      </c>
      <c r="BS115" s="417">
        <f t="shared" ref="BS115:BT119" si="170">P115+AS115</f>
        <v>9535795</v>
      </c>
      <c r="BT115" s="417">
        <f t="shared" si="170"/>
        <v>282025</v>
      </c>
      <c r="BU115" s="417">
        <f>R115+AX115</f>
        <v>720105</v>
      </c>
      <c r="BV115" s="418">
        <f>S115+BK115</f>
        <v>43.3245</v>
      </c>
      <c r="BW115" s="418">
        <f t="shared" ref="BW115:BX119" si="171">T115+BI115</f>
        <v>35.234500000000004</v>
      </c>
      <c r="BX115" s="420">
        <f t="shared" si="171"/>
        <v>8.09</v>
      </c>
      <c r="BY115" s="419">
        <v>760272</v>
      </c>
      <c r="BZ115" s="414">
        <v>564000</v>
      </c>
      <c r="CA115" s="414">
        <v>0</v>
      </c>
      <c r="CB115" s="414">
        <v>190632</v>
      </c>
      <c r="CC115" s="414">
        <v>5640</v>
      </c>
      <c r="CD115" s="509">
        <v>1</v>
      </c>
      <c r="CE115" s="419">
        <v>1318595</v>
      </c>
      <c r="CF115" s="414">
        <v>851885</v>
      </c>
      <c r="CG115" s="414">
        <v>287937</v>
      </c>
      <c r="CH115" s="414">
        <v>8519</v>
      </c>
      <c r="CI115" s="414">
        <v>170254</v>
      </c>
      <c r="CJ115" s="509">
        <v>2.5967000000000002</v>
      </c>
    </row>
    <row r="116" spans="1:88" s="221" customFormat="1">
      <c r="A116" s="223">
        <v>25</v>
      </c>
      <c r="B116" s="224">
        <v>3411</v>
      </c>
      <c r="C116" s="224">
        <v>600078400</v>
      </c>
      <c r="D116" s="224">
        <v>72742950</v>
      </c>
      <c r="E116" s="225" t="s">
        <v>57</v>
      </c>
      <c r="F116" s="224">
        <v>3113</v>
      </c>
      <c r="G116" s="225" t="s">
        <v>291</v>
      </c>
      <c r="H116" s="226" t="s">
        <v>272</v>
      </c>
      <c r="I116" s="419">
        <v>5483307</v>
      </c>
      <c r="J116" s="414">
        <v>4047705</v>
      </c>
      <c r="K116" s="414">
        <v>4047705</v>
      </c>
      <c r="L116" s="414">
        <v>0</v>
      </c>
      <c r="M116" s="414">
        <v>0</v>
      </c>
      <c r="N116" s="414">
        <v>0</v>
      </c>
      <c r="O116" s="414">
        <v>0</v>
      </c>
      <c r="P116" s="68">
        <v>1368125</v>
      </c>
      <c r="Q116" s="68">
        <v>40477</v>
      </c>
      <c r="R116" s="414">
        <v>27000</v>
      </c>
      <c r="S116" s="415">
        <v>10.209999999999999</v>
      </c>
      <c r="T116" s="416">
        <v>10.209999999999999</v>
      </c>
      <c r="U116" s="422">
        <v>0</v>
      </c>
      <c r="V116" s="423">
        <f t="shared" si="112"/>
        <v>0</v>
      </c>
      <c r="W116" s="417">
        <f t="shared" si="113"/>
        <v>0</v>
      </c>
      <c r="X116" s="417">
        <f>139051+46350</f>
        <v>185401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14"/>
        <v>185401</v>
      </c>
      <c r="AF116" s="417">
        <f t="shared" si="115"/>
        <v>0</v>
      </c>
      <c r="AG116" s="417">
        <f t="shared" si="116"/>
        <v>185401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17"/>
        <v>0</v>
      </c>
      <c r="AN116" s="417">
        <f t="shared" si="118"/>
        <v>0</v>
      </c>
      <c r="AO116" s="417">
        <f t="shared" si="119"/>
        <v>0</v>
      </c>
      <c r="AP116" s="417">
        <f t="shared" si="120"/>
        <v>185401</v>
      </c>
      <c r="AQ116" s="417">
        <f t="shared" si="121"/>
        <v>0</v>
      </c>
      <c r="AR116" s="417">
        <f t="shared" si="122"/>
        <v>185401</v>
      </c>
      <c r="AS116" s="68">
        <f t="shared" si="123"/>
        <v>62666</v>
      </c>
      <c r="AT116" s="68">
        <f t="shared" si="124"/>
        <v>1854</v>
      </c>
      <c r="AU116" s="417">
        <v>0</v>
      </c>
      <c r="AV116" s="417">
        <v>0</v>
      </c>
      <c r="AW116" s="417">
        <v>0</v>
      </c>
      <c r="AX116" s="417">
        <f t="shared" si="125"/>
        <v>0</v>
      </c>
      <c r="AY116" s="417">
        <f t="shared" si="126"/>
        <v>249921</v>
      </c>
      <c r="AZ116" s="418">
        <v>0</v>
      </c>
      <c r="BA116" s="418">
        <v>0</v>
      </c>
      <c r="BB116" s="418">
        <f>0.38+0.13</f>
        <v>0.51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27"/>
        <v>0.51</v>
      </c>
      <c r="BJ116" s="418">
        <f t="shared" si="128"/>
        <v>0</v>
      </c>
      <c r="BK116" s="420">
        <f t="shared" si="129"/>
        <v>0.51</v>
      </c>
      <c r="BL116" s="772">
        <f>I116+AY116</f>
        <v>5733228</v>
      </c>
      <c r="BM116" s="417">
        <f>J116+AG116</f>
        <v>4233106</v>
      </c>
      <c r="BN116" s="417">
        <f t="shared" si="168"/>
        <v>4233106</v>
      </c>
      <c r="BO116" s="417">
        <f t="shared" si="168"/>
        <v>0</v>
      </c>
      <c r="BP116" s="417">
        <f>M116+AO116</f>
        <v>0</v>
      </c>
      <c r="BQ116" s="417">
        <f t="shared" si="169"/>
        <v>0</v>
      </c>
      <c r="BR116" s="417">
        <f t="shared" si="169"/>
        <v>0</v>
      </c>
      <c r="BS116" s="417">
        <f t="shared" si="170"/>
        <v>1430791</v>
      </c>
      <c r="BT116" s="417">
        <f t="shared" si="170"/>
        <v>42331</v>
      </c>
      <c r="BU116" s="417">
        <f>R116+AX116</f>
        <v>27000</v>
      </c>
      <c r="BV116" s="418">
        <f>S116+BK116</f>
        <v>10.719999999999999</v>
      </c>
      <c r="BW116" s="418">
        <f t="shared" si="171"/>
        <v>10.719999999999999</v>
      </c>
      <c r="BX116" s="420">
        <f t="shared" si="171"/>
        <v>0</v>
      </c>
      <c r="BY116" s="419"/>
      <c r="BZ116" s="414"/>
      <c r="CA116" s="414"/>
      <c r="CB116" s="414"/>
      <c r="CC116" s="414"/>
      <c r="CD116" s="509"/>
      <c r="CE116" s="419"/>
      <c r="CF116" s="414"/>
      <c r="CG116" s="414"/>
      <c r="CH116" s="414"/>
      <c r="CI116" s="414"/>
      <c r="CJ116" s="509"/>
    </row>
    <row r="117" spans="1:88" s="221" customFormat="1" ht="12.75" customHeight="1">
      <c r="A117" s="223">
        <v>25</v>
      </c>
      <c r="B117" s="224">
        <v>3411</v>
      </c>
      <c r="C117" s="224">
        <v>600078400</v>
      </c>
      <c r="D117" s="224">
        <v>72742950</v>
      </c>
      <c r="E117" s="225" t="s">
        <v>57</v>
      </c>
      <c r="F117" s="224">
        <v>3141</v>
      </c>
      <c r="G117" s="225" t="s">
        <v>294</v>
      </c>
      <c r="H117" s="226" t="s">
        <v>272</v>
      </c>
      <c r="I117" s="419">
        <v>3717737</v>
      </c>
      <c r="J117" s="414">
        <v>2736556</v>
      </c>
      <c r="K117" s="414">
        <v>0</v>
      </c>
      <c r="L117" s="414">
        <v>2736556</v>
      </c>
      <c r="M117" s="414">
        <v>0</v>
      </c>
      <c r="N117" s="414">
        <v>0</v>
      </c>
      <c r="O117" s="414">
        <v>0</v>
      </c>
      <c r="P117" s="68">
        <v>924956</v>
      </c>
      <c r="Q117" s="68">
        <v>27365</v>
      </c>
      <c r="R117" s="414">
        <v>28860</v>
      </c>
      <c r="S117" s="415">
        <v>8.2100000000000009</v>
      </c>
      <c r="T117" s="416">
        <v>0</v>
      </c>
      <c r="U117" s="422">
        <v>8.2100000000000009</v>
      </c>
      <c r="V117" s="423">
        <f t="shared" si="112"/>
        <v>0</v>
      </c>
      <c r="W117" s="417">
        <f t="shared" si="113"/>
        <v>0</v>
      </c>
      <c r="X117" s="417">
        <v>0</v>
      </c>
      <c r="Y117" s="417">
        <v>0</v>
      </c>
      <c r="Z117" s="417">
        <v>0</v>
      </c>
      <c r="AA117" s="417">
        <v>-103680</v>
      </c>
      <c r="AB117" s="417">
        <v>0</v>
      </c>
      <c r="AC117" s="417">
        <v>0</v>
      </c>
      <c r="AD117" s="417">
        <v>0</v>
      </c>
      <c r="AE117" s="417">
        <f t="shared" si="114"/>
        <v>0</v>
      </c>
      <c r="AF117" s="417">
        <f t="shared" si="115"/>
        <v>-103680</v>
      </c>
      <c r="AG117" s="417">
        <f t="shared" si="116"/>
        <v>-103680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17"/>
        <v>0</v>
      </c>
      <c r="AN117" s="417">
        <f t="shared" si="118"/>
        <v>0</v>
      </c>
      <c r="AO117" s="417">
        <f t="shared" si="119"/>
        <v>0</v>
      </c>
      <c r="AP117" s="417">
        <f t="shared" si="120"/>
        <v>0</v>
      </c>
      <c r="AQ117" s="417">
        <f t="shared" si="121"/>
        <v>-103680</v>
      </c>
      <c r="AR117" s="417">
        <f t="shared" si="122"/>
        <v>-103680</v>
      </c>
      <c r="AS117" s="68">
        <f t="shared" si="123"/>
        <v>-35044</v>
      </c>
      <c r="AT117" s="68">
        <f t="shared" si="124"/>
        <v>-1037</v>
      </c>
      <c r="AU117" s="417">
        <v>0</v>
      </c>
      <c r="AV117" s="417">
        <v>0</v>
      </c>
      <c r="AW117" s="417">
        <v>0</v>
      </c>
      <c r="AX117" s="417">
        <f t="shared" si="125"/>
        <v>0</v>
      </c>
      <c r="AY117" s="417">
        <f t="shared" si="126"/>
        <v>-139761</v>
      </c>
      <c r="AZ117" s="418">
        <v>0</v>
      </c>
      <c r="BA117" s="418">
        <v>0</v>
      </c>
      <c r="BB117" s="418">
        <v>0</v>
      </c>
      <c r="BC117" s="418">
        <v>0</v>
      </c>
      <c r="BD117" s="418">
        <v>-0.32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27"/>
        <v>0</v>
      </c>
      <c r="BJ117" s="418">
        <f t="shared" si="128"/>
        <v>-0.32</v>
      </c>
      <c r="BK117" s="420">
        <f t="shared" si="129"/>
        <v>-0.32</v>
      </c>
      <c r="BL117" s="772">
        <f>I117+AY117</f>
        <v>3577976</v>
      </c>
      <c r="BM117" s="417">
        <f>J117+AG117</f>
        <v>2632876</v>
      </c>
      <c r="BN117" s="417">
        <f t="shared" si="168"/>
        <v>0</v>
      </c>
      <c r="BO117" s="417">
        <f t="shared" si="168"/>
        <v>2632876</v>
      </c>
      <c r="BP117" s="417">
        <f>M117+AO117</f>
        <v>0</v>
      </c>
      <c r="BQ117" s="417">
        <f t="shared" si="169"/>
        <v>0</v>
      </c>
      <c r="BR117" s="417">
        <f t="shared" si="169"/>
        <v>0</v>
      </c>
      <c r="BS117" s="417">
        <f t="shared" si="170"/>
        <v>889912</v>
      </c>
      <c r="BT117" s="417">
        <f t="shared" si="170"/>
        <v>26328</v>
      </c>
      <c r="BU117" s="417">
        <f>R117+AX117</f>
        <v>28860</v>
      </c>
      <c r="BV117" s="418">
        <f>S117+BK117</f>
        <v>7.8900000000000006</v>
      </c>
      <c r="BW117" s="418">
        <f t="shared" si="171"/>
        <v>0</v>
      </c>
      <c r="BX117" s="420">
        <f t="shared" si="171"/>
        <v>7.8900000000000006</v>
      </c>
      <c r="BY117" s="419"/>
      <c r="BZ117" s="414"/>
      <c r="CA117" s="414"/>
      <c r="CB117" s="414"/>
      <c r="CC117" s="414"/>
      <c r="CD117" s="509"/>
      <c r="CE117" s="419"/>
      <c r="CF117" s="601"/>
      <c r="CG117" s="414"/>
      <c r="CH117" s="414"/>
      <c r="CI117" s="601"/>
      <c r="CJ117" s="603"/>
    </row>
    <row r="118" spans="1:88" s="221" customFormat="1" ht="12.75" customHeight="1">
      <c r="A118" s="223">
        <v>25</v>
      </c>
      <c r="B118" s="224">
        <v>3411</v>
      </c>
      <c r="C118" s="224">
        <v>600078400</v>
      </c>
      <c r="D118" s="224">
        <v>72742950</v>
      </c>
      <c r="E118" s="225" t="s">
        <v>57</v>
      </c>
      <c r="F118" s="224">
        <v>3143</v>
      </c>
      <c r="G118" s="225" t="s">
        <v>595</v>
      </c>
      <c r="H118" s="226" t="s">
        <v>271</v>
      </c>
      <c r="I118" s="419">
        <v>3292845</v>
      </c>
      <c r="J118" s="414">
        <v>2442763</v>
      </c>
      <c r="K118" s="414">
        <v>2442763</v>
      </c>
      <c r="L118" s="414">
        <v>0</v>
      </c>
      <c r="M118" s="414">
        <v>0</v>
      </c>
      <c r="N118" s="414">
        <v>0</v>
      </c>
      <c r="O118" s="414">
        <v>0</v>
      </c>
      <c r="P118" s="68">
        <v>825654</v>
      </c>
      <c r="Q118" s="68">
        <v>24428</v>
      </c>
      <c r="R118" s="414">
        <v>0</v>
      </c>
      <c r="S118" s="415">
        <v>4.75</v>
      </c>
      <c r="T118" s="416">
        <v>4.75</v>
      </c>
      <c r="U118" s="422">
        <v>0</v>
      </c>
      <c r="V118" s="423">
        <f t="shared" si="112"/>
        <v>0</v>
      </c>
      <c r="W118" s="417">
        <f t="shared" si="113"/>
        <v>0</v>
      </c>
      <c r="X118" s="417">
        <v>0</v>
      </c>
      <c r="Y118" s="417">
        <v>0</v>
      </c>
      <c r="Z118" s="417">
        <v>147973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14"/>
        <v>147973</v>
      </c>
      <c r="AF118" s="417">
        <f t="shared" si="115"/>
        <v>0</v>
      </c>
      <c r="AG118" s="417">
        <f t="shared" si="116"/>
        <v>147973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17"/>
        <v>0</v>
      </c>
      <c r="AN118" s="417">
        <f t="shared" si="118"/>
        <v>0</v>
      </c>
      <c r="AO118" s="417">
        <f t="shared" si="119"/>
        <v>0</v>
      </c>
      <c r="AP118" s="417">
        <f t="shared" si="120"/>
        <v>147973</v>
      </c>
      <c r="AQ118" s="417">
        <f t="shared" si="121"/>
        <v>0</v>
      </c>
      <c r="AR118" s="417">
        <f t="shared" si="122"/>
        <v>147973</v>
      </c>
      <c r="AS118" s="68">
        <f t="shared" si="123"/>
        <v>50015</v>
      </c>
      <c r="AT118" s="68">
        <f t="shared" si="124"/>
        <v>1480</v>
      </c>
      <c r="AU118" s="417">
        <v>0</v>
      </c>
      <c r="AV118" s="417">
        <v>0</v>
      </c>
      <c r="AW118" s="417">
        <v>0</v>
      </c>
      <c r="AX118" s="417">
        <f t="shared" si="125"/>
        <v>0</v>
      </c>
      <c r="AY118" s="417">
        <f t="shared" si="126"/>
        <v>199468</v>
      </c>
      <c r="AZ118" s="418">
        <v>0</v>
      </c>
      <c r="BA118" s="418">
        <v>0</v>
      </c>
      <c r="BB118" s="418">
        <v>0</v>
      </c>
      <c r="BC118" s="418">
        <v>0.35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27"/>
        <v>0.35</v>
      </c>
      <c r="BJ118" s="418">
        <f t="shared" si="128"/>
        <v>0</v>
      </c>
      <c r="BK118" s="420">
        <f t="shared" si="129"/>
        <v>0.35</v>
      </c>
      <c r="BL118" s="772">
        <f>I118+AY118</f>
        <v>3492313</v>
      </c>
      <c r="BM118" s="417">
        <f>J118+AG118</f>
        <v>2590736</v>
      </c>
      <c r="BN118" s="417">
        <f t="shared" si="168"/>
        <v>2590736</v>
      </c>
      <c r="BO118" s="417">
        <f t="shared" si="168"/>
        <v>0</v>
      </c>
      <c r="BP118" s="417">
        <f>M118+AO118</f>
        <v>0</v>
      </c>
      <c r="BQ118" s="417">
        <f t="shared" si="169"/>
        <v>0</v>
      </c>
      <c r="BR118" s="417">
        <f t="shared" si="169"/>
        <v>0</v>
      </c>
      <c r="BS118" s="417">
        <f t="shared" si="170"/>
        <v>875669</v>
      </c>
      <c r="BT118" s="417">
        <f t="shared" si="170"/>
        <v>25908</v>
      </c>
      <c r="BU118" s="417">
        <f>R118+AX118</f>
        <v>0</v>
      </c>
      <c r="BV118" s="418">
        <f>S118+BK118</f>
        <v>5.0999999999999996</v>
      </c>
      <c r="BW118" s="418">
        <f t="shared" si="171"/>
        <v>5.0999999999999996</v>
      </c>
      <c r="BX118" s="420">
        <f t="shared" si="171"/>
        <v>0</v>
      </c>
      <c r="BY118" s="419"/>
      <c r="BZ118" s="414"/>
      <c r="CA118" s="414"/>
      <c r="CB118" s="414"/>
      <c r="CC118" s="414"/>
      <c r="CD118" s="509"/>
      <c r="CE118" s="419"/>
      <c r="CF118" s="414"/>
      <c r="CG118" s="414"/>
      <c r="CH118" s="414"/>
      <c r="CI118" s="414"/>
      <c r="CJ118" s="509"/>
    </row>
    <row r="119" spans="1:88" s="221" customFormat="1" ht="12.75" customHeight="1">
      <c r="A119" s="223">
        <v>25</v>
      </c>
      <c r="B119" s="224">
        <v>3411</v>
      </c>
      <c r="C119" s="224">
        <v>600078400</v>
      </c>
      <c r="D119" s="224">
        <v>72742950</v>
      </c>
      <c r="E119" s="225" t="s">
        <v>57</v>
      </c>
      <c r="F119" s="224">
        <v>3143</v>
      </c>
      <c r="G119" s="225" t="s">
        <v>596</v>
      </c>
      <c r="H119" s="226" t="s">
        <v>272</v>
      </c>
      <c r="I119" s="419">
        <v>136775</v>
      </c>
      <c r="J119" s="414">
        <v>97900</v>
      </c>
      <c r="K119" s="414">
        <v>0</v>
      </c>
      <c r="L119" s="414">
        <v>97900</v>
      </c>
      <c r="M119" s="414">
        <v>0</v>
      </c>
      <c r="N119" s="414">
        <v>0</v>
      </c>
      <c r="O119" s="414">
        <v>0</v>
      </c>
      <c r="P119" s="68">
        <v>33090</v>
      </c>
      <c r="Q119" s="68">
        <v>979</v>
      </c>
      <c r="R119" s="414">
        <v>4806</v>
      </c>
      <c r="S119" s="415">
        <v>0.37</v>
      </c>
      <c r="T119" s="416">
        <v>0</v>
      </c>
      <c r="U119" s="422">
        <v>0.37</v>
      </c>
      <c r="V119" s="423">
        <f t="shared" si="112"/>
        <v>0</v>
      </c>
      <c r="W119" s="417">
        <f t="shared" si="113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14"/>
        <v>0</v>
      </c>
      <c r="AF119" s="417">
        <f t="shared" si="115"/>
        <v>0</v>
      </c>
      <c r="AG119" s="417">
        <f t="shared" si="116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17"/>
        <v>0</v>
      </c>
      <c r="AN119" s="417">
        <f t="shared" si="118"/>
        <v>0</v>
      </c>
      <c r="AO119" s="417">
        <f t="shared" si="119"/>
        <v>0</v>
      </c>
      <c r="AP119" s="417">
        <f t="shared" si="120"/>
        <v>0</v>
      </c>
      <c r="AQ119" s="417">
        <f t="shared" si="121"/>
        <v>0</v>
      </c>
      <c r="AR119" s="417">
        <f t="shared" si="122"/>
        <v>0</v>
      </c>
      <c r="AS119" s="68">
        <f t="shared" si="123"/>
        <v>0</v>
      </c>
      <c r="AT119" s="68">
        <f t="shared" si="124"/>
        <v>0</v>
      </c>
      <c r="AU119" s="417">
        <v>0</v>
      </c>
      <c r="AV119" s="417">
        <v>0</v>
      </c>
      <c r="AW119" s="417">
        <v>0</v>
      </c>
      <c r="AX119" s="417">
        <f t="shared" si="125"/>
        <v>0</v>
      </c>
      <c r="AY119" s="417">
        <f t="shared" si="126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27"/>
        <v>0</v>
      </c>
      <c r="BJ119" s="418">
        <f t="shared" si="128"/>
        <v>0</v>
      </c>
      <c r="BK119" s="420">
        <f t="shared" si="129"/>
        <v>0</v>
      </c>
      <c r="BL119" s="772">
        <f>I119+AY119</f>
        <v>136775</v>
      </c>
      <c r="BM119" s="417">
        <f>J119+AG119</f>
        <v>97900</v>
      </c>
      <c r="BN119" s="417">
        <f t="shared" si="168"/>
        <v>0</v>
      </c>
      <c r="BO119" s="417">
        <f t="shared" si="168"/>
        <v>97900</v>
      </c>
      <c r="BP119" s="417">
        <f>M119+AO119</f>
        <v>0</v>
      </c>
      <c r="BQ119" s="417">
        <f t="shared" si="169"/>
        <v>0</v>
      </c>
      <c r="BR119" s="417">
        <f t="shared" si="169"/>
        <v>0</v>
      </c>
      <c r="BS119" s="417">
        <f t="shared" si="170"/>
        <v>33090</v>
      </c>
      <c r="BT119" s="417">
        <f t="shared" si="170"/>
        <v>979</v>
      </c>
      <c r="BU119" s="417">
        <f>R119+AX119</f>
        <v>4806</v>
      </c>
      <c r="BV119" s="418">
        <f>S119+BK119</f>
        <v>0.37</v>
      </c>
      <c r="BW119" s="418">
        <f t="shared" si="171"/>
        <v>0</v>
      </c>
      <c r="BX119" s="420">
        <f t="shared" si="171"/>
        <v>0.37</v>
      </c>
      <c r="BY119" s="419"/>
      <c r="BZ119" s="414"/>
      <c r="CA119" s="414"/>
      <c r="CB119" s="414"/>
      <c r="CC119" s="414"/>
      <c r="CD119" s="509"/>
      <c r="CE119" s="419"/>
      <c r="CF119" s="601"/>
      <c r="CG119" s="414"/>
      <c r="CH119" s="414"/>
      <c r="CI119" s="602"/>
      <c r="CJ119" s="603"/>
    </row>
    <row r="120" spans="1:88" s="221" customFormat="1" ht="12.75" customHeight="1">
      <c r="A120" s="153">
        <v>25</v>
      </c>
      <c r="B120" s="14">
        <v>3411</v>
      </c>
      <c r="C120" s="152">
        <v>600078400</v>
      </c>
      <c r="D120" s="152">
        <v>72742950</v>
      </c>
      <c r="E120" s="222" t="s">
        <v>58</v>
      </c>
      <c r="F120" s="14"/>
      <c r="G120" s="222"/>
      <c r="H120" s="558"/>
      <c r="I120" s="504">
        <v>51204418</v>
      </c>
      <c r="J120" s="503">
        <v>37396436</v>
      </c>
      <c r="K120" s="503">
        <v>31907808</v>
      </c>
      <c r="L120" s="503">
        <v>5488628</v>
      </c>
      <c r="M120" s="503">
        <v>9904</v>
      </c>
      <c r="N120" s="503">
        <v>9904</v>
      </c>
      <c r="O120" s="503">
        <v>0</v>
      </c>
      <c r="P120" s="503">
        <v>12643343</v>
      </c>
      <c r="Q120" s="503">
        <v>373964</v>
      </c>
      <c r="R120" s="503">
        <v>780771</v>
      </c>
      <c r="S120" s="543">
        <v>66.614500000000007</v>
      </c>
      <c r="T120" s="543">
        <v>49.944500000000005</v>
      </c>
      <c r="U120" s="1084">
        <v>16.670000000000002</v>
      </c>
      <c r="V120" s="504">
        <f t="shared" ref="V120:CG120" si="172">SUM(V115:V119)</f>
        <v>0</v>
      </c>
      <c r="W120" s="503">
        <f t="shared" si="172"/>
        <v>0</v>
      </c>
      <c r="X120" s="503">
        <f t="shared" si="172"/>
        <v>185401</v>
      </c>
      <c r="Y120" s="503">
        <f t="shared" si="172"/>
        <v>31776</v>
      </c>
      <c r="Z120" s="503">
        <f t="shared" si="172"/>
        <v>247193</v>
      </c>
      <c r="AA120" s="503">
        <f t="shared" si="172"/>
        <v>-103680</v>
      </c>
      <c r="AB120" s="503">
        <f t="shared" si="172"/>
        <v>0</v>
      </c>
      <c r="AC120" s="503">
        <f t="shared" si="172"/>
        <v>0</v>
      </c>
      <c r="AD120" s="503">
        <f t="shared" si="172"/>
        <v>0</v>
      </c>
      <c r="AE120" s="503">
        <f t="shared" si="172"/>
        <v>464370</v>
      </c>
      <c r="AF120" s="503">
        <f t="shared" si="172"/>
        <v>-103680</v>
      </c>
      <c r="AG120" s="503">
        <f t="shared" si="172"/>
        <v>360690</v>
      </c>
      <c r="AH120" s="503">
        <f t="shared" si="172"/>
        <v>0</v>
      </c>
      <c r="AI120" s="503">
        <f t="shared" si="172"/>
        <v>0</v>
      </c>
      <c r="AJ120" s="503">
        <f t="shared" si="172"/>
        <v>0</v>
      </c>
      <c r="AK120" s="503">
        <f t="shared" si="172"/>
        <v>0</v>
      </c>
      <c r="AL120" s="503">
        <f t="shared" si="172"/>
        <v>0</v>
      </c>
      <c r="AM120" s="503">
        <f t="shared" si="172"/>
        <v>0</v>
      </c>
      <c r="AN120" s="503">
        <f t="shared" si="172"/>
        <v>0</v>
      </c>
      <c r="AO120" s="503">
        <f t="shared" si="172"/>
        <v>0</v>
      </c>
      <c r="AP120" s="503">
        <f t="shared" si="172"/>
        <v>464370</v>
      </c>
      <c r="AQ120" s="503">
        <f t="shared" si="172"/>
        <v>-103680</v>
      </c>
      <c r="AR120" s="503">
        <f t="shared" si="172"/>
        <v>360690</v>
      </c>
      <c r="AS120" s="503">
        <f t="shared" si="172"/>
        <v>121914</v>
      </c>
      <c r="AT120" s="503">
        <f t="shared" si="172"/>
        <v>3607</v>
      </c>
      <c r="AU120" s="503">
        <f t="shared" si="172"/>
        <v>0</v>
      </c>
      <c r="AV120" s="503">
        <f t="shared" si="172"/>
        <v>0</v>
      </c>
      <c r="AW120" s="503">
        <f t="shared" si="172"/>
        <v>0</v>
      </c>
      <c r="AX120" s="503">
        <f t="shared" si="172"/>
        <v>0</v>
      </c>
      <c r="AY120" s="503">
        <f t="shared" si="172"/>
        <v>486211</v>
      </c>
      <c r="AZ120" s="543">
        <f t="shared" si="172"/>
        <v>0</v>
      </c>
      <c r="BA120" s="543">
        <f t="shared" si="172"/>
        <v>0</v>
      </c>
      <c r="BB120" s="543">
        <f t="shared" si="172"/>
        <v>0.51</v>
      </c>
      <c r="BC120" s="543">
        <f t="shared" si="172"/>
        <v>0.55000000000000004</v>
      </c>
      <c r="BD120" s="543">
        <f t="shared" si="172"/>
        <v>-0.32</v>
      </c>
      <c r="BE120" s="543">
        <f t="shared" si="172"/>
        <v>0.05</v>
      </c>
      <c r="BF120" s="543">
        <f t="shared" si="172"/>
        <v>0</v>
      </c>
      <c r="BG120" s="543">
        <f t="shared" si="172"/>
        <v>0</v>
      </c>
      <c r="BH120" s="543">
        <f t="shared" si="172"/>
        <v>0</v>
      </c>
      <c r="BI120" s="543">
        <f t="shared" si="172"/>
        <v>1.1099999999999999</v>
      </c>
      <c r="BJ120" s="543">
        <f t="shared" si="172"/>
        <v>-0.32</v>
      </c>
      <c r="BK120" s="441">
        <f t="shared" si="172"/>
        <v>0.79</v>
      </c>
      <c r="BL120" s="788">
        <f t="shared" si="172"/>
        <v>51690629</v>
      </c>
      <c r="BM120" s="503">
        <f t="shared" si="172"/>
        <v>37757126</v>
      </c>
      <c r="BN120" s="503">
        <f t="shared" si="172"/>
        <v>32372178</v>
      </c>
      <c r="BO120" s="503">
        <f t="shared" si="172"/>
        <v>5384948</v>
      </c>
      <c r="BP120" s="503">
        <f t="shared" si="172"/>
        <v>9904</v>
      </c>
      <c r="BQ120" s="503">
        <f t="shared" si="172"/>
        <v>9904</v>
      </c>
      <c r="BR120" s="503">
        <f t="shared" si="172"/>
        <v>0</v>
      </c>
      <c r="BS120" s="503">
        <f t="shared" si="172"/>
        <v>12765257</v>
      </c>
      <c r="BT120" s="503">
        <f t="shared" si="172"/>
        <v>377571</v>
      </c>
      <c r="BU120" s="503">
        <f t="shared" si="172"/>
        <v>780771</v>
      </c>
      <c r="BV120" s="543">
        <f t="shared" si="172"/>
        <v>67.404499999999999</v>
      </c>
      <c r="BW120" s="543">
        <f t="shared" si="172"/>
        <v>51.054500000000004</v>
      </c>
      <c r="BX120" s="441">
        <f t="shared" si="172"/>
        <v>16.350000000000001</v>
      </c>
      <c r="BY120" s="799">
        <f t="shared" si="172"/>
        <v>760272</v>
      </c>
      <c r="BZ120" s="705">
        <f t="shared" si="172"/>
        <v>564000</v>
      </c>
      <c r="CA120" s="705">
        <f t="shared" si="172"/>
        <v>0</v>
      </c>
      <c r="CB120" s="705">
        <f t="shared" si="172"/>
        <v>190632</v>
      </c>
      <c r="CC120" s="705">
        <f t="shared" si="172"/>
        <v>5640</v>
      </c>
      <c r="CD120" s="800">
        <f t="shared" si="172"/>
        <v>1</v>
      </c>
      <c r="CE120" s="896">
        <f t="shared" si="172"/>
        <v>1318595</v>
      </c>
      <c r="CF120" s="897">
        <f t="shared" si="172"/>
        <v>851885</v>
      </c>
      <c r="CG120" s="897">
        <f t="shared" si="172"/>
        <v>287937</v>
      </c>
      <c r="CH120" s="897">
        <f t="shared" ref="CH120:CJ120" si="173">SUM(CH115:CH119)</f>
        <v>8519</v>
      </c>
      <c r="CI120" s="897">
        <f t="shared" si="173"/>
        <v>170254</v>
      </c>
      <c r="CJ120" s="898">
        <f t="shared" si="173"/>
        <v>2.5967000000000002</v>
      </c>
    </row>
    <row r="121" spans="1:88" s="221" customFormat="1" ht="12.75" customHeight="1">
      <c r="A121" s="223">
        <v>26</v>
      </c>
      <c r="B121" s="224">
        <v>3408</v>
      </c>
      <c r="C121" s="224">
        <v>600078566</v>
      </c>
      <c r="D121" s="224">
        <v>72743115</v>
      </c>
      <c r="E121" s="225" t="s">
        <v>59</v>
      </c>
      <c r="F121" s="224">
        <v>3113</v>
      </c>
      <c r="G121" s="225" t="s">
        <v>293</v>
      </c>
      <c r="H121" s="226" t="s">
        <v>271</v>
      </c>
      <c r="I121" s="419">
        <v>19435100</v>
      </c>
      <c r="J121" s="414">
        <v>14174169</v>
      </c>
      <c r="K121" s="414">
        <v>12590757</v>
      </c>
      <c r="L121" s="414">
        <v>1583412</v>
      </c>
      <c r="M121" s="414">
        <v>0</v>
      </c>
      <c r="N121" s="414">
        <v>0</v>
      </c>
      <c r="O121" s="414">
        <v>0</v>
      </c>
      <c r="P121" s="68">
        <v>4790870</v>
      </c>
      <c r="Q121" s="68">
        <v>141741</v>
      </c>
      <c r="R121" s="414">
        <v>328320</v>
      </c>
      <c r="S121" s="415">
        <v>22.199200000000001</v>
      </c>
      <c r="T121" s="416">
        <v>17.624400000000001</v>
      </c>
      <c r="U121" s="422">
        <v>4.5747999999999998</v>
      </c>
      <c r="V121" s="423">
        <f t="shared" si="112"/>
        <v>0</v>
      </c>
      <c r="W121" s="417">
        <f t="shared" si="113"/>
        <v>0</v>
      </c>
      <c r="X121" s="417">
        <v>0</v>
      </c>
      <c r="Y121" s="417">
        <v>19860</v>
      </c>
      <c r="Z121" s="417">
        <v>192711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114"/>
        <v>212571</v>
      </c>
      <c r="AF121" s="417">
        <f t="shared" si="115"/>
        <v>0</v>
      </c>
      <c r="AG121" s="417">
        <f t="shared" si="116"/>
        <v>212571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17"/>
        <v>0</v>
      </c>
      <c r="AN121" s="417">
        <f t="shared" si="118"/>
        <v>0</v>
      </c>
      <c r="AO121" s="417">
        <f t="shared" si="119"/>
        <v>0</v>
      </c>
      <c r="AP121" s="417">
        <f t="shared" si="120"/>
        <v>212571</v>
      </c>
      <c r="AQ121" s="417">
        <f t="shared" si="121"/>
        <v>0</v>
      </c>
      <c r="AR121" s="417">
        <f t="shared" si="122"/>
        <v>212571</v>
      </c>
      <c r="AS121" s="68">
        <f t="shared" si="123"/>
        <v>71849</v>
      </c>
      <c r="AT121" s="68">
        <f t="shared" si="124"/>
        <v>2126</v>
      </c>
      <c r="AU121" s="417">
        <v>0</v>
      </c>
      <c r="AV121" s="417">
        <v>0</v>
      </c>
      <c r="AW121" s="417">
        <v>0</v>
      </c>
      <c r="AX121" s="417">
        <f t="shared" si="125"/>
        <v>0</v>
      </c>
      <c r="AY121" s="417">
        <f t="shared" si="126"/>
        <v>286546</v>
      </c>
      <c r="AZ121" s="418">
        <v>0</v>
      </c>
      <c r="BA121" s="418">
        <v>0</v>
      </c>
      <c r="BB121" s="418">
        <v>0</v>
      </c>
      <c r="BC121" s="418">
        <v>0.37</v>
      </c>
      <c r="BD121" s="418">
        <v>0</v>
      </c>
      <c r="BE121" s="418">
        <v>0.03</v>
      </c>
      <c r="BF121" s="418">
        <v>0</v>
      </c>
      <c r="BG121" s="418">
        <v>0</v>
      </c>
      <c r="BH121" s="418">
        <v>0</v>
      </c>
      <c r="BI121" s="418">
        <f t="shared" si="127"/>
        <v>0.4</v>
      </c>
      <c r="BJ121" s="418">
        <f t="shared" si="128"/>
        <v>0</v>
      </c>
      <c r="BK121" s="420">
        <f t="shared" si="129"/>
        <v>0.4</v>
      </c>
      <c r="BL121" s="772">
        <f>I121+AY121</f>
        <v>19721646</v>
      </c>
      <c r="BM121" s="417">
        <f>J121+AG121</f>
        <v>14386740</v>
      </c>
      <c r="BN121" s="417">
        <f t="shared" ref="BN121:BO125" si="174">K121+AE121</f>
        <v>12803328</v>
      </c>
      <c r="BO121" s="417">
        <f t="shared" si="174"/>
        <v>1583412</v>
      </c>
      <c r="BP121" s="417">
        <f>M121+AO121</f>
        <v>0</v>
      </c>
      <c r="BQ121" s="417">
        <f t="shared" ref="BQ121:BR125" si="175">N121+AM121</f>
        <v>0</v>
      </c>
      <c r="BR121" s="417">
        <f t="shared" si="175"/>
        <v>0</v>
      </c>
      <c r="BS121" s="417">
        <f t="shared" ref="BS121:BT125" si="176">P121+AS121</f>
        <v>4862719</v>
      </c>
      <c r="BT121" s="417">
        <f t="shared" si="176"/>
        <v>143867</v>
      </c>
      <c r="BU121" s="417">
        <f>R121+AX121</f>
        <v>328320</v>
      </c>
      <c r="BV121" s="418">
        <f>S121+BK121</f>
        <v>22.5992</v>
      </c>
      <c r="BW121" s="418">
        <f t="shared" ref="BW121:BX125" si="177">T121+BI121</f>
        <v>18.0244</v>
      </c>
      <c r="BX121" s="420">
        <f t="shared" si="177"/>
        <v>4.5747999999999998</v>
      </c>
      <c r="BY121" s="419"/>
      <c r="BZ121" s="414"/>
      <c r="CA121" s="414"/>
      <c r="CB121" s="414"/>
      <c r="CC121" s="414"/>
      <c r="CD121" s="509"/>
      <c r="CE121" s="419">
        <v>762323</v>
      </c>
      <c r="CF121" s="414">
        <v>508228</v>
      </c>
      <c r="CG121" s="414">
        <v>171781</v>
      </c>
      <c r="CH121" s="414">
        <v>5082</v>
      </c>
      <c r="CI121" s="414">
        <v>77232</v>
      </c>
      <c r="CJ121" s="509">
        <v>1.4685000000000001</v>
      </c>
    </row>
    <row r="122" spans="1:88" s="221" customFormat="1">
      <c r="A122" s="223">
        <v>26</v>
      </c>
      <c r="B122" s="224">
        <v>3408</v>
      </c>
      <c r="C122" s="224">
        <v>600078566</v>
      </c>
      <c r="D122" s="224">
        <v>72743115</v>
      </c>
      <c r="E122" s="225" t="s">
        <v>59</v>
      </c>
      <c r="F122" s="224">
        <v>3113</v>
      </c>
      <c r="G122" s="225" t="s">
        <v>291</v>
      </c>
      <c r="H122" s="226" t="s">
        <v>272</v>
      </c>
      <c r="I122" s="419">
        <v>3197584</v>
      </c>
      <c r="J122" s="414">
        <v>2370241</v>
      </c>
      <c r="K122" s="414">
        <v>2370241</v>
      </c>
      <c r="L122" s="414">
        <v>0</v>
      </c>
      <c r="M122" s="414">
        <v>0</v>
      </c>
      <c r="N122" s="414">
        <v>0</v>
      </c>
      <c r="O122" s="414">
        <v>0</v>
      </c>
      <c r="P122" s="68">
        <v>801141</v>
      </c>
      <c r="Q122" s="68">
        <v>23702</v>
      </c>
      <c r="R122" s="414">
        <v>2500</v>
      </c>
      <c r="S122" s="415">
        <v>6.0699999999999994</v>
      </c>
      <c r="T122" s="416">
        <v>6.0699999999999994</v>
      </c>
      <c r="U122" s="422">
        <v>0</v>
      </c>
      <c r="V122" s="423">
        <f t="shared" si="112"/>
        <v>0</v>
      </c>
      <c r="W122" s="417">
        <f t="shared" si="113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14"/>
        <v>0</v>
      </c>
      <c r="AF122" s="417">
        <f t="shared" si="115"/>
        <v>0</v>
      </c>
      <c r="AG122" s="417">
        <f t="shared" si="116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17"/>
        <v>0</v>
      </c>
      <c r="AN122" s="417">
        <f t="shared" si="118"/>
        <v>0</v>
      </c>
      <c r="AO122" s="417">
        <f t="shared" si="119"/>
        <v>0</v>
      </c>
      <c r="AP122" s="417">
        <f t="shared" si="120"/>
        <v>0</v>
      </c>
      <c r="AQ122" s="417">
        <f t="shared" si="121"/>
        <v>0</v>
      </c>
      <c r="AR122" s="417">
        <f t="shared" si="122"/>
        <v>0</v>
      </c>
      <c r="AS122" s="68">
        <f t="shared" si="123"/>
        <v>0</v>
      </c>
      <c r="AT122" s="68">
        <f t="shared" si="124"/>
        <v>0</v>
      </c>
      <c r="AU122" s="417">
        <v>0</v>
      </c>
      <c r="AV122" s="417">
        <v>0</v>
      </c>
      <c r="AW122" s="417">
        <v>0</v>
      </c>
      <c r="AX122" s="417">
        <f t="shared" si="125"/>
        <v>0</v>
      </c>
      <c r="AY122" s="417">
        <f t="shared" si="126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27"/>
        <v>0</v>
      </c>
      <c r="BJ122" s="418">
        <f t="shared" si="128"/>
        <v>0</v>
      </c>
      <c r="BK122" s="420">
        <f t="shared" si="129"/>
        <v>0</v>
      </c>
      <c r="BL122" s="772">
        <f>I122+AY122</f>
        <v>3197584</v>
      </c>
      <c r="BM122" s="417">
        <f>J122+AG122</f>
        <v>2370241</v>
      </c>
      <c r="BN122" s="417">
        <f t="shared" si="174"/>
        <v>2370241</v>
      </c>
      <c r="BO122" s="417">
        <f t="shared" si="174"/>
        <v>0</v>
      </c>
      <c r="BP122" s="417">
        <f>M122+AO122</f>
        <v>0</v>
      </c>
      <c r="BQ122" s="417">
        <f t="shared" si="175"/>
        <v>0</v>
      </c>
      <c r="BR122" s="417">
        <f t="shared" si="175"/>
        <v>0</v>
      </c>
      <c r="BS122" s="417">
        <f t="shared" si="176"/>
        <v>801141</v>
      </c>
      <c r="BT122" s="417">
        <f t="shared" si="176"/>
        <v>23702</v>
      </c>
      <c r="BU122" s="417">
        <f>R122+AX122</f>
        <v>2500</v>
      </c>
      <c r="BV122" s="418">
        <f>S122+BK122</f>
        <v>6.0699999999999994</v>
      </c>
      <c r="BW122" s="418">
        <f t="shared" si="177"/>
        <v>6.0699999999999994</v>
      </c>
      <c r="BX122" s="420">
        <f t="shared" si="177"/>
        <v>0</v>
      </c>
      <c r="BY122" s="419"/>
      <c r="BZ122" s="414"/>
      <c r="CA122" s="414"/>
      <c r="CB122" s="414"/>
      <c r="CC122" s="414"/>
      <c r="CD122" s="509"/>
      <c r="CE122" s="419"/>
      <c r="CF122" s="414"/>
      <c r="CG122" s="414"/>
      <c r="CH122" s="414"/>
      <c r="CI122" s="414"/>
      <c r="CJ122" s="509"/>
    </row>
    <row r="123" spans="1:88" s="221" customFormat="1" ht="12.75" customHeight="1">
      <c r="A123" s="223">
        <v>26</v>
      </c>
      <c r="B123" s="224">
        <v>3408</v>
      </c>
      <c r="C123" s="224">
        <v>600078566</v>
      </c>
      <c r="D123" s="224">
        <v>72743115</v>
      </c>
      <c r="E123" s="225" t="s">
        <v>59</v>
      </c>
      <c r="F123" s="224">
        <v>3141</v>
      </c>
      <c r="G123" s="225" t="s">
        <v>294</v>
      </c>
      <c r="H123" s="226" t="s">
        <v>272</v>
      </c>
      <c r="I123" s="419">
        <v>1616043</v>
      </c>
      <c r="J123" s="414">
        <v>1190589</v>
      </c>
      <c r="K123" s="414">
        <v>0</v>
      </c>
      <c r="L123" s="414">
        <v>1190589</v>
      </c>
      <c r="M123" s="414">
        <v>0</v>
      </c>
      <c r="N123" s="414">
        <v>0</v>
      </c>
      <c r="O123" s="414">
        <v>0</v>
      </c>
      <c r="P123" s="68">
        <v>402420</v>
      </c>
      <c r="Q123" s="68">
        <v>11906</v>
      </c>
      <c r="R123" s="414">
        <v>11128</v>
      </c>
      <c r="S123" s="415">
        <v>3.57</v>
      </c>
      <c r="T123" s="416">
        <v>0</v>
      </c>
      <c r="U123" s="422">
        <v>3.57</v>
      </c>
      <c r="V123" s="423">
        <f t="shared" si="112"/>
        <v>0</v>
      </c>
      <c r="W123" s="417">
        <f t="shared" si="113"/>
        <v>0</v>
      </c>
      <c r="X123" s="417">
        <v>0</v>
      </c>
      <c r="Y123" s="417">
        <v>0</v>
      </c>
      <c r="Z123" s="417">
        <v>0</v>
      </c>
      <c r="AA123" s="417">
        <v>18950</v>
      </c>
      <c r="AB123" s="417">
        <v>0</v>
      </c>
      <c r="AC123" s="417">
        <v>0</v>
      </c>
      <c r="AD123" s="417">
        <v>0</v>
      </c>
      <c r="AE123" s="417">
        <f t="shared" si="114"/>
        <v>0</v>
      </c>
      <c r="AF123" s="417">
        <f t="shared" si="115"/>
        <v>18950</v>
      </c>
      <c r="AG123" s="417">
        <f t="shared" si="116"/>
        <v>18950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17"/>
        <v>0</v>
      </c>
      <c r="AN123" s="417">
        <f t="shared" si="118"/>
        <v>0</v>
      </c>
      <c r="AO123" s="417">
        <f t="shared" si="119"/>
        <v>0</v>
      </c>
      <c r="AP123" s="417">
        <f t="shared" si="120"/>
        <v>0</v>
      </c>
      <c r="AQ123" s="417">
        <f t="shared" si="121"/>
        <v>18950</v>
      </c>
      <c r="AR123" s="417">
        <f t="shared" si="122"/>
        <v>18950</v>
      </c>
      <c r="AS123" s="68">
        <f t="shared" si="123"/>
        <v>6405</v>
      </c>
      <c r="AT123" s="68">
        <f t="shared" si="124"/>
        <v>190</v>
      </c>
      <c r="AU123" s="417">
        <v>0</v>
      </c>
      <c r="AV123" s="417">
        <v>0</v>
      </c>
      <c r="AW123" s="417">
        <v>0</v>
      </c>
      <c r="AX123" s="417">
        <f t="shared" si="125"/>
        <v>0</v>
      </c>
      <c r="AY123" s="417">
        <f t="shared" si="126"/>
        <v>25545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0.06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27"/>
        <v>0</v>
      </c>
      <c r="BJ123" s="418">
        <f t="shared" si="128"/>
        <v>0.06</v>
      </c>
      <c r="BK123" s="420">
        <f t="shared" si="129"/>
        <v>0.06</v>
      </c>
      <c r="BL123" s="772">
        <f>I123+AY123</f>
        <v>1641588</v>
      </c>
      <c r="BM123" s="417">
        <f>J123+AG123</f>
        <v>1209539</v>
      </c>
      <c r="BN123" s="417">
        <f t="shared" si="174"/>
        <v>0</v>
      </c>
      <c r="BO123" s="417">
        <f t="shared" si="174"/>
        <v>1209539</v>
      </c>
      <c r="BP123" s="417">
        <f>M123+AO123</f>
        <v>0</v>
      </c>
      <c r="BQ123" s="417">
        <f t="shared" si="175"/>
        <v>0</v>
      </c>
      <c r="BR123" s="417">
        <f t="shared" si="175"/>
        <v>0</v>
      </c>
      <c r="BS123" s="417">
        <f t="shared" si="176"/>
        <v>408825</v>
      </c>
      <c r="BT123" s="417">
        <f t="shared" si="176"/>
        <v>12096</v>
      </c>
      <c r="BU123" s="417">
        <f>R123+AX123</f>
        <v>11128</v>
      </c>
      <c r="BV123" s="418">
        <f>S123+BK123</f>
        <v>3.63</v>
      </c>
      <c r="BW123" s="418">
        <f t="shared" si="177"/>
        <v>0</v>
      </c>
      <c r="BX123" s="420">
        <f t="shared" si="177"/>
        <v>3.63</v>
      </c>
      <c r="BY123" s="419"/>
      <c r="BZ123" s="414"/>
      <c r="CA123" s="414"/>
      <c r="CB123" s="414"/>
      <c r="CC123" s="414"/>
      <c r="CD123" s="509"/>
      <c r="CE123" s="419"/>
      <c r="CF123" s="601"/>
      <c r="CG123" s="414"/>
      <c r="CH123" s="414"/>
      <c r="CI123" s="601"/>
      <c r="CJ123" s="603"/>
    </row>
    <row r="124" spans="1:88" s="221" customFormat="1" ht="12.75" customHeight="1">
      <c r="A124" s="223">
        <v>26</v>
      </c>
      <c r="B124" s="224">
        <v>3408</v>
      </c>
      <c r="C124" s="224">
        <v>600078566</v>
      </c>
      <c r="D124" s="224">
        <v>72743115</v>
      </c>
      <c r="E124" s="225" t="s">
        <v>59</v>
      </c>
      <c r="F124" s="224">
        <v>3143</v>
      </c>
      <c r="G124" s="225" t="s">
        <v>595</v>
      </c>
      <c r="H124" s="226" t="s">
        <v>271</v>
      </c>
      <c r="I124" s="419">
        <v>1780366</v>
      </c>
      <c r="J124" s="414">
        <v>1320747</v>
      </c>
      <c r="K124" s="414">
        <v>1320747</v>
      </c>
      <c r="L124" s="414">
        <v>0</v>
      </c>
      <c r="M124" s="414">
        <v>0</v>
      </c>
      <c r="N124" s="414">
        <v>0</v>
      </c>
      <c r="O124" s="414">
        <v>0</v>
      </c>
      <c r="P124" s="68">
        <v>446412</v>
      </c>
      <c r="Q124" s="68">
        <v>13207</v>
      </c>
      <c r="R124" s="414">
        <v>0</v>
      </c>
      <c r="S124" s="415">
        <v>2.5924999999999998</v>
      </c>
      <c r="T124" s="416">
        <v>2.5924999999999998</v>
      </c>
      <c r="U124" s="422">
        <v>0</v>
      </c>
      <c r="V124" s="423">
        <f t="shared" si="112"/>
        <v>0</v>
      </c>
      <c r="W124" s="417">
        <f t="shared" si="113"/>
        <v>0</v>
      </c>
      <c r="X124" s="417">
        <v>0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 t="shared" si="114"/>
        <v>0</v>
      </c>
      <c r="AF124" s="417">
        <f t="shared" si="115"/>
        <v>0</v>
      </c>
      <c r="AG124" s="417">
        <f t="shared" si="116"/>
        <v>0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17"/>
        <v>0</v>
      </c>
      <c r="AN124" s="417">
        <f t="shared" si="118"/>
        <v>0</v>
      </c>
      <c r="AO124" s="417">
        <f t="shared" si="119"/>
        <v>0</v>
      </c>
      <c r="AP124" s="417">
        <f t="shared" si="120"/>
        <v>0</v>
      </c>
      <c r="AQ124" s="417">
        <f t="shared" si="121"/>
        <v>0</v>
      </c>
      <c r="AR124" s="417">
        <f t="shared" si="122"/>
        <v>0</v>
      </c>
      <c r="AS124" s="68">
        <f t="shared" si="123"/>
        <v>0</v>
      </c>
      <c r="AT124" s="68">
        <f t="shared" si="124"/>
        <v>0</v>
      </c>
      <c r="AU124" s="417">
        <v>0</v>
      </c>
      <c r="AV124" s="417">
        <v>0</v>
      </c>
      <c r="AW124" s="417">
        <v>0</v>
      </c>
      <c r="AX124" s="417">
        <f t="shared" si="125"/>
        <v>0</v>
      </c>
      <c r="AY124" s="417">
        <f t="shared" si="126"/>
        <v>0</v>
      </c>
      <c r="AZ124" s="418">
        <v>0</v>
      </c>
      <c r="BA124" s="418">
        <v>0</v>
      </c>
      <c r="BB124" s="418">
        <v>0</v>
      </c>
      <c r="BC124" s="418">
        <v>0</v>
      </c>
      <c r="BD124" s="418">
        <v>0</v>
      </c>
      <c r="BE124" s="418">
        <v>0</v>
      </c>
      <c r="BF124" s="418">
        <v>0</v>
      </c>
      <c r="BG124" s="418">
        <v>0</v>
      </c>
      <c r="BH124" s="418">
        <v>0</v>
      </c>
      <c r="BI124" s="418">
        <f t="shared" si="127"/>
        <v>0</v>
      </c>
      <c r="BJ124" s="418">
        <f t="shared" si="128"/>
        <v>0</v>
      </c>
      <c r="BK124" s="420">
        <f t="shared" si="129"/>
        <v>0</v>
      </c>
      <c r="BL124" s="772">
        <f>I124+AY124</f>
        <v>1780366</v>
      </c>
      <c r="BM124" s="417">
        <f>J124+AG124</f>
        <v>1320747</v>
      </c>
      <c r="BN124" s="417">
        <f t="shared" si="174"/>
        <v>1320747</v>
      </c>
      <c r="BO124" s="417">
        <f t="shared" si="174"/>
        <v>0</v>
      </c>
      <c r="BP124" s="417">
        <f>M124+AO124</f>
        <v>0</v>
      </c>
      <c r="BQ124" s="417">
        <f t="shared" si="175"/>
        <v>0</v>
      </c>
      <c r="BR124" s="417">
        <f t="shared" si="175"/>
        <v>0</v>
      </c>
      <c r="BS124" s="417">
        <f t="shared" si="176"/>
        <v>446412</v>
      </c>
      <c r="BT124" s="417">
        <f t="shared" si="176"/>
        <v>13207</v>
      </c>
      <c r="BU124" s="417">
        <f>R124+AX124</f>
        <v>0</v>
      </c>
      <c r="BV124" s="418">
        <f>S124+BK124</f>
        <v>2.5924999999999998</v>
      </c>
      <c r="BW124" s="418">
        <f t="shared" si="177"/>
        <v>2.5924999999999998</v>
      </c>
      <c r="BX124" s="420">
        <f t="shared" si="177"/>
        <v>0</v>
      </c>
      <c r="BY124" s="419"/>
      <c r="BZ124" s="414"/>
      <c r="CA124" s="414"/>
      <c r="CB124" s="414"/>
      <c r="CC124" s="414"/>
      <c r="CD124" s="509"/>
      <c r="CE124" s="419"/>
      <c r="CF124" s="414"/>
      <c r="CG124" s="414"/>
      <c r="CH124" s="414"/>
      <c r="CI124" s="414"/>
      <c r="CJ124" s="509"/>
    </row>
    <row r="125" spans="1:88" s="221" customFormat="1" ht="12.75" customHeight="1">
      <c r="A125" s="223">
        <v>26</v>
      </c>
      <c r="B125" s="224">
        <v>3408</v>
      </c>
      <c r="C125" s="224">
        <v>600078566</v>
      </c>
      <c r="D125" s="224">
        <v>72743115</v>
      </c>
      <c r="E125" s="225" t="s">
        <v>59</v>
      </c>
      <c r="F125" s="224">
        <v>3143</v>
      </c>
      <c r="G125" s="225" t="s">
        <v>596</v>
      </c>
      <c r="H125" s="226" t="s">
        <v>272</v>
      </c>
      <c r="I125" s="419">
        <v>56862</v>
      </c>
      <c r="J125" s="414">
        <v>40700</v>
      </c>
      <c r="K125" s="414">
        <v>0</v>
      </c>
      <c r="L125" s="414">
        <v>40700</v>
      </c>
      <c r="M125" s="414">
        <v>0</v>
      </c>
      <c r="N125" s="414">
        <v>0</v>
      </c>
      <c r="O125" s="414">
        <v>0</v>
      </c>
      <c r="P125" s="68">
        <v>13757</v>
      </c>
      <c r="Q125" s="68">
        <v>407</v>
      </c>
      <c r="R125" s="414">
        <v>1998</v>
      </c>
      <c r="S125" s="415">
        <v>0.15000000000000002</v>
      </c>
      <c r="T125" s="416">
        <v>0</v>
      </c>
      <c r="U125" s="422">
        <v>0.15000000000000002</v>
      </c>
      <c r="V125" s="423">
        <f t="shared" si="112"/>
        <v>0</v>
      </c>
      <c r="W125" s="417">
        <f t="shared" si="113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14"/>
        <v>0</v>
      </c>
      <c r="AF125" s="417">
        <f t="shared" si="115"/>
        <v>0</v>
      </c>
      <c r="AG125" s="417">
        <f t="shared" si="116"/>
        <v>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17"/>
        <v>0</v>
      </c>
      <c r="AN125" s="417">
        <f t="shared" si="118"/>
        <v>0</v>
      </c>
      <c r="AO125" s="417">
        <f t="shared" si="119"/>
        <v>0</v>
      </c>
      <c r="AP125" s="417">
        <f t="shared" si="120"/>
        <v>0</v>
      </c>
      <c r="AQ125" s="417">
        <f t="shared" si="121"/>
        <v>0</v>
      </c>
      <c r="AR125" s="417">
        <f t="shared" si="122"/>
        <v>0</v>
      </c>
      <c r="AS125" s="68">
        <f t="shared" si="123"/>
        <v>0</v>
      </c>
      <c r="AT125" s="68">
        <f t="shared" si="124"/>
        <v>0</v>
      </c>
      <c r="AU125" s="417">
        <v>0</v>
      </c>
      <c r="AV125" s="417">
        <v>0</v>
      </c>
      <c r="AW125" s="417">
        <v>0</v>
      </c>
      <c r="AX125" s="417">
        <f t="shared" si="125"/>
        <v>0</v>
      </c>
      <c r="AY125" s="417">
        <f t="shared" si="126"/>
        <v>0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27"/>
        <v>0</v>
      </c>
      <c r="BJ125" s="418">
        <f t="shared" si="128"/>
        <v>0</v>
      </c>
      <c r="BK125" s="420">
        <f t="shared" si="129"/>
        <v>0</v>
      </c>
      <c r="BL125" s="772">
        <f>I125+AY125</f>
        <v>56862</v>
      </c>
      <c r="BM125" s="417">
        <f>J125+AG125</f>
        <v>40700</v>
      </c>
      <c r="BN125" s="417">
        <f t="shared" si="174"/>
        <v>0</v>
      </c>
      <c r="BO125" s="417">
        <f t="shared" si="174"/>
        <v>40700</v>
      </c>
      <c r="BP125" s="417">
        <f>M125+AO125</f>
        <v>0</v>
      </c>
      <c r="BQ125" s="417">
        <f t="shared" si="175"/>
        <v>0</v>
      </c>
      <c r="BR125" s="417">
        <f t="shared" si="175"/>
        <v>0</v>
      </c>
      <c r="BS125" s="417">
        <f t="shared" si="176"/>
        <v>13757</v>
      </c>
      <c r="BT125" s="417">
        <f t="shared" si="176"/>
        <v>407</v>
      </c>
      <c r="BU125" s="417">
        <f>R125+AX125</f>
        <v>1998</v>
      </c>
      <c r="BV125" s="418">
        <f>S125+BK125</f>
        <v>0.15000000000000002</v>
      </c>
      <c r="BW125" s="418">
        <f t="shared" si="177"/>
        <v>0</v>
      </c>
      <c r="BX125" s="420">
        <f t="shared" si="177"/>
        <v>0.15000000000000002</v>
      </c>
      <c r="BY125" s="419"/>
      <c r="BZ125" s="414"/>
      <c r="CA125" s="414"/>
      <c r="CB125" s="414"/>
      <c r="CC125" s="414"/>
      <c r="CD125" s="509"/>
      <c r="CE125" s="419"/>
      <c r="CF125" s="601"/>
      <c r="CG125" s="414"/>
      <c r="CH125" s="414"/>
      <c r="CI125" s="602"/>
      <c r="CJ125" s="603"/>
    </row>
    <row r="126" spans="1:88" s="221" customFormat="1" ht="12.75" customHeight="1">
      <c r="A126" s="153">
        <v>26</v>
      </c>
      <c r="B126" s="14">
        <v>3408</v>
      </c>
      <c r="C126" s="152">
        <v>600078566</v>
      </c>
      <c r="D126" s="152">
        <v>72743115</v>
      </c>
      <c r="E126" s="222" t="s">
        <v>60</v>
      </c>
      <c r="F126" s="14"/>
      <c r="G126" s="222"/>
      <c r="H126" s="558"/>
      <c r="I126" s="504">
        <v>26085955</v>
      </c>
      <c r="J126" s="503">
        <v>19096446</v>
      </c>
      <c r="K126" s="503">
        <v>16281745</v>
      </c>
      <c r="L126" s="503">
        <v>2814701</v>
      </c>
      <c r="M126" s="503">
        <v>0</v>
      </c>
      <c r="N126" s="503">
        <v>0</v>
      </c>
      <c r="O126" s="503">
        <v>0</v>
      </c>
      <c r="P126" s="503">
        <v>6454600</v>
      </c>
      <c r="Q126" s="503">
        <v>190963</v>
      </c>
      <c r="R126" s="503">
        <v>343946</v>
      </c>
      <c r="S126" s="543">
        <v>34.581699999999998</v>
      </c>
      <c r="T126" s="543">
        <v>26.286900000000003</v>
      </c>
      <c r="U126" s="1084">
        <v>8.2948000000000004</v>
      </c>
      <c r="V126" s="504">
        <f t="shared" ref="V126:CG126" si="178">SUM(V121:V125)</f>
        <v>0</v>
      </c>
      <c r="W126" s="503">
        <f t="shared" si="178"/>
        <v>0</v>
      </c>
      <c r="X126" s="503">
        <f t="shared" si="178"/>
        <v>0</v>
      </c>
      <c r="Y126" s="503">
        <f t="shared" si="178"/>
        <v>19860</v>
      </c>
      <c r="Z126" s="503">
        <f t="shared" si="178"/>
        <v>192711</v>
      </c>
      <c r="AA126" s="503">
        <f t="shared" si="178"/>
        <v>18950</v>
      </c>
      <c r="AB126" s="503">
        <f t="shared" si="178"/>
        <v>0</v>
      </c>
      <c r="AC126" s="503">
        <f t="shared" si="178"/>
        <v>0</v>
      </c>
      <c r="AD126" s="503">
        <f t="shared" si="178"/>
        <v>0</v>
      </c>
      <c r="AE126" s="503">
        <f t="shared" si="178"/>
        <v>212571</v>
      </c>
      <c r="AF126" s="503">
        <f t="shared" si="178"/>
        <v>18950</v>
      </c>
      <c r="AG126" s="503">
        <f t="shared" si="178"/>
        <v>231521</v>
      </c>
      <c r="AH126" s="503">
        <f t="shared" si="178"/>
        <v>0</v>
      </c>
      <c r="AI126" s="503">
        <f t="shared" si="178"/>
        <v>0</v>
      </c>
      <c r="AJ126" s="503">
        <f t="shared" si="178"/>
        <v>0</v>
      </c>
      <c r="AK126" s="503">
        <f t="shared" si="178"/>
        <v>0</v>
      </c>
      <c r="AL126" s="503">
        <f t="shared" si="178"/>
        <v>0</v>
      </c>
      <c r="AM126" s="503">
        <f t="shared" si="178"/>
        <v>0</v>
      </c>
      <c r="AN126" s="503">
        <f t="shared" si="178"/>
        <v>0</v>
      </c>
      <c r="AO126" s="503">
        <f t="shared" si="178"/>
        <v>0</v>
      </c>
      <c r="AP126" s="503">
        <f t="shared" si="178"/>
        <v>212571</v>
      </c>
      <c r="AQ126" s="503">
        <f t="shared" si="178"/>
        <v>18950</v>
      </c>
      <c r="AR126" s="503">
        <f t="shared" si="178"/>
        <v>231521</v>
      </c>
      <c r="AS126" s="503">
        <f t="shared" si="178"/>
        <v>78254</v>
      </c>
      <c r="AT126" s="503">
        <f t="shared" si="178"/>
        <v>2316</v>
      </c>
      <c r="AU126" s="503">
        <f t="shared" si="178"/>
        <v>0</v>
      </c>
      <c r="AV126" s="503">
        <f t="shared" si="178"/>
        <v>0</v>
      </c>
      <c r="AW126" s="503">
        <f t="shared" si="178"/>
        <v>0</v>
      </c>
      <c r="AX126" s="503">
        <f t="shared" si="178"/>
        <v>0</v>
      </c>
      <c r="AY126" s="503">
        <f t="shared" si="178"/>
        <v>312091</v>
      </c>
      <c r="AZ126" s="543">
        <f t="shared" si="178"/>
        <v>0</v>
      </c>
      <c r="BA126" s="543">
        <f t="shared" si="178"/>
        <v>0</v>
      </c>
      <c r="BB126" s="543">
        <f t="shared" si="178"/>
        <v>0</v>
      </c>
      <c r="BC126" s="543">
        <f t="shared" si="178"/>
        <v>0.37</v>
      </c>
      <c r="BD126" s="543">
        <f t="shared" si="178"/>
        <v>0.06</v>
      </c>
      <c r="BE126" s="543">
        <f t="shared" si="178"/>
        <v>0.03</v>
      </c>
      <c r="BF126" s="543">
        <f t="shared" si="178"/>
        <v>0</v>
      </c>
      <c r="BG126" s="543">
        <f t="shared" si="178"/>
        <v>0</v>
      </c>
      <c r="BH126" s="543">
        <f t="shared" si="178"/>
        <v>0</v>
      </c>
      <c r="BI126" s="543">
        <f t="shared" si="178"/>
        <v>0.4</v>
      </c>
      <c r="BJ126" s="543">
        <f t="shared" si="178"/>
        <v>0.06</v>
      </c>
      <c r="BK126" s="441">
        <f t="shared" si="178"/>
        <v>0.46</v>
      </c>
      <c r="BL126" s="788">
        <f t="shared" si="178"/>
        <v>26398046</v>
      </c>
      <c r="BM126" s="503">
        <f t="shared" si="178"/>
        <v>19327967</v>
      </c>
      <c r="BN126" s="503">
        <f t="shared" si="178"/>
        <v>16494316</v>
      </c>
      <c r="BO126" s="503">
        <f t="shared" si="178"/>
        <v>2833651</v>
      </c>
      <c r="BP126" s="503">
        <f t="shared" si="178"/>
        <v>0</v>
      </c>
      <c r="BQ126" s="503">
        <f t="shared" si="178"/>
        <v>0</v>
      </c>
      <c r="BR126" s="503">
        <f t="shared" si="178"/>
        <v>0</v>
      </c>
      <c r="BS126" s="503">
        <f t="shared" si="178"/>
        <v>6532854</v>
      </c>
      <c r="BT126" s="503">
        <f t="shared" si="178"/>
        <v>193279</v>
      </c>
      <c r="BU126" s="503">
        <f t="shared" si="178"/>
        <v>343946</v>
      </c>
      <c r="BV126" s="543">
        <f t="shared" si="178"/>
        <v>35.041699999999999</v>
      </c>
      <c r="BW126" s="543">
        <f t="shared" si="178"/>
        <v>26.686900000000001</v>
      </c>
      <c r="BX126" s="441">
        <f t="shared" si="178"/>
        <v>8.3547999999999991</v>
      </c>
      <c r="BY126" s="799">
        <f t="shared" si="178"/>
        <v>0</v>
      </c>
      <c r="BZ126" s="705">
        <f t="shared" si="178"/>
        <v>0</v>
      </c>
      <c r="CA126" s="705">
        <f t="shared" si="178"/>
        <v>0</v>
      </c>
      <c r="CB126" s="705">
        <f t="shared" si="178"/>
        <v>0</v>
      </c>
      <c r="CC126" s="705">
        <f t="shared" si="178"/>
        <v>0</v>
      </c>
      <c r="CD126" s="800">
        <f t="shared" si="178"/>
        <v>0</v>
      </c>
      <c r="CE126" s="896">
        <f t="shared" si="178"/>
        <v>762323</v>
      </c>
      <c r="CF126" s="897">
        <f t="shared" si="178"/>
        <v>508228</v>
      </c>
      <c r="CG126" s="897">
        <f t="shared" si="178"/>
        <v>171781</v>
      </c>
      <c r="CH126" s="897">
        <f t="shared" ref="CH126:CJ126" si="179">SUM(CH121:CH125)</f>
        <v>5082</v>
      </c>
      <c r="CI126" s="897">
        <f t="shared" si="179"/>
        <v>77232</v>
      </c>
      <c r="CJ126" s="898">
        <f t="shared" si="179"/>
        <v>1.4685000000000001</v>
      </c>
    </row>
    <row r="127" spans="1:88" s="221" customFormat="1" ht="12.75" customHeight="1">
      <c r="A127" s="223">
        <v>27</v>
      </c>
      <c r="B127" s="224">
        <v>3417</v>
      </c>
      <c r="C127" s="224">
        <v>600078353</v>
      </c>
      <c r="D127" s="224">
        <v>72743352</v>
      </c>
      <c r="E127" s="225" t="s">
        <v>61</v>
      </c>
      <c r="F127" s="224">
        <v>3113</v>
      </c>
      <c r="G127" s="225" t="s">
        <v>293</v>
      </c>
      <c r="H127" s="226" t="s">
        <v>271</v>
      </c>
      <c r="I127" s="419">
        <v>15871683</v>
      </c>
      <c r="J127" s="414">
        <v>11556093</v>
      </c>
      <c r="K127" s="414">
        <v>10289455</v>
      </c>
      <c r="L127" s="414">
        <v>1266638</v>
      </c>
      <c r="M127" s="414">
        <v>20000</v>
      </c>
      <c r="N127" s="414">
        <v>12500</v>
      </c>
      <c r="O127" s="414">
        <v>7500</v>
      </c>
      <c r="P127" s="68">
        <v>3912719</v>
      </c>
      <c r="Q127" s="68">
        <v>115561</v>
      </c>
      <c r="R127" s="414">
        <v>267310</v>
      </c>
      <c r="S127" s="415">
        <v>17.248699999999999</v>
      </c>
      <c r="T127" s="416">
        <v>13.6266</v>
      </c>
      <c r="U127" s="422">
        <v>3.6221000000000005</v>
      </c>
      <c r="V127" s="423">
        <f t="shared" si="112"/>
        <v>0</v>
      </c>
      <c r="W127" s="417">
        <f t="shared" si="113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 t="shared" si="114"/>
        <v>0</v>
      </c>
      <c r="AF127" s="417">
        <f t="shared" si="115"/>
        <v>0</v>
      </c>
      <c r="AG127" s="417">
        <f t="shared" si="116"/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17"/>
        <v>0</v>
      </c>
      <c r="AN127" s="417">
        <f t="shared" si="118"/>
        <v>0</v>
      </c>
      <c r="AO127" s="417">
        <f t="shared" si="119"/>
        <v>0</v>
      </c>
      <c r="AP127" s="417">
        <f t="shared" si="120"/>
        <v>0</v>
      </c>
      <c r="AQ127" s="417">
        <f t="shared" si="121"/>
        <v>0</v>
      </c>
      <c r="AR127" s="417">
        <f t="shared" si="122"/>
        <v>0</v>
      </c>
      <c r="AS127" s="68">
        <f t="shared" si="123"/>
        <v>0</v>
      </c>
      <c r="AT127" s="68">
        <f t="shared" si="124"/>
        <v>0</v>
      </c>
      <c r="AU127" s="417">
        <v>0</v>
      </c>
      <c r="AV127" s="417">
        <v>0</v>
      </c>
      <c r="AW127" s="417">
        <v>0</v>
      </c>
      <c r="AX127" s="417">
        <f t="shared" si="125"/>
        <v>0</v>
      </c>
      <c r="AY127" s="417">
        <f t="shared" si="126"/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418">
        <v>0</v>
      </c>
      <c r="BG127" s="418">
        <v>0</v>
      </c>
      <c r="BH127" s="418">
        <v>0</v>
      </c>
      <c r="BI127" s="418">
        <f t="shared" si="127"/>
        <v>0</v>
      </c>
      <c r="BJ127" s="418">
        <f t="shared" si="128"/>
        <v>0</v>
      </c>
      <c r="BK127" s="420">
        <f t="shared" si="129"/>
        <v>0</v>
      </c>
      <c r="BL127" s="772">
        <f>I127+AY127</f>
        <v>15871683</v>
      </c>
      <c r="BM127" s="417">
        <f>J127+AG127</f>
        <v>11556093</v>
      </c>
      <c r="BN127" s="417">
        <f t="shared" ref="BN127:BO131" si="180">K127+AE127</f>
        <v>10289455</v>
      </c>
      <c r="BO127" s="417">
        <f t="shared" si="180"/>
        <v>1266638</v>
      </c>
      <c r="BP127" s="417">
        <f>M127+AO127</f>
        <v>20000</v>
      </c>
      <c r="BQ127" s="417">
        <f t="shared" ref="BQ127:BR131" si="181">N127+AM127</f>
        <v>12500</v>
      </c>
      <c r="BR127" s="417">
        <f t="shared" si="181"/>
        <v>7500</v>
      </c>
      <c r="BS127" s="417">
        <f t="shared" ref="BS127:BT131" si="182">P127+AS127</f>
        <v>3912719</v>
      </c>
      <c r="BT127" s="417">
        <f t="shared" si="182"/>
        <v>115561</v>
      </c>
      <c r="BU127" s="417">
        <f>R127+AX127</f>
        <v>267310</v>
      </c>
      <c r="BV127" s="418">
        <f>S127+BK127</f>
        <v>17.248699999999999</v>
      </c>
      <c r="BW127" s="418">
        <f t="shared" ref="BW127:BX131" si="183">T127+BI127</f>
        <v>13.6266</v>
      </c>
      <c r="BX127" s="420">
        <f t="shared" si="183"/>
        <v>3.6221000000000005</v>
      </c>
      <c r="BY127" s="419"/>
      <c r="BZ127" s="414"/>
      <c r="CA127" s="414"/>
      <c r="CB127" s="414"/>
      <c r="CC127" s="414"/>
      <c r="CD127" s="509"/>
      <c r="CE127" s="419">
        <v>612604</v>
      </c>
      <c r="CF127" s="414">
        <v>408960</v>
      </c>
      <c r="CG127" s="414">
        <v>138228</v>
      </c>
      <c r="CH127" s="414">
        <v>4090</v>
      </c>
      <c r="CI127" s="414">
        <v>61326</v>
      </c>
      <c r="CJ127" s="509">
        <v>1.1691</v>
      </c>
    </row>
    <row r="128" spans="1:88" s="221" customFormat="1">
      <c r="A128" s="223">
        <v>27</v>
      </c>
      <c r="B128" s="224">
        <v>3417</v>
      </c>
      <c r="C128" s="224">
        <v>600078353</v>
      </c>
      <c r="D128" s="224">
        <v>72743352</v>
      </c>
      <c r="E128" s="225" t="s">
        <v>61</v>
      </c>
      <c r="F128" s="224">
        <v>3113</v>
      </c>
      <c r="G128" s="225" t="s">
        <v>291</v>
      </c>
      <c r="H128" s="226" t="s">
        <v>272</v>
      </c>
      <c r="I128" s="419">
        <v>624801</v>
      </c>
      <c r="J128" s="414">
        <v>463502</v>
      </c>
      <c r="K128" s="414">
        <v>463502</v>
      </c>
      <c r="L128" s="414">
        <v>0</v>
      </c>
      <c r="M128" s="414">
        <v>0</v>
      </c>
      <c r="N128" s="414">
        <v>0</v>
      </c>
      <c r="O128" s="414">
        <v>0</v>
      </c>
      <c r="P128" s="68">
        <v>156664</v>
      </c>
      <c r="Q128" s="68">
        <v>4635</v>
      </c>
      <c r="R128" s="414">
        <v>0</v>
      </c>
      <c r="S128" s="415">
        <v>1.25</v>
      </c>
      <c r="T128" s="416">
        <v>1.25</v>
      </c>
      <c r="U128" s="422">
        <v>0</v>
      </c>
      <c r="V128" s="423">
        <f t="shared" si="112"/>
        <v>0</v>
      </c>
      <c r="W128" s="417">
        <f t="shared" si="113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14"/>
        <v>0</v>
      </c>
      <c r="AF128" s="417">
        <f t="shared" si="115"/>
        <v>0</v>
      </c>
      <c r="AG128" s="417">
        <f t="shared" si="116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17"/>
        <v>0</v>
      </c>
      <c r="AN128" s="417">
        <f t="shared" si="118"/>
        <v>0</v>
      </c>
      <c r="AO128" s="417">
        <f t="shared" si="119"/>
        <v>0</v>
      </c>
      <c r="AP128" s="417">
        <f t="shared" si="120"/>
        <v>0</v>
      </c>
      <c r="AQ128" s="417">
        <f t="shared" si="121"/>
        <v>0</v>
      </c>
      <c r="AR128" s="417">
        <f t="shared" si="122"/>
        <v>0</v>
      </c>
      <c r="AS128" s="68">
        <f t="shared" si="123"/>
        <v>0</v>
      </c>
      <c r="AT128" s="68">
        <f t="shared" si="124"/>
        <v>0</v>
      </c>
      <c r="AU128" s="417">
        <v>0</v>
      </c>
      <c r="AV128" s="417">
        <v>0</v>
      </c>
      <c r="AW128" s="417">
        <v>0</v>
      </c>
      <c r="AX128" s="417">
        <f t="shared" si="125"/>
        <v>0</v>
      </c>
      <c r="AY128" s="417">
        <f t="shared" si="126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27"/>
        <v>0</v>
      </c>
      <c r="BJ128" s="418">
        <f t="shared" si="128"/>
        <v>0</v>
      </c>
      <c r="BK128" s="420">
        <f t="shared" si="129"/>
        <v>0</v>
      </c>
      <c r="BL128" s="772">
        <f>I128+AY128</f>
        <v>624801</v>
      </c>
      <c r="BM128" s="417">
        <f>J128+AG128</f>
        <v>463502</v>
      </c>
      <c r="BN128" s="417">
        <f t="shared" si="180"/>
        <v>463502</v>
      </c>
      <c r="BO128" s="417">
        <f t="shared" si="180"/>
        <v>0</v>
      </c>
      <c r="BP128" s="417">
        <f>M128+AO128</f>
        <v>0</v>
      </c>
      <c r="BQ128" s="417">
        <f t="shared" si="181"/>
        <v>0</v>
      </c>
      <c r="BR128" s="417">
        <f t="shared" si="181"/>
        <v>0</v>
      </c>
      <c r="BS128" s="417">
        <f t="shared" si="182"/>
        <v>156664</v>
      </c>
      <c r="BT128" s="417">
        <f t="shared" si="182"/>
        <v>4635</v>
      </c>
      <c r="BU128" s="417">
        <f>R128+AX128</f>
        <v>0</v>
      </c>
      <c r="BV128" s="418">
        <f>S128+BK128</f>
        <v>1.25</v>
      </c>
      <c r="BW128" s="418">
        <f t="shared" si="183"/>
        <v>1.25</v>
      </c>
      <c r="BX128" s="420">
        <f t="shared" si="183"/>
        <v>0</v>
      </c>
      <c r="BY128" s="419"/>
      <c r="BZ128" s="414"/>
      <c r="CA128" s="414"/>
      <c r="CB128" s="414"/>
      <c r="CC128" s="414"/>
      <c r="CD128" s="509"/>
      <c r="CE128" s="419"/>
      <c r="CF128" s="414"/>
      <c r="CG128" s="414"/>
      <c r="CH128" s="414"/>
      <c r="CI128" s="414"/>
      <c r="CJ128" s="509"/>
    </row>
    <row r="129" spans="1:88" s="221" customFormat="1" ht="12.75" customHeight="1">
      <c r="A129" s="223">
        <v>27</v>
      </c>
      <c r="B129" s="224">
        <v>3417</v>
      </c>
      <c r="C129" s="224">
        <v>600078353</v>
      </c>
      <c r="D129" s="224">
        <v>72743352</v>
      </c>
      <c r="E129" s="225" t="s">
        <v>61</v>
      </c>
      <c r="F129" s="224">
        <v>3141</v>
      </c>
      <c r="G129" s="225" t="s">
        <v>294</v>
      </c>
      <c r="H129" s="226" t="s">
        <v>272</v>
      </c>
      <c r="I129" s="419">
        <v>1681460</v>
      </c>
      <c r="J129" s="414">
        <v>1233732</v>
      </c>
      <c r="K129" s="414">
        <v>0</v>
      </c>
      <c r="L129" s="414">
        <v>1233732</v>
      </c>
      <c r="M129" s="414">
        <v>5000</v>
      </c>
      <c r="N129" s="414">
        <v>0</v>
      </c>
      <c r="O129" s="414">
        <v>5000</v>
      </c>
      <c r="P129" s="68">
        <v>418691</v>
      </c>
      <c r="Q129" s="68">
        <v>12337</v>
      </c>
      <c r="R129" s="414">
        <v>11700</v>
      </c>
      <c r="S129" s="415">
        <v>3.71</v>
      </c>
      <c r="T129" s="416">
        <v>0</v>
      </c>
      <c r="U129" s="422">
        <v>3.71</v>
      </c>
      <c r="V129" s="423">
        <f t="shared" si="112"/>
        <v>0</v>
      </c>
      <c r="W129" s="417">
        <f t="shared" si="113"/>
        <v>0</v>
      </c>
      <c r="X129" s="417">
        <v>0</v>
      </c>
      <c r="Y129" s="417">
        <v>0</v>
      </c>
      <c r="Z129" s="417">
        <v>0</v>
      </c>
      <c r="AA129" s="417">
        <v>-57584</v>
      </c>
      <c r="AB129" s="417">
        <v>0</v>
      </c>
      <c r="AC129" s="417">
        <v>0</v>
      </c>
      <c r="AD129" s="417">
        <v>0</v>
      </c>
      <c r="AE129" s="417">
        <f t="shared" si="114"/>
        <v>0</v>
      </c>
      <c r="AF129" s="417">
        <f t="shared" si="115"/>
        <v>-57584</v>
      </c>
      <c r="AG129" s="417">
        <f t="shared" si="116"/>
        <v>-57584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17"/>
        <v>0</v>
      </c>
      <c r="AN129" s="417">
        <f t="shared" si="118"/>
        <v>0</v>
      </c>
      <c r="AO129" s="417">
        <f t="shared" si="119"/>
        <v>0</v>
      </c>
      <c r="AP129" s="417">
        <f t="shared" si="120"/>
        <v>0</v>
      </c>
      <c r="AQ129" s="417">
        <f t="shared" si="121"/>
        <v>-57584</v>
      </c>
      <c r="AR129" s="417">
        <f t="shared" si="122"/>
        <v>-57584</v>
      </c>
      <c r="AS129" s="68">
        <f t="shared" si="123"/>
        <v>-19463</v>
      </c>
      <c r="AT129" s="68">
        <f t="shared" si="124"/>
        <v>-576</v>
      </c>
      <c r="AU129" s="417">
        <v>0</v>
      </c>
      <c r="AV129" s="417">
        <v>0</v>
      </c>
      <c r="AW129" s="417">
        <v>0</v>
      </c>
      <c r="AX129" s="417">
        <f t="shared" si="125"/>
        <v>0</v>
      </c>
      <c r="AY129" s="417">
        <f t="shared" si="126"/>
        <v>-77623</v>
      </c>
      <c r="AZ129" s="418">
        <v>0</v>
      </c>
      <c r="BA129" s="418">
        <v>0</v>
      </c>
      <c r="BB129" s="418">
        <v>0</v>
      </c>
      <c r="BC129" s="418">
        <v>0</v>
      </c>
      <c r="BD129" s="418">
        <v>-0.17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27"/>
        <v>0</v>
      </c>
      <c r="BJ129" s="418">
        <f t="shared" si="128"/>
        <v>-0.17</v>
      </c>
      <c r="BK129" s="420">
        <f t="shared" si="129"/>
        <v>-0.17</v>
      </c>
      <c r="BL129" s="772">
        <f>I129+AY129</f>
        <v>1603837</v>
      </c>
      <c r="BM129" s="417">
        <f>J129+AG129</f>
        <v>1176148</v>
      </c>
      <c r="BN129" s="417">
        <f t="shared" si="180"/>
        <v>0</v>
      </c>
      <c r="BO129" s="417">
        <f t="shared" si="180"/>
        <v>1176148</v>
      </c>
      <c r="BP129" s="417">
        <f>M129+AO129</f>
        <v>5000</v>
      </c>
      <c r="BQ129" s="417">
        <f t="shared" si="181"/>
        <v>0</v>
      </c>
      <c r="BR129" s="417">
        <f t="shared" si="181"/>
        <v>5000</v>
      </c>
      <c r="BS129" s="417">
        <f t="shared" si="182"/>
        <v>399228</v>
      </c>
      <c r="BT129" s="417">
        <f t="shared" si="182"/>
        <v>11761</v>
      </c>
      <c r="BU129" s="417">
        <f>R129+AX129</f>
        <v>11700</v>
      </c>
      <c r="BV129" s="418">
        <f>S129+BK129</f>
        <v>3.54</v>
      </c>
      <c r="BW129" s="418">
        <f t="shared" si="183"/>
        <v>0</v>
      </c>
      <c r="BX129" s="420">
        <f t="shared" si="183"/>
        <v>3.54</v>
      </c>
      <c r="BY129" s="419"/>
      <c r="BZ129" s="414"/>
      <c r="CA129" s="414"/>
      <c r="CB129" s="414"/>
      <c r="CC129" s="414"/>
      <c r="CD129" s="509"/>
      <c r="CE129" s="419"/>
      <c r="CF129" s="601"/>
      <c r="CG129" s="414"/>
      <c r="CH129" s="414"/>
      <c r="CI129" s="601"/>
      <c r="CJ129" s="603"/>
    </row>
    <row r="130" spans="1:88" s="221" customFormat="1" ht="12.75" customHeight="1">
      <c r="A130" s="223">
        <v>27</v>
      </c>
      <c r="B130" s="224">
        <v>3417</v>
      </c>
      <c r="C130" s="224">
        <v>600078353</v>
      </c>
      <c r="D130" s="224">
        <v>72743352</v>
      </c>
      <c r="E130" s="225" t="s">
        <v>61</v>
      </c>
      <c r="F130" s="224">
        <v>3143</v>
      </c>
      <c r="G130" s="225" t="s">
        <v>595</v>
      </c>
      <c r="H130" s="226" t="s">
        <v>271</v>
      </c>
      <c r="I130" s="419">
        <v>1434428</v>
      </c>
      <c r="J130" s="414">
        <v>1054190</v>
      </c>
      <c r="K130" s="414">
        <v>1054190</v>
      </c>
      <c r="L130" s="414">
        <v>0</v>
      </c>
      <c r="M130" s="414">
        <v>10000</v>
      </c>
      <c r="N130" s="414">
        <v>10000</v>
      </c>
      <c r="O130" s="414">
        <v>0</v>
      </c>
      <c r="P130" s="68">
        <v>359696</v>
      </c>
      <c r="Q130" s="68">
        <v>10542</v>
      </c>
      <c r="R130" s="414">
        <v>0</v>
      </c>
      <c r="S130" s="415">
        <v>2</v>
      </c>
      <c r="T130" s="416">
        <v>2</v>
      </c>
      <c r="U130" s="422">
        <v>0</v>
      </c>
      <c r="V130" s="423">
        <f t="shared" si="112"/>
        <v>0</v>
      </c>
      <c r="W130" s="417">
        <f t="shared" si="113"/>
        <v>0</v>
      </c>
      <c r="X130" s="417">
        <v>0</v>
      </c>
      <c r="Y130" s="417">
        <v>0</v>
      </c>
      <c r="Z130" s="417">
        <v>0</v>
      </c>
      <c r="AA130" s="417">
        <v>0</v>
      </c>
      <c r="AB130" s="417">
        <v>0</v>
      </c>
      <c r="AC130" s="417">
        <v>0</v>
      </c>
      <c r="AD130" s="417">
        <v>0</v>
      </c>
      <c r="AE130" s="417">
        <f t="shared" si="114"/>
        <v>0</v>
      </c>
      <c r="AF130" s="417">
        <f t="shared" si="115"/>
        <v>0</v>
      </c>
      <c r="AG130" s="417">
        <f t="shared" si="116"/>
        <v>0</v>
      </c>
      <c r="AH130" s="417">
        <v>0</v>
      </c>
      <c r="AI130" s="417">
        <v>0</v>
      </c>
      <c r="AJ130" s="417">
        <v>0</v>
      </c>
      <c r="AK130" s="417">
        <v>0</v>
      </c>
      <c r="AL130" s="417">
        <v>0</v>
      </c>
      <c r="AM130" s="417">
        <f t="shared" si="117"/>
        <v>0</v>
      </c>
      <c r="AN130" s="417">
        <f t="shared" si="118"/>
        <v>0</v>
      </c>
      <c r="AO130" s="417">
        <f t="shared" si="119"/>
        <v>0</v>
      </c>
      <c r="AP130" s="417">
        <f t="shared" si="120"/>
        <v>0</v>
      </c>
      <c r="AQ130" s="417">
        <f t="shared" si="121"/>
        <v>0</v>
      </c>
      <c r="AR130" s="417">
        <f t="shared" si="122"/>
        <v>0</v>
      </c>
      <c r="AS130" s="68">
        <f t="shared" si="123"/>
        <v>0</v>
      </c>
      <c r="AT130" s="68">
        <f t="shared" si="124"/>
        <v>0</v>
      </c>
      <c r="AU130" s="417">
        <v>0</v>
      </c>
      <c r="AV130" s="417">
        <v>0</v>
      </c>
      <c r="AW130" s="417">
        <v>0</v>
      </c>
      <c r="AX130" s="417">
        <f t="shared" si="125"/>
        <v>0</v>
      </c>
      <c r="AY130" s="417">
        <f t="shared" si="126"/>
        <v>0</v>
      </c>
      <c r="AZ130" s="418">
        <v>0</v>
      </c>
      <c r="BA130" s="418">
        <v>0</v>
      </c>
      <c r="BB130" s="418">
        <v>0</v>
      </c>
      <c r="BC130" s="418">
        <v>0</v>
      </c>
      <c r="BD130" s="418">
        <v>0</v>
      </c>
      <c r="BE130" s="418">
        <v>0</v>
      </c>
      <c r="BF130" s="418">
        <v>0</v>
      </c>
      <c r="BG130" s="418">
        <v>0</v>
      </c>
      <c r="BH130" s="418">
        <v>0</v>
      </c>
      <c r="BI130" s="418">
        <f t="shared" si="127"/>
        <v>0</v>
      </c>
      <c r="BJ130" s="418">
        <f t="shared" si="128"/>
        <v>0</v>
      </c>
      <c r="BK130" s="420">
        <f t="shared" si="129"/>
        <v>0</v>
      </c>
      <c r="BL130" s="772">
        <f>I130+AY130</f>
        <v>1434428</v>
      </c>
      <c r="BM130" s="417">
        <f>J130+AG130</f>
        <v>1054190</v>
      </c>
      <c r="BN130" s="417">
        <f t="shared" si="180"/>
        <v>1054190</v>
      </c>
      <c r="BO130" s="417">
        <f t="shared" si="180"/>
        <v>0</v>
      </c>
      <c r="BP130" s="417">
        <f>M130+AO130</f>
        <v>10000</v>
      </c>
      <c r="BQ130" s="417">
        <f t="shared" si="181"/>
        <v>10000</v>
      </c>
      <c r="BR130" s="417">
        <f t="shared" si="181"/>
        <v>0</v>
      </c>
      <c r="BS130" s="417">
        <f t="shared" si="182"/>
        <v>359696</v>
      </c>
      <c r="BT130" s="417">
        <f t="shared" si="182"/>
        <v>10542</v>
      </c>
      <c r="BU130" s="417">
        <f>R130+AX130</f>
        <v>0</v>
      </c>
      <c r="BV130" s="418">
        <f>S130+BK130</f>
        <v>2</v>
      </c>
      <c r="BW130" s="418">
        <f t="shared" si="183"/>
        <v>2</v>
      </c>
      <c r="BX130" s="420">
        <f t="shared" si="183"/>
        <v>0</v>
      </c>
      <c r="BY130" s="419"/>
      <c r="BZ130" s="414"/>
      <c r="CA130" s="414"/>
      <c r="CB130" s="414"/>
      <c r="CC130" s="414"/>
      <c r="CD130" s="509"/>
      <c r="CE130" s="419"/>
      <c r="CF130" s="414"/>
      <c r="CG130" s="414"/>
      <c r="CH130" s="414"/>
      <c r="CI130" s="414"/>
      <c r="CJ130" s="509"/>
    </row>
    <row r="131" spans="1:88" s="221" customFormat="1" ht="12.75" customHeight="1">
      <c r="A131" s="223">
        <v>27</v>
      </c>
      <c r="B131" s="224">
        <v>3417</v>
      </c>
      <c r="C131" s="224">
        <v>600078353</v>
      </c>
      <c r="D131" s="224">
        <v>72743352</v>
      </c>
      <c r="E131" s="225" t="s">
        <v>61</v>
      </c>
      <c r="F131" s="224">
        <v>3143</v>
      </c>
      <c r="G131" s="225" t="s">
        <v>596</v>
      </c>
      <c r="H131" s="226" t="s">
        <v>272</v>
      </c>
      <c r="I131" s="419">
        <v>46104</v>
      </c>
      <c r="J131" s="414">
        <v>33000</v>
      </c>
      <c r="K131" s="414">
        <v>0</v>
      </c>
      <c r="L131" s="414">
        <v>33000</v>
      </c>
      <c r="M131" s="414">
        <v>0</v>
      </c>
      <c r="N131" s="414">
        <v>0</v>
      </c>
      <c r="O131" s="414">
        <v>0</v>
      </c>
      <c r="P131" s="68">
        <v>11154</v>
      </c>
      <c r="Q131" s="68">
        <v>330</v>
      </c>
      <c r="R131" s="414">
        <v>1620</v>
      </c>
      <c r="S131" s="415">
        <v>0.12</v>
      </c>
      <c r="T131" s="416">
        <v>0</v>
      </c>
      <c r="U131" s="422">
        <v>0.12</v>
      </c>
      <c r="V131" s="423">
        <f t="shared" si="112"/>
        <v>0</v>
      </c>
      <c r="W131" s="417">
        <f t="shared" si="113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14"/>
        <v>0</v>
      </c>
      <c r="AF131" s="417">
        <f t="shared" si="115"/>
        <v>0</v>
      </c>
      <c r="AG131" s="417">
        <f t="shared" si="116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17"/>
        <v>0</v>
      </c>
      <c r="AN131" s="417">
        <f t="shared" si="118"/>
        <v>0</v>
      </c>
      <c r="AO131" s="417">
        <f t="shared" si="119"/>
        <v>0</v>
      </c>
      <c r="AP131" s="417">
        <f t="shared" si="120"/>
        <v>0</v>
      </c>
      <c r="AQ131" s="417">
        <f t="shared" si="121"/>
        <v>0</v>
      </c>
      <c r="AR131" s="417">
        <f t="shared" si="122"/>
        <v>0</v>
      </c>
      <c r="AS131" s="68">
        <f t="shared" si="123"/>
        <v>0</v>
      </c>
      <c r="AT131" s="68">
        <f t="shared" si="124"/>
        <v>0</v>
      </c>
      <c r="AU131" s="417">
        <v>0</v>
      </c>
      <c r="AV131" s="417">
        <v>0</v>
      </c>
      <c r="AW131" s="417">
        <v>0</v>
      </c>
      <c r="AX131" s="417">
        <f t="shared" si="125"/>
        <v>0</v>
      </c>
      <c r="AY131" s="417">
        <f t="shared" si="126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27"/>
        <v>0</v>
      </c>
      <c r="BJ131" s="418">
        <f t="shared" si="128"/>
        <v>0</v>
      </c>
      <c r="BK131" s="420">
        <f t="shared" si="129"/>
        <v>0</v>
      </c>
      <c r="BL131" s="772">
        <f>I131+AY131</f>
        <v>46104</v>
      </c>
      <c r="BM131" s="417">
        <f>J131+AG131</f>
        <v>33000</v>
      </c>
      <c r="BN131" s="417">
        <f t="shared" si="180"/>
        <v>0</v>
      </c>
      <c r="BO131" s="417">
        <f t="shared" si="180"/>
        <v>33000</v>
      </c>
      <c r="BP131" s="417">
        <f>M131+AO131</f>
        <v>0</v>
      </c>
      <c r="BQ131" s="417">
        <f t="shared" si="181"/>
        <v>0</v>
      </c>
      <c r="BR131" s="417">
        <f t="shared" si="181"/>
        <v>0</v>
      </c>
      <c r="BS131" s="417">
        <f t="shared" si="182"/>
        <v>11154</v>
      </c>
      <c r="BT131" s="417">
        <f t="shared" si="182"/>
        <v>330</v>
      </c>
      <c r="BU131" s="417">
        <f>R131+AX131</f>
        <v>1620</v>
      </c>
      <c r="BV131" s="418">
        <f>S131+BK131</f>
        <v>0.12</v>
      </c>
      <c r="BW131" s="418">
        <f t="shared" si="183"/>
        <v>0</v>
      </c>
      <c r="BX131" s="420">
        <f t="shared" si="183"/>
        <v>0.12</v>
      </c>
      <c r="BY131" s="801">
        <f>SUM(BZ130:CC130)</f>
        <v>0</v>
      </c>
      <c r="BZ131" s="673"/>
      <c r="CA131" s="673"/>
      <c r="CB131" s="673"/>
      <c r="CC131" s="673"/>
      <c r="CD131" s="802"/>
      <c r="CE131" s="419"/>
      <c r="CF131" s="601"/>
      <c r="CG131" s="414"/>
      <c r="CH131" s="414"/>
      <c r="CI131" s="602"/>
      <c r="CJ131" s="603"/>
    </row>
    <row r="132" spans="1:88" s="221" customFormat="1" ht="12.75" customHeight="1">
      <c r="A132" s="153">
        <v>27</v>
      </c>
      <c r="B132" s="14">
        <v>3417</v>
      </c>
      <c r="C132" s="152">
        <v>600078353</v>
      </c>
      <c r="D132" s="152">
        <v>72743352</v>
      </c>
      <c r="E132" s="222" t="s">
        <v>62</v>
      </c>
      <c r="F132" s="14"/>
      <c r="G132" s="222"/>
      <c r="H132" s="558"/>
      <c r="I132" s="504">
        <v>19658476</v>
      </c>
      <c r="J132" s="503">
        <v>14340517</v>
      </c>
      <c r="K132" s="503">
        <v>11807147</v>
      </c>
      <c r="L132" s="503">
        <v>2533370</v>
      </c>
      <c r="M132" s="503">
        <v>35000</v>
      </c>
      <c r="N132" s="503">
        <v>22500</v>
      </c>
      <c r="O132" s="503">
        <v>12500</v>
      </c>
      <c r="P132" s="503">
        <v>4858924</v>
      </c>
      <c r="Q132" s="503">
        <v>143405</v>
      </c>
      <c r="R132" s="503">
        <v>280630</v>
      </c>
      <c r="S132" s="543">
        <v>24.328700000000001</v>
      </c>
      <c r="T132" s="543">
        <v>16.8766</v>
      </c>
      <c r="U132" s="1084">
        <v>7.4521000000000006</v>
      </c>
      <c r="V132" s="504">
        <f t="shared" ref="V132:CG132" si="184">SUM(V127:V131)</f>
        <v>0</v>
      </c>
      <c r="W132" s="503">
        <f t="shared" si="184"/>
        <v>0</v>
      </c>
      <c r="X132" s="503">
        <f t="shared" si="184"/>
        <v>0</v>
      </c>
      <c r="Y132" s="503">
        <f t="shared" si="184"/>
        <v>0</v>
      </c>
      <c r="Z132" s="503">
        <f t="shared" si="184"/>
        <v>0</v>
      </c>
      <c r="AA132" s="503">
        <f t="shared" si="184"/>
        <v>-57584</v>
      </c>
      <c r="AB132" s="503">
        <f t="shared" si="184"/>
        <v>0</v>
      </c>
      <c r="AC132" s="503">
        <f t="shared" si="184"/>
        <v>0</v>
      </c>
      <c r="AD132" s="503">
        <f t="shared" si="184"/>
        <v>0</v>
      </c>
      <c r="AE132" s="503">
        <f t="shared" si="184"/>
        <v>0</v>
      </c>
      <c r="AF132" s="503">
        <f t="shared" si="184"/>
        <v>-57584</v>
      </c>
      <c r="AG132" s="503">
        <f t="shared" si="184"/>
        <v>-57584</v>
      </c>
      <c r="AH132" s="503">
        <f t="shared" si="184"/>
        <v>0</v>
      </c>
      <c r="AI132" s="503">
        <f t="shared" si="184"/>
        <v>0</v>
      </c>
      <c r="AJ132" s="503">
        <f t="shared" si="184"/>
        <v>0</v>
      </c>
      <c r="AK132" s="503">
        <f t="shared" si="184"/>
        <v>0</v>
      </c>
      <c r="AL132" s="503">
        <f t="shared" si="184"/>
        <v>0</v>
      </c>
      <c r="AM132" s="503">
        <f t="shared" si="184"/>
        <v>0</v>
      </c>
      <c r="AN132" s="503">
        <f t="shared" si="184"/>
        <v>0</v>
      </c>
      <c r="AO132" s="503">
        <f t="shared" si="184"/>
        <v>0</v>
      </c>
      <c r="AP132" s="503">
        <f t="shared" si="184"/>
        <v>0</v>
      </c>
      <c r="AQ132" s="503">
        <f t="shared" si="184"/>
        <v>-57584</v>
      </c>
      <c r="AR132" s="503">
        <f t="shared" si="184"/>
        <v>-57584</v>
      </c>
      <c r="AS132" s="503">
        <f t="shared" si="184"/>
        <v>-19463</v>
      </c>
      <c r="AT132" s="503">
        <f t="shared" si="184"/>
        <v>-576</v>
      </c>
      <c r="AU132" s="503">
        <f t="shared" si="184"/>
        <v>0</v>
      </c>
      <c r="AV132" s="503">
        <f t="shared" si="184"/>
        <v>0</v>
      </c>
      <c r="AW132" s="503">
        <f t="shared" si="184"/>
        <v>0</v>
      </c>
      <c r="AX132" s="503">
        <f t="shared" si="184"/>
        <v>0</v>
      </c>
      <c r="AY132" s="503">
        <f t="shared" si="184"/>
        <v>-77623</v>
      </c>
      <c r="AZ132" s="543">
        <f t="shared" si="184"/>
        <v>0</v>
      </c>
      <c r="BA132" s="543">
        <f t="shared" si="184"/>
        <v>0</v>
      </c>
      <c r="BB132" s="543">
        <f t="shared" si="184"/>
        <v>0</v>
      </c>
      <c r="BC132" s="543">
        <f t="shared" si="184"/>
        <v>0</v>
      </c>
      <c r="BD132" s="543">
        <f t="shared" si="184"/>
        <v>-0.17</v>
      </c>
      <c r="BE132" s="543">
        <f t="shared" si="184"/>
        <v>0</v>
      </c>
      <c r="BF132" s="543">
        <f t="shared" si="184"/>
        <v>0</v>
      </c>
      <c r="BG132" s="543">
        <f t="shared" si="184"/>
        <v>0</v>
      </c>
      <c r="BH132" s="543">
        <f t="shared" si="184"/>
        <v>0</v>
      </c>
      <c r="BI132" s="543">
        <f t="shared" si="184"/>
        <v>0</v>
      </c>
      <c r="BJ132" s="543">
        <f t="shared" si="184"/>
        <v>-0.17</v>
      </c>
      <c r="BK132" s="441">
        <f t="shared" si="184"/>
        <v>-0.17</v>
      </c>
      <c r="BL132" s="788">
        <f t="shared" si="184"/>
        <v>19580853</v>
      </c>
      <c r="BM132" s="503">
        <f t="shared" si="184"/>
        <v>14282933</v>
      </c>
      <c r="BN132" s="503">
        <f t="shared" si="184"/>
        <v>11807147</v>
      </c>
      <c r="BO132" s="503">
        <f t="shared" si="184"/>
        <v>2475786</v>
      </c>
      <c r="BP132" s="503">
        <f t="shared" si="184"/>
        <v>35000</v>
      </c>
      <c r="BQ132" s="503">
        <f t="shared" si="184"/>
        <v>22500</v>
      </c>
      <c r="BR132" s="503">
        <f t="shared" si="184"/>
        <v>12500</v>
      </c>
      <c r="BS132" s="503">
        <f t="shared" si="184"/>
        <v>4839461</v>
      </c>
      <c r="BT132" s="503">
        <f t="shared" si="184"/>
        <v>142829</v>
      </c>
      <c r="BU132" s="503">
        <f t="shared" si="184"/>
        <v>280630</v>
      </c>
      <c r="BV132" s="543">
        <f t="shared" si="184"/>
        <v>24.1587</v>
      </c>
      <c r="BW132" s="543">
        <f t="shared" si="184"/>
        <v>16.8766</v>
      </c>
      <c r="BX132" s="441">
        <f t="shared" si="184"/>
        <v>7.2821000000000007</v>
      </c>
      <c r="BY132" s="799">
        <f t="shared" si="184"/>
        <v>0</v>
      </c>
      <c r="BZ132" s="705">
        <f t="shared" si="184"/>
        <v>0</v>
      </c>
      <c r="CA132" s="705">
        <f t="shared" si="184"/>
        <v>0</v>
      </c>
      <c r="CB132" s="705">
        <f t="shared" si="184"/>
        <v>0</v>
      </c>
      <c r="CC132" s="705">
        <f t="shared" si="184"/>
        <v>0</v>
      </c>
      <c r="CD132" s="800">
        <f t="shared" si="184"/>
        <v>0</v>
      </c>
      <c r="CE132" s="896">
        <f t="shared" si="184"/>
        <v>612604</v>
      </c>
      <c r="CF132" s="897">
        <f t="shared" si="184"/>
        <v>408960</v>
      </c>
      <c r="CG132" s="897">
        <f t="shared" si="184"/>
        <v>138228</v>
      </c>
      <c r="CH132" s="897">
        <f t="shared" ref="CH132:CJ132" si="185">SUM(CH127:CH131)</f>
        <v>4090</v>
      </c>
      <c r="CI132" s="897">
        <f t="shared" si="185"/>
        <v>61326</v>
      </c>
      <c r="CJ132" s="898">
        <f t="shared" si="185"/>
        <v>1.1691</v>
      </c>
    </row>
    <row r="133" spans="1:88" s="221" customFormat="1" ht="12.75" customHeight="1">
      <c r="A133" s="223">
        <v>28</v>
      </c>
      <c r="B133" s="224">
        <v>3410</v>
      </c>
      <c r="C133" s="224">
        <v>650038550</v>
      </c>
      <c r="D133" s="224">
        <v>72743191</v>
      </c>
      <c r="E133" s="225" t="s">
        <v>63</v>
      </c>
      <c r="F133" s="224">
        <v>3113</v>
      </c>
      <c r="G133" s="225" t="s">
        <v>293</v>
      </c>
      <c r="H133" s="226" t="s">
        <v>271</v>
      </c>
      <c r="I133" s="419">
        <v>27949569</v>
      </c>
      <c r="J133" s="414">
        <v>20275660</v>
      </c>
      <c r="K133" s="414">
        <v>17953096</v>
      </c>
      <c r="L133" s="414">
        <v>2322564</v>
      </c>
      <c r="M133" s="414">
        <v>71812</v>
      </c>
      <c r="N133" s="414">
        <v>66812</v>
      </c>
      <c r="O133" s="414">
        <v>5000</v>
      </c>
      <c r="P133" s="68">
        <v>6877445</v>
      </c>
      <c r="Q133" s="68">
        <v>202757</v>
      </c>
      <c r="R133" s="414">
        <v>521895</v>
      </c>
      <c r="S133" s="415">
        <v>32.616099999999996</v>
      </c>
      <c r="T133" s="416">
        <v>25.616399999999995</v>
      </c>
      <c r="U133" s="422">
        <v>6.9997000000000007</v>
      </c>
      <c r="V133" s="423">
        <f t="shared" si="112"/>
        <v>20000</v>
      </c>
      <c r="W133" s="417">
        <f t="shared" si="113"/>
        <v>2000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14"/>
        <v>20000</v>
      </c>
      <c r="AF133" s="417">
        <f t="shared" si="115"/>
        <v>2000</v>
      </c>
      <c r="AG133" s="417">
        <f t="shared" si="116"/>
        <v>22000</v>
      </c>
      <c r="AH133" s="417">
        <v>-20000</v>
      </c>
      <c r="AI133" s="417">
        <v>-2000</v>
      </c>
      <c r="AJ133" s="417">
        <v>0</v>
      </c>
      <c r="AK133" s="417">
        <v>0</v>
      </c>
      <c r="AL133" s="417">
        <v>0</v>
      </c>
      <c r="AM133" s="417">
        <f t="shared" si="117"/>
        <v>-20000</v>
      </c>
      <c r="AN133" s="417">
        <f t="shared" si="118"/>
        <v>-2000</v>
      </c>
      <c r="AO133" s="417">
        <f t="shared" si="119"/>
        <v>-22000</v>
      </c>
      <c r="AP133" s="417">
        <f t="shared" si="120"/>
        <v>0</v>
      </c>
      <c r="AQ133" s="417">
        <f t="shared" si="121"/>
        <v>0</v>
      </c>
      <c r="AR133" s="417">
        <f t="shared" si="122"/>
        <v>0</v>
      </c>
      <c r="AS133" s="68">
        <f t="shared" si="123"/>
        <v>0</v>
      </c>
      <c r="AT133" s="68">
        <f t="shared" si="124"/>
        <v>220</v>
      </c>
      <c r="AU133" s="417">
        <v>0</v>
      </c>
      <c r="AV133" s="417">
        <v>0</v>
      </c>
      <c r="AW133" s="417">
        <v>0</v>
      </c>
      <c r="AX133" s="417">
        <f t="shared" si="125"/>
        <v>0</v>
      </c>
      <c r="AY133" s="417">
        <f t="shared" si="126"/>
        <v>220</v>
      </c>
      <c r="AZ133" s="418">
        <v>0.02</v>
      </c>
      <c r="BA133" s="418">
        <v>-0.01</v>
      </c>
      <c r="BB133" s="418">
        <v>0</v>
      </c>
      <c r="BC133" s="418">
        <v>0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27"/>
        <v>0.02</v>
      </c>
      <c r="BJ133" s="418">
        <f t="shared" si="128"/>
        <v>-0.01</v>
      </c>
      <c r="BK133" s="420">
        <f t="shared" si="129"/>
        <v>0.01</v>
      </c>
      <c r="BL133" s="772">
        <f>I133+AY133</f>
        <v>27949789</v>
      </c>
      <c r="BM133" s="417">
        <f>J133+AG133</f>
        <v>20297660</v>
      </c>
      <c r="BN133" s="417">
        <f t="shared" ref="BN133:BO137" si="186">K133+AE133</f>
        <v>17973096</v>
      </c>
      <c r="BO133" s="417">
        <f t="shared" si="186"/>
        <v>2324564</v>
      </c>
      <c r="BP133" s="417">
        <f>M133+AO133</f>
        <v>49812</v>
      </c>
      <c r="BQ133" s="417">
        <f t="shared" ref="BQ133:BR137" si="187">N133+AM133</f>
        <v>46812</v>
      </c>
      <c r="BR133" s="417">
        <f t="shared" si="187"/>
        <v>3000</v>
      </c>
      <c r="BS133" s="417">
        <f t="shared" ref="BS133:BT137" si="188">P133+AS133</f>
        <v>6877445</v>
      </c>
      <c r="BT133" s="417">
        <f t="shared" si="188"/>
        <v>202977</v>
      </c>
      <c r="BU133" s="417">
        <f>R133+AX133</f>
        <v>521895</v>
      </c>
      <c r="BV133" s="418">
        <f>S133+BK133</f>
        <v>32.626099999999994</v>
      </c>
      <c r="BW133" s="418">
        <f t="shared" ref="BW133:BX137" si="189">T133+BI133</f>
        <v>25.636399999999995</v>
      </c>
      <c r="BX133" s="420">
        <f t="shared" si="189"/>
        <v>6.9897000000000009</v>
      </c>
      <c r="BY133" s="419">
        <v>62634</v>
      </c>
      <c r="BZ133" s="414">
        <v>0</v>
      </c>
      <c r="CA133" s="414">
        <v>46812</v>
      </c>
      <c r="CB133" s="414">
        <v>15822</v>
      </c>
      <c r="CC133" s="414">
        <v>0</v>
      </c>
      <c r="CD133" s="509">
        <v>0</v>
      </c>
      <c r="CE133" s="419">
        <v>1126427</v>
      </c>
      <c r="CF133" s="414">
        <v>747097</v>
      </c>
      <c r="CG133" s="414">
        <v>252519</v>
      </c>
      <c r="CH133" s="414">
        <v>7471</v>
      </c>
      <c r="CI133" s="414">
        <v>119340</v>
      </c>
      <c r="CJ133" s="509">
        <v>2.2469000000000001</v>
      </c>
    </row>
    <row r="134" spans="1:88" s="221" customFormat="1">
      <c r="A134" s="223">
        <v>28</v>
      </c>
      <c r="B134" s="224">
        <v>3410</v>
      </c>
      <c r="C134" s="224">
        <v>650038550</v>
      </c>
      <c r="D134" s="224">
        <v>72743191</v>
      </c>
      <c r="E134" s="225" t="s">
        <v>63</v>
      </c>
      <c r="F134" s="224">
        <v>3113</v>
      </c>
      <c r="G134" s="225" t="s">
        <v>291</v>
      </c>
      <c r="H134" s="226" t="s">
        <v>272</v>
      </c>
      <c r="I134" s="419">
        <v>2357429</v>
      </c>
      <c r="J134" s="414">
        <v>1748835</v>
      </c>
      <c r="K134" s="414">
        <v>1748835</v>
      </c>
      <c r="L134" s="414">
        <v>0</v>
      </c>
      <c r="M134" s="414">
        <v>0</v>
      </c>
      <c r="N134" s="414">
        <v>0</v>
      </c>
      <c r="O134" s="414">
        <v>0</v>
      </c>
      <c r="P134" s="68">
        <v>591106</v>
      </c>
      <c r="Q134" s="68">
        <v>17488</v>
      </c>
      <c r="R134" s="414">
        <v>0</v>
      </c>
      <c r="S134" s="415">
        <v>4.54</v>
      </c>
      <c r="T134" s="416">
        <v>4.54</v>
      </c>
      <c r="U134" s="422">
        <v>0</v>
      </c>
      <c r="V134" s="423">
        <f t="shared" si="112"/>
        <v>0</v>
      </c>
      <c r="W134" s="417">
        <f t="shared" si="113"/>
        <v>0</v>
      </c>
      <c r="X134" s="417">
        <v>30900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 t="shared" si="114"/>
        <v>30900</v>
      </c>
      <c r="AF134" s="417">
        <f t="shared" si="115"/>
        <v>0</v>
      </c>
      <c r="AG134" s="417">
        <f t="shared" si="116"/>
        <v>30900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17"/>
        <v>0</v>
      </c>
      <c r="AN134" s="417">
        <f t="shared" si="118"/>
        <v>0</v>
      </c>
      <c r="AO134" s="417">
        <f t="shared" si="119"/>
        <v>0</v>
      </c>
      <c r="AP134" s="417">
        <f t="shared" si="120"/>
        <v>30900</v>
      </c>
      <c r="AQ134" s="417">
        <f t="shared" si="121"/>
        <v>0</v>
      </c>
      <c r="AR134" s="417">
        <f t="shared" si="122"/>
        <v>30900</v>
      </c>
      <c r="AS134" s="68">
        <f t="shared" si="123"/>
        <v>10444</v>
      </c>
      <c r="AT134" s="68">
        <f t="shared" si="124"/>
        <v>309</v>
      </c>
      <c r="AU134" s="417">
        <v>0</v>
      </c>
      <c r="AV134" s="417">
        <v>0</v>
      </c>
      <c r="AW134" s="417">
        <v>0</v>
      </c>
      <c r="AX134" s="417">
        <f t="shared" si="125"/>
        <v>0</v>
      </c>
      <c r="AY134" s="417">
        <f t="shared" si="126"/>
        <v>41653</v>
      </c>
      <c r="AZ134" s="418">
        <v>0</v>
      </c>
      <c r="BA134" s="418">
        <v>0</v>
      </c>
      <c r="BB134" s="418">
        <v>0.08</v>
      </c>
      <c r="BC134" s="418">
        <v>0</v>
      </c>
      <c r="BD134" s="418">
        <v>0</v>
      </c>
      <c r="BE134" s="418">
        <v>0</v>
      </c>
      <c r="BF134" s="418">
        <v>0</v>
      </c>
      <c r="BG134" s="418">
        <v>0</v>
      </c>
      <c r="BH134" s="418">
        <v>0</v>
      </c>
      <c r="BI134" s="418">
        <f t="shared" si="127"/>
        <v>0.08</v>
      </c>
      <c r="BJ134" s="418">
        <f t="shared" si="128"/>
        <v>0</v>
      </c>
      <c r="BK134" s="420">
        <f t="shared" si="129"/>
        <v>0.08</v>
      </c>
      <c r="BL134" s="772">
        <f>I134+AY134</f>
        <v>2399082</v>
      </c>
      <c r="BM134" s="417">
        <f>J134+AG134</f>
        <v>1779735</v>
      </c>
      <c r="BN134" s="417">
        <f t="shared" si="186"/>
        <v>1779735</v>
      </c>
      <c r="BO134" s="417">
        <f t="shared" si="186"/>
        <v>0</v>
      </c>
      <c r="BP134" s="417">
        <f>M134+AO134</f>
        <v>0</v>
      </c>
      <c r="BQ134" s="417">
        <f t="shared" si="187"/>
        <v>0</v>
      </c>
      <c r="BR134" s="417">
        <f t="shared" si="187"/>
        <v>0</v>
      </c>
      <c r="BS134" s="417">
        <f t="shared" si="188"/>
        <v>601550</v>
      </c>
      <c r="BT134" s="417">
        <f t="shared" si="188"/>
        <v>17797</v>
      </c>
      <c r="BU134" s="417">
        <f>R134+AX134</f>
        <v>0</v>
      </c>
      <c r="BV134" s="418">
        <f>S134+BK134</f>
        <v>4.62</v>
      </c>
      <c r="BW134" s="418">
        <f t="shared" si="189"/>
        <v>4.62</v>
      </c>
      <c r="BX134" s="420">
        <f t="shared" si="189"/>
        <v>0</v>
      </c>
      <c r="BY134" s="419"/>
      <c r="BZ134" s="414"/>
      <c r="CA134" s="414"/>
      <c r="CB134" s="414"/>
      <c r="CC134" s="414"/>
      <c r="CD134" s="509"/>
      <c r="CE134" s="419"/>
      <c r="CF134" s="414"/>
      <c r="CG134" s="414"/>
      <c r="CH134" s="414"/>
      <c r="CI134" s="414"/>
      <c r="CJ134" s="509"/>
    </row>
    <row r="135" spans="1:88" s="221" customFormat="1" ht="12.75" customHeight="1">
      <c r="A135" s="223">
        <v>28</v>
      </c>
      <c r="B135" s="224">
        <v>3410</v>
      </c>
      <c r="C135" s="224">
        <v>650038550</v>
      </c>
      <c r="D135" s="224">
        <v>72743191</v>
      </c>
      <c r="E135" s="225" t="s">
        <v>63</v>
      </c>
      <c r="F135" s="224">
        <v>3141</v>
      </c>
      <c r="G135" s="225" t="s">
        <v>294</v>
      </c>
      <c r="H135" s="226" t="s">
        <v>272</v>
      </c>
      <c r="I135" s="419">
        <v>2761452</v>
      </c>
      <c r="J135" s="414">
        <v>2015009</v>
      </c>
      <c r="K135" s="414">
        <v>0</v>
      </c>
      <c r="L135" s="414">
        <v>2015009</v>
      </c>
      <c r="M135" s="414">
        <v>20000</v>
      </c>
      <c r="N135" s="414">
        <v>0</v>
      </c>
      <c r="O135" s="414">
        <v>20000</v>
      </c>
      <c r="P135" s="68">
        <v>687833</v>
      </c>
      <c r="Q135" s="68">
        <v>20150</v>
      </c>
      <c r="R135" s="414">
        <v>18460</v>
      </c>
      <c r="S135" s="415">
        <v>6.1</v>
      </c>
      <c r="T135" s="416">
        <v>0</v>
      </c>
      <c r="U135" s="422">
        <v>6.1</v>
      </c>
      <c r="V135" s="423">
        <f t="shared" si="112"/>
        <v>0</v>
      </c>
      <c r="W135" s="417">
        <f t="shared" si="113"/>
        <v>-2000</v>
      </c>
      <c r="X135" s="417">
        <v>0</v>
      </c>
      <c r="Y135" s="417">
        <v>0</v>
      </c>
      <c r="Z135" s="417">
        <v>0</v>
      </c>
      <c r="AA135" s="417">
        <v>1749</v>
      </c>
      <c r="AB135" s="417">
        <v>0</v>
      </c>
      <c r="AC135" s="417">
        <v>0</v>
      </c>
      <c r="AD135" s="417">
        <v>0</v>
      </c>
      <c r="AE135" s="417">
        <f t="shared" si="114"/>
        <v>0</v>
      </c>
      <c r="AF135" s="417">
        <f t="shared" si="115"/>
        <v>-251</v>
      </c>
      <c r="AG135" s="417">
        <f t="shared" si="116"/>
        <v>-251</v>
      </c>
      <c r="AH135" s="417">
        <v>0</v>
      </c>
      <c r="AI135" s="417">
        <v>2000</v>
      </c>
      <c r="AJ135" s="417">
        <v>0</v>
      </c>
      <c r="AK135" s="417">
        <v>0</v>
      </c>
      <c r="AL135" s="417">
        <v>0</v>
      </c>
      <c r="AM135" s="417">
        <f t="shared" si="117"/>
        <v>0</v>
      </c>
      <c r="AN135" s="417">
        <f t="shared" si="118"/>
        <v>2000</v>
      </c>
      <c r="AO135" s="417">
        <f t="shared" si="119"/>
        <v>2000</v>
      </c>
      <c r="AP135" s="417">
        <f t="shared" si="120"/>
        <v>0</v>
      </c>
      <c r="AQ135" s="417">
        <f t="shared" si="121"/>
        <v>1749</v>
      </c>
      <c r="AR135" s="417">
        <f t="shared" si="122"/>
        <v>1749</v>
      </c>
      <c r="AS135" s="68">
        <f t="shared" si="123"/>
        <v>591</v>
      </c>
      <c r="AT135" s="68">
        <f t="shared" si="124"/>
        <v>-3</v>
      </c>
      <c r="AU135" s="417">
        <v>0</v>
      </c>
      <c r="AV135" s="417">
        <v>0</v>
      </c>
      <c r="AW135" s="417">
        <v>0</v>
      </c>
      <c r="AX135" s="417">
        <f t="shared" si="125"/>
        <v>0</v>
      </c>
      <c r="AY135" s="417">
        <f t="shared" si="126"/>
        <v>2337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27"/>
        <v>0</v>
      </c>
      <c r="BJ135" s="418">
        <f t="shared" si="128"/>
        <v>0</v>
      </c>
      <c r="BK135" s="420">
        <f t="shared" si="129"/>
        <v>0</v>
      </c>
      <c r="BL135" s="772">
        <f>I135+AY135</f>
        <v>2763789</v>
      </c>
      <c r="BM135" s="417">
        <f>J135+AG135</f>
        <v>2014758</v>
      </c>
      <c r="BN135" s="417">
        <f t="shared" si="186"/>
        <v>0</v>
      </c>
      <c r="BO135" s="417">
        <f t="shared" si="186"/>
        <v>2014758</v>
      </c>
      <c r="BP135" s="417">
        <f>M135+AO135</f>
        <v>22000</v>
      </c>
      <c r="BQ135" s="417">
        <f t="shared" si="187"/>
        <v>0</v>
      </c>
      <c r="BR135" s="417">
        <f t="shared" si="187"/>
        <v>22000</v>
      </c>
      <c r="BS135" s="417">
        <f t="shared" si="188"/>
        <v>688424</v>
      </c>
      <c r="BT135" s="417">
        <f t="shared" si="188"/>
        <v>20147</v>
      </c>
      <c r="BU135" s="417">
        <f>R135+AX135</f>
        <v>18460</v>
      </c>
      <c r="BV135" s="418">
        <f>S135+BK135</f>
        <v>6.1</v>
      </c>
      <c r="BW135" s="418">
        <f t="shared" si="189"/>
        <v>0</v>
      </c>
      <c r="BX135" s="420">
        <f t="shared" si="189"/>
        <v>6.1</v>
      </c>
      <c r="BY135" s="419"/>
      <c r="BZ135" s="414"/>
      <c r="CA135" s="414"/>
      <c r="CB135" s="414"/>
      <c r="CC135" s="414"/>
      <c r="CD135" s="509"/>
      <c r="CE135" s="419"/>
      <c r="CF135" s="414"/>
      <c r="CG135" s="414"/>
      <c r="CH135" s="414"/>
      <c r="CI135" s="414"/>
      <c r="CJ135" s="509"/>
    </row>
    <row r="136" spans="1:88" s="221" customFormat="1" ht="12.75" customHeight="1">
      <c r="A136" s="223">
        <v>28</v>
      </c>
      <c r="B136" s="224">
        <v>3410</v>
      </c>
      <c r="C136" s="224">
        <v>650038550</v>
      </c>
      <c r="D136" s="224">
        <v>72743191</v>
      </c>
      <c r="E136" s="225" t="s">
        <v>63</v>
      </c>
      <c r="F136" s="224">
        <v>3143</v>
      </c>
      <c r="G136" s="225" t="s">
        <v>595</v>
      </c>
      <c r="H136" s="226" t="s">
        <v>271</v>
      </c>
      <c r="I136" s="419">
        <v>2577139</v>
      </c>
      <c r="J136" s="414">
        <v>1882047</v>
      </c>
      <c r="K136" s="414">
        <v>1882047</v>
      </c>
      <c r="L136" s="414">
        <v>0</v>
      </c>
      <c r="M136" s="414">
        <v>30000</v>
      </c>
      <c r="N136" s="414">
        <v>30000</v>
      </c>
      <c r="O136" s="414">
        <v>0</v>
      </c>
      <c r="P136" s="68">
        <v>646272</v>
      </c>
      <c r="Q136" s="68">
        <v>18820</v>
      </c>
      <c r="R136" s="414">
        <v>0</v>
      </c>
      <c r="S136" s="415">
        <v>3.7229000000000001</v>
      </c>
      <c r="T136" s="416">
        <v>3.7229000000000001</v>
      </c>
      <c r="U136" s="422">
        <v>0</v>
      </c>
      <c r="V136" s="423">
        <f t="shared" si="112"/>
        <v>-27000</v>
      </c>
      <c r="W136" s="417">
        <f t="shared" si="113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14"/>
        <v>-27000</v>
      </c>
      <c r="AF136" s="417">
        <f t="shared" si="115"/>
        <v>0</v>
      </c>
      <c r="AG136" s="417">
        <f t="shared" si="116"/>
        <v>-27000</v>
      </c>
      <c r="AH136" s="417">
        <v>27000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17"/>
        <v>27000</v>
      </c>
      <c r="AN136" s="417">
        <f t="shared" si="118"/>
        <v>0</v>
      </c>
      <c r="AO136" s="417">
        <f t="shared" si="119"/>
        <v>27000</v>
      </c>
      <c r="AP136" s="417">
        <f t="shared" si="120"/>
        <v>0</v>
      </c>
      <c r="AQ136" s="417">
        <f t="shared" si="121"/>
        <v>0</v>
      </c>
      <c r="AR136" s="417">
        <f t="shared" si="122"/>
        <v>0</v>
      </c>
      <c r="AS136" s="68">
        <f t="shared" si="123"/>
        <v>0</v>
      </c>
      <c r="AT136" s="68">
        <f t="shared" si="124"/>
        <v>-270</v>
      </c>
      <c r="AU136" s="417">
        <v>0</v>
      </c>
      <c r="AV136" s="417">
        <v>0</v>
      </c>
      <c r="AW136" s="417">
        <v>0</v>
      </c>
      <c r="AX136" s="417">
        <f t="shared" si="125"/>
        <v>0</v>
      </c>
      <c r="AY136" s="417">
        <f t="shared" si="126"/>
        <v>-270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27"/>
        <v>0</v>
      </c>
      <c r="BJ136" s="418">
        <f t="shared" si="128"/>
        <v>0</v>
      </c>
      <c r="BK136" s="420">
        <f t="shared" si="129"/>
        <v>0</v>
      </c>
      <c r="BL136" s="772">
        <f>I136+AY136</f>
        <v>2576869</v>
      </c>
      <c r="BM136" s="417">
        <f>J136+AG136</f>
        <v>1855047</v>
      </c>
      <c r="BN136" s="417">
        <f t="shared" si="186"/>
        <v>1855047</v>
      </c>
      <c r="BO136" s="417">
        <f t="shared" si="186"/>
        <v>0</v>
      </c>
      <c r="BP136" s="417">
        <f>M136+AO136</f>
        <v>57000</v>
      </c>
      <c r="BQ136" s="417">
        <f t="shared" si="187"/>
        <v>57000</v>
      </c>
      <c r="BR136" s="417">
        <f t="shared" si="187"/>
        <v>0</v>
      </c>
      <c r="BS136" s="417">
        <f t="shared" si="188"/>
        <v>646272</v>
      </c>
      <c r="BT136" s="417">
        <f t="shared" si="188"/>
        <v>18550</v>
      </c>
      <c r="BU136" s="417">
        <f>R136+AX136</f>
        <v>0</v>
      </c>
      <c r="BV136" s="418">
        <f>S136+BK136</f>
        <v>3.7229000000000001</v>
      </c>
      <c r="BW136" s="418">
        <f t="shared" si="189"/>
        <v>3.7229000000000001</v>
      </c>
      <c r="BX136" s="420">
        <f t="shared" si="189"/>
        <v>0</v>
      </c>
      <c r="BY136" s="419"/>
      <c r="BZ136" s="414"/>
      <c r="CA136" s="414"/>
      <c r="CB136" s="414"/>
      <c r="CC136" s="414"/>
      <c r="CD136" s="509"/>
      <c r="CE136" s="419"/>
      <c r="CF136" s="414"/>
      <c r="CG136" s="414"/>
      <c r="CH136" s="414"/>
      <c r="CI136" s="414"/>
      <c r="CJ136" s="509"/>
    </row>
    <row r="137" spans="1:88" s="221" customFormat="1" ht="12.75" customHeight="1">
      <c r="A137" s="223">
        <v>28</v>
      </c>
      <c r="B137" s="224">
        <v>3410</v>
      </c>
      <c r="C137" s="224">
        <v>650038550</v>
      </c>
      <c r="D137" s="224">
        <v>72743191</v>
      </c>
      <c r="E137" s="225" t="s">
        <v>63</v>
      </c>
      <c r="F137" s="224">
        <v>3143</v>
      </c>
      <c r="G137" s="225" t="s">
        <v>596</v>
      </c>
      <c r="H137" s="226" t="s">
        <v>272</v>
      </c>
      <c r="I137" s="419">
        <v>92208</v>
      </c>
      <c r="J137" s="414">
        <v>66000</v>
      </c>
      <c r="K137" s="414">
        <v>0</v>
      </c>
      <c r="L137" s="414">
        <v>66000</v>
      </c>
      <c r="M137" s="414">
        <v>0</v>
      </c>
      <c r="N137" s="414">
        <v>0</v>
      </c>
      <c r="O137" s="414">
        <v>0</v>
      </c>
      <c r="P137" s="68">
        <v>22308</v>
      </c>
      <c r="Q137" s="68">
        <v>660</v>
      </c>
      <c r="R137" s="414">
        <v>3240</v>
      </c>
      <c r="S137" s="415">
        <v>0.25</v>
      </c>
      <c r="T137" s="416">
        <v>0</v>
      </c>
      <c r="U137" s="422">
        <v>0.25</v>
      </c>
      <c r="V137" s="423">
        <f t="shared" si="112"/>
        <v>0</v>
      </c>
      <c r="W137" s="417">
        <f t="shared" si="113"/>
        <v>0</v>
      </c>
      <c r="X137" s="417">
        <v>0</v>
      </c>
      <c r="Y137" s="417">
        <v>0</v>
      </c>
      <c r="Z137" s="417">
        <v>0</v>
      </c>
      <c r="AA137" s="417">
        <v>0</v>
      </c>
      <c r="AB137" s="417">
        <v>0</v>
      </c>
      <c r="AC137" s="417">
        <v>0</v>
      </c>
      <c r="AD137" s="417">
        <v>0</v>
      </c>
      <c r="AE137" s="417">
        <f t="shared" si="114"/>
        <v>0</v>
      </c>
      <c r="AF137" s="417">
        <f t="shared" si="115"/>
        <v>0</v>
      </c>
      <c r="AG137" s="417">
        <f t="shared" si="116"/>
        <v>0</v>
      </c>
      <c r="AH137" s="417">
        <v>0</v>
      </c>
      <c r="AI137" s="417">
        <v>0</v>
      </c>
      <c r="AJ137" s="417">
        <v>0</v>
      </c>
      <c r="AK137" s="417">
        <v>0</v>
      </c>
      <c r="AL137" s="417">
        <v>0</v>
      </c>
      <c r="AM137" s="417">
        <f t="shared" si="117"/>
        <v>0</v>
      </c>
      <c r="AN137" s="417">
        <f t="shared" si="118"/>
        <v>0</v>
      </c>
      <c r="AO137" s="417">
        <f t="shared" si="119"/>
        <v>0</v>
      </c>
      <c r="AP137" s="417">
        <f t="shared" si="120"/>
        <v>0</v>
      </c>
      <c r="AQ137" s="417">
        <f t="shared" si="121"/>
        <v>0</v>
      </c>
      <c r="AR137" s="417">
        <f t="shared" si="122"/>
        <v>0</v>
      </c>
      <c r="AS137" s="68">
        <f t="shared" si="123"/>
        <v>0</v>
      </c>
      <c r="AT137" s="68">
        <f t="shared" si="124"/>
        <v>0</v>
      </c>
      <c r="AU137" s="417">
        <v>0</v>
      </c>
      <c r="AV137" s="417">
        <v>0</v>
      </c>
      <c r="AW137" s="417">
        <v>0</v>
      </c>
      <c r="AX137" s="417">
        <f t="shared" si="125"/>
        <v>0</v>
      </c>
      <c r="AY137" s="417">
        <f t="shared" si="126"/>
        <v>0</v>
      </c>
      <c r="AZ137" s="418">
        <v>0</v>
      </c>
      <c r="BA137" s="418">
        <v>0</v>
      </c>
      <c r="BB137" s="418">
        <v>0</v>
      </c>
      <c r="BC137" s="418">
        <v>0</v>
      </c>
      <c r="BD137" s="418">
        <v>0</v>
      </c>
      <c r="BE137" s="418">
        <v>0</v>
      </c>
      <c r="BF137" s="418">
        <v>0</v>
      </c>
      <c r="BG137" s="418">
        <v>0</v>
      </c>
      <c r="BH137" s="418">
        <v>0</v>
      </c>
      <c r="BI137" s="418">
        <f t="shared" si="127"/>
        <v>0</v>
      </c>
      <c r="BJ137" s="418">
        <f t="shared" si="128"/>
        <v>0</v>
      </c>
      <c r="BK137" s="420">
        <f t="shared" si="129"/>
        <v>0</v>
      </c>
      <c r="BL137" s="772">
        <f>I137+AY137</f>
        <v>92208</v>
      </c>
      <c r="BM137" s="417">
        <f>J137+AG137</f>
        <v>66000</v>
      </c>
      <c r="BN137" s="417">
        <f t="shared" si="186"/>
        <v>0</v>
      </c>
      <c r="BO137" s="417">
        <f t="shared" si="186"/>
        <v>66000</v>
      </c>
      <c r="BP137" s="417">
        <f>M137+AO137</f>
        <v>0</v>
      </c>
      <c r="BQ137" s="417">
        <f t="shared" si="187"/>
        <v>0</v>
      </c>
      <c r="BR137" s="417">
        <f t="shared" si="187"/>
        <v>0</v>
      </c>
      <c r="BS137" s="417">
        <f t="shared" si="188"/>
        <v>22308</v>
      </c>
      <c r="BT137" s="417">
        <f t="shared" si="188"/>
        <v>660</v>
      </c>
      <c r="BU137" s="417">
        <f>R137+AX137</f>
        <v>3240</v>
      </c>
      <c r="BV137" s="418">
        <f>S137+BK137</f>
        <v>0.25</v>
      </c>
      <c r="BW137" s="418">
        <f t="shared" si="189"/>
        <v>0</v>
      </c>
      <c r="BX137" s="420">
        <f t="shared" si="189"/>
        <v>0.25</v>
      </c>
      <c r="BY137" s="419"/>
      <c r="BZ137" s="414"/>
      <c r="CA137" s="414"/>
      <c r="CB137" s="414"/>
      <c r="CC137" s="414"/>
      <c r="CD137" s="509"/>
      <c r="CE137" s="419"/>
      <c r="CF137" s="414"/>
      <c r="CG137" s="414"/>
      <c r="CH137" s="414"/>
      <c r="CI137" s="414"/>
      <c r="CJ137" s="509"/>
    </row>
    <row r="138" spans="1:88" s="221" customFormat="1" ht="12.75" customHeight="1">
      <c r="A138" s="153">
        <v>28</v>
      </c>
      <c r="B138" s="14">
        <v>3410</v>
      </c>
      <c r="C138" s="152">
        <v>650038550</v>
      </c>
      <c r="D138" s="152">
        <v>72743191</v>
      </c>
      <c r="E138" s="222" t="s">
        <v>64</v>
      </c>
      <c r="F138" s="14"/>
      <c r="G138" s="222"/>
      <c r="H138" s="558"/>
      <c r="I138" s="504">
        <v>35737797</v>
      </c>
      <c r="J138" s="503">
        <v>25987551</v>
      </c>
      <c r="K138" s="503">
        <v>21583978</v>
      </c>
      <c r="L138" s="503">
        <v>4403573</v>
      </c>
      <c r="M138" s="503">
        <v>121812</v>
      </c>
      <c r="N138" s="503">
        <v>96812</v>
      </c>
      <c r="O138" s="503">
        <v>25000</v>
      </c>
      <c r="P138" s="503">
        <v>8824964</v>
      </c>
      <c r="Q138" s="503">
        <v>259875</v>
      </c>
      <c r="R138" s="503">
        <v>543595</v>
      </c>
      <c r="S138" s="543">
        <v>47.228999999999999</v>
      </c>
      <c r="T138" s="543">
        <v>33.879299999999994</v>
      </c>
      <c r="U138" s="1084">
        <v>13.3497</v>
      </c>
      <c r="V138" s="504">
        <f t="shared" ref="V138:CG138" si="190">SUM(V133:V137)</f>
        <v>-7000</v>
      </c>
      <c r="W138" s="503">
        <f t="shared" si="190"/>
        <v>0</v>
      </c>
      <c r="X138" s="503">
        <f t="shared" si="190"/>
        <v>30900</v>
      </c>
      <c r="Y138" s="503">
        <f t="shared" si="190"/>
        <v>0</v>
      </c>
      <c r="Z138" s="503">
        <f t="shared" si="190"/>
        <v>0</v>
      </c>
      <c r="AA138" s="503">
        <f t="shared" si="190"/>
        <v>1749</v>
      </c>
      <c r="AB138" s="503">
        <f t="shared" si="190"/>
        <v>0</v>
      </c>
      <c r="AC138" s="503">
        <f t="shared" si="190"/>
        <v>0</v>
      </c>
      <c r="AD138" s="503">
        <f t="shared" si="190"/>
        <v>0</v>
      </c>
      <c r="AE138" s="503">
        <f t="shared" si="190"/>
        <v>23900</v>
      </c>
      <c r="AF138" s="503">
        <f t="shared" si="190"/>
        <v>1749</v>
      </c>
      <c r="AG138" s="503">
        <f t="shared" si="190"/>
        <v>25649</v>
      </c>
      <c r="AH138" s="503">
        <f t="shared" si="190"/>
        <v>7000</v>
      </c>
      <c r="AI138" s="503">
        <f t="shared" si="190"/>
        <v>0</v>
      </c>
      <c r="AJ138" s="503">
        <f t="shared" si="190"/>
        <v>0</v>
      </c>
      <c r="AK138" s="503">
        <f t="shared" si="190"/>
        <v>0</v>
      </c>
      <c r="AL138" s="503">
        <f t="shared" si="190"/>
        <v>0</v>
      </c>
      <c r="AM138" s="503">
        <f t="shared" si="190"/>
        <v>7000</v>
      </c>
      <c r="AN138" s="503">
        <f t="shared" si="190"/>
        <v>0</v>
      </c>
      <c r="AO138" s="503">
        <f t="shared" si="190"/>
        <v>7000</v>
      </c>
      <c r="AP138" s="503">
        <f t="shared" si="190"/>
        <v>30900</v>
      </c>
      <c r="AQ138" s="503">
        <f t="shared" si="190"/>
        <v>1749</v>
      </c>
      <c r="AR138" s="503">
        <f t="shared" si="190"/>
        <v>32649</v>
      </c>
      <c r="AS138" s="503">
        <f t="shared" si="190"/>
        <v>11035</v>
      </c>
      <c r="AT138" s="503">
        <f t="shared" si="190"/>
        <v>256</v>
      </c>
      <c r="AU138" s="503">
        <f t="shared" si="190"/>
        <v>0</v>
      </c>
      <c r="AV138" s="503">
        <f t="shared" si="190"/>
        <v>0</v>
      </c>
      <c r="AW138" s="503">
        <f t="shared" si="190"/>
        <v>0</v>
      </c>
      <c r="AX138" s="503">
        <f t="shared" si="190"/>
        <v>0</v>
      </c>
      <c r="AY138" s="503">
        <f t="shared" si="190"/>
        <v>43940</v>
      </c>
      <c r="AZ138" s="543">
        <f t="shared" si="190"/>
        <v>0.02</v>
      </c>
      <c r="BA138" s="543">
        <f t="shared" si="190"/>
        <v>-0.01</v>
      </c>
      <c r="BB138" s="543">
        <f t="shared" si="190"/>
        <v>0.08</v>
      </c>
      <c r="BC138" s="543">
        <f t="shared" si="190"/>
        <v>0</v>
      </c>
      <c r="BD138" s="543">
        <f t="shared" si="190"/>
        <v>0</v>
      </c>
      <c r="BE138" s="543">
        <f t="shared" si="190"/>
        <v>0</v>
      </c>
      <c r="BF138" s="543">
        <f t="shared" si="190"/>
        <v>0</v>
      </c>
      <c r="BG138" s="543">
        <f t="shared" si="190"/>
        <v>0</v>
      </c>
      <c r="BH138" s="543">
        <f t="shared" si="190"/>
        <v>0</v>
      </c>
      <c r="BI138" s="543">
        <f t="shared" si="190"/>
        <v>0.1</v>
      </c>
      <c r="BJ138" s="543">
        <f t="shared" si="190"/>
        <v>-0.01</v>
      </c>
      <c r="BK138" s="441">
        <f t="shared" si="190"/>
        <v>0.09</v>
      </c>
      <c r="BL138" s="788">
        <f t="shared" si="190"/>
        <v>35781737</v>
      </c>
      <c r="BM138" s="503">
        <f t="shared" si="190"/>
        <v>26013200</v>
      </c>
      <c r="BN138" s="503">
        <f t="shared" si="190"/>
        <v>21607878</v>
      </c>
      <c r="BO138" s="503">
        <f t="shared" si="190"/>
        <v>4405322</v>
      </c>
      <c r="BP138" s="503">
        <f t="shared" si="190"/>
        <v>128812</v>
      </c>
      <c r="BQ138" s="503">
        <f t="shared" si="190"/>
        <v>103812</v>
      </c>
      <c r="BR138" s="503">
        <f t="shared" si="190"/>
        <v>25000</v>
      </c>
      <c r="BS138" s="503">
        <f t="shared" si="190"/>
        <v>8835999</v>
      </c>
      <c r="BT138" s="503">
        <f t="shared" si="190"/>
        <v>260131</v>
      </c>
      <c r="BU138" s="503">
        <f t="shared" si="190"/>
        <v>543595</v>
      </c>
      <c r="BV138" s="543">
        <f t="shared" si="190"/>
        <v>47.318999999999996</v>
      </c>
      <c r="BW138" s="543">
        <f t="shared" si="190"/>
        <v>33.979299999999995</v>
      </c>
      <c r="BX138" s="441">
        <f t="shared" si="190"/>
        <v>13.339700000000001</v>
      </c>
      <c r="BY138" s="799">
        <f t="shared" si="190"/>
        <v>62634</v>
      </c>
      <c r="BZ138" s="705">
        <f t="shared" si="190"/>
        <v>0</v>
      </c>
      <c r="CA138" s="705">
        <f t="shared" si="190"/>
        <v>46812</v>
      </c>
      <c r="CB138" s="705">
        <f t="shared" si="190"/>
        <v>15822</v>
      </c>
      <c r="CC138" s="705">
        <f t="shared" si="190"/>
        <v>0</v>
      </c>
      <c r="CD138" s="800">
        <f t="shared" si="190"/>
        <v>0</v>
      </c>
      <c r="CE138" s="896">
        <f t="shared" si="190"/>
        <v>1126427</v>
      </c>
      <c r="CF138" s="897">
        <f t="shared" si="190"/>
        <v>747097</v>
      </c>
      <c r="CG138" s="897">
        <f t="shared" si="190"/>
        <v>252519</v>
      </c>
      <c r="CH138" s="897">
        <f t="shared" ref="CH138:CJ138" si="191">SUM(CH133:CH137)</f>
        <v>7471</v>
      </c>
      <c r="CI138" s="897">
        <f t="shared" si="191"/>
        <v>119340</v>
      </c>
      <c r="CJ138" s="898">
        <f t="shared" si="191"/>
        <v>2.2469000000000001</v>
      </c>
    </row>
    <row r="139" spans="1:88" s="221" customFormat="1" ht="12.75" customHeight="1">
      <c r="A139" s="223">
        <v>29</v>
      </c>
      <c r="B139" s="224">
        <v>3455</v>
      </c>
      <c r="C139" s="224">
        <v>651040515</v>
      </c>
      <c r="D139" s="224">
        <v>75122308</v>
      </c>
      <c r="E139" s="225" t="s">
        <v>65</v>
      </c>
      <c r="F139" s="224">
        <v>3231</v>
      </c>
      <c r="G139" s="225" t="s">
        <v>295</v>
      </c>
      <c r="H139" s="226" t="s">
        <v>271</v>
      </c>
      <c r="I139" s="419">
        <v>33768563</v>
      </c>
      <c r="J139" s="414">
        <v>24928273</v>
      </c>
      <c r="K139" s="414">
        <v>23562050</v>
      </c>
      <c r="L139" s="414">
        <v>1366223</v>
      </c>
      <c r="M139" s="414">
        <v>80000</v>
      </c>
      <c r="N139" s="414">
        <v>80000</v>
      </c>
      <c r="O139" s="414">
        <v>0</v>
      </c>
      <c r="P139" s="68">
        <v>8452796</v>
      </c>
      <c r="Q139" s="68">
        <v>249283</v>
      </c>
      <c r="R139" s="414">
        <v>58211</v>
      </c>
      <c r="S139" s="415">
        <v>41.187199999999997</v>
      </c>
      <c r="T139" s="416">
        <v>37.353999999999999</v>
      </c>
      <c r="U139" s="422">
        <v>3.8331999999999997</v>
      </c>
      <c r="V139" s="423">
        <f t="shared" si="112"/>
        <v>-40000</v>
      </c>
      <c r="W139" s="417">
        <f t="shared" si="113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0</v>
      </c>
      <c r="AC139" s="417">
        <v>0</v>
      </c>
      <c r="AD139" s="417">
        <v>0</v>
      </c>
      <c r="AE139" s="417">
        <f t="shared" si="114"/>
        <v>-40000</v>
      </c>
      <c r="AF139" s="417">
        <f t="shared" si="115"/>
        <v>0</v>
      </c>
      <c r="AG139" s="417">
        <f t="shared" si="116"/>
        <v>-40000</v>
      </c>
      <c r="AH139" s="417">
        <v>40000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17"/>
        <v>40000</v>
      </c>
      <c r="AN139" s="417">
        <f t="shared" si="118"/>
        <v>0</v>
      </c>
      <c r="AO139" s="417">
        <f t="shared" si="119"/>
        <v>40000</v>
      </c>
      <c r="AP139" s="417">
        <f t="shared" si="120"/>
        <v>0</v>
      </c>
      <c r="AQ139" s="417">
        <f t="shared" si="121"/>
        <v>0</v>
      </c>
      <c r="AR139" s="417">
        <f t="shared" si="122"/>
        <v>0</v>
      </c>
      <c r="AS139" s="68">
        <f t="shared" si="123"/>
        <v>0</v>
      </c>
      <c r="AT139" s="68">
        <f t="shared" si="124"/>
        <v>-400</v>
      </c>
      <c r="AU139" s="417">
        <v>0</v>
      </c>
      <c r="AV139" s="417">
        <v>0</v>
      </c>
      <c r="AW139" s="417">
        <v>0</v>
      </c>
      <c r="AX139" s="417">
        <f t="shared" si="125"/>
        <v>0</v>
      </c>
      <c r="AY139" s="417">
        <f t="shared" si="126"/>
        <v>-400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418">
        <v>0</v>
      </c>
      <c r="BG139" s="418">
        <v>0</v>
      </c>
      <c r="BH139" s="418">
        <v>0</v>
      </c>
      <c r="BI139" s="418">
        <f t="shared" si="127"/>
        <v>0</v>
      </c>
      <c r="BJ139" s="418">
        <f t="shared" si="128"/>
        <v>0</v>
      </c>
      <c r="BK139" s="420">
        <f t="shared" si="129"/>
        <v>0</v>
      </c>
      <c r="BL139" s="772">
        <f>I139+AY139</f>
        <v>33768163</v>
      </c>
      <c r="BM139" s="417">
        <f>J139+AG139</f>
        <v>24888273</v>
      </c>
      <c r="BN139" s="417">
        <f>K139+AE139</f>
        <v>23522050</v>
      </c>
      <c r="BO139" s="417">
        <f>L139+AF139</f>
        <v>1366223</v>
      </c>
      <c r="BP139" s="417">
        <f>M139+AO139</f>
        <v>120000</v>
      </c>
      <c r="BQ139" s="417">
        <f>N139+AM139</f>
        <v>120000</v>
      </c>
      <c r="BR139" s="417">
        <f>O139+AN139</f>
        <v>0</v>
      </c>
      <c r="BS139" s="417">
        <f>P139+AS139</f>
        <v>8452796</v>
      </c>
      <c r="BT139" s="417">
        <f>Q139+AT139</f>
        <v>248883</v>
      </c>
      <c r="BU139" s="417">
        <f>R139+AX139</f>
        <v>58211</v>
      </c>
      <c r="BV139" s="418">
        <f>S139+BK139</f>
        <v>41.187199999999997</v>
      </c>
      <c r="BW139" s="418">
        <f>T139+BI139</f>
        <v>37.353999999999999</v>
      </c>
      <c r="BX139" s="420">
        <f>U139+BJ139</f>
        <v>3.8331999999999997</v>
      </c>
      <c r="BY139" s="419"/>
      <c r="BZ139" s="414"/>
      <c r="CA139" s="414"/>
      <c r="CB139" s="414"/>
      <c r="CC139" s="414"/>
      <c r="CD139" s="509"/>
      <c r="CE139" s="419">
        <v>623923</v>
      </c>
      <c r="CF139" s="414">
        <v>448720</v>
      </c>
      <c r="CG139" s="414">
        <v>151667</v>
      </c>
      <c r="CH139" s="414">
        <v>4487</v>
      </c>
      <c r="CI139" s="414">
        <v>19049</v>
      </c>
      <c r="CJ139" s="509">
        <v>1.2586999999999999</v>
      </c>
    </row>
    <row r="140" spans="1:88" s="221" customFormat="1" ht="12.75" customHeight="1">
      <c r="A140" s="153">
        <v>29</v>
      </c>
      <c r="B140" s="14">
        <v>3455</v>
      </c>
      <c r="C140" s="152">
        <v>651040515</v>
      </c>
      <c r="D140" s="152">
        <v>75122308</v>
      </c>
      <c r="E140" s="222" t="s">
        <v>66</v>
      </c>
      <c r="F140" s="14"/>
      <c r="G140" s="222"/>
      <c r="H140" s="558"/>
      <c r="I140" s="504">
        <v>33768563</v>
      </c>
      <c r="J140" s="503">
        <v>24928273</v>
      </c>
      <c r="K140" s="503">
        <v>23562050</v>
      </c>
      <c r="L140" s="503">
        <v>1366223</v>
      </c>
      <c r="M140" s="503">
        <v>80000</v>
      </c>
      <c r="N140" s="503">
        <v>80000</v>
      </c>
      <c r="O140" s="503">
        <v>0</v>
      </c>
      <c r="P140" s="503">
        <v>8452796</v>
      </c>
      <c r="Q140" s="503">
        <v>249283</v>
      </c>
      <c r="R140" s="503">
        <v>58211</v>
      </c>
      <c r="S140" s="543">
        <v>41.187199999999997</v>
      </c>
      <c r="T140" s="543">
        <v>37.353999999999999</v>
      </c>
      <c r="U140" s="1084">
        <v>3.8331999999999997</v>
      </c>
      <c r="V140" s="504">
        <f t="shared" ref="V140:CG140" si="192">SUM(V139)</f>
        <v>-40000</v>
      </c>
      <c r="W140" s="503">
        <f t="shared" si="192"/>
        <v>0</v>
      </c>
      <c r="X140" s="503">
        <f t="shared" si="192"/>
        <v>0</v>
      </c>
      <c r="Y140" s="503">
        <f t="shared" si="192"/>
        <v>0</v>
      </c>
      <c r="Z140" s="503">
        <f t="shared" si="192"/>
        <v>0</v>
      </c>
      <c r="AA140" s="503">
        <f t="shared" si="192"/>
        <v>0</v>
      </c>
      <c r="AB140" s="503">
        <f t="shared" si="192"/>
        <v>0</v>
      </c>
      <c r="AC140" s="503">
        <f t="shared" si="192"/>
        <v>0</v>
      </c>
      <c r="AD140" s="503">
        <f t="shared" si="192"/>
        <v>0</v>
      </c>
      <c r="AE140" s="503">
        <f t="shared" si="192"/>
        <v>-40000</v>
      </c>
      <c r="AF140" s="503">
        <f t="shared" si="192"/>
        <v>0</v>
      </c>
      <c r="AG140" s="503">
        <f t="shared" si="192"/>
        <v>-40000</v>
      </c>
      <c r="AH140" s="503">
        <f t="shared" si="192"/>
        <v>40000</v>
      </c>
      <c r="AI140" s="503">
        <f t="shared" si="192"/>
        <v>0</v>
      </c>
      <c r="AJ140" s="503">
        <f t="shared" si="192"/>
        <v>0</v>
      </c>
      <c r="AK140" s="503">
        <f t="shared" si="192"/>
        <v>0</v>
      </c>
      <c r="AL140" s="503">
        <f t="shared" si="192"/>
        <v>0</v>
      </c>
      <c r="AM140" s="503">
        <f t="shared" si="192"/>
        <v>40000</v>
      </c>
      <c r="AN140" s="503">
        <f t="shared" si="192"/>
        <v>0</v>
      </c>
      <c r="AO140" s="503">
        <f t="shared" si="192"/>
        <v>40000</v>
      </c>
      <c r="AP140" s="503">
        <f t="shared" si="192"/>
        <v>0</v>
      </c>
      <c r="AQ140" s="503">
        <f t="shared" si="192"/>
        <v>0</v>
      </c>
      <c r="AR140" s="503">
        <f t="shared" si="192"/>
        <v>0</v>
      </c>
      <c r="AS140" s="503">
        <f t="shared" si="192"/>
        <v>0</v>
      </c>
      <c r="AT140" s="503">
        <f t="shared" si="192"/>
        <v>-400</v>
      </c>
      <c r="AU140" s="503">
        <f t="shared" si="192"/>
        <v>0</v>
      </c>
      <c r="AV140" s="503">
        <f t="shared" si="192"/>
        <v>0</v>
      </c>
      <c r="AW140" s="503">
        <f t="shared" si="192"/>
        <v>0</v>
      </c>
      <c r="AX140" s="503">
        <f t="shared" si="192"/>
        <v>0</v>
      </c>
      <c r="AY140" s="503">
        <f t="shared" si="192"/>
        <v>-400</v>
      </c>
      <c r="AZ140" s="543">
        <f t="shared" si="192"/>
        <v>0</v>
      </c>
      <c r="BA140" s="543">
        <f t="shared" si="192"/>
        <v>0</v>
      </c>
      <c r="BB140" s="543">
        <f t="shared" si="192"/>
        <v>0</v>
      </c>
      <c r="BC140" s="543">
        <f t="shared" si="192"/>
        <v>0</v>
      </c>
      <c r="BD140" s="543">
        <f t="shared" si="192"/>
        <v>0</v>
      </c>
      <c r="BE140" s="543">
        <f t="shared" si="192"/>
        <v>0</v>
      </c>
      <c r="BF140" s="543">
        <f t="shared" si="192"/>
        <v>0</v>
      </c>
      <c r="BG140" s="543">
        <f t="shared" si="192"/>
        <v>0</v>
      </c>
      <c r="BH140" s="543">
        <f t="shared" si="192"/>
        <v>0</v>
      </c>
      <c r="BI140" s="543">
        <f t="shared" si="192"/>
        <v>0</v>
      </c>
      <c r="BJ140" s="543">
        <f t="shared" si="192"/>
        <v>0</v>
      </c>
      <c r="BK140" s="441">
        <f t="shared" si="192"/>
        <v>0</v>
      </c>
      <c r="BL140" s="788">
        <f t="shared" si="192"/>
        <v>33768163</v>
      </c>
      <c r="BM140" s="503">
        <f t="shared" si="192"/>
        <v>24888273</v>
      </c>
      <c r="BN140" s="503">
        <f t="shared" si="192"/>
        <v>23522050</v>
      </c>
      <c r="BO140" s="503">
        <f t="shared" si="192"/>
        <v>1366223</v>
      </c>
      <c r="BP140" s="503">
        <f t="shared" si="192"/>
        <v>120000</v>
      </c>
      <c r="BQ140" s="503">
        <f t="shared" si="192"/>
        <v>120000</v>
      </c>
      <c r="BR140" s="503">
        <f t="shared" si="192"/>
        <v>0</v>
      </c>
      <c r="BS140" s="503">
        <f t="shared" si="192"/>
        <v>8452796</v>
      </c>
      <c r="BT140" s="503">
        <f t="shared" si="192"/>
        <v>248883</v>
      </c>
      <c r="BU140" s="503">
        <f t="shared" si="192"/>
        <v>58211</v>
      </c>
      <c r="BV140" s="543">
        <f t="shared" si="192"/>
        <v>41.187199999999997</v>
      </c>
      <c r="BW140" s="543">
        <f t="shared" si="192"/>
        <v>37.353999999999999</v>
      </c>
      <c r="BX140" s="441">
        <f t="shared" si="192"/>
        <v>3.8331999999999997</v>
      </c>
      <c r="BY140" s="799">
        <f t="shared" si="192"/>
        <v>0</v>
      </c>
      <c r="BZ140" s="705">
        <f t="shared" si="192"/>
        <v>0</v>
      </c>
      <c r="CA140" s="705">
        <f t="shared" si="192"/>
        <v>0</v>
      </c>
      <c r="CB140" s="705">
        <f t="shared" si="192"/>
        <v>0</v>
      </c>
      <c r="CC140" s="705">
        <f t="shared" si="192"/>
        <v>0</v>
      </c>
      <c r="CD140" s="800">
        <f t="shared" si="192"/>
        <v>0</v>
      </c>
      <c r="CE140" s="896">
        <f t="shared" si="192"/>
        <v>623923</v>
      </c>
      <c r="CF140" s="897">
        <f t="shared" si="192"/>
        <v>448720</v>
      </c>
      <c r="CG140" s="897">
        <f t="shared" si="192"/>
        <v>151667</v>
      </c>
      <c r="CH140" s="897">
        <f t="shared" ref="CH140:CJ140" si="193">SUM(CH139)</f>
        <v>4487</v>
      </c>
      <c r="CI140" s="897">
        <f t="shared" si="193"/>
        <v>19049</v>
      </c>
      <c r="CJ140" s="898">
        <f t="shared" si="193"/>
        <v>1.2586999999999999</v>
      </c>
    </row>
    <row r="141" spans="1:88" s="221" customFormat="1" ht="12.75" customHeight="1">
      <c r="A141" s="223">
        <v>30</v>
      </c>
      <c r="B141" s="224">
        <v>3419</v>
      </c>
      <c r="C141" s="224">
        <v>600078434</v>
      </c>
      <c r="D141" s="224">
        <v>72742658</v>
      </c>
      <c r="E141" s="225" t="s">
        <v>67</v>
      </c>
      <c r="F141" s="224">
        <v>3111</v>
      </c>
      <c r="G141" s="225" t="s">
        <v>290</v>
      </c>
      <c r="H141" s="226" t="s">
        <v>271</v>
      </c>
      <c r="I141" s="419">
        <v>3141993</v>
      </c>
      <c r="J141" s="414">
        <v>2318986</v>
      </c>
      <c r="K141" s="414">
        <v>2142568</v>
      </c>
      <c r="L141" s="414">
        <v>176418</v>
      </c>
      <c r="M141" s="414">
        <v>0</v>
      </c>
      <c r="N141" s="414">
        <v>0</v>
      </c>
      <c r="O141" s="414">
        <v>0</v>
      </c>
      <c r="P141" s="68">
        <v>783817</v>
      </c>
      <c r="Q141" s="68">
        <v>23190</v>
      </c>
      <c r="R141" s="414">
        <v>16000</v>
      </c>
      <c r="S141" s="415">
        <v>4.5267999999999997</v>
      </c>
      <c r="T141" s="416">
        <v>3.82</v>
      </c>
      <c r="U141" s="422">
        <v>0.70679999999999998</v>
      </c>
      <c r="V141" s="423">
        <f t="shared" ref="V141:V194" si="194">AH141*-1</f>
        <v>0</v>
      </c>
      <c r="W141" s="417">
        <f t="shared" ref="W141:W194" si="195">AI141*-1</f>
        <v>0</v>
      </c>
      <c r="X141" s="417">
        <v>0</v>
      </c>
      <c r="Y141" s="417">
        <v>0</v>
      </c>
      <c r="Z141" s="417">
        <v>0</v>
      </c>
      <c r="AA141" s="417">
        <v>0</v>
      </c>
      <c r="AB141" s="417">
        <v>0</v>
      </c>
      <c r="AC141" s="417">
        <v>0</v>
      </c>
      <c r="AD141" s="417">
        <v>0</v>
      </c>
      <c r="AE141" s="417">
        <f t="shared" ref="AE141:AE194" si="196">V141+X141+Y141+Z141+AC141</f>
        <v>0</v>
      </c>
      <c r="AF141" s="417">
        <f t="shared" ref="AF141:AF194" si="197">W141+AA141+AD141+AB141</f>
        <v>0</v>
      </c>
      <c r="AG141" s="417">
        <f t="shared" ref="AG141:AG194" si="198">SUM(AE141:AF141)</f>
        <v>0</v>
      </c>
      <c r="AH141" s="417">
        <v>0</v>
      </c>
      <c r="AI141" s="417">
        <v>0</v>
      </c>
      <c r="AJ141" s="417">
        <v>0</v>
      </c>
      <c r="AK141" s="417">
        <v>0</v>
      </c>
      <c r="AL141" s="417">
        <v>0</v>
      </c>
      <c r="AM141" s="417">
        <f t="shared" ref="AM141:AM194" si="199">AH141+AJ141+AK141</f>
        <v>0</v>
      </c>
      <c r="AN141" s="417">
        <f t="shared" ref="AN141:AN194" si="200">AI141+AL141</f>
        <v>0</v>
      </c>
      <c r="AO141" s="417">
        <f t="shared" ref="AO141:AO194" si="201">SUM(AM141:AN141)</f>
        <v>0</v>
      </c>
      <c r="AP141" s="417">
        <f t="shared" ref="AP141:AP194" si="202">AE141+AM141</f>
        <v>0</v>
      </c>
      <c r="AQ141" s="417">
        <f t="shared" ref="AQ141:AQ194" si="203">AF141+AN141</f>
        <v>0</v>
      </c>
      <c r="AR141" s="417">
        <f t="shared" ref="AR141:AR194" si="204">SUM(AP141:AQ141)</f>
        <v>0</v>
      </c>
      <c r="AS141" s="68">
        <f t="shared" ref="AS141:AS194" si="205">ROUND((AG141+AH141+AI141+AJ141)*33.8%,0)</f>
        <v>0</v>
      </c>
      <c r="AT141" s="68">
        <f t="shared" ref="AT141:AT194" si="206">ROUND(AG141*1%,0)</f>
        <v>0</v>
      </c>
      <c r="AU141" s="417">
        <v>0</v>
      </c>
      <c r="AV141" s="417">
        <v>0</v>
      </c>
      <c r="AW141" s="417">
        <v>0</v>
      </c>
      <c r="AX141" s="417">
        <f t="shared" ref="AX141:AX194" si="207">SUM(AU141:AW141)</f>
        <v>0</v>
      </c>
      <c r="AY141" s="417">
        <f t="shared" ref="AY141:AY194" si="208">AR141+AS141+AT141+AX141</f>
        <v>0</v>
      </c>
      <c r="AZ141" s="418">
        <v>0</v>
      </c>
      <c r="BA141" s="418">
        <v>0</v>
      </c>
      <c r="BB141" s="418">
        <v>0</v>
      </c>
      <c r="BC141" s="418">
        <v>0</v>
      </c>
      <c r="BD141" s="418">
        <v>0</v>
      </c>
      <c r="BE141" s="418">
        <v>0</v>
      </c>
      <c r="BF141" s="418">
        <v>0</v>
      </c>
      <c r="BG141" s="418">
        <v>0</v>
      </c>
      <c r="BH141" s="418">
        <v>0</v>
      </c>
      <c r="BI141" s="418">
        <f t="shared" ref="BI141:BI194" si="209">AZ141+BB141+BC141+BE141+BG141</f>
        <v>0</v>
      </c>
      <c r="BJ141" s="418">
        <f t="shared" ref="BJ141:BJ194" si="210">BA141+BD141+BH141+BF141</f>
        <v>0</v>
      </c>
      <c r="BK141" s="420">
        <f t="shared" ref="BK141:BK194" si="211">SUM(BI141:BJ141)</f>
        <v>0</v>
      </c>
      <c r="BL141" s="772">
        <f t="shared" ref="BL141:BL147" si="212">I141+AY141</f>
        <v>3141993</v>
      </c>
      <c r="BM141" s="417">
        <f t="shared" ref="BM141:BM147" si="213">J141+AG141</f>
        <v>2318986</v>
      </c>
      <c r="BN141" s="417">
        <f t="shared" ref="BN141:BO147" si="214">K141+AE141</f>
        <v>2142568</v>
      </c>
      <c r="BO141" s="417">
        <f t="shared" si="214"/>
        <v>176418</v>
      </c>
      <c r="BP141" s="417">
        <f t="shared" ref="BP141:BP147" si="215">M141+AO141</f>
        <v>0</v>
      </c>
      <c r="BQ141" s="417">
        <f t="shared" ref="BQ141:BR147" si="216">N141+AM141</f>
        <v>0</v>
      </c>
      <c r="BR141" s="417">
        <f t="shared" si="216"/>
        <v>0</v>
      </c>
      <c r="BS141" s="417">
        <f t="shared" ref="BS141:BT147" si="217">P141+AS141</f>
        <v>783817</v>
      </c>
      <c r="BT141" s="417">
        <f t="shared" si="217"/>
        <v>23190</v>
      </c>
      <c r="BU141" s="417">
        <f t="shared" ref="BU141:BU147" si="218">R141+AX141</f>
        <v>16000</v>
      </c>
      <c r="BV141" s="418">
        <f t="shared" ref="BV141:BV147" si="219">S141+BK141</f>
        <v>4.5267999999999997</v>
      </c>
      <c r="BW141" s="418">
        <f t="shared" ref="BW141:BX147" si="220">T141+BI141</f>
        <v>3.82</v>
      </c>
      <c r="BX141" s="420">
        <f t="shared" si="220"/>
        <v>0.70679999999999998</v>
      </c>
      <c r="BY141" s="419"/>
      <c r="BZ141" s="414"/>
      <c r="CA141" s="414"/>
      <c r="CB141" s="414"/>
      <c r="CC141" s="414"/>
      <c r="CD141" s="509"/>
      <c r="CE141" s="419">
        <v>81630</v>
      </c>
      <c r="CF141" s="414">
        <v>56610</v>
      </c>
      <c r="CG141" s="414">
        <v>19134</v>
      </c>
      <c r="CH141" s="414">
        <v>566</v>
      </c>
      <c r="CI141" s="414">
        <v>5320</v>
      </c>
      <c r="CJ141" s="509">
        <v>0.2268</v>
      </c>
    </row>
    <row r="142" spans="1:88" s="221" customFormat="1" ht="12.75" customHeight="1">
      <c r="A142" s="223">
        <v>30</v>
      </c>
      <c r="B142" s="224">
        <v>3419</v>
      </c>
      <c r="C142" s="224">
        <v>600078434</v>
      </c>
      <c r="D142" s="224">
        <v>72742658</v>
      </c>
      <c r="E142" s="225" t="s">
        <v>67</v>
      </c>
      <c r="F142" s="224">
        <v>3113</v>
      </c>
      <c r="G142" s="225" t="s">
        <v>293</v>
      </c>
      <c r="H142" s="226" t="s">
        <v>271</v>
      </c>
      <c r="I142" s="419">
        <v>14314960</v>
      </c>
      <c r="J142" s="414">
        <v>10387017</v>
      </c>
      <c r="K142" s="414">
        <v>8965441</v>
      </c>
      <c r="L142" s="414">
        <v>1421576</v>
      </c>
      <c r="M142" s="414">
        <v>55400</v>
      </c>
      <c r="N142" s="414">
        <v>37400</v>
      </c>
      <c r="O142" s="414">
        <v>18000</v>
      </c>
      <c r="P142" s="68">
        <v>3529538</v>
      </c>
      <c r="Q142" s="68">
        <v>103870</v>
      </c>
      <c r="R142" s="414">
        <v>239135</v>
      </c>
      <c r="S142" s="415">
        <v>16.726500000000001</v>
      </c>
      <c r="T142" s="416">
        <v>12.6045</v>
      </c>
      <c r="U142" s="422">
        <v>4.1219999999999999</v>
      </c>
      <c r="V142" s="423">
        <f t="shared" si="194"/>
        <v>0</v>
      </c>
      <c r="W142" s="417">
        <f t="shared" si="195"/>
        <v>-15300</v>
      </c>
      <c r="X142" s="417">
        <v>0</v>
      </c>
      <c r="Y142" s="417">
        <v>55608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si="196"/>
        <v>55608</v>
      </c>
      <c r="AF142" s="417">
        <f t="shared" si="197"/>
        <v>-15300</v>
      </c>
      <c r="AG142" s="417">
        <f t="shared" si="198"/>
        <v>40308</v>
      </c>
      <c r="AH142" s="417">
        <v>0</v>
      </c>
      <c r="AI142" s="417">
        <v>15300</v>
      </c>
      <c r="AJ142" s="417">
        <v>0</v>
      </c>
      <c r="AK142" s="417">
        <v>0</v>
      </c>
      <c r="AL142" s="417">
        <v>0</v>
      </c>
      <c r="AM142" s="417">
        <f t="shared" si="199"/>
        <v>0</v>
      </c>
      <c r="AN142" s="417">
        <f t="shared" si="200"/>
        <v>15300</v>
      </c>
      <c r="AO142" s="417">
        <f t="shared" si="201"/>
        <v>15300</v>
      </c>
      <c r="AP142" s="417">
        <f t="shared" si="202"/>
        <v>55608</v>
      </c>
      <c r="AQ142" s="417">
        <f t="shared" si="203"/>
        <v>0</v>
      </c>
      <c r="AR142" s="417">
        <f t="shared" si="204"/>
        <v>55608</v>
      </c>
      <c r="AS142" s="68">
        <f t="shared" si="205"/>
        <v>18796</v>
      </c>
      <c r="AT142" s="68">
        <f t="shared" si="206"/>
        <v>403</v>
      </c>
      <c r="AU142" s="417">
        <v>0</v>
      </c>
      <c r="AV142" s="417">
        <v>0</v>
      </c>
      <c r="AW142" s="417">
        <v>0</v>
      </c>
      <c r="AX142" s="417">
        <f t="shared" si="207"/>
        <v>0</v>
      </c>
      <c r="AY142" s="417">
        <f t="shared" si="208"/>
        <v>74807</v>
      </c>
      <c r="AZ142" s="418">
        <v>0</v>
      </c>
      <c r="BA142" s="418">
        <v>-0.06</v>
      </c>
      <c r="BB142" s="418">
        <v>0</v>
      </c>
      <c r="BC142" s="418">
        <v>0</v>
      </c>
      <c r="BD142" s="418">
        <v>0</v>
      </c>
      <c r="BE142" s="418">
        <v>0.08</v>
      </c>
      <c r="BF142" s="418">
        <v>0</v>
      </c>
      <c r="BG142" s="418">
        <v>0</v>
      </c>
      <c r="BH142" s="418">
        <v>0</v>
      </c>
      <c r="BI142" s="418">
        <f t="shared" si="209"/>
        <v>0.08</v>
      </c>
      <c r="BJ142" s="418">
        <f t="shared" si="210"/>
        <v>-0.06</v>
      </c>
      <c r="BK142" s="420">
        <f t="shared" si="211"/>
        <v>2.0000000000000004E-2</v>
      </c>
      <c r="BL142" s="772">
        <f t="shared" si="212"/>
        <v>14389767</v>
      </c>
      <c r="BM142" s="417">
        <f t="shared" si="213"/>
        <v>10427325</v>
      </c>
      <c r="BN142" s="417">
        <f t="shared" si="214"/>
        <v>9021049</v>
      </c>
      <c r="BO142" s="417">
        <f t="shared" si="214"/>
        <v>1406276</v>
      </c>
      <c r="BP142" s="417">
        <f t="shared" si="215"/>
        <v>70700</v>
      </c>
      <c r="BQ142" s="417">
        <f t="shared" si="216"/>
        <v>37400</v>
      </c>
      <c r="BR142" s="417">
        <f t="shared" si="216"/>
        <v>33300</v>
      </c>
      <c r="BS142" s="417">
        <f t="shared" si="217"/>
        <v>3548334</v>
      </c>
      <c r="BT142" s="417">
        <f t="shared" si="217"/>
        <v>104273</v>
      </c>
      <c r="BU142" s="417">
        <f t="shared" si="218"/>
        <v>239135</v>
      </c>
      <c r="BV142" s="418">
        <f t="shared" si="219"/>
        <v>16.746500000000001</v>
      </c>
      <c r="BW142" s="418">
        <f t="shared" si="220"/>
        <v>12.6845</v>
      </c>
      <c r="BX142" s="420">
        <f t="shared" si="220"/>
        <v>4.0620000000000003</v>
      </c>
      <c r="BY142" s="419"/>
      <c r="BZ142" s="414"/>
      <c r="CA142" s="414"/>
      <c r="CB142" s="414"/>
      <c r="CC142" s="414"/>
      <c r="CD142" s="509"/>
      <c r="CE142" s="419">
        <v>678252</v>
      </c>
      <c r="CF142" s="414">
        <v>462030</v>
      </c>
      <c r="CG142" s="414">
        <v>156166</v>
      </c>
      <c r="CH142" s="414">
        <v>4620</v>
      </c>
      <c r="CI142" s="414">
        <v>55436</v>
      </c>
      <c r="CJ142" s="509">
        <v>1.3422999999999998</v>
      </c>
    </row>
    <row r="143" spans="1:88" s="221" customFormat="1">
      <c r="A143" s="223">
        <v>30</v>
      </c>
      <c r="B143" s="224">
        <v>3419</v>
      </c>
      <c r="C143" s="224">
        <v>600078434</v>
      </c>
      <c r="D143" s="224">
        <v>72742658</v>
      </c>
      <c r="E143" s="225" t="s">
        <v>67</v>
      </c>
      <c r="F143" s="224">
        <v>3113</v>
      </c>
      <c r="G143" s="225" t="s">
        <v>291</v>
      </c>
      <c r="H143" s="226" t="s">
        <v>272</v>
      </c>
      <c r="I143" s="419">
        <v>1478695</v>
      </c>
      <c r="J143" s="414">
        <v>1096955</v>
      </c>
      <c r="K143" s="414">
        <v>1096955</v>
      </c>
      <c r="L143" s="414">
        <v>0</v>
      </c>
      <c r="M143" s="414">
        <v>0</v>
      </c>
      <c r="N143" s="414">
        <v>0</v>
      </c>
      <c r="O143" s="414">
        <v>0</v>
      </c>
      <c r="P143" s="68">
        <v>370770</v>
      </c>
      <c r="Q143" s="68">
        <v>10970</v>
      </c>
      <c r="R143" s="414">
        <v>0</v>
      </c>
      <c r="S143" s="415">
        <v>2.96</v>
      </c>
      <c r="T143" s="416">
        <v>2.96</v>
      </c>
      <c r="U143" s="422">
        <v>0</v>
      </c>
      <c r="V143" s="423">
        <f t="shared" si="194"/>
        <v>0</v>
      </c>
      <c r="W143" s="417">
        <f t="shared" si="195"/>
        <v>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196"/>
        <v>0</v>
      </c>
      <c r="AF143" s="417">
        <f t="shared" si="197"/>
        <v>0</v>
      </c>
      <c r="AG143" s="417">
        <f t="shared" si="198"/>
        <v>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199"/>
        <v>0</v>
      </c>
      <c r="AN143" s="417">
        <f t="shared" si="200"/>
        <v>0</v>
      </c>
      <c r="AO143" s="417">
        <f t="shared" si="201"/>
        <v>0</v>
      </c>
      <c r="AP143" s="417">
        <f t="shared" si="202"/>
        <v>0</v>
      </c>
      <c r="AQ143" s="417">
        <f t="shared" si="203"/>
        <v>0</v>
      </c>
      <c r="AR143" s="417">
        <f t="shared" si="204"/>
        <v>0</v>
      </c>
      <c r="AS143" s="68">
        <f t="shared" si="205"/>
        <v>0</v>
      </c>
      <c r="AT143" s="68">
        <f t="shared" si="206"/>
        <v>0</v>
      </c>
      <c r="AU143" s="417">
        <v>0</v>
      </c>
      <c r="AV143" s="417">
        <v>0</v>
      </c>
      <c r="AW143" s="417">
        <v>0</v>
      </c>
      <c r="AX143" s="417">
        <f t="shared" si="207"/>
        <v>0</v>
      </c>
      <c r="AY143" s="417">
        <f t="shared" si="208"/>
        <v>0</v>
      </c>
      <c r="AZ143" s="418">
        <v>0</v>
      </c>
      <c r="BA143" s="418">
        <v>0</v>
      </c>
      <c r="BB143" s="418">
        <v>0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09"/>
        <v>0</v>
      </c>
      <c r="BJ143" s="418">
        <f t="shared" si="210"/>
        <v>0</v>
      </c>
      <c r="BK143" s="420">
        <f t="shared" si="211"/>
        <v>0</v>
      </c>
      <c r="BL143" s="772">
        <f t="shared" si="212"/>
        <v>1478695</v>
      </c>
      <c r="BM143" s="417">
        <f t="shared" si="213"/>
        <v>1096955</v>
      </c>
      <c r="BN143" s="417">
        <f t="shared" si="214"/>
        <v>1096955</v>
      </c>
      <c r="BO143" s="417">
        <f t="shared" si="214"/>
        <v>0</v>
      </c>
      <c r="BP143" s="417">
        <f t="shared" si="215"/>
        <v>0</v>
      </c>
      <c r="BQ143" s="417">
        <f t="shared" si="216"/>
        <v>0</v>
      </c>
      <c r="BR143" s="417">
        <f t="shared" si="216"/>
        <v>0</v>
      </c>
      <c r="BS143" s="417">
        <f t="shared" si="217"/>
        <v>370770</v>
      </c>
      <c r="BT143" s="417">
        <f t="shared" si="217"/>
        <v>10970</v>
      </c>
      <c r="BU143" s="417">
        <f t="shared" si="218"/>
        <v>0</v>
      </c>
      <c r="BV143" s="418">
        <f t="shared" si="219"/>
        <v>2.96</v>
      </c>
      <c r="BW143" s="418">
        <f t="shared" si="220"/>
        <v>2.96</v>
      </c>
      <c r="BX143" s="420">
        <f t="shared" si="220"/>
        <v>0</v>
      </c>
      <c r="BY143" s="419"/>
      <c r="BZ143" s="414"/>
      <c r="CA143" s="414"/>
      <c r="CB143" s="414"/>
      <c r="CC143" s="414"/>
      <c r="CD143" s="509"/>
      <c r="CE143" s="419"/>
      <c r="CF143" s="414"/>
      <c r="CG143" s="414"/>
      <c r="CH143" s="414"/>
      <c r="CI143" s="414"/>
      <c r="CJ143" s="509"/>
    </row>
    <row r="144" spans="1:88" s="221" customFormat="1" ht="12.75" customHeight="1">
      <c r="A144" s="223">
        <v>30</v>
      </c>
      <c r="B144" s="224">
        <v>3419</v>
      </c>
      <c r="C144" s="224">
        <v>600078434</v>
      </c>
      <c r="D144" s="224">
        <v>72742658</v>
      </c>
      <c r="E144" s="225" t="s">
        <v>67</v>
      </c>
      <c r="F144" s="224">
        <v>3141</v>
      </c>
      <c r="G144" s="225" t="s">
        <v>294</v>
      </c>
      <c r="H144" s="226" t="s">
        <v>272</v>
      </c>
      <c r="I144" s="419">
        <v>1950144</v>
      </c>
      <c r="J144" s="414">
        <v>1438554</v>
      </c>
      <c r="K144" s="414">
        <v>0</v>
      </c>
      <c r="L144" s="414">
        <v>1438554</v>
      </c>
      <c r="M144" s="414">
        <v>0</v>
      </c>
      <c r="N144" s="414">
        <v>0</v>
      </c>
      <c r="O144" s="414">
        <v>0</v>
      </c>
      <c r="P144" s="68">
        <v>486232</v>
      </c>
      <c r="Q144" s="68">
        <v>14386</v>
      </c>
      <c r="R144" s="414">
        <v>10972</v>
      </c>
      <c r="S144" s="415">
        <v>4.3100000000000005</v>
      </c>
      <c r="T144" s="416">
        <v>0</v>
      </c>
      <c r="U144" s="422">
        <v>4.3100000000000005</v>
      </c>
      <c r="V144" s="423">
        <f t="shared" si="194"/>
        <v>0</v>
      </c>
      <c r="W144" s="417">
        <f t="shared" si="195"/>
        <v>0</v>
      </c>
      <c r="X144" s="417">
        <v>0</v>
      </c>
      <c r="Y144" s="417">
        <v>0</v>
      </c>
      <c r="Z144" s="417">
        <v>0</v>
      </c>
      <c r="AA144" s="417">
        <v>-16341</v>
      </c>
      <c r="AB144" s="417">
        <v>0</v>
      </c>
      <c r="AC144" s="417">
        <v>0</v>
      </c>
      <c r="AD144" s="417">
        <v>0</v>
      </c>
      <c r="AE144" s="417">
        <f t="shared" si="196"/>
        <v>0</v>
      </c>
      <c r="AF144" s="417">
        <f t="shared" si="197"/>
        <v>-16341</v>
      </c>
      <c r="AG144" s="417">
        <f t="shared" si="198"/>
        <v>-16341</v>
      </c>
      <c r="AH144" s="417">
        <v>0</v>
      </c>
      <c r="AI144" s="417">
        <v>0</v>
      </c>
      <c r="AJ144" s="417">
        <v>0</v>
      </c>
      <c r="AK144" s="417">
        <v>0</v>
      </c>
      <c r="AL144" s="417">
        <v>0</v>
      </c>
      <c r="AM144" s="417">
        <f t="shared" si="199"/>
        <v>0</v>
      </c>
      <c r="AN144" s="417">
        <f t="shared" si="200"/>
        <v>0</v>
      </c>
      <c r="AO144" s="417">
        <f t="shared" si="201"/>
        <v>0</v>
      </c>
      <c r="AP144" s="417">
        <f t="shared" si="202"/>
        <v>0</v>
      </c>
      <c r="AQ144" s="417">
        <f t="shared" si="203"/>
        <v>-16341</v>
      </c>
      <c r="AR144" s="417">
        <f t="shared" si="204"/>
        <v>-16341</v>
      </c>
      <c r="AS144" s="68">
        <f t="shared" si="205"/>
        <v>-5523</v>
      </c>
      <c r="AT144" s="68">
        <f t="shared" si="206"/>
        <v>-163</v>
      </c>
      <c r="AU144" s="417">
        <v>0</v>
      </c>
      <c r="AV144" s="417">
        <v>0</v>
      </c>
      <c r="AW144" s="417">
        <v>0</v>
      </c>
      <c r="AX144" s="417">
        <f t="shared" si="207"/>
        <v>0</v>
      </c>
      <c r="AY144" s="417">
        <f t="shared" si="208"/>
        <v>-22027</v>
      </c>
      <c r="AZ144" s="418">
        <v>0</v>
      </c>
      <c r="BA144" s="418">
        <v>0</v>
      </c>
      <c r="BB144" s="418">
        <v>0</v>
      </c>
      <c r="BC144" s="418">
        <v>0</v>
      </c>
      <c r="BD144" s="418">
        <v>0.05</v>
      </c>
      <c r="BE144" s="418">
        <v>0</v>
      </c>
      <c r="BF144" s="418">
        <v>0</v>
      </c>
      <c r="BG144" s="418">
        <v>0</v>
      </c>
      <c r="BH144" s="418">
        <v>0</v>
      </c>
      <c r="BI144" s="418">
        <f t="shared" si="209"/>
        <v>0</v>
      </c>
      <c r="BJ144" s="418">
        <f t="shared" si="210"/>
        <v>0.05</v>
      </c>
      <c r="BK144" s="420">
        <f t="shared" si="211"/>
        <v>0.05</v>
      </c>
      <c r="BL144" s="772">
        <f t="shared" si="212"/>
        <v>1928117</v>
      </c>
      <c r="BM144" s="417">
        <f t="shared" si="213"/>
        <v>1422213</v>
      </c>
      <c r="BN144" s="417">
        <f t="shared" si="214"/>
        <v>0</v>
      </c>
      <c r="BO144" s="417">
        <f t="shared" si="214"/>
        <v>1422213</v>
      </c>
      <c r="BP144" s="417">
        <f t="shared" si="215"/>
        <v>0</v>
      </c>
      <c r="BQ144" s="417">
        <f t="shared" si="216"/>
        <v>0</v>
      </c>
      <c r="BR144" s="417">
        <f t="shared" si="216"/>
        <v>0</v>
      </c>
      <c r="BS144" s="417">
        <f t="shared" si="217"/>
        <v>480709</v>
      </c>
      <c r="BT144" s="417">
        <f t="shared" si="217"/>
        <v>14223</v>
      </c>
      <c r="BU144" s="417">
        <f t="shared" si="218"/>
        <v>10972</v>
      </c>
      <c r="BV144" s="418">
        <f t="shared" si="219"/>
        <v>4.3600000000000003</v>
      </c>
      <c r="BW144" s="418">
        <f t="shared" si="220"/>
        <v>0</v>
      </c>
      <c r="BX144" s="420">
        <f t="shared" si="220"/>
        <v>4.3600000000000003</v>
      </c>
      <c r="BY144" s="419"/>
      <c r="BZ144" s="414"/>
      <c r="CA144" s="414"/>
      <c r="CB144" s="414"/>
      <c r="CC144" s="414"/>
      <c r="CD144" s="509"/>
      <c r="CE144" s="419"/>
      <c r="CF144" s="601"/>
      <c r="CG144" s="414"/>
      <c r="CH144" s="414"/>
      <c r="CI144" s="601"/>
      <c r="CJ144" s="603"/>
    </row>
    <row r="145" spans="1:88" s="221" customFormat="1" ht="12.75" customHeight="1">
      <c r="A145" s="223">
        <v>30</v>
      </c>
      <c r="B145" s="224">
        <v>3419</v>
      </c>
      <c r="C145" s="224">
        <v>600078434</v>
      </c>
      <c r="D145" s="224">
        <v>72742658</v>
      </c>
      <c r="E145" s="225" t="s">
        <v>67</v>
      </c>
      <c r="F145" s="224">
        <v>3143</v>
      </c>
      <c r="G145" s="225" t="s">
        <v>595</v>
      </c>
      <c r="H145" s="226" t="s">
        <v>271</v>
      </c>
      <c r="I145" s="419">
        <v>903472</v>
      </c>
      <c r="J145" s="414">
        <v>670232</v>
      </c>
      <c r="K145" s="414">
        <v>670232</v>
      </c>
      <c r="L145" s="414">
        <v>0</v>
      </c>
      <c r="M145" s="414">
        <v>0</v>
      </c>
      <c r="N145" s="414">
        <v>0</v>
      </c>
      <c r="O145" s="414">
        <v>0</v>
      </c>
      <c r="P145" s="68">
        <v>226538</v>
      </c>
      <c r="Q145" s="68">
        <v>6702</v>
      </c>
      <c r="R145" s="414">
        <v>0</v>
      </c>
      <c r="S145" s="415">
        <v>1.29</v>
      </c>
      <c r="T145" s="416">
        <v>1.29</v>
      </c>
      <c r="U145" s="422">
        <v>0</v>
      </c>
      <c r="V145" s="423">
        <f t="shared" si="194"/>
        <v>0</v>
      </c>
      <c r="W145" s="417">
        <f t="shared" si="195"/>
        <v>0</v>
      </c>
      <c r="X145" s="417">
        <v>0</v>
      </c>
      <c r="Y145" s="417">
        <v>0</v>
      </c>
      <c r="Z145" s="417">
        <v>0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196"/>
        <v>0</v>
      </c>
      <c r="AF145" s="417">
        <f t="shared" si="197"/>
        <v>0</v>
      </c>
      <c r="AG145" s="417">
        <f t="shared" si="198"/>
        <v>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199"/>
        <v>0</v>
      </c>
      <c r="AN145" s="417">
        <f t="shared" si="200"/>
        <v>0</v>
      </c>
      <c r="AO145" s="417">
        <f t="shared" si="201"/>
        <v>0</v>
      </c>
      <c r="AP145" s="417">
        <f t="shared" si="202"/>
        <v>0</v>
      </c>
      <c r="AQ145" s="417">
        <f t="shared" si="203"/>
        <v>0</v>
      </c>
      <c r="AR145" s="417">
        <f t="shared" si="204"/>
        <v>0</v>
      </c>
      <c r="AS145" s="68">
        <f t="shared" si="205"/>
        <v>0</v>
      </c>
      <c r="AT145" s="68">
        <f t="shared" si="206"/>
        <v>0</v>
      </c>
      <c r="AU145" s="417">
        <v>0</v>
      </c>
      <c r="AV145" s="417">
        <v>0</v>
      </c>
      <c r="AW145" s="417">
        <v>0</v>
      </c>
      <c r="AX145" s="417">
        <f t="shared" si="207"/>
        <v>0</v>
      </c>
      <c r="AY145" s="417">
        <f t="shared" si="208"/>
        <v>0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09"/>
        <v>0</v>
      </c>
      <c r="BJ145" s="418">
        <f t="shared" si="210"/>
        <v>0</v>
      </c>
      <c r="BK145" s="420">
        <f t="shared" si="211"/>
        <v>0</v>
      </c>
      <c r="BL145" s="772">
        <f t="shared" si="212"/>
        <v>903472</v>
      </c>
      <c r="BM145" s="417">
        <f t="shared" si="213"/>
        <v>670232</v>
      </c>
      <c r="BN145" s="417">
        <f t="shared" si="214"/>
        <v>670232</v>
      </c>
      <c r="BO145" s="417">
        <f t="shared" si="214"/>
        <v>0</v>
      </c>
      <c r="BP145" s="417">
        <f t="shared" si="215"/>
        <v>0</v>
      </c>
      <c r="BQ145" s="417">
        <f t="shared" si="216"/>
        <v>0</v>
      </c>
      <c r="BR145" s="417">
        <f t="shared" si="216"/>
        <v>0</v>
      </c>
      <c r="BS145" s="417">
        <f t="shared" si="217"/>
        <v>226538</v>
      </c>
      <c r="BT145" s="417">
        <f t="shared" si="217"/>
        <v>6702</v>
      </c>
      <c r="BU145" s="417">
        <f t="shared" si="218"/>
        <v>0</v>
      </c>
      <c r="BV145" s="418">
        <f t="shared" si="219"/>
        <v>1.29</v>
      </c>
      <c r="BW145" s="418">
        <f t="shared" si="220"/>
        <v>1.29</v>
      </c>
      <c r="BX145" s="420">
        <f t="shared" si="220"/>
        <v>0</v>
      </c>
      <c r="BY145" s="419"/>
      <c r="BZ145" s="414"/>
      <c r="CA145" s="414"/>
      <c r="CB145" s="414"/>
      <c r="CC145" s="414"/>
      <c r="CD145" s="509"/>
      <c r="CE145" s="419"/>
      <c r="CF145" s="414"/>
      <c r="CG145" s="414"/>
      <c r="CH145" s="414"/>
      <c r="CI145" s="414"/>
      <c r="CJ145" s="509"/>
    </row>
    <row r="146" spans="1:88" s="221" customFormat="1" ht="12.75" customHeight="1">
      <c r="A146" s="223">
        <v>30</v>
      </c>
      <c r="B146" s="224">
        <v>3419</v>
      </c>
      <c r="C146" s="224">
        <v>600078434</v>
      </c>
      <c r="D146" s="224">
        <v>72742658</v>
      </c>
      <c r="E146" s="225" t="s">
        <v>67</v>
      </c>
      <c r="F146" s="224">
        <v>3143</v>
      </c>
      <c r="G146" s="225" t="s">
        <v>596</v>
      </c>
      <c r="H146" s="226" t="s">
        <v>272</v>
      </c>
      <c r="I146" s="419">
        <v>36115</v>
      </c>
      <c r="J146" s="414">
        <v>25850</v>
      </c>
      <c r="K146" s="414">
        <v>0</v>
      </c>
      <c r="L146" s="414">
        <v>25850</v>
      </c>
      <c r="M146" s="414">
        <v>0</v>
      </c>
      <c r="N146" s="414">
        <v>0</v>
      </c>
      <c r="O146" s="414">
        <v>0</v>
      </c>
      <c r="P146" s="68">
        <v>8738</v>
      </c>
      <c r="Q146" s="68">
        <v>258</v>
      </c>
      <c r="R146" s="414">
        <v>1269</v>
      </c>
      <c r="S146" s="415">
        <v>0.1</v>
      </c>
      <c r="T146" s="416">
        <v>0</v>
      </c>
      <c r="U146" s="422">
        <v>0.1</v>
      </c>
      <c r="V146" s="423">
        <f t="shared" si="194"/>
        <v>0</v>
      </c>
      <c r="W146" s="417">
        <f t="shared" si="195"/>
        <v>0</v>
      </c>
      <c r="X146" s="417">
        <v>0</v>
      </c>
      <c r="Y146" s="417">
        <v>0</v>
      </c>
      <c r="Z146" s="417">
        <v>0</v>
      </c>
      <c r="AA146" s="417">
        <v>0</v>
      </c>
      <c r="AB146" s="417">
        <v>0</v>
      </c>
      <c r="AC146" s="417">
        <v>0</v>
      </c>
      <c r="AD146" s="417">
        <v>0</v>
      </c>
      <c r="AE146" s="417">
        <f t="shared" si="196"/>
        <v>0</v>
      </c>
      <c r="AF146" s="417">
        <f t="shared" si="197"/>
        <v>0</v>
      </c>
      <c r="AG146" s="417">
        <f t="shared" si="198"/>
        <v>0</v>
      </c>
      <c r="AH146" s="417">
        <v>0</v>
      </c>
      <c r="AI146" s="417">
        <v>0</v>
      </c>
      <c r="AJ146" s="417">
        <v>0</v>
      </c>
      <c r="AK146" s="417">
        <v>0</v>
      </c>
      <c r="AL146" s="417">
        <v>0</v>
      </c>
      <c r="AM146" s="417">
        <f t="shared" si="199"/>
        <v>0</v>
      </c>
      <c r="AN146" s="417">
        <f t="shared" si="200"/>
        <v>0</v>
      </c>
      <c r="AO146" s="417">
        <f t="shared" si="201"/>
        <v>0</v>
      </c>
      <c r="AP146" s="417">
        <f t="shared" si="202"/>
        <v>0</v>
      </c>
      <c r="AQ146" s="417">
        <f t="shared" si="203"/>
        <v>0</v>
      </c>
      <c r="AR146" s="417">
        <f t="shared" si="204"/>
        <v>0</v>
      </c>
      <c r="AS146" s="68">
        <f t="shared" si="205"/>
        <v>0</v>
      </c>
      <c r="AT146" s="68">
        <f t="shared" si="206"/>
        <v>0</v>
      </c>
      <c r="AU146" s="417">
        <v>0</v>
      </c>
      <c r="AV146" s="417">
        <v>0</v>
      </c>
      <c r="AW146" s="417">
        <v>0</v>
      </c>
      <c r="AX146" s="417">
        <f t="shared" si="207"/>
        <v>0</v>
      </c>
      <c r="AY146" s="417">
        <f t="shared" si="208"/>
        <v>0</v>
      </c>
      <c r="AZ146" s="418">
        <v>0</v>
      </c>
      <c r="BA146" s="418">
        <v>0</v>
      </c>
      <c r="BB146" s="418">
        <v>0</v>
      </c>
      <c r="BC146" s="418">
        <v>0</v>
      </c>
      <c r="BD146" s="418">
        <v>0</v>
      </c>
      <c r="BE146" s="418">
        <v>0</v>
      </c>
      <c r="BF146" s="418">
        <v>0</v>
      </c>
      <c r="BG146" s="418">
        <v>0</v>
      </c>
      <c r="BH146" s="418">
        <v>0</v>
      </c>
      <c r="BI146" s="418">
        <f t="shared" si="209"/>
        <v>0</v>
      </c>
      <c r="BJ146" s="418">
        <f t="shared" si="210"/>
        <v>0</v>
      </c>
      <c r="BK146" s="420">
        <f t="shared" si="211"/>
        <v>0</v>
      </c>
      <c r="BL146" s="772">
        <f t="shared" si="212"/>
        <v>36115</v>
      </c>
      <c r="BM146" s="417">
        <f t="shared" si="213"/>
        <v>25850</v>
      </c>
      <c r="BN146" s="417">
        <f t="shared" si="214"/>
        <v>0</v>
      </c>
      <c r="BO146" s="417">
        <f t="shared" si="214"/>
        <v>25850</v>
      </c>
      <c r="BP146" s="417">
        <f t="shared" si="215"/>
        <v>0</v>
      </c>
      <c r="BQ146" s="417">
        <f t="shared" si="216"/>
        <v>0</v>
      </c>
      <c r="BR146" s="417">
        <f t="shared" si="216"/>
        <v>0</v>
      </c>
      <c r="BS146" s="417">
        <f t="shared" si="217"/>
        <v>8738</v>
      </c>
      <c r="BT146" s="417">
        <f t="shared" si="217"/>
        <v>258</v>
      </c>
      <c r="BU146" s="417">
        <f t="shared" si="218"/>
        <v>1269</v>
      </c>
      <c r="BV146" s="418">
        <f t="shared" si="219"/>
        <v>0.1</v>
      </c>
      <c r="BW146" s="418">
        <f t="shared" si="220"/>
        <v>0</v>
      </c>
      <c r="BX146" s="420">
        <f t="shared" si="220"/>
        <v>0.1</v>
      </c>
      <c r="BY146" s="419"/>
      <c r="BZ146" s="414"/>
      <c r="CA146" s="414"/>
      <c r="CB146" s="414"/>
      <c r="CC146" s="414"/>
      <c r="CD146" s="509"/>
      <c r="CE146" s="419"/>
      <c r="CF146" s="601"/>
      <c r="CG146" s="414"/>
      <c r="CH146" s="414"/>
      <c r="CI146" s="602"/>
      <c r="CJ146" s="603"/>
    </row>
    <row r="147" spans="1:88" s="221" customFormat="1" ht="12.75" customHeight="1">
      <c r="A147" s="223">
        <v>30</v>
      </c>
      <c r="B147" s="224">
        <v>3419</v>
      </c>
      <c r="C147" s="224">
        <v>600078434</v>
      </c>
      <c r="D147" s="224">
        <v>72742658</v>
      </c>
      <c r="E147" s="225" t="s">
        <v>67</v>
      </c>
      <c r="F147" s="224">
        <v>3143</v>
      </c>
      <c r="G147" s="225" t="s">
        <v>296</v>
      </c>
      <c r="H147" s="226" t="s">
        <v>272</v>
      </c>
      <c r="I147" s="419">
        <v>192312</v>
      </c>
      <c r="J147" s="414">
        <v>142345</v>
      </c>
      <c r="K147" s="414">
        <v>129145</v>
      </c>
      <c r="L147" s="414">
        <v>13200</v>
      </c>
      <c r="M147" s="414">
        <v>0</v>
      </c>
      <c r="N147" s="414">
        <v>0</v>
      </c>
      <c r="O147" s="414">
        <v>0</v>
      </c>
      <c r="P147" s="68">
        <v>48112</v>
      </c>
      <c r="Q147" s="68">
        <v>1423</v>
      </c>
      <c r="R147" s="414">
        <v>432</v>
      </c>
      <c r="S147" s="415">
        <v>0.31000000000000005</v>
      </c>
      <c r="T147" s="416">
        <v>0.26</v>
      </c>
      <c r="U147" s="422">
        <v>0.05</v>
      </c>
      <c r="V147" s="423">
        <f t="shared" si="194"/>
        <v>0</v>
      </c>
      <c r="W147" s="417">
        <f t="shared" si="195"/>
        <v>0</v>
      </c>
      <c r="X147" s="417">
        <v>0</v>
      </c>
      <c r="Y147" s="417">
        <v>0</v>
      </c>
      <c r="Z147" s="417">
        <v>0</v>
      </c>
      <c r="AA147" s="417">
        <v>0</v>
      </c>
      <c r="AB147" s="417">
        <v>0</v>
      </c>
      <c r="AC147" s="417">
        <v>0</v>
      </c>
      <c r="AD147" s="417">
        <v>0</v>
      </c>
      <c r="AE147" s="417">
        <f t="shared" si="196"/>
        <v>0</v>
      </c>
      <c r="AF147" s="417">
        <f t="shared" si="197"/>
        <v>0</v>
      </c>
      <c r="AG147" s="417">
        <f t="shared" si="198"/>
        <v>0</v>
      </c>
      <c r="AH147" s="417">
        <v>0</v>
      </c>
      <c r="AI147" s="417">
        <v>0</v>
      </c>
      <c r="AJ147" s="417">
        <v>0</v>
      </c>
      <c r="AK147" s="417">
        <v>0</v>
      </c>
      <c r="AL147" s="417">
        <v>0</v>
      </c>
      <c r="AM147" s="417">
        <f t="shared" si="199"/>
        <v>0</v>
      </c>
      <c r="AN147" s="417">
        <f t="shared" si="200"/>
        <v>0</v>
      </c>
      <c r="AO147" s="417">
        <f t="shared" si="201"/>
        <v>0</v>
      </c>
      <c r="AP147" s="417">
        <f t="shared" si="202"/>
        <v>0</v>
      </c>
      <c r="AQ147" s="417">
        <f t="shared" si="203"/>
        <v>0</v>
      </c>
      <c r="AR147" s="417">
        <f t="shared" si="204"/>
        <v>0</v>
      </c>
      <c r="AS147" s="68">
        <f t="shared" si="205"/>
        <v>0</v>
      </c>
      <c r="AT147" s="68">
        <f t="shared" si="206"/>
        <v>0</v>
      </c>
      <c r="AU147" s="417">
        <v>0</v>
      </c>
      <c r="AV147" s="417">
        <v>0</v>
      </c>
      <c r="AW147" s="417">
        <v>0</v>
      </c>
      <c r="AX147" s="417">
        <f t="shared" si="207"/>
        <v>0</v>
      </c>
      <c r="AY147" s="417">
        <f t="shared" si="208"/>
        <v>0</v>
      </c>
      <c r="AZ147" s="418">
        <v>0</v>
      </c>
      <c r="BA147" s="418">
        <v>0</v>
      </c>
      <c r="BB147" s="418">
        <v>0</v>
      </c>
      <c r="BC147" s="418">
        <v>0</v>
      </c>
      <c r="BD147" s="418">
        <v>0</v>
      </c>
      <c r="BE147" s="418">
        <v>0</v>
      </c>
      <c r="BF147" s="418">
        <v>0</v>
      </c>
      <c r="BG147" s="418">
        <v>0</v>
      </c>
      <c r="BH147" s="418">
        <v>0</v>
      </c>
      <c r="BI147" s="418">
        <f t="shared" si="209"/>
        <v>0</v>
      </c>
      <c r="BJ147" s="418">
        <f t="shared" si="210"/>
        <v>0</v>
      </c>
      <c r="BK147" s="420">
        <f t="shared" si="211"/>
        <v>0</v>
      </c>
      <c r="BL147" s="772">
        <f t="shared" si="212"/>
        <v>192312</v>
      </c>
      <c r="BM147" s="417">
        <f t="shared" si="213"/>
        <v>142345</v>
      </c>
      <c r="BN147" s="417">
        <f t="shared" si="214"/>
        <v>129145</v>
      </c>
      <c r="BO147" s="417">
        <f t="shared" si="214"/>
        <v>13200</v>
      </c>
      <c r="BP147" s="417">
        <f t="shared" si="215"/>
        <v>0</v>
      </c>
      <c r="BQ147" s="417">
        <f t="shared" si="216"/>
        <v>0</v>
      </c>
      <c r="BR147" s="417">
        <f t="shared" si="216"/>
        <v>0</v>
      </c>
      <c r="BS147" s="417">
        <f t="shared" si="217"/>
        <v>48112</v>
      </c>
      <c r="BT147" s="417">
        <f t="shared" si="217"/>
        <v>1423</v>
      </c>
      <c r="BU147" s="417">
        <f t="shared" si="218"/>
        <v>432</v>
      </c>
      <c r="BV147" s="418">
        <f t="shared" si="219"/>
        <v>0.31000000000000005</v>
      </c>
      <c r="BW147" s="418">
        <f t="shared" si="220"/>
        <v>0.26</v>
      </c>
      <c r="BX147" s="420">
        <f t="shared" si="220"/>
        <v>0.05</v>
      </c>
      <c r="BY147" s="419"/>
      <c r="BZ147" s="414"/>
      <c r="CA147" s="414"/>
      <c r="CB147" s="414"/>
      <c r="CC147" s="414"/>
      <c r="CD147" s="509"/>
      <c r="CE147" s="419"/>
      <c r="CF147" s="601"/>
      <c r="CG147" s="414"/>
      <c r="CH147" s="414"/>
      <c r="CI147" s="602"/>
      <c r="CJ147" s="603"/>
    </row>
    <row r="148" spans="1:88" s="221" customFormat="1" ht="12.75" customHeight="1">
      <c r="A148" s="153">
        <v>30</v>
      </c>
      <c r="B148" s="14">
        <v>3419</v>
      </c>
      <c r="C148" s="152">
        <v>600078434</v>
      </c>
      <c r="D148" s="152">
        <v>72742658</v>
      </c>
      <c r="E148" s="222" t="s">
        <v>68</v>
      </c>
      <c r="F148" s="14"/>
      <c r="G148" s="222"/>
      <c r="H148" s="558"/>
      <c r="I148" s="504">
        <v>22017691</v>
      </c>
      <c r="J148" s="503">
        <v>16079939</v>
      </c>
      <c r="K148" s="503">
        <v>13004341</v>
      </c>
      <c r="L148" s="503">
        <v>3075598</v>
      </c>
      <c r="M148" s="503">
        <v>55400</v>
      </c>
      <c r="N148" s="503">
        <v>37400</v>
      </c>
      <c r="O148" s="503">
        <v>18000</v>
      </c>
      <c r="P148" s="503">
        <v>5453745</v>
      </c>
      <c r="Q148" s="503">
        <v>160799</v>
      </c>
      <c r="R148" s="503">
        <v>267808</v>
      </c>
      <c r="S148" s="543">
        <v>30.223300000000005</v>
      </c>
      <c r="T148" s="543">
        <v>20.9345</v>
      </c>
      <c r="U148" s="1084">
        <v>9.2888000000000002</v>
      </c>
      <c r="V148" s="504">
        <f t="shared" ref="V148:CG148" si="221">SUM(V141:V147)</f>
        <v>0</v>
      </c>
      <c r="W148" s="503">
        <f t="shared" si="221"/>
        <v>-15300</v>
      </c>
      <c r="X148" s="503">
        <f t="shared" si="221"/>
        <v>0</v>
      </c>
      <c r="Y148" s="503">
        <f t="shared" si="221"/>
        <v>55608</v>
      </c>
      <c r="Z148" s="503">
        <f t="shared" si="221"/>
        <v>0</v>
      </c>
      <c r="AA148" s="503">
        <f t="shared" si="221"/>
        <v>-16341</v>
      </c>
      <c r="AB148" s="503">
        <f t="shared" si="221"/>
        <v>0</v>
      </c>
      <c r="AC148" s="503">
        <f t="shared" si="221"/>
        <v>0</v>
      </c>
      <c r="AD148" s="503">
        <f t="shared" si="221"/>
        <v>0</v>
      </c>
      <c r="AE148" s="503">
        <f t="shared" si="221"/>
        <v>55608</v>
      </c>
      <c r="AF148" s="503">
        <f t="shared" si="221"/>
        <v>-31641</v>
      </c>
      <c r="AG148" s="503">
        <f t="shared" si="221"/>
        <v>23967</v>
      </c>
      <c r="AH148" s="503">
        <f t="shared" si="221"/>
        <v>0</v>
      </c>
      <c r="AI148" s="503">
        <f t="shared" si="221"/>
        <v>15300</v>
      </c>
      <c r="AJ148" s="503">
        <f t="shared" si="221"/>
        <v>0</v>
      </c>
      <c r="AK148" s="503">
        <f t="shared" si="221"/>
        <v>0</v>
      </c>
      <c r="AL148" s="503">
        <f t="shared" si="221"/>
        <v>0</v>
      </c>
      <c r="AM148" s="503">
        <f t="shared" si="221"/>
        <v>0</v>
      </c>
      <c r="AN148" s="503">
        <f t="shared" si="221"/>
        <v>15300</v>
      </c>
      <c r="AO148" s="503">
        <f t="shared" si="221"/>
        <v>15300</v>
      </c>
      <c r="AP148" s="503">
        <f t="shared" si="221"/>
        <v>55608</v>
      </c>
      <c r="AQ148" s="503">
        <f t="shared" si="221"/>
        <v>-16341</v>
      </c>
      <c r="AR148" s="503">
        <f t="shared" si="221"/>
        <v>39267</v>
      </c>
      <c r="AS148" s="503">
        <f t="shared" si="221"/>
        <v>13273</v>
      </c>
      <c r="AT148" s="503">
        <f t="shared" si="221"/>
        <v>240</v>
      </c>
      <c r="AU148" s="503">
        <f t="shared" si="221"/>
        <v>0</v>
      </c>
      <c r="AV148" s="503">
        <f t="shared" si="221"/>
        <v>0</v>
      </c>
      <c r="AW148" s="503">
        <f t="shared" si="221"/>
        <v>0</v>
      </c>
      <c r="AX148" s="503">
        <f t="shared" si="221"/>
        <v>0</v>
      </c>
      <c r="AY148" s="503">
        <f t="shared" si="221"/>
        <v>52780</v>
      </c>
      <c r="AZ148" s="543">
        <f t="shared" si="221"/>
        <v>0</v>
      </c>
      <c r="BA148" s="543">
        <f t="shared" si="221"/>
        <v>-0.06</v>
      </c>
      <c r="BB148" s="543">
        <f t="shared" si="221"/>
        <v>0</v>
      </c>
      <c r="BC148" s="543">
        <f t="shared" si="221"/>
        <v>0</v>
      </c>
      <c r="BD148" s="543">
        <f t="shared" si="221"/>
        <v>0.05</v>
      </c>
      <c r="BE148" s="543">
        <f t="shared" si="221"/>
        <v>0.08</v>
      </c>
      <c r="BF148" s="543">
        <f t="shared" si="221"/>
        <v>0</v>
      </c>
      <c r="BG148" s="543">
        <f t="shared" si="221"/>
        <v>0</v>
      </c>
      <c r="BH148" s="543">
        <f t="shared" si="221"/>
        <v>0</v>
      </c>
      <c r="BI148" s="543">
        <f t="shared" si="221"/>
        <v>0.08</v>
      </c>
      <c r="BJ148" s="543">
        <f t="shared" si="221"/>
        <v>-9.999999999999995E-3</v>
      </c>
      <c r="BK148" s="441">
        <f t="shared" si="221"/>
        <v>7.0000000000000007E-2</v>
      </c>
      <c r="BL148" s="788">
        <f t="shared" si="221"/>
        <v>22070471</v>
      </c>
      <c r="BM148" s="503">
        <f t="shared" si="221"/>
        <v>16103906</v>
      </c>
      <c r="BN148" s="503">
        <f t="shared" si="221"/>
        <v>13059949</v>
      </c>
      <c r="BO148" s="503">
        <f t="shared" si="221"/>
        <v>3043957</v>
      </c>
      <c r="BP148" s="503">
        <f t="shared" si="221"/>
        <v>70700</v>
      </c>
      <c r="BQ148" s="503">
        <f t="shared" si="221"/>
        <v>37400</v>
      </c>
      <c r="BR148" s="503">
        <f t="shared" si="221"/>
        <v>33300</v>
      </c>
      <c r="BS148" s="503">
        <f t="shared" si="221"/>
        <v>5467018</v>
      </c>
      <c r="BT148" s="503">
        <f t="shared" si="221"/>
        <v>161039</v>
      </c>
      <c r="BU148" s="503">
        <f t="shared" si="221"/>
        <v>267808</v>
      </c>
      <c r="BV148" s="543">
        <f t="shared" si="221"/>
        <v>30.293299999999999</v>
      </c>
      <c r="BW148" s="543">
        <f t="shared" si="221"/>
        <v>21.014500000000002</v>
      </c>
      <c r="BX148" s="441">
        <f t="shared" si="221"/>
        <v>9.2788000000000022</v>
      </c>
      <c r="BY148" s="799">
        <f t="shared" si="221"/>
        <v>0</v>
      </c>
      <c r="BZ148" s="705">
        <f t="shared" si="221"/>
        <v>0</v>
      </c>
      <c r="CA148" s="705">
        <f t="shared" si="221"/>
        <v>0</v>
      </c>
      <c r="CB148" s="705">
        <f t="shared" si="221"/>
        <v>0</v>
      </c>
      <c r="CC148" s="705">
        <f t="shared" si="221"/>
        <v>0</v>
      </c>
      <c r="CD148" s="800">
        <f t="shared" si="221"/>
        <v>0</v>
      </c>
      <c r="CE148" s="896">
        <f t="shared" si="221"/>
        <v>759882</v>
      </c>
      <c r="CF148" s="897">
        <f t="shared" si="221"/>
        <v>518640</v>
      </c>
      <c r="CG148" s="897">
        <f t="shared" si="221"/>
        <v>175300</v>
      </c>
      <c r="CH148" s="897">
        <f t="shared" ref="CH148:CJ148" si="222">SUM(CH141:CH147)</f>
        <v>5186</v>
      </c>
      <c r="CI148" s="897">
        <f t="shared" si="222"/>
        <v>60756</v>
      </c>
      <c r="CJ148" s="898">
        <f t="shared" si="222"/>
        <v>1.5690999999999997</v>
      </c>
    </row>
    <row r="149" spans="1:88" s="221" customFormat="1" ht="12.75" customHeight="1">
      <c r="A149" s="223">
        <v>31</v>
      </c>
      <c r="B149" s="224">
        <v>3422</v>
      </c>
      <c r="C149" s="224">
        <v>600078591</v>
      </c>
      <c r="D149" s="224">
        <v>72742682</v>
      </c>
      <c r="E149" s="225" t="s">
        <v>69</v>
      </c>
      <c r="F149" s="224">
        <v>3111</v>
      </c>
      <c r="G149" s="225" t="s">
        <v>290</v>
      </c>
      <c r="H149" s="226" t="s">
        <v>271</v>
      </c>
      <c r="I149" s="419">
        <v>2824060</v>
      </c>
      <c r="J149" s="414">
        <v>2085801</v>
      </c>
      <c r="K149" s="414">
        <v>1909383</v>
      </c>
      <c r="L149" s="414">
        <v>176418</v>
      </c>
      <c r="M149" s="414">
        <v>0</v>
      </c>
      <c r="N149" s="414">
        <v>0</v>
      </c>
      <c r="O149" s="414">
        <v>0</v>
      </c>
      <c r="P149" s="68">
        <v>705001</v>
      </c>
      <c r="Q149" s="68">
        <v>20858</v>
      </c>
      <c r="R149" s="414">
        <v>12400</v>
      </c>
      <c r="S149" s="415">
        <v>4.5132000000000003</v>
      </c>
      <c r="T149" s="416">
        <v>3.8064</v>
      </c>
      <c r="U149" s="422">
        <v>0.70679999999999998</v>
      </c>
      <c r="V149" s="423">
        <f t="shared" si="194"/>
        <v>0</v>
      </c>
      <c r="W149" s="417">
        <f t="shared" si="195"/>
        <v>0</v>
      </c>
      <c r="X149" s="417">
        <v>0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196"/>
        <v>0</v>
      </c>
      <c r="AF149" s="417">
        <f t="shared" si="197"/>
        <v>0</v>
      </c>
      <c r="AG149" s="417">
        <f t="shared" si="198"/>
        <v>0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199"/>
        <v>0</v>
      </c>
      <c r="AN149" s="417">
        <f t="shared" si="200"/>
        <v>0</v>
      </c>
      <c r="AO149" s="417">
        <f t="shared" si="201"/>
        <v>0</v>
      </c>
      <c r="AP149" s="417">
        <f t="shared" si="202"/>
        <v>0</v>
      </c>
      <c r="AQ149" s="417">
        <f t="shared" si="203"/>
        <v>0</v>
      </c>
      <c r="AR149" s="417">
        <f t="shared" si="204"/>
        <v>0</v>
      </c>
      <c r="AS149" s="68">
        <f t="shared" si="205"/>
        <v>0</v>
      </c>
      <c r="AT149" s="68">
        <f t="shared" si="206"/>
        <v>0</v>
      </c>
      <c r="AU149" s="417">
        <v>0</v>
      </c>
      <c r="AV149" s="417">
        <v>0</v>
      </c>
      <c r="AW149" s="417">
        <v>0</v>
      </c>
      <c r="AX149" s="417">
        <f t="shared" si="207"/>
        <v>0</v>
      </c>
      <c r="AY149" s="417">
        <f t="shared" si="208"/>
        <v>0</v>
      </c>
      <c r="AZ149" s="418">
        <v>0</v>
      </c>
      <c r="BA149" s="418">
        <v>0</v>
      </c>
      <c r="BB149" s="418">
        <v>0</v>
      </c>
      <c r="BC149" s="418">
        <v>0</v>
      </c>
      <c r="BD149" s="418">
        <v>0</v>
      </c>
      <c r="BE149" s="418">
        <v>0</v>
      </c>
      <c r="BF149" s="418">
        <v>0</v>
      </c>
      <c r="BG149" s="418">
        <v>0</v>
      </c>
      <c r="BH149" s="418">
        <v>0</v>
      </c>
      <c r="BI149" s="418">
        <f t="shared" si="209"/>
        <v>0</v>
      </c>
      <c r="BJ149" s="418">
        <f t="shared" si="210"/>
        <v>0</v>
      </c>
      <c r="BK149" s="420">
        <f t="shared" si="211"/>
        <v>0</v>
      </c>
      <c r="BL149" s="772">
        <f t="shared" ref="BL149:BL154" si="223">I149+AY149</f>
        <v>2824060</v>
      </c>
      <c r="BM149" s="417">
        <f t="shared" ref="BM149:BM154" si="224">J149+AG149</f>
        <v>2085801</v>
      </c>
      <c r="BN149" s="417">
        <f t="shared" ref="BN149:BO154" si="225">K149+AE149</f>
        <v>1909383</v>
      </c>
      <c r="BO149" s="417">
        <f t="shared" si="225"/>
        <v>176418</v>
      </c>
      <c r="BP149" s="417">
        <f t="shared" ref="BP149:BP154" si="226">M149+AO149</f>
        <v>0</v>
      </c>
      <c r="BQ149" s="417">
        <f t="shared" ref="BQ149:BR154" si="227">N149+AM149</f>
        <v>0</v>
      </c>
      <c r="BR149" s="417">
        <f t="shared" si="227"/>
        <v>0</v>
      </c>
      <c r="BS149" s="417">
        <f t="shared" ref="BS149:BT154" si="228">P149+AS149</f>
        <v>705001</v>
      </c>
      <c r="BT149" s="417">
        <f t="shared" si="228"/>
        <v>20858</v>
      </c>
      <c r="BU149" s="417">
        <f t="shared" ref="BU149:BU154" si="229">R149+AX149</f>
        <v>12400</v>
      </c>
      <c r="BV149" s="418">
        <f t="shared" ref="BV149:BV154" si="230">S149+BK149</f>
        <v>4.5132000000000003</v>
      </c>
      <c r="BW149" s="418">
        <f t="shared" ref="BW149:BX154" si="231">T149+BI149</f>
        <v>3.8064</v>
      </c>
      <c r="BX149" s="420">
        <f t="shared" si="231"/>
        <v>0.70679999999999998</v>
      </c>
      <c r="BY149" s="419"/>
      <c r="BZ149" s="414"/>
      <c r="CA149" s="414"/>
      <c r="CB149" s="414"/>
      <c r="CC149" s="414"/>
      <c r="CD149" s="509"/>
      <c r="CE149" s="419">
        <v>80433</v>
      </c>
      <c r="CF149" s="414">
        <v>56610</v>
      </c>
      <c r="CG149" s="414">
        <v>19134</v>
      </c>
      <c r="CH149" s="414">
        <v>566</v>
      </c>
      <c r="CI149" s="414">
        <v>4123</v>
      </c>
      <c r="CJ149" s="509">
        <v>0.2268</v>
      </c>
    </row>
    <row r="150" spans="1:88" s="221" customFormat="1" ht="12.75" customHeight="1">
      <c r="A150" s="223">
        <v>31</v>
      </c>
      <c r="B150" s="224">
        <v>3422</v>
      </c>
      <c r="C150" s="224">
        <v>600078591</v>
      </c>
      <c r="D150" s="224">
        <v>72742682</v>
      </c>
      <c r="E150" s="225" t="s">
        <v>69</v>
      </c>
      <c r="F150" s="224">
        <v>3113</v>
      </c>
      <c r="G150" s="225" t="s">
        <v>293</v>
      </c>
      <c r="H150" s="226" t="s">
        <v>271</v>
      </c>
      <c r="I150" s="419">
        <v>9066628</v>
      </c>
      <c r="J150" s="414">
        <v>6631056</v>
      </c>
      <c r="K150" s="414">
        <v>5660733</v>
      </c>
      <c r="L150" s="414">
        <v>970323</v>
      </c>
      <c r="M150" s="414">
        <v>0</v>
      </c>
      <c r="N150" s="414">
        <v>0</v>
      </c>
      <c r="O150" s="414">
        <v>0</v>
      </c>
      <c r="P150" s="68">
        <v>2241297</v>
      </c>
      <c r="Q150" s="68">
        <v>66310</v>
      </c>
      <c r="R150" s="414">
        <v>127965</v>
      </c>
      <c r="S150" s="415">
        <v>11.815599999999998</v>
      </c>
      <c r="T150" s="416">
        <v>9.2007999999999992</v>
      </c>
      <c r="U150" s="422">
        <v>2.6148000000000002</v>
      </c>
      <c r="V150" s="423">
        <f t="shared" si="194"/>
        <v>0</v>
      </c>
      <c r="W150" s="417">
        <f t="shared" si="195"/>
        <v>0</v>
      </c>
      <c r="X150" s="417">
        <v>0</v>
      </c>
      <c r="Y150" s="417">
        <v>52960</v>
      </c>
      <c r="Z150" s="417">
        <v>-192846</v>
      </c>
      <c r="AA150" s="417">
        <v>0</v>
      </c>
      <c r="AB150" s="417">
        <v>0</v>
      </c>
      <c r="AC150" s="417">
        <v>0</v>
      </c>
      <c r="AD150" s="417">
        <v>0</v>
      </c>
      <c r="AE150" s="417">
        <f t="shared" si="196"/>
        <v>-139886</v>
      </c>
      <c r="AF150" s="417">
        <f t="shared" si="197"/>
        <v>0</v>
      </c>
      <c r="AG150" s="417">
        <f t="shared" si="198"/>
        <v>-139886</v>
      </c>
      <c r="AH150" s="417">
        <v>0</v>
      </c>
      <c r="AI150" s="417">
        <v>0</v>
      </c>
      <c r="AJ150" s="417">
        <v>0</v>
      </c>
      <c r="AK150" s="417">
        <v>0</v>
      </c>
      <c r="AL150" s="417">
        <v>0</v>
      </c>
      <c r="AM150" s="417">
        <f t="shared" si="199"/>
        <v>0</v>
      </c>
      <c r="AN150" s="417">
        <f t="shared" si="200"/>
        <v>0</v>
      </c>
      <c r="AO150" s="417">
        <f t="shared" si="201"/>
        <v>0</v>
      </c>
      <c r="AP150" s="417">
        <f t="shared" si="202"/>
        <v>-139886</v>
      </c>
      <c r="AQ150" s="417">
        <f t="shared" si="203"/>
        <v>0</v>
      </c>
      <c r="AR150" s="417">
        <f t="shared" si="204"/>
        <v>-139886</v>
      </c>
      <c r="AS150" s="68">
        <f t="shared" si="205"/>
        <v>-47281</v>
      </c>
      <c r="AT150" s="68">
        <f t="shared" si="206"/>
        <v>-1399</v>
      </c>
      <c r="AU150" s="417">
        <v>0</v>
      </c>
      <c r="AV150" s="417">
        <v>0</v>
      </c>
      <c r="AW150" s="417">
        <v>0</v>
      </c>
      <c r="AX150" s="417">
        <f t="shared" si="207"/>
        <v>0</v>
      </c>
      <c r="AY150" s="417">
        <f t="shared" si="208"/>
        <v>-188566</v>
      </c>
      <c r="AZ150" s="418">
        <v>0</v>
      </c>
      <c r="BA150" s="418">
        <v>0</v>
      </c>
      <c r="BB150" s="418">
        <v>0</v>
      </c>
      <c r="BC150" s="418">
        <v>-0.4</v>
      </c>
      <c r="BD150" s="418">
        <v>0</v>
      </c>
      <c r="BE150" s="418">
        <v>0.08</v>
      </c>
      <c r="BF150" s="418">
        <v>0</v>
      </c>
      <c r="BG150" s="418">
        <v>0</v>
      </c>
      <c r="BH150" s="418">
        <v>0</v>
      </c>
      <c r="BI150" s="418">
        <f t="shared" si="209"/>
        <v>-0.32</v>
      </c>
      <c r="BJ150" s="418">
        <f t="shared" si="210"/>
        <v>0</v>
      </c>
      <c r="BK150" s="420">
        <f t="shared" si="211"/>
        <v>-0.32</v>
      </c>
      <c r="BL150" s="772">
        <f t="shared" si="223"/>
        <v>8878062</v>
      </c>
      <c r="BM150" s="417">
        <f t="shared" si="224"/>
        <v>6491170</v>
      </c>
      <c r="BN150" s="417">
        <f t="shared" si="225"/>
        <v>5520847</v>
      </c>
      <c r="BO150" s="417">
        <f t="shared" si="225"/>
        <v>970323</v>
      </c>
      <c r="BP150" s="417">
        <f t="shared" si="226"/>
        <v>0</v>
      </c>
      <c r="BQ150" s="417">
        <f t="shared" si="227"/>
        <v>0</v>
      </c>
      <c r="BR150" s="417">
        <f t="shared" si="227"/>
        <v>0</v>
      </c>
      <c r="BS150" s="417">
        <f t="shared" si="228"/>
        <v>2194016</v>
      </c>
      <c r="BT150" s="417">
        <f t="shared" si="228"/>
        <v>64911</v>
      </c>
      <c r="BU150" s="417">
        <f t="shared" si="229"/>
        <v>127965</v>
      </c>
      <c r="BV150" s="418">
        <f t="shared" si="230"/>
        <v>11.495599999999998</v>
      </c>
      <c r="BW150" s="418">
        <f t="shared" si="231"/>
        <v>8.8807999999999989</v>
      </c>
      <c r="BX150" s="420">
        <f t="shared" si="231"/>
        <v>2.6148000000000002</v>
      </c>
      <c r="BY150" s="419"/>
      <c r="BZ150" s="414"/>
      <c r="CA150" s="414"/>
      <c r="CB150" s="414"/>
      <c r="CC150" s="414"/>
      <c r="CD150" s="509"/>
      <c r="CE150" s="419">
        <v>449396</v>
      </c>
      <c r="CF150" s="414">
        <v>311433</v>
      </c>
      <c r="CG150" s="414">
        <v>105265</v>
      </c>
      <c r="CH150" s="414">
        <v>3114</v>
      </c>
      <c r="CI150" s="414">
        <v>29584</v>
      </c>
      <c r="CJ150" s="509">
        <v>0.83930000000000005</v>
      </c>
    </row>
    <row r="151" spans="1:88" s="221" customFormat="1">
      <c r="A151" s="223">
        <v>31</v>
      </c>
      <c r="B151" s="224">
        <v>3422</v>
      </c>
      <c r="C151" s="224">
        <v>600078591</v>
      </c>
      <c r="D151" s="224">
        <v>72742682</v>
      </c>
      <c r="E151" s="225" t="s">
        <v>69</v>
      </c>
      <c r="F151" s="224">
        <v>3113</v>
      </c>
      <c r="G151" s="225" t="s">
        <v>291</v>
      </c>
      <c r="H151" s="226" t="s">
        <v>272</v>
      </c>
      <c r="I151" s="419">
        <v>907126</v>
      </c>
      <c r="J151" s="414">
        <v>672943</v>
      </c>
      <c r="K151" s="414">
        <v>672943</v>
      </c>
      <c r="L151" s="414">
        <v>0</v>
      </c>
      <c r="M151" s="414">
        <v>0</v>
      </c>
      <c r="N151" s="414">
        <v>0</v>
      </c>
      <c r="O151" s="414">
        <v>0</v>
      </c>
      <c r="P151" s="68">
        <v>227454</v>
      </c>
      <c r="Q151" s="68">
        <v>6729</v>
      </c>
      <c r="R151" s="414">
        <v>0</v>
      </c>
      <c r="S151" s="415">
        <v>1.82</v>
      </c>
      <c r="T151" s="416">
        <v>1.82</v>
      </c>
      <c r="U151" s="422">
        <v>0</v>
      </c>
      <c r="V151" s="423">
        <f t="shared" si="194"/>
        <v>0</v>
      </c>
      <c r="W151" s="417">
        <f t="shared" si="195"/>
        <v>0</v>
      </c>
      <c r="X151" s="417">
        <v>0</v>
      </c>
      <c r="Y151" s="417">
        <v>0</v>
      </c>
      <c r="Z151" s="417">
        <v>0</v>
      </c>
      <c r="AA151" s="417">
        <v>0</v>
      </c>
      <c r="AB151" s="417">
        <v>0</v>
      </c>
      <c r="AC151" s="417">
        <v>0</v>
      </c>
      <c r="AD151" s="417">
        <v>0</v>
      </c>
      <c r="AE151" s="417">
        <f t="shared" si="196"/>
        <v>0</v>
      </c>
      <c r="AF151" s="417">
        <f t="shared" si="197"/>
        <v>0</v>
      </c>
      <c r="AG151" s="417">
        <f t="shared" si="198"/>
        <v>0</v>
      </c>
      <c r="AH151" s="417">
        <v>0</v>
      </c>
      <c r="AI151" s="417">
        <v>0</v>
      </c>
      <c r="AJ151" s="417">
        <v>0</v>
      </c>
      <c r="AK151" s="417">
        <v>0</v>
      </c>
      <c r="AL151" s="417">
        <v>0</v>
      </c>
      <c r="AM151" s="417">
        <f t="shared" si="199"/>
        <v>0</v>
      </c>
      <c r="AN151" s="417">
        <f t="shared" si="200"/>
        <v>0</v>
      </c>
      <c r="AO151" s="417">
        <f t="shared" si="201"/>
        <v>0</v>
      </c>
      <c r="AP151" s="417">
        <f t="shared" si="202"/>
        <v>0</v>
      </c>
      <c r="AQ151" s="417">
        <f t="shared" si="203"/>
        <v>0</v>
      </c>
      <c r="AR151" s="417">
        <f t="shared" si="204"/>
        <v>0</v>
      </c>
      <c r="AS151" s="68">
        <f t="shared" si="205"/>
        <v>0</v>
      </c>
      <c r="AT151" s="68">
        <f t="shared" si="206"/>
        <v>0</v>
      </c>
      <c r="AU151" s="417">
        <v>0</v>
      </c>
      <c r="AV151" s="417">
        <v>0</v>
      </c>
      <c r="AW151" s="417">
        <v>0</v>
      </c>
      <c r="AX151" s="417">
        <f t="shared" si="207"/>
        <v>0</v>
      </c>
      <c r="AY151" s="417">
        <f t="shared" si="208"/>
        <v>0</v>
      </c>
      <c r="AZ151" s="418">
        <v>0</v>
      </c>
      <c r="BA151" s="418">
        <v>0</v>
      </c>
      <c r="BB151" s="418">
        <v>0</v>
      </c>
      <c r="BC151" s="418">
        <v>0</v>
      </c>
      <c r="BD151" s="418">
        <v>0</v>
      </c>
      <c r="BE151" s="418">
        <v>0</v>
      </c>
      <c r="BF151" s="418">
        <v>0</v>
      </c>
      <c r="BG151" s="418">
        <v>0</v>
      </c>
      <c r="BH151" s="418">
        <v>0</v>
      </c>
      <c r="BI151" s="418">
        <f t="shared" si="209"/>
        <v>0</v>
      </c>
      <c r="BJ151" s="418">
        <f t="shared" si="210"/>
        <v>0</v>
      </c>
      <c r="BK151" s="420">
        <f t="shared" si="211"/>
        <v>0</v>
      </c>
      <c r="BL151" s="772">
        <f t="shared" si="223"/>
        <v>907126</v>
      </c>
      <c r="BM151" s="417">
        <f t="shared" si="224"/>
        <v>672943</v>
      </c>
      <c r="BN151" s="417">
        <f t="shared" si="225"/>
        <v>672943</v>
      </c>
      <c r="BO151" s="417">
        <f t="shared" si="225"/>
        <v>0</v>
      </c>
      <c r="BP151" s="417">
        <f t="shared" si="226"/>
        <v>0</v>
      </c>
      <c r="BQ151" s="417">
        <f t="shared" si="227"/>
        <v>0</v>
      </c>
      <c r="BR151" s="417">
        <f t="shared" si="227"/>
        <v>0</v>
      </c>
      <c r="BS151" s="417">
        <f t="shared" si="228"/>
        <v>227454</v>
      </c>
      <c r="BT151" s="417">
        <f t="shared" si="228"/>
        <v>6729</v>
      </c>
      <c r="BU151" s="417">
        <f t="shared" si="229"/>
        <v>0</v>
      </c>
      <c r="BV151" s="418">
        <f t="shared" si="230"/>
        <v>1.82</v>
      </c>
      <c r="BW151" s="418">
        <f t="shared" si="231"/>
        <v>1.82</v>
      </c>
      <c r="BX151" s="420">
        <f t="shared" si="231"/>
        <v>0</v>
      </c>
      <c r="BY151" s="419"/>
      <c r="BZ151" s="414"/>
      <c r="CA151" s="414"/>
      <c r="CB151" s="414"/>
      <c r="CC151" s="414"/>
      <c r="CD151" s="509"/>
      <c r="CE151" s="419"/>
      <c r="CF151" s="414"/>
      <c r="CG151" s="414"/>
      <c r="CH151" s="414"/>
      <c r="CI151" s="414"/>
      <c r="CJ151" s="509"/>
    </row>
    <row r="152" spans="1:88" s="221" customFormat="1" ht="12.75" customHeight="1">
      <c r="A152" s="223">
        <v>31</v>
      </c>
      <c r="B152" s="224">
        <v>3422</v>
      </c>
      <c r="C152" s="224">
        <v>600078591</v>
      </c>
      <c r="D152" s="224">
        <v>72742682</v>
      </c>
      <c r="E152" s="225" t="s">
        <v>69</v>
      </c>
      <c r="F152" s="224">
        <v>3141</v>
      </c>
      <c r="G152" s="225" t="s">
        <v>294</v>
      </c>
      <c r="H152" s="226" t="s">
        <v>272</v>
      </c>
      <c r="I152" s="419">
        <v>1193107</v>
      </c>
      <c r="J152" s="414">
        <v>881468</v>
      </c>
      <c r="K152" s="414">
        <v>0</v>
      </c>
      <c r="L152" s="414">
        <v>881468</v>
      </c>
      <c r="M152" s="414">
        <v>0</v>
      </c>
      <c r="N152" s="414">
        <v>0</v>
      </c>
      <c r="O152" s="414">
        <v>0</v>
      </c>
      <c r="P152" s="68">
        <v>297937</v>
      </c>
      <c r="Q152" s="68">
        <v>8814</v>
      </c>
      <c r="R152" s="414">
        <v>4888</v>
      </c>
      <c r="S152" s="415">
        <v>2.64</v>
      </c>
      <c r="T152" s="416">
        <v>0</v>
      </c>
      <c r="U152" s="422">
        <v>2.64</v>
      </c>
      <c r="V152" s="423">
        <f t="shared" si="194"/>
        <v>0</v>
      </c>
      <c r="W152" s="417">
        <f t="shared" si="195"/>
        <v>0</v>
      </c>
      <c r="X152" s="417">
        <v>0</v>
      </c>
      <c r="Y152" s="417">
        <v>0</v>
      </c>
      <c r="Z152" s="417">
        <v>0</v>
      </c>
      <c r="AA152" s="417">
        <v>-44023</v>
      </c>
      <c r="AB152" s="417">
        <v>0</v>
      </c>
      <c r="AC152" s="417">
        <v>0</v>
      </c>
      <c r="AD152" s="417">
        <v>0</v>
      </c>
      <c r="AE152" s="417">
        <f t="shared" si="196"/>
        <v>0</v>
      </c>
      <c r="AF152" s="417">
        <f t="shared" si="197"/>
        <v>-44023</v>
      </c>
      <c r="AG152" s="417">
        <f t="shared" si="198"/>
        <v>-44023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199"/>
        <v>0</v>
      </c>
      <c r="AN152" s="417">
        <f t="shared" si="200"/>
        <v>0</v>
      </c>
      <c r="AO152" s="417">
        <f t="shared" si="201"/>
        <v>0</v>
      </c>
      <c r="AP152" s="417">
        <f t="shared" si="202"/>
        <v>0</v>
      </c>
      <c r="AQ152" s="417">
        <f t="shared" si="203"/>
        <v>-44023</v>
      </c>
      <c r="AR152" s="417">
        <f t="shared" si="204"/>
        <v>-44023</v>
      </c>
      <c r="AS152" s="68">
        <f t="shared" si="205"/>
        <v>-14880</v>
      </c>
      <c r="AT152" s="68">
        <f t="shared" si="206"/>
        <v>-440</v>
      </c>
      <c r="AU152" s="417">
        <v>0</v>
      </c>
      <c r="AV152" s="417">
        <v>0</v>
      </c>
      <c r="AW152" s="417">
        <v>0</v>
      </c>
      <c r="AX152" s="417">
        <f t="shared" si="207"/>
        <v>0</v>
      </c>
      <c r="AY152" s="417">
        <f t="shared" si="208"/>
        <v>-59343</v>
      </c>
      <c r="AZ152" s="418">
        <v>0</v>
      </c>
      <c r="BA152" s="418">
        <v>0</v>
      </c>
      <c r="BB152" s="418">
        <v>0</v>
      </c>
      <c r="BC152" s="418">
        <v>0</v>
      </c>
      <c r="BD152" s="418">
        <v>-0.13</v>
      </c>
      <c r="BE152" s="418">
        <v>0</v>
      </c>
      <c r="BF152" s="418">
        <v>0</v>
      </c>
      <c r="BG152" s="418">
        <v>0</v>
      </c>
      <c r="BH152" s="418">
        <v>0</v>
      </c>
      <c r="BI152" s="418">
        <f t="shared" si="209"/>
        <v>0</v>
      </c>
      <c r="BJ152" s="418">
        <f t="shared" si="210"/>
        <v>-0.13</v>
      </c>
      <c r="BK152" s="420">
        <f t="shared" si="211"/>
        <v>-0.13</v>
      </c>
      <c r="BL152" s="772">
        <f t="shared" si="223"/>
        <v>1133764</v>
      </c>
      <c r="BM152" s="417">
        <f t="shared" si="224"/>
        <v>837445</v>
      </c>
      <c r="BN152" s="417">
        <f t="shared" si="225"/>
        <v>0</v>
      </c>
      <c r="BO152" s="417">
        <f t="shared" si="225"/>
        <v>837445</v>
      </c>
      <c r="BP152" s="417">
        <f t="shared" si="226"/>
        <v>0</v>
      </c>
      <c r="BQ152" s="417">
        <f t="shared" si="227"/>
        <v>0</v>
      </c>
      <c r="BR152" s="417">
        <f t="shared" si="227"/>
        <v>0</v>
      </c>
      <c r="BS152" s="417">
        <f t="shared" si="228"/>
        <v>283057</v>
      </c>
      <c r="BT152" s="417">
        <f t="shared" si="228"/>
        <v>8374</v>
      </c>
      <c r="BU152" s="417">
        <f t="shared" si="229"/>
        <v>4888</v>
      </c>
      <c r="BV152" s="418">
        <f t="shared" si="230"/>
        <v>2.5100000000000002</v>
      </c>
      <c r="BW152" s="418">
        <f t="shared" si="231"/>
        <v>0</v>
      </c>
      <c r="BX152" s="420">
        <f t="shared" si="231"/>
        <v>2.5100000000000002</v>
      </c>
      <c r="BY152" s="419"/>
      <c r="BZ152" s="414"/>
      <c r="CA152" s="414"/>
      <c r="CB152" s="414"/>
      <c r="CC152" s="414"/>
      <c r="CD152" s="509"/>
      <c r="CE152" s="419"/>
      <c r="CF152" s="414"/>
      <c r="CG152" s="414"/>
      <c r="CH152" s="414"/>
      <c r="CI152" s="414"/>
      <c r="CJ152" s="509"/>
    </row>
    <row r="153" spans="1:88" s="221" customFormat="1" ht="12.75" customHeight="1">
      <c r="A153" s="223">
        <v>31</v>
      </c>
      <c r="B153" s="224">
        <v>3422</v>
      </c>
      <c r="C153" s="224">
        <v>600078591</v>
      </c>
      <c r="D153" s="224">
        <v>72742682</v>
      </c>
      <c r="E153" s="225" t="s">
        <v>69</v>
      </c>
      <c r="F153" s="224">
        <v>3143</v>
      </c>
      <c r="G153" s="225" t="s">
        <v>595</v>
      </c>
      <c r="H153" s="226" t="s">
        <v>271</v>
      </c>
      <c r="I153" s="419">
        <v>393071</v>
      </c>
      <c r="J153" s="414">
        <v>291596</v>
      </c>
      <c r="K153" s="414">
        <v>291596</v>
      </c>
      <c r="L153" s="414">
        <v>0</v>
      </c>
      <c r="M153" s="414">
        <v>0</v>
      </c>
      <c r="N153" s="414">
        <v>0</v>
      </c>
      <c r="O153" s="414">
        <v>0</v>
      </c>
      <c r="P153" s="68">
        <v>98559</v>
      </c>
      <c r="Q153" s="68">
        <v>2916</v>
      </c>
      <c r="R153" s="414">
        <v>0</v>
      </c>
      <c r="S153" s="415">
        <v>0.53569999999999995</v>
      </c>
      <c r="T153" s="416">
        <v>0.53569999999999995</v>
      </c>
      <c r="U153" s="422">
        <v>0</v>
      </c>
      <c r="V153" s="423">
        <f t="shared" si="194"/>
        <v>0</v>
      </c>
      <c r="W153" s="417">
        <f t="shared" si="195"/>
        <v>0</v>
      </c>
      <c r="X153" s="417">
        <v>0</v>
      </c>
      <c r="Y153" s="417">
        <v>0</v>
      </c>
      <c r="Z153" s="417">
        <v>0</v>
      </c>
      <c r="AA153" s="417">
        <v>0</v>
      </c>
      <c r="AB153" s="417">
        <v>0</v>
      </c>
      <c r="AC153" s="417">
        <v>0</v>
      </c>
      <c r="AD153" s="417">
        <v>0</v>
      </c>
      <c r="AE153" s="417">
        <f t="shared" si="196"/>
        <v>0</v>
      </c>
      <c r="AF153" s="417">
        <f t="shared" si="197"/>
        <v>0</v>
      </c>
      <c r="AG153" s="417">
        <f t="shared" si="198"/>
        <v>0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199"/>
        <v>0</v>
      </c>
      <c r="AN153" s="417">
        <f t="shared" si="200"/>
        <v>0</v>
      </c>
      <c r="AO153" s="417">
        <f t="shared" si="201"/>
        <v>0</v>
      </c>
      <c r="AP153" s="417">
        <f t="shared" si="202"/>
        <v>0</v>
      </c>
      <c r="AQ153" s="417">
        <f t="shared" si="203"/>
        <v>0</v>
      </c>
      <c r="AR153" s="417">
        <f t="shared" si="204"/>
        <v>0</v>
      </c>
      <c r="AS153" s="68">
        <f t="shared" si="205"/>
        <v>0</v>
      </c>
      <c r="AT153" s="68">
        <f t="shared" si="206"/>
        <v>0</v>
      </c>
      <c r="AU153" s="417">
        <v>0</v>
      </c>
      <c r="AV153" s="417">
        <v>0</v>
      </c>
      <c r="AW153" s="417">
        <v>0</v>
      </c>
      <c r="AX153" s="417">
        <f t="shared" si="207"/>
        <v>0</v>
      </c>
      <c r="AY153" s="417">
        <f t="shared" si="208"/>
        <v>0</v>
      </c>
      <c r="AZ153" s="418">
        <v>0</v>
      </c>
      <c r="BA153" s="418">
        <v>0</v>
      </c>
      <c r="BB153" s="418">
        <v>0</v>
      </c>
      <c r="BC153" s="418">
        <v>0</v>
      </c>
      <c r="BD153" s="418">
        <v>0</v>
      </c>
      <c r="BE153" s="418">
        <v>0</v>
      </c>
      <c r="BF153" s="418">
        <v>0</v>
      </c>
      <c r="BG153" s="418">
        <v>0</v>
      </c>
      <c r="BH153" s="418">
        <v>0</v>
      </c>
      <c r="BI153" s="418">
        <f t="shared" si="209"/>
        <v>0</v>
      </c>
      <c r="BJ153" s="418">
        <f t="shared" si="210"/>
        <v>0</v>
      </c>
      <c r="BK153" s="420">
        <f t="shared" si="211"/>
        <v>0</v>
      </c>
      <c r="BL153" s="772">
        <f t="shared" si="223"/>
        <v>393071</v>
      </c>
      <c r="BM153" s="417">
        <f t="shared" si="224"/>
        <v>291596</v>
      </c>
      <c r="BN153" s="417">
        <f t="shared" si="225"/>
        <v>291596</v>
      </c>
      <c r="BO153" s="417">
        <f t="shared" si="225"/>
        <v>0</v>
      </c>
      <c r="BP153" s="417">
        <f t="shared" si="226"/>
        <v>0</v>
      </c>
      <c r="BQ153" s="417">
        <f t="shared" si="227"/>
        <v>0</v>
      </c>
      <c r="BR153" s="417">
        <f t="shared" si="227"/>
        <v>0</v>
      </c>
      <c r="BS153" s="417">
        <f t="shared" si="228"/>
        <v>98559</v>
      </c>
      <c r="BT153" s="417">
        <f t="shared" si="228"/>
        <v>2916</v>
      </c>
      <c r="BU153" s="417">
        <f t="shared" si="229"/>
        <v>0</v>
      </c>
      <c r="BV153" s="418">
        <f t="shared" si="230"/>
        <v>0.53569999999999995</v>
      </c>
      <c r="BW153" s="418">
        <f t="shared" si="231"/>
        <v>0.53569999999999995</v>
      </c>
      <c r="BX153" s="420">
        <f t="shared" si="231"/>
        <v>0</v>
      </c>
      <c r="BY153" s="419"/>
      <c r="BZ153" s="414"/>
      <c r="CA153" s="414"/>
      <c r="CB153" s="414"/>
      <c r="CC153" s="414"/>
      <c r="CD153" s="509"/>
      <c r="CE153" s="419"/>
      <c r="CF153" s="414"/>
      <c r="CG153" s="414"/>
      <c r="CH153" s="414"/>
      <c r="CI153" s="414"/>
      <c r="CJ153" s="509"/>
    </row>
    <row r="154" spans="1:88" s="221" customFormat="1" ht="12.75" customHeight="1">
      <c r="A154" s="223">
        <v>31</v>
      </c>
      <c r="B154" s="224">
        <v>3422</v>
      </c>
      <c r="C154" s="224">
        <v>600078591</v>
      </c>
      <c r="D154" s="224">
        <v>72742682</v>
      </c>
      <c r="E154" s="225" t="s">
        <v>69</v>
      </c>
      <c r="F154" s="224">
        <v>3143</v>
      </c>
      <c r="G154" s="225" t="s">
        <v>596</v>
      </c>
      <c r="H154" s="226" t="s">
        <v>272</v>
      </c>
      <c r="I154" s="419">
        <v>23052</v>
      </c>
      <c r="J154" s="414">
        <v>16500</v>
      </c>
      <c r="K154" s="414">
        <v>0</v>
      </c>
      <c r="L154" s="414">
        <v>16500</v>
      </c>
      <c r="M154" s="414">
        <v>0</v>
      </c>
      <c r="N154" s="414">
        <v>0</v>
      </c>
      <c r="O154" s="414">
        <v>0</v>
      </c>
      <c r="P154" s="68">
        <v>5577</v>
      </c>
      <c r="Q154" s="68">
        <v>165</v>
      </c>
      <c r="R154" s="414">
        <v>810</v>
      </c>
      <c r="S154" s="415">
        <v>0.06</v>
      </c>
      <c r="T154" s="416">
        <v>0</v>
      </c>
      <c r="U154" s="422">
        <v>0.06</v>
      </c>
      <c r="V154" s="423">
        <f t="shared" si="194"/>
        <v>0</v>
      </c>
      <c r="W154" s="417">
        <f t="shared" si="195"/>
        <v>0</v>
      </c>
      <c r="X154" s="417">
        <v>0</v>
      </c>
      <c r="Y154" s="417">
        <v>0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196"/>
        <v>0</v>
      </c>
      <c r="AF154" s="417">
        <f t="shared" si="197"/>
        <v>0</v>
      </c>
      <c r="AG154" s="417">
        <f t="shared" si="198"/>
        <v>0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199"/>
        <v>0</v>
      </c>
      <c r="AN154" s="417">
        <f t="shared" si="200"/>
        <v>0</v>
      </c>
      <c r="AO154" s="417">
        <f t="shared" si="201"/>
        <v>0</v>
      </c>
      <c r="AP154" s="417">
        <f t="shared" si="202"/>
        <v>0</v>
      </c>
      <c r="AQ154" s="417">
        <f t="shared" si="203"/>
        <v>0</v>
      </c>
      <c r="AR154" s="417">
        <f t="shared" si="204"/>
        <v>0</v>
      </c>
      <c r="AS154" s="68">
        <f t="shared" si="205"/>
        <v>0</v>
      </c>
      <c r="AT154" s="68">
        <f t="shared" si="206"/>
        <v>0</v>
      </c>
      <c r="AU154" s="417">
        <v>0</v>
      </c>
      <c r="AV154" s="417">
        <v>0</v>
      </c>
      <c r="AW154" s="417">
        <v>0</v>
      </c>
      <c r="AX154" s="417">
        <f t="shared" si="207"/>
        <v>0</v>
      </c>
      <c r="AY154" s="417">
        <f t="shared" si="208"/>
        <v>0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</v>
      </c>
      <c r="BF154" s="418">
        <v>0</v>
      </c>
      <c r="BG154" s="418">
        <v>0</v>
      </c>
      <c r="BH154" s="418">
        <v>0</v>
      </c>
      <c r="BI154" s="418">
        <f t="shared" si="209"/>
        <v>0</v>
      </c>
      <c r="BJ154" s="418">
        <f t="shared" si="210"/>
        <v>0</v>
      </c>
      <c r="BK154" s="420">
        <f t="shared" si="211"/>
        <v>0</v>
      </c>
      <c r="BL154" s="772">
        <f t="shared" si="223"/>
        <v>23052</v>
      </c>
      <c r="BM154" s="417">
        <f t="shared" si="224"/>
        <v>16500</v>
      </c>
      <c r="BN154" s="417">
        <f t="shared" si="225"/>
        <v>0</v>
      </c>
      <c r="BO154" s="417">
        <f t="shared" si="225"/>
        <v>16500</v>
      </c>
      <c r="BP154" s="417">
        <f t="shared" si="226"/>
        <v>0</v>
      </c>
      <c r="BQ154" s="417">
        <f t="shared" si="227"/>
        <v>0</v>
      </c>
      <c r="BR154" s="417">
        <f t="shared" si="227"/>
        <v>0</v>
      </c>
      <c r="BS154" s="417">
        <f t="shared" si="228"/>
        <v>5577</v>
      </c>
      <c r="BT154" s="417">
        <f t="shared" si="228"/>
        <v>165</v>
      </c>
      <c r="BU154" s="417">
        <f t="shared" si="229"/>
        <v>810</v>
      </c>
      <c r="BV154" s="418">
        <f t="shared" si="230"/>
        <v>0.06</v>
      </c>
      <c r="BW154" s="418">
        <f t="shared" si="231"/>
        <v>0</v>
      </c>
      <c r="BX154" s="420">
        <f t="shared" si="231"/>
        <v>0.06</v>
      </c>
      <c r="BY154" s="419"/>
      <c r="BZ154" s="414"/>
      <c r="CA154" s="414"/>
      <c r="CB154" s="414"/>
      <c r="CC154" s="414"/>
      <c r="CD154" s="509"/>
      <c r="CE154" s="419"/>
      <c r="CF154" s="601"/>
      <c r="CG154" s="414"/>
      <c r="CH154" s="414"/>
      <c r="CI154" s="602"/>
      <c r="CJ154" s="603"/>
    </row>
    <row r="155" spans="1:88" s="221" customFormat="1" ht="12.75" customHeight="1">
      <c r="A155" s="153">
        <v>31</v>
      </c>
      <c r="B155" s="14">
        <v>3422</v>
      </c>
      <c r="C155" s="152">
        <v>600078591</v>
      </c>
      <c r="D155" s="152">
        <v>72742682</v>
      </c>
      <c r="E155" s="222" t="s">
        <v>70</v>
      </c>
      <c r="F155" s="14"/>
      <c r="G155" s="222"/>
      <c r="H155" s="558"/>
      <c r="I155" s="504">
        <v>14407044</v>
      </c>
      <c r="J155" s="503">
        <v>10579364</v>
      </c>
      <c r="K155" s="503">
        <v>8534655</v>
      </c>
      <c r="L155" s="503">
        <v>2044709</v>
      </c>
      <c r="M155" s="503">
        <v>0</v>
      </c>
      <c r="N155" s="503">
        <v>0</v>
      </c>
      <c r="O155" s="503">
        <v>0</v>
      </c>
      <c r="P155" s="503">
        <v>3575825</v>
      </c>
      <c r="Q155" s="503">
        <v>105792</v>
      </c>
      <c r="R155" s="503">
        <v>146063</v>
      </c>
      <c r="S155" s="543">
        <v>21.384499999999996</v>
      </c>
      <c r="T155" s="543">
        <v>15.3629</v>
      </c>
      <c r="U155" s="1084">
        <v>6.0216000000000003</v>
      </c>
      <c r="V155" s="504">
        <f t="shared" ref="V155:CG155" si="232">SUM(V149:V154)</f>
        <v>0</v>
      </c>
      <c r="W155" s="503">
        <f t="shared" si="232"/>
        <v>0</v>
      </c>
      <c r="X155" s="503">
        <f t="shared" si="232"/>
        <v>0</v>
      </c>
      <c r="Y155" s="503">
        <f t="shared" si="232"/>
        <v>52960</v>
      </c>
      <c r="Z155" s="503">
        <f t="shared" si="232"/>
        <v>-192846</v>
      </c>
      <c r="AA155" s="503">
        <f t="shared" si="232"/>
        <v>-44023</v>
      </c>
      <c r="AB155" s="503">
        <f t="shared" si="232"/>
        <v>0</v>
      </c>
      <c r="AC155" s="503">
        <f t="shared" si="232"/>
        <v>0</v>
      </c>
      <c r="AD155" s="503">
        <f t="shared" si="232"/>
        <v>0</v>
      </c>
      <c r="AE155" s="503">
        <f t="shared" si="232"/>
        <v>-139886</v>
      </c>
      <c r="AF155" s="503">
        <f t="shared" si="232"/>
        <v>-44023</v>
      </c>
      <c r="AG155" s="503">
        <f t="shared" si="232"/>
        <v>-183909</v>
      </c>
      <c r="AH155" s="503">
        <f t="shared" si="232"/>
        <v>0</v>
      </c>
      <c r="AI155" s="503">
        <f t="shared" si="232"/>
        <v>0</v>
      </c>
      <c r="AJ155" s="503">
        <f t="shared" si="232"/>
        <v>0</v>
      </c>
      <c r="AK155" s="503">
        <f t="shared" si="232"/>
        <v>0</v>
      </c>
      <c r="AL155" s="503">
        <f t="shared" si="232"/>
        <v>0</v>
      </c>
      <c r="AM155" s="503">
        <f t="shared" si="232"/>
        <v>0</v>
      </c>
      <c r="AN155" s="503">
        <f t="shared" si="232"/>
        <v>0</v>
      </c>
      <c r="AO155" s="503">
        <f t="shared" si="232"/>
        <v>0</v>
      </c>
      <c r="AP155" s="503">
        <f t="shared" si="232"/>
        <v>-139886</v>
      </c>
      <c r="AQ155" s="503">
        <f t="shared" si="232"/>
        <v>-44023</v>
      </c>
      <c r="AR155" s="503">
        <f t="shared" si="232"/>
        <v>-183909</v>
      </c>
      <c r="AS155" s="503">
        <f t="shared" si="232"/>
        <v>-62161</v>
      </c>
      <c r="AT155" s="503">
        <f t="shared" si="232"/>
        <v>-1839</v>
      </c>
      <c r="AU155" s="503">
        <f t="shared" si="232"/>
        <v>0</v>
      </c>
      <c r="AV155" s="503">
        <f t="shared" si="232"/>
        <v>0</v>
      </c>
      <c r="AW155" s="503">
        <f t="shared" si="232"/>
        <v>0</v>
      </c>
      <c r="AX155" s="503">
        <f t="shared" si="232"/>
        <v>0</v>
      </c>
      <c r="AY155" s="503">
        <f t="shared" si="232"/>
        <v>-247909</v>
      </c>
      <c r="AZ155" s="543">
        <f t="shared" si="232"/>
        <v>0</v>
      </c>
      <c r="BA155" s="543">
        <f t="shared" si="232"/>
        <v>0</v>
      </c>
      <c r="BB155" s="543">
        <f t="shared" si="232"/>
        <v>0</v>
      </c>
      <c r="BC155" s="543">
        <f t="shared" si="232"/>
        <v>-0.4</v>
      </c>
      <c r="BD155" s="543">
        <f t="shared" si="232"/>
        <v>-0.13</v>
      </c>
      <c r="BE155" s="543">
        <f t="shared" si="232"/>
        <v>0.08</v>
      </c>
      <c r="BF155" s="543">
        <f t="shared" si="232"/>
        <v>0</v>
      </c>
      <c r="BG155" s="543">
        <f t="shared" si="232"/>
        <v>0</v>
      </c>
      <c r="BH155" s="543">
        <f t="shared" si="232"/>
        <v>0</v>
      </c>
      <c r="BI155" s="543">
        <f t="shared" si="232"/>
        <v>-0.32</v>
      </c>
      <c r="BJ155" s="543">
        <f t="shared" si="232"/>
        <v>-0.13</v>
      </c>
      <c r="BK155" s="441">
        <f t="shared" si="232"/>
        <v>-0.45</v>
      </c>
      <c r="BL155" s="788">
        <f t="shared" si="232"/>
        <v>14159135</v>
      </c>
      <c r="BM155" s="503">
        <f t="shared" si="232"/>
        <v>10395455</v>
      </c>
      <c r="BN155" s="503">
        <f t="shared" si="232"/>
        <v>8394769</v>
      </c>
      <c r="BO155" s="503">
        <f t="shared" si="232"/>
        <v>2000686</v>
      </c>
      <c r="BP155" s="503">
        <f t="shared" si="232"/>
        <v>0</v>
      </c>
      <c r="BQ155" s="503">
        <f t="shared" si="232"/>
        <v>0</v>
      </c>
      <c r="BR155" s="503">
        <f t="shared" si="232"/>
        <v>0</v>
      </c>
      <c r="BS155" s="503">
        <f t="shared" si="232"/>
        <v>3513664</v>
      </c>
      <c r="BT155" s="503">
        <f t="shared" si="232"/>
        <v>103953</v>
      </c>
      <c r="BU155" s="503">
        <f t="shared" si="232"/>
        <v>146063</v>
      </c>
      <c r="BV155" s="543">
        <f t="shared" si="232"/>
        <v>20.934499999999996</v>
      </c>
      <c r="BW155" s="543">
        <f t="shared" si="232"/>
        <v>15.042899999999999</v>
      </c>
      <c r="BX155" s="441">
        <f t="shared" si="232"/>
        <v>5.8915999999999995</v>
      </c>
      <c r="BY155" s="799">
        <f t="shared" si="232"/>
        <v>0</v>
      </c>
      <c r="BZ155" s="705">
        <f t="shared" si="232"/>
        <v>0</v>
      </c>
      <c r="CA155" s="705">
        <f t="shared" si="232"/>
        <v>0</v>
      </c>
      <c r="CB155" s="705">
        <f t="shared" si="232"/>
        <v>0</v>
      </c>
      <c r="CC155" s="705">
        <f t="shared" si="232"/>
        <v>0</v>
      </c>
      <c r="CD155" s="800">
        <f t="shared" si="232"/>
        <v>0</v>
      </c>
      <c r="CE155" s="896">
        <f t="shared" si="232"/>
        <v>529829</v>
      </c>
      <c r="CF155" s="897">
        <f t="shared" si="232"/>
        <v>368043</v>
      </c>
      <c r="CG155" s="897">
        <f t="shared" si="232"/>
        <v>124399</v>
      </c>
      <c r="CH155" s="897">
        <f t="shared" ref="CH155:CJ155" si="233">SUM(CH149:CH154)</f>
        <v>3680</v>
      </c>
      <c r="CI155" s="897">
        <f t="shared" si="233"/>
        <v>33707</v>
      </c>
      <c r="CJ155" s="898">
        <f t="shared" si="233"/>
        <v>1.0661</v>
      </c>
    </row>
    <row r="156" spans="1:88" s="221" customFormat="1" ht="12.75" customHeight="1">
      <c r="A156" s="223">
        <v>32</v>
      </c>
      <c r="B156" s="224">
        <v>3426</v>
      </c>
      <c r="C156" s="224">
        <v>600078019</v>
      </c>
      <c r="D156" s="224">
        <v>72742470</v>
      </c>
      <c r="E156" s="225" t="s">
        <v>71</v>
      </c>
      <c r="F156" s="224">
        <v>3111</v>
      </c>
      <c r="G156" s="225" t="s">
        <v>290</v>
      </c>
      <c r="H156" s="226" t="s">
        <v>271</v>
      </c>
      <c r="I156" s="419">
        <v>5267536</v>
      </c>
      <c r="J156" s="414">
        <v>3860383</v>
      </c>
      <c r="K156" s="414">
        <v>3400527</v>
      </c>
      <c r="L156" s="414">
        <v>459856</v>
      </c>
      <c r="M156" s="414">
        <v>30000</v>
      </c>
      <c r="N156" s="414">
        <v>0</v>
      </c>
      <c r="O156" s="414">
        <v>30000</v>
      </c>
      <c r="P156" s="68">
        <v>1314949</v>
      </c>
      <c r="Q156" s="68">
        <v>38604</v>
      </c>
      <c r="R156" s="414">
        <v>23600</v>
      </c>
      <c r="S156" s="415">
        <v>7.5292000000000003</v>
      </c>
      <c r="T156" s="416">
        <v>6</v>
      </c>
      <c r="U156" s="422">
        <v>1.5291999999999999</v>
      </c>
      <c r="V156" s="423">
        <f t="shared" si="194"/>
        <v>0</v>
      </c>
      <c r="W156" s="417">
        <f t="shared" si="195"/>
        <v>-15000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 t="shared" si="196"/>
        <v>0</v>
      </c>
      <c r="AF156" s="417">
        <f t="shared" si="197"/>
        <v>-15000</v>
      </c>
      <c r="AG156" s="417">
        <f t="shared" si="198"/>
        <v>-15000</v>
      </c>
      <c r="AH156" s="417">
        <v>0</v>
      </c>
      <c r="AI156" s="417">
        <v>15000</v>
      </c>
      <c r="AJ156" s="417">
        <v>0</v>
      </c>
      <c r="AK156" s="417">
        <v>0</v>
      </c>
      <c r="AL156" s="417">
        <v>0</v>
      </c>
      <c r="AM156" s="417">
        <f t="shared" si="199"/>
        <v>0</v>
      </c>
      <c r="AN156" s="417">
        <f t="shared" si="200"/>
        <v>15000</v>
      </c>
      <c r="AO156" s="417">
        <f t="shared" si="201"/>
        <v>15000</v>
      </c>
      <c r="AP156" s="417">
        <f t="shared" si="202"/>
        <v>0</v>
      </c>
      <c r="AQ156" s="417">
        <f t="shared" si="203"/>
        <v>0</v>
      </c>
      <c r="AR156" s="417">
        <f t="shared" si="204"/>
        <v>0</v>
      </c>
      <c r="AS156" s="68">
        <f t="shared" si="205"/>
        <v>0</v>
      </c>
      <c r="AT156" s="68">
        <f t="shared" si="206"/>
        <v>-150</v>
      </c>
      <c r="AU156" s="417">
        <v>0</v>
      </c>
      <c r="AV156" s="417">
        <v>0</v>
      </c>
      <c r="AW156" s="417">
        <v>0</v>
      </c>
      <c r="AX156" s="417">
        <f t="shared" si="207"/>
        <v>0</v>
      </c>
      <c r="AY156" s="417">
        <f t="shared" si="208"/>
        <v>-150</v>
      </c>
      <c r="AZ156" s="418">
        <v>0</v>
      </c>
      <c r="BA156" s="418">
        <v>-0.06</v>
      </c>
      <c r="BB156" s="418">
        <v>0</v>
      </c>
      <c r="BC156" s="418">
        <v>0</v>
      </c>
      <c r="BD156" s="418">
        <v>0</v>
      </c>
      <c r="BE156" s="418">
        <v>0</v>
      </c>
      <c r="BF156" s="418">
        <v>0</v>
      </c>
      <c r="BG156" s="418">
        <v>0</v>
      </c>
      <c r="BH156" s="418">
        <v>0</v>
      </c>
      <c r="BI156" s="418">
        <f t="shared" si="209"/>
        <v>0</v>
      </c>
      <c r="BJ156" s="418">
        <f t="shared" si="210"/>
        <v>-0.06</v>
      </c>
      <c r="BK156" s="420">
        <f t="shared" si="211"/>
        <v>-0.06</v>
      </c>
      <c r="BL156" s="772">
        <f>I156+AY156</f>
        <v>5267386</v>
      </c>
      <c r="BM156" s="417">
        <f>J156+AG156</f>
        <v>3845383</v>
      </c>
      <c r="BN156" s="417">
        <f t="shared" ref="BN156:BO158" si="234">K156+AE156</f>
        <v>3400527</v>
      </c>
      <c r="BO156" s="417">
        <f t="shared" si="234"/>
        <v>444856</v>
      </c>
      <c r="BP156" s="417">
        <f>M156+AO156</f>
        <v>45000</v>
      </c>
      <c r="BQ156" s="417">
        <f t="shared" ref="BQ156:BR158" si="235">N156+AM156</f>
        <v>0</v>
      </c>
      <c r="BR156" s="417">
        <f t="shared" si="235"/>
        <v>45000</v>
      </c>
      <c r="BS156" s="417">
        <f t="shared" ref="BS156:BT158" si="236">P156+AS156</f>
        <v>1314949</v>
      </c>
      <c r="BT156" s="417">
        <f t="shared" si="236"/>
        <v>38454</v>
      </c>
      <c r="BU156" s="417">
        <f>R156+AX156</f>
        <v>23600</v>
      </c>
      <c r="BV156" s="418">
        <f>S156+BK156</f>
        <v>7.4692000000000007</v>
      </c>
      <c r="BW156" s="418">
        <f t="shared" ref="BW156:BX158" si="237">T156+BI156</f>
        <v>6</v>
      </c>
      <c r="BX156" s="420">
        <f t="shared" si="237"/>
        <v>1.4691999999999998</v>
      </c>
      <c r="BY156" s="419"/>
      <c r="BZ156" s="414"/>
      <c r="CA156" s="414"/>
      <c r="CB156" s="414"/>
      <c r="CC156" s="414"/>
      <c r="CD156" s="509"/>
      <c r="CE156" s="419">
        <v>219735</v>
      </c>
      <c r="CF156" s="414">
        <v>157187</v>
      </c>
      <c r="CG156" s="414">
        <v>53129</v>
      </c>
      <c r="CH156" s="414">
        <v>1572</v>
      </c>
      <c r="CI156" s="414">
        <v>7847</v>
      </c>
      <c r="CJ156" s="509">
        <v>0.5292</v>
      </c>
    </row>
    <row r="157" spans="1:88" s="221" customFormat="1">
      <c r="A157" s="223">
        <v>32</v>
      </c>
      <c r="B157" s="224">
        <v>3426</v>
      </c>
      <c r="C157" s="224">
        <v>600078019</v>
      </c>
      <c r="D157" s="224">
        <v>72742470</v>
      </c>
      <c r="E157" s="225" t="s">
        <v>71</v>
      </c>
      <c r="F157" s="224">
        <v>3111</v>
      </c>
      <c r="G157" s="225" t="s">
        <v>291</v>
      </c>
      <c r="H157" s="226" t="s">
        <v>272</v>
      </c>
      <c r="I157" s="419">
        <v>864307</v>
      </c>
      <c r="J157" s="414">
        <v>641177</v>
      </c>
      <c r="K157" s="414">
        <v>641177</v>
      </c>
      <c r="L157" s="414">
        <v>0</v>
      </c>
      <c r="M157" s="414">
        <v>0</v>
      </c>
      <c r="N157" s="414">
        <v>0</v>
      </c>
      <c r="O157" s="414">
        <v>0</v>
      </c>
      <c r="P157" s="68">
        <v>216718</v>
      </c>
      <c r="Q157" s="68">
        <v>6412</v>
      </c>
      <c r="R157" s="414">
        <v>0</v>
      </c>
      <c r="S157" s="415">
        <v>1.73</v>
      </c>
      <c r="T157" s="416">
        <v>1.73</v>
      </c>
      <c r="U157" s="422">
        <v>0</v>
      </c>
      <c r="V157" s="423">
        <f t="shared" si="194"/>
        <v>0</v>
      </c>
      <c r="W157" s="417">
        <f t="shared" si="195"/>
        <v>0</v>
      </c>
      <c r="X157" s="417">
        <v>0</v>
      </c>
      <c r="Y157" s="417">
        <v>0</v>
      </c>
      <c r="Z157" s="417">
        <v>0</v>
      </c>
      <c r="AA157" s="417">
        <v>0</v>
      </c>
      <c r="AB157" s="417">
        <v>0</v>
      </c>
      <c r="AC157" s="417">
        <v>0</v>
      </c>
      <c r="AD157" s="417">
        <v>0</v>
      </c>
      <c r="AE157" s="417">
        <f t="shared" si="196"/>
        <v>0</v>
      </c>
      <c r="AF157" s="417">
        <f t="shared" si="197"/>
        <v>0</v>
      </c>
      <c r="AG157" s="417">
        <f t="shared" si="198"/>
        <v>0</v>
      </c>
      <c r="AH157" s="417">
        <v>0</v>
      </c>
      <c r="AI157" s="417">
        <v>0</v>
      </c>
      <c r="AJ157" s="417">
        <v>0</v>
      </c>
      <c r="AK157" s="417">
        <v>0</v>
      </c>
      <c r="AL157" s="417">
        <v>0</v>
      </c>
      <c r="AM157" s="417">
        <f t="shared" si="199"/>
        <v>0</v>
      </c>
      <c r="AN157" s="417">
        <f t="shared" si="200"/>
        <v>0</v>
      </c>
      <c r="AO157" s="417">
        <f t="shared" si="201"/>
        <v>0</v>
      </c>
      <c r="AP157" s="417">
        <f t="shared" si="202"/>
        <v>0</v>
      </c>
      <c r="AQ157" s="417">
        <f t="shared" si="203"/>
        <v>0</v>
      </c>
      <c r="AR157" s="417">
        <f t="shared" si="204"/>
        <v>0</v>
      </c>
      <c r="AS157" s="68">
        <f t="shared" si="205"/>
        <v>0</v>
      </c>
      <c r="AT157" s="68">
        <f t="shared" si="206"/>
        <v>0</v>
      </c>
      <c r="AU157" s="417">
        <v>0</v>
      </c>
      <c r="AV157" s="417">
        <v>0</v>
      </c>
      <c r="AW157" s="417">
        <v>0</v>
      </c>
      <c r="AX157" s="417">
        <f t="shared" si="207"/>
        <v>0</v>
      </c>
      <c r="AY157" s="417">
        <f t="shared" si="208"/>
        <v>0</v>
      </c>
      <c r="AZ157" s="418">
        <v>0</v>
      </c>
      <c r="BA157" s="418">
        <v>0</v>
      </c>
      <c r="BB157" s="418">
        <v>0</v>
      </c>
      <c r="BC157" s="418">
        <v>0</v>
      </c>
      <c r="BD157" s="418">
        <v>0</v>
      </c>
      <c r="BE157" s="418">
        <v>0</v>
      </c>
      <c r="BF157" s="418">
        <v>0</v>
      </c>
      <c r="BG157" s="418">
        <v>0</v>
      </c>
      <c r="BH157" s="418">
        <v>0</v>
      </c>
      <c r="BI157" s="418">
        <f t="shared" si="209"/>
        <v>0</v>
      </c>
      <c r="BJ157" s="418">
        <f t="shared" si="210"/>
        <v>0</v>
      </c>
      <c r="BK157" s="420">
        <f t="shared" si="211"/>
        <v>0</v>
      </c>
      <c r="BL157" s="772">
        <f>I157+AY157</f>
        <v>864307</v>
      </c>
      <c r="BM157" s="417">
        <f>J157+AG157</f>
        <v>641177</v>
      </c>
      <c r="BN157" s="417">
        <f t="shared" si="234"/>
        <v>641177</v>
      </c>
      <c r="BO157" s="417">
        <f t="shared" si="234"/>
        <v>0</v>
      </c>
      <c r="BP157" s="417">
        <f>M157+AO157</f>
        <v>0</v>
      </c>
      <c r="BQ157" s="417">
        <f t="shared" si="235"/>
        <v>0</v>
      </c>
      <c r="BR157" s="417">
        <f t="shared" si="235"/>
        <v>0</v>
      </c>
      <c r="BS157" s="417">
        <f t="shared" si="236"/>
        <v>216718</v>
      </c>
      <c r="BT157" s="417">
        <f t="shared" si="236"/>
        <v>6412</v>
      </c>
      <c r="BU157" s="417">
        <f>R157+AX157</f>
        <v>0</v>
      </c>
      <c r="BV157" s="418">
        <f>S157+BK157</f>
        <v>1.73</v>
      </c>
      <c r="BW157" s="418">
        <f t="shared" si="237"/>
        <v>1.73</v>
      </c>
      <c r="BX157" s="420">
        <f t="shared" si="237"/>
        <v>0</v>
      </c>
      <c r="BY157" s="419"/>
      <c r="BZ157" s="414"/>
      <c r="CA157" s="414"/>
      <c r="CB157" s="414"/>
      <c r="CC157" s="414"/>
      <c r="CD157" s="509"/>
      <c r="CE157" s="419"/>
      <c r="CF157" s="414"/>
      <c r="CG157" s="414"/>
      <c r="CH157" s="414"/>
      <c r="CI157" s="414"/>
      <c r="CJ157" s="509"/>
    </row>
    <row r="158" spans="1:88" s="221" customFormat="1" ht="12.75" customHeight="1">
      <c r="A158" s="223">
        <v>32</v>
      </c>
      <c r="B158" s="224">
        <v>3426</v>
      </c>
      <c r="C158" s="224">
        <v>600078019</v>
      </c>
      <c r="D158" s="224">
        <v>72742470</v>
      </c>
      <c r="E158" s="225" t="s">
        <v>71</v>
      </c>
      <c r="F158" s="224">
        <v>3141</v>
      </c>
      <c r="G158" s="225" t="s">
        <v>294</v>
      </c>
      <c r="H158" s="226" t="s">
        <v>272</v>
      </c>
      <c r="I158" s="419">
        <v>2071238</v>
      </c>
      <c r="J158" s="414">
        <v>1528079</v>
      </c>
      <c r="K158" s="414">
        <v>0</v>
      </c>
      <c r="L158" s="414">
        <v>1528079</v>
      </c>
      <c r="M158" s="414">
        <v>0</v>
      </c>
      <c r="N158" s="414">
        <v>0</v>
      </c>
      <c r="O158" s="414">
        <v>0</v>
      </c>
      <c r="P158" s="68">
        <v>516490</v>
      </c>
      <c r="Q158" s="68">
        <v>15281</v>
      </c>
      <c r="R158" s="414">
        <v>11388</v>
      </c>
      <c r="S158" s="415">
        <v>4.58</v>
      </c>
      <c r="T158" s="416">
        <v>0</v>
      </c>
      <c r="U158" s="422">
        <v>4.58</v>
      </c>
      <c r="V158" s="423">
        <f t="shared" si="194"/>
        <v>0</v>
      </c>
      <c r="W158" s="417">
        <f t="shared" si="195"/>
        <v>0</v>
      </c>
      <c r="X158" s="417">
        <v>0</v>
      </c>
      <c r="Y158" s="417">
        <v>0</v>
      </c>
      <c r="Z158" s="417">
        <v>0</v>
      </c>
      <c r="AA158" s="417">
        <v>-16561</v>
      </c>
      <c r="AB158" s="417">
        <v>0</v>
      </c>
      <c r="AC158" s="417">
        <v>0</v>
      </c>
      <c r="AD158" s="417">
        <v>0</v>
      </c>
      <c r="AE158" s="417">
        <f t="shared" si="196"/>
        <v>0</v>
      </c>
      <c r="AF158" s="417">
        <f t="shared" si="197"/>
        <v>-16561</v>
      </c>
      <c r="AG158" s="417">
        <f t="shared" si="198"/>
        <v>-16561</v>
      </c>
      <c r="AH158" s="417">
        <v>0</v>
      </c>
      <c r="AI158" s="417">
        <v>0</v>
      </c>
      <c r="AJ158" s="417">
        <v>0</v>
      </c>
      <c r="AK158" s="417">
        <v>0</v>
      </c>
      <c r="AL158" s="417">
        <v>0</v>
      </c>
      <c r="AM158" s="417">
        <f t="shared" si="199"/>
        <v>0</v>
      </c>
      <c r="AN158" s="417">
        <f t="shared" si="200"/>
        <v>0</v>
      </c>
      <c r="AO158" s="417">
        <f t="shared" si="201"/>
        <v>0</v>
      </c>
      <c r="AP158" s="417">
        <f t="shared" si="202"/>
        <v>0</v>
      </c>
      <c r="AQ158" s="417">
        <f t="shared" si="203"/>
        <v>-16561</v>
      </c>
      <c r="AR158" s="417">
        <f t="shared" si="204"/>
        <v>-16561</v>
      </c>
      <c r="AS158" s="68">
        <f t="shared" si="205"/>
        <v>-5598</v>
      </c>
      <c r="AT158" s="68">
        <f t="shared" si="206"/>
        <v>-166</v>
      </c>
      <c r="AU158" s="417">
        <v>0</v>
      </c>
      <c r="AV158" s="417">
        <v>0</v>
      </c>
      <c r="AW158" s="417">
        <v>0</v>
      </c>
      <c r="AX158" s="417">
        <f t="shared" si="207"/>
        <v>0</v>
      </c>
      <c r="AY158" s="417">
        <f t="shared" si="208"/>
        <v>-22325</v>
      </c>
      <c r="AZ158" s="418">
        <v>0</v>
      </c>
      <c r="BA158" s="418">
        <v>0</v>
      </c>
      <c r="BB158" s="418">
        <v>0</v>
      </c>
      <c r="BC158" s="418">
        <v>0</v>
      </c>
      <c r="BD158" s="418">
        <v>-0.05</v>
      </c>
      <c r="BE158" s="418">
        <v>0</v>
      </c>
      <c r="BF158" s="418">
        <v>0</v>
      </c>
      <c r="BG158" s="418">
        <v>0</v>
      </c>
      <c r="BH158" s="418">
        <v>0</v>
      </c>
      <c r="BI158" s="418">
        <f t="shared" si="209"/>
        <v>0</v>
      </c>
      <c r="BJ158" s="418">
        <f t="shared" si="210"/>
        <v>-0.05</v>
      </c>
      <c r="BK158" s="420">
        <f t="shared" si="211"/>
        <v>-0.05</v>
      </c>
      <c r="BL158" s="772">
        <f>I158+AY158</f>
        <v>2048913</v>
      </c>
      <c r="BM158" s="417">
        <f>J158+AG158</f>
        <v>1511518</v>
      </c>
      <c r="BN158" s="417">
        <f t="shared" si="234"/>
        <v>0</v>
      </c>
      <c r="BO158" s="417">
        <f t="shared" si="234"/>
        <v>1511518</v>
      </c>
      <c r="BP158" s="417">
        <f>M158+AO158</f>
        <v>0</v>
      </c>
      <c r="BQ158" s="417">
        <f t="shared" si="235"/>
        <v>0</v>
      </c>
      <c r="BR158" s="417">
        <f t="shared" si="235"/>
        <v>0</v>
      </c>
      <c r="BS158" s="417">
        <f t="shared" si="236"/>
        <v>510892</v>
      </c>
      <c r="BT158" s="417">
        <f t="shared" si="236"/>
        <v>15115</v>
      </c>
      <c r="BU158" s="417">
        <f>R158+AX158</f>
        <v>11388</v>
      </c>
      <c r="BV158" s="418">
        <f>S158+BK158</f>
        <v>4.53</v>
      </c>
      <c r="BW158" s="418">
        <f t="shared" si="237"/>
        <v>0</v>
      </c>
      <c r="BX158" s="420">
        <f t="shared" si="237"/>
        <v>4.53</v>
      </c>
      <c r="BY158" s="419"/>
      <c r="BZ158" s="414"/>
      <c r="CA158" s="414"/>
      <c r="CB158" s="414"/>
      <c r="CC158" s="414"/>
      <c r="CD158" s="509"/>
      <c r="CE158" s="419"/>
      <c r="CF158" s="601"/>
      <c r="CG158" s="414"/>
      <c r="CH158" s="414"/>
      <c r="CI158" s="601"/>
      <c r="CJ158" s="603"/>
    </row>
    <row r="159" spans="1:88" s="221" customFormat="1" ht="12.75" customHeight="1">
      <c r="A159" s="153">
        <v>32</v>
      </c>
      <c r="B159" s="14">
        <v>3426</v>
      </c>
      <c r="C159" s="152">
        <v>600078019</v>
      </c>
      <c r="D159" s="152">
        <v>72742470</v>
      </c>
      <c r="E159" s="222" t="s">
        <v>72</v>
      </c>
      <c r="F159" s="14"/>
      <c r="G159" s="222"/>
      <c r="H159" s="558"/>
      <c r="I159" s="504">
        <v>8203081</v>
      </c>
      <c r="J159" s="503">
        <v>6029639</v>
      </c>
      <c r="K159" s="503">
        <v>4041704</v>
      </c>
      <c r="L159" s="503">
        <v>1987935</v>
      </c>
      <c r="M159" s="503">
        <v>30000</v>
      </c>
      <c r="N159" s="503">
        <v>0</v>
      </c>
      <c r="O159" s="503">
        <v>30000</v>
      </c>
      <c r="P159" s="503">
        <v>2048157</v>
      </c>
      <c r="Q159" s="503">
        <v>60297</v>
      </c>
      <c r="R159" s="503">
        <v>34988</v>
      </c>
      <c r="S159" s="543">
        <v>13.8392</v>
      </c>
      <c r="T159" s="543">
        <v>7.73</v>
      </c>
      <c r="U159" s="1084">
        <v>6.1091999999999995</v>
      </c>
      <c r="V159" s="504">
        <f t="shared" ref="V159:CG159" si="238">SUM(V156:V158)</f>
        <v>0</v>
      </c>
      <c r="W159" s="503">
        <f t="shared" si="238"/>
        <v>-15000</v>
      </c>
      <c r="X159" s="503">
        <f t="shared" si="238"/>
        <v>0</v>
      </c>
      <c r="Y159" s="503">
        <f t="shared" si="238"/>
        <v>0</v>
      </c>
      <c r="Z159" s="503">
        <f t="shared" si="238"/>
        <v>0</v>
      </c>
      <c r="AA159" s="503">
        <f t="shared" si="238"/>
        <v>-16561</v>
      </c>
      <c r="AB159" s="503">
        <f t="shared" si="238"/>
        <v>0</v>
      </c>
      <c r="AC159" s="503">
        <f t="shared" si="238"/>
        <v>0</v>
      </c>
      <c r="AD159" s="503">
        <f t="shared" si="238"/>
        <v>0</v>
      </c>
      <c r="AE159" s="503">
        <f t="shared" si="238"/>
        <v>0</v>
      </c>
      <c r="AF159" s="503">
        <f t="shared" si="238"/>
        <v>-31561</v>
      </c>
      <c r="AG159" s="503">
        <f t="shared" si="238"/>
        <v>-31561</v>
      </c>
      <c r="AH159" s="503">
        <f t="shared" si="238"/>
        <v>0</v>
      </c>
      <c r="AI159" s="503">
        <f t="shared" si="238"/>
        <v>15000</v>
      </c>
      <c r="AJ159" s="503">
        <f t="shared" si="238"/>
        <v>0</v>
      </c>
      <c r="AK159" s="503">
        <f t="shared" si="238"/>
        <v>0</v>
      </c>
      <c r="AL159" s="503">
        <f t="shared" si="238"/>
        <v>0</v>
      </c>
      <c r="AM159" s="503">
        <f t="shared" si="238"/>
        <v>0</v>
      </c>
      <c r="AN159" s="503">
        <f t="shared" si="238"/>
        <v>15000</v>
      </c>
      <c r="AO159" s="503">
        <f t="shared" si="238"/>
        <v>15000</v>
      </c>
      <c r="AP159" s="503">
        <f t="shared" si="238"/>
        <v>0</v>
      </c>
      <c r="AQ159" s="503">
        <f t="shared" si="238"/>
        <v>-16561</v>
      </c>
      <c r="AR159" s="503">
        <f t="shared" si="238"/>
        <v>-16561</v>
      </c>
      <c r="AS159" s="503">
        <f t="shared" si="238"/>
        <v>-5598</v>
      </c>
      <c r="AT159" s="503">
        <f t="shared" si="238"/>
        <v>-316</v>
      </c>
      <c r="AU159" s="503">
        <f t="shared" si="238"/>
        <v>0</v>
      </c>
      <c r="AV159" s="503">
        <f t="shared" si="238"/>
        <v>0</v>
      </c>
      <c r="AW159" s="503">
        <f t="shared" si="238"/>
        <v>0</v>
      </c>
      <c r="AX159" s="503">
        <f t="shared" si="238"/>
        <v>0</v>
      </c>
      <c r="AY159" s="503">
        <f t="shared" si="238"/>
        <v>-22475</v>
      </c>
      <c r="AZ159" s="543">
        <f t="shared" si="238"/>
        <v>0</v>
      </c>
      <c r="BA159" s="543">
        <f t="shared" si="238"/>
        <v>-0.06</v>
      </c>
      <c r="BB159" s="543">
        <f t="shared" si="238"/>
        <v>0</v>
      </c>
      <c r="BC159" s="543">
        <f t="shared" si="238"/>
        <v>0</v>
      </c>
      <c r="BD159" s="543">
        <f t="shared" si="238"/>
        <v>-0.05</v>
      </c>
      <c r="BE159" s="543">
        <f t="shared" si="238"/>
        <v>0</v>
      </c>
      <c r="BF159" s="543">
        <f t="shared" si="238"/>
        <v>0</v>
      </c>
      <c r="BG159" s="543">
        <f t="shared" si="238"/>
        <v>0</v>
      </c>
      <c r="BH159" s="543">
        <f t="shared" si="238"/>
        <v>0</v>
      </c>
      <c r="BI159" s="543">
        <f t="shared" si="238"/>
        <v>0</v>
      </c>
      <c r="BJ159" s="543">
        <f t="shared" si="238"/>
        <v>-0.11</v>
      </c>
      <c r="BK159" s="441">
        <f t="shared" si="238"/>
        <v>-0.11</v>
      </c>
      <c r="BL159" s="788">
        <f t="shared" si="238"/>
        <v>8180606</v>
      </c>
      <c r="BM159" s="503">
        <f t="shared" si="238"/>
        <v>5998078</v>
      </c>
      <c r="BN159" s="503">
        <f t="shared" si="238"/>
        <v>4041704</v>
      </c>
      <c r="BO159" s="503">
        <f t="shared" si="238"/>
        <v>1956374</v>
      </c>
      <c r="BP159" s="503">
        <f t="shared" si="238"/>
        <v>45000</v>
      </c>
      <c r="BQ159" s="503">
        <f t="shared" si="238"/>
        <v>0</v>
      </c>
      <c r="BR159" s="503">
        <f t="shared" si="238"/>
        <v>45000</v>
      </c>
      <c r="BS159" s="503">
        <f t="shared" si="238"/>
        <v>2042559</v>
      </c>
      <c r="BT159" s="503">
        <f t="shared" si="238"/>
        <v>59981</v>
      </c>
      <c r="BU159" s="503">
        <f t="shared" si="238"/>
        <v>34988</v>
      </c>
      <c r="BV159" s="543">
        <f t="shared" si="238"/>
        <v>13.729200000000002</v>
      </c>
      <c r="BW159" s="543">
        <f t="shared" si="238"/>
        <v>7.73</v>
      </c>
      <c r="BX159" s="441">
        <f t="shared" si="238"/>
        <v>5.9992000000000001</v>
      </c>
      <c r="BY159" s="799">
        <f t="shared" si="238"/>
        <v>0</v>
      </c>
      <c r="BZ159" s="705">
        <f t="shared" si="238"/>
        <v>0</v>
      </c>
      <c r="CA159" s="705">
        <f t="shared" si="238"/>
        <v>0</v>
      </c>
      <c r="CB159" s="705">
        <f t="shared" si="238"/>
        <v>0</v>
      </c>
      <c r="CC159" s="705">
        <f t="shared" si="238"/>
        <v>0</v>
      </c>
      <c r="CD159" s="800">
        <f t="shared" si="238"/>
        <v>0</v>
      </c>
      <c r="CE159" s="896">
        <f t="shared" si="238"/>
        <v>219735</v>
      </c>
      <c r="CF159" s="897">
        <f t="shared" si="238"/>
        <v>157187</v>
      </c>
      <c r="CG159" s="897">
        <f t="shared" si="238"/>
        <v>53129</v>
      </c>
      <c r="CH159" s="897">
        <f t="shared" ref="CH159:CJ159" si="239">SUM(CH156:CH158)</f>
        <v>1572</v>
      </c>
      <c r="CI159" s="897">
        <f t="shared" si="239"/>
        <v>7847</v>
      </c>
      <c r="CJ159" s="898">
        <f t="shared" si="239"/>
        <v>0.5292</v>
      </c>
    </row>
    <row r="160" spans="1:88" s="221" customFormat="1" ht="12.75" customHeight="1">
      <c r="A160" s="223">
        <v>33</v>
      </c>
      <c r="B160" s="224">
        <v>3425</v>
      </c>
      <c r="C160" s="224">
        <v>600078451</v>
      </c>
      <c r="D160" s="224">
        <v>72742551</v>
      </c>
      <c r="E160" s="225" t="s">
        <v>73</v>
      </c>
      <c r="F160" s="224">
        <v>3113</v>
      </c>
      <c r="G160" s="225" t="s">
        <v>293</v>
      </c>
      <c r="H160" s="226" t="s">
        <v>271</v>
      </c>
      <c r="I160" s="419">
        <v>14043791</v>
      </c>
      <c r="J160" s="414">
        <v>10224660</v>
      </c>
      <c r="K160" s="414">
        <v>8950522</v>
      </c>
      <c r="L160" s="414">
        <v>1274138</v>
      </c>
      <c r="M160" s="414">
        <v>19200</v>
      </c>
      <c r="N160" s="414">
        <v>19200</v>
      </c>
      <c r="O160" s="414">
        <v>0</v>
      </c>
      <c r="P160" s="68">
        <v>3462424</v>
      </c>
      <c r="Q160" s="68">
        <v>102247</v>
      </c>
      <c r="R160" s="414">
        <v>235260</v>
      </c>
      <c r="S160" s="415">
        <v>16.379299999999997</v>
      </c>
      <c r="T160" s="416">
        <v>12.7372</v>
      </c>
      <c r="U160" s="422">
        <v>3.6421000000000001</v>
      </c>
      <c r="V160" s="423">
        <f t="shared" si="194"/>
        <v>0</v>
      </c>
      <c r="W160" s="417">
        <f t="shared" si="195"/>
        <v>0</v>
      </c>
      <c r="X160" s="417">
        <v>0</v>
      </c>
      <c r="Y160" s="417">
        <v>10592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196"/>
        <v>10592</v>
      </c>
      <c r="AF160" s="417">
        <f t="shared" si="197"/>
        <v>0</v>
      </c>
      <c r="AG160" s="417">
        <f t="shared" si="198"/>
        <v>10592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199"/>
        <v>0</v>
      </c>
      <c r="AN160" s="417">
        <f t="shared" si="200"/>
        <v>0</v>
      </c>
      <c r="AO160" s="417">
        <f t="shared" si="201"/>
        <v>0</v>
      </c>
      <c r="AP160" s="417">
        <f t="shared" si="202"/>
        <v>10592</v>
      </c>
      <c r="AQ160" s="417">
        <f t="shared" si="203"/>
        <v>0</v>
      </c>
      <c r="AR160" s="417">
        <f t="shared" si="204"/>
        <v>10592</v>
      </c>
      <c r="AS160" s="68">
        <f t="shared" si="205"/>
        <v>3580</v>
      </c>
      <c r="AT160" s="68">
        <f t="shared" si="206"/>
        <v>106</v>
      </c>
      <c r="AU160" s="417">
        <v>0</v>
      </c>
      <c r="AV160" s="417">
        <v>0</v>
      </c>
      <c r="AW160" s="417">
        <v>0</v>
      </c>
      <c r="AX160" s="417">
        <f t="shared" si="207"/>
        <v>0</v>
      </c>
      <c r="AY160" s="417">
        <f t="shared" si="208"/>
        <v>14278</v>
      </c>
      <c r="AZ160" s="418">
        <v>0</v>
      </c>
      <c r="BA160" s="418">
        <v>0</v>
      </c>
      <c r="BB160" s="418">
        <v>0</v>
      </c>
      <c r="BC160" s="418">
        <v>0</v>
      </c>
      <c r="BD160" s="418">
        <v>0</v>
      </c>
      <c r="BE160" s="418">
        <v>0.02</v>
      </c>
      <c r="BF160" s="418">
        <v>0</v>
      </c>
      <c r="BG160" s="418">
        <v>0</v>
      </c>
      <c r="BH160" s="418">
        <v>0</v>
      </c>
      <c r="BI160" s="418">
        <f t="shared" si="209"/>
        <v>0.02</v>
      </c>
      <c r="BJ160" s="418">
        <f t="shared" si="210"/>
        <v>0</v>
      </c>
      <c r="BK160" s="420">
        <f t="shared" si="211"/>
        <v>0.02</v>
      </c>
      <c r="BL160" s="772">
        <f>I160+AY160</f>
        <v>14058069</v>
      </c>
      <c r="BM160" s="417">
        <f>J160+AG160</f>
        <v>10235252</v>
      </c>
      <c r="BN160" s="417">
        <f t="shared" ref="BN160:BO163" si="240">K160+AE160</f>
        <v>8961114</v>
      </c>
      <c r="BO160" s="417">
        <f t="shared" si="240"/>
        <v>1274138</v>
      </c>
      <c r="BP160" s="417">
        <f>M160+AO160</f>
        <v>19200</v>
      </c>
      <c r="BQ160" s="417">
        <f t="shared" ref="BQ160:BR163" si="241">N160+AM160</f>
        <v>19200</v>
      </c>
      <c r="BR160" s="417">
        <f t="shared" si="241"/>
        <v>0</v>
      </c>
      <c r="BS160" s="417">
        <f t="shared" ref="BS160:BT163" si="242">P160+AS160</f>
        <v>3466004</v>
      </c>
      <c r="BT160" s="417">
        <f t="shared" si="242"/>
        <v>102353</v>
      </c>
      <c r="BU160" s="417">
        <f>R160+AX160</f>
        <v>235260</v>
      </c>
      <c r="BV160" s="418">
        <f>S160+BK160</f>
        <v>16.399299999999997</v>
      </c>
      <c r="BW160" s="418">
        <f t="shared" ref="BW160:BX163" si="243">T160+BI160</f>
        <v>12.757199999999999</v>
      </c>
      <c r="BX160" s="420">
        <f t="shared" si="243"/>
        <v>3.6421000000000001</v>
      </c>
      <c r="BY160" s="419"/>
      <c r="BZ160" s="414"/>
      <c r="CA160" s="414"/>
      <c r="CB160" s="414"/>
      <c r="CC160" s="414"/>
      <c r="CD160" s="509"/>
      <c r="CE160" s="419">
        <v>604486</v>
      </c>
      <c r="CF160" s="414">
        <v>408960</v>
      </c>
      <c r="CG160" s="414">
        <v>138228</v>
      </c>
      <c r="CH160" s="414">
        <v>4090</v>
      </c>
      <c r="CI160" s="414">
        <v>53208</v>
      </c>
      <c r="CJ160" s="509">
        <v>1.1691</v>
      </c>
    </row>
    <row r="161" spans="1:88" s="221" customFormat="1">
      <c r="A161" s="223">
        <v>33</v>
      </c>
      <c r="B161" s="224">
        <v>3425</v>
      </c>
      <c r="C161" s="224">
        <v>600078451</v>
      </c>
      <c r="D161" s="224">
        <v>72742551</v>
      </c>
      <c r="E161" s="225" t="s">
        <v>73</v>
      </c>
      <c r="F161" s="224">
        <v>3113</v>
      </c>
      <c r="G161" s="225" t="s">
        <v>291</v>
      </c>
      <c r="H161" s="226" t="s">
        <v>272</v>
      </c>
      <c r="I161" s="419">
        <v>1738494</v>
      </c>
      <c r="J161" s="414">
        <v>1289684</v>
      </c>
      <c r="K161" s="414">
        <v>1289684</v>
      </c>
      <c r="L161" s="414">
        <v>0</v>
      </c>
      <c r="M161" s="414">
        <v>0</v>
      </c>
      <c r="N161" s="414">
        <v>0</v>
      </c>
      <c r="O161" s="414">
        <v>0</v>
      </c>
      <c r="P161" s="68">
        <v>435913</v>
      </c>
      <c r="Q161" s="68">
        <v>12897</v>
      </c>
      <c r="R161" s="414">
        <v>0</v>
      </c>
      <c r="S161" s="415">
        <v>3.43</v>
      </c>
      <c r="T161" s="416">
        <v>3.43</v>
      </c>
      <c r="U161" s="422">
        <v>0</v>
      </c>
      <c r="V161" s="423">
        <f t="shared" si="194"/>
        <v>0</v>
      </c>
      <c r="W161" s="417">
        <f t="shared" si="195"/>
        <v>0</v>
      </c>
      <c r="X161" s="417">
        <v>23175</v>
      </c>
      <c r="Y161" s="417">
        <v>0</v>
      </c>
      <c r="Z161" s="417">
        <v>0</v>
      </c>
      <c r="AA161" s="417">
        <v>0</v>
      </c>
      <c r="AB161" s="417">
        <v>0</v>
      </c>
      <c r="AC161" s="417">
        <v>0</v>
      </c>
      <c r="AD161" s="417">
        <v>0</v>
      </c>
      <c r="AE161" s="417">
        <f t="shared" si="196"/>
        <v>23175</v>
      </c>
      <c r="AF161" s="417">
        <f t="shared" si="197"/>
        <v>0</v>
      </c>
      <c r="AG161" s="417">
        <f t="shared" si="198"/>
        <v>23175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199"/>
        <v>0</v>
      </c>
      <c r="AN161" s="417">
        <f t="shared" si="200"/>
        <v>0</v>
      </c>
      <c r="AO161" s="417">
        <f t="shared" si="201"/>
        <v>0</v>
      </c>
      <c r="AP161" s="417">
        <f t="shared" si="202"/>
        <v>23175</v>
      </c>
      <c r="AQ161" s="417">
        <f t="shared" si="203"/>
        <v>0</v>
      </c>
      <c r="AR161" s="417">
        <f t="shared" si="204"/>
        <v>23175</v>
      </c>
      <c r="AS161" s="68">
        <f t="shared" si="205"/>
        <v>7833</v>
      </c>
      <c r="AT161" s="68">
        <f t="shared" si="206"/>
        <v>232</v>
      </c>
      <c r="AU161" s="417">
        <v>0</v>
      </c>
      <c r="AV161" s="417">
        <v>0</v>
      </c>
      <c r="AW161" s="417">
        <v>0</v>
      </c>
      <c r="AX161" s="417">
        <f t="shared" si="207"/>
        <v>0</v>
      </c>
      <c r="AY161" s="417">
        <f t="shared" si="208"/>
        <v>31240</v>
      </c>
      <c r="AZ161" s="418">
        <v>0</v>
      </c>
      <c r="BA161" s="418">
        <v>0</v>
      </c>
      <c r="BB161" s="418">
        <v>0.06</v>
      </c>
      <c r="BC161" s="418">
        <v>0</v>
      </c>
      <c r="BD161" s="418">
        <v>0</v>
      </c>
      <c r="BE161" s="418">
        <v>0</v>
      </c>
      <c r="BF161" s="418">
        <v>0</v>
      </c>
      <c r="BG161" s="418">
        <v>0</v>
      </c>
      <c r="BH161" s="418">
        <v>0</v>
      </c>
      <c r="BI161" s="418">
        <f t="shared" si="209"/>
        <v>0.06</v>
      </c>
      <c r="BJ161" s="418">
        <f t="shared" si="210"/>
        <v>0</v>
      </c>
      <c r="BK161" s="420">
        <f t="shared" si="211"/>
        <v>0.06</v>
      </c>
      <c r="BL161" s="772">
        <f>I161+AY161</f>
        <v>1769734</v>
      </c>
      <c r="BM161" s="417">
        <f>J161+AG161</f>
        <v>1312859</v>
      </c>
      <c r="BN161" s="417">
        <f t="shared" si="240"/>
        <v>1312859</v>
      </c>
      <c r="BO161" s="417">
        <f t="shared" si="240"/>
        <v>0</v>
      </c>
      <c r="BP161" s="417">
        <f>M161+AO161</f>
        <v>0</v>
      </c>
      <c r="BQ161" s="417">
        <f t="shared" si="241"/>
        <v>0</v>
      </c>
      <c r="BR161" s="417">
        <f t="shared" si="241"/>
        <v>0</v>
      </c>
      <c r="BS161" s="417">
        <f t="shared" si="242"/>
        <v>443746</v>
      </c>
      <c r="BT161" s="417">
        <f t="shared" si="242"/>
        <v>13129</v>
      </c>
      <c r="BU161" s="417">
        <f>R161+AX161</f>
        <v>0</v>
      </c>
      <c r="BV161" s="418">
        <f>S161+BK161</f>
        <v>3.49</v>
      </c>
      <c r="BW161" s="418">
        <f t="shared" si="243"/>
        <v>3.49</v>
      </c>
      <c r="BX161" s="420">
        <f t="shared" si="243"/>
        <v>0</v>
      </c>
      <c r="BY161" s="419"/>
      <c r="BZ161" s="414"/>
      <c r="CA161" s="414"/>
      <c r="CB161" s="414"/>
      <c r="CC161" s="414"/>
      <c r="CD161" s="509"/>
      <c r="CE161" s="419"/>
      <c r="CF161" s="414"/>
      <c r="CG161" s="414"/>
      <c r="CH161" s="414"/>
      <c r="CI161" s="414"/>
      <c r="CJ161" s="509"/>
    </row>
    <row r="162" spans="1:88" s="221" customFormat="1" ht="12.75" customHeight="1">
      <c r="A162" s="223">
        <v>33</v>
      </c>
      <c r="B162" s="224">
        <v>3425</v>
      </c>
      <c r="C162" s="224">
        <v>600078451</v>
      </c>
      <c r="D162" s="224">
        <v>72742551</v>
      </c>
      <c r="E162" s="225" t="s">
        <v>73</v>
      </c>
      <c r="F162" s="224">
        <v>3143</v>
      </c>
      <c r="G162" s="225" t="s">
        <v>595</v>
      </c>
      <c r="H162" s="226" t="s">
        <v>271</v>
      </c>
      <c r="I162" s="419">
        <v>1439193</v>
      </c>
      <c r="J162" s="414">
        <v>1067650</v>
      </c>
      <c r="K162" s="414">
        <v>1067650</v>
      </c>
      <c r="L162" s="414">
        <v>0</v>
      </c>
      <c r="M162" s="414">
        <v>0</v>
      </c>
      <c r="N162" s="414">
        <v>0</v>
      </c>
      <c r="O162" s="414">
        <v>0</v>
      </c>
      <c r="P162" s="68">
        <v>360866</v>
      </c>
      <c r="Q162" s="68">
        <v>10677</v>
      </c>
      <c r="R162" s="414">
        <v>0</v>
      </c>
      <c r="S162" s="415">
        <v>2</v>
      </c>
      <c r="T162" s="416">
        <v>2</v>
      </c>
      <c r="U162" s="422">
        <v>0</v>
      </c>
      <c r="V162" s="423">
        <f t="shared" si="194"/>
        <v>0</v>
      </c>
      <c r="W162" s="417">
        <f t="shared" si="195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196"/>
        <v>0</v>
      </c>
      <c r="AF162" s="417">
        <f t="shared" si="197"/>
        <v>0</v>
      </c>
      <c r="AG162" s="417">
        <f t="shared" si="198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199"/>
        <v>0</v>
      </c>
      <c r="AN162" s="417">
        <f t="shared" si="200"/>
        <v>0</v>
      </c>
      <c r="AO162" s="417">
        <f t="shared" si="201"/>
        <v>0</v>
      </c>
      <c r="AP162" s="417">
        <f t="shared" si="202"/>
        <v>0</v>
      </c>
      <c r="AQ162" s="417">
        <f t="shared" si="203"/>
        <v>0</v>
      </c>
      <c r="AR162" s="417">
        <f t="shared" si="204"/>
        <v>0</v>
      </c>
      <c r="AS162" s="68">
        <f t="shared" si="205"/>
        <v>0</v>
      </c>
      <c r="AT162" s="68">
        <f t="shared" si="206"/>
        <v>0</v>
      </c>
      <c r="AU162" s="417">
        <v>0</v>
      </c>
      <c r="AV162" s="417">
        <v>0</v>
      </c>
      <c r="AW162" s="417">
        <v>0</v>
      </c>
      <c r="AX162" s="417">
        <f t="shared" si="207"/>
        <v>0</v>
      </c>
      <c r="AY162" s="417">
        <f t="shared" si="208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09"/>
        <v>0</v>
      </c>
      <c r="BJ162" s="418">
        <f t="shared" si="210"/>
        <v>0</v>
      </c>
      <c r="BK162" s="420">
        <f t="shared" si="211"/>
        <v>0</v>
      </c>
      <c r="BL162" s="772">
        <f>I162+AY162</f>
        <v>1439193</v>
      </c>
      <c r="BM162" s="417">
        <f>J162+AG162</f>
        <v>1067650</v>
      </c>
      <c r="BN162" s="417">
        <f t="shared" si="240"/>
        <v>1067650</v>
      </c>
      <c r="BO162" s="417">
        <f t="shared" si="240"/>
        <v>0</v>
      </c>
      <c r="BP162" s="417">
        <f>M162+AO162</f>
        <v>0</v>
      </c>
      <c r="BQ162" s="417">
        <f t="shared" si="241"/>
        <v>0</v>
      </c>
      <c r="BR162" s="417">
        <f t="shared" si="241"/>
        <v>0</v>
      </c>
      <c r="BS162" s="417">
        <f t="shared" si="242"/>
        <v>360866</v>
      </c>
      <c r="BT162" s="417">
        <f t="shared" si="242"/>
        <v>10677</v>
      </c>
      <c r="BU162" s="417">
        <f>R162+AX162</f>
        <v>0</v>
      </c>
      <c r="BV162" s="418">
        <f>S162+BK162</f>
        <v>2</v>
      </c>
      <c r="BW162" s="418">
        <f t="shared" si="243"/>
        <v>2</v>
      </c>
      <c r="BX162" s="420">
        <f t="shared" si="243"/>
        <v>0</v>
      </c>
      <c r="BY162" s="419"/>
      <c r="BZ162" s="414"/>
      <c r="CA162" s="414"/>
      <c r="CB162" s="414"/>
      <c r="CC162" s="414"/>
      <c r="CD162" s="509"/>
      <c r="CE162" s="419"/>
      <c r="CF162" s="414"/>
      <c r="CG162" s="414"/>
      <c r="CH162" s="414"/>
      <c r="CI162" s="414"/>
      <c r="CJ162" s="509"/>
    </row>
    <row r="163" spans="1:88" s="221" customFormat="1" ht="12.75" customHeight="1">
      <c r="A163" s="223">
        <v>33</v>
      </c>
      <c r="B163" s="224">
        <v>3425</v>
      </c>
      <c r="C163" s="224">
        <v>600078451</v>
      </c>
      <c r="D163" s="224">
        <v>72742551</v>
      </c>
      <c r="E163" s="225" t="s">
        <v>73</v>
      </c>
      <c r="F163" s="224">
        <v>3143</v>
      </c>
      <c r="G163" s="225" t="s">
        <v>596</v>
      </c>
      <c r="H163" s="226" t="s">
        <v>272</v>
      </c>
      <c r="I163" s="419">
        <v>40724</v>
      </c>
      <c r="J163" s="414">
        <v>29150</v>
      </c>
      <c r="K163" s="414">
        <v>0</v>
      </c>
      <c r="L163" s="414">
        <v>29150</v>
      </c>
      <c r="M163" s="414">
        <v>0</v>
      </c>
      <c r="N163" s="414">
        <v>0</v>
      </c>
      <c r="O163" s="414">
        <v>0</v>
      </c>
      <c r="P163" s="68">
        <v>9852</v>
      </c>
      <c r="Q163" s="68">
        <v>291</v>
      </c>
      <c r="R163" s="414">
        <v>1431</v>
      </c>
      <c r="S163" s="415">
        <v>0.11000000000000001</v>
      </c>
      <c r="T163" s="416">
        <v>0</v>
      </c>
      <c r="U163" s="422">
        <v>0.11000000000000001</v>
      </c>
      <c r="V163" s="423">
        <f t="shared" si="194"/>
        <v>0</v>
      </c>
      <c r="W163" s="417">
        <f t="shared" si="195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196"/>
        <v>0</v>
      </c>
      <c r="AF163" s="417">
        <f t="shared" si="197"/>
        <v>0</v>
      </c>
      <c r="AG163" s="417">
        <f t="shared" si="198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199"/>
        <v>0</v>
      </c>
      <c r="AN163" s="417">
        <f t="shared" si="200"/>
        <v>0</v>
      </c>
      <c r="AO163" s="417">
        <f t="shared" si="201"/>
        <v>0</v>
      </c>
      <c r="AP163" s="417">
        <f t="shared" si="202"/>
        <v>0</v>
      </c>
      <c r="AQ163" s="417">
        <f t="shared" si="203"/>
        <v>0</v>
      </c>
      <c r="AR163" s="417">
        <f t="shared" si="204"/>
        <v>0</v>
      </c>
      <c r="AS163" s="68">
        <f t="shared" si="205"/>
        <v>0</v>
      </c>
      <c r="AT163" s="68">
        <f t="shared" si="206"/>
        <v>0</v>
      </c>
      <c r="AU163" s="417">
        <v>0</v>
      </c>
      <c r="AV163" s="417">
        <v>0</v>
      </c>
      <c r="AW163" s="417">
        <v>0</v>
      </c>
      <c r="AX163" s="417">
        <f t="shared" si="207"/>
        <v>0</v>
      </c>
      <c r="AY163" s="417">
        <f t="shared" si="208"/>
        <v>0</v>
      </c>
      <c r="AZ163" s="418">
        <v>0</v>
      </c>
      <c r="BA163" s="418">
        <v>0</v>
      </c>
      <c r="BB163" s="418">
        <v>0</v>
      </c>
      <c r="BC163" s="418">
        <v>0</v>
      </c>
      <c r="BD163" s="418">
        <v>0</v>
      </c>
      <c r="BE163" s="418">
        <v>0</v>
      </c>
      <c r="BF163" s="418">
        <v>0</v>
      </c>
      <c r="BG163" s="418">
        <v>0</v>
      </c>
      <c r="BH163" s="418">
        <v>0</v>
      </c>
      <c r="BI163" s="418">
        <f t="shared" si="209"/>
        <v>0</v>
      </c>
      <c r="BJ163" s="418">
        <f t="shared" si="210"/>
        <v>0</v>
      </c>
      <c r="BK163" s="420">
        <f t="shared" si="211"/>
        <v>0</v>
      </c>
      <c r="BL163" s="772">
        <f>I163+AY163</f>
        <v>40724</v>
      </c>
      <c r="BM163" s="417">
        <f>J163+AG163</f>
        <v>29150</v>
      </c>
      <c r="BN163" s="417">
        <f t="shared" si="240"/>
        <v>0</v>
      </c>
      <c r="BO163" s="417">
        <f t="shared" si="240"/>
        <v>29150</v>
      </c>
      <c r="BP163" s="417">
        <f>M163+AO163</f>
        <v>0</v>
      </c>
      <c r="BQ163" s="417">
        <f t="shared" si="241"/>
        <v>0</v>
      </c>
      <c r="BR163" s="417">
        <f t="shared" si="241"/>
        <v>0</v>
      </c>
      <c r="BS163" s="417">
        <f t="shared" si="242"/>
        <v>9852</v>
      </c>
      <c r="BT163" s="417">
        <f t="shared" si="242"/>
        <v>291</v>
      </c>
      <c r="BU163" s="417">
        <f>R163+AX163</f>
        <v>1431</v>
      </c>
      <c r="BV163" s="418">
        <f>S163+BK163</f>
        <v>0.11000000000000001</v>
      </c>
      <c r="BW163" s="418">
        <f t="shared" si="243"/>
        <v>0</v>
      </c>
      <c r="BX163" s="420">
        <f t="shared" si="243"/>
        <v>0.11000000000000001</v>
      </c>
      <c r="BY163" s="419"/>
      <c r="BZ163" s="414"/>
      <c r="CA163" s="414"/>
      <c r="CB163" s="414"/>
      <c r="CC163" s="414"/>
      <c r="CD163" s="509"/>
      <c r="CE163" s="419"/>
      <c r="CF163" s="414"/>
      <c r="CG163" s="414"/>
      <c r="CH163" s="414"/>
      <c r="CI163" s="414"/>
      <c r="CJ163" s="509"/>
    </row>
    <row r="164" spans="1:88" s="221" customFormat="1" ht="12.75" customHeight="1">
      <c r="A164" s="153">
        <v>33</v>
      </c>
      <c r="B164" s="14">
        <v>3425</v>
      </c>
      <c r="C164" s="152">
        <v>600078451</v>
      </c>
      <c r="D164" s="152">
        <v>72742551</v>
      </c>
      <c r="E164" s="222" t="s">
        <v>74</v>
      </c>
      <c r="F164" s="14"/>
      <c r="G164" s="222"/>
      <c r="H164" s="558"/>
      <c r="I164" s="504">
        <v>17262202</v>
      </c>
      <c r="J164" s="503">
        <v>12611144</v>
      </c>
      <c r="K164" s="503">
        <v>11307856</v>
      </c>
      <c r="L164" s="503">
        <v>1303288</v>
      </c>
      <c r="M164" s="503">
        <v>19200</v>
      </c>
      <c r="N164" s="503">
        <v>19200</v>
      </c>
      <c r="O164" s="503">
        <v>0</v>
      </c>
      <c r="P164" s="503">
        <v>4269055</v>
      </c>
      <c r="Q164" s="503">
        <v>126112</v>
      </c>
      <c r="R164" s="503">
        <v>236691</v>
      </c>
      <c r="S164" s="543">
        <v>21.919299999999996</v>
      </c>
      <c r="T164" s="543">
        <v>18.167200000000001</v>
      </c>
      <c r="U164" s="1084">
        <v>3.7521</v>
      </c>
      <c r="V164" s="504">
        <f t="shared" ref="V164:CG164" si="244">SUM(V160:V163)</f>
        <v>0</v>
      </c>
      <c r="W164" s="503">
        <f t="shared" si="244"/>
        <v>0</v>
      </c>
      <c r="X164" s="503">
        <f t="shared" si="244"/>
        <v>23175</v>
      </c>
      <c r="Y164" s="503">
        <f t="shared" si="244"/>
        <v>10592</v>
      </c>
      <c r="Z164" s="503">
        <f t="shared" si="244"/>
        <v>0</v>
      </c>
      <c r="AA164" s="503">
        <f t="shared" si="244"/>
        <v>0</v>
      </c>
      <c r="AB164" s="503">
        <f t="shared" si="244"/>
        <v>0</v>
      </c>
      <c r="AC164" s="503">
        <f t="shared" si="244"/>
        <v>0</v>
      </c>
      <c r="AD164" s="503">
        <f t="shared" si="244"/>
        <v>0</v>
      </c>
      <c r="AE164" s="503">
        <f t="shared" si="244"/>
        <v>33767</v>
      </c>
      <c r="AF164" s="503">
        <f t="shared" si="244"/>
        <v>0</v>
      </c>
      <c r="AG164" s="503">
        <f t="shared" si="244"/>
        <v>33767</v>
      </c>
      <c r="AH164" s="503">
        <f t="shared" si="244"/>
        <v>0</v>
      </c>
      <c r="AI164" s="503">
        <f t="shared" si="244"/>
        <v>0</v>
      </c>
      <c r="AJ164" s="503">
        <f t="shared" si="244"/>
        <v>0</v>
      </c>
      <c r="AK164" s="503">
        <f t="shared" si="244"/>
        <v>0</v>
      </c>
      <c r="AL164" s="503">
        <f t="shared" si="244"/>
        <v>0</v>
      </c>
      <c r="AM164" s="503">
        <f t="shared" si="244"/>
        <v>0</v>
      </c>
      <c r="AN164" s="503">
        <f t="shared" si="244"/>
        <v>0</v>
      </c>
      <c r="AO164" s="503">
        <f t="shared" si="244"/>
        <v>0</v>
      </c>
      <c r="AP164" s="503">
        <f t="shared" si="244"/>
        <v>33767</v>
      </c>
      <c r="AQ164" s="503">
        <f t="shared" si="244"/>
        <v>0</v>
      </c>
      <c r="AR164" s="503">
        <f t="shared" si="244"/>
        <v>33767</v>
      </c>
      <c r="AS164" s="503">
        <f t="shared" si="244"/>
        <v>11413</v>
      </c>
      <c r="AT164" s="503">
        <f t="shared" si="244"/>
        <v>338</v>
      </c>
      <c r="AU164" s="503">
        <f t="shared" si="244"/>
        <v>0</v>
      </c>
      <c r="AV164" s="503">
        <f t="shared" si="244"/>
        <v>0</v>
      </c>
      <c r="AW164" s="503">
        <f t="shared" si="244"/>
        <v>0</v>
      </c>
      <c r="AX164" s="503">
        <f t="shared" si="244"/>
        <v>0</v>
      </c>
      <c r="AY164" s="503">
        <f t="shared" si="244"/>
        <v>45518</v>
      </c>
      <c r="AZ164" s="543">
        <f t="shared" si="244"/>
        <v>0</v>
      </c>
      <c r="BA164" s="543">
        <f t="shared" si="244"/>
        <v>0</v>
      </c>
      <c r="BB164" s="543">
        <f t="shared" si="244"/>
        <v>0.06</v>
      </c>
      <c r="BC164" s="543">
        <f t="shared" si="244"/>
        <v>0</v>
      </c>
      <c r="BD164" s="543">
        <f t="shared" si="244"/>
        <v>0</v>
      </c>
      <c r="BE164" s="543">
        <f t="shared" si="244"/>
        <v>0.02</v>
      </c>
      <c r="BF164" s="543">
        <f t="shared" si="244"/>
        <v>0</v>
      </c>
      <c r="BG164" s="543">
        <f t="shared" si="244"/>
        <v>0</v>
      </c>
      <c r="BH164" s="543">
        <f t="shared" si="244"/>
        <v>0</v>
      </c>
      <c r="BI164" s="543">
        <f t="shared" si="244"/>
        <v>0.08</v>
      </c>
      <c r="BJ164" s="543">
        <f t="shared" si="244"/>
        <v>0</v>
      </c>
      <c r="BK164" s="441">
        <f t="shared" si="244"/>
        <v>0.08</v>
      </c>
      <c r="BL164" s="788">
        <f t="shared" si="244"/>
        <v>17307720</v>
      </c>
      <c r="BM164" s="503">
        <f t="shared" si="244"/>
        <v>12644911</v>
      </c>
      <c r="BN164" s="503">
        <f t="shared" si="244"/>
        <v>11341623</v>
      </c>
      <c r="BO164" s="503">
        <f t="shared" si="244"/>
        <v>1303288</v>
      </c>
      <c r="BP164" s="503">
        <f t="shared" si="244"/>
        <v>19200</v>
      </c>
      <c r="BQ164" s="503">
        <f t="shared" si="244"/>
        <v>19200</v>
      </c>
      <c r="BR164" s="503">
        <f t="shared" si="244"/>
        <v>0</v>
      </c>
      <c r="BS164" s="503">
        <f t="shared" si="244"/>
        <v>4280468</v>
      </c>
      <c r="BT164" s="503">
        <f t="shared" si="244"/>
        <v>126450</v>
      </c>
      <c r="BU164" s="503">
        <f t="shared" si="244"/>
        <v>236691</v>
      </c>
      <c r="BV164" s="543">
        <f t="shared" si="244"/>
        <v>21.999299999999998</v>
      </c>
      <c r="BW164" s="543">
        <f t="shared" si="244"/>
        <v>18.247199999999999</v>
      </c>
      <c r="BX164" s="441">
        <f t="shared" si="244"/>
        <v>3.7521</v>
      </c>
      <c r="BY164" s="799">
        <f t="shared" si="244"/>
        <v>0</v>
      </c>
      <c r="BZ164" s="705">
        <f t="shared" si="244"/>
        <v>0</v>
      </c>
      <c r="CA164" s="705">
        <f t="shared" si="244"/>
        <v>0</v>
      </c>
      <c r="CB164" s="705">
        <f t="shared" si="244"/>
        <v>0</v>
      </c>
      <c r="CC164" s="705">
        <f t="shared" si="244"/>
        <v>0</v>
      </c>
      <c r="CD164" s="800">
        <f t="shared" si="244"/>
        <v>0</v>
      </c>
      <c r="CE164" s="896">
        <f t="shared" si="244"/>
        <v>604486</v>
      </c>
      <c r="CF164" s="897">
        <f t="shared" si="244"/>
        <v>408960</v>
      </c>
      <c r="CG164" s="897">
        <f t="shared" si="244"/>
        <v>138228</v>
      </c>
      <c r="CH164" s="897">
        <f t="shared" ref="CH164:CJ164" si="245">SUM(CH160:CH163)</f>
        <v>4090</v>
      </c>
      <c r="CI164" s="897">
        <f t="shared" si="245"/>
        <v>53208</v>
      </c>
      <c r="CJ164" s="898">
        <f t="shared" si="245"/>
        <v>1.1691</v>
      </c>
    </row>
    <row r="165" spans="1:88" s="221" customFormat="1" ht="12.75" customHeight="1">
      <c r="A165" s="223">
        <v>34</v>
      </c>
      <c r="B165" s="224">
        <v>3418</v>
      </c>
      <c r="C165" s="224">
        <v>600078001</v>
      </c>
      <c r="D165" s="224">
        <v>70695954</v>
      </c>
      <c r="E165" s="225" t="s">
        <v>75</v>
      </c>
      <c r="F165" s="224">
        <v>3111</v>
      </c>
      <c r="G165" s="225" t="s">
        <v>290</v>
      </c>
      <c r="H165" s="226" t="s">
        <v>271</v>
      </c>
      <c r="I165" s="419">
        <v>1978807</v>
      </c>
      <c r="J165" s="414">
        <v>1457653</v>
      </c>
      <c r="K165" s="414">
        <v>1299380</v>
      </c>
      <c r="L165" s="414">
        <v>158273</v>
      </c>
      <c r="M165" s="414">
        <v>5000</v>
      </c>
      <c r="N165" s="414">
        <v>0</v>
      </c>
      <c r="O165" s="414">
        <v>5000</v>
      </c>
      <c r="P165" s="68">
        <v>494377</v>
      </c>
      <c r="Q165" s="68">
        <v>14577</v>
      </c>
      <c r="R165" s="414">
        <v>7200</v>
      </c>
      <c r="S165" s="415">
        <v>2.84</v>
      </c>
      <c r="T165" s="416">
        <v>2.2902999999999998</v>
      </c>
      <c r="U165" s="422">
        <v>0.54969999999999997</v>
      </c>
      <c r="V165" s="423">
        <f t="shared" si="194"/>
        <v>0</v>
      </c>
      <c r="W165" s="417">
        <f t="shared" si="195"/>
        <v>-16375</v>
      </c>
      <c r="X165" s="417">
        <v>0</v>
      </c>
      <c r="Y165" s="417">
        <v>0</v>
      </c>
      <c r="Z165" s="417">
        <v>0</v>
      </c>
      <c r="AA165" s="417">
        <v>0</v>
      </c>
      <c r="AB165" s="417">
        <v>0</v>
      </c>
      <c r="AC165" s="417">
        <v>0</v>
      </c>
      <c r="AD165" s="417">
        <v>0</v>
      </c>
      <c r="AE165" s="417">
        <f t="shared" si="196"/>
        <v>0</v>
      </c>
      <c r="AF165" s="417">
        <f t="shared" si="197"/>
        <v>-16375</v>
      </c>
      <c r="AG165" s="417">
        <f t="shared" si="198"/>
        <v>-16375</v>
      </c>
      <c r="AH165" s="417">
        <v>0</v>
      </c>
      <c r="AI165" s="417">
        <v>16375</v>
      </c>
      <c r="AJ165" s="417">
        <v>0</v>
      </c>
      <c r="AK165" s="417">
        <v>0</v>
      </c>
      <c r="AL165" s="417">
        <v>0</v>
      </c>
      <c r="AM165" s="417">
        <f t="shared" si="199"/>
        <v>0</v>
      </c>
      <c r="AN165" s="417">
        <f t="shared" si="200"/>
        <v>16375</v>
      </c>
      <c r="AO165" s="417">
        <f t="shared" si="201"/>
        <v>16375</v>
      </c>
      <c r="AP165" s="417">
        <f t="shared" si="202"/>
        <v>0</v>
      </c>
      <c r="AQ165" s="417">
        <f t="shared" si="203"/>
        <v>0</v>
      </c>
      <c r="AR165" s="417">
        <f t="shared" si="204"/>
        <v>0</v>
      </c>
      <c r="AS165" s="68">
        <f t="shared" si="205"/>
        <v>0</v>
      </c>
      <c r="AT165" s="68">
        <f t="shared" si="206"/>
        <v>-164</v>
      </c>
      <c r="AU165" s="417">
        <v>0</v>
      </c>
      <c r="AV165" s="417">
        <v>0</v>
      </c>
      <c r="AW165" s="417">
        <v>0</v>
      </c>
      <c r="AX165" s="417">
        <f t="shared" si="207"/>
        <v>0</v>
      </c>
      <c r="AY165" s="417">
        <f t="shared" si="208"/>
        <v>-164</v>
      </c>
      <c r="AZ165" s="418">
        <v>0</v>
      </c>
      <c r="BA165" s="418">
        <v>0</v>
      </c>
      <c r="BB165" s="418">
        <v>0</v>
      </c>
      <c r="BC165" s="418">
        <v>0</v>
      </c>
      <c r="BD165" s="418">
        <v>0</v>
      </c>
      <c r="BE165" s="418">
        <v>0</v>
      </c>
      <c r="BF165" s="418">
        <v>0</v>
      </c>
      <c r="BG165" s="418">
        <v>0</v>
      </c>
      <c r="BH165" s="418">
        <v>0</v>
      </c>
      <c r="BI165" s="418">
        <f t="shared" si="209"/>
        <v>0</v>
      </c>
      <c r="BJ165" s="418">
        <f t="shared" si="210"/>
        <v>0</v>
      </c>
      <c r="BK165" s="420">
        <f t="shared" si="211"/>
        <v>0</v>
      </c>
      <c r="BL165" s="772">
        <f>I165+AY165</f>
        <v>1978643</v>
      </c>
      <c r="BM165" s="417">
        <f>J165+AG165</f>
        <v>1441278</v>
      </c>
      <c r="BN165" s="417">
        <f t="shared" ref="BN165:BO167" si="246">K165+AE165</f>
        <v>1299380</v>
      </c>
      <c r="BO165" s="417">
        <f t="shared" si="246"/>
        <v>141898</v>
      </c>
      <c r="BP165" s="417">
        <f>M165+AO165</f>
        <v>21375</v>
      </c>
      <c r="BQ165" s="417">
        <f t="shared" ref="BQ165:BR167" si="247">N165+AM165</f>
        <v>0</v>
      </c>
      <c r="BR165" s="417">
        <f t="shared" si="247"/>
        <v>21375</v>
      </c>
      <c r="BS165" s="417">
        <f t="shared" ref="BS165:BT167" si="248">P165+AS165</f>
        <v>494377</v>
      </c>
      <c r="BT165" s="417">
        <f t="shared" si="248"/>
        <v>14413</v>
      </c>
      <c r="BU165" s="417">
        <f>R165+AX165</f>
        <v>7200</v>
      </c>
      <c r="BV165" s="418">
        <f>S165+BK165</f>
        <v>2.84</v>
      </c>
      <c r="BW165" s="418">
        <f t="shared" ref="BW165:BX167" si="249">T165+BI165</f>
        <v>2.2902999999999998</v>
      </c>
      <c r="BX165" s="420">
        <f t="shared" si="249"/>
        <v>0.54969999999999997</v>
      </c>
      <c r="BY165" s="419"/>
      <c r="BZ165" s="414"/>
      <c r="CA165" s="414"/>
      <c r="CB165" s="414"/>
      <c r="CC165" s="414"/>
      <c r="CD165" s="509"/>
      <c r="CE165" s="419">
        <v>73024</v>
      </c>
      <c r="CF165" s="414">
        <v>52396</v>
      </c>
      <c r="CG165" s="414">
        <v>17710</v>
      </c>
      <c r="CH165" s="414">
        <v>524</v>
      </c>
      <c r="CI165" s="414">
        <v>2394</v>
      </c>
      <c r="CJ165" s="509">
        <v>0.1764</v>
      </c>
    </row>
    <row r="166" spans="1:88" s="221" customFormat="1" ht="12.75" customHeight="1">
      <c r="A166" s="223">
        <v>34</v>
      </c>
      <c r="B166" s="224">
        <v>3418</v>
      </c>
      <c r="C166" s="224">
        <v>600078001</v>
      </c>
      <c r="D166" s="224">
        <v>70695954</v>
      </c>
      <c r="E166" s="225" t="s">
        <v>75</v>
      </c>
      <c r="F166" s="224">
        <v>3111</v>
      </c>
      <c r="G166" s="225" t="s">
        <v>291</v>
      </c>
      <c r="H166" s="226" t="s">
        <v>272</v>
      </c>
      <c r="I166" s="419">
        <v>0</v>
      </c>
      <c r="J166" s="414">
        <v>0</v>
      </c>
      <c r="K166" s="414">
        <v>0</v>
      </c>
      <c r="L166" s="414">
        <v>0</v>
      </c>
      <c r="M166" s="414">
        <v>0</v>
      </c>
      <c r="N166" s="414">
        <v>0</v>
      </c>
      <c r="O166" s="414">
        <v>0</v>
      </c>
      <c r="P166" s="68">
        <v>0</v>
      </c>
      <c r="Q166" s="68">
        <v>0</v>
      </c>
      <c r="R166" s="414">
        <v>0</v>
      </c>
      <c r="S166" s="415">
        <v>0</v>
      </c>
      <c r="T166" s="416">
        <v>0</v>
      </c>
      <c r="U166" s="422">
        <v>0</v>
      </c>
      <c r="V166" s="423">
        <f t="shared" si="194"/>
        <v>0</v>
      </c>
      <c r="W166" s="417">
        <f t="shared" si="195"/>
        <v>0</v>
      </c>
      <c r="X166" s="417">
        <v>0</v>
      </c>
      <c r="Y166" s="417">
        <v>0</v>
      </c>
      <c r="Z166" s="417">
        <v>0</v>
      </c>
      <c r="AA166" s="417">
        <v>0</v>
      </c>
      <c r="AB166" s="417">
        <v>0</v>
      </c>
      <c r="AC166" s="417">
        <v>0</v>
      </c>
      <c r="AD166" s="417">
        <v>0</v>
      </c>
      <c r="AE166" s="417">
        <f t="shared" si="196"/>
        <v>0</v>
      </c>
      <c r="AF166" s="417">
        <f t="shared" si="197"/>
        <v>0</v>
      </c>
      <c r="AG166" s="417">
        <f t="shared" si="198"/>
        <v>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199"/>
        <v>0</v>
      </c>
      <c r="AN166" s="417">
        <f t="shared" si="200"/>
        <v>0</v>
      </c>
      <c r="AO166" s="417">
        <f t="shared" si="201"/>
        <v>0</v>
      </c>
      <c r="AP166" s="417">
        <f t="shared" si="202"/>
        <v>0</v>
      </c>
      <c r="AQ166" s="417">
        <f t="shared" si="203"/>
        <v>0</v>
      </c>
      <c r="AR166" s="417">
        <f t="shared" si="204"/>
        <v>0</v>
      </c>
      <c r="AS166" s="68">
        <f t="shared" si="205"/>
        <v>0</v>
      </c>
      <c r="AT166" s="68">
        <f t="shared" si="206"/>
        <v>0</v>
      </c>
      <c r="AU166" s="417">
        <v>0</v>
      </c>
      <c r="AV166" s="417">
        <v>0</v>
      </c>
      <c r="AW166" s="417">
        <v>0</v>
      </c>
      <c r="AX166" s="417">
        <f t="shared" si="207"/>
        <v>0</v>
      </c>
      <c r="AY166" s="417">
        <f t="shared" si="208"/>
        <v>0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</v>
      </c>
      <c r="BF166" s="418">
        <v>0</v>
      </c>
      <c r="BG166" s="418">
        <v>0</v>
      </c>
      <c r="BH166" s="418">
        <v>0</v>
      </c>
      <c r="BI166" s="418">
        <f t="shared" si="209"/>
        <v>0</v>
      </c>
      <c r="BJ166" s="418">
        <f t="shared" si="210"/>
        <v>0</v>
      </c>
      <c r="BK166" s="420">
        <f t="shared" si="211"/>
        <v>0</v>
      </c>
      <c r="BL166" s="772">
        <f>I166+AY166</f>
        <v>0</v>
      </c>
      <c r="BM166" s="417">
        <f>J166+AG166</f>
        <v>0</v>
      </c>
      <c r="BN166" s="417">
        <f t="shared" si="246"/>
        <v>0</v>
      </c>
      <c r="BO166" s="417">
        <f t="shared" si="246"/>
        <v>0</v>
      </c>
      <c r="BP166" s="417">
        <f>M166+AO166</f>
        <v>0</v>
      </c>
      <c r="BQ166" s="417">
        <f t="shared" si="247"/>
        <v>0</v>
      </c>
      <c r="BR166" s="417">
        <f t="shared" si="247"/>
        <v>0</v>
      </c>
      <c r="BS166" s="417">
        <f t="shared" si="248"/>
        <v>0</v>
      </c>
      <c r="BT166" s="417">
        <f t="shared" si="248"/>
        <v>0</v>
      </c>
      <c r="BU166" s="417">
        <f>R166+AX166</f>
        <v>0</v>
      </c>
      <c r="BV166" s="418">
        <f>S166+BK166</f>
        <v>0</v>
      </c>
      <c r="BW166" s="418">
        <f t="shared" si="249"/>
        <v>0</v>
      </c>
      <c r="BX166" s="420">
        <f t="shared" si="249"/>
        <v>0</v>
      </c>
      <c r="BY166" s="419"/>
      <c r="BZ166" s="414"/>
      <c r="CA166" s="414"/>
      <c r="CB166" s="414"/>
      <c r="CC166" s="414"/>
      <c r="CD166" s="509"/>
      <c r="CE166" s="419"/>
      <c r="CF166" s="414"/>
      <c r="CG166" s="414"/>
      <c r="CH166" s="414"/>
      <c r="CI166" s="414"/>
      <c r="CJ166" s="509"/>
    </row>
    <row r="167" spans="1:88" s="221" customFormat="1" ht="12.75" customHeight="1">
      <c r="A167" s="223">
        <v>34</v>
      </c>
      <c r="B167" s="224">
        <v>3418</v>
      </c>
      <c r="C167" s="224">
        <v>600078001</v>
      </c>
      <c r="D167" s="224">
        <v>70695954</v>
      </c>
      <c r="E167" s="225" t="s">
        <v>75</v>
      </c>
      <c r="F167" s="224">
        <v>3141</v>
      </c>
      <c r="G167" s="225" t="s">
        <v>294</v>
      </c>
      <c r="H167" s="226" t="s">
        <v>272</v>
      </c>
      <c r="I167" s="419">
        <v>326284</v>
      </c>
      <c r="J167" s="414">
        <v>226467</v>
      </c>
      <c r="K167" s="414">
        <v>0</v>
      </c>
      <c r="L167" s="414">
        <v>226467</v>
      </c>
      <c r="M167" s="414">
        <v>15000</v>
      </c>
      <c r="N167" s="414">
        <v>0</v>
      </c>
      <c r="O167" s="414">
        <v>15000</v>
      </c>
      <c r="P167" s="68">
        <v>81616</v>
      </c>
      <c r="Q167" s="68">
        <v>2265</v>
      </c>
      <c r="R167" s="414">
        <v>936</v>
      </c>
      <c r="S167" s="415">
        <v>0.72</v>
      </c>
      <c r="T167" s="416">
        <v>0</v>
      </c>
      <c r="U167" s="422">
        <v>0.72</v>
      </c>
      <c r="V167" s="423">
        <f t="shared" si="194"/>
        <v>0</v>
      </c>
      <c r="W167" s="417">
        <f t="shared" si="195"/>
        <v>6375</v>
      </c>
      <c r="X167" s="417">
        <v>0</v>
      </c>
      <c r="Y167" s="417">
        <v>0</v>
      </c>
      <c r="Z167" s="417">
        <v>0</v>
      </c>
      <c r="AA167" s="417">
        <v>0</v>
      </c>
      <c r="AB167" s="417">
        <v>0</v>
      </c>
      <c r="AC167" s="417">
        <v>0</v>
      </c>
      <c r="AD167" s="417">
        <v>0</v>
      </c>
      <c r="AE167" s="417">
        <f t="shared" si="196"/>
        <v>0</v>
      </c>
      <c r="AF167" s="417">
        <f t="shared" si="197"/>
        <v>6375</v>
      </c>
      <c r="AG167" s="417">
        <f t="shared" si="198"/>
        <v>6375</v>
      </c>
      <c r="AH167" s="417">
        <v>0</v>
      </c>
      <c r="AI167" s="417">
        <v>-6375</v>
      </c>
      <c r="AJ167" s="417">
        <v>0</v>
      </c>
      <c r="AK167" s="417">
        <v>0</v>
      </c>
      <c r="AL167" s="417">
        <v>0</v>
      </c>
      <c r="AM167" s="417">
        <f t="shared" si="199"/>
        <v>0</v>
      </c>
      <c r="AN167" s="417">
        <f t="shared" si="200"/>
        <v>-6375</v>
      </c>
      <c r="AO167" s="417">
        <f t="shared" si="201"/>
        <v>-6375</v>
      </c>
      <c r="AP167" s="417">
        <f t="shared" si="202"/>
        <v>0</v>
      </c>
      <c r="AQ167" s="417">
        <f t="shared" si="203"/>
        <v>0</v>
      </c>
      <c r="AR167" s="417">
        <f t="shared" si="204"/>
        <v>0</v>
      </c>
      <c r="AS167" s="68">
        <f t="shared" si="205"/>
        <v>0</v>
      </c>
      <c r="AT167" s="68">
        <f t="shared" si="206"/>
        <v>64</v>
      </c>
      <c r="AU167" s="417">
        <v>0</v>
      </c>
      <c r="AV167" s="417">
        <v>0</v>
      </c>
      <c r="AW167" s="417">
        <v>0</v>
      </c>
      <c r="AX167" s="417">
        <f t="shared" si="207"/>
        <v>0</v>
      </c>
      <c r="AY167" s="417">
        <f t="shared" si="208"/>
        <v>64</v>
      </c>
      <c r="AZ167" s="418">
        <v>0</v>
      </c>
      <c r="BA167" s="418">
        <v>0</v>
      </c>
      <c r="BB167" s="418">
        <v>0</v>
      </c>
      <c r="BC167" s="418">
        <v>0</v>
      </c>
      <c r="BD167" s="418">
        <v>0</v>
      </c>
      <c r="BE167" s="418">
        <v>0</v>
      </c>
      <c r="BF167" s="418">
        <v>0</v>
      </c>
      <c r="BG167" s="418">
        <v>0</v>
      </c>
      <c r="BH167" s="418">
        <v>0</v>
      </c>
      <c r="BI167" s="418">
        <f t="shared" si="209"/>
        <v>0</v>
      </c>
      <c r="BJ167" s="418">
        <f t="shared" si="210"/>
        <v>0</v>
      </c>
      <c r="BK167" s="420">
        <f t="shared" si="211"/>
        <v>0</v>
      </c>
      <c r="BL167" s="772">
        <f>I167+AY167</f>
        <v>326348</v>
      </c>
      <c r="BM167" s="417">
        <f>J167+AG167</f>
        <v>232842</v>
      </c>
      <c r="BN167" s="417">
        <f t="shared" si="246"/>
        <v>0</v>
      </c>
      <c r="BO167" s="417">
        <f t="shared" si="246"/>
        <v>232842</v>
      </c>
      <c r="BP167" s="417">
        <f>M167+AO167</f>
        <v>8625</v>
      </c>
      <c r="BQ167" s="417">
        <f t="shared" si="247"/>
        <v>0</v>
      </c>
      <c r="BR167" s="417">
        <f t="shared" si="247"/>
        <v>8625</v>
      </c>
      <c r="BS167" s="417">
        <f t="shared" si="248"/>
        <v>81616</v>
      </c>
      <c r="BT167" s="417">
        <f t="shared" si="248"/>
        <v>2329</v>
      </c>
      <c r="BU167" s="417">
        <f>R167+AX167</f>
        <v>936</v>
      </c>
      <c r="BV167" s="418">
        <f>S167+BK167</f>
        <v>0.72</v>
      </c>
      <c r="BW167" s="418">
        <f t="shared" si="249"/>
        <v>0</v>
      </c>
      <c r="BX167" s="420">
        <f t="shared" si="249"/>
        <v>0.72</v>
      </c>
      <c r="BY167" s="419"/>
      <c r="BZ167" s="414"/>
      <c r="CA167" s="414"/>
      <c r="CB167" s="414"/>
      <c r="CC167" s="414"/>
      <c r="CD167" s="509"/>
      <c r="CE167" s="419"/>
      <c r="CF167" s="601"/>
      <c r="CG167" s="414"/>
      <c r="CH167" s="414"/>
      <c r="CI167" s="601"/>
      <c r="CJ167" s="603"/>
    </row>
    <row r="168" spans="1:88" s="221" customFormat="1" ht="12.75" customHeight="1">
      <c r="A168" s="153">
        <v>34</v>
      </c>
      <c r="B168" s="14">
        <v>3418</v>
      </c>
      <c r="C168" s="152">
        <v>600078001</v>
      </c>
      <c r="D168" s="152">
        <v>70695954</v>
      </c>
      <c r="E168" s="222" t="s">
        <v>76</v>
      </c>
      <c r="F168" s="14"/>
      <c r="G168" s="222"/>
      <c r="H168" s="558"/>
      <c r="I168" s="504">
        <v>2305091</v>
      </c>
      <c r="J168" s="503">
        <v>1684120</v>
      </c>
      <c r="K168" s="503">
        <v>1299380</v>
      </c>
      <c r="L168" s="503">
        <v>384740</v>
      </c>
      <c r="M168" s="503">
        <v>20000</v>
      </c>
      <c r="N168" s="503">
        <v>0</v>
      </c>
      <c r="O168" s="503">
        <v>20000</v>
      </c>
      <c r="P168" s="503">
        <v>575993</v>
      </c>
      <c r="Q168" s="503">
        <v>16842</v>
      </c>
      <c r="R168" s="503">
        <v>8136</v>
      </c>
      <c r="S168" s="543">
        <v>3.5599999999999996</v>
      </c>
      <c r="T168" s="543">
        <v>2.2902999999999998</v>
      </c>
      <c r="U168" s="1084">
        <v>1.2696999999999998</v>
      </c>
      <c r="V168" s="504">
        <f t="shared" ref="V168:CG168" si="250">SUM(V165:V167)</f>
        <v>0</v>
      </c>
      <c r="W168" s="503">
        <f t="shared" si="250"/>
        <v>-10000</v>
      </c>
      <c r="X168" s="503">
        <f t="shared" si="250"/>
        <v>0</v>
      </c>
      <c r="Y168" s="503">
        <f t="shared" si="250"/>
        <v>0</v>
      </c>
      <c r="Z168" s="503">
        <f t="shared" si="250"/>
        <v>0</v>
      </c>
      <c r="AA168" s="503">
        <f t="shared" si="250"/>
        <v>0</v>
      </c>
      <c r="AB168" s="503">
        <f t="shared" si="250"/>
        <v>0</v>
      </c>
      <c r="AC168" s="503">
        <f t="shared" si="250"/>
        <v>0</v>
      </c>
      <c r="AD168" s="503">
        <f t="shared" si="250"/>
        <v>0</v>
      </c>
      <c r="AE168" s="503">
        <f t="shared" si="250"/>
        <v>0</v>
      </c>
      <c r="AF168" s="503">
        <f t="shared" si="250"/>
        <v>-10000</v>
      </c>
      <c r="AG168" s="503">
        <f t="shared" si="250"/>
        <v>-10000</v>
      </c>
      <c r="AH168" s="503">
        <f t="shared" si="250"/>
        <v>0</v>
      </c>
      <c r="AI168" s="503">
        <f t="shared" si="250"/>
        <v>10000</v>
      </c>
      <c r="AJ168" s="503">
        <f t="shared" si="250"/>
        <v>0</v>
      </c>
      <c r="AK168" s="503">
        <f t="shared" si="250"/>
        <v>0</v>
      </c>
      <c r="AL168" s="503">
        <f t="shared" si="250"/>
        <v>0</v>
      </c>
      <c r="AM168" s="503">
        <f t="shared" si="250"/>
        <v>0</v>
      </c>
      <c r="AN168" s="503">
        <f t="shared" si="250"/>
        <v>10000</v>
      </c>
      <c r="AO168" s="503">
        <f t="shared" si="250"/>
        <v>10000</v>
      </c>
      <c r="AP168" s="503">
        <f t="shared" si="250"/>
        <v>0</v>
      </c>
      <c r="AQ168" s="503">
        <f t="shared" si="250"/>
        <v>0</v>
      </c>
      <c r="AR168" s="503">
        <f t="shared" si="250"/>
        <v>0</v>
      </c>
      <c r="AS168" s="503">
        <f t="shared" si="250"/>
        <v>0</v>
      </c>
      <c r="AT168" s="503">
        <f t="shared" si="250"/>
        <v>-100</v>
      </c>
      <c r="AU168" s="503">
        <f t="shared" si="250"/>
        <v>0</v>
      </c>
      <c r="AV168" s="503">
        <f t="shared" si="250"/>
        <v>0</v>
      </c>
      <c r="AW168" s="503">
        <f t="shared" si="250"/>
        <v>0</v>
      </c>
      <c r="AX168" s="503">
        <f t="shared" si="250"/>
        <v>0</v>
      </c>
      <c r="AY168" s="503">
        <f t="shared" si="250"/>
        <v>-100</v>
      </c>
      <c r="AZ168" s="543">
        <f t="shared" si="250"/>
        <v>0</v>
      </c>
      <c r="BA168" s="543">
        <f t="shared" si="250"/>
        <v>0</v>
      </c>
      <c r="BB168" s="543">
        <f t="shared" si="250"/>
        <v>0</v>
      </c>
      <c r="BC168" s="543">
        <f t="shared" si="250"/>
        <v>0</v>
      </c>
      <c r="BD168" s="543">
        <f t="shared" si="250"/>
        <v>0</v>
      </c>
      <c r="BE168" s="543">
        <f t="shared" si="250"/>
        <v>0</v>
      </c>
      <c r="BF168" s="543">
        <f t="shared" si="250"/>
        <v>0</v>
      </c>
      <c r="BG168" s="543">
        <f t="shared" si="250"/>
        <v>0</v>
      </c>
      <c r="BH168" s="543">
        <f t="shared" si="250"/>
        <v>0</v>
      </c>
      <c r="BI168" s="543">
        <f t="shared" si="250"/>
        <v>0</v>
      </c>
      <c r="BJ168" s="543">
        <f t="shared" si="250"/>
        <v>0</v>
      </c>
      <c r="BK168" s="441">
        <f t="shared" si="250"/>
        <v>0</v>
      </c>
      <c r="BL168" s="788">
        <f t="shared" si="250"/>
        <v>2304991</v>
      </c>
      <c r="BM168" s="503">
        <f t="shared" si="250"/>
        <v>1674120</v>
      </c>
      <c r="BN168" s="503">
        <f t="shared" si="250"/>
        <v>1299380</v>
      </c>
      <c r="BO168" s="503">
        <f t="shared" si="250"/>
        <v>374740</v>
      </c>
      <c r="BP168" s="503">
        <f t="shared" si="250"/>
        <v>30000</v>
      </c>
      <c r="BQ168" s="503">
        <f t="shared" si="250"/>
        <v>0</v>
      </c>
      <c r="BR168" s="503">
        <f t="shared" si="250"/>
        <v>30000</v>
      </c>
      <c r="BS168" s="503">
        <f t="shared" si="250"/>
        <v>575993</v>
      </c>
      <c r="BT168" s="503">
        <f t="shared" si="250"/>
        <v>16742</v>
      </c>
      <c r="BU168" s="503">
        <f t="shared" si="250"/>
        <v>8136</v>
      </c>
      <c r="BV168" s="543">
        <f t="shared" si="250"/>
        <v>3.5599999999999996</v>
      </c>
      <c r="BW168" s="543">
        <f t="shared" si="250"/>
        <v>2.2902999999999998</v>
      </c>
      <c r="BX168" s="441">
        <f t="shared" si="250"/>
        <v>1.2696999999999998</v>
      </c>
      <c r="BY168" s="799">
        <f t="shared" si="250"/>
        <v>0</v>
      </c>
      <c r="BZ168" s="705">
        <f t="shared" si="250"/>
        <v>0</v>
      </c>
      <c r="CA168" s="705">
        <f t="shared" si="250"/>
        <v>0</v>
      </c>
      <c r="CB168" s="705">
        <f t="shared" si="250"/>
        <v>0</v>
      </c>
      <c r="CC168" s="705">
        <f t="shared" si="250"/>
        <v>0</v>
      </c>
      <c r="CD168" s="800">
        <f t="shared" si="250"/>
        <v>0</v>
      </c>
      <c r="CE168" s="896">
        <f t="shared" si="250"/>
        <v>73024</v>
      </c>
      <c r="CF168" s="897">
        <f t="shared" si="250"/>
        <v>52396</v>
      </c>
      <c r="CG168" s="897">
        <f t="shared" si="250"/>
        <v>17710</v>
      </c>
      <c r="CH168" s="897">
        <f t="shared" ref="CH168:CJ168" si="251">SUM(CH165:CH167)</f>
        <v>524</v>
      </c>
      <c r="CI168" s="897">
        <f t="shared" si="251"/>
        <v>2394</v>
      </c>
      <c r="CJ168" s="898">
        <f t="shared" si="251"/>
        <v>0.1764</v>
      </c>
    </row>
    <row r="169" spans="1:88" s="221" customFormat="1" ht="12.75" customHeight="1">
      <c r="A169" s="223">
        <v>35</v>
      </c>
      <c r="B169" s="224">
        <v>3428</v>
      </c>
      <c r="C169" s="224">
        <v>600078311</v>
      </c>
      <c r="D169" s="224">
        <v>72742518</v>
      </c>
      <c r="E169" s="225" t="s">
        <v>77</v>
      </c>
      <c r="F169" s="224">
        <v>3111</v>
      </c>
      <c r="G169" s="225" t="s">
        <v>290</v>
      </c>
      <c r="H169" s="226" t="s">
        <v>271</v>
      </c>
      <c r="I169" s="419">
        <v>3318358</v>
      </c>
      <c r="J169" s="414">
        <v>2449227</v>
      </c>
      <c r="K169" s="414">
        <v>2253191</v>
      </c>
      <c r="L169" s="414">
        <v>196036</v>
      </c>
      <c r="M169" s="414">
        <v>0</v>
      </c>
      <c r="N169" s="414">
        <v>0</v>
      </c>
      <c r="O169" s="414">
        <v>0</v>
      </c>
      <c r="P169" s="68">
        <v>827839</v>
      </c>
      <c r="Q169" s="68">
        <v>24492</v>
      </c>
      <c r="R169" s="414">
        <v>16800</v>
      </c>
      <c r="S169" s="415">
        <v>4.7854000000000001</v>
      </c>
      <c r="T169" s="416">
        <v>4</v>
      </c>
      <c r="U169" s="422">
        <v>0.78539999999999999</v>
      </c>
      <c r="V169" s="423">
        <f t="shared" si="194"/>
        <v>0</v>
      </c>
      <c r="W169" s="417">
        <f t="shared" si="195"/>
        <v>0</v>
      </c>
      <c r="X169" s="417">
        <v>0</v>
      </c>
      <c r="Y169" s="417">
        <v>0</v>
      </c>
      <c r="Z169" s="417">
        <v>0</v>
      </c>
      <c r="AA169" s="417">
        <v>0</v>
      </c>
      <c r="AB169" s="417">
        <v>0</v>
      </c>
      <c r="AC169" s="417">
        <v>0</v>
      </c>
      <c r="AD169" s="417">
        <v>0</v>
      </c>
      <c r="AE169" s="417">
        <f t="shared" si="196"/>
        <v>0</v>
      </c>
      <c r="AF169" s="417">
        <f t="shared" si="197"/>
        <v>0</v>
      </c>
      <c r="AG169" s="417">
        <f t="shared" si="198"/>
        <v>0</v>
      </c>
      <c r="AH169" s="417">
        <v>0</v>
      </c>
      <c r="AI169" s="417">
        <v>0</v>
      </c>
      <c r="AJ169" s="417">
        <v>0</v>
      </c>
      <c r="AK169" s="417">
        <v>0</v>
      </c>
      <c r="AL169" s="417">
        <v>0</v>
      </c>
      <c r="AM169" s="417">
        <f t="shared" si="199"/>
        <v>0</v>
      </c>
      <c r="AN169" s="417">
        <f t="shared" si="200"/>
        <v>0</v>
      </c>
      <c r="AO169" s="417">
        <f t="shared" si="201"/>
        <v>0</v>
      </c>
      <c r="AP169" s="417">
        <f t="shared" si="202"/>
        <v>0</v>
      </c>
      <c r="AQ169" s="417">
        <f t="shared" si="203"/>
        <v>0</v>
      </c>
      <c r="AR169" s="417">
        <f t="shared" si="204"/>
        <v>0</v>
      </c>
      <c r="AS169" s="68">
        <f t="shared" si="205"/>
        <v>0</v>
      </c>
      <c r="AT169" s="68">
        <f t="shared" si="206"/>
        <v>0</v>
      </c>
      <c r="AU169" s="417">
        <v>0</v>
      </c>
      <c r="AV169" s="417">
        <v>0</v>
      </c>
      <c r="AW169" s="417">
        <v>0</v>
      </c>
      <c r="AX169" s="417">
        <f t="shared" si="207"/>
        <v>0</v>
      </c>
      <c r="AY169" s="417">
        <f t="shared" si="208"/>
        <v>0</v>
      </c>
      <c r="AZ169" s="418">
        <v>0</v>
      </c>
      <c r="BA169" s="418">
        <v>0</v>
      </c>
      <c r="BB169" s="418">
        <v>0</v>
      </c>
      <c r="BC169" s="418">
        <v>0</v>
      </c>
      <c r="BD169" s="418">
        <v>0</v>
      </c>
      <c r="BE169" s="418">
        <v>0</v>
      </c>
      <c r="BF169" s="418">
        <v>0</v>
      </c>
      <c r="BG169" s="418">
        <v>0</v>
      </c>
      <c r="BH169" s="418">
        <v>0</v>
      </c>
      <c r="BI169" s="418">
        <f t="shared" si="209"/>
        <v>0</v>
      </c>
      <c r="BJ169" s="418">
        <f t="shared" si="210"/>
        <v>0</v>
      </c>
      <c r="BK169" s="420">
        <f t="shared" si="211"/>
        <v>0</v>
      </c>
      <c r="BL169" s="772">
        <f t="shared" ref="BL169:BL174" si="252">I169+AY169</f>
        <v>3318358</v>
      </c>
      <c r="BM169" s="417">
        <f t="shared" ref="BM169:BM174" si="253">J169+AG169</f>
        <v>2449227</v>
      </c>
      <c r="BN169" s="417">
        <f t="shared" ref="BN169:BO174" si="254">K169+AE169</f>
        <v>2253191</v>
      </c>
      <c r="BO169" s="417">
        <f t="shared" si="254"/>
        <v>196036</v>
      </c>
      <c r="BP169" s="417">
        <f t="shared" ref="BP169:BP174" si="255">M169+AO169</f>
        <v>0</v>
      </c>
      <c r="BQ169" s="417">
        <f t="shared" ref="BQ169:BR174" si="256">N169+AM169</f>
        <v>0</v>
      </c>
      <c r="BR169" s="417">
        <f t="shared" si="256"/>
        <v>0</v>
      </c>
      <c r="BS169" s="417">
        <f t="shared" ref="BS169:BT174" si="257">P169+AS169</f>
        <v>827839</v>
      </c>
      <c r="BT169" s="417">
        <f t="shared" si="257"/>
        <v>24492</v>
      </c>
      <c r="BU169" s="417">
        <f t="shared" ref="BU169:BU174" si="258">R169+AX169</f>
        <v>16800</v>
      </c>
      <c r="BV169" s="418">
        <f t="shared" ref="BV169:BV174" si="259">S169+BK169</f>
        <v>4.7854000000000001</v>
      </c>
      <c r="BW169" s="418">
        <f t="shared" ref="BW169:BX174" si="260">T169+BI169</f>
        <v>4</v>
      </c>
      <c r="BX169" s="420">
        <f t="shared" si="260"/>
        <v>0.78539999999999999</v>
      </c>
      <c r="BY169" s="419"/>
      <c r="BZ169" s="414"/>
      <c r="CA169" s="414"/>
      <c r="CB169" s="414"/>
      <c r="CC169" s="414"/>
      <c r="CD169" s="509"/>
      <c r="CE169" s="419">
        <v>90375</v>
      </c>
      <c r="CF169" s="414">
        <v>62900</v>
      </c>
      <c r="CG169" s="414">
        <v>21260</v>
      </c>
      <c r="CH169" s="414">
        <v>629</v>
      </c>
      <c r="CI169" s="414">
        <v>5586</v>
      </c>
      <c r="CJ169" s="509">
        <v>0.252</v>
      </c>
    </row>
    <row r="170" spans="1:88" s="221" customFormat="1" ht="12.75" customHeight="1">
      <c r="A170" s="223">
        <v>35</v>
      </c>
      <c r="B170" s="224">
        <v>3428</v>
      </c>
      <c r="C170" s="224">
        <v>600078311</v>
      </c>
      <c r="D170" s="224">
        <v>72742518</v>
      </c>
      <c r="E170" s="225" t="s">
        <v>77</v>
      </c>
      <c r="F170" s="224">
        <v>3117</v>
      </c>
      <c r="G170" s="225" t="s">
        <v>293</v>
      </c>
      <c r="H170" s="226" t="s">
        <v>271</v>
      </c>
      <c r="I170" s="419">
        <v>4350210</v>
      </c>
      <c r="J170" s="414">
        <v>3172448</v>
      </c>
      <c r="K170" s="414">
        <v>2591893</v>
      </c>
      <c r="L170" s="414">
        <v>580555</v>
      </c>
      <c r="M170" s="414">
        <v>0</v>
      </c>
      <c r="N170" s="414">
        <v>0</v>
      </c>
      <c r="O170" s="414">
        <v>0</v>
      </c>
      <c r="P170" s="68">
        <v>1072287</v>
      </c>
      <c r="Q170" s="68">
        <v>31725</v>
      </c>
      <c r="R170" s="414">
        <v>73750</v>
      </c>
      <c r="S170" s="415">
        <v>5.5743999999999989</v>
      </c>
      <c r="T170" s="416">
        <v>3.9544999999999999</v>
      </c>
      <c r="U170" s="422">
        <v>1.6198999999999999</v>
      </c>
      <c r="V170" s="423">
        <f t="shared" si="194"/>
        <v>0</v>
      </c>
      <c r="W170" s="417">
        <f t="shared" si="195"/>
        <v>0</v>
      </c>
      <c r="X170" s="417">
        <v>0</v>
      </c>
      <c r="Y170" s="417">
        <v>0</v>
      </c>
      <c r="Z170" s="417">
        <v>0</v>
      </c>
      <c r="AA170" s="417">
        <v>0</v>
      </c>
      <c r="AB170" s="417">
        <v>0</v>
      </c>
      <c r="AC170" s="417">
        <v>0</v>
      </c>
      <c r="AD170" s="417">
        <v>0</v>
      </c>
      <c r="AE170" s="417">
        <f t="shared" si="196"/>
        <v>0</v>
      </c>
      <c r="AF170" s="417">
        <f t="shared" si="197"/>
        <v>0</v>
      </c>
      <c r="AG170" s="417">
        <f t="shared" si="198"/>
        <v>0</v>
      </c>
      <c r="AH170" s="417">
        <v>0</v>
      </c>
      <c r="AI170" s="417">
        <v>0</v>
      </c>
      <c r="AJ170" s="417">
        <v>0</v>
      </c>
      <c r="AK170" s="417">
        <v>0</v>
      </c>
      <c r="AL170" s="417">
        <v>0</v>
      </c>
      <c r="AM170" s="417">
        <f t="shared" si="199"/>
        <v>0</v>
      </c>
      <c r="AN170" s="417">
        <f t="shared" si="200"/>
        <v>0</v>
      </c>
      <c r="AO170" s="417">
        <f t="shared" si="201"/>
        <v>0</v>
      </c>
      <c r="AP170" s="417">
        <f t="shared" si="202"/>
        <v>0</v>
      </c>
      <c r="AQ170" s="417">
        <f t="shared" si="203"/>
        <v>0</v>
      </c>
      <c r="AR170" s="417">
        <f t="shared" si="204"/>
        <v>0</v>
      </c>
      <c r="AS170" s="68">
        <f t="shared" si="205"/>
        <v>0</v>
      </c>
      <c r="AT170" s="68">
        <f t="shared" si="206"/>
        <v>0</v>
      </c>
      <c r="AU170" s="417">
        <v>0</v>
      </c>
      <c r="AV170" s="417">
        <v>0</v>
      </c>
      <c r="AW170" s="417">
        <v>0</v>
      </c>
      <c r="AX170" s="417">
        <f t="shared" si="207"/>
        <v>0</v>
      </c>
      <c r="AY170" s="417">
        <f t="shared" si="208"/>
        <v>0</v>
      </c>
      <c r="AZ170" s="418">
        <v>0</v>
      </c>
      <c r="BA170" s="418">
        <v>0</v>
      </c>
      <c r="BB170" s="418">
        <v>0</v>
      </c>
      <c r="BC170" s="418">
        <v>0</v>
      </c>
      <c r="BD170" s="418">
        <v>0</v>
      </c>
      <c r="BE170" s="418">
        <v>0</v>
      </c>
      <c r="BF170" s="418">
        <v>0</v>
      </c>
      <c r="BG170" s="418">
        <v>0</v>
      </c>
      <c r="BH170" s="418">
        <v>0</v>
      </c>
      <c r="BI170" s="418">
        <f t="shared" si="209"/>
        <v>0</v>
      </c>
      <c r="BJ170" s="418">
        <f t="shared" si="210"/>
        <v>0</v>
      </c>
      <c r="BK170" s="420">
        <f t="shared" si="211"/>
        <v>0</v>
      </c>
      <c r="BL170" s="772">
        <f t="shared" si="252"/>
        <v>4350210</v>
      </c>
      <c r="BM170" s="417">
        <f t="shared" si="253"/>
        <v>3172448</v>
      </c>
      <c r="BN170" s="417">
        <f t="shared" si="254"/>
        <v>2591893</v>
      </c>
      <c r="BO170" s="417">
        <f t="shared" si="254"/>
        <v>580555</v>
      </c>
      <c r="BP170" s="417">
        <f t="shared" si="255"/>
        <v>0</v>
      </c>
      <c r="BQ170" s="417">
        <f t="shared" si="256"/>
        <v>0</v>
      </c>
      <c r="BR170" s="417">
        <f t="shared" si="256"/>
        <v>0</v>
      </c>
      <c r="BS170" s="417">
        <f t="shared" si="257"/>
        <v>1072287</v>
      </c>
      <c r="BT170" s="417">
        <f t="shared" si="257"/>
        <v>31725</v>
      </c>
      <c r="BU170" s="417">
        <f t="shared" si="258"/>
        <v>73750</v>
      </c>
      <c r="BV170" s="418">
        <f t="shared" si="259"/>
        <v>5.5743999999999989</v>
      </c>
      <c r="BW170" s="418">
        <f t="shared" si="260"/>
        <v>3.9544999999999999</v>
      </c>
      <c r="BX170" s="420">
        <f t="shared" si="260"/>
        <v>1.6198999999999999</v>
      </c>
      <c r="BY170" s="419"/>
      <c r="BZ170" s="414"/>
      <c r="CA170" s="414"/>
      <c r="CB170" s="414"/>
      <c r="CC170" s="414"/>
      <c r="CD170" s="509"/>
      <c r="CE170" s="414">
        <v>264105</v>
      </c>
      <c r="CF170" s="414">
        <v>186353</v>
      </c>
      <c r="CG170" s="414">
        <v>62988</v>
      </c>
      <c r="CH170" s="414">
        <v>1864</v>
      </c>
      <c r="CI170" s="414">
        <v>12900</v>
      </c>
      <c r="CJ170" s="509">
        <v>0.52</v>
      </c>
    </row>
    <row r="171" spans="1:88" s="221" customFormat="1">
      <c r="A171" s="223">
        <v>35</v>
      </c>
      <c r="B171" s="224">
        <v>3428</v>
      </c>
      <c r="C171" s="224">
        <v>600078311</v>
      </c>
      <c r="D171" s="224">
        <v>72742518</v>
      </c>
      <c r="E171" s="225" t="s">
        <v>77</v>
      </c>
      <c r="F171" s="224">
        <v>3117</v>
      </c>
      <c r="G171" s="225" t="s">
        <v>291</v>
      </c>
      <c r="H171" s="226" t="s">
        <v>272</v>
      </c>
      <c r="I171" s="419">
        <v>1466210</v>
      </c>
      <c r="J171" s="414">
        <v>1087693</v>
      </c>
      <c r="K171" s="414">
        <v>1087693</v>
      </c>
      <c r="L171" s="414">
        <v>0</v>
      </c>
      <c r="M171" s="414">
        <v>0</v>
      </c>
      <c r="N171" s="414">
        <v>0</v>
      </c>
      <c r="O171" s="414">
        <v>0</v>
      </c>
      <c r="P171" s="68">
        <v>367640</v>
      </c>
      <c r="Q171" s="68">
        <v>10877</v>
      </c>
      <c r="R171" s="414">
        <v>0</v>
      </c>
      <c r="S171" s="415">
        <v>2.9299999999999997</v>
      </c>
      <c r="T171" s="416">
        <v>2.9299999999999997</v>
      </c>
      <c r="U171" s="422">
        <v>0</v>
      </c>
      <c r="V171" s="423">
        <f t="shared" si="194"/>
        <v>0</v>
      </c>
      <c r="W171" s="417">
        <f t="shared" si="195"/>
        <v>0</v>
      </c>
      <c r="X171" s="417">
        <v>0</v>
      </c>
      <c r="Y171" s="417">
        <v>0</v>
      </c>
      <c r="Z171" s="417">
        <v>0</v>
      </c>
      <c r="AA171" s="417">
        <v>0</v>
      </c>
      <c r="AB171" s="417">
        <v>0</v>
      </c>
      <c r="AC171" s="417">
        <v>0</v>
      </c>
      <c r="AD171" s="417">
        <v>0</v>
      </c>
      <c r="AE171" s="417">
        <f t="shared" si="196"/>
        <v>0</v>
      </c>
      <c r="AF171" s="417">
        <f t="shared" si="197"/>
        <v>0</v>
      </c>
      <c r="AG171" s="417">
        <f t="shared" si="198"/>
        <v>0</v>
      </c>
      <c r="AH171" s="417">
        <v>0</v>
      </c>
      <c r="AI171" s="417">
        <v>0</v>
      </c>
      <c r="AJ171" s="417">
        <v>0</v>
      </c>
      <c r="AK171" s="417">
        <v>0</v>
      </c>
      <c r="AL171" s="417">
        <v>0</v>
      </c>
      <c r="AM171" s="417">
        <f t="shared" si="199"/>
        <v>0</v>
      </c>
      <c r="AN171" s="417">
        <f t="shared" si="200"/>
        <v>0</v>
      </c>
      <c r="AO171" s="417">
        <f t="shared" si="201"/>
        <v>0</v>
      </c>
      <c r="AP171" s="417">
        <f t="shared" si="202"/>
        <v>0</v>
      </c>
      <c r="AQ171" s="417">
        <f t="shared" si="203"/>
        <v>0</v>
      </c>
      <c r="AR171" s="417">
        <f t="shared" si="204"/>
        <v>0</v>
      </c>
      <c r="AS171" s="68">
        <f t="shared" si="205"/>
        <v>0</v>
      </c>
      <c r="AT171" s="68">
        <f t="shared" si="206"/>
        <v>0</v>
      </c>
      <c r="AU171" s="417">
        <v>0</v>
      </c>
      <c r="AV171" s="417">
        <v>0</v>
      </c>
      <c r="AW171" s="417">
        <v>0</v>
      </c>
      <c r="AX171" s="417">
        <f t="shared" si="207"/>
        <v>0</v>
      </c>
      <c r="AY171" s="417">
        <f t="shared" si="208"/>
        <v>0</v>
      </c>
      <c r="AZ171" s="418">
        <v>0</v>
      </c>
      <c r="BA171" s="418">
        <v>0</v>
      </c>
      <c r="BB171" s="418">
        <v>0</v>
      </c>
      <c r="BC171" s="418">
        <v>0</v>
      </c>
      <c r="BD171" s="418">
        <v>0</v>
      </c>
      <c r="BE171" s="418">
        <v>0</v>
      </c>
      <c r="BF171" s="418">
        <v>0</v>
      </c>
      <c r="BG171" s="418">
        <v>0</v>
      </c>
      <c r="BH171" s="418">
        <v>0</v>
      </c>
      <c r="BI171" s="418">
        <f t="shared" si="209"/>
        <v>0</v>
      </c>
      <c r="BJ171" s="418">
        <f t="shared" si="210"/>
        <v>0</v>
      </c>
      <c r="BK171" s="420">
        <f t="shared" si="211"/>
        <v>0</v>
      </c>
      <c r="BL171" s="772">
        <f t="shared" si="252"/>
        <v>1466210</v>
      </c>
      <c r="BM171" s="417">
        <f t="shared" si="253"/>
        <v>1087693</v>
      </c>
      <c r="BN171" s="417">
        <f t="shared" si="254"/>
        <v>1087693</v>
      </c>
      <c r="BO171" s="417">
        <f t="shared" si="254"/>
        <v>0</v>
      </c>
      <c r="BP171" s="417">
        <f t="shared" si="255"/>
        <v>0</v>
      </c>
      <c r="BQ171" s="417">
        <f t="shared" si="256"/>
        <v>0</v>
      </c>
      <c r="BR171" s="417">
        <f t="shared" si="256"/>
        <v>0</v>
      </c>
      <c r="BS171" s="417">
        <f t="shared" si="257"/>
        <v>367640</v>
      </c>
      <c r="BT171" s="417">
        <f t="shared" si="257"/>
        <v>10877</v>
      </c>
      <c r="BU171" s="417">
        <f t="shared" si="258"/>
        <v>0</v>
      </c>
      <c r="BV171" s="418">
        <f t="shared" si="259"/>
        <v>2.9299999999999997</v>
      </c>
      <c r="BW171" s="418">
        <f t="shared" si="260"/>
        <v>2.9299999999999997</v>
      </c>
      <c r="BX171" s="420">
        <f t="shared" si="260"/>
        <v>0</v>
      </c>
      <c r="BY171" s="419"/>
      <c r="BZ171" s="414"/>
      <c r="CA171" s="414"/>
      <c r="CB171" s="414"/>
      <c r="CC171" s="414"/>
      <c r="CD171" s="509"/>
      <c r="CE171" s="419"/>
      <c r="CF171" s="414"/>
      <c r="CG171" s="414"/>
      <c r="CH171" s="414"/>
      <c r="CI171" s="414"/>
      <c r="CJ171" s="509"/>
    </row>
    <row r="172" spans="1:88" s="221" customFormat="1" ht="12.75" customHeight="1">
      <c r="A172" s="223">
        <v>35</v>
      </c>
      <c r="B172" s="224">
        <v>3428</v>
      </c>
      <c r="C172" s="224">
        <v>600078311</v>
      </c>
      <c r="D172" s="224">
        <v>72742518</v>
      </c>
      <c r="E172" s="225" t="s">
        <v>77</v>
      </c>
      <c r="F172" s="224">
        <v>3141</v>
      </c>
      <c r="G172" s="225" t="s">
        <v>294</v>
      </c>
      <c r="H172" s="226" t="s">
        <v>272</v>
      </c>
      <c r="I172" s="419">
        <v>1125881</v>
      </c>
      <c r="J172" s="414">
        <v>831790</v>
      </c>
      <c r="K172" s="414">
        <v>0</v>
      </c>
      <c r="L172" s="414">
        <v>831790</v>
      </c>
      <c r="M172" s="414">
        <v>0</v>
      </c>
      <c r="N172" s="414">
        <v>0</v>
      </c>
      <c r="O172" s="414">
        <v>0</v>
      </c>
      <c r="P172" s="68">
        <v>281145</v>
      </c>
      <c r="Q172" s="68">
        <v>8318</v>
      </c>
      <c r="R172" s="414">
        <v>4628</v>
      </c>
      <c r="S172" s="415">
        <v>2.4900000000000002</v>
      </c>
      <c r="T172" s="416">
        <v>0</v>
      </c>
      <c r="U172" s="422">
        <v>2.4900000000000002</v>
      </c>
      <c r="V172" s="423">
        <f t="shared" si="194"/>
        <v>0</v>
      </c>
      <c r="W172" s="417">
        <f t="shared" si="195"/>
        <v>0</v>
      </c>
      <c r="X172" s="417">
        <v>0</v>
      </c>
      <c r="Y172" s="417">
        <v>0</v>
      </c>
      <c r="Z172" s="417">
        <v>0</v>
      </c>
      <c r="AA172" s="417">
        <v>-10269</v>
      </c>
      <c r="AB172" s="417">
        <v>0</v>
      </c>
      <c r="AC172" s="417">
        <v>0</v>
      </c>
      <c r="AD172" s="417">
        <v>0</v>
      </c>
      <c r="AE172" s="417">
        <f t="shared" si="196"/>
        <v>0</v>
      </c>
      <c r="AF172" s="417">
        <f t="shared" si="197"/>
        <v>-10269</v>
      </c>
      <c r="AG172" s="417">
        <f t="shared" si="198"/>
        <v>-10269</v>
      </c>
      <c r="AH172" s="417">
        <v>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199"/>
        <v>0</v>
      </c>
      <c r="AN172" s="417">
        <f t="shared" si="200"/>
        <v>0</v>
      </c>
      <c r="AO172" s="417">
        <f t="shared" si="201"/>
        <v>0</v>
      </c>
      <c r="AP172" s="417">
        <f t="shared" si="202"/>
        <v>0</v>
      </c>
      <c r="AQ172" s="417">
        <f t="shared" si="203"/>
        <v>-10269</v>
      </c>
      <c r="AR172" s="417">
        <f t="shared" si="204"/>
        <v>-10269</v>
      </c>
      <c r="AS172" s="68">
        <f t="shared" si="205"/>
        <v>-3471</v>
      </c>
      <c r="AT172" s="68">
        <f t="shared" si="206"/>
        <v>-103</v>
      </c>
      <c r="AU172" s="417">
        <v>0</v>
      </c>
      <c r="AV172" s="417">
        <v>0</v>
      </c>
      <c r="AW172" s="417">
        <v>0</v>
      </c>
      <c r="AX172" s="417">
        <f t="shared" si="207"/>
        <v>0</v>
      </c>
      <c r="AY172" s="417">
        <f t="shared" si="208"/>
        <v>-13843</v>
      </c>
      <c r="AZ172" s="418">
        <v>0</v>
      </c>
      <c r="BA172" s="418">
        <v>0</v>
      </c>
      <c r="BB172" s="418">
        <v>0</v>
      </c>
      <c r="BC172" s="418">
        <v>0</v>
      </c>
      <c r="BD172" s="418">
        <v>-0.03</v>
      </c>
      <c r="BE172" s="418">
        <v>0</v>
      </c>
      <c r="BF172" s="418">
        <v>0</v>
      </c>
      <c r="BG172" s="418">
        <v>0</v>
      </c>
      <c r="BH172" s="418">
        <v>0</v>
      </c>
      <c r="BI172" s="418">
        <f t="shared" si="209"/>
        <v>0</v>
      </c>
      <c r="BJ172" s="418">
        <f t="shared" si="210"/>
        <v>-0.03</v>
      </c>
      <c r="BK172" s="420">
        <f t="shared" si="211"/>
        <v>-0.03</v>
      </c>
      <c r="BL172" s="772">
        <f t="shared" si="252"/>
        <v>1112038</v>
      </c>
      <c r="BM172" s="417">
        <f t="shared" si="253"/>
        <v>821521</v>
      </c>
      <c r="BN172" s="417">
        <f t="shared" si="254"/>
        <v>0</v>
      </c>
      <c r="BO172" s="417">
        <f t="shared" si="254"/>
        <v>821521</v>
      </c>
      <c r="BP172" s="417">
        <f t="shared" si="255"/>
        <v>0</v>
      </c>
      <c r="BQ172" s="417">
        <f t="shared" si="256"/>
        <v>0</v>
      </c>
      <c r="BR172" s="417">
        <f t="shared" si="256"/>
        <v>0</v>
      </c>
      <c r="BS172" s="417">
        <f t="shared" si="257"/>
        <v>277674</v>
      </c>
      <c r="BT172" s="417">
        <f t="shared" si="257"/>
        <v>8215</v>
      </c>
      <c r="BU172" s="417">
        <f t="shared" si="258"/>
        <v>4628</v>
      </c>
      <c r="BV172" s="418">
        <f t="shared" si="259"/>
        <v>2.4600000000000004</v>
      </c>
      <c r="BW172" s="418">
        <f t="shared" si="260"/>
        <v>0</v>
      </c>
      <c r="BX172" s="420">
        <f t="shared" si="260"/>
        <v>2.4600000000000004</v>
      </c>
      <c r="BY172" s="419"/>
      <c r="BZ172" s="414"/>
      <c r="CA172" s="414"/>
      <c r="CB172" s="414"/>
      <c r="CC172" s="414"/>
      <c r="CD172" s="509"/>
      <c r="CE172" s="419"/>
      <c r="CF172" s="601"/>
      <c r="CG172" s="414"/>
      <c r="CH172" s="414"/>
      <c r="CI172" s="601"/>
      <c r="CJ172" s="603"/>
    </row>
    <row r="173" spans="1:88" s="221" customFormat="1" ht="12.75" customHeight="1">
      <c r="A173" s="223">
        <v>35</v>
      </c>
      <c r="B173" s="224">
        <v>3428</v>
      </c>
      <c r="C173" s="224">
        <v>600078311</v>
      </c>
      <c r="D173" s="224">
        <v>72742518</v>
      </c>
      <c r="E173" s="225" t="s">
        <v>77</v>
      </c>
      <c r="F173" s="224">
        <v>3143</v>
      </c>
      <c r="G173" s="225" t="s">
        <v>595</v>
      </c>
      <c r="H173" s="226" t="s">
        <v>271</v>
      </c>
      <c r="I173" s="419">
        <v>1306069</v>
      </c>
      <c r="J173" s="414">
        <v>968894</v>
      </c>
      <c r="K173" s="414">
        <v>968894</v>
      </c>
      <c r="L173" s="414">
        <v>0</v>
      </c>
      <c r="M173" s="414">
        <v>0</v>
      </c>
      <c r="N173" s="414">
        <v>0</v>
      </c>
      <c r="O173" s="414">
        <v>0</v>
      </c>
      <c r="P173" s="68">
        <v>327486</v>
      </c>
      <c r="Q173" s="68">
        <v>9689</v>
      </c>
      <c r="R173" s="414">
        <v>0</v>
      </c>
      <c r="S173" s="415">
        <v>2.0535999999999999</v>
      </c>
      <c r="T173" s="416">
        <v>2.0535999999999999</v>
      </c>
      <c r="U173" s="422">
        <v>0</v>
      </c>
      <c r="V173" s="423">
        <f t="shared" si="194"/>
        <v>0</v>
      </c>
      <c r="W173" s="417">
        <f t="shared" si="195"/>
        <v>0</v>
      </c>
      <c r="X173" s="417">
        <v>0</v>
      </c>
      <c r="Y173" s="417">
        <v>0</v>
      </c>
      <c r="Z173" s="417">
        <v>0</v>
      </c>
      <c r="AA173" s="417">
        <v>0</v>
      </c>
      <c r="AB173" s="417">
        <v>0</v>
      </c>
      <c r="AC173" s="417">
        <v>0</v>
      </c>
      <c r="AD173" s="417">
        <v>0</v>
      </c>
      <c r="AE173" s="417">
        <f t="shared" si="196"/>
        <v>0</v>
      </c>
      <c r="AF173" s="417">
        <f t="shared" si="197"/>
        <v>0</v>
      </c>
      <c r="AG173" s="417">
        <f t="shared" si="198"/>
        <v>0</v>
      </c>
      <c r="AH173" s="417">
        <v>0</v>
      </c>
      <c r="AI173" s="417">
        <v>0</v>
      </c>
      <c r="AJ173" s="417">
        <v>0</v>
      </c>
      <c r="AK173" s="417">
        <v>0</v>
      </c>
      <c r="AL173" s="417">
        <v>0</v>
      </c>
      <c r="AM173" s="417">
        <f t="shared" si="199"/>
        <v>0</v>
      </c>
      <c r="AN173" s="417">
        <f t="shared" si="200"/>
        <v>0</v>
      </c>
      <c r="AO173" s="417">
        <f t="shared" si="201"/>
        <v>0</v>
      </c>
      <c r="AP173" s="417">
        <f t="shared" si="202"/>
        <v>0</v>
      </c>
      <c r="AQ173" s="417">
        <f t="shared" si="203"/>
        <v>0</v>
      </c>
      <c r="AR173" s="417">
        <f t="shared" si="204"/>
        <v>0</v>
      </c>
      <c r="AS173" s="68">
        <f t="shared" si="205"/>
        <v>0</v>
      </c>
      <c r="AT173" s="68">
        <f t="shared" si="206"/>
        <v>0</v>
      </c>
      <c r="AU173" s="417">
        <v>0</v>
      </c>
      <c r="AV173" s="417">
        <v>0</v>
      </c>
      <c r="AW173" s="417">
        <v>0</v>
      </c>
      <c r="AX173" s="417">
        <f t="shared" si="207"/>
        <v>0</v>
      </c>
      <c r="AY173" s="417">
        <f t="shared" si="208"/>
        <v>0</v>
      </c>
      <c r="AZ173" s="418">
        <v>0</v>
      </c>
      <c r="BA173" s="418">
        <v>0</v>
      </c>
      <c r="BB173" s="418">
        <v>0</v>
      </c>
      <c r="BC173" s="418">
        <v>0</v>
      </c>
      <c r="BD173" s="418">
        <v>0</v>
      </c>
      <c r="BE173" s="418">
        <v>0</v>
      </c>
      <c r="BF173" s="418">
        <v>0</v>
      </c>
      <c r="BG173" s="418">
        <v>0</v>
      </c>
      <c r="BH173" s="418">
        <v>0</v>
      </c>
      <c r="BI173" s="418">
        <f t="shared" si="209"/>
        <v>0</v>
      </c>
      <c r="BJ173" s="418">
        <f t="shared" si="210"/>
        <v>0</v>
      </c>
      <c r="BK173" s="420">
        <f t="shared" si="211"/>
        <v>0</v>
      </c>
      <c r="BL173" s="772">
        <f t="shared" si="252"/>
        <v>1306069</v>
      </c>
      <c r="BM173" s="417">
        <f t="shared" si="253"/>
        <v>968894</v>
      </c>
      <c r="BN173" s="417">
        <f t="shared" si="254"/>
        <v>968894</v>
      </c>
      <c r="BO173" s="417">
        <f t="shared" si="254"/>
        <v>0</v>
      </c>
      <c r="BP173" s="417">
        <f t="shared" si="255"/>
        <v>0</v>
      </c>
      <c r="BQ173" s="417">
        <f t="shared" si="256"/>
        <v>0</v>
      </c>
      <c r="BR173" s="417">
        <f t="shared" si="256"/>
        <v>0</v>
      </c>
      <c r="BS173" s="417">
        <f t="shared" si="257"/>
        <v>327486</v>
      </c>
      <c r="BT173" s="417">
        <f t="shared" si="257"/>
        <v>9689</v>
      </c>
      <c r="BU173" s="417">
        <f t="shared" si="258"/>
        <v>0</v>
      </c>
      <c r="BV173" s="418">
        <f t="shared" si="259"/>
        <v>2.0535999999999999</v>
      </c>
      <c r="BW173" s="418">
        <f t="shared" si="260"/>
        <v>2.0535999999999999</v>
      </c>
      <c r="BX173" s="420">
        <f t="shared" si="260"/>
        <v>0</v>
      </c>
      <c r="BY173" s="419"/>
      <c r="BZ173" s="414"/>
      <c r="CA173" s="414"/>
      <c r="CB173" s="414"/>
      <c r="CC173" s="414"/>
      <c r="CD173" s="509"/>
      <c r="CE173" s="419"/>
      <c r="CF173" s="414"/>
      <c r="CG173" s="414"/>
      <c r="CH173" s="414"/>
      <c r="CI173" s="414"/>
      <c r="CJ173" s="509"/>
    </row>
    <row r="174" spans="1:88" s="221" customFormat="1" ht="12.75" customHeight="1">
      <c r="A174" s="223">
        <v>35</v>
      </c>
      <c r="B174" s="224">
        <v>3428</v>
      </c>
      <c r="C174" s="224">
        <v>600078311</v>
      </c>
      <c r="D174" s="224">
        <v>72742518</v>
      </c>
      <c r="E174" s="225" t="s">
        <v>77</v>
      </c>
      <c r="F174" s="224">
        <v>3143</v>
      </c>
      <c r="G174" s="225" t="s">
        <v>596</v>
      </c>
      <c r="H174" s="226" t="s">
        <v>272</v>
      </c>
      <c r="I174" s="419">
        <v>32273</v>
      </c>
      <c r="J174" s="414">
        <v>23100</v>
      </c>
      <c r="K174" s="414">
        <v>0</v>
      </c>
      <c r="L174" s="414">
        <v>23100</v>
      </c>
      <c r="M174" s="414">
        <v>0</v>
      </c>
      <c r="N174" s="414">
        <v>0</v>
      </c>
      <c r="O174" s="414">
        <v>0</v>
      </c>
      <c r="P174" s="68">
        <v>7808</v>
      </c>
      <c r="Q174" s="68">
        <v>231</v>
      </c>
      <c r="R174" s="414">
        <v>1134</v>
      </c>
      <c r="S174" s="415">
        <v>0.09</v>
      </c>
      <c r="T174" s="416">
        <v>0</v>
      </c>
      <c r="U174" s="422">
        <v>0.09</v>
      </c>
      <c r="V174" s="423">
        <f t="shared" si="194"/>
        <v>0</v>
      </c>
      <c r="W174" s="417">
        <f t="shared" si="195"/>
        <v>0</v>
      </c>
      <c r="X174" s="417">
        <v>0</v>
      </c>
      <c r="Y174" s="417">
        <v>0</v>
      </c>
      <c r="Z174" s="417">
        <v>0</v>
      </c>
      <c r="AA174" s="417">
        <v>0</v>
      </c>
      <c r="AB174" s="417">
        <v>0</v>
      </c>
      <c r="AC174" s="417">
        <v>0</v>
      </c>
      <c r="AD174" s="417">
        <v>0</v>
      </c>
      <c r="AE174" s="417">
        <f t="shared" si="196"/>
        <v>0</v>
      </c>
      <c r="AF174" s="417">
        <f t="shared" si="197"/>
        <v>0</v>
      </c>
      <c r="AG174" s="417">
        <f t="shared" si="198"/>
        <v>0</v>
      </c>
      <c r="AH174" s="417">
        <v>0</v>
      </c>
      <c r="AI174" s="417">
        <v>0</v>
      </c>
      <c r="AJ174" s="417">
        <v>0</v>
      </c>
      <c r="AK174" s="417">
        <v>0</v>
      </c>
      <c r="AL174" s="417">
        <v>0</v>
      </c>
      <c r="AM174" s="417">
        <f t="shared" si="199"/>
        <v>0</v>
      </c>
      <c r="AN174" s="417">
        <f t="shared" si="200"/>
        <v>0</v>
      </c>
      <c r="AO174" s="417">
        <f t="shared" si="201"/>
        <v>0</v>
      </c>
      <c r="AP174" s="417">
        <f t="shared" si="202"/>
        <v>0</v>
      </c>
      <c r="AQ174" s="417">
        <f t="shared" si="203"/>
        <v>0</v>
      </c>
      <c r="AR174" s="417">
        <f t="shared" si="204"/>
        <v>0</v>
      </c>
      <c r="AS174" s="68">
        <f t="shared" si="205"/>
        <v>0</v>
      </c>
      <c r="AT174" s="68">
        <f t="shared" si="206"/>
        <v>0</v>
      </c>
      <c r="AU174" s="417">
        <v>0</v>
      </c>
      <c r="AV174" s="417">
        <v>0</v>
      </c>
      <c r="AW174" s="417">
        <v>0</v>
      </c>
      <c r="AX174" s="417">
        <f t="shared" si="207"/>
        <v>0</v>
      </c>
      <c r="AY174" s="417">
        <f t="shared" si="208"/>
        <v>0</v>
      </c>
      <c r="AZ174" s="418">
        <v>0</v>
      </c>
      <c r="BA174" s="418">
        <v>0</v>
      </c>
      <c r="BB174" s="418">
        <v>0</v>
      </c>
      <c r="BC174" s="418">
        <v>0</v>
      </c>
      <c r="BD174" s="418">
        <v>0</v>
      </c>
      <c r="BE174" s="418">
        <v>0</v>
      </c>
      <c r="BF174" s="418">
        <v>0</v>
      </c>
      <c r="BG174" s="418">
        <v>0</v>
      </c>
      <c r="BH174" s="418">
        <v>0</v>
      </c>
      <c r="BI174" s="418">
        <f t="shared" si="209"/>
        <v>0</v>
      </c>
      <c r="BJ174" s="418">
        <f t="shared" si="210"/>
        <v>0</v>
      </c>
      <c r="BK174" s="420">
        <f t="shared" si="211"/>
        <v>0</v>
      </c>
      <c r="BL174" s="772">
        <f t="shared" si="252"/>
        <v>32273</v>
      </c>
      <c r="BM174" s="417">
        <f t="shared" si="253"/>
        <v>23100</v>
      </c>
      <c r="BN174" s="417">
        <f t="shared" si="254"/>
        <v>0</v>
      </c>
      <c r="BO174" s="417">
        <f t="shared" si="254"/>
        <v>23100</v>
      </c>
      <c r="BP174" s="417">
        <f t="shared" si="255"/>
        <v>0</v>
      </c>
      <c r="BQ174" s="417">
        <f t="shared" si="256"/>
        <v>0</v>
      </c>
      <c r="BR174" s="417">
        <f t="shared" si="256"/>
        <v>0</v>
      </c>
      <c r="BS174" s="417">
        <f t="shared" si="257"/>
        <v>7808</v>
      </c>
      <c r="BT174" s="417">
        <f t="shared" si="257"/>
        <v>231</v>
      </c>
      <c r="BU174" s="417">
        <f t="shared" si="258"/>
        <v>1134</v>
      </c>
      <c r="BV174" s="418">
        <f t="shared" si="259"/>
        <v>0.09</v>
      </c>
      <c r="BW174" s="418">
        <f t="shared" si="260"/>
        <v>0</v>
      </c>
      <c r="BX174" s="420">
        <f t="shared" si="260"/>
        <v>0.09</v>
      </c>
      <c r="BY174" s="419"/>
      <c r="BZ174" s="414"/>
      <c r="CA174" s="414"/>
      <c r="CB174" s="414"/>
      <c r="CC174" s="414"/>
      <c r="CD174" s="509"/>
      <c r="CE174" s="419"/>
      <c r="CF174" s="601"/>
      <c r="CG174" s="414"/>
      <c r="CH174" s="414"/>
      <c r="CI174" s="602"/>
      <c r="CJ174" s="603"/>
    </row>
    <row r="175" spans="1:88" s="221" customFormat="1" ht="12.75" customHeight="1">
      <c r="A175" s="153">
        <v>35</v>
      </c>
      <c r="B175" s="14">
        <v>3428</v>
      </c>
      <c r="C175" s="152">
        <v>600078311</v>
      </c>
      <c r="D175" s="152">
        <v>72742518</v>
      </c>
      <c r="E175" s="222" t="s">
        <v>78</v>
      </c>
      <c r="F175" s="14"/>
      <c r="G175" s="222"/>
      <c r="H175" s="558"/>
      <c r="I175" s="504">
        <v>11599001</v>
      </c>
      <c r="J175" s="503">
        <v>8533152</v>
      </c>
      <c r="K175" s="503">
        <v>6901671</v>
      </c>
      <c r="L175" s="503">
        <v>1631481</v>
      </c>
      <c r="M175" s="503">
        <v>0</v>
      </c>
      <c r="N175" s="503">
        <v>0</v>
      </c>
      <c r="O175" s="503">
        <v>0</v>
      </c>
      <c r="P175" s="503">
        <v>2884205</v>
      </c>
      <c r="Q175" s="503">
        <v>85332</v>
      </c>
      <c r="R175" s="503">
        <v>96312</v>
      </c>
      <c r="S175" s="543">
        <v>17.923400000000001</v>
      </c>
      <c r="T175" s="543">
        <v>12.938099999999999</v>
      </c>
      <c r="U175" s="1084">
        <v>4.9853000000000005</v>
      </c>
      <c r="V175" s="504">
        <f t="shared" ref="V175:CG175" si="261">SUM(V169:V174)</f>
        <v>0</v>
      </c>
      <c r="W175" s="503">
        <f t="shared" si="261"/>
        <v>0</v>
      </c>
      <c r="X175" s="503">
        <f t="shared" si="261"/>
        <v>0</v>
      </c>
      <c r="Y175" s="503">
        <f t="shared" si="261"/>
        <v>0</v>
      </c>
      <c r="Z175" s="503">
        <f t="shared" si="261"/>
        <v>0</v>
      </c>
      <c r="AA175" s="503">
        <f t="shared" si="261"/>
        <v>-10269</v>
      </c>
      <c r="AB175" s="503">
        <f t="shared" si="261"/>
        <v>0</v>
      </c>
      <c r="AC175" s="503">
        <f t="shared" si="261"/>
        <v>0</v>
      </c>
      <c r="AD175" s="503">
        <f t="shared" si="261"/>
        <v>0</v>
      </c>
      <c r="AE175" s="503">
        <f t="shared" si="261"/>
        <v>0</v>
      </c>
      <c r="AF175" s="503">
        <f t="shared" si="261"/>
        <v>-10269</v>
      </c>
      <c r="AG175" s="503">
        <f t="shared" si="261"/>
        <v>-10269</v>
      </c>
      <c r="AH175" s="503">
        <f t="shared" si="261"/>
        <v>0</v>
      </c>
      <c r="AI175" s="503">
        <f t="shared" si="261"/>
        <v>0</v>
      </c>
      <c r="AJ175" s="503">
        <f t="shared" si="261"/>
        <v>0</v>
      </c>
      <c r="AK175" s="503">
        <f t="shared" si="261"/>
        <v>0</v>
      </c>
      <c r="AL175" s="503">
        <f t="shared" si="261"/>
        <v>0</v>
      </c>
      <c r="AM175" s="503">
        <f t="shared" si="261"/>
        <v>0</v>
      </c>
      <c r="AN175" s="503">
        <f t="shared" si="261"/>
        <v>0</v>
      </c>
      <c r="AO175" s="503">
        <f t="shared" si="261"/>
        <v>0</v>
      </c>
      <c r="AP175" s="503">
        <f t="shared" si="261"/>
        <v>0</v>
      </c>
      <c r="AQ175" s="503">
        <f t="shared" si="261"/>
        <v>-10269</v>
      </c>
      <c r="AR175" s="503">
        <f t="shared" si="261"/>
        <v>-10269</v>
      </c>
      <c r="AS175" s="503">
        <f t="shared" si="261"/>
        <v>-3471</v>
      </c>
      <c r="AT175" s="503">
        <f t="shared" si="261"/>
        <v>-103</v>
      </c>
      <c r="AU175" s="503">
        <f t="shared" si="261"/>
        <v>0</v>
      </c>
      <c r="AV175" s="503">
        <f t="shared" si="261"/>
        <v>0</v>
      </c>
      <c r="AW175" s="503">
        <f t="shared" si="261"/>
        <v>0</v>
      </c>
      <c r="AX175" s="503">
        <f t="shared" si="261"/>
        <v>0</v>
      </c>
      <c r="AY175" s="503">
        <f t="shared" si="261"/>
        <v>-13843</v>
      </c>
      <c r="AZ175" s="543">
        <f t="shared" si="261"/>
        <v>0</v>
      </c>
      <c r="BA175" s="543">
        <f t="shared" si="261"/>
        <v>0</v>
      </c>
      <c r="BB175" s="543">
        <f t="shared" si="261"/>
        <v>0</v>
      </c>
      <c r="BC175" s="543">
        <f t="shared" si="261"/>
        <v>0</v>
      </c>
      <c r="BD175" s="543">
        <f t="shared" si="261"/>
        <v>-0.03</v>
      </c>
      <c r="BE175" s="543">
        <f t="shared" si="261"/>
        <v>0</v>
      </c>
      <c r="BF175" s="543">
        <f t="shared" si="261"/>
        <v>0</v>
      </c>
      <c r="BG175" s="543">
        <f t="shared" si="261"/>
        <v>0</v>
      </c>
      <c r="BH175" s="543">
        <f t="shared" si="261"/>
        <v>0</v>
      </c>
      <c r="BI175" s="543">
        <f t="shared" si="261"/>
        <v>0</v>
      </c>
      <c r="BJ175" s="543">
        <f t="shared" si="261"/>
        <v>-0.03</v>
      </c>
      <c r="BK175" s="441">
        <f t="shared" si="261"/>
        <v>-0.03</v>
      </c>
      <c r="BL175" s="788">
        <f t="shared" si="261"/>
        <v>11585158</v>
      </c>
      <c r="BM175" s="503">
        <f t="shared" si="261"/>
        <v>8522883</v>
      </c>
      <c r="BN175" s="503">
        <f t="shared" si="261"/>
        <v>6901671</v>
      </c>
      <c r="BO175" s="503">
        <f t="shared" si="261"/>
        <v>1621212</v>
      </c>
      <c r="BP175" s="503">
        <f t="shared" si="261"/>
        <v>0</v>
      </c>
      <c r="BQ175" s="503">
        <f t="shared" si="261"/>
        <v>0</v>
      </c>
      <c r="BR175" s="503">
        <f t="shared" si="261"/>
        <v>0</v>
      </c>
      <c r="BS175" s="503">
        <f t="shared" si="261"/>
        <v>2880734</v>
      </c>
      <c r="BT175" s="503">
        <f t="shared" si="261"/>
        <v>85229</v>
      </c>
      <c r="BU175" s="503">
        <f t="shared" si="261"/>
        <v>96312</v>
      </c>
      <c r="BV175" s="543">
        <f t="shared" si="261"/>
        <v>17.8934</v>
      </c>
      <c r="BW175" s="543">
        <f t="shared" si="261"/>
        <v>12.938099999999999</v>
      </c>
      <c r="BX175" s="441">
        <f t="shared" si="261"/>
        <v>4.9553000000000003</v>
      </c>
      <c r="BY175" s="799">
        <f t="shared" si="261"/>
        <v>0</v>
      </c>
      <c r="BZ175" s="705">
        <f t="shared" si="261"/>
        <v>0</v>
      </c>
      <c r="CA175" s="705">
        <f t="shared" si="261"/>
        <v>0</v>
      </c>
      <c r="CB175" s="705">
        <f t="shared" si="261"/>
        <v>0</v>
      </c>
      <c r="CC175" s="705">
        <f t="shared" si="261"/>
        <v>0</v>
      </c>
      <c r="CD175" s="800">
        <f t="shared" si="261"/>
        <v>0</v>
      </c>
      <c r="CE175" s="896">
        <f t="shared" si="261"/>
        <v>354480</v>
      </c>
      <c r="CF175" s="897">
        <f t="shared" si="261"/>
        <v>249253</v>
      </c>
      <c r="CG175" s="897">
        <f t="shared" si="261"/>
        <v>84248</v>
      </c>
      <c r="CH175" s="897">
        <f t="shared" ref="CH175:CJ175" si="262">SUM(CH169:CH174)</f>
        <v>2493</v>
      </c>
      <c r="CI175" s="897">
        <f t="shared" si="262"/>
        <v>18486</v>
      </c>
      <c r="CJ175" s="898">
        <f t="shared" si="262"/>
        <v>0.77200000000000002</v>
      </c>
    </row>
    <row r="176" spans="1:88" s="221" customFormat="1" ht="12.75" customHeight="1">
      <c r="A176" s="223">
        <v>36</v>
      </c>
      <c r="B176" s="224">
        <v>3433</v>
      </c>
      <c r="C176" s="224">
        <v>600078043</v>
      </c>
      <c r="D176" s="224">
        <v>70695130</v>
      </c>
      <c r="E176" s="225" t="s">
        <v>79</v>
      </c>
      <c r="F176" s="224">
        <v>3111</v>
      </c>
      <c r="G176" s="225" t="s">
        <v>290</v>
      </c>
      <c r="H176" s="226" t="s">
        <v>271</v>
      </c>
      <c r="I176" s="419">
        <v>3668828</v>
      </c>
      <c r="J176" s="414">
        <v>2709220</v>
      </c>
      <c r="K176" s="414">
        <v>2363019</v>
      </c>
      <c r="L176" s="414">
        <v>346201</v>
      </c>
      <c r="M176" s="414">
        <v>0</v>
      </c>
      <c r="N176" s="414">
        <v>0</v>
      </c>
      <c r="O176" s="414">
        <v>0</v>
      </c>
      <c r="P176" s="68">
        <v>915716</v>
      </c>
      <c r="Q176" s="68">
        <v>27092</v>
      </c>
      <c r="R176" s="414">
        <v>16800</v>
      </c>
      <c r="S176" s="415">
        <v>5.1781000000000006</v>
      </c>
      <c r="T176" s="416">
        <v>4</v>
      </c>
      <c r="U176" s="422">
        <v>1.1781000000000001</v>
      </c>
      <c r="V176" s="423">
        <f t="shared" si="194"/>
        <v>0</v>
      </c>
      <c r="W176" s="417">
        <v>-33810</v>
      </c>
      <c r="X176" s="417">
        <v>0</v>
      </c>
      <c r="Y176" s="417">
        <v>0</v>
      </c>
      <c r="Z176" s="417">
        <v>0</v>
      </c>
      <c r="AA176" s="417">
        <v>0</v>
      </c>
      <c r="AB176" s="417">
        <v>0</v>
      </c>
      <c r="AC176" s="417">
        <v>0</v>
      </c>
      <c r="AD176" s="417">
        <v>0</v>
      </c>
      <c r="AE176" s="417">
        <f t="shared" si="196"/>
        <v>0</v>
      </c>
      <c r="AF176" s="417">
        <f t="shared" si="197"/>
        <v>-33810</v>
      </c>
      <c r="AG176" s="417">
        <f t="shared" si="198"/>
        <v>-33810</v>
      </c>
      <c r="AH176" s="417">
        <v>0</v>
      </c>
      <c r="AI176" s="417">
        <v>0</v>
      </c>
      <c r="AJ176" s="417">
        <v>0</v>
      </c>
      <c r="AK176" s="417">
        <v>0</v>
      </c>
      <c r="AL176" s="417">
        <v>33810</v>
      </c>
      <c r="AM176" s="417">
        <f t="shared" si="199"/>
        <v>0</v>
      </c>
      <c r="AN176" s="417">
        <f t="shared" si="200"/>
        <v>33810</v>
      </c>
      <c r="AO176" s="417">
        <f t="shared" si="201"/>
        <v>33810</v>
      </c>
      <c r="AP176" s="417">
        <f t="shared" si="202"/>
        <v>0</v>
      </c>
      <c r="AQ176" s="417">
        <f t="shared" si="203"/>
        <v>0</v>
      </c>
      <c r="AR176" s="417">
        <f t="shared" si="204"/>
        <v>0</v>
      </c>
      <c r="AS176" s="68">
        <f t="shared" si="205"/>
        <v>-11428</v>
      </c>
      <c r="AT176" s="68">
        <f t="shared" si="206"/>
        <v>-338</v>
      </c>
      <c r="AU176" s="417">
        <v>0</v>
      </c>
      <c r="AV176" s="417">
        <v>0</v>
      </c>
      <c r="AW176" s="417">
        <v>0</v>
      </c>
      <c r="AX176" s="417">
        <f t="shared" si="207"/>
        <v>0</v>
      </c>
      <c r="AY176" s="417">
        <f t="shared" si="208"/>
        <v>-11766</v>
      </c>
      <c r="AZ176" s="418">
        <v>0</v>
      </c>
      <c r="BA176" s="418">
        <v>0</v>
      </c>
      <c r="BB176" s="418">
        <v>0</v>
      </c>
      <c r="BC176" s="418">
        <v>0</v>
      </c>
      <c r="BD176" s="418">
        <v>0</v>
      </c>
      <c r="BE176" s="418">
        <v>0</v>
      </c>
      <c r="BF176" s="418">
        <v>0</v>
      </c>
      <c r="BG176" s="418">
        <v>0</v>
      </c>
      <c r="BH176" s="418">
        <v>0</v>
      </c>
      <c r="BI176" s="418">
        <f t="shared" si="209"/>
        <v>0</v>
      </c>
      <c r="BJ176" s="418">
        <f t="shared" si="210"/>
        <v>0</v>
      </c>
      <c r="BK176" s="420">
        <f t="shared" si="211"/>
        <v>0</v>
      </c>
      <c r="BL176" s="772">
        <f>I176+AY176</f>
        <v>3657062</v>
      </c>
      <c r="BM176" s="417">
        <f>J176+AG176</f>
        <v>2675410</v>
      </c>
      <c r="BN176" s="417">
        <f t="shared" ref="BN176:BO178" si="263">K176+AE176</f>
        <v>2363019</v>
      </c>
      <c r="BO176" s="417">
        <f t="shared" si="263"/>
        <v>312391</v>
      </c>
      <c r="BP176" s="417">
        <f>M176+AO176</f>
        <v>33810</v>
      </c>
      <c r="BQ176" s="417">
        <f t="shared" ref="BQ176:BR178" si="264">N176+AM176</f>
        <v>0</v>
      </c>
      <c r="BR176" s="417">
        <f t="shared" si="264"/>
        <v>33810</v>
      </c>
      <c r="BS176" s="417">
        <f t="shared" ref="BS176:BT178" si="265">P176+AS176</f>
        <v>904288</v>
      </c>
      <c r="BT176" s="417">
        <f t="shared" si="265"/>
        <v>26754</v>
      </c>
      <c r="BU176" s="417">
        <f>R176+AX176</f>
        <v>16800</v>
      </c>
      <c r="BV176" s="418">
        <f>S176+BK176</f>
        <v>5.1781000000000006</v>
      </c>
      <c r="BW176" s="418">
        <f t="shared" ref="BW176:BX178" si="266">T176+BI176</f>
        <v>4</v>
      </c>
      <c r="BX176" s="420">
        <f t="shared" si="266"/>
        <v>1.1781000000000001</v>
      </c>
      <c r="BY176" s="419"/>
      <c r="BZ176" s="414"/>
      <c r="CA176" s="414"/>
      <c r="CB176" s="414"/>
      <c r="CC176" s="414"/>
      <c r="CD176" s="509"/>
      <c r="CE176" s="419">
        <v>155323</v>
      </c>
      <c r="CF176" s="414">
        <v>111081</v>
      </c>
      <c r="CG176" s="414">
        <v>37545</v>
      </c>
      <c r="CH176" s="414">
        <v>1111</v>
      </c>
      <c r="CI176" s="414">
        <v>5586</v>
      </c>
      <c r="CJ176" s="509">
        <v>0.378</v>
      </c>
    </row>
    <row r="177" spans="1:88" s="221" customFormat="1" ht="12.75" customHeight="1">
      <c r="A177" s="223">
        <v>36</v>
      </c>
      <c r="B177" s="224">
        <v>3433</v>
      </c>
      <c r="C177" s="224">
        <v>600078043</v>
      </c>
      <c r="D177" s="224">
        <v>70695130</v>
      </c>
      <c r="E177" s="225" t="s">
        <v>79</v>
      </c>
      <c r="F177" s="224">
        <v>3111</v>
      </c>
      <c r="G177" s="225" t="s">
        <v>291</v>
      </c>
      <c r="H177" s="226" t="s">
        <v>272</v>
      </c>
      <c r="I177" s="419">
        <v>0</v>
      </c>
      <c r="J177" s="414">
        <v>0</v>
      </c>
      <c r="K177" s="414">
        <v>0</v>
      </c>
      <c r="L177" s="414">
        <v>0</v>
      </c>
      <c r="M177" s="414">
        <v>0</v>
      </c>
      <c r="N177" s="414">
        <v>0</v>
      </c>
      <c r="O177" s="414">
        <v>0</v>
      </c>
      <c r="P177" s="68">
        <v>0</v>
      </c>
      <c r="Q177" s="68">
        <v>0</v>
      </c>
      <c r="R177" s="414">
        <v>0</v>
      </c>
      <c r="S177" s="415">
        <v>0</v>
      </c>
      <c r="T177" s="416">
        <v>0</v>
      </c>
      <c r="U177" s="422">
        <v>0</v>
      </c>
      <c r="V177" s="423">
        <f t="shared" ref="V177" si="267">AH177*-1</f>
        <v>0</v>
      </c>
      <c r="W177" s="417">
        <f t="shared" ref="W177" si="268">AI177*-1</f>
        <v>0</v>
      </c>
      <c r="X177" s="417">
        <v>92700</v>
      </c>
      <c r="Y177" s="417">
        <v>0</v>
      </c>
      <c r="Z177" s="417">
        <v>0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ref="AE177" si="269">V177+X177+Y177+Z177+AC177</f>
        <v>92700</v>
      </c>
      <c r="AF177" s="417">
        <f t="shared" ref="AF177" si="270">W177+AA177+AD177+AB177</f>
        <v>0</v>
      </c>
      <c r="AG177" s="417">
        <f t="shared" ref="AG177" si="271">SUM(AE177:AF177)</f>
        <v>92700</v>
      </c>
      <c r="AH177" s="417">
        <v>0</v>
      </c>
      <c r="AI177" s="417">
        <v>0</v>
      </c>
      <c r="AJ177" s="417">
        <v>0</v>
      </c>
      <c r="AK177" s="417">
        <v>0</v>
      </c>
      <c r="AL177" s="417">
        <v>0</v>
      </c>
      <c r="AM177" s="417">
        <f t="shared" ref="AM177" si="272">AH177+AJ177+AK177</f>
        <v>0</v>
      </c>
      <c r="AN177" s="417">
        <f t="shared" ref="AN177" si="273">AI177+AL177</f>
        <v>0</v>
      </c>
      <c r="AO177" s="417">
        <f t="shared" ref="AO177" si="274">SUM(AM177:AN177)</f>
        <v>0</v>
      </c>
      <c r="AP177" s="417">
        <f t="shared" ref="AP177" si="275">AE177+AM177</f>
        <v>92700</v>
      </c>
      <c r="AQ177" s="417">
        <f t="shared" ref="AQ177" si="276">AF177+AN177</f>
        <v>0</v>
      </c>
      <c r="AR177" s="417">
        <f t="shared" ref="AR177" si="277">SUM(AP177:AQ177)</f>
        <v>92700</v>
      </c>
      <c r="AS177" s="68">
        <f t="shared" ref="AS177" si="278">ROUND((AG177+AH177+AI177+AJ177)*33.8%,0)</f>
        <v>31333</v>
      </c>
      <c r="AT177" s="68">
        <f t="shared" ref="AT177" si="279">ROUND(AG177*1%,0)</f>
        <v>927</v>
      </c>
      <c r="AU177" s="417">
        <v>0</v>
      </c>
      <c r="AV177" s="417">
        <v>0</v>
      </c>
      <c r="AW177" s="417">
        <v>0</v>
      </c>
      <c r="AX177" s="417">
        <f t="shared" ref="AX177" si="280">SUM(AU177:AW177)</f>
        <v>0</v>
      </c>
      <c r="AY177" s="417">
        <f t="shared" ref="AY177" si="281">AR177+AS177+AT177+AX177</f>
        <v>124960</v>
      </c>
      <c r="AZ177" s="418">
        <v>0</v>
      </c>
      <c r="BA177" s="418">
        <v>0</v>
      </c>
      <c r="BB177" s="418">
        <v>0.25</v>
      </c>
      <c r="BC177" s="418">
        <v>0</v>
      </c>
      <c r="BD177" s="418">
        <v>0</v>
      </c>
      <c r="BE177" s="418">
        <v>0</v>
      </c>
      <c r="BF177" s="418">
        <v>0</v>
      </c>
      <c r="BG177" s="418">
        <v>0</v>
      </c>
      <c r="BH177" s="418">
        <v>0</v>
      </c>
      <c r="BI177" s="418">
        <f t="shared" ref="BI177" si="282">AZ177+BB177+BC177+BE177+BG177</f>
        <v>0.25</v>
      </c>
      <c r="BJ177" s="418">
        <f t="shared" ref="BJ177" si="283">BA177+BD177+BH177+BF177</f>
        <v>0</v>
      </c>
      <c r="BK177" s="420">
        <f t="shared" ref="BK177" si="284">SUM(BI177:BJ177)</f>
        <v>0.25</v>
      </c>
      <c r="BL177" s="772">
        <f>I177+AY177</f>
        <v>124960</v>
      </c>
      <c r="BM177" s="417">
        <f>J177+AG177</f>
        <v>92700</v>
      </c>
      <c r="BN177" s="417">
        <f t="shared" si="263"/>
        <v>92700</v>
      </c>
      <c r="BO177" s="417">
        <f t="shared" si="263"/>
        <v>0</v>
      </c>
      <c r="BP177" s="417">
        <f>M177+AO177</f>
        <v>0</v>
      </c>
      <c r="BQ177" s="417">
        <f t="shared" si="264"/>
        <v>0</v>
      </c>
      <c r="BR177" s="417">
        <f t="shared" si="264"/>
        <v>0</v>
      </c>
      <c r="BS177" s="417">
        <f t="shared" si="265"/>
        <v>31333</v>
      </c>
      <c r="BT177" s="417">
        <f t="shared" si="265"/>
        <v>927</v>
      </c>
      <c r="BU177" s="417">
        <f>R177+AX177</f>
        <v>0</v>
      </c>
      <c r="BV177" s="418">
        <f>S177+BK177</f>
        <v>0.25</v>
      </c>
      <c r="BW177" s="418">
        <f t="shared" si="266"/>
        <v>0.25</v>
      </c>
      <c r="BX177" s="420">
        <f t="shared" si="266"/>
        <v>0</v>
      </c>
      <c r="BY177" s="419"/>
      <c r="BZ177" s="414"/>
      <c r="CA177" s="414"/>
      <c r="CB177" s="414"/>
      <c r="CC177" s="414"/>
      <c r="CD177" s="509"/>
      <c r="CE177" s="419"/>
      <c r="CF177" s="414"/>
      <c r="CG177" s="414"/>
      <c r="CH177" s="414"/>
      <c r="CI177" s="414"/>
      <c r="CJ177" s="509"/>
    </row>
    <row r="178" spans="1:88" s="221" customFormat="1" ht="12.75" customHeight="1">
      <c r="A178" s="223">
        <v>36</v>
      </c>
      <c r="B178" s="224">
        <v>3433</v>
      </c>
      <c r="C178" s="224">
        <v>600078043</v>
      </c>
      <c r="D178" s="224">
        <v>70695130</v>
      </c>
      <c r="E178" s="225" t="s">
        <v>79</v>
      </c>
      <c r="F178" s="224">
        <v>3141</v>
      </c>
      <c r="G178" s="225" t="s">
        <v>294</v>
      </c>
      <c r="H178" s="226" t="s">
        <v>272</v>
      </c>
      <c r="I178" s="419">
        <v>616850</v>
      </c>
      <c r="J178" s="414">
        <v>455983</v>
      </c>
      <c r="K178" s="414">
        <v>0</v>
      </c>
      <c r="L178" s="414">
        <v>455983</v>
      </c>
      <c r="M178" s="414">
        <v>0</v>
      </c>
      <c r="N178" s="414">
        <v>0</v>
      </c>
      <c r="O178" s="414">
        <v>0</v>
      </c>
      <c r="P178" s="68">
        <v>154123</v>
      </c>
      <c r="Q178" s="68">
        <v>4560</v>
      </c>
      <c r="R178" s="414">
        <v>2184</v>
      </c>
      <c r="S178" s="415">
        <v>1.37</v>
      </c>
      <c r="T178" s="416">
        <v>0</v>
      </c>
      <c r="U178" s="422">
        <v>1.37</v>
      </c>
      <c r="V178" s="423">
        <f t="shared" si="194"/>
        <v>0</v>
      </c>
      <c r="W178" s="417">
        <f t="shared" si="195"/>
        <v>0</v>
      </c>
      <c r="X178" s="417">
        <v>0</v>
      </c>
      <c r="Y178" s="417">
        <v>0</v>
      </c>
      <c r="Z178" s="417">
        <v>0</v>
      </c>
      <c r="AA178" s="417">
        <v>-18391</v>
      </c>
      <c r="AB178" s="417">
        <v>0</v>
      </c>
      <c r="AC178" s="417">
        <v>0</v>
      </c>
      <c r="AD178" s="417">
        <v>0</v>
      </c>
      <c r="AE178" s="417">
        <f t="shared" si="196"/>
        <v>0</v>
      </c>
      <c r="AF178" s="417">
        <f t="shared" si="197"/>
        <v>-18391</v>
      </c>
      <c r="AG178" s="417">
        <f t="shared" si="198"/>
        <v>-18391</v>
      </c>
      <c r="AH178" s="417">
        <v>0</v>
      </c>
      <c r="AI178" s="417">
        <v>0</v>
      </c>
      <c r="AJ178" s="417">
        <v>0</v>
      </c>
      <c r="AK178" s="417">
        <v>0</v>
      </c>
      <c r="AL178" s="417">
        <v>0</v>
      </c>
      <c r="AM178" s="417">
        <f t="shared" si="199"/>
        <v>0</v>
      </c>
      <c r="AN178" s="417">
        <f t="shared" si="200"/>
        <v>0</v>
      </c>
      <c r="AO178" s="417">
        <f t="shared" si="201"/>
        <v>0</v>
      </c>
      <c r="AP178" s="417">
        <f t="shared" si="202"/>
        <v>0</v>
      </c>
      <c r="AQ178" s="417">
        <f t="shared" si="203"/>
        <v>-18391</v>
      </c>
      <c r="AR178" s="417">
        <f t="shared" si="204"/>
        <v>-18391</v>
      </c>
      <c r="AS178" s="68">
        <f t="shared" si="205"/>
        <v>-6216</v>
      </c>
      <c r="AT178" s="68">
        <f t="shared" si="206"/>
        <v>-184</v>
      </c>
      <c r="AU178" s="417">
        <v>0</v>
      </c>
      <c r="AV178" s="417">
        <v>0</v>
      </c>
      <c r="AW178" s="417">
        <v>0</v>
      </c>
      <c r="AX178" s="417">
        <f t="shared" si="207"/>
        <v>0</v>
      </c>
      <c r="AY178" s="417">
        <f t="shared" si="208"/>
        <v>-24791</v>
      </c>
      <c r="AZ178" s="418">
        <v>0</v>
      </c>
      <c r="BA178" s="418">
        <v>0</v>
      </c>
      <c r="BB178" s="418">
        <v>0</v>
      </c>
      <c r="BC178" s="418">
        <v>0</v>
      </c>
      <c r="BD178" s="418">
        <v>-0.06</v>
      </c>
      <c r="BE178" s="418">
        <v>0</v>
      </c>
      <c r="BF178" s="418">
        <v>0</v>
      </c>
      <c r="BG178" s="418">
        <v>0</v>
      </c>
      <c r="BH178" s="418">
        <v>0</v>
      </c>
      <c r="BI178" s="418">
        <f t="shared" si="209"/>
        <v>0</v>
      </c>
      <c r="BJ178" s="418">
        <f t="shared" si="210"/>
        <v>-0.06</v>
      </c>
      <c r="BK178" s="420">
        <f t="shared" si="211"/>
        <v>-0.06</v>
      </c>
      <c r="BL178" s="772">
        <f>I178+AY178</f>
        <v>592059</v>
      </c>
      <c r="BM178" s="417">
        <f>J178+AG178</f>
        <v>437592</v>
      </c>
      <c r="BN178" s="417">
        <f t="shared" si="263"/>
        <v>0</v>
      </c>
      <c r="BO178" s="417">
        <f t="shared" si="263"/>
        <v>437592</v>
      </c>
      <c r="BP178" s="417">
        <f>M178+AO178</f>
        <v>0</v>
      </c>
      <c r="BQ178" s="417">
        <f t="shared" si="264"/>
        <v>0</v>
      </c>
      <c r="BR178" s="417">
        <f t="shared" si="264"/>
        <v>0</v>
      </c>
      <c r="BS178" s="417">
        <f t="shared" si="265"/>
        <v>147907</v>
      </c>
      <c r="BT178" s="417">
        <f t="shared" si="265"/>
        <v>4376</v>
      </c>
      <c r="BU178" s="417">
        <f>R178+AX178</f>
        <v>2184</v>
      </c>
      <c r="BV178" s="418">
        <f>S178+BK178</f>
        <v>1.31</v>
      </c>
      <c r="BW178" s="418">
        <f t="shared" si="266"/>
        <v>0</v>
      </c>
      <c r="BX178" s="420">
        <f t="shared" si="266"/>
        <v>1.31</v>
      </c>
      <c r="BY178" s="419"/>
      <c r="BZ178" s="414"/>
      <c r="CA178" s="414"/>
      <c r="CB178" s="414"/>
      <c r="CC178" s="414"/>
      <c r="CD178" s="509"/>
      <c r="CE178" s="419"/>
      <c r="CF178" s="601"/>
      <c r="CG178" s="414"/>
      <c r="CH178" s="414"/>
      <c r="CI178" s="601"/>
      <c r="CJ178" s="603"/>
    </row>
    <row r="179" spans="1:88" s="221" customFormat="1" ht="12.75" customHeight="1">
      <c r="A179" s="153">
        <v>36</v>
      </c>
      <c r="B179" s="14">
        <v>3433</v>
      </c>
      <c r="C179" s="152">
        <v>600078043</v>
      </c>
      <c r="D179" s="152">
        <v>70695130</v>
      </c>
      <c r="E179" s="222" t="s">
        <v>80</v>
      </c>
      <c r="F179" s="14"/>
      <c r="G179" s="222"/>
      <c r="H179" s="558"/>
      <c r="I179" s="504">
        <v>4285678</v>
      </c>
      <c r="J179" s="503">
        <v>3165203</v>
      </c>
      <c r="K179" s="503">
        <v>2363019</v>
      </c>
      <c r="L179" s="503">
        <v>802184</v>
      </c>
      <c r="M179" s="503">
        <v>0</v>
      </c>
      <c r="N179" s="503">
        <v>0</v>
      </c>
      <c r="O179" s="503">
        <v>0</v>
      </c>
      <c r="P179" s="503">
        <v>1069839</v>
      </c>
      <c r="Q179" s="503">
        <v>31652</v>
      </c>
      <c r="R179" s="503">
        <v>18984</v>
      </c>
      <c r="S179" s="543">
        <v>6.5481000000000007</v>
      </c>
      <c r="T179" s="543">
        <v>4</v>
      </c>
      <c r="U179" s="1084">
        <v>2.5481000000000003</v>
      </c>
      <c r="V179" s="504">
        <f t="shared" ref="V179:CG179" si="285">SUM(V176:V178)</f>
        <v>0</v>
      </c>
      <c r="W179" s="503">
        <f t="shared" si="285"/>
        <v>-33810</v>
      </c>
      <c r="X179" s="503">
        <f t="shared" si="285"/>
        <v>92700</v>
      </c>
      <c r="Y179" s="503">
        <f t="shared" si="285"/>
        <v>0</v>
      </c>
      <c r="Z179" s="503">
        <f t="shared" si="285"/>
        <v>0</v>
      </c>
      <c r="AA179" s="503">
        <f t="shared" si="285"/>
        <v>-18391</v>
      </c>
      <c r="AB179" s="503">
        <f t="shared" si="285"/>
        <v>0</v>
      </c>
      <c r="AC179" s="503">
        <f t="shared" si="285"/>
        <v>0</v>
      </c>
      <c r="AD179" s="503">
        <f t="shared" si="285"/>
        <v>0</v>
      </c>
      <c r="AE179" s="503">
        <f t="shared" si="285"/>
        <v>92700</v>
      </c>
      <c r="AF179" s="503">
        <f t="shared" si="285"/>
        <v>-52201</v>
      </c>
      <c r="AG179" s="503">
        <f t="shared" si="285"/>
        <v>40499</v>
      </c>
      <c r="AH179" s="503">
        <f t="shared" si="285"/>
        <v>0</v>
      </c>
      <c r="AI179" s="503">
        <f t="shared" si="285"/>
        <v>0</v>
      </c>
      <c r="AJ179" s="503">
        <f t="shared" si="285"/>
        <v>0</v>
      </c>
      <c r="AK179" s="503">
        <f t="shared" si="285"/>
        <v>0</v>
      </c>
      <c r="AL179" s="503">
        <f t="shared" si="285"/>
        <v>33810</v>
      </c>
      <c r="AM179" s="503">
        <f t="shared" si="285"/>
        <v>0</v>
      </c>
      <c r="AN179" s="503">
        <f t="shared" si="285"/>
        <v>33810</v>
      </c>
      <c r="AO179" s="503">
        <f t="shared" si="285"/>
        <v>33810</v>
      </c>
      <c r="AP179" s="503">
        <f t="shared" si="285"/>
        <v>92700</v>
      </c>
      <c r="AQ179" s="503">
        <f t="shared" si="285"/>
        <v>-18391</v>
      </c>
      <c r="AR179" s="503">
        <f t="shared" si="285"/>
        <v>74309</v>
      </c>
      <c r="AS179" s="503">
        <f t="shared" si="285"/>
        <v>13689</v>
      </c>
      <c r="AT179" s="503">
        <f t="shared" si="285"/>
        <v>405</v>
      </c>
      <c r="AU179" s="503">
        <f t="shared" si="285"/>
        <v>0</v>
      </c>
      <c r="AV179" s="503">
        <f t="shared" si="285"/>
        <v>0</v>
      </c>
      <c r="AW179" s="503">
        <f t="shared" si="285"/>
        <v>0</v>
      </c>
      <c r="AX179" s="503">
        <f t="shared" si="285"/>
        <v>0</v>
      </c>
      <c r="AY179" s="503">
        <f t="shared" si="285"/>
        <v>88403</v>
      </c>
      <c r="AZ179" s="543">
        <f t="shared" si="285"/>
        <v>0</v>
      </c>
      <c r="BA179" s="543">
        <f t="shared" si="285"/>
        <v>0</v>
      </c>
      <c r="BB179" s="543">
        <f t="shared" si="285"/>
        <v>0.25</v>
      </c>
      <c r="BC179" s="543">
        <f t="shared" si="285"/>
        <v>0</v>
      </c>
      <c r="BD179" s="543">
        <f t="shared" si="285"/>
        <v>-0.06</v>
      </c>
      <c r="BE179" s="543">
        <f t="shared" si="285"/>
        <v>0</v>
      </c>
      <c r="BF179" s="543">
        <f t="shared" si="285"/>
        <v>0</v>
      </c>
      <c r="BG179" s="543">
        <f t="shared" si="285"/>
        <v>0</v>
      </c>
      <c r="BH179" s="543">
        <f t="shared" si="285"/>
        <v>0</v>
      </c>
      <c r="BI179" s="543">
        <f t="shared" si="285"/>
        <v>0.25</v>
      </c>
      <c r="BJ179" s="543">
        <f t="shared" si="285"/>
        <v>-0.06</v>
      </c>
      <c r="BK179" s="441">
        <f t="shared" si="285"/>
        <v>0.19</v>
      </c>
      <c r="BL179" s="788">
        <f t="shared" si="285"/>
        <v>4374081</v>
      </c>
      <c r="BM179" s="503">
        <f t="shared" si="285"/>
        <v>3205702</v>
      </c>
      <c r="BN179" s="503">
        <f t="shared" si="285"/>
        <v>2455719</v>
      </c>
      <c r="BO179" s="503">
        <f t="shared" si="285"/>
        <v>749983</v>
      </c>
      <c r="BP179" s="503">
        <f t="shared" si="285"/>
        <v>33810</v>
      </c>
      <c r="BQ179" s="503">
        <f t="shared" si="285"/>
        <v>0</v>
      </c>
      <c r="BR179" s="503">
        <f t="shared" si="285"/>
        <v>33810</v>
      </c>
      <c r="BS179" s="503">
        <f t="shared" si="285"/>
        <v>1083528</v>
      </c>
      <c r="BT179" s="503">
        <f t="shared" si="285"/>
        <v>32057</v>
      </c>
      <c r="BU179" s="503">
        <f t="shared" si="285"/>
        <v>18984</v>
      </c>
      <c r="BV179" s="543">
        <f t="shared" si="285"/>
        <v>6.7381000000000011</v>
      </c>
      <c r="BW179" s="543">
        <f t="shared" si="285"/>
        <v>4.25</v>
      </c>
      <c r="BX179" s="441">
        <f t="shared" si="285"/>
        <v>2.4881000000000002</v>
      </c>
      <c r="BY179" s="799">
        <f t="shared" si="285"/>
        <v>0</v>
      </c>
      <c r="BZ179" s="705">
        <f t="shared" si="285"/>
        <v>0</v>
      </c>
      <c r="CA179" s="705">
        <f t="shared" si="285"/>
        <v>0</v>
      </c>
      <c r="CB179" s="705">
        <f t="shared" si="285"/>
        <v>0</v>
      </c>
      <c r="CC179" s="705">
        <f t="shared" si="285"/>
        <v>0</v>
      </c>
      <c r="CD179" s="800">
        <f t="shared" si="285"/>
        <v>0</v>
      </c>
      <c r="CE179" s="896">
        <f t="shared" si="285"/>
        <v>155323</v>
      </c>
      <c r="CF179" s="897">
        <f t="shared" si="285"/>
        <v>111081</v>
      </c>
      <c r="CG179" s="897">
        <f t="shared" si="285"/>
        <v>37545</v>
      </c>
      <c r="CH179" s="897">
        <f t="shared" ref="CH179:CJ179" si="286">SUM(CH176:CH178)</f>
        <v>1111</v>
      </c>
      <c r="CI179" s="897">
        <f t="shared" si="286"/>
        <v>5586</v>
      </c>
      <c r="CJ179" s="898">
        <f t="shared" si="286"/>
        <v>0.378</v>
      </c>
    </row>
    <row r="180" spans="1:88" s="221" customFormat="1" ht="12.75" customHeight="1">
      <c r="A180" s="223">
        <v>37</v>
      </c>
      <c r="B180" s="224">
        <v>3432</v>
      </c>
      <c r="C180" s="224">
        <v>600078329</v>
      </c>
      <c r="D180" s="224">
        <v>70695121</v>
      </c>
      <c r="E180" s="225" t="s">
        <v>81</v>
      </c>
      <c r="F180" s="224">
        <v>3117</v>
      </c>
      <c r="G180" s="225" t="s">
        <v>293</v>
      </c>
      <c r="H180" s="226" t="s">
        <v>271</v>
      </c>
      <c r="I180" s="419">
        <v>5328119</v>
      </c>
      <c r="J180" s="414">
        <v>3883675</v>
      </c>
      <c r="K180" s="414">
        <v>3325789</v>
      </c>
      <c r="L180" s="414">
        <v>557886</v>
      </c>
      <c r="M180" s="414">
        <v>0</v>
      </c>
      <c r="N180" s="414">
        <v>0</v>
      </c>
      <c r="O180" s="414">
        <v>0</v>
      </c>
      <c r="P180" s="68">
        <v>1312682</v>
      </c>
      <c r="Q180" s="68">
        <v>38837</v>
      </c>
      <c r="R180" s="414">
        <v>92925</v>
      </c>
      <c r="S180" s="415">
        <v>6.827300000000001</v>
      </c>
      <c r="T180" s="416">
        <v>5.3939000000000004</v>
      </c>
      <c r="U180" s="422">
        <v>1.4334</v>
      </c>
      <c r="V180" s="423">
        <f t="shared" si="194"/>
        <v>0</v>
      </c>
      <c r="W180" s="417">
        <f t="shared" si="195"/>
        <v>0</v>
      </c>
      <c r="X180" s="417">
        <v>0</v>
      </c>
      <c r="Y180" s="417">
        <v>0</v>
      </c>
      <c r="Z180" s="417">
        <v>0</v>
      </c>
      <c r="AA180" s="417">
        <v>0</v>
      </c>
      <c r="AB180" s="417">
        <v>0</v>
      </c>
      <c r="AC180" s="417">
        <v>0</v>
      </c>
      <c r="AD180" s="417">
        <v>0</v>
      </c>
      <c r="AE180" s="417">
        <f t="shared" si="196"/>
        <v>0</v>
      </c>
      <c r="AF180" s="417">
        <f t="shared" si="197"/>
        <v>0</v>
      </c>
      <c r="AG180" s="417">
        <f t="shared" si="198"/>
        <v>0</v>
      </c>
      <c r="AH180" s="417">
        <v>0</v>
      </c>
      <c r="AI180" s="417">
        <v>0</v>
      </c>
      <c r="AJ180" s="417">
        <v>0</v>
      </c>
      <c r="AK180" s="417">
        <v>0</v>
      </c>
      <c r="AL180" s="417">
        <v>0</v>
      </c>
      <c r="AM180" s="417">
        <f t="shared" si="199"/>
        <v>0</v>
      </c>
      <c r="AN180" s="417">
        <f t="shared" si="200"/>
        <v>0</v>
      </c>
      <c r="AO180" s="417">
        <f t="shared" si="201"/>
        <v>0</v>
      </c>
      <c r="AP180" s="417">
        <f t="shared" si="202"/>
        <v>0</v>
      </c>
      <c r="AQ180" s="417">
        <f t="shared" si="203"/>
        <v>0</v>
      </c>
      <c r="AR180" s="417">
        <f t="shared" si="204"/>
        <v>0</v>
      </c>
      <c r="AS180" s="68">
        <f t="shared" si="205"/>
        <v>0</v>
      </c>
      <c r="AT180" s="68">
        <f t="shared" si="206"/>
        <v>0</v>
      </c>
      <c r="AU180" s="417">
        <v>0</v>
      </c>
      <c r="AV180" s="417">
        <v>0</v>
      </c>
      <c r="AW180" s="417">
        <v>0</v>
      </c>
      <c r="AX180" s="417">
        <f t="shared" si="207"/>
        <v>0</v>
      </c>
      <c r="AY180" s="417">
        <f t="shared" si="208"/>
        <v>0</v>
      </c>
      <c r="AZ180" s="418">
        <v>0</v>
      </c>
      <c r="BA180" s="418">
        <v>0</v>
      </c>
      <c r="BB180" s="418">
        <v>0</v>
      </c>
      <c r="BC180" s="418">
        <v>0</v>
      </c>
      <c r="BD180" s="418">
        <v>0</v>
      </c>
      <c r="BE180" s="418">
        <v>0</v>
      </c>
      <c r="BF180" s="418">
        <v>0</v>
      </c>
      <c r="BG180" s="418">
        <v>0</v>
      </c>
      <c r="BH180" s="418">
        <v>0</v>
      </c>
      <c r="BI180" s="418">
        <f t="shared" si="209"/>
        <v>0</v>
      </c>
      <c r="BJ180" s="418">
        <f t="shared" si="210"/>
        <v>0</v>
      </c>
      <c r="BK180" s="420">
        <f t="shared" si="211"/>
        <v>0</v>
      </c>
      <c r="BL180" s="772">
        <f>I180+AY180</f>
        <v>5328119</v>
      </c>
      <c r="BM180" s="417">
        <f>J180+AG180</f>
        <v>3883675</v>
      </c>
      <c r="BN180" s="417">
        <f t="shared" ref="BN180:BO184" si="287">K180+AE180</f>
        <v>3325789</v>
      </c>
      <c r="BO180" s="417">
        <f t="shared" si="287"/>
        <v>557886</v>
      </c>
      <c r="BP180" s="417">
        <f>M180+AO180</f>
        <v>0</v>
      </c>
      <c r="BQ180" s="417">
        <f t="shared" ref="BQ180:BR184" si="288">N180+AM180</f>
        <v>0</v>
      </c>
      <c r="BR180" s="417">
        <f t="shared" si="288"/>
        <v>0</v>
      </c>
      <c r="BS180" s="417">
        <f t="shared" ref="BS180:BT184" si="289">P180+AS180</f>
        <v>1312682</v>
      </c>
      <c r="BT180" s="417">
        <f t="shared" si="289"/>
        <v>38837</v>
      </c>
      <c r="BU180" s="417">
        <f>R180+AX180</f>
        <v>92925</v>
      </c>
      <c r="BV180" s="418">
        <f>S180+BK180</f>
        <v>6.827300000000001</v>
      </c>
      <c r="BW180" s="418">
        <f t="shared" ref="BW180:BX184" si="290">T180+BI180</f>
        <v>5.3939000000000004</v>
      </c>
      <c r="BX180" s="420">
        <f t="shared" si="290"/>
        <v>1.4334</v>
      </c>
      <c r="BY180" s="419"/>
      <c r="BZ180" s="414"/>
      <c r="CA180" s="414"/>
      <c r="CB180" s="414"/>
      <c r="CC180" s="414"/>
      <c r="CD180" s="509"/>
      <c r="CE180" s="419">
        <v>257659</v>
      </c>
      <c r="CF180" s="414">
        <v>179084</v>
      </c>
      <c r="CG180" s="414">
        <v>60530</v>
      </c>
      <c r="CH180" s="414">
        <v>1791</v>
      </c>
      <c r="CI180" s="414">
        <v>16254</v>
      </c>
      <c r="CJ180" s="509">
        <v>0.4602</v>
      </c>
    </row>
    <row r="181" spans="1:88" s="221" customFormat="1">
      <c r="A181" s="223">
        <v>37</v>
      </c>
      <c r="B181" s="224">
        <v>3432</v>
      </c>
      <c r="C181" s="224">
        <v>600078329</v>
      </c>
      <c r="D181" s="224">
        <v>70695121</v>
      </c>
      <c r="E181" s="225" t="s">
        <v>81</v>
      </c>
      <c r="F181" s="224">
        <v>3117</v>
      </c>
      <c r="G181" s="225" t="s">
        <v>291</v>
      </c>
      <c r="H181" s="226" t="s">
        <v>272</v>
      </c>
      <c r="I181" s="419">
        <v>944149</v>
      </c>
      <c r="J181" s="414">
        <v>700407</v>
      </c>
      <c r="K181" s="414">
        <v>700407</v>
      </c>
      <c r="L181" s="414">
        <v>0</v>
      </c>
      <c r="M181" s="414">
        <v>0</v>
      </c>
      <c r="N181" s="414">
        <v>0</v>
      </c>
      <c r="O181" s="414">
        <v>0</v>
      </c>
      <c r="P181" s="68">
        <v>236738</v>
      </c>
      <c r="Q181" s="68">
        <v>7004</v>
      </c>
      <c r="R181" s="414">
        <v>0</v>
      </c>
      <c r="S181" s="415">
        <v>1.89</v>
      </c>
      <c r="T181" s="416">
        <v>1.89</v>
      </c>
      <c r="U181" s="422">
        <v>0</v>
      </c>
      <c r="V181" s="423">
        <f t="shared" si="194"/>
        <v>0</v>
      </c>
      <c r="W181" s="417">
        <f t="shared" si="195"/>
        <v>0</v>
      </c>
      <c r="X181" s="417">
        <v>0</v>
      </c>
      <c r="Y181" s="417">
        <v>0</v>
      </c>
      <c r="Z181" s="417">
        <v>0</v>
      </c>
      <c r="AA181" s="417">
        <v>0</v>
      </c>
      <c r="AB181" s="417">
        <v>0</v>
      </c>
      <c r="AC181" s="417">
        <v>0</v>
      </c>
      <c r="AD181" s="417">
        <v>0</v>
      </c>
      <c r="AE181" s="417">
        <f t="shared" si="196"/>
        <v>0</v>
      </c>
      <c r="AF181" s="417">
        <f t="shared" si="197"/>
        <v>0</v>
      </c>
      <c r="AG181" s="417">
        <f t="shared" si="198"/>
        <v>0</v>
      </c>
      <c r="AH181" s="417">
        <v>0</v>
      </c>
      <c r="AI181" s="417">
        <v>0</v>
      </c>
      <c r="AJ181" s="417">
        <v>0</v>
      </c>
      <c r="AK181" s="417">
        <v>0</v>
      </c>
      <c r="AL181" s="417">
        <v>0</v>
      </c>
      <c r="AM181" s="417">
        <f t="shared" si="199"/>
        <v>0</v>
      </c>
      <c r="AN181" s="417">
        <f t="shared" si="200"/>
        <v>0</v>
      </c>
      <c r="AO181" s="417">
        <f t="shared" si="201"/>
        <v>0</v>
      </c>
      <c r="AP181" s="417">
        <f t="shared" si="202"/>
        <v>0</v>
      </c>
      <c r="AQ181" s="417">
        <f t="shared" si="203"/>
        <v>0</v>
      </c>
      <c r="AR181" s="417">
        <f t="shared" si="204"/>
        <v>0</v>
      </c>
      <c r="AS181" s="68">
        <f t="shared" si="205"/>
        <v>0</v>
      </c>
      <c r="AT181" s="68">
        <f t="shared" si="206"/>
        <v>0</v>
      </c>
      <c r="AU181" s="417">
        <v>0</v>
      </c>
      <c r="AV181" s="417">
        <v>0</v>
      </c>
      <c r="AW181" s="417">
        <v>0</v>
      </c>
      <c r="AX181" s="417">
        <f t="shared" si="207"/>
        <v>0</v>
      </c>
      <c r="AY181" s="417">
        <f t="shared" si="208"/>
        <v>0</v>
      </c>
      <c r="AZ181" s="418">
        <v>0</v>
      </c>
      <c r="BA181" s="418">
        <v>0</v>
      </c>
      <c r="BB181" s="418">
        <v>0</v>
      </c>
      <c r="BC181" s="418">
        <v>0</v>
      </c>
      <c r="BD181" s="418">
        <v>0</v>
      </c>
      <c r="BE181" s="418">
        <v>0</v>
      </c>
      <c r="BF181" s="418">
        <v>0</v>
      </c>
      <c r="BG181" s="418">
        <v>0</v>
      </c>
      <c r="BH181" s="418">
        <v>0</v>
      </c>
      <c r="BI181" s="418">
        <f t="shared" si="209"/>
        <v>0</v>
      </c>
      <c r="BJ181" s="418">
        <f t="shared" si="210"/>
        <v>0</v>
      </c>
      <c r="BK181" s="420">
        <f t="shared" si="211"/>
        <v>0</v>
      </c>
      <c r="BL181" s="772">
        <f>I181+AY181</f>
        <v>944149</v>
      </c>
      <c r="BM181" s="417">
        <f>J181+AG181</f>
        <v>700407</v>
      </c>
      <c r="BN181" s="417">
        <f t="shared" si="287"/>
        <v>700407</v>
      </c>
      <c r="BO181" s="417">
        <f t="shared" si="287"/>
        <v>0</v>
      </c>
      <c r="BP181" s="417">
        <f>M181+AO181</f>
        <v>0</v>
      </c>
      <c r="BQ181" s="417">
        <f t="shared" si="288"/>
        <v>0</v>
      </c>
      <c r="BR181" s="417">
        <f t="shared" si="288"/>
        <v>0</v>
      </c>
      <c r="BS181" s="417">
        <f t="shared" si="289"/>
        <v>236738</v>
      </c>
      <c r="BT181" s="417">
        <f t="shared" si="289"/>
        <v>7004</v>
      </c>
      <c r="BU181" s="417">
        <f>R181+AX181</f>
        <v>0</v>
      </c>
      <c r="BV181" s="418">
        <f>S181+BK181</f>
        <v>1.89</v>
      </c>
      <c r="BW181" s="418">
        <f t="shared" si="290"/>
        <v>1.89</v>
      </c>
      <c r="BX181" s="420">
        <f t="shared" si="290"/>
        <v>0</v>
      </c>
      <c r="BY181" s="419"/>
      <c r="BZ181" s="414"/>
      <c r="CA181" s="414"/>
      <c r="CB181" s="414"/>
      <c r="CC181" s="414"/>
      <c r="CD181" s="509"/>
      <c r="CE181" s="419"/>
      <c r="CF181" s="414"/>
      <c r="CG181" s="414"/>
      <c r="CH181" s="414"/>
      <c r="CI181" s="414"/>
      <c r="CJ181" s="509"/>
    </row>
    <row r="182" spans="1:88" s="221" customFormat="1" ht="12.75" customHeight="1">
      <c r="A182" s="223">
        <v>37</v>
      </c>
      <c r="B182" s="224">
        <v>3432</v>
      </c>
      <c r="C182" s="224">
        <v>600078329</v>
      </c>
      <c r="D182" s="224">
        <v>70695121</v>
      </c>
      <c r="E182" s="225" t="s">
        <v>81</v>
      </c>
      <c r="F182" s="224">
        <v>3141</v>
      </c>
      <c r="G182" s="225" t="s">
        <v>294</v>
      </c>
      <c r="H182" s="226" t="s">
        <v>272</v>
      </c>
      <c r="I182" s="419">
        <v>630593</v>
      </c>
      <c r="J182" s="414">
        <v>465369</v>
      </c>
      <c r="K182" s="414">
        <v>0</v>
      </c>
      <c r="L182" s="414">
        <v>465369</v>
      </c>
      <c r="M182" s="414">
        <v>0</v>
      </c>
      <c r="N182" s="414">
        <v>0</v>
      </c>
      <c r="O182" s="414">
        <v>0</v>
      </c>
      <c r="P182" s="68">
        <v>157295</v>
      </c>
      <c r="Q182" s="68">
        <v>4653</v>
      </c>
      <c r="R182" s="414">
        <v>3276</v>
      </c>
      <c r="S182" s="415">
        <v>1.4</v>
      </c>
      <c r="T182" s="416">
        <v>0</v>
      </c>
      <c r="U182" s="422">
        <v>1.4</v>
      </c>
      <c r="V182" s="423">
        <f t="shared" si="194"/>
        <v>0</v>
      </c>
      <c r="W182" s="417">
        <f t="shared" si="195"/>
        <v>0</v>
      </c>
      <c r="X182" s="417">
        <v>0</v>
      </c>
      <c r="Y182" s="417">
        <v>0</v>
      </c>
      <c r="Z182" s="417">
        <v>0</v>
      </c>
      <c r="AA182" s="417">
        <v>0</v>
      </c>
      <c r="AB182" s="417">
        <v>0</v>
      </c>
      <c r="AC182" s="417">
        <v>0</v>
      </c>
      <c r="AD182" s="417">
        <v>0</v>
      </c>
      <c r="AE182" s="417">
        <f t="shared" si="196"/>
        <v>0</v>
      </c>
      <c r="AF182" s="417">
        <f t="shared" si="197"/>
        <v>0</v>
      </c>
      <c r="AG182" s="417">
        <f t="shared" si="198"/>
        <v>0</v>
      </c>
      <c r="AH182" s="417">
        <v>0</v>
      </c>
      <c r="AI182" s="417">
        <v>0</v>
      </c>
      <c r="AJ182" s="417">
        <v>0</v>
      </c>
      <c r="AK182" s="417">
        <v>0</v>
      </c>
      <c r="AL182" s="417">
        <v>0</v>
      </c>
      <c r="AM182" s="417">
        <f t="shared" si="199"/>
        <v>0</v>
      </c>
      <c r="AN182" s="417">
        <f t="shared" si="200"/>
        <v>0</v>
      </c>
      <c r="AO182" s="417">
        <f t="shared" si="201"/>
        <v>0</v>
      </c>
      <c r="AP182" s="417">
        <f t="shared" si="202"/>
        <v>0</v>
      </c>
      <c r="AQ182" s="417">
        <f t="shared" si="203"/>
        <v>0</v>
      </c>
      <c r="AR182" s="417">
        <f t="shared" si="204"/>
        <v>0</v>
      </c>
      <c r="AS182" s="68">
        <f t="shared" si="205"/>
        <v>0</v>
      </c>
      <c r="AT182" s="68">
        <f t="shared" si="206"/>
        <v>0</v>
      </c>
      <c r="AU182" s="417">
        <v>0</v>
      </c>
      <c r="AV182" s="417">
        <v>0</v>
      </c>
      <c r="AW182" s="417">
        <v>0</v>
      </c>
      <c r="AX182" s="417">
        <f t="shared" si="207"/>
        <v>0</v>
      </c>
      <c r="AY182" s="417">
        <f t="shared" si="208"/>
        <v>0</v>
      </c>
      <c r="AZ182" s="418">
        <v>0</v>
      </c>
      <c r="BA182" s="418">
        <v>0</v>
      </c>
      <c r="BB182" s="418">
        <v>0</v>
      </c>
      <c r="BC182" s="418">
        <v>0</v>
      </c>
      <c r="BD182" s="418">
        <v>0</v>
      </c>
      <c r="BE182" s="418">
        <v>0</v>
      </c>
      <c r="BF182" s="418">
        <v>0</v>
      </c>
      <c r="BG182" s="418">
        <v>0</v>
      </c>
      <c r="BH182" s="418">
        <v>0</v>
      </c>
      <c r="BI182" s="418">
        <f t="shared" si="209"/>
        <v>0</v>
      </c>
      <c r="BJ182" s="418">
        <f t="shared" si="210"/>
        <v>0</v>
      </c>
      <c r="BK182" s="420">
        <f t="shared" si="211"/>
        <v>0</v>
      </c>
      <c r="BL182" s="772">
        <f>I182+AY182</f>
        <v>630593</v>
      </c>
      <c r="BM182" s="417">
        <f>J182+AG182</f>
        <v>465369</v>
      </c>
      <c r="BN182" s="417">
        <f t="shared" si="287"/>
        <v>0</v>
      </c>
      <c r="BO182" s="417">
        <f t="shared" si="287"/>
        <v>465369</v>
      </c>
      <c r="BP182" s="417">
        <f>M182+AO182</f>
        <v>0</v>
      </c>
      <c r="BQ182" s="417">
        <f t="shared" si="288"/>
        <v>0</v>
      </c>
      <c r="BR182" s="417">
        <f t="shared" si="288"/>
        <v>0</v>
      </c>
      <c r="BS182" s="417">
        <f t="shared" si="289"/>
        <v>157295</v>
      </c>
      <c r="BT182" s="417">
        <f t="shared" si="289"/>
        <v>4653</v>
      </c>
      <c r="BU182" s="417">
        <f>R182+AX182</f>
        <v>3276</v>
      </c>
      <c r="BV182" s="418">
        <f>S182+BK182</f>
        <v>1.4</v>
      </c>
      <c r="BW182" s="418">
        <f t="shared" si="290"/>
        <v>0</v>
      </c>
      <c r="BX182" s="420">
        <f t="shared" si="290"/>
        <v>1.4</v>
      </c>
      <c r="BY182" s="419"/>
      <c r="BZ182" s="414"/>
      <c r="CA182" s="414"/>
      <c r="CB182" s="414"/>
      <c r="CC182" s="414"/>
      <c r="CD182" s="509"/>
      <c r="CE182" s="419"/>
      <c r="CF182" s="601"/>
      <c r="CG182" s="414"/>
      <c r="CH182" s="414"/>
      <c r="CI182" s="601"/>
      <c r="CJ182" s="603"/>
    </row>
    <row r="183" spans="1:88" s="221" customFormat="1" ht="12.75" customHeight="1">
      <c r="A183" s="223">
        <v>37</v>
      </c>
      <c r="B183" s="224">
        <v>3432</v>
      </c>
      <c r="C183" s="224">
        <v>600078329</v>
      </c>
      <c r="D183" s="224">
        <v>70695121</v>
      </c>
      <c r="E183" s="225" t="s">
        <v>82</v>
      </c>
      <c r="F183" s="224">
        <v>3143</v>
      </c>
      <c r="G183" s="225" t="s">
        <v>595</v>
      </c>
      <c r="H183" s="226" t="s">
        <v>271</v>
      </c>
      <c r="I183" s="419">
        <v>635318</v>
      </c>
      <c r="J183" s="414">
        <v>471304</v>
      </c>
      <c r="K183" s="414">
        <v>471304</v>
      </c>
      <c r="L183" s="414">
        <v>0</v>
      </c>
      <c r="M183" s="414">
        <v>0</v>
      </c>
      <c r="N183" s="414">
        <v>0</v>
      </c>
      <c r="O183" s="414">
        <v>0</v>
      </c>
      <c r="P183" s="68">
        <v>159301</v>
      </c>
      <c r="Q183" s="68">
        <v>4713</v>
      </c>
      <c r="R183" s="414">
        <v>0</v>
      </c>
      <c r="S183" s="415">
        <v>0.93</v>
      </c>
      <c r="T183" s="416">
        <v>0.93</v>
      </c>
      <c r="U183" s="422">
        <v>0</v>
      </c>
      <c r="V183" s="423">
        <f t="shared" si="194"/>
        <v>0</v>
      </c>
      <c r="W183" s="417">
        <f t="shared" si="195"/>
        <v>0</v>
      </c>
      <c r="X183" s="417">
        <v>0</v>
      </c>
      <c r="Y183" s="417">
        <v>0</v>
      </c>
      <c r="Z183" s="417">
        <v>0</v>
      </c>
      <c r="AA183" s="417">
        <v>0</v>
      </c>
      <c r="AB183" s="417">
        <v>0</v>
      </c>
      <c r="AC183" s="417">
        <v>0</v>
      </c>
      <c r="AD183" s="417">
        <v>0</v>
      </c>
      <c r="AE183" s="417">
        <f t="shared" si="196"/>
        <v>0</v>
      </c>
      <c r="AF183" s="417">
        <f t="shared" si="197"/>
        <v>0</v>
      </c>
      <c r="AG183" s="417">
        <f t="shared" si="198"/>
        <v>0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199"/>
        <v>0</v>
      </c>
      <c r="AN183" s="417">
        <f t="shared" si="200"/>
        <v>0</v>
      </c>
      <c r="AO183" s="417">
        <f t="shared" si="201"/>
        <v>0</v>
      </c>
      <c r="AP183" s="417">
        <f t="shared" si="202"/>
        <v>0</v>
      </c>
      <c r="AQ183" s="417">
        <f t="shared" si="203"/>
        <v>0</v>
      </c>
      <c r="AR183" s="417">
        <f t="shared" si="204"/>
        <v>0</v>
      </c>
      <c r="AS183" s="68">
        <f t="shared" si="205"/>
        <v>0</v>
      </c>
      <c r="AT183" s="68">
        <f t="shared" si="206"/>
        <v>0</v>
      </c>
      <c r="AU183" s="417">
        <v>0</v>
      </c>
      <c r="AV183" s="417">
        <v>0</v>
      </c>
      <c r="AW183" s="417">
        <v>0</v>
      </c>
      <c r="AX183" s="417">
        <f t="shared" si="207"/>
        <v>0</v>
      </c>
      <c r="AY183" s="417">
        <f t="shared" si="208"/>
        <v>0</v>
      </c>
      <c r="AZ183" s="418">
        <v>0</v>
      </c>
      <c r="BA183" s="418">
        <v>0</v>
      </c>
      <c r="BB183" s="418">
        <v>0</v>
      </c>
      <c r="BC183" s="418">
        <v>0</v>
      </c>
      <c r="BD183" s="418">
        <v>0</v>
      </c>
      <c r="BE183" s="418">
        <v>0</v>
      </c>
      <c r="BF183" s="418">
        <v>0</v>
      </c>
      <c r="BG183" s="418">
        <v>0</v>
      </c>
      <c r="BH183" s="418">
        <v>0</v>
      </c>
      <c r="BI183" s="418">
        <f t="shared" si="209"/>
        <v>0</v>
      </c>
      <c r="BJ183" s="418">
        <f t="shared" si="210"/>
        <v>0</v>
      </c>
      <c r="BK183" s="420">
        <f t="shared" si="211"/>
        <v>0</v>
      </c>
      <c r="BL183" s="772">
        <f>I183+AY183</f>
        <v>635318</v>
      </c>
      <c r="BM183" s="417">
        <f>J183+AG183</f>
        <v>471304</v>
      </c>
      <c r="BN183" s="417">
        <f t="shared" si="287"/>
        <v>471304</v>
      </c>
      <c r="BO183" s="417">
        <f t="shared" si="287"/>
        <v>0</v>
      </c>
      <c r="BP183" s="417">
        <f>M183+AO183</f>
        <v>0</v>
      </c>
      <c r="BQ183" s="417">
        <f t="shared" si="288"/>
        <v>0</v>
      </c>
      <c r="BR183" s="417">
        <f t="shared" si="288"/>
        <v>0</v>
      </c>
      <c r="BS183" s="417">
        <f t="shared" si="289"/>
        <v>159301</v>
      </c>
      <c r="BT183" s="417">
        <f t="shared" si="289"/>
        <v>4713</v>
      </c>
      <c r="BU183" s="417">
        <f>R183+AX183</f>
        <v>0</v>
      </c>
      <c r="BV183" s="418">
        <f>S183+BK183</f>
        <v>0.93</v>
      </c>
      <c r="BW183" s="418">
        <f t="shared" si="290"/>
        <v>0.93</v>
      </c>
      <c r="BX183" s="420">
        <f t="shared" si="290"/>
        <v>0</v>
      </c>
      <c r="BY183" s="419"/>
      <c r="BZ183" s="414"/>
      <c r="CA183" s="414"/>
      <c r="CB183" s="414"/>
      <c r="CC183" s="414"/>
      <c r="CD183" s="509"/>
      <c r="CE183" s="419"/>
      <c r="CF183" s="414"/>
      <c r="CG183" s="414"/>
      <c r="CH183" s="414"/>
      <c r="CI183" s="414"/>
      <c r="CJ183" s="509"/>
    </row>
    <row r="184" spans="1:88" s="221" customFormat="1" ht="13.5" customHeight="1">
      <c r="A184" s="223">
        <v>37</v>
      </c>
      <c r="B184" s="224">
        <v>3432</v>
      </c>
      <c r="C184" s="224">
        <v>600078329</v>
      </c>
      <c r="D184" s="224">
        <v>70695121</v>
      </c>
      <c r="E184" s="225" t="s">
        <v>82</v>
      </c>
      <c r="F184" s="224">
        <v>3143</v>
      </c>
      <c r="G184" s="225" t="s">
        <v>596</v>
      </c>
      <c r="H184" s="226" t="s">
        <v>272</v>
      </c>
      <c r="I184" s="419">
        <v>16904</v>
      </c>
      <c r="J184" s="414">
        <v>12100</v>
      </c>
      <c r="K184" s="414">
        <v>0</v>
      </c>
      <c r="L184" s="414">
        <v>12100</v>
      </c>
      <c r="M184" s="414">
        <v>0</v>
      </c>
      <c r="N184" s="414">
        <v>0</v>
      </c>
      <c r="O184" s="414">
        <v>0</v>
      </c>
      <c r="P184" s="68">
        <v>4089</v>
      </c>
      <c r="Q184" s="68">
        <v>121</v>
      </c>
      <c r="R184" s="414">
        <v>594</v>
      </c>
      <c r="S184" s="415">
        <v>0.05</v>
      </c>
      <c r="T184" s="416">
        <v>0</v>
      </c>
      <c r="U184" s="422">
        <v>0.05</v>
      </c>
      <c r="V184" s="423">
        <f t="shared" si="194"/>
        <v>0</v>
      </c>
      <c r="W184" s="417">
        <f t="shared" si="195"/>
        <v>0</v>
      </c>
      <c r="X184" s="417">
        <v>0</v>
      </c>
      <c r="Y184" s="417">
        <v>0</v>
      </c>
      <c r="Z184" s="417">
        <v>0</v>
      </c>
      <c r="AA184" s="417">
        <v>0</v>
      </c>
      <c r="AB184" s="417">
        <v>0</v>
      </c>
      <c r="AC184" s="417">
        <v>0</v>
      </c>
      <c r="AD184" s="417">
        <v>0</v>
      </c>
      <c r="AE184" s="417">
        <f t="shared" si="196"/>
        <v>0</v>
      </c>
      <c r="AF184" s="417">
        <f t="shared" si="197"/>
        <v>0</v>
      </c>
      <c r="AG184" s="417">
        <f t="shared" si="198"/>
        <v>0</v>
      </c>
      <c r="AH184" s="417">
        <v>0</v>
      </c>
      <c r="AI184" s="417">
        <v>0</v>
      </c>
      <c r="AJ184" s="417">
        <v>0</v>
      </c>
      <c r="AK184" s="417">
        <v>0</v>
      </c>
      <c r="AL184" s="417">
        <v>0</v>
      </c>
      <c r="AM184" s="417">
        <f t="shared" si="199"/>
        <v>0</v>
      </c>
      <c r="AN184" s="417">
        <f t="shared" si="200"/>
        <v>0</v>
      </c>
      <c r="AO184" s="417">
        <f t="shared" si="201"/>
        <v>0</v>
      </c>
      <c r="AP184" s="417">
        <f t="shared" si="202"/>
        <v>0</v>
      </c>
      <c r="AQ184" s="417">
        <f t="shared" si="203"/>
        <v>0</v>
      </c>
      <c r="AR184" s="417">
        <f t="shared" si="204"/>
        <v>0</v>
      </c>
      <c r="AS184" s="68">
        <f t="shared" si="205"/>
        <v>0</v>
      </c>
      <c r="AT184" s="68">
        <f t="shared" si="206"/>
        <v>0</v>
      </c>
      <c r="AU184" s="417">
        <v>0</v>
      </c>
      <c r="AV184" s="417">
        <v>0</v>
      </c>
      <c r="AW184" s="417">
        <v>0</v>
      </c>
      <c r="AX184" s="417">
        <f t="shared" si="207"/>
        <v>0</v>
      </c>
      <c r="AY184" s="417">
        <f t="shared" si="208"/>
        <v>0</v>
      </c>
      <c r="AZ184" s="418">
        <v>0</v>
      </c>
      <c r="BA184" s="418">
        <v>0</v>
      </c>
      <c r="BB184" s="418">
        <v>0</v>
      </c>
      <c r="BC184" s="418">
        <v>0</v>
      </c>
      <c r="BD184" s="418">
        <v>0</v>
      </c>
      <c r="BE184" s="418">
        <v>0</v>
      </c>
      <c r="BF184" s="418">
        <v>0</v>
      </c>
      <c r="BG184" s="418">
        <v>0</v>
      </c>
      <c r="BH184" s="418">
        <v>0</v>
      </c>
      <c r="BI184" s="418">
        <f t="shared" si="209"/>
        <v>0</v>
      </c>
      <c r="BJ184" s="418">
        <f t="shared" si="210"/>
        <v>0</v>
      </c>
      <c r="BK184" s="420">
        <f t="shared" si="211"/>
        <v>0</v>
      </c>
      <c r="BL184" s="772">
        <f>I184+AY184</f>
        <v>16904</v>
      </c>
      <c r="BM184" s="417">
        <f>J184+AG184</f>
        <v>12100</v>
      </c>
      <c r="BN184" s="417">
        <f t="shared" si="287"/>
        <v>0</v>
      </c>
      <c r="BO184" s="417">
        <f t="shared" si="287"/>
        <v>12100</v>
      </c>
      <c r="BP184" s="417">
        <f>M184+AO184</f>
        <v>0</v>
      </c>
      <c r="BQ184" s="417">
        <f t="shared" si="288"/>
        <v>0</v>
      </c>
      <c r="BR184" s="417">
        <f t="shared" si="288"/>
        <v>0</v>
      </c>
      <c r="BS184" s="417">
        <f t="shared" si="289"/>
        <v>4089</v>
      </c>
      <c r="BT184" s="417">
        <f t="shared" si="289"/>
        <v>121</v>
      </c>
      <c r="BU184" s="417">
        <f>R184+AX184</f>
        <v>594</v>
      </c>
      <c r="BV184" s="418">
        <f>S184+BK184</f>
        <v>0.05</v>
      </c>
      <c r="BW184" s="418">
        <f t="shared" si="290"/>
        <v>0</v>
      </c>
      <c r="BX184" s="420">
        <f t="shared" si="290"/>
        <v>0.05</v>
      </c>
      <c r="BY184" s="419"/>
      <c r="BZ184" s="414"/>
      <c r="CA184" s="414"/>
      <c r="CB184" s="414"/>
      <c r="CC184" s="414"/>
      <c r="CD184" s="509"/>
      <c r="CE184" s="419"/>
      <c r="CF184" s="601"/>
      <c r="CG184" s="414"/>
      <c r="CH184" s="414"/>
      <c r="CI184" s="602"/>
      <c r="CJ184" s="603"/>
    </row>
    <row r="185" spans="1:88" s="221" customFormat="1" ht="13.5" customHeight="1">
      <c r="A185" s="153">
        <v>37</v>
      </c>
      <c r="B185" s="14">
        <v>3432</v>
      </c>
      <c r="C185" s="152">
        <v>600078329</v>
      </c>
      <c r="D185" s="152">
        <v>70695121</v>
      </c>
      <c r="E185" s="222" t="s">
        <v>83</v>
      </c>
      <c r="F185" s="14"/>
      <c r="G185" s="222"/>
      <c r="H185" s="558"/>
      <c r="I185" s="504">
        <v>7555083</v>
      </c>
      <c r="J185" s="503">
        <v>5532855</v>
      </c>
      <c r="K185" s="503">
        <v>4497500</v>
      </c>
      <c r="L185" s="503">
        <v>1035355</v>
      </c>
      <c r="M185" s="503">
        <v>0</v>
      </c>
      <c r="N185" s="503">
        <v>0</v>
      </c>
      <c r="O185" s="503">
        <v>0</v>
      </c>
      <c r="P185" s="503">
        <v>1870105</v>
      </c>
      <c r="Q185" s="503">
        <v>55328</v>
      </c>
      <c r="R185" s="503">
        <v>96795</v>
      </c>
      <c r="S185" s="543">
        <v>11.097300000000002</v>
      </c>
      <c r="T185" s="543">
        <v>8.2139000000000006</v>
      </c>
      <c r="U185" s="1084">
        <v>2.8834</v>
      </c>
      <c r="V185" s="504">
        <f t="shared" ref="V185:CG185" si="291">SUM(V180:V184)</f>
        <v>0</v>
      </c>
      <c r="W185" s="503">
        <f t="shared" si="291"/>
        <v>0</v>
      </c>
      <c r="X185" s="503">
        <f t="shared" si="291"/>
        <v>0</v>
      </c>
      <c r="Y185" s="503">
        <f t="shared" si="291"/>
        <v>0</v>
      </c>
      <c r="Z185" s="503">
        <f t="shared" si="291"/>
        <v>0</v>
      </c>
      <c r="AA185" s="503">
        <f t="shared" si="291"/>
        <v>0</v>
      </c>
      <c r="AB185" s="503">
        <f t="shared" si="291"/>
        <v>0</v>
      </c>
      <c r="AC185" s="503">
        <f t="shared" si="291"/>
        <v>0</v>
      </c>
      <c r="AD185" s="503">
        <f t="shared" si="291"/>
        <v>0</v>
      </c>
      <c r="AE185" s="503">
        <f t="shared" si="291"/>
        <v>0</v>
      </c>
      <c r="AF185" s="503">
        <f t="shared" si="291"/>
        <v>0</v>
      </c>
      <c r="AG185" s="503">
        <f t="shared" si="291"/>
        <v>0</v>
      </c>
      <c r="AH185" s="503">
        <f t="shared" si="291"/>
        <v>0</v>
      </c>
      <c r="AI185" s="503">
        <f t="shared" si="291"/>
        <v>0</v>
      </c>
      <c r="AJ185" s="503">
        <f t="shared" si="291"/>
        <v>0</v>
      </c>
      <c r="AK185" s="503">
        <f t="shared" si="291"/>
        <v>0</v>
      </c>
      <c r="AL185" s="503">
        <f t="shared" si="291"/>
        <v>0</v>
      </c>
      <c r="AM185" s="503">
        <f t="shared" si="291"/>
        <v>0</v>
      </c>
      <c r="AN185" s="503">
        <f t="shared" si="291"/>
        <v>0</v>
      </c>
      <c r="AO185" s="503">
        <f t="shared" si="291"/>
        <v>0</v>
      </c>
      <c r="AP185" s="503">
        <f t="shared" si="291"/>
        <v>0</v>
      </c>
      <c r="AQ185" s="503">
        <f t="shared" si="291"/>
        <v>0</v>
      </c>
      <c r="AR185" s="503">
        <f t="shared" si="291"/>
        <v>0</v>
      </c>
      <c r="AS185" s="503">
        <f t="shared" si="291"/>
        <v>0</v>
      </c>
      <c r="AT185" s="503">
        <f t="shared" si="291"/>
        <v>0</v>
      </c>
      <c r="AU185" s="503">
        <f t="shared" si="291"/>
        <v>0</v>
      </c>
      <c r="AV185" s="503">
        <f t="shared" si="291"/>
        <v>0</v>
      </c>
      <c r="AW185" s="503">
        <f t="shared" si="291"/>
        <v>0</v>
      </c>
      <c r="AX185" s="503">
        <f t="shared" si="291"/>
        <v>0</v>
      </c>
      <c r="AY185" s="503">
        <f t="shared" si="291"/>
        <v>0</v>
      </c>
      <c r="AZ185" s="543">
        <f t="shared" si="291"/>
        <v>0</v>
      </c>
      <c r="BA185" s="543">
        <f t="shared" si="291"/>
        <v>0</v>
      </c>
      <c r="BB185" s="543">
        <f t="shared" si="291"/>
        <v>0</v>
      </c>
      <c r="BC185" s="543">
        <f t="shared" si="291"/>
        <v>0</v>
      </c>
      <c r="BD185" s="543">
        <f t="shared" si="291"/>
        <v>0</v>
      </c>
      <c r="BE185" s="543">
        <f t="shared" si="291"/>
        <v>0</v>
      </c>
      <c r="BF185" s="543">
        <f t="shared" si="291"/>
        <v>0</v>
      </c>
      <c r="BG185" s="543">
        <f t="shared" si="291"/>
        <v>0</v>
      </c>
      <c r="BH185" s="543">
        <f t="shared" si="291"/>
        <v>0</v>
      </c>
      <c r="BI185" s="543">
        <f t="shared" si="291"/>
        <v>0</v>
      </c>
      <c r="BJ185" s="543">
        <f t="shared" si="291"/>
        <v>0</v>
      </c>
      <c r="BK185" s="441">
        <f t="shared" si="291"/>
        <v>0</v>
      </c>
      <c r="BL185" s="788">
        <f t="shared" si="291"/>
        <v>7555083</v>
      </c>
      <c r="BM185" s="503">
        <f t="shared" si="291"/>
        <v>5532855</v>
      </c>
      <c r="BN185" s="503">
        <f t="shared" si="291"/>
        <v>4497500</v>
      </c>
      <c r="BO185" s="503">
        <f t="shared" si="291"/>
        <v>1035355</v>
      </c>
      <c r="BP185" s="503">
        <f t="shared" si="291"/>
        <v>0</v>
      </c>
      <c r="BQ185" s="503">
        <f t="shared" si="291"/>
        <v>0</v>
      </c>
      <c r="BR185" s="503">
        <f t="shared" si="291"/>
        <v>0</v>
      </c>
      <c r="BS185" s="503">
        <f t="shared" si="291"/>
        <v>1870105</v>
      </c>
      <c r="BT185" s="503">
        <f t="shared" si="291"/>
        <v>55328</v>
      </c>
      <c r="BU185" s="503">
        <f t="shared" si="291"/>
        <v>96795</v>
      </c>
      <c r="BV185" s="543">
        <f t="shared" si="291"/>
        <v>11.097300000000002</v>
      </c>
      <c r="BW185" s="543">
        <f t="shared" si="291"/>
        <v>8.2139000000000006</v>
      </c>
      <c r="BX185" s="441">
        <f t="shared" si="291"/>
        <v>2.8834</v>
      </c>
      <c r="BY185" s="799">
        <f t="shared" si="291"/>
        <v>0</v>
      </c>
      <c r="BZ185" s="705">
        <f t="shared" si="291"/>
        <v>0</v>
      </c>
      <c r="CA185" s="705">
        <f t="shared" si="291"/>
        <v>0</v>
      </c>
      <c r="CB185" s="705">
        <f t="shared" si="291"/>
        <v>0</v>
      </c>
      <c r="CC185" s="705">
        <f t="shared" si="291"/>
        <v>0</v>
      </c>
      <c r="CD185" s="800">
        <f t="shared" si="291"/>
        <v>0</v>
      </c>
      <c r="CE185" s="896">
        <f t="shared" si="291"/>
        <v>257659</v>
      </c>
      <c r="CF185" s="897">
        <f t="shared" si="291"/>
        <v>179084</v>
      </c>
      <c r="CG185" s="897">
        <f t="shared" si="291"/>
        <v>60530</v>
      </c>
      <c r="CH185" s="897">
        <f t="shared" ref="CH185:CJ185" si="292">SUM(CH180:CH184)</f>
        <v>1791</v>
      </c>
      <c r="CI185" s="897">
        <f t="shared" si="292"/>
        <v>16254</v>
      </c>
      <c r="CJ185" s="898">
        <f t="shared" si="292"/>
        <v>0.4602</v>
      </c>
    </row>
    <row r="186" spans="1:88" s="221" customFormat="1" ht="12.75" customHeight="1">
      <c r="A186" s="223">
        <v>38</v>
      </c>
      <c r="B186" s="224">
        <v>3435</v>
      </c>
      <c r="C186" s="224">
        <v>650022131</v>
      </c>
      <c r="D186" s="224">
        <v>70981531</v>
      </c>
      <c r="E186" s="225" t="s">
        <v>84</v>
      </c>
      <c r="F186" s="224">
        <v>3111</v>
      </c>
      <c r="G186" s="225" t="s">
        <v>290</v>
      </c>
      <c r="H186" s="226" t="s">
        <v>271</v>
      </c>
      <c r="I186" s="419">
        <v>8014912</v>
      </c>
      <c r="J186" s="414">
        <v>5913363</v>
      </c>
      <c r="K186" s="414">
        <v>5472318</v>
      </c>
      <c r="L186" s="414">
        <v>441045</v>
      </c>
      <c r="M186" s="414">
        <v>0</v>
      </c>
      <c r="N186" s="414">
        <v>0</v>
      </c>
      <c r="O186" s="414">
        <v>0</v>
      </c>
      <c r="P186" s="68">
        <v>1998716</v>
      </c>
      <c r="Q186" s="68">
        <v>59133</v>
      </c>
      <c r="R186" s="414">
        <v>43700</v>
      </c>
      <c r="S186" s="415">
        <v>11.556999999999999</v>
      </c>
      <c r="T186" s="416">
        <v>9.7899999999999991</v>
      </c>
      <c r="U186" s="422">
        <v>1.7669999999999999</v>
      </c>
      <c r="V186" s="423">
        <f t="shared" si="194"/>
        <v>0</v>
      </c>
      <c r="W186" s="417">
        <f t="shared" si="195"/>
        <v>0</v>
      </c>
      <c r="X186" s="417">
        <v>0</v>
      </c>
      <c r="Y186" s="417">
        <v>0</v>
      </c>
      <c r="Z186" s="417">
        <v>0</v>
      </c>
      <c r="AA186" s="417">
        <v>0</v>
      </c>
      <c r="AB186" s="417">
        <v>0</v>
      </c>
      <c r="AC186" s="417">
        <v>0</v>
      </c>
      <c r="AD186" s="417">
        <v>0</v>
      </c>
      <c r="AE186" s="417">
        <f t="shared" si="196"/>
        <v>0</v>
      </c>
      <c r="AF186" s="417">
        <f t="shared" si="197"/>
        <v>0</v>
      </c>
      <c r="AG186" s="417">
        <f t="shared" si="198"/>
        <v>0</v>
      </c>
      <c r="AH186" s="417">
        <v>0</v>
      </c>
      <c r="AI186" s="417">
        <v>0</v>
      </c>
      <c r="AJ186" s="417">
        <v>0</v>
      </c>
      <c r="AK186" s="417">
        <v>0</v>
      </c>
      <c r="AL186" s="417">
        <v>0</v>
      </c>
      <c r="AM186" s="417">
        <f t="shared" si="199"/>
        <v>0</v>
      </c>
      <c r="AN186" s="417">
        <f t="shared" si="200"/>
        <v>0</v>
      </c>
      <c r="AO186" s="417">
        <f t="shared" si="201"/>
        <v>0</v>
      </c>
      <c r="AP186" s="417">
        <f t="shared" si="202"/>
        <v>0</v>
      </c>
      <c r="AQ186" s="417">
        <f t="shared" si="203"/>
        <v>0</v>
      </c>
      <c r="AR186" s="417">
        <f t="shared" si="204"/>
        <v>0</v>
      </c>
      <c r="AS186" s="68">
        <f t="shared" si="205"/>
        <v>0</v>
      </c>
      <c r="AT186" s="68">
        <f t="shared" si="206"/>
        <v>0</v>
      </c>
      <c r="AU186" s="417">
        <v>0</v>
      </c>
      <c r="AV186" s="417">
        <v>0</v>
      </c>
      <c r="AW186" s="417">
        <v>0</v>
      </c>
      <c r="AX186" s="417">
        <f t="shared" si="207"/>
        <v>0</v>
      </c>
      <c r="AY186" s="417">
        <f t="shared" si="208"/>
        <v>0</v>
      </c>
      <c r="AZ186" s="418">
        <v>0</v>
      </c>
      <c r="BA186" s="418">
        <v>0</v>
      </c>
      <c r="BB186" s="418">
        <v>0</v>
      </c>
      <c r="BC186" s="418">
        <v>0</v>
      </c>
      <c r="BD186" s="418">
        <v>0</v>
      </c>
      <c r="BE186" s="418">
        <v>0</v>
      </c>
      <c r="BF186" s="418">
        <v>0</v>
      </c>
      <c r="BG186" s="418">
        <v>0</v>
      </c>
      <c r="BH186" s="418">
        <v>0</v>
      </c>
      <c r="BI186" s="418">
        <f t="shared" si="209"/>
        <v>0</v>
      </c>
      <c r="BJ186" s="418">
        <f t="shared" si="210"/>
        <v>0</v>
      </c>
      <c r="BK186" s="420">
        <f t="shared" si="211"/>
        <v>0</v>
      </c>
      <c r="BL186" s="772">
        <f t="shared" ref="BL186:BL191" si="293">I186+AY186</f>
        <v>8014912</v>
      </c>
      <c r="BM186" s="417">
        <f t="shared" ref="BM186:BM191" si="294">J186+AG186</f>
        <v>5913363</v>
      </c>
      <c r="BN186" s="417">
        <f t="shared" ref="BN186:BO191" si="295">K186+AE186</f>
        <v>5472318</v>
      </c>
      <c r="BO186" s="417">
        <f t="shared" si="295"/>
        <v>441045</v>
      </c>
      <c r="BP186" s="417">
        <f t="shared" ref="BP186:BP191" si="296">M186+AO186</f>
        <v>0</v>
      </c>
      <c r="BQ186" s="417">
        <f t="shared" ref="BQ186:BR191" si="297">N186+AM186</f>
        <v>0</v>
      </c>
      <c r="BR186" s="417">
        <f t="shared" si="297"/>
        <v>0</v>
      </c>
      <c r="BS186" s="417">
        <f t="shared" ref="BS186:BT191" si="298">P186+AS186</f>
        <v>1998716</v>
      </c>
      <c r="BT186" s="417">
        <f t="shared" si="298"/>
        <v>59133</v>
      </c>
      <c r="BU186" s="417">
        <f t="shared" ref="BU186:BU191" si="299">R186+AX186</f>
        <v>43700</v>
      </c>
      <c r="BV186" s="418">
        <f t="shared" ref="BV186:BV191" si="300">S186+BK186</f>
        <v>11.556999999999999</v>
      </c>
      <c r="BW186" s="418">
        <f t="shared" ref="BW186:BX191" si="301">T186+BI186</f>
        <v>9.7899999999999991</v>
      </c>
      <c r="BX186" s="420">
        <f t="shared" si="301"/>
        <v>1.7669999999999999</v>
      </c>
      <c r="BY186" s="419"/>
      <c r="BZ186" s="414"/>
      <c r="CA186" s="414"/>
      <c r="CB186" s="414"/>
      <c r="CC186" s="414"/>
      <c r="CD186" s="509"/>
      <c r="CE186" s="419">
        <v>205309</v>
      </c>
      <c r="CF186" s="414">
        <v>141525</v>
      </c>
      <c r="CG186" s="414">
        <v>47835</v>
      </c>
      <c r="CH186" s="414">
        <v>1415</v>
      </c>
      <c r="CI186" s="414">
        <v>14534</v>
      </c>
      <c r="CJ186" s="509">
        <v>0.56699999999999995</v>
      </c>
    </row>
    <row r="187" spans="1:88" s="221" customFormat="1" ht="13.5" customHeight="1">
      <c r="A187" s="223">
        <v>38</v>
      </c>
      <c r="B187" s="224">
        <v>3435</v>
      </c>
      <c r="C187" s="224">
        <v>650022131</v>
      </c>
      <c r="D187" s="224">
        <v>70981531</v>
      </c>
      <c r="E187" s="225" t="s">
        <v>84</v>
      </c>
      <c r="F187" s="224">
        <v>3113</v>
      </c>
      <c r="G187" s="225" t="s">
        <v>293</v>
      </c>
      <c r="H187" s="226" t="s">
        <v>271</v>
      </c>
      <c r="I187" s="419">
        <v>26840623</v>
      </c>
      <c r="J187" s="414">
        <v>19372138</v>
      </c>
      <c r="K187" s="414">
        <v>17059750</v>
      </c>
      <c r="L187" s="414">
        <v>2312388</v>
      </c>
      <c r="M187" s="414">
        <v>194200</v>
      </c>
      <c r="N187" s="414">
        <v>184200</v>
      </c>
      <c r="O187" s="414">
        <v>10000</v>
      </c>
      <c r="P187" s="68">
        <v>6613423</v>
      </c>
      <c r="Q187" s="68">
        <v>193722</v>
      </c>
      <c r="R187" s="414">
        <v>467140</v>
      </c>
      <c r="S187" s="415">
        <v>31.911299999999997</v>
      </c>
      <c r="T187" s="416">
        <v>25.000499999999999</v>
      </c>
      <c r="U187" s="422">
        <v>6.9108000000000001</v>
      </c>
      <c r="V187" s="423">
        <f t="shared" si="194"/>
        <v>15000</v>
      </c>
      <c r="W187" s="417">
        <f t="shared" si="195"/>
        <v>-10000</v>
      </c>
      <c r="X187" s="417">
        <v>0</v>
      </c>
      <c r="Y187" s="417">
        <v>0</v>
      </c>
      <c r="Z187" s="417">
        <v>0</v>
      </c>
      <c r="AA187" s="417">
        <v>0</v>
      </c>
      <c r="AB187" s="417">
        <v>0</v>
      </c>
      <c r="AC187" s="417">
        <v>0</v>
      </c>
      <c r="AD187" s="417">
        <v>0</v>
      </c>
      <c r="AE187" s="417">
        <f t="shared" si="196"/>
        <v>15000</v>
      </c>
      <c r="AF187" s="417">
        <f t="shared" si="197"/>
        <v>-10000</v>
      </c>
      <c r="AG187" s="417">
        <f t="shared" si="198"/>
        <v>5000</v>
      </c>
      <c r="AH187" s="417">
        <v>-15000</v>
      </c>
      <c r="AI187" s="417">
        <v>10000</v>
      </c>
      <c r="AJ187" s="417">
        <v>0</v>
      </c>
      <c r="AK187" s="417">
        <v>0</v>
      </c>
      <c r="AL187" s="417">
        <v>0</v>
      </c>
      <c r="AM187" s="417">
        <f t="shared" si="199"/>
        <v>-15000</v>
      </c>
      <c r="AN187" s="417">
        <f t="shared" si="200"/>
        <v>10000</v>
      </c>
      <c r="AO187" s="417">
        <f t="shared" si="201"/>
        <v>-5000</v>
      </c>
      <c r="AP187" s="417">
        <f t="shared" si="202"/>
        <v>0</v>
      </c>
      <c r="AQ187" s="417">
        <f t="shared" si="203"/>
        <v>0</v>
      </c>
      <c r="AR187" s="417">
        <f t="shared" si="204"/>
        <v>0</v>
      </c>
      <c r="AS187" s="68">
        <f t="shared" si="205"/>
        <v>0</v>
      </c>
      <c r="AT187" s="68">
        <f t="shared" si="206"/>
        <v>50</v>
      </c>
      <c r="AU187" s="417">
        <v>0</v>
      </c>
      <c r="AV187" s="417">
        <v>0</v>
      </c>
      <c r="AW187" s="417">
        <v>0</v>
      </c>
      <c r="AX187" s="417">
        <f t="shared" si="207"/>
        <v>0</v>
      </c>
      <c r="AY187" s="417">
        <f t="shared" si="208"/>
        <v>50</v>
      </c>
      <c r="AZ187" s="418">
        <v>-0.28999999999999998</v>
      </c>
      <c r="BA187" s="418">
        <v>-0.04</v>
      </c>
      <c r="BB187" s="418">
        <v>0</v>
      </c>
      <c r="BC187" s="418">
        <v>0</v>
      </c>
      <c r="BD187" s="418">
        <v>0</v>
      </c>
      <c r="BE187" s="418">
        <v>0</v>
      </c>
      <c r="BF187" s="418">
        <v>0</v>
      </c>
      <c r="BG187" s="418">
        <v>0</v>
      </c>
      <c r="BH187" s="418">
        <v>0</v>
      </c>
      <c r="BI187" s="418">
        <f t="shared" si="209"/>
        <v>-0.28999999999999998</v>
      </c>
      <c r="BJ187" s="418">
        <f t="shared" si="210"/>
        <v>-0.04</v>
      </c>
      <c r="BK187" s="420">
        <f t="shared" si="211"/>
        <v>-0.32999999999999996</v>
      </c>
      <c r="BL187" s="772">
        <f t="shared" si="293"/>
        <v>26840673</v>
      </c>
      <c r="BM187" s="417">
        <f t="shared" si="294"/>
        <v>19377138</v>
      </c>
      <c r="BN187" s="417">
        <f t="shared" si="295"/>
        <v>17074750</v>
      </c>
      <c r="BO187" s="417">
        <f t="shared" si="295"/>
        <v>2302388</v>
      </c>
      <c r="BP187" s="417">
        <f t="shared" si="296"/>
        <v>189200</v>
      </c>
      <c r="BQ187" s="417">
        <f t="shared" si="297"/>
        <v>169200</v>
      </c>
      <c r="BR187" s="417">
        <f t="shared" si="297"/>
        <v>20000</v>
      </c>
      <c r="BS187" s="417">
        <f t="shared" si="298"/>
        <v>6613423</v>
      </c>
      <c r="BT187" s="417">
        <f t="shared" si="298"/>
        <v>193772</v>
      </c>
      <c r="BU187" s="417">
        <f t="shared" si="299"/>
        <v>467140</v>
      </c>
      <c r="BV187" s="418">
        <f t="shared" si="300"/>
        <v>31.581299999999999</v>
      </c>
      <c r="BW187" s="418">
        <f t="shared" si="301"/>
        <v>24.7105</v>
      </c>
      <c r="BX187" s="420">
        <f t="shared" si="301"/>
        <v>6.8708</v>
      </c>
      <c r="BY187" s="419">
        <v>606526</v>
      </c>
      <c r="BZ187" s="414">
        <v>282000</v>
      </c>
      <c r="CA187" s="414">
        <v>169200</v>
      </c>
      <c r="CB187" s="414">
        <v>152506</v>
      </c>
      <c r="CC187" s="414">
        <v>2820</v>
      </c>
      <c r="CD187" s="509">
        <v>0.5</v>
      </c>
      <c r="CE187" s="414">
        <v>1110086</v>
      </c>
      <c r="CF187" s="414">
        <v>745402</v>
      </c>
      <c r="CG187" s="414">
        <v>251946</v>
      </c>
      <c r="CH187" s="414">
        <v>7454</v>
      </c>
      <c r="CI187" s="414">
        <v>105284</v>
      </c>
      <c r="CJ187" s="415">
        <v>2.2279</v>
      </c>
    </row>
    <row r="188" spans="1:88" s="221" customFormat="1" ht="13.5" customHeight="1">
      <c r="A188" s="223">
        <v>38</v>
      </c>
      <c r="B188" s="224">
        <v>3435</v>
      </c>
      <c r="C188" s="224">
        <v>650022131</v>
      </c>
      <c r="D188" s="224">
        <v>70981531</v>
      </c>
      <c r="E188" s="225" t="s">
        <v>84</v>
      </c>
      <c r="F188" s="224">
        <v>3113</v>
      </c>
      <c r="G188" s="225" t="s">
        <v>291</v>
      </c>
      <c r="H188" s="226" t="s">
        <v>272</v>
      </c>
      <c r="I188" s="419">
        <v>6824370</v>
      </c>
      <c r="J188" s="414">
        <v>5059807</v>
      </c>
      <c r="K188" s="414">
        <v>5059807</v>
      </c>
      <c r="L188" s="414">
        <v>0</v>
      </c>
      <c r="M188" s="414">
        <v>0</v>
      </c>
      <c r="N188" s="414">
        <v>0</v>
      </c>
      <c r="O188" s="414">
        <v>0</v>
      </c>
      <c r="P188" s="68">
        <v>1710215</v>
      </c>
      <c r="Q188" s="68">
        <v>50598</v>
      </c>
      <c r="R188" s="414">
        <v>3750</v>
      </c>
      <c r="S188" s="415">
        <v>13.46</v>
      </c>
      <c r="T188" s="416">
        <v>13.46</v>
      </c>
      <c r="U188" s="422">
        <v>0</v>
      </c>
      <c r="V188" s="423">
        <f t="shared" si="194"/>
        <v>0</v>
      </c>
      <c r="W188" s="417">
        <f t="shared" si="195"/>
        <v>0</v>
      </c>
      <c r="X188" s="417">
        <f>-56291+15450</f>
        <v>-40841</v>
      </c>
      <c r="Y188" s="417">
        <v>0</v>
      </c>
      <c r="Z188" s="417">
        <v>0</v>
      </c>
      <c r="AA188" s="417">
        <v>0</v>
      </c>
      <c r="AB188" s="417">
        <v>0</v>
      </c>
      <c r="AC188" s="417">
        <v>0</v>
      </c>
      <c r="AD188" s="417">
        <v>0</v>
      </c>
      <c r="AE188" s="417">
        <f t="shared" si="196"/>
        <v>-40841</v>
      </c>
      <c r="AF188" s="417">
        <f t="shared" si="197"/>
        <v>0</v>
      </c>
      <c r="AG188" s="417">
        <f t="shared" si="198"/>
        <v>-40841</v>
      </c>
      <c r="AH188" s="417">
        <v>0</v>
      </c>
      <c r="AI188" s="417">
        <v>0</v>
      </c>
      <c r="AJ188" s="417">
        <v>0</v>
      </c>
      <c r="AK188" s="417">
        <v>0</v>
      </c>
      <c r="AL188" s="417">
        <v>0</v>
      </c>
      <c r="AM188" s="417">
        <f t="shared" si="199"/>
        <v>0</v>
      </c>
      <c r="AN188" s="417">
        <f t="shared" si="200"/>
        <v>0</v>
      </c>
      <c r="AO188" s="417">
        <f t="shared" si="201"/>
        <v>0</v>
      </c>
      <c r="AP188" s="417">
        <f t="shared" si="202"/>
        <v>-40841</v>
      </c>
      <c r="AQ188" s="417">
        <f t="shared" si="203"/>
        <v>0</v>
      </c>
      <c r="AR188" s="417">
        <f t="shared" si="204"/>
        <v>-40841</v>
      </c>
      <c r="AS188" s="68">
        <f t="shared" si="205"/>
        <v>-13804</v>
      </c>
      <c r="AT188" s="68">
        <f t="shared" si="206"/>
        <v>-408</v>
      </c>
      <c r="AU188" s="417">
        <v>0</v>
      </c>
      <c r="AV188" s="417">
        <v>0</v>
      </c>
      <c r="AW188" s="417">
        <v>0</v>
      </c>
      <c r="AX188" s="417">
        <f t="shared" si="207"/>
        <v>0</v>
      </c>
      <c r="AY188" s="417">
        <f t="shared" si="208"/>
        <v>-55053</v>
      </c>
      <c r="AZ188" s="418">
        <v>0</v>
      </c>
      <c r="BA188" s="418">
        <v>0</v>
      </c>
      <c r="BB188" s="418">
        <f>-0.15+0.05</f>
        <v>-9.9999999999999992E-2</v>
      </c>
      <c r="BC188" s="418">
        <v>0</v>
      </c>
      <c r="BD188" s="418">
        <v>0</v>
      </c>
      <c r="BE188" s="418">
        <v>0</v>
      </c>
      <c r="BF188" s="418">
        <v>0</v>
      </c>
      <c r="BG188" s="418">
        <v>0</v>
      </c>
      <c r="BH188" s="418">
        <v>0</v>
      </c>
      <c r="BI188" s="418">
        <f t="shared" si="209"/>
        <v>-9.9999999999999992E-2</v>
      </c>
      <c r="BJ188" s="418">
        <f t="shared" si="210"/>
        <v>0</v>
      </c>
      <c r="BK188" s="420">
        <f t="shared" si="211"/>
        <v>-9.9999999999999992E-2</v>
      </c>
      <c r="BL188" s="772">
        <f t="shared" si="293"/>
        <v>6769317</v>
      </c>
      <c r="BM188" s="417">
        <f t="shared" si="294"/>
        <v>5018966</v>
      </c>
      <c r="BN188" s="417">
        <f t="shared" si="295"/>
        <v>5018966</v>
      </c>
      <c r="BO188" s="417">
        <f t="shared" si="295"/>
        <v>0</v>
      </c>
      <c r="BP188" s="417">
        <f t="shared" si="296"/>
        <v>0</v>
      </c>
      <c r="BQ188" s="417">
        <f t="shared" si="297"/>
        <v>0</v>
      </c>
      <c r="BR188" s="417">
        <f t="shared" si="297"/>
        <v>0</v>
      </c>
      <c r="BS188" s="417">
        <f t="shared" si="298"/>
        <v>1696411</v>
      </c>
      <c r="BT188" s="417">
        <f t="shared" si="298"/>
        <v>50190</v>
      </c>
      <c r="BU188" s="417">
        <f t="shared" si="299"/>
        <v>3750</v>
      </c>
      <c r="BV188" s="418">
        <f t="shared" si="300"/>
        <v>13.360000000000001</v>
      </c>
      <c r="BW188" s="418">
        <f t="shared" si="301"/>
        <v>13.360000000000001</v>
      </c>
      <c r="BX188" s="420">
        <f t="shared" si="301"/>
        <v>0</v>
      </c>
      <c r="BY188" s="419"/>
      <c r="BZ188" s="414"/>
      <c r="CA188" s="414"/>
      <c r="CB188" s="414"/>
      <c r="CC188" s="414"/>
      <c r="CD188" s="509"/>
      <c r="CE188" s="419"/>
      <c r="CF188" s="414"/>
      <c r="CG188" s="414"/>
      <c r="CH188" s="414"/>
      <c r="CI188" s="414"/>
      <c r="CJ188" s="509"/>
    </row>
    <row r="189" spans="1:88" s="221" customFormat="1" ht="12.75" customHeight="1">
      <c r="A189" s="223">
        <v>38</v>
      </c>
      <c r="B189" s="224">
        <v>3435</v>
      </c>
      <c r="C189" s="224">
        <v>650022131</v>
      </c>
      <c r="D189" s="224">
        <v>70981531</v>
      </c>
      <c r="E189" s="225" t="s">
        <v>84</v>
      </c>
      <c r="F189" s="224">
        <v>3141</v>
      </c>
      <c r="G189" s="225" t="s">
        <v>294</v>
      </c>
      <c r="H189" s="226" t="s">
        <v>272</v>
      </c>
      <c r="I189" s="419">
        <v>3020857</v>
      </c>
      <c r="J189" s="414">
        <v>2226950</v>
      </c>
      <c r="K189" s="414">
        <v>0</v>
      </c>
      <c r="L189" s="414">
        <v>2226950</v>
      </c>
      <c r="M189" s="414">
        <v>0</v>
      </c>
      <c r="N189" s="414">
        <v>0</v>
      </c>
      <c r="O189" s="414">
        <v>0</v>
      </c>
      <c r="P189" s="68">
        <v>752709</v>
      </c>
      <c r="Q189" s="68">
        <v>22270</v>
      </c>
      <c r="R189" s="414">
        <v>18928</v>
      </c>
      <c r="S189" s="415">
        <v>6.67</v>
      </c>
      <c r="T189" s="416">
        <v>0</v>
      </c>
      <c r="U189" s="422">
        <v>6.67</v>
      </c>
      <c r="V189" s="423">
        <f t="shared" si="194"/>
        <v>0</v>
      </c>
      <c r="W189" s="417">
        <f t="shared" si="195"/>
        <v>0</v>
      </c>
      <c r="X189" s="417">
        <v>0</v>
      </c>
      <c r="Y189" s="417">
        <v>0</v>
      </c>
      <c r="Z189" s="417">
        <v>0</v>
      </c>
      <c r="AA189" s="417">
        <v>84093</v>
      </c>
      <c r="AB189" s="417">
        <v>0</v>
      </c>
      <c r="AC189" s="417">
        <v>0</v>
      </c>
      <c r="AD189" s="417">
        <v>0</v>
      </c>
      <c r="AE189" s="417">
        <f t="shared" si="196"/>
        <v>0</v>
      </c>
      <c r="AF189" s="417">
        <f t="shared" si="197"/>
        <v>84093</v>
      </c>
      <c r="AG189" s="417">
        <f t="shared" si="198"/>
        <v>84093</v>
      </c>
      <c r="AH189" s="417">
        <v>0</v>
      </c>
      <c r="AI189" s="417">
        <v>0</v>
      </c>
      <c r="AJ189" s="417">
        <v>0</v>
      </c>
      <c r="AK189" s="417">
        <v>0</v>
      </c>
      <c r="AL189" s="417">
        <v>0</v>
      </c>
      <c r="AM189" s="417">
        <f t="shared" si="199"/>
        <v>0</v>
      </c>
      <c r="AN189" s="417">
        <f t="shared" si="200"/>
        <v>0</v>
      </c>
      <c r="AO189" s="417">
        <f t="shared" si="201"/>
        <v>0</v>
      </c>
      <c r="AP189" s="417">
        <f t="shared" si="202"/>
        <v>0</v>
      </c>
      <c r="AQ189" s="417">
        <f t="shared" si="203"/>
        <v>84093</v>
      </c>
      <c r="AR189" s="417">
        <f t="shared" si="204"/>
        <v>84093</v>
      </c>
      <c r="AS189" s="68">
        <f t="shared" si="205"/>
        <v>28423</v>
      </c>
      <c r="AT189" s="68">
        <f t="shared" si="206"/>
        <v>841</v>
      </c>
      <c r="AU189" s="417">
        <v>0</v>
      </c>
      <c r="AV189" s="417">
        <v>0</v>
      </c>
      <c r="AW189" s="417">
        <v>0</v>
      </c>
      <c r="AX189" s="417">
        <f t="shared" si="207"/>
        <v>0</v>
      </c>
      <c r="AY189" s="417">
        <f t="shared" si="208"/>
        <v>113357</v>
      </c>
      <c r="AZ189" s="418">
        <v>0</v>
      </c>
      <c r="BA189" s="418">
        <v>0</v>
      </c>
      <c r="BB189" s="418">
        <v>0</v>
      </c>
      <c r="BC189" s="418">
        <v>0</v>
      </c>
      <c r="BD189" s="418">
        <v>0.25</v>
      </c>
      <c r="BE189" s="418">
        <v>0</v>
      </c>
      <c r="BF189" s="418">
        <v>0</v>
      </c>
      <c r="BG189" s="418">
        <v>0</v>
      </c>
      <c r="BH189" s="418">
        <v>0</v>
      </c>
      <c r="BI189" s="418">
        <f t="shared" si="209"/>
        <v>0</v>
      </c>
      <c r="BJ189" s="418">
        <f t="shared" si="210"/>
        <v>0.25</v>
      </c>
      <c r="BK189" s="420">
        <f t="shared" si="211"/>
        <v>0.25</v>
      </c>
      <c r="BL189" s="772">
        <f t="shared" si="293"/>
        <v>3134214</v>
      </c>
      <c r="BM189" s="417">
        <f t="shared" si="294"/>
        <v>2311043</v>
      </c>
      <c r="BN189" s="417">
        <f t="shared" si="295"/>
        <v>0</v>
      </c>
      <c r="BO189" s="417">
        <f t="shared" si="295"/>
        <v>2311043</v>
      </c>
      <c r="BP189" s="417">
        <f t="shared" si="296"/>
        <v>0</v>
      </c>
      <c r="BQ189" s="417">
        <f t="shared" si="297"/>
        <v>0</v>
      </c>
      <c r="BR189" s="417">
        <f t="shared" si="297"/>
        <v>0</v>
      </c>
      <c r="BS189" s="417">
        <f t="shared" si="298"/>
        <v>781132</v>
      </c>
      <c r="BT189" s="417">
        <f t="shared" si="298"/>
        <v>23111</v>
      </c>
      <c r="BU189" s="417">
        <f t="shared" si="299"/>
        <v>18928</v>
      </c>
      <c r="BV189" s="418">
        <f t="shared" si="300"/>
        <v>6.92</v>
      </c>
      <c r="BW189" s="418">
        <f t="shared" si="301"/>
        <v>0</v>
      </c>
      <c r="BX189" s="420">
        <f t="shared" si="301"/>
        <v>6.92</v>
      </c>
      <c r="BY189" s="419"/>
      <c r="BZ189" s="414"/>
      <c r="CA189" s="414"/>
      <c r="CB189" s="414"/>
      <c r="CC189" s="414"/>
      <c r="CD189" s="509"/>
      <c r="CE189" s="419"/>
      <c r="CF189" s="414"/>
      <c r="CG189" s="414"/>
      <c r="CH189" s="414"/>
      <c r="CI189" s="414"/>
      <c r="CJ189" s="509"/>
    </row>
    <row r="190" spans="1:88" s="221" customFormat="1" ht="12.75" customHeight="1">
      <c r="A190" s="223">
        <v>38</v>
      </c>
      <c r="B190" s="224">
        <v>3435</v>
      </c>
      <c r="C190" s="224">
        <v>650022131</v>
      </c>
      <c r="D190" s="224">
        <v>70981531</v>
      </c>
      <c r="E190" s="225" t="s">
        <v>84</v>
      </c>
      <c r="F190" s="224">
        <v>3143</v>
      </c>
      <c r="G190" s="225" t="s">
        <v>595</v>
      </c>
      <c r="H190" s="226" t="s">
        <v>271</v>
      </c>
      <c r="I190" s="419">
        <v>2149853</v>
      </c>
      <c r="J190" s="414">
        <v>1594847</v>
      </c>
      <c r="K190" s="414">
        <v>1594847</v>
      </c>
      <c r="L190" s="414">
        <v>0</v>
      </c>
      <c r="M190" s="414">
        <v>0</v>
      </c>
      <c r="N190" s="414">
        <v>0</v>
      </c>
      <c r="O190" s="414">
        <v>0</v>
      </c>
      <c r="P190" s="68">
        <v>539058</v>
      </c>
      <c r="Q190" s="68">
        <v>15948</v>
      </c>
      <c r="R190" s="414">
        <v>0</v>
      </c>
      <c r="S190" s="415">
        <v>3.1429</v>
      </c>
      <c r="T190" s="416">
        <v>3.1429</v>
      </c>
      <c r="U190" s="422">
        <v>0</v>
      </c>
      <c r="V190" s="423">
        <f t="shared" si="194"/>
        <v>0</v>
      </c>
      <c r="W190" s="417">
        <f t="shared" si="195"/>
        <v>0</v>
      </c>
      <c r="X190" s="417">
        <v>0</v>
      </c>
      <c r="Y190" s="417">
        <v>0</v>
      </c>
      <c r="Z190" s="417">
        <v>0</v>
      </c>
      <c r="AA190" s="417">
        <v>0</v>
      </c>
      <c r="AB190" s="417">
        <v>0</v>
      </c>
      <c r="AC190" s="417">
        <v>0</v>
      </c>
      <c r="AD190" s="417">
        <v>0</v>
      </c>
      <c r="AE190" s="417">
        <f t="shared" si="196"/>
        <v>0</v>
      </c>
      <c r="AF190" s="417">
        <f t="shared" si="197"/>
        <v>0</v>
      </c>
      <c r="AG190" s="417">
        <f t="shared" si="198"/>
        <v>0</v>
      </c>
      <c r="AH190" s="417">
        <v>0</v>
      </c>
      <c r="AI190" s="417">
        <v>0</v>
      </c>
      <c r="AJ190" s="417">
        <v>0</v>
      </c>
      <c r="AK190" s="417">
        <v>0</v>
      </c>
      <c r="AL190" s="417">
        <v>0</v>
      </c>
      <c r="AM190" s="417">
        <f t="shared" si="199"/>
        <v>0</v>
      </c>
      <c r="AN190" s="417">
        <f t="shared" si="200"/>
        <v>0</v>
      </c>
      <c r="AO190" s="417">
        <f t="shared" si="201"/>
        <v>0</v>
      </c>
      <c r="AP190" s="417">
        <f t="shared" si="202"/>
        <v>0</v>
      </c>
      <c r="AQ190" s="417">
        <f t="shared" si="203"/>
        <v>0</v>
      </c>
      <c r="AR190" s="417">
        <f t="shared" si="204"/>
        <v>0</v>
      </c>
      <c r="AS190" s="68">
        <f t="shared" si="205"/>
        <v>0</v>
      </c>
      <c r="AT190" s="68">
        <f t="shared" si="206"/>
        <v>0</v>
      </c>
      <c r="AU190" s="417">
        <v>0</v>
      </c>
      <c r="AV190" s="417">
        <v>0</v>
      </c>
      <c r="AW190" s="417">
        <v>0</v>
      </c>
      <c r="AX190" s="417">
        <f t="shared" si="207"/>
        <v>0</v>
      </c>
      <c r="AY190" s="417">
        <f t="shared" si="208"/>
        <v>0</v>
      </c>
      <c r="AZ190" s="418">
        <v>0</v>
      </c>
      <c r="BA190" s="418">
        <v>0</v>
      </c>
      <c r="BB190" s="418">
        <v>0</v>
      </c>
      <c r="BC190" s="418">
        <v>0</v>
      </c>
      <c r="BD190" s="418">
        <v>0</v>
      </c>
      <c r="BE190" s="418">
        <v>0</v>
      </c>
      <c r="BF190" s="418">
        <v>0</v>
      </c>
      <c r="BG190" s="418">
        <v>0</v>
      </c>
      <c r="BH190" s="418">
        <v>0</v>
      </c>
      <c r="BI190" s="418">
        <f t="shared" si="209"/>
        <v>0</v>
      </c>
      <c r="BJ190" s="418">
        <f t="shared" si="210"/>
        <v>0</v>
      </c>
      <c r="BK190" s="420">
        <f t="shared" si="211"/>
        <v>0</v>
      </c>
      <c r="BL190" s="772">
        <f t="shared" si="293"/>
        <v>2149853</v>
      </c>
      <c r="BM190" s="417">
        <f t="shared" si="294"/>
        <v>1594847</v>
      </c>
      <c r="BN190" s="417">
        <f t="shared" si="295"/>
        <v>1594847</v>
      </c>
      <c r="BO190" s="417">
        <f t="shared" si="295"/>
        <v>0</v>
      </c>
      <c r="BP190" s="417">
        <f t="shared" si="296"/>
        <v>0</v>
      </c>
      <c r="BQ190" s="417">
        <f t="shared" si="297"/>
        <v>0</v>
      </c>
      <c r="BR190" s="417">
        <f t="shared" si="297"/>
        <v>0</v>
      </c>
      <c r="BS190" s="417">
        <f t="shared" si="298"/>
        <v>539058</v>
      </c>
      <c r="BT190" s="417">
        <f t="shared" si="298"/>
        <v>15948</v>
      </c>
      <c r="BU190" s="417">
        <f t="shared" si="299"/>
        <v>0</v>
      </c>
      <c r="BV190" s="418">
        <f t="shared" si="300"/>
        <v>3.1429</v>
      </c>
      <c r="BW190" s="418">
        <f t="shared" si="301"/>
        <v>3.1429</v>
      </c>
      <c r="BX190" s="418">
        <f t="shared" si="301"/>
        <v>0</v>
      </c>
      <c r="BY190" s="510"/>
      <c r="BZ190" s="414"/>
      <c r="CA190" s="414"/>
      <c r="CB190" s="414"/>
      <c r="CC190" s="414"/>
      <c r="CD190" s="509"/>
      <c r="CE190" s="419"/>
      <c r="CF190" s="414"/>
      <c r="CG190" s="414"/>
      <c r="CH190" s="414"/>
      <c r="CI190" s="414"/>
      <c r="CJ190" s="509"/>
    </row>
    <row r="191" spans="1:88" s="221" customFormat="1" ht="12.75" customHeight="1">
      <c r="A191" s="223">
        <v>38</v>
      </c>
      <c r="B191" s="224">
        <v>3435</v>
      </c>
      <c r="C191" s="224">
        <v>650022131</v>
      </c>
      <c r="D191" s="224">
        <v>70981531</v>
      </c>
      <c r="E191" s="225" t="s">
        <v>84</v>
      </c>
      <c r="F191" s="224">
        <v>3143</v>
      </c>
      <c r="G191" s="225" t="s">
        <v>596</v>
      </c>
      <c r="H191" s="226" t="s">
        <v>272</v>
      </c>
      <c r="I191" s="419">
        <v>88366</v>
      </c>
      <c r="J191" s="414">
        <v>63250</v>
      </c>
      <c r="K191" s="414">
        <v>0</v>
      </c>
      <c r="L191" s="414">
        <v>63250</v>
      </c>
      <c r="M191" s="414">
        <v>0</v>
      </c>
      <c r="N191" s="414">
        <v>0</v>
      </c>
      <c r="O191" s="414">
        <v>0</v>
      </c>
      <c r="P191" s="68">
        <v>21378</v>
      </c>
      <c r="Q191" s="68">
        <v>633</v>
      </c>
      <c r="R191" s="414">
        <v>3105</v>
      </c>
      <c r="S191" s="415">
        <v>0.24</v>
      </c>
      <c r="T191" s="416">
        <v>0</v>
      </c>
      <c r="U191" s="422">
        <v>0.24</v>
      </c>
      <c r="V191" s="423">
        <f t="shared" si="194"/>
        <v>0</v>
      </c>
      <c r="W191" s="417">
        <f t="shared" si="195"/>
        <v>0</v>
      </c>
      <c r="X191" s="417">
        <v>0</v>
      </c>
      <c r="Y191" s="417">
        <v>0</v>
      </c>
      <c r="Z191" s="417">
        <v>0</v>
      </c>
      <c r="AA191" s="417">
        <v>0</v>
      </c>
      <c r="AB191" s="417">
        <v>0</v>
      </c>
      <c r="AC191" s="417">
        <v>0</v>
      </c>
      <c r="AD191" s="417">
        <v>0</v>
      </c>
      <c r="AE191" s="417">
        <f t="shared" si="196"/>
        <v>0</v>
      </c>
      <c r="AF191" s="417">
        <f t="shared" si="197"/>
        <v>0</v>
      </c>
      <c r="AG191" s="417">
        <f t="shared" si="198"/>
        <v>0</v>
      </c>
      <c r="AH191" s="417">
        <v>0</v>
      </c>
      <c r="AI191" s="417">
        <v>0</v>
      </c>
      <c r="AJ191" s="417">
        <v>0</v>
      </c>
      <c r="AK191" s="417">
        <v>0</v>
      </c>
      <c r="AL191" s="417">
        <v>0</v>
      </c>
      <c r="AM191" s="417">
        <f t="shared" si="199"/>
        <v>0</v>
      </c>
      <c r="AN191" s="417">
        <f t="shared" si="200"/>
        <v>0</v>
      </c>
      <c r="AO191" s="417">
        <f t="shared" si="201"/>
        <v>0</v>
      </c>
      <c r="AP191" s="417">
        <f t="shared" si="202"/>
        <v>0</v>
      </c>
      <c r="AQ191" s="417">
        <f t="shared" si="203"/>
        <v>0</v>
      </c>
      <c r="AR191" s="417">
        <f t="shared" si="204"/>
        <v>0</v>
      </c>
      <c r="AS191" s="68">
        <f t="shared" si="205"/>
        <v>0</v>
      </c>
      <c r="AT191" s="68">
        <f t="shared" si="206"/>
        <v>0</v>
      </c>
      <c r="AU191" s="417">
        <v>0</v>
      </c>
      <c r="AV191" s="417">
        <v>0</v>
      </c>
      <c r="AW191" s="417">
        <v>0</v>
      </c>
      <c r="AX191" s="417">
        <f t="shared" si="207"/>
        <v>0</v>
      </c>
      <c r="AY191" s="417">
        <f t="shared" si="208"/>
        <v>0</v>
      </c>
      <c r="AZ191" s="418">
        <v>0</v>
      </c>
      <c r="BA191" s="418">
        <v>0</v>
      </c>
      <c r="BB191" s="418">
        <v>0</v>
      </c>
      <c r="BC191" s="418">
        <v>0</v>
      </c>
      <c r="BD191" s="418">
        <v>0</v>
      </c>
      <c r="BE191" s="418">
        <v>0</v>
      </c>
      <c r="BF191" s="418">
        <v>0</v>
      </c>
      <c r="BG191" s="418">
        <v>0</v>
      </c>
      <c r="BH191" s="418">
        <v>0</v>
      </c>
      <c r="BI191" s="418">
        <f t="shared" si="209"/>
        <v>0</v>
      </c>
      <c r="BJ191" s="418">
        <f t="shared" si="210"/>
        <v>0</v>
      </c>
      <c r="BK191" s="420">
        <f t="shared" si="211"/>
        <v>0</v>
      </c>
      <c r="BL191" s="772">
        <f t="shared" si="293"/>
        <v>88366</v>
      </c>
      <c r="BM191" s="417">
        <f t="shared" si="294"/>
        <v>63250</v>
      </c>
      <c r="BN191" s="417">
        <f t="shared" si="295"/>
        <v>0</v>
      </c>
      <c r="BO191" s="417">
        <f t="shared" si="295"/>
        <v>63250</v>
      </c>
      <c r="BP191" s="417">
        <f t="shared" si="296"/>
        <v>0</v>
      </c>
      <c r="BQ191" s="417">
        <f t="shared" si="297"/>
        <v>0</v>
      </c>
      <c r="BR191" s="417">
        <f t="shared" si="297"/>
        <v>0</v>
      </c>
      <c r="BS191" s="417">
        <f t="shared" si="298"/>
        <v>21378</v>
      </c>
      <c r="BT191" s="417">
        <f t="shared" si="298"/>
        <v>633</v>
      </c>
      <c r="BU191" s="417">
        <f t="shared" si="299"/>
        <v>3105</v>
      </c>
      <c r="BV191" s="418">
        <f t="shared" si="300"/>
        <v>0.24</v>
      </c>
      <c r="BW191" s="418">
        <f t="shared" si="301"/>
        <v>0</v>
      </c>
      <c r="BX191" s="418">
        <f t="shared" si="301"/>
        <v>0.24</v>
      </c>
      <c r="BY191" s="510"/>
      <c r="BZ191" s="414"/>
      <c r="CA191" s="414"/>
      <c r="CB191" s="414"/>
      <c r="CC191" s="414"/>
      <c r="CD191" s="509"/>
      <c r="CE191" s="419"/>
      <c r="CF191" s="601"/>
      <c r="CG191" s="414"/>
      <c r="CH191" s="414"/>
      <c r="CI191" s="602"/>
      <c r="CJ191" s="603"/>
    </row>
    <row r="192" spans="1:88" s="221" customFormat="1" ht="12.75" customHeight="1">
      <c r="A192" s="156">
        <v>38</v>
      </c>
      <c r="B192" s="157">
        <v>3435</v>
      </c>
      <c r="C192" s="158">
        <v>650022131</v>
      </c>
      <c r="D192" s="158">
        <v>70981531</v>
      </c>
      <c r="E192" s="227" t="s">
        <v>85</v>
      </c>
      <c r="F192" s="157"/>
      <c r="G192" s="227"/>
      <c r="H192" s="559"/>
      <c r="I192" s="504">
        <v>46938981</v>
      </c>
      <c r="J192" s="503">
        <v>34230355</v>
      </c>
      <c r="K192" s="503">
        <v>29186722</v>
      </c>
      <c r="L192" s="503">
        <v>5043633</v>
      </c>
      <c r="M192" s="503">
        <v>194200</v>
      </c>
      <c r="N192" s="503">
        <v>184200</v>
      </c>
      <c r="O192" s="503">
        <v>10000</v>
      </c>
      <c r="P192" s="503">
        <v>11635499</v>
      </c>
      <c r="Q192" s="503">
        <v>342304</v>
      </c>
      <c r="R192" s="503">
        <v>536623</v>
      </c>
      <c r="S192" s="543">
        <v>66.981200000000001</v>
      </c>
      <c r="T192" s="543">
        <v>51.393399999999993</v>
      </c>
      <c r="U192" s="1084">
        <v>15.5878</v>
      </c>
      <c r="V192" s="504">
        <f t="shared" ref="V192:CG192" si="302">SUM(V186:V191)</f>
        <v>15000</v>
      </c>
      <c r="W192" s="503">
        <f t="shared" si="302"/>
        <v>-10000</v>
      </c>
      <c r="X192" s="503">
        <f t="shared" si="302"/>
        <v>-40841</v>
      </c>
      <c r="Y192" s="503">
        <f t="shared" si="302"/>
        <v>0</v>
      </c>
      <c r="Z192" s="503">
        <f t="shared" si="302"/>
        <v>0</v>
      </c>
      <c r="AA192" s="503">
        <f t="shared" si="302"/>
        <v>84093</v>
      </c>
      <c r="AB192" s="503">
        <f t="shared" si="302"/>
        <v>0</v>
      </c>
      <c r="AC192" s="503">
        <f t="shared" si="302"/>
        <v>0</v>
      </c>
      <c r="AD192" s="503">
        <f t="shared" si="302"/>
        <v>0</v>
      </c>
      <c r="AE192" s="503">
        <f t="shared" si="302"/>
        <v>-25841</v>
      </c>
      <c r="AF192" s="503">
        <f t="shared" si="302"/>
        <v>74093</v>
      </c>
      <c r="AG192" s="503">
        <f t="shared" si="302"/>
        <v>48252</v>
      </c>
      <c r="AH192" s="503">
        <f t="shared" si="302"/>
        <v>-15000</v>
      </c>
      <c r="AI192" s="503">
        <f t="shared" si="302"/>
        <v>10000</v>
      </c>
      <c r="AJ192" s="503">
        <f t="shared" si="302"/>
        <v>0</v>
      </c>
      <c r="AK192" s="503">
        <f t="shared" si="302"/>
        <v>0</v>
      </c>
      <c r="AL192" s="503">
        <f t="shared" si="302"/>
        <v>0</v>
      </c>
      <c r="AM192" s="503">
        <f t="shared" si="302"/>
        <v>-15000</v>
      </c>
      <c r="AN192" s="503">
        <f t="shared" si="302"/>
        <v>10000</v>
      </c>
      <c r="AO192" s="503">
        <f t="shared" si="302"/>
        <v>-5000</v>
      </c>
      <c r="AP192" s="503">
        <f t="shared" si="302"/>
        <v>-40841</v>
      </c>
      <c r="AQ192" s="503">
        <f t="shared" si="302"/>
        <v>84093</v>
      </c>
      <c r="AR192" s="503">
        <f t="shared" si="302"/>
        <v>43252</v>
      </c>
      <c r="AS192" s="503">
        <f t="shared" si="302"/>
        <v>14619</v>
      </c>
      <c r="AT192" s="503">
        <f t="shared" si="302"/>
        <v>483</v>
      </c>
      <c r="AU192" s="503">
        <f t="shared" si="302"/>
        <v>0</v>
      </c>
      <c r="AV192" s="503">
        <f t="shared" si="302"/>
        <v>0</v>
      </c>
      <c r="AW192" s="503">
        <f t="shared" si="302"/>
        <v>0</v>
      </c>
      <c r="AX192" s="503">
        <f t="shared" si="302"/>
        <v>0</v>
      </c>
      <c r="AY192" s="503">
        <f t="shared" si="302"/>
        <v>58354</v>
      </c>
      <c r="AZ192" s="543">
        <f t="shared" si="302"/>
        <v>-0.28999999999999998</v>
      </c>
      <c r="BA192" s="543">
        <f t="shared" si="302"/>
        <v>-0.04</v>
      </c>
      <c r="BB192" s="543">
        <f t="shared" si="302"/>
        <v>-9.9999999999999992E-2</v>
      </c>
      <c r="BC192" s="543">
        <f t="shared" si="302"/>
        <v>0</v>
      </c>
      <c r="BD192" s="543">
        <f t="shared" si="302"/>
        <v>0.25</v>
      </c>
      <c r="BE192" s="543">
        <f t="shared" si="302"/>
        <v>0</v>
      </c>
      <c r="BF192" s="543">
        <f t="shared" si="302"/>
        <v>0</v>
      </c>
      <c r="BG192" s="543">
        <f t="shared" si="302"/>
        <v>0</v>
      </c>
      <c r="BH192" s="543">
        <f t="shared" si="302"/>
        <v>0</v>
      </c>
      <c r="BI192" s="543">
        <f t="shared" si="302"/>
        <v>-0.38999999999999996</v>
      </c>
      <c r="BJ192" s="543">
        <f t="shared" si="302"/>
        <v>0.21</v>
      </c>
      <c r="BK192" s="441">
        <f t="shared" si="302"/>
        <v>-0.17999999999999994</v>
      </c>
      <c r="BL192" s="788">
        <f t="shared" si="302"/>
        <v>46997335</v>
      </c>
      <c r="BM192" s="503">
        <f t="shared" si="302"/>
        <v>34278607</v>
      </c>
      <c r="BN192" s="503">
        <f t="shared" si="302"/>
        <v>29160881</v>
      </c>
      <c r="BO192" s="503">
        <f t="shared" si="302"/>
        <v>5117726</v>
      </c>
      <c r="BP192" s="503">
        <f t="shared" si="302"/>
        <v>189200</v>
      </c>
      <c r="BQ192" s="503">
        <f t="shared" si="302"/>
        <v>169200</v>
      </c>
      <c r="BR192" s="503">
        <f t="shared" si="302"/>
        <v>20000</v>
      </c>
      <c r="BS192" s="503">
        <f t="shared" si="302"/>
        <v>11650118</v>
      </c>
      <c r="BT192" s="503">
        <f t="shared" si="302"/>
        <v>342787</v>
      </c>
      <c r="BU192" s="503">
        <f t="shared" si="302"/>
        <v>536623</v>
      </c>
      <c r="BV192" s="543">
        <f t="shared" si="302"/>
        <v>66.801199999999994</v>
      </c>
      <c r="BW192" s="543">
        <f t="shared" si="302"/>
        <v>51.003399999999999</v>
      </c>
      <c r="BX192" s="543">
        <f t="shared" si="302"/>
        <v>15.797800000000001</v>
      </c>
      <c r="BY192" s="1036">
        <f t="shared" si="302"/>
        <v>606526</v>
      </c>
      <c r="BZ192" s="706">
        <f t="shared" si="302"/>
        <v>282000</v>
      </c>
      <c r="CA192" s="706">
        <f t="shared" si="302"/>
        <v>169200</v>
      </c>
      <c r="CB192" s="706">
        <f t="shared" si="302"/>
        <v>152506</v>
      </c>
      <c r="CC192" s="706">
        <f t="shared" si="302"/>
        <v>2820</v>
      </c>
      <c r="CD192" s="803">
        <f t="shared" si="302"/>
        <v>0.5</v>
      </c>
      <c r="CE192" s="899">
        <f t="shared" si="302"/>
        <v>1315395</v>
      </c>
      <c r="CF192" s="900">
        <f t="shared" si="302"/>
        <v>886927</v>
      </c>
      <c r="CG192" s="900">
        <f t="shared" si="302"/>
        <v>299781</v>
      </c>
      <c r="CH192" s="900">
        <f t="shared" ref="CH192:CJ192" si="303">SUM(CH186:CH191)</f>
        <v>8869</v>
      </c>
      <c r="CI192" s="900">
        <f t="shared" si="303"/>
        <v>119818</v>
      </c>
      <c r="CJ192" s="901">
        <f t="shared" si="303"/>
        <v>2.7949000000000002</v>
      </c>
    </row>
    <row r="193" spans="1:88" s="221" customFormat="1" ht="12.75" customHeight="1">
      <c r="A193" s="223">
        <v>39</v>
      </c>
      <c r="B193" s="224">
        <v>3478</v>
      </c>
      <c r="C193" s="224">
        <v>691019657</v>
      </c>
      <c r="D193" s="224">
        <v>22296816</v>
      </c>
      <c r="E193" s="225" t="s">
        <v>862</v>
      </c>
      <c r="F193" s="224">
        <v>3111</v>
      </c>
      <c r="G193" s="225" t="s">
        <v>290</v>
      </c>
      <c r="H193" s="226" t="s">
        <v>271</v>
      </c>
      <c r="I193" s="419">
        <v>600357</v>
      </c>
      <c r="J193" s="414">
        <v>443885</v>
      </c>
      <c r="K193" s="414">
        <v>391219</v>
      </c>
      <c r="L193" s="414">
        <v>52666</v>
      </c>
      <c r="M193" s="414">
        <v>0</v>
      </c>
      <c r="N193" s="414">
        <v>0</v>
      </c>
      <c r="O193" s="414">
        <v>0</v>
      </c>
      <c r="P193" s="68">
        <v>150033</v>
      </c>
      <c r="Q193" s="68">
        <v>4439</v>
      </c>
      <c r="R193" s="414">
        <v>2000</v>
      </c>
      <c r="S193" s="415">
        <v>0.91999999999999993</v>
      </c>
      <c r="T193" s="416">
        <v>0.73</v>
      </c>
      <c r="U193" s="422">
        <v>0.19</v>
      </c>
      <c r="V193" s="423">
        <f t="shared" si="194"/>
        <v>0</v>
      </c>
      <c r="W193" s="417">
        <f t="shared" si="195"/>
        <v>0</v>
      </c>
      <c r="X193" s="417">
        <v>0</v>
      </c>
      <c r="Y193" s="417">
        <v>0</v>
      </c>
      <c r="Z193" s="417">
        <v>0</v>
      </c>
      <c r="AA193" s="417">
        <v>0</v>
      </c>
      <c r="AB193" s="417">
        <v>0</v>
      </c>
      <c r="AC193" s="417">
        <v>0</v>
      </c>
      <c r="AD193" s="417">
        <v>0</v>
      </c>
      <c r="AE193" s="417">
        <f t="shared" si="196"/>
        <v>0</v>
      </c>
      <c r="AF193" s="417">
        <f t="shared" si="197"/>
        <v>0</v>
      </c>
      <c r="AG193" s="417">
        <f t="shared" si="198"/>
        <v>0</v>
      </c>
      <c r="AH193" s="417">
        <v>0</v>
      </c>
      <c r="AI193" s="417">
        <v>0</v>
      </c>
      <c r="AJ193" s="417">
        <v>0</v>
      </c>
      <c r="AK193" s="417">
        <v>0</v>
      </c>
      <c r="AL193" s="417">
        <v>0</v>
      </c>
      <c r="AM193" s="417">
        <f t="shared" si="199"/>
        <v>0</v>
      </c>
      <c r="AN193" s="417">
        <f t="shared" si="200"/>
        <v>0</v>
      </c>
      <c r="AO193" s="417">
        <f t="shared" si="201"/>
        <v>0</v>
      </c>
      <c r="AP193" s="417">
        <f t="shared" si="202"/>
        <v>0</v>
      </c>
      <c r="AQ193" s="417">
        <f t="shared" si="203"/>
        <v>0</v>
      </c>
      <c r="AR193" s="417">
        <f t="shared" si="204"/>
        <v>0</v>
      </c>
      <c r="AS193" s="68">
        <f t="shared" si="205"/>
        <v>0</v>
      </c>
      <c r="AT193" s="68">
        <f t="shared" si="206"/>
        <v>0</v>
      </c>
      <c r="AU193" s="417">
        <v>0</v>
      </c>
      <c r="AV193" s="417">
        <v>0</v>
      </c>
      <c r="AW193" s="417">
        <v>0</v>
      </c>
      <c r="AX193" s="417">
        <f t="shared" si="207"/>
        <v>0</v>
      </c>
      <c r="AY193" s="417">
        <f t="shared" si="208"/>
        <v>0</v>
      </c>
      <c r="AZ193" s="418">
        <v>0</v>
      </c>
      <c r="BA193" s="418">
        <v>0</v>
      </c>
      <c r="BB193" s="418">
        <v>0</v>
      </c>
      <c r="BC193" s="418">
        <v>0</v>
      </c>
      <c r="BD193" s="418">
        <v>0</v>
      </c>
      <c r="BE193" s="418">
        <v>0</v>
      </c>
      <c r="BF193" s="418">
        <v>0</v>
      </c>
      <c r="BG193" s="418">
        <v>0</v>
      </c>
      <c r="BH193" s="418">
        <v>0</v>
      </c>
      <c r="BI193" s="418">
        <f t="shared" si="209"/>
        <v>0</v>
      </c>
      <c r="BJ193" s="418">
        <f t="shared" si="210"/>
        <v>0</v>
      </c>
      <c r="BK193" s="420">
        <f t="shared" si="211"/>
        <v>0</v>
      </c>
      <c r="BL193" s="772">
        <f t="shared" ref="BL193:BL194" si="304">I193+AY193</f>
        <v>600357</v>
      </c>
      <c r="BM193" s="417">
        <f t="shared" ref="BM193:BM194" si="305">J193+AG193</f>
        <v>443885</v>
      </c>
      <c r="BN193" s="417">
        <f t="shared" ref="BN193:BO194" si="306">K193+AE193</f>
        <v>391219</v>
      </c>
      <c r="BO193" s="417">
        <f t="shared" si="306"/>
        <v>52666</v>
      </c>
      <c r="BP193" s="417">
        <f t="shared" ref="BP193:BP194" si="307">M193+AO193</f>
        <v>0</v>
      </c>
      <c r="BQ193" s="417">
        <f t="shared" ref="BQ193:BR194" si="308">N193+AM193</f>
        <v>0</v>
      </c>
      <c r="BR193" s="417">
        <f t="shared" si="308"/>
        <v>0</v>
      </c>
      <c r="BS193" s="417">
        <f t="shared" ref="BS193:BT194" si="309">P193+AS193</f>
        <v>150033</v>
      </c>
      <c r="BT193" s="417">
        <f t="shared" si="309"/>
        <v>4439</v>
      </c>
      <c r="BU193" s="417">
        <f t="shared" ref="BU193:BU194" si="310">R193+AX193</f>
        <v>2000</v>
      </c>
      <c r="BV193" s="418">
        <f t="shared" ref="BV193:BV194" si="311">S193+BK193</f>
        <v>0.91999999999999993</v>
      </c>
      <c r="BW193" s="418">
        <f t="shared" ref="BW193:BX194" si="312">T193+BI193</f>
        <v>0.73</v>
      </c>
      <c r="BX193" s="418">
        <f t="shared" si="312"/>
        <v>0.19</v>
      </c>
      <c r="BY193" s="510"/>
      <c r="BZ193" s="414"/>
      <c r="CA193" s="414"/>
      <c r="CB193" s="414"/>
      <c r="CC193" s="414"/>
      <c r="CD193" s="509"/>
      <c r="CE193" s="419"/>
      <c r="CF193" s="414"/>
      <c r="CG193" s="414"/>
      <c r="CH193" s="414"/>
      <c r="CI193" s="414"/>
      <c r="CJ193" s="509"/>
    </row>
    <row r="194" spans="1:88" s="221" customFormat="1" ht="12.75" customHeight="1">
      <c r="A194" s="223">
        <v>39</v>
      </c>
      <c r="B194" s="224">
        <v>3478</v>
      </c>
      <c r="C194" s="224">
        <v>691019657</v>
      </c>
      <c r="D194" s="224">
        <v>22296816</v>
      </c>
      <c r="E194" s="225" t="s">
        <v>862</v>
      </c>
      <c r="F194" s="224">
        <v>3141</v>
      </c>
      <c r="G194" s="225" t="s">
        <v>294</v>
      </c>
      <c r="H194" s="226" t="s">
        <v>272</v>
      </c>
      <c r="I194" s="419">
        <v>38845</v>
      </c>
      <c r="J194" s="414">
        <v>28732</v>
      </c>
      <c r="K194" s="414">
        <v>0</v>
      </c>
      <c r="L194" s="414">
        <v>28732</v>
      </c>
      <c r="M194" s="414">
        <v>0</v>
      </c>
      <c r="N194" s="414">
        <v>0</v>
      </c>
      <c r="O194" s="414">
        <v>0</v>
      </c>
      <c r="P194" s="68">
        <v>9711</v>
      </c>
      <c r="Q194" s="68">
        <v>287</v>
      </c>
      <c r="R194" s="414">
        <v>115</v>
      </c>
      <c r="S194" s="415">
        <v>0.08</v>
      </c>
      <c r="T194" s="416">
        <v>0</v>
      </c>
      <c r="U194" s="422">
        <v>0.08</v>
      </c>
      <c r="V194" s="423">
        <f t="shared" si="194"/>
        <v>0</v>
      </c>
      <c r="W194" s="417">
        <f t="shared" si="195"/>
        <v>0</v>
      </c>
      <c r="X194" s="417">
        <v>0</v>
      </c>
      <c r="Y194" s="417">
        <v>0</v>
      </c>
      <c r="Z194" s="417">
        <v>0</v>
      </c>
      <c r="AA194" s="417">
        <v>518</v>
      </c>
      <c r="AB194" s="417">
        <v>0</v>
      </c>
      <c r="AC194" s="417">
        <v>0</v>
      </c>
      <c r="AD194" s="417">
        <v>0</v>
      </c>
      <c r="AE194" s="417">
        <f t="shared" si="196"/>
        <v>0</v>
      </c>
      <c r="AF194" s="417">
        <f t="shared" si="197"/>
        <v>518</v>
      </c>
      <c r="AG194" s="417">
        <f t="shared" si="198"/>
        <v>518</v>
      </c>
      <c r="AH194" s="417">
        <v>0</v>
      </c>
      <c r="AI194" s="417">
        <v>0</v>
      </c>
      <c r="AJ194" s="417">
        <v>0</v>
      </c>
      <c r="AK194" s="417">
        <v>0</v>
      </c>
      <c r="AL194" s="417">
        <v>0</v>
      </c>
      <c r="AM194" s="417">
        <f t="shared" si="199"/>
        <v>0</v>
      </c>
      <c r="AN194" s="417">
        <f t="shared" si="200"/>
        <v>0</v>
      </c>
      <c r="AO194" s="417">
        <f t="shared" si="201"/>
        <v>0</v>
      </c>
      <c r="AP194" s="417">
        <f t="shared" si="202"/>
        <v>0</v>
      </c>
      <c r="AQ194" s="417">
        <f t="shared" si="203"/>
        <v>518</v>
      </c>
      <c r="AR194" s="417">
        <f t="shared" si="204"/>
        <v>518</v>
      </c>
      <c r="AS194" s="68">
        <f t="shared" si="205"/>
        <v>175</v>
      </c>
      <c r="AT194" s="68">
        <f t="shared" si="206"/>
        <v>5</v>
      </c>
      <c r="AU194" s="417">
        <v>0</v>
      </c>
      <c r="AV194" s="417">
        <v>0</v>
      </c>
      <c r="AW194" s="417">
        <v>0</v>
      </c>
      <c r="AX194" s="417">
        <f t="shared" si="207"/>
        <v>0</v>
      </c>
      <c r="AY194" s="417">
        <f t="shared" si="208"/>
        <v>698</v>
      </c>
      <c r="AZ194" s="418">
        <v>0</v>
      </c>
      <c r="BA194" s="418">
        <v>0</v>
      </c>
      <c r="BB194" s="418">
        <v>0</v>
      </c>
      <c r="BC194" s="418">
        <v>0</v>
      </c>
      <c r="BD194" s="418">
        <v>0.01</v>
      </c>
      <c r="BE194" s="418">
        <v>0</v>
      </c>
      <c r="BF194" s="418">
        <v>0</v>
      </c>
      <c r="BG194" s="418">
        <v>0</v>
      </c>
      <c r="BH194" s="418">
        <v>0</v>
      </c>
      <c r="BI194" s="418">
        <f t="shared" si="209"/>
        <v>0</v>
      </c>
      <c r="BJ194" s="418">
        <f t="shared" si="210"/>
        <v>0.01</v>
      </c>
      <c r="BK194" s="420">
        <f t="shared" si="211"/>
        <v>0.01</v>
      </c>
      <c r="BL194" s="772">
        <f t="shared" si="304"/>
        <v>39543</v>
      </c>
      <c r="BM194" s="417">
        <f t="shared" si="305"/>
        <v>29250</v>
      </c>
      <c r="BN194" s="417">
        <f t="shared" si="306"/>
        <v>0</v>
      </c>
      <c r="BO194" s="417">
        <f t="shared" si="306"/>
        <v>29250</v>
      </c>
      <c r="BP194" s="417">
        <f t="shared" si="307"/>
        <v>0</v>
      </c>
      <c r="BQ194" s="417">
        <f t="shared" si="308"/>
        <v>0</v>
      </c>
      <c r="BR194" s="417">
        <f t="shared" si="308"/>
        <v>0</v>
      </c>
      <c r="BS194" s="417">
        <f t="shared" si="309"/>
        <v>9886</v>
      </c>
      <c r="BT194" s="417">
        <f t="shared" si="309"/>
        <v>292</v>
      </c>
      <c r="BU194" s="417">
        <f t="shared" si="310"/>
        <v>115</v>
      </c>
      <c r="BV194" s="418">
        <f t="shared" si="311"/>
        <v>0.09</v>
      </c>
      <c r="BW194" s="418">
        <f t="shared" si="312"/>
        <v>0</v>
      </c>
      <c r="BX194" s="420">
        <f t="shared" si="312"/>
        <v>0.09</v>
      </c>
      <c r="BY194" s="419"/>
      <c r="BZ194" s="414"/>
      <c r="CA194" s="414"/>
      <c r="CB194" s="414"/>
      <c r="CC194" s="414"/>
      <c r="CD194" s="509"/>
      <c r="CE194" s="419"/>
      <c r="CF194" s="414"/>
      <c r="CG194" s="414"/>
      <c r="CH194" s="414"/>
      <c r="CI194" s="414"/>
      <c r="CJ194" s="509"/>
    </row>
    <row r="195" spans="1:88" s="221" customFormat="1" ht="12.75" customHeight="1" thickBot="1">
      <c r="A195" s="156">
        <v>39</v>
      </c>
      <c r="B195" s="157">
        <v>3478</v>
      </c>
      <c r="C195" s="158">
        <v>691019657</v>
      </c>
      <c r="D195" s="158">
        <v>22296816</v>
      </c>
      <c r="E195" s="227" t="s">
        <v>863</v>
      </c>
      <c r="F195" s="157"/>
      <c r="G195" s="227"/>
      <c r="H195" s="559"/>
      <c r="I195" s="572">
        <v>639202</v>
      </c>
      <c r="J195" s="573">
        <v>472617</v>
      </c>
      <c r="K195" s="573">
        <v>391219</v>
      </c>
      <c r="L195" s="573">
        <v>81398</v>
      </c>
      <c r="M195" s="573">
        <v>0</v>
      </c>
      <c r="N195" s="573">
        <v>0</v>
      </c>
      <c r="O195" s="573">
        <v>0</v>
      </c>
      <c r="P195" s="573">
        <v>159744</v>
      </c>
      <c r="Q195" s="573">
        <v>4726</v>
      </c>
      <c r="R195" s="573">
        <v>2115</v>
      </c>
      <c r="S195" s="574">
        <v>0.99999999999999989</v>
      </c>
      <c r="T195" s="574">
        <v>0.73</v>
      </c>
      <c r="U195" s="1085">
        <v>0.27</v>
      </c>
      <c r="V195" s="1086">
        <f t="shared" ref="V195:CH195" si="313">SUM(V193:V194)</f>
        <v>0</v>
      </c>
      <c r="W195" s="1087">
        <f t="shared" si="313"/>
        <v>0</v>
      </c>
      <c r="X195" s="1087">
        <f t="shared" si="313"/>
        <v>0</v>
      </c>
      <c r="Y195" s="1087">
        <f t="shared" si="313"/>
        <v>0</v>
      </c>
      <c r="Z195" s="1087">
        <f t="shared" si="313"/>
        <v>0</v>
      </c>
      <c r="AA195" s="1087">
        <f t="shared" si="313"/>
        <v>518</v>
      </c>
      <c r="AB195" s="1087">
        <f t="shared" si="313"/>
        <v>0</v>
      </c>
      <c r="AC195" s="1087">
        <f t="shared" si="313"/>
        <v>0</v>
      </c>
      <c r="AD195" s="1087">
        <f t="shared" si="313"/>
        <v>0</v>
      </c>
      <c r="AE195" s="1087">
        <f t="shared" si="313"/>
        <v>0</v>
      </c>
      <c r="AF195" s="1087">
        <f t="shared" si="313"/>
        <v>518</v>
      </c>
      <c r="AG195" s="1087">
        <f t="shared" si="313"/>
        <v>518</v>
      </c>
      <c r="AH195" s="1087">
        <f t="shared" si="313"/>
        <v>0</v>
      </c>
      <c r="AI195" s="1087">
        <f t="shared" si="313"/>
        <v>0</v>
      </c>
      <c r="AJ195" s="1087">
        <f t="shared" si="313"/>
        <v>0</v>
      </c>
      <c r="AK195" s="1087">
        <f t="shared" si="313"/>
        <v>0</v>
      </c>
      <c r="AL195" s="1087">
        <f t="shared" si="313"/>
        <v>0</v>
      </c>
      <c r="AM195" s="1087">
        <f t="shared" si="313"/>
        <v>0</v>
      </c>
      <c r="AN195" s="1087">
        <f t="shared" si="313"/>
        <v>0</v>
      </c>
      <c r="AO195" s="1087">
        <f t="shared" si="313"/>
        <v>0</v>
      </c>
      <c r="AP195" s="1087">
        <f t="shared" si="313"/>
        <v>0</v>
      </c>
      <c r="AQ195" s="1087">
        <f t="shared" si="313"/>
        <v>518</v>
      </c>
      <c r="AR195" s="1087">
        <f t="shared" si="313"/>
        <v>518</v>
      </c>
      <c r="AS195" s="1087">
        <f t="shared" si="313"/>
        <v>175</v>
      </c>
      <c r="AT195" s="1087">
        <f t="shared" si="313"/>
        <v>5</v>
      </c>
      <c r="AU195" s="1087">
        <f t="shared" si="313"/>
        <v>0</v>
      </c>
      <c r="AV195" s="1087">
        <f t="shared" si="313"/>
        <v>0</v>
      </c>
      <c r="AW195" s="1087">
        <f t="shared" si="313"/>
        <v>0</v>
      </c>
      <c r="AX195" s="1087">
        <f t="shared" si="313"/>
        <v>0</v>
      </c>
      <c r="AY195" s="1087">
        <f t="shared" si="313"/>
        <v>698</v>
      </c>
      <c r="AZ195" s="1090">
        <f t="shared" si="313"/>
        <v>0</v>
      </c>
      <c r="BA195" s="1090">
        <f t="shared" si="313"/>
        <v>0</v>
      </c>
      <c r="BB195" s="1090">
        <f t="shared" si="313"/>
        <v>0</v>
      </c>
      <c r="BC195" s="1090">
        <f t="shared" si="313"/>
        <v>0</v>
      </c>
      <c r="BD195" s="1090">
        <f t="shared" si="313"/>
        <v>0.01</v>
      </c>
      <c r="BE195" s="1090">
        <f t="shared" si="313"/>
        <v>0</v>
      </c>
      <c r="BF195" s="1090">
        <f t="shared" si="313"/>
        <v>0</v>
      </c>
      <c r="BG195" s="1090">
        <f t="shared" si="313"/>
        <v>0</v>
      </c>
      <c r="BH195" s="1090">
        <f t="shared" si="313"/>
        <v>0</v>
      </c>
      <c r="BI195" s="1090">
        <f t="shared" si="313"/>
        <v>0</v>
      </c>
      <c r="BJ195" s="1090">
        <f t="shared" si="313"/>
        <v>0.01</v>
      </c>
      <c r="BK195" s="1091">
        <f t="shared" si="313"/>
        <v>0.01</v>
      </c>
      <c r="BL195" s="847">
        <f t="shared" si="313"/>
        <v>639900</v>
      </c>
      <c r="BM195" s="573">
        <f t="shared" si="313"/>
        <v>473135</v>
      </c>
      <c r="BN195" s="573">
        <f t="shared" si="313"/>
        <v>391219</v>
      </c>
      <c r="BO195" s="573">
        <f t="shared" si="313"/>
        <v>81916</v>
      </c>
      <c r="BP195" s="573">
        <f t="shared" si="313"/>
        <v>0</v>
      </c>
      <c r="BQ195" s="573">
        <f t="shared" si="313"/>
        <v>0</v>
      </c>
      <c r="BR195" s="573">
        <f t="shared" si="313"/>
        <v>0</v>
      </c>
      <c r="BS195" s="573">
        <f t="shared" si="313"/>
        <v>159919</v>
      </c>
      <c r="BT195" s="573">
        <f t="shared" si="313"/>
        <v>4731</v>
      </c>
      <c r="BU195" s="573">
        <f t="shared" si="313"/>
        <v>2115</v>
      </c>
      <c r="BV195" s="574">
        <f t="shared" si="313"/>
        <v>1.01</v>
      </c>
      <c r="BW195" s="574">
        <f t="shared" si="313"/>
        <v>0.73</v>
      </c>
      <c r="BX195" s="574">
        <f t="shared" si="313"/>
        <v>0.28000000000000003</v>
      </c>
      <c r="BY195" s="706">
        <f t="shared" si="313"/>
        <v>0</v>
      </c>
      <c r="BZ195" s="706">
        <f t="shared" si="313"/>
        <v>0</v>
      </c>
      <c r="CA195" s="706">
        <f t="shared" si="313"/>
        <v>0</v>
      </c>
      <c r="CB195" s="706">
        <f t="shared" si="313"/>
        <v>0</v>
      </c>
      <c r="CC195" s="706">
        <f t="shared" si="313"/>
        <v>0</v>
      </c>
      <c r="CD195" s="706">
        <f t="shared" si="313"/>
        <v>0</v>
      </c>
      <c r="CE195" s="1037">
        <f t="shared" si="313"/>
        <v>0</v>
      </c>
      <c r="CF195" s="1037">
        <f t="shared" si="313"/>
        <v>0</v>
      </c>
      <c r="CG195" s="1037">
        <f t="shared" si="313"/>
        <v>0</v>
      </c>
      <c r="CH195" s="1037">
        <f t="shared" si="313"/>
        <v>0</v>
      </c>
      <c r="CI195" s="1037">
        <f t="shared" ref="CI195:CJ195" si="314">SUM(CI193:CI194)</f>
        <v>0</v>
      </c>
      <c r="CJ195" s="1073">
        <f t="shared" si="314"/>
        <v>0</v>
      </c>
    </row>
    <row r="196" spans="1:88" s="221" customFormat="1" ht="12.75" customHeight="1" thickBot="1">
      <c r="A196" s="228"/>
      <c r="B196" s="229"/>
      <c r="C196" s="229"/>
      <c r="D196" s="229"/>
      <c r="E196" s="85" t="s">
        <v>750</v>
      </c>
      <c r="F196" s="229"/>
      <c r="G196" s="229"/>
      <c r="H196" s="552"/>
      <c r="I196" s="553">
        <f>I13+I17+I21+I25+I29+I32+I36+I40+I44+I48+I52+I56+I59+I63+I67+I71+I75+I79+I84+I90+I96+I102+I108+I114+I120+I126+I132+I138+I140+I148+I155+I159+I164+I168+I175+I179+I185+I192+I195</f>
        <v>717354361</v>
      </c>
      <c r="J196" s="554">
        <f t="shared" ref="J196:BU196" si="315">J13+J17+J21+J25+J29+J32+J36+J40+J44+J48+J52+J56+J59+J63+J67+J71+J75+J79+J84+J90+J96+J102+J108+J114+J120+J126+J132+J138+J140+J148+J155+J159+J164+J168+J175+J179+J185+J192+J195</f>
        <v>524676920</v>
      </c>
      <c r="K196" s="554">
        <f t="shared" si="315"/>
        <v>438424470</v>
      </c>
      <c r="L196" s="554">
        <f t="shared" si="315"/>
        <v>86252450</v>
      </c>
      <c r="M196" s="554">
        <f t="shared" si="315"/>
        <v>1784244</v>
      </c>
      <c r="N196" s="554">
        <f t="shared" si="315"/>
        <v>1403944</v>
      </c>
      <c r="O196" s="554">
        <f t="shared" si="315"/>
        <v>380300</v>
      </c>
      <c r="P196" s="554">
        <f t="shared" si="315"/>
        <v>177826269</v>
      </c>
      <c r="Q196" s="554">
        <f t="shared" si="315"/>
        <v>5246769</v>
      </c>
      <c r="R196" s="554">
        <f t="shared" si="315"/>
        <v>7820159</v>
      </c>
      <c r="S196" s="550">
        <f t="shared" si="315"/>
        <v>992.93939999999998</v>
      </c>
      <c r="T196" s="550">
        <f t="shared" si="315"/>
        <v>727.60649999999998</v>
      </c>
      <c r="U196" s="551">
        <f t="shared" si="315"/>
        <v>265.3329</v>
      </c>
      <c r="V196" s="553">
        <f t="shared" si="315"/>
        <v>-15590</v>
      </c>
      <c r="W196" s="554">
        <f t="shared" si="315"/>
        <v>-145880</v>
      </c>
      <c r="X196" s="554">
        <f t="shared" si="315"/>
        <v>637814</v>
      </c>
      <c r="Y196" s="554">
        <f t="shared" si="315"/>
        <v>307168</v>
      </c>
      <c r="Z196" s="554">
        <f t="shared" si="315"/>
        <v>1005388</v>
      </c>
      <c r="AA196" s="554">
        <f t="shared" si="315"/>
        <v>-227473</v>
      </c>
      <c r="AB196" s="554">
        <f t="shared" si="315"/>
        <v>0</v>
      </c>
      <c r="AC196" s="554">
        <f t="shared" si="315"/>
        <v>0</v>
      </c>
      <c r="AD196" s="554">
        <f t="shared" si="315"/>
        <v>0</v>
      </c>
      <c r="AE196" s="554">
        <f t="shared" si="315"/>
        <v>1934780</v>
      </c>
      <c r="AF196" s="554">
        <f t="shared" si="315"/>
        <v>-373353</v>
      </c>
      <c r="AG196" s="554">
        <f t="shared" si="315"/>
        <v>1561427</v>
      </c>
      <c r="AH196" s="554">
        <f t="shared" si="315"/>
        <v>15590</v>
      </c>
      <c r="AI196" s="554">
        <f t="shared" si="315"/>
        <v>112070</v>
      </c>
      <c r="AJ196" s="554">
        <f t="shared" si="315"/>
        <v>0</v>
      </c>
      <c r="AK196" s="554">
        <f t="shared" si="315"/>
        <v>-220730</v>
      </c>
      <c r="AL196" s="554">
        <f t="shared" si="315"/>
        <v>33810</v>
      </c>
      <c r="AM196" s="554">
        <f t="shared" si="315"/>
        <v>-205140</v>
      </c>
      <c r="AN196" s="554">
        <f t="shared" si="315"/>
        <v>145880</v>
      </c>
      <c r="AO196" s="554">
        <f t="shared" si="315"/>
        <v>-59260</v>
      </c>
      <c r="AP196" s="554">
        <f t="shared" si="315"/>
        <v>1729640</v>
      </c>
      <c r="AQ196" s="554">
        <f t="shared" si="315"/>
        <v>-227473</v>
      </c>
      <c r="AR196" s="554">
        <f t="shared" si="315"/>
        <v>1502167</v>
      </c>
      <c r="AS196" s="554">
        <f t="shared" si="315"/>
        <v>570910</v>
      </c>
      <c r="AT196" s="554">
        <f t="shared" si="315"/>
        <v>15620</v>
      </c>
      <c r="AU196" s="554">
        <f t="shared" si="315"/>
        <v>6500</v>
      </c>
      <c r="AV196" s="554">
        <f t="shared" si="315"/>
        <v>0</v>
      </c>
      <c r="AW196" s="554">
        <f t="shared" si="315"/>
        <v>0</v>
      </c>
      <c r="AX196" s="554">
        <f t="shared" si="315"/>
        <v>6500</v>
      </c>
      <c r="AY196" s="554">
        <f t="shared" si="315"/>
        <v>2095197</v>
      </c>
      <c r="AZ196" s="550">
        <f t="shared" si="315"/>
        <v>-0.26999999999999996</v>
      </c>
      <c r="BA196" s="550">
        <f t="shared" si="315"/>
        <v>-0.32</v>
      </c>
      <c r="BB196" s="550">
        <f t="shared" si="315"/>
        <v>1.7000000000000002</v>
      </c>
      <c r="BC196" s="550">
        <f t="shared" si="315"/>
        <v>2.1200000000000006</v>
      </c>
      <c r="BD196" s="550">
        <f t="shared" si="315"/>
        <v>-0.55999999999999983</v>
      </c>
      <c r="BE196" s="550">
        <f t="shared" si="315"/>
        <v>0.45000000000000007</v>
      </c>
      <c r="BF196" s="550">
        <f t="shared" si="315"/>
        <v>0</v>
      </c>
      <c r="BG196" s="550">
        <f t="shared" si="315"/>
        <v>0</v>
      </c>
      <c r="BH196" s="550">
        <f t="shared" si="315"/>
        <v>0</v>
      </c>
      <c r="BI196" s="550">
        <f t="shared" si="315"/>
        <v>3.9999999999999996</v>
      </c>
      <c r="BJ196" s="550">
        <f t="shared" si="315"/>
        <v>-0.88000000000000012</v>
      </c>
      <c r="BK196" s="551">
        <f t="shared" si="315"/>
        <v>3.12</v>
      </c>
      <c r="BL196" s="1042">
        <f t="shared" si="315"/>
        <v>719449558</v>
      </c>
      <c r="BM196" s="554">
        <f t="shared" si="315"/>
        <v>526238347</v>
      </c>
      <c r="BN196" s="554">
        <f t="shared" si="315"/>
        <v>440359250</v>
      </c>
      <c r="BO196" s="554">
        <f t="shared" si="315"/>
        <v>85879097</v>
      </c>
      <c r="BP196" s="554">
        <f t="shared" si="315"/>
        <v>1724984</v>
      </c>
      <c r="BQ196" s="554">
        <f t="shared" si="315"/>
        <v>1198804</v>
      </c>
      <c r="BR196" s="554">
        <f t="shared" si="315"/>
        <v>526180</v>
      </c>
      <c r="BS196" s="554">
        <f t="shared" si="315"/>
        <v>178397179</v>
      </c>
      <c r="BT196" s="554">
        <f t="shared" si="315"/>
        <v>5262389</v>
      </c>
      <c r="BU196" s="554">
        <f t="shared" si="315"/>
        <v>7826659</v>
      </c>
      <c r="BV196" s="550">
        <f t="shared" ref="BV196:CJ196" si="316">BV13+BV17+BV21+BV25+BV29+BV32+BV36+BV40+BV44+BV48+BV52+BV56+BV59+BV63+BV67+BV71+BV75+BV79+BV84+BV90+BV96+BV102+BV108+BV114+BV120+BV126+BV132+BV138+BV140+BV148+BV155+BV159+BV164+BV168+BV175+BV179+BV185+BV192+BV195</f>
        <v>996.05939999999987</v>
      </c>
      <c r="BW196" s="550">
        <f t="shared" si="316"/>
        <v>731.6065000000001</v>
      </c>
      <c r="BX196" s="550">
        <f t="shared" si="316"/>
        <v>264.4529</v>
      </c>
      <c r="BY196" s="668">
        <f t="shared" si="316"/>
        <v>3327292</v>
      </c>
      <c r="BZ196" s="668">
        <f t="shared" si="316"/>
        <v>1974000</v>
      </c>
      <c r="CA196" s="668">
        <f t="shared" si="316"/>
        <v>498012</v>
      </c>
      <c r="CB196" s="668">
        <f t="shared" si="316"/>
        <v>835540</v>
      </c>
      <c r="CC196" s="668">
        <f t="shared" si="316"/>
        <v>19740</v>
      </c>
      <c r="CD196" s="1038">
        <f t="shared" si="316"/>
        <v>3.5</v>
      </c>
      <c r="CE196" s="1039">
        <f t="shared" si="316"/>
        <v>21079153</v>
      </c>
      <c r="CF196" s="1039">
        <f t="shared" si="316"/>
        <v>14323493</v>
      </c>
      <c r="CG196" s="1039">
        <f t="shared" si="316"/>
        <v>4841337</v>
      </c>
      <c r="CH196" s="1039">
        <f t="shared" si="316"/>
        <v>143237</v>
      </c>
      <c r="CI196" s="1039">
        <f t="shared" si="316"/>
        <v>1771086</v>
      </c>
      <c r="CJ196" s="1040">
        <f t="shared" si="316"/>
        <v>44.782299999999992</v>
      </c>
    </row>
    <row r="197" spans="1:88" ht="12.75" customHeight="1">
      <c r="D197" s="9"/>
      <c r="E197" s="5"/>
      <c r="F197" s="9"/>
      <c r="G197" s="5"/>
      <c r="H197" s="5"/>
      <c r="I197" s="427">
        <f>J196+M196+P196+Q196+R196</f>
        <v>717354361</v>
      </c>
      <c r="J197" s="427">
        <f>SUM(K196:L196)</f>
        <v>524676920</v>
      </c>
      <c r="K197" s="427"/>
      <c r="L197" s="427"/>
      <c r="M197" s="427">
        <f>SUM(N196:O196)</f>
        <v>1784244</v>
      </c>
      <c r="N197" s="427"/>
      <c r="O197" s="427"/>
      <c r="P197" s="427"/>
      <c r="Q197" s="427"/>
      <c r="R197" s="427"/>
      <c r="S197" s="428">
        <f>SUM(T196:U196)</f>
        <v>992.93939999999998</v>
      </c>
      <c r="T197" s="428"/>
      <c r="U197" s="428"/>
      <c r="V197" s="427">
        <f>AH196</f>
        <v>15590</v>
      </c>
      <c r="W197" s="427">
        <f>AI196</f>
        <v>112070</v>
      </c>
      <c r="X197" s="428"/>
      <c r="Y197" s="428"/>
      <c r="Z197" s="428"/>
      <c r="AA197" s="428"/>
      <c r="AB197" s="427"/>
      <c r="AC197" s="428"/>
      <c r="AD197" s="428"/>
      <c r="AE197" s="429"/>
      <c r="AF197" s="429"/>
      <c r="AG197" s="429">
        <f>SUM(AE196:AF196)</f>
        <v>1561427</v>
      </c>
      <c r="AH197" s="429">
        <f>V196</f>
        <v>-15590</v>
      </c>
      <c r="AI197" s="429">
        <f>W196</f>
        <v>-145880</v>
      </c>
      <c r="AJ197" s="430"/>
      <c r="AK197" s="430"/>
      <c r="AL197" s="430"/>
      <c r="AM197" s="429"/>
      <c r="AN197" s="429"/>
      <c r="AO197" s="429">
        <f>SUM(AM196:AN196)</f>
        <v>-59260</v>
      </c>
      <c r="AP197" s="429"/>
      <c r="AQ197" s="429"/>
      <c r="AR197" s="429">
        <f>SUM(AP196:AQ196)</f>
        <v>1502167</v>
      </c>
      <c r="AS197" s="431"/>
      <c r="AT197" s="431"/>
      <c r="AU197" s="430"/>
      <c r="AV197" s="430"/>
      <c r="AW197" s="429"/>
      <c r="AX197" s="429">
        <f>SUM(AU196:AW196)</f>
        <v>6500</v>
      </c>
      <c r="AY197" s="429">
        <f>AG196+AO196+AS196+AT196+AX196</f>
        <v>2095197</v>
      </c>
      <c r="AZ197" s="432"/>
      <c r="BA197" s="432"/>
      <c r="BB197" s="432"/>
      <c r="BC197" s="432"/>
      <c r="BD197" s="432"/>
      <c r="BE197" s="432"/>
      <c r="BF197" s="507"/>
      <c r="BG197" s="432"/>
      <c r="BH197" s="432"/>
      <c r="BI197" s="507">
        <f>AZ196+BB196+BC196+BE196+BG196</f>
        <v>4.0000000000000009</v>
      </c>
      <c r="BJ197" s="507">
        <f>BA196+BD196+BF196+BH196</f>
        <v>-0.87999999999999989</v>
      </c>
      <c r="BK197" s="507">
        <f>SUM(BI196:BJ196)</f>
        <v>3.1199999999999992</v>
      </c>
      <c r="BL197" s="427">
        <f>BM196+BP196+BS196+BT196+BU196</f>
        <v>719449558</v>
      </c>
      <c r="BM197" s="427">
        <f>SUM(BN196:BO196)</f>
        <v>526238347</v>
      </c>
      <c r="BN197" s="429">
        <f>K196+AE196</f>
        <v>440359250</v>
      </c>
      <c r="BO197" s="429">
        <f>L196+AF196</f>
        <v>85879097</v>
      </c>
      <c r="BP197" s="86">
        <f>SUM(BQ196:BR196)</f>
        <v>1724984</v>
      </c>
      <c r="BQ197" s="429">
        <f>N196+AM196</f>
        <v>1198804</v>
      </c>
      <c r="BR197" s="429">
        <f>O196+AN196</f>
        <v>526180</v>
      </c>
      <c r="BS197" s="429">
        <f>P196+AS196</f>
        <v>178397179</v>
      </c>
      <c r="BT197" s="429">
        <f>Q196+AT196</f>
        <v>5262389</v>
      </c>
      <c r="BU197" s="429">
        <f>R196+AX196</f>
        <v>7826659</v>
      </c>
      <c r="BV197" s="428">
        <f>SUM(BW196:BX196)</f>
        <v>996.0594000000001</v>
      </c>
      <c r="BW197" s="507">
        <f>T196+BI196</f>
        <v>731.60649999999998</v>
      </c>
      <c r="BX197" s="507">
        <f>U196+BJ196</f>
        <v>264.4529</v>
      </c>
      <c r="BY197" s="235">
        <f>SUM(BZ196:CC196)</f>
        <v>3327292</v>
      </c>
      <c r="CE197" s="235">
        <f>SUM(CF196:CI196)</f>
        <v>21079153</v>
      </c>
      <c r="CF197" s="8"/>
      <c r="CG197" s="8"/>
      <c r="CH197" s="8"/>
      <c r="CI197" s="8"/>
    </row>
    <row r="198" spans="1:88" ht="13.5" customHeight="1" thickBot="1">
      <c r="D198" s="9"/>
      <c r="E198" s="5"/>
      <c r="F198" s="9"/>
      <c r="G198" s="5"/>
      <c r="H198" s="5"/>
      <c r="I198" s="427">
        <f>J199+M199+P199+Q199+R199</f>
        <v>717354361</v>
      </c>
      <c r="J198" s="427">
        <f>SUM(K199:L199)</f>
        <v>524676920</v>
      </c>
      <c r="K198" s="427"/>
      <c r="L198" s="427"/>
      <c r="M198" s="427">
        <f>SUM(N199:O199)</f>
        <v>1784244</v>
      </c>
      <c r="N198" s="427"/>
      <c r="O198" s="427"/>
      <c r="P198" s="427"/>
      <c r="Q198" s="427"/>
      <c r="R198" s="427"/>
      <c r="S198" s="428">
        <f>SUM(T199:U199)</f>
        <v>992.93939999999975</v>
      </c>
      <c r="T198" s="428"/>
      <c r="U198" s="428"/>
      <c r="V198" s="427">
        <f>AH199</f>
        <v>15590</v>
      </c>
      <c r="W198" s="427">
        <f>AI199</f>
        <v>112070</v>
      </c>
      <c r="X198" s="428"/>
      <c r="Y198" s="428"/>
      <c r="Z198" s="428"/>
      <c r="AA198" s="428"/>
      <c r="AB198" s="427"/>
      <c r="AC198" s="428"/>
      <c r="AD198" s="428"/>
      <c r="AE198" s="429"/>
      <c r="AF198" s="429"/>
      <c r="AG198" s="429">
        <f>SUM(AE199:AF199)</f>
        <v>1561427</v>
      </c>
      <c r="AH198" s="429"/>
      <c r="AI198" s="429"/>
      <c r="AJ198" s="430"/>
      <c r="AK198" s="430"/>
      <c r="AL198" s="430"/>
      <c r="AM198" s="429"/>
      <c r="AN198" s="429"/>
      <c r="AO198" s="429">
        <f>SUM(AM199:AN199)</f>
        <v>-59260</v>
      </c>
      <c r="AP198" s="429"/>
      <c r="AQ198" s="429"/>
      <c r="AR198" s="429">
        <f>SUM(AP199:AQ199)</f>
        <v>1502167</v>
      </c>
      <c r="AS198" s="431"/>
      <c r="AT198" s="431"/>
      <c r="AU198" s="430"/>
      <c r="AV198" s="430"/>
      <c r="AW198" s="429"/>
      <c r="AX198" s="429">
        <f>SUM(AU199:AW199)</f>
        <v>6500</v>
      </c>
      <c r="AY198" s="429">
        <f>AG199+AO199+AS199+AT199+AX199</f>
        <v>2095197</v>
      </c>
      <c r="AZ198" s="432"/>
      <c r="BA198" s="432"/>
      <c r="BB198" s="432"/>
      <c r="BC198" s="432"/>
      <c r="BD198" s="432"/>
      <c r="BE198" s="432"/>
      <c r="BF198" s="507"/>
      <c r="BG198" s="432"/>
      <c r="BH198" s="432"/>
      <c r="BI198" s="507">
        <f>AZ199+BB199+BC199+BE199+BG199</f>
        <v>4.0000000000000009</v>
      </c>
      <c r="BJ198" s="507">
        <f>BA199+BD199+BF199+BH199</f>
        <v>-0.87999999999999989</v>
      </c>
      <c r="BK198" s="507">
        <f>SUM(BI199:BJ199)</f>
        <v>3.12</v>
      </c>
      <c r="BL198" s="427">
        <f>BM199+BP199+BS199+BT199+BU199</f>
        <v>719449558</v>
      </c>
      <c r="BM198" s="427">
        <f>SUM(BN199:BO199)</f>
        <v>526238347</v>
      </c>
      <c r="BN198" s="53"/>
      <c r="BO198" s="53"/>
      <c r="BP198" s="86">
        <f>SUM(BQ199:BR199)</f>
        <v>1724984</v>
      </c>
      <c r="BQ198" s="53"/>
      <c r="BR198" s="53"/>
      <c r="BS198" s="53"/>
      <c r="BT198" s="53"/>
      <c r="BU198" s="53"/>
      <c r="BV198" s="428">
        <f>SUM(BW199:BX199)</f>
        <v>996.05940000000021</v>
      </c>
      <c r="BW198" s="87"/>
      <c r="BX198" s="87"/>
      <c r="BY198" s="235">
        <f>SUM(BZ199:CC199)</f>
        <v>3327292</v>
      </c>
      <c r="CE198" s="235">
        <f>SUM(CF199:CI199)</f>
        <v>21079153</v>
      </c>
      <c r="CF198" s="8"/>
      <c r="CG198" s="8"/>
      <c r="CH198" s="8"/>
      <c r="CI198" s="8"/>
    </row>
    <row r="199" spans="1:88" ht="12.75" customHeight="1" thickBot="1">
      <c r="D199" s="9"/>
      <c r="E199" s="5"/>
      <c r="F199" s="9"/>
      <c r="G199" s="5"/>
      <c r="H199" s="439" t="s">
        <v>0</v>
      </c>
      <c r="I199" s="139">
        <f t="shared" ref="I199:BW199" si="317">SUM(I200:I209)</f>
        <v>717354361</v>
      </c>
      <c r="J199" s="34">
        <f t="shared" si="317"/>
        <v>524676920</v>
      </c>
      <c r="K199" s="34">
        <f t="shared" si="317"/>
        <v>438424470</v>
      </c>
      <c r="L199" s="34">
        <f t="shared" si="317"/>
        <v>86252450</v>
      </c>
      <c r="M199" s="34">
        <f t="shared" si="317"/>
        <v>1784244</v>
      </c>
      <c r="N199" s="34">
        <f t="shared" si="317"/>
        <v>1403944</v>
      </c>
      <c r="O199" s="34">
        <f t="shared" si="317"/>
        <v>380300</v>
      </c>
      <c r="P199" s="34">
        <f t="shared" si="317"/>
        <v>177826269</v>
      </c>
      <c r="Q199" s="34">
        <f t="shared" si="317"/>
        <v>5246769</v>
      </c>
      <c r="R199" s="34">
        <f t="shared" si="317"/>
        <v>7820159</v>
      </c>
      <c r="S199" s="35">
        <f t="shared" si="317"/>
        <v>992.93940000000009</v>
      </c>
      <c r="T199" s="35">
        <f t="shared" si="317"/>
        <v>727.60649999999987</v>
      </c>
      <c r="U199" s="36">
        <f t="shared" si="317"/>
        <v>265.33289999999994</v>
      </c>
      <c r="V199" s="149">
        <f t="shared" si="317"/>
        <v>-15590</v>
      </c>
      <c r="W199" s="34">
        <f t="shared" si="317"/>
        <v>-145880</v>
      </c>
      <c r="X199" s="34">
        <f t="shared" si="317"/>
        <v>637814</v>
      </c>
      <c r="Y199" s="34">
        <f t="shared" si="317"/>
        <v>307168</v>
      </c>
      <c r="Z199" s="34">
        <f t="shared" si="317"/>
        <v>1005388</v>
      </c>
      <c r="AA199" s="34">
        <f t="shared" si="317"/>
        <v>-227473</v>
      </c>
      <c r="AB199" s="34">
        <f t="shared" si="317"/>
        <v>0</v>
      </c>
      <c r="AC199" s="34">
        <f t="shared" si="317"/>
        <v>0</v>
      </c>
      <c r="AD199" s="34">
        <f t="shared" si="317"/>
        <v>0</v>
      </c>
      <c r="AE199" s="34">
        <f t="shared" si="317"/>
        <v>1934780</v>
      </c>
      <c r="AF199" s="34">
        <f t="shared" si="317"/>
        <v>-373353</v>
      </c>
      <c r="AG199" s="34">
        <f t="shared" si="317"/>
        <v>1561427</v>
      </c>
      <c r="AH199" s="34">
        <f t="shared" si="317"/>
        <v>15590</v>
      </c>
      <c r="AI199" s="34">
        <f t="shared" si="317"/>
        <v>112070</v>
      </c>
      <c r="AJ199" s="34">
        <f t="shared" si="317"/>
        <v>0</v>
      </c>
      <c r="AK199" s="34">
        <f t="shared" si="317"/>
        <v>-220730</v>
      </c>
      <c r="AL199" s="34">
        <f t="shared" si="317"/>
        <v>33810</v>
      </c>
      <c r="AM199" s="34">
        <f t="shared" si="317"/>
        <v>-205140</v>
      </c>
      <c r="AN199" s="34">
        <f t="shared" si="317"/>
        <v>145880</v>
      </c>
      <c r="AO199" s="34">
        <f t="shared" si="317"/>
        <v>-59260</v>
      </c>
      <c r="AP199" s="34">
        <f t="shared" si="317"/>
        <v>1729640</v>
      </c>
      <c r="AQ199" s="34">
        <f t="shared" si="317"/>
        <v>-227473</v>
      </c>
      <c r="AR199" s="34">
        <f t="shared" si="317"/>
        <v>1502167</v>
      </c>
      <c r="AS199" s="34">
        <f t="shared" si="317"/>
        <v>570910</v>
      </c>
      <c r="AT199" s="34">
        <f t="shared" si="317"/>
        <v>15620</v>
      </c>
      <c r="AU199" s="34">
        <f t="shared" si="317"/>
        <v>6500</v>
      </c>
      <c r="AV199" s="34">
        <f t="shared" si="317"/>
        <v>0</v>
      </c>
      <c r="AW199" s="34">
        <f t="shared" si="317"/>
        <v>0</v>
      </c>
      <c r="AX199" s="34">
        <f t="shared" si="317"/>
        <v>6500</v>
      </c>
      <c r="AY199" s="34">
        <f t="shared" si="317"/>
        <v>2095197</v>
      </c>
      <c r="AZ199" s="35">
        <f t="shared" si="317"/>
        <v>-0.26999999999999996</v>
      </c>
      <c r="BA199" s="35">
        <f t="shared" si="317"/>
        <v>-0.32</v>
      </c>
      <c r="BB199" s="35">
        <f t="shared" si="317"/>
        <v>1.7000000000000004</v>
      </c>
      <c r="BC199" s="35">
        <f t="shared" si="317"/>
        <v>2.12</v>
      </c>
      <c r="BD199" s="35">
        <f t="shared" si="317"/>
        <v>-0.55999999999999983</v>
      </c>
      <c r="BE199" s="35">
        <f t="shared" si="317"/>
        <v>0.45000000000000007</v>
      </c>
      <c r="BF199" s="35">
        <f t="shared" si="317"/>
        <v>0</v>
      </c>
      <c r="BG199" s="35">
        <f t="shared" si="317"/>
        <v>0</v>
      </c>
      <c r="BH199" s="35">
        <f t="shared" si="317"/>
        <v>0</v>
      </c>
      <c r="BI199" s="35">
        <f t="shared" si="317"/>
        <v>4</v>
      </c>
      <c r="BJ199" s="35">
        <f t="shared" si="317"/>
        <v>-0.87999999999999989</v>
      </c>
      <c r="BK199" s="148">
        <f t="shared" si="317"/>
        <v>3.12</v>
      </c>
      <c r="BL199" s="139">
        <f t="shared" si="317"/>
        <v>719449558</v>
      </c>
      <c r="BM199" s="34">
        <f t="shared" si="317"/>
        <v>526238347</v>
      </c>
      <c r="BN199" s="34">
        <f t="shared" si="317"/>
        <v>440359250</v>
      </c>
      <c r="BO199" s="34">
        <f t="shared" si="317"/>
        <v>85879097</v>
      </c>
      <c r="BP199" s="34">
        <f t="shared" si="317"/>
        <v>1724984</v>
      </c>
      <c r="BQ199" s="34">
        <f t="shared" si="317"/>
        <v>1198804</v>
      </c>
      <c r="BR199" s="34">
        <f t="shared" si="317"/>
        <v>526180</v>
      </c>
      <c r="BS199" s="34">
        <f t="shared" si="317"/>
        <v>178397179</v>
      </c>
      <c r="BT199" s="34">
        <f t="shared" si="317"/>
        <v>5262389</v>
      </c>
      <c r="BU199" s="34">
        <f t="shared" si="317"/>
        <v>7826659</v>
      </c>
      <c r="BV199" s="35">
        <f t="shared" si="317"/>
        <v>996.0594000000001</v>
      </c>
      <c r="BW199" s="35">
        <f t="shared" si="317"/>
        <v>731.60650000000021</v>
      </c>
      <c r="BX199" s="148">
        <f t="shared" ref="BX199:CJ199" si="318">SUM(BX200:BX209)</f>
        <v>264.4529</v>
      </c>
      <c r="BY199" s="671">
        <f t="shared" si="318"/>
        <v>3327292</v>
      </c>
      <c r="BZ199" s="667">
        <f t="shared" si="318"/>
        <v>1974000</v>
      </c>
      <c r="CA199" s="667">
        <f t="shared" si="318"/>
        <v>498012</v>
      </c>
      <c r="CB199" s="667">
        <f t="shared" si="318"/>
        <v>835540</v>
      </c>
      <c r="CC199" s="667">
        <f t="shared" si="318"/>
        <v>19740</v>
      </c>
      <c r="CD199" s="672">
        <f t="shared" si="318"/>
        <v>3.5</v>
      </c>
      <c r="CE199" s="893">
        <f t="shared" si="318"/>
        <v>21079153</v>
      </c>
      <c r="CF199" s="894">
        <f t="shared" si="318"/>
        <v>14323493</v>
      </c>
      <c r="CG199" s="894">
        <f t="shared" si="318"/>
        <v>4841337</v>
      </c>
      <c r="CH199" s="894">
        <f t="shared" si="318"/>
        <v>143237</v>
      </c>
      <c r="CI199" s="894">
        <f t="shared" si="318"/>
        <v>1771086</v>
      </c>
      <c r="CJ199" s="885">
        <f t="shared" si="318"/>
        <v>44.782299999999999</v>
      </c>
    </row>
    <row r="200" spans="1:88" ht="12.75" customHeight="1">
      <c r="D200" s="9"/>
      <c r="E200" s="5"/>
      <c r="F200" s="9"/>
      <c r="G200" s="5"/>
      <c r="H200" s="440">
        <v>3111</v>
      </c>
      <c r="I200" s="488">
        <f t="shared" ref="I200:BY200" si="319">SUMIF($F$12:$F$472,"=3111",I$12:I$472)</f>
        <v>176888239</v>
      </c>
      <c r="J200" s="489">
        <f t="shared" si="319"/>
        <v>130043330</v>
      </c>
      <c r="K200" s="489">
        <f t="shared" si="319"/>
        <v>115131189</v>
      </c>
      <c r="L200" s="489">
        <f t="shared" si="319"/>
        <v>14912141</v>
      </c>
      <c r="M200" s="489">
        <f t="shared" si="319"/>
        <v>621998</v>
      </c>
      <c r="N200" s="489">
        <f t="shared" si="319"/>
        <v>436198</v>
      </c>
      <c r="O200" s="489">
        <f t="shared" si="319"/>
        <v>185800</v>
      </c>
      <c r="P200" s="489">
        <f t="shared" si="319"/>
        <v>44064426</v>
      </c>
      <c r="Q200" s="489">
        <f t="shared" si="319"/>
        <v>1300435</v>
      </c>
      <c r="R200" s="489">
        <f t="shared" si="319"/>
        <v>858050</v>
      </c>
      <c r="S200" s="492">
        <f t="shared" si="319"/>
        <v>260.00880000000006</v>
      </c>
      <c r="T200" s="492">
        <f t="shared" si="319"/>
        <v>208.7525</v>
      </c>
      <c r="U200" s="495">
        <f t="shared" si="319"/>
        <v>51.25630000000001</v>
      </c>
      <c r="V200" s="490">
        <f t="shared" si="319"/>
        <v>11410</v>
      </c>
      <c r="W200" s="489">
        <f t="shared" si="319"/>
        <v>-119605</v>
      </c>
      <c r="X200" s="489">
        <f t="shared" si="319"/>
        <v>208059</v>
      </c>
      <c r="Y200" s="489">
        <f t="shared" si="319"/>
        <v>0</v>
      </c>
      <c r="Z200" s="489">
        <f t="shared" si="319"/>
        <v>65668</v>
      </c>
      <c r="AA200" s="489">
        <f t="shared" si="319"/>
        <v>0</v>
      </c>
      <c r="AB200" s="489">
        <f t="shared" si="319"/>
        <v>0</v>
      </c>
      <c r="AC200" s="489">
        <f t="shared" si="319"/>
        <v>0</v>
      </c>
      <c r="AD200" s="489">
        <f t="shared" si="319"/>
        <v>0</v>
      </c>
      <c r="AE200" s="489">
        <f t="shared" si="319"/>
        <v>285137</v>
      </c>
      <c r="AF200" s="489">
        <f t="shared" si="319"/>
        <v>-119605</v>
      </c>
      <c r="AG200" s="489">
        <f t="shared" si="319"/>
        <v>165532</v>
      </c>
      <c r="AH200" s="489">
        <f t="shared" si="319"/>
        <v>-11410</v>
      </c>
      <c r="AI200" s="489">
        <f t="shared" si="319"/>
        <v>85795</v>
      </c>
      <c r="AJ200" s="489">
        <f t="shared" si="319"/>
        <v>0</v>
      </c>
      <c r="AK200" s="489">
        <f t="shared" si="319"/>
        <v>-170000</v>
      </c>
      <c r="AL200" s="489">
        <f t="shared" si="319"/>
        <v>33810</v>
      </c>
      <c r="AM200" s="489">
        <f t="shared" si="319"/>
        <v>-181410</v>
      </c>
      <c r="AN200" s="489">
        <f t="shared" si="319"/>
        <v>119605</v>
      </c>
      <c r="AO200" s="489">
        <f t="shared" si="319"/>
        <v>-61805</v>
      </c>
      <c r="AP200" s="489">
        <f t="shared" si="319"/>
        <v>103727</v>
      </c>
      <c r="AQ200" s="489">
        <f t="shared" si="319"/>
        <v>0</v>
      </c>
      <c r="AR200" s="489">
        <f t="shared" si="319"/>
        <v>103727</v>
      </c>
      <c r="AS200" s="489">
        <f t="shared" si="319"/>
        <v>81092</v>
      </c>
      <c r="AT200" s="489">
        <f t="shared" si="319"/>
        <v>1657</v>
      </c>
      <c r="AU200" s="489">
        <f t="shared" si="319"/>
        <v>0</v>
      </c>
      <c r="AV200" s="489">
        <f t="shared" si="319"/>
        <v>0</v>
      </c>
      <c r="AW200" s="489">
        <f t="shared" si="319"/>
        <v>0</v>
      </c>
      <c r="AX200" s="489">
        <f t="shared" si="319"/>
        <v>0</v>
      </c>
      <c r="AY200" s="489">
        <f t="shared" si="319"/>
        <v>186476</v>
      </c>
      <c r="AZ200" s="492">
        <f t="shared" si="319"/>
        <v>0</v>
      </c>
      <c r="BA200" s="492">
        <f t="shared" si="319"/>
        <v>-0.17</v>
      </c>
      <c r="BB200" s="492">
        <f t="shared" si="319"/>
        <v>0.53</v>
      </c>
      <c r="BC200" s="492">
        <f t="shared" si="319"/>
        <v>0.16</v>
      </c>
      <c r="BD200" s="492">
        <f t="shared" si="319"/>
        <v>0</v>
      </c>
      <c r="BE200" s="492">
        <f t="shared" si="319"/>
        <v>0</v>
      </c>
      <c r="BF200" s="492">
        <f t="shared" si="319"/>
        <v>0</v>
      </c>
      <c r="BG200" s="492">
        <f t="shared" si="319"/>
        <v>0</v>
      </c>
      <c r="BH200" s="492">
        <f t="shared" si="319"/>
        <v>0</v>
      </c>
      <c r="BI200" s="492">
        <f t="shared" si="319"/>
        <v>0.69000000000000006</v>
      </c>
      <c r="BJ200" s="492">
        <f t="shared" si="319"/>
        <v>-0.17</v>
      </c>
      <c r="BK200" s="493">
        <f t="shared" si="319"/>
        <v>0.52</v>
      </c>
      <c r="BL200" s="488">
        <f t="shared" si="319"/>
        <v>177074715</v>
      </c>
      <c r="BM200" s="489">
        <f t="shared" si="319"/>
        <v>130208862</v>
      </c>
      <c r="BN200" s="489">
        <f t="shared" si="319"/>
        <v>115416326</v>
      </c>
      <c r="BO200" s="489">
        <f t="shared" si="319"/>
        <v>14792536</v>
      </c>
      <c r="BP200" s="489">
        <f t="shared" si="319"/>
        <v>560193</v>
      </c>
      <c r="BQ200" s="489">
        <f t="shared" si="319"/>
        <v>254788</v>
      </c>
      <c r="BR200" s="489">
        <f t="shared" si="319"/>
        <v>305405</v>
      </c>
      <c r="BS200" s="489">
        <f t="shared" si="319"/>
        <v>44145518</v>
      </c>
      <c r="BT200" s="489">
        <f t="shared" si="319"/>
        <v>1302092</v>
      </c>
      <c r="BU200" s="489">
        <f t="shared" si="319"/>
        <v>858050</v>
      </c>
      <c r="BV200" s="492">
        <f t="shared" si="319"/>
        <v>260.5288000000001</v>
      </c>
      <c r="BW200" s="492">
        <f t="shared" si="319"/>
        <v>209.4425</v>
      </c>
      <c r="BX200" s="493">
        <f t="shared" si="319"/>
        <v>51.086300000000023</v>
      </c>
      <c r="BY200" s="488">
        <f t="shared" si="319"/>
        <v>0</v>
      </c>
      <c r="BZ200" s="489">
        <f t="shared" ref="BZ200:CJ200" si="320">SUMIF($F$12:$F$472,"=3111",BZ$12:BZ$472)</f>
        <v>0</v>
      </c>
      <c r="CA200" s="489">
        <f t="shared" si="320"/>
        <v>0</v>
      </c>
      <c r="CB200" s="489">
        <f t="shared" si="320"/>
        <v>0</v>
      </c>
      <c r="CC200" s="489">
        <f t="shared" si="320"/>
        <v>0</v>
      </c>
      <c r="CD200" s="495">
        <f t="shared" si="320"/>
        <v>0</v>
      </c>
      <c r="CE200" s="488">
        <f t="shared" si="320"/>
        <v>6835031</v>
      </c>
      <c r="CF200" s="489">
        <f t="shared" si="320"/>
        <v>4867180</v>
      </c>
      <c r="CG200" s="489">
        <f t="shared" si="320"/>
        <v>1645103</v>
      </c>
      <c r="CH200" s="489">
        <f t="shared" si="320"/>
        <v>48673</v>
      </c>
      <c r="CI200" s="489">
        <f t="shared" si="320"/>
        <v>274075</v>
      </c>
      <c r="CJ200" s="495">
        <f t="shared" si="320"/>
        <v>16.755100000000002</v>
      </c>
    </row>
    <row r="201" spans="1:88" ht="12.75" customHeight="1">
      <c r="D201" s="9"/>
      <c r="E201" s="5"/>
      <c r="F201" s="9"/>
      <c r="G201" s="5"/>
      <c r="H201" s="2">
        <v>3113</v>
      </c>
      <c r="I201" s="167">
        <f t="shared" ref="I201:BY201" si="321">SUMIF($F$12:$F$472,"=3113",I$12:I$472)</f>
        <v>398205833</v>
      </c>
      <c r="J201" s="16">
        <f t="shared" si="321"/>
        <v>289779841</v>
      </c>
      <c r="K201" s="16">
        <f t="shared" si="321"/>
        <v>262975061</v>
      </c>
      <c r="L201" s="16">
        <f t="shared" si="321"/>
        <v>26804780</v>
      </c>
      <c r="M201" s="16">
        <f t="shared" si="321"/>
        <v>928246</v>
      </c>
      <c r="N201" s="16">
        <f t="shared" si="321"/>
        <v>807746</v>
      </c>
      <c r="O201" s="16">
        <f t="shared" si="321"/>
        <v>120500</v>
      </c>
      <c r="P201" s="16">
        <f t="shared" si="321"/>
        <v>98242188</v>
      </c>
      <c r="Q201" s="16">
        <f t="shared" si="321"/>
        <v>2897798</v>
      </c>
      <c r="R201" s="16">
        <f t="shared" si="321"/>
        <v>6357760</v>
      </c>
      <c r="S201" s="13">
        <f t="shared" si="321"/>
        <v>490.98749999999995</v>
      </c>
      <c r="T201" s="13">
        <f t="shared" si="321"/>
        <v>410.93739999999985</v>
      </c>
      <c r="U201" s="17">
        <f t="shared" si="321"/>
        <v>80.0501</v>
      </c>
      <c r="V201" s="168">
        <f t="shared" si="321"/>
        <v>40000</v>
      </c>
      <c r="W201" s="16">
        <f t="shared" si="321"/>
        <v>-34300</v>
      </c>
      <c r="X201" s="16">
        <f t="shared" si="321"/>
        <v>429755</v>
      </c>
      <c r="Y201" s="16">
        <f t="shared" si="321"/>
        <v>307168</v>
      </c>
      <c r="Z201" s="16">
        <f t="shared" si="321"/>
        <v>711030</v>
      </c>
      <c r="AA201" s="16">
        <f t="shared" si="321"/>
        <v>0</v>
      </c>
      <c r="AB201" s="16">
        <f t="shared" si="321"/>
        <v>0</v>
      </c>
      <c r="AC201" s="16">
        <f t="shared" si="321"/>
        <v>0</v>
      </c>
      <c r="AD201" s="16">
        <f t="shared" si="321"/>
        <v>0</v>
      </c>
      <c r="AE201" s="16">
        <f t="shared" si="321"/>
        <v>1487953</v>
      </c>
      <c r="AF201" s="16">
        <f t="shared" si="321"/>
        <v>-34300</v>
      </c>
      <c r="AG201" s="16">
        <f t="shared" si="321"/>
        <v>1453653</v>
      </c>
      <c r="AH201" s="16">
        <f t="shared" si="321"/>
        <v>-40000</v>
      </c>
      <c r="AI201" s="16">
        <f t="shared" si="321"/>
        <v>34300</v>
      </c>
      <c r="AJ201" s="16">
        <f t="shared" si="321"/>
        <v>0</v>
      </c>
      <c r="AK201" s="16">
        <f t="shared" si="321"/>
        <v>-50730</v>
      </c>
      <c r="AL201" s="16">
        <f t="shared" si="321"/>
        <v>0</v>
      </c>
      <c r="AM201" s="16">
        <f t="shared" si="321"/>
        <v>-90730</v>
      </c>
      <c r="AN201" s="16">
        <f t="shared" si="321"/>
        <v>34300</v>
      </c>
      <c r="AO201" s="16">
        <f t="shared" si="321"/>
        <v>-56430</v>
      </c>
      <c r="AP201" s="16">
        <f t="shared" si="321"/>
        <v>1397223</v>
      </c>
      <c r="AQ201" s="16">
        <f t="shared" si="321"/>
        <v>0</v>
      </c>
      <c r="AR201" s="16">
        <f t="shared" si="321"/>
        <v>1397223</v>
      </c>
      <c r="AS201" s="16">
        <f t="shared" si="321"/>
        <v>489409</v>
      </c>
      <c r="AT201" s="16">
        <f t="shared" si="321"/>
        <v>14538</v>
      </c>
      <c r="AU201" s="16">
        <f t="shared" si="321"/>
        <v>6500</v>
      </c>
      <c r="AV201" s="16">
        <f t="shared" si="321"/>
        <v>0</v>
      </c>
      <c r="AW201" s="16">
        <f t="shared" si="321"/>
        <v>0</v>
      </c>
      <c r="AX201" s="16">
        <f t="shared" si="321"/>
        <v>6500</v>
      </c>
      <c r="AY201" s="16">
        <f t="shared" si="321"/>
        <v>1907670</v>
      </c>
      <c r="AZ201" s="13">
        <f t="shared" si="321"/>
        <v>-0.26999999999999996</v>
      </c>
      <c r="BA201" s="13">
        <f t="shared" si="321"/>
        <v>-0.15</v>
      </c>
      <c r="BB201" s="13">
        <f t="shared" si="321"/>
        <v>1.1700000000000004</v>
      </c>
      <c r="BC201" s="13">
        <f t="shared" si="321"/>
        <v>1.42</v>
      </c>
      <c r="BD201" s="13">
        <f t="shared" si="321"/>
        <v>0</v>
      </c>
      <c r="BE201" s="13">
        <f t="shared" si="321"/>
        <v>0.45000000000000007</v>
      </c>
      <c r="BF201" s="13">
        <f t="shared" si="321"/>
        <v>0</v>
      </c>
      <c r="BG201" s="13">
        <f t="shared" si="321"/>
        <v>0</v>
      </c>
      <c r="BH201" s="13">
        <f t="shared" si="321"/>
        <v>0</v>
      </c>
      <c r="BI201" s="13">
        <f t="shared" si="321"/>
        <v>2.7700000000000005</v>
      </c>
      <c r="BJ201" s="13">
        <f t="shared" si="321"/>
        <v>-0.15</v>
      </c>
      <c r="BK201" s="169">
        <f t="shared" si="321"/>
        <v>2.62</v>
      </c>
      <c r="BL201" s="167">
        <f t="shared" si="321"/>
        <v>400113503</v>
      </c>
      <c r="BM201" s="16">
        <f t="shared" si="321"/>
        <v>291233494</v>
      </c>
      <c r="BN201" s="16">
        <f t="shared" si="321"/>
        <v>264463014</v>
      </c>
      <c r="BO201" s="16">
        <f t="shared" si="321"/>
        <v>26770480</v>
      </c>
      <c r="BP201" s="16">
        <f t="shared" si="321"/>
        <v>871816</v>
      </c>
      <c r="BQ201" s="16">
        <f t="shared" si="321"/>
        <v>717016</v>
      </c>
      <c r="BR201" s="16">
        <f t="shared" si="321"/>
        <v>154800</v>
      </c>
      <c r="BS201" s="16">
        <f t="shared" si="321"/>
        <v>98731597</v>
      </c>
      <c r="BT201" s="16">
        <f t="shared" si="321"/>
        <v>2912336</v>
      </c>
      <c r="BU201" s="16">
        <f t="shared" si="321"/>
        <v>6364260</v>
      </c>
      <c r="BV201" s="13">
        <f t="shared" si="321"/>
        <v>493.60749999999996</v>
      </c>
      <c r="BW201" s="13">
        <f t="shared" si="321"/>
        <v>413.70740000000006</v>
      </c>
      <c r="BX201" s="169">
        <f t="shared" si="321"/>
        <v>79.900100000000009</v>
      </c>
      <c r="BY201" s="167">
        <f t="shared" si="321"/>
        <v>3327292</v>
      </c>
      <c r="BZ201" s="16">
        <f t="shared" ref="BZ201:CJ201" si="322">SUMIF($F$12:$F$472,"=3113",BZ$12:BZ$472)</f>
        <v>1974000</v>
      </c>
      <c r="CA201" s="16">
        <f t="shared" si="322"/>
        <v>498012</v>
      </c>
      <c r="CB201" s="16">
        <f t="shared" si="322"/>
        <v>835540</v>
      </c>
      <c r="CC201" s="16">
        <f t="shared" si="322"/>
        <v>19740</v>
      </c>
      <c r="CD201" s="17">
        <f t="shared" si="322"/>
        <v>3.5</v>
      </c>
      <c r="CE201" s="167">
        <f t="shared" si="322"/>
        <v>13098435</v>
      </c>
      <c r="CF201" s="16">
        <f t="shared" si="322"/>
        <v>8642156</v>
      </c>
      <c r="CG201" s="16">
        <f t="shared" si="322"/>
        <v>2921049</v>
      </c>
      <c r="CH201" s="16">
        <f t="shared" si="322"/>
        <v>86422</v>
      </c>
      <c r="CI201" s="16">
        <f t="shared" si="322"/>
        <v>1448808</v>
      </c>
      <c r="CJ201" s="17">
        <f t="shared" si="322"/>
        <v>25.7883</v>
      </c>
    </row>
    <row r="202" spans="1:88" ht="12.75" customHeight="1">
      <c r="D202" s="9"/>
      <c r="E202" s="5"/>
      <c r="F202" s="9"/>
      <c r="G202" s="5"/>
      <c r="H202" s="2">
        <v>3114</v>
      </c>
      <c r="I202" s="167">
        <f t="shared" ref="I202:BY202" si="323">SUMIF($F$12:$F$472,"=3114",I$12:I$472)</f>
        <v>0</v>
      </c>
      <c r="J202" s="16">
        <f t="shared" si="323"/>
        <v>0</v>
      </c>
      <c r="K202" s="16">
        <f t="shared" si="323"/>
        <v>0</v>
      </c>
      <c r="L202" s="16">
        <f t="shared" si="323"/>
        <v>0</v>
      </c>
      <c r="M202" s="16">
        <f t="shared" si="323"/>
        <v>0</v>
      </c>
      <c r="N202" s="16">
        <f t="shared" si="323"/>
        <v>0</v>
      </c>
      <c r="O202" s="16">
        <f t="shared" si="323"/>
        <v>0</v>
      </c>
      <c r="P202" s="16">
        <f t="shared" si="323"/>
        <v>0</v>
      </c>
      <c r="Q202" s="16">
        <f t="shared" si="323"/>
        <v>0</v>
      </c>
      <c r="R202" s="16">
        <f t="shared" si="323"/>
        <v>0</v>
      </c>
      <c r="S202" s="13">
        <f t="shared" si="323"/>
        <v>0</v>
      </c>
      <c r="T202" s="13">
        <f t="shared" si="323"/>
        <v>0</v>
      </c>
      <c r="U202" s="17">
        <f t="shared" si="323"/>
        <v>0</v>
      </c>
      <c r="V202" s="168">
        <f t="shared" si="323"/>
        <v>0</v>
      </c>
      <c r="W202" s="16">
        <f t="shared" si="323"/>
        <v>0</v>
      </c>
      <c r="X202" s="16">
        <f t="shared" si="323"/>
        <v>0</v>
      </c>
      <c r="Y202" s="16">
        <f t="shared" si="323"/>
        <v>0</v>
      </c>
      <c r="Z202" s="16">
        <f t="shared" si="323"/>
        <v>0</v>
      </c>
      <c r="AA202" s="16">
        <f t="shared" si="323"/>
        <v>0</v>
      </c>
      <c r="AB202" s="16">
        <f t="shared" si="323"/>
        <v>0</v>
      </c>
      <c r="AC202" s="16">
        <f t="shared" si="323"/>
        <v>0</v>
      </c>
      <c r="AD202" s="16">
        <f t="shared" si="323"/>
        <v>0</v>
      </c>
      <c r="AE202" s="16">
        <f t="shared" si="323"/>
        <v>0</v>
      </c>
      <c r="AF202" s="16">
        <f t="shared" si="323"/>
        <v>0</v>
      </c>
      <c r="AG202" s="16">
        <f t="shared" si="323"/>
        <v>0</v>
      </c>
      <c r="AH202" s="16">
        <f t="shared" si="323"/>
        <v>0</v>
      </c>
      <c r="AI202" s="16">
        <f t="shared" si="323"/>
        <v>0</v>
      </c>
      <c r="AJ202" s="16">
        <f t="shared" si="323"/>
        <v>0</v>
      </c>
      <c r="AK202" s="16">
        <f t="shared" si="323"/>
        <v>0</v>
      </c>
      <c r="AL202" s="16">
        <f t="shared" si="323"/>
        <v>0</v>
      </c>
      <c r="AM202" s="16">
        <f t="shared" si="323"/>
        <v>0</v>
      </c>
      <c r="AN202" s="16">
        <f t="shared" si="323"/>
        <v>0</v>
      </c>
      <c r="AO202" s="16">
        <f t="shared" si="323"/>
        <v>0</v>
      </c>
      <c r="AP202" s="16">
        <f t="shared" si="323"/>
        <v>0</v>
      </c>
      <c r="AQ202" s="16">
        <f t="shared" si="323"/>
        <v>0</v>
      </c>
      <c r="AR202" s="16">
        <f t="shared" si="323"/>
        <v>0</v>
      </c>
      <c r="AS202" s="16">
        <f t="shared" si="323"/>
        <v>0</v>
      </c>
      <c r="AT202" s="16">
        <f t="shared" si="323"/>
        <v>0</v>
      </c>
      <c r="AU202" s="16">
        <f t="shared" si="323"/>
        <v>0</v>
      </c>
      <c r="AV202" s="16">
        <f t="shared" si="323"/>
        <v>0</v>
      </c>
      <c r="AW202" s="16">
        <f t="shared" si="323"/>
        <v>0</v>
      </c>
      <c r="AX202" s="16">
        <f t="shared" si="323"/>
        <v>0</v>
      </c>
      <c r="AY202" s="16">
        <f t="shared" si="323"/>
        <v>0</v>
      </c>
      <c r="AZ202" s="13">
        <f t="shared" si="323"/>
        <v>0</v>
      </c>
      <c r="BA202" s="13">
        <f t="shared" si="323"/>
        <v>0</v>
      </c>
      <c r="BB202" s="13">
        <f t="shared" si="323"/>
        <v>0</v>
      </c>
      <c r="BC202" s="13">
        <f t="shared" si="323"/>
        <v>0</v>
      </c>
      <c r="BD202" s="13">
        <f t="shared" si="323"/>
        <v>0</v>
      </c>
      <c r="BE202" s="13">
        <f t="shared" si="323"/>
        <v>0</v>
      </c>
      <c r="BF202" s="13">
        <f t="shared" si="323"/>
        <v>0</v>
      </c>
      <c r="BG202" s="13">
        <f t="shared" si="323"/>
        <v>0</v>
      </c>
      <c r="BH202" s="13">
        <f t="shared" si="323"/>
        <v>0</v>
      </c>
      <c r="BI202" s="13">
        <f t="shared" si="323"/>
        <v>0</v>
      </c>
      <c r="BJ202" s="13">
        <f t="shared" si="323"/>
        <v>0</v>
      </c>
      <c r="BK202" s="169">
        <f t="shared" si="323"/>
        <v>0</v>
      </c>
      <c r="BL202" s="167">
        <f t="shared" si="323"/>
        <v>0</v>
      </c>
      <c r="BM202" s="16">
        <f t="shared" si="323"/>
        <v>0</v>
      </c>
      <c r="BN202" s="16">
        <f t="shared" si="323"/>
        <v>0</v>
      </c>
      <c r="BO202" s="16">
        <f t="shared" si="323"/>
        <v>0</v>
      </c>
      <c r="BP202" s="16">
        <f t="shared" si="323"/>
        <v>0</v>
      </c>
      <c r="BQ202" s="16">
        <f t="shared" si="323"/>
        <v>0</v>
      </c>
      <c r="BR202" s="16">
        <f t="shared" si="323"/>
        <v>0</v>
      </c>
      <c r="BS202" s="16">
        <f t="shared" si="323"/>
        <v>0</v>
      </c>
      <c r="BT202" s="16">
        <f t="shared" si="323"/>
        <v>0</v>
      </c>
      <c r="BU202" s="16">
        <f t="shared" si="323"/>
        <v>0</v>
      </c>
      <c r="BV202" s="13">
        <f t="shared" si="323"/>
        <v>0</v>
      </c>
      <c r="BW202" s="13">
        <f t="shared" si="323"/>
        <v>0</v>
      </c>
      <c r="BX202" s="169">
        <f t="shared" si="323"/>
        <v>0</v>
      </c>
      <c r="BY202" s="167">
        <f t="shared" si="323"/>
        <v>0</v>
      </c>
      <c r="BZ202" s="16">
        <f t="shared" ref="BZ202:CJ202" si="324">SUMIF($F$12:$F$472,"=3114",BZ$12:BZ$472)</f>
        <v>0</v>
      </c>
      <c r="CA202" s="16">
        <f t="shared" si="324"/>
        <v>0</v>
      </c>
      <c r="CB202" s="16">
        <f t="shared" si="324"/>
        <v>0</v>
      </c>
      <c r="CC202" s="16">
        <f t="shared" si="324"/>
        <v>0</v>
      </c>
      <c r="CD202" s="17">
        <f t="shared" si="324"/>
        <v>0</v>
      </c>
      <c r="CE202" s="167">
        <f t="shared" si="324"/>
        <v>0</v>
      </c>
      <c r="CF202" s="16">
        <f t="shared" si="324"/>
        <v>0</v>
      </c>
      <c r="CG202" s="16">
        <f t="shared" si="324"/>
        <v>0</v>
      </c>
      <c r="CH202" s="16">
        <f t="shared" si="324"/>
        <v>0</v>
      </c>
      <c r="CI202" s="16">
        <f t="shared" si="324"/>
        <v>0</v>
      </c>
      <c r="CJ202" s="17">
        <f t="shared" si="324"/>
        <v>0</v>
      </c>
    </row>
    <row r="203" spans="1:88" ht="12.75" customHeight="1">
      <c r="D203" s="9"/>
      <c r="E203" s="5"/>
      <c r="F203" s="9"/>
      <c r="G203" s="5"/>
      <c r="H203" s="2">
        <v>3117</v>
      </c>
      <c r="I203" s="167">
        <f t="shared" ref="I203:BY203" si="325">SUMIF($F$12:$F$472,"=3117",I$12:I$472)</f>
        <v>12088688</v>
      </c>
      <c r="J203" s="16">
        <f t="shared" si="325"/>
        <v>8844223</v>
      </c>
      <c r="K203" s="16">
        <f t="shared" si="325"/>
        <v>7705782</v>
      </c>
      <c r="L203" s="16">
        <f t="shared" si="325"/>
        <v>1138441</v>
      </c>
      <c r="M203" s="16">
        <f t="shared" si="325"/>
        <v>0</v>
      </c>
      <c r="N203" s="16">
        <f t="shared" si="325"/>
        <v>0</v>
      </c>
      <c r="O203" s="16">
        <f t="shared" si="325"/>
        <v>0</v>
      </c>
      <c r="P203" s="16">
        <f t="shared" si="325"/>
        <v>2989347</v>
      </c>
      <c r="Q203" s="16">
        <f t="shared" si="325"/>
        <v>88443</v>
      </c>
      <c r="R203" s="16">
        <f t="shared" si="325"/>
        <v>166675</v>
      </c>
      <c r="S203" s="13">
        <f t="shared" si="325"/>
        <v>17.221699999999998</v>
      </c>
      <c r="T203" s="13">
        <f t="shared" si="325"/>
        <v>14.1684</v>
      </c>
      <c r="U203" s="17">
        <f t="shared" si="325"/>
        <v>3.0533000000000001</v>
      </c>
      <c r="V203" s="168">
        <f t="shared" si="325"/>
        <v>0</v>
      </c>
      <c r="W203" s="16">
        <f t="shared" si="325"/>
        <v>0</v>
      </c>
      <c r="X203" s="16">
        <f t="shared" si="325"/>
        <v>0</v>
      </c>
      <c r="Y203" s="16">
        <f t="shared" si="325"/>
        <v>0</v>
      </c>
      <c r="Z203" s="16">
        <f t="shared" si="325"/>
        <v>0</v>
      </c>
      <c r="AA203" s="16">
        <f t="shared" si="325"/>
        <v>0</v>
      </c>
      <c r="AB203" s="16">
        <f t="shared" si="325"/>
        <v>0</v>
      </c>
      <c r="AC203" s="16">
        <f t="shared" si="325"/>
        <v>0</v>
      </c>
      <c r="AD203" s="16">
        <f t="shared" si="325"/>
        <v>0</v>
      </c>
      <c r="AE203" s="16">
        <f t="shared" si="325"/>
        <v>0</v>
      </c>
      <c r="AF203" s="16">
        <f t="shared" si="325"/>
        <v>0</v>
      </c>
      <c r="AG203" s="16">
        <f t="shared" si="325"/>
        <v>0</v>
      </c>
      <c r="AH203" s="16">
        <f t="shared" si="325"/>
        <v>0</v>
      </c>
      <c r="AI203" s="16">
        <f t="shared" si="325"/>
        <v>0</v>
      </c>
      <c r="AJ203" s="16">
        <f t="shared" si="325"/>
        <v>0</v>
      </c>
      <c r="AK203" s="16">
        <f t="shared" si="325"/>
        <v>0</v>
      </c>
      <c r="AL203" s="16">
        <f t="shared" si="325"/>
        <v>0</v>
      </c>
      <c r="AM203" s="16">
        <f t="shared" si="325"/>
        <v>0</v>
      </c>
      <c r="AN203" s="16">
        <f t="shared" si="325"/>
        <v>0</v>
      </c>
      <c r="AO203" s="16">
        <f t="shared" si="325"/>
        <v>0</v>
      </c>
      <c r="AP203" s="16">
        <f t="shared" si="325"/>
        <v>0</v>
      </c>
      <c r="AQ203" s="16">
        <f t="shared" si="325"/>
        <v>0</v>
      </c>
      <c r="AR203" s="16">
        <f t="shared" si="325"/>
        <v>0</v>
      </c>
      <c r="AS203" s="16">
        <f t="shared" si="325"/>
        <v>0</v>
      </c>
      <c r="AT203" s="16">
        <f t="shared" si="325"/>
        <v>0</v>
      </c>
      <c r="AU203" s="16">
        <f t="shared" si="325"/>
        <v>0</v>
      </c>
      <c r="AV203" s="16">
        <f t="shared" si="325"/>
        <v>0</v>
      </c>
      <c r="AW203" s="16">
        <f t="shared" si="325"/>
        <v>0</v>
      </c>
      <c r="AX203" s="16">
        <f t="shared" si="325"/>
        <v>0</v>
      </c>
      <c r="AY203" s="16">
        <f t="shared" si="325"/>
        <v>0</v>
      </c>
      <c r="AZ203" s="13">
        <f t="shared" si="325"/>
        <v>0</v>
      </c>
      <c r="BA203" s="13">
        <f t="shared" si="325"/>
        <v>0</v>
      </c>
      <c r="BB203" s="13">
        <f t="shared" si="325"/>
        <v>0</v>
      </c>
      <c r="BC203" s="13">
        <f t="shared" si="325"/>
        <v>0</v>
      </c>
      <c r="BD203" s="13">
        <f t="shared" si="325"/>
        <v>0</v>
      </c>
      <c r="BE203" s="13">
        <f t="shared" si="325"/>
        <v>0</v>
      </c>
      <c r="BF203" s="13">
        <f t="shared" si="325"/>
        <v>0</v>
      </c>
      <c r="BG203" s="13">
        <f t="shared" si="325"/>
        <v>0</v>
      </c>
      <c r="BH203" s="13">
        <f t="shared" si="325"/>
        <v>0</v>
      </c>
      <c r="BI203" s="13">
        <f t="shared" si="325"/>
        <v>0</v>
      </c>
      <c r="BJ203" s="13">
        <f t="shared" si="325"/>
        <v>0</v>
      </c>
      <c r="BK203" s="169">
        <f t="shared" si="325"/>
        <v>0</v>
      </c>
      <c r="BL203" s="167">
        <f t="shared" si="325"/>
        <v>12088688</v>
      </c>
      <c r="BM203" s="16">
        <f t="shared" si="325"/>
        <v>8844223</v>
      </c>
      <c r="BN203" s="16">
        <f t="shared" si="325"/>
        <v>7705782</v>
      </c>
      <c r="BO203" s="16">
        <f t="shared" si="325"/>
        <v>1138441</v>
      </c>
      <c r="BP203" s="16">
        <f t="shared" si="325"/>
        <v>0</v>
      </c>
      <c r="BQ203" s="16">
        <f t="shared" si="325"/>
        <v>0</v>
      </c>
      <c r="BR203" s="16">
        <f t="shared" si="325"/>
        <v>0</v>
      </c>
      <c r="BS203" s="16">
        <f t="shared" si="325"/>
        <v>2989347</v>
      </c>
      <c r="BT203" s="16">
        <f t="shared" si="325"/>
        <v>88443</v>
      </c>
      <c r="BU203" s="16">
        <f t="shared" si="325"/>
        <v>166675</v>
      </c>
      <c r="BV203" s="13">
        <f t="shared" si="325"/>
        <v>17.221699999999998</v>
      </c>
      <c r="BW203" s="13">
        <f t="shared" si="325"/>
        <v>14.1684</v>
      </c>
      <c r="BX203" s="169">
        <f t="shared" si="325"/>
        <v>3.0533000000000001</v>
      </c>
      <c r="BY203" s="167">
        <f t="shared" si="325"/>
        <v>0</v>
      </c>
      <c r="BZ203" s="16">
        <f t="shared" ref="BZ203:CJ203" si="326">SUMIF($F$12:$F$472,"=3117",BZ$12:BZ$472)</f>
        <v>0</v>
      </c>
      <c r="CA203" s="16">
        <f t="shared" si="326"/>
        <v>0</v>
      </c>
      <c r="CB203" s="16">
        <f t="shared" si="326"/>
        <v>0</v>
      </c>
      <c r="CC203" s="16">
        <f t="shared" si="326"/>
        <v>0</v>
      </c>
      <c r="CD203" s="17">
        <f t="shared" si="326"/>
        <v>0</v>
      </c>
      <c r="CE203" s="167">
        <f t="shared" si="326"/>
        <v>521764</v>
      </c>
      <c r="CF203" s="16">
        <f t="shared" si="326"/>
        <v>365437</v>
      </c>
      <c r="CG203" s="16">
        <f t="shared" si="326"/>
        <v>123518</v>
      </c>
      <c r="CH203" s="16">
        <f t="shared" si="326"/>
        <v>3655</v>
      </c>
      <c r="CI203" s="16">
        <f t="shared" si="326"/>
        <v>29154</v>
      </c>
      <c r="CJ203" s="17">
        <f t="shared" si="326"/>
        <v>0.98019999999999996</v>
      </c>
    </row>
    <row r="204" spans="1:88" ht="12.75" customHeight="1">
      <c r="D204" s="9"/>
      <c r="E204" s="5"/>
      <c r="F204" s="9"/>
      <c r="G204" s="5"/>
      <c r="H204" s="2">
        <v>3122</v>
      </c>
      <c r="I204" s="167">
        <f t="shared" ref="I204:BY204" si="327">SUMIF($F$12:$F$472,"=3122",I$12:I$472)</f>
        <v>0</v>
      </c>
      <c r="J204" s="16">
        <f t="shared" si="327"/>
        <v>0</v>
      </c>
      <c r="K204" s="16">
        <f t="shared" si="327"/>
        <v>0</v>
      </c>
      <c r="L204" s="16">
        <f t="shared" si="327"/>
        <v>0</v>
      </c>
      <c r="M204" s="16">
        <f t="shared" si="327"/>
        <v>0</v>
      </c>
      <c r="N204" s="16">
        <f t="shared" si="327"/>
        <v>0</v>
      </c>
      <c r="O204" s="16">
        <f t="shared" si="327"/>
        <v>0</v>
      </c>
      <c r="P204" s="16">
        <f t="shared" si="327"/>
        <v>0</v>
      </c>
      <c r="Q204" s="16">
        <f t="shared" si="327"/>
        <v>0</v>
      </c>
      <c r="R204" s="16">
        <f t="shared" si="327"/>
        <v>0</v>
      </c>
      <c r="S204" s="13">
        <f t="shared" si="327"/>
        <v>0</v>
      </c>
      <c r="T204" s="13">
        <f t="shared" si="327"/>
        <v>0</v>
      </c>
      <c r="U204" s="17">
        <f t="shared" si="327"/>
        <v>0</v>
      </c>
      <c r="V204" s="168">
        <f t="shared" si="327"/>
        <v>0</v>
      </c>
      <c r="W204" s="16">
        <f t="shared" si="327"/>
        <v>0</v>
      </c>
      <c r="X204" s="16">
        <f t="shared" si="327"/>
        <v>0</v>
      </c>
      <c r="Y204" s="16">
        <f t="shared" si="327"/>
        <v>0</v>
      </c>
      <c r="Z204" s="16">
        <f t="shared" si="327"/>
        <v>0</v>
      </c>
      <c r="AA204" s="16">
        <f t="shared" si="327"/>
        <v>0</v>
      </c>
      <c r="AB204" s="16">
        <f t="shared" si="327"/>
        <v>0</v>
      </c>
      <c r="AC204" s="16">
        <f t="shared" si="327"/>
        <v>0</v>
      </c>
      <c r="AD204" s="16">
        <f t="shared" si="327"/>
        <v>0</v>
      </c>
      <c r="AE204" s="16">
        <f t="shared" si="327"/>
        <v>0</v>
      </c>
      <c r="AF204" s="16">
        <f t="shared" si="327"/>
        <v>0</v>
      </c>
      <c r="AG204" s="16">
        <f t="shared" si="327"/>
        <v>0</v>
      </c>
      <c r="AH204" s="16">
        <f t="shared" si="327"/>
        <v>0</v>
      </c>
      <c r="AI204" s="16">
        <f t="shared" si="327"/>
        <v>0</v>
      </c>
      <c r="AJ204" s="16">
        <f t="shared" si="327"/>
        <v>0</v>
      </c>
      <c r="AK204" s="16">
        <f t="shared" si="327"/>
        <v>0</v>
      </c>
      <c r="AL204" s="16">
        <f t="shared" si="327"/>
        <v>0</v>
      </c>
      <c r="AM204" s="16">
        <f t="shared" si="327"/>
        <v>0</v>
      </c>
      <c r="AN204" s="16">
        <f t="shared" si="327"/>
        <v>0</v>
      </c>
      <c r="AO204" s="16">
        <f t="shared" si="327"/>
        <v>0</v>
      </c>
      <c r="AP204" s="16">
        <f t="shared" si="327"/>
        <v>0</v>
      </c>
      <c r="AQ204" s="16">
        <f t="shared" si="327"/>
        <v>0</v>
      </c>
      <c r="AR204" s="16">
        <f t="shared" si="327"/>
        <v>0</v>
      </c>
      <c r="AS204" s="16">
        <f t="shared" si="327"/>
        <v>0</v>
      </c>
      <c r="AT204" s="16">
        <f t="shared" si="327"/>
        <v>0</v>
      </c>
      <c r="AU204" s="16">
        <f t="shared" si="327"/>
        <v>0</v>
      </c>
      <c r="AV204" s="16">
        <f t="shared" si="327"/>
        <v>0</v>
      </c>
      <c r="AW204" s="16">
        <f t="shared" si="327"/>
        <v>0</v>
      </c>
      <c r="AX204" s="16">
        <f t="shared" si="327"/>
        <v>0</v>
      </c>
      <c r="AY204" s="16">
        <f t="shared" si="327"/>
        <v>0</v>
      </c>
      <c r="AZ204" s="13">
        <f t="shared" si="327"/>
        <v>0</v>
      </c>
      <c r="BA204" s="13">
        <f t="shared" si="327"/>
        <v>0</v>
      </c>
      <c r="BB204" s="13">
        <f t="shared" si="327"/>
        <v>0</v>
      </c>
      <c r="BC204" s="13">
        <f t="shared" si="327"/>
        <v>0</v>
      </c>
      <c r="BD204" s="13">
        <f t="shared" si="327"/>
        <v>0</v>
      </c>
      <c r="BE204" s="13">
        <f t="shared" si="327"/>
        <v>0</v>
      </c>
      <c r="BF204" s="13">
        <f t="shared" si="327"/>
        <v>0</v>
      </c>
      <c r="BG204" s="13">
        <f t="shared" si="327"/>
        <v>0</v>
      </c>
      <c r="BH204" s="13">
        <f t="shared" si="327"/>
        <v>0</v>
      </c>
      <c r="BI204" s="13">
        <f t="shared" si="327"/>
        <v>0</v>
      </c>
      <c r="BJ204" s="13">
        <f t="shared" si="327"/>
        <v>0</v>
      </c>
      <c r="BK204" s="169">
        <f t="shared" si="327"/>
        <v>0</v>
      </c>
      <c r="BL204" s="167">
        <f t="shared" si="327"/>
        <v>0</v>
      </c>
      <c r="BM204" s="16">
        <f t="shared" si="327"/>
        <v>0</v>
      </c>
      <c r="BN204" s="16">
        <f t="shared" si="327"/>
        <v>0</v>
      </c>
      <c r="BO204" s="16">
        <f t="shared" si="327"/>
        <v>0</v>
      </c>
      <c r="BP204" s="16">
        <f t="shared" si="327"/>
        <v>0</v>
      </c>
      <c r="BQ204" s="16">
        <f t="shared" si="327"/>
        <v>0</v>
      </c>
      <c r="BR204" s="16">
        <f t="shared" si="327"/>
        <v>0</v>
      </c>
      <c r="BS204" s="16">
        <f t="shared" si="327"/>
        <v>0</v>
      </c>
      <c r="BT204" s="16">
        <f t="shared" si="327"/>
        <v>0</v>
      </c>
      <c r="BU204" s="16">
        <f t="shared" si="327"/>
        <v>0</v>
      </c>
      <c r="BV204" s="13">
        <f t="shared" si="327"/>
        <v>0</v>
      </c>
      <c r="BW204" s="13">
        <f t="shared" si="327"/>
        <v>0</v>
      </c>
      <c r="BX204" s="169">
        <f t="shared" si="327"/>
        <v>0</v>
      </c>
      <c r="BY204" s="167">
        <f t="shared" si="327"/>
        <v>0</v>
      </c>
      <c r="BZ204" s="16">
        <f t="shared" ref="BZ204:CJ204" si="328">SUMIF($F$12:$F$472,"=3122",BZ$12:BZ$472)</f>
        <v>0</v>
      </c>
      <c r="CA204" s="16">
        <f t="shared" si="328"/>
        <v>0</v>
      </c>
      <c r="CB204" s="16">
        <f t="shared" si="328"/>
        <v>0</v>
      </c>
      <c r="CC204" s="16">
        <f t="shared" si="328"/>
        <v>0</v>
      </c>
      <c r="CD204" s="17">
        <f t="shared" si="328"/>
        <v>0</v>
      </c>
      <c r="CE204" s="167">
        <f t="shared" si="328"/>
        <v>0</v>
      </c>
      <c r="CF204" s="16">
        <f t="shared" si="328"/>
        <v>0</v>
      </c>
      <c r="CG204" s="16">
        <f t="shared" si="328"/>
        <v>0</v>
      </c>
      <c r="CH204" s="16">
        <f t="shared" si="328"/>
        <v>0</v>
      </c>
      <c r="CI204" s="16">
        <f t="shared" si="328"/>
        <v>0</v>
      </c>
      <c r="CJ204" s="17">
        <f t="shared" si="328"/>
        <v>0</v>
      </c>
    </row>
    <row r="205" spans="1:88" ht="12.75" customHeight="1">
      <c r="D205" s="9"/>
      <c r="E205" s="5"/>
      <c r="F205" s="9"/>
      <c r="G205" s="5"/>
      <c r="H205" s="2">
        <v>3124</v>
      </c>
      <c r="I205" s="167">
        <f t="shared" ref="I205:BY205" si="329">SUMIF($F$12:$F$472,"=3124",I$12:I$472)</f>
        <v>0</v>
      </c>
      <c r="J205" s="16">
        <f t="shared" si="329"/>
        <v>0</v>
      </c>
      <c r="K205" s="16">
        <f t="shared" si="329"/>
        <v>0</v>
      </c>
      <c r="L205" s="16">
        <f t="shared" si="329"/>
        <v>0</v>
      </c>
      <c r="M205" s="16">
        <f t="shared" si="329"/>
        <v>0</v>
      </c>
      <c r="N205" s="16">
        <f t="shared" si="329"/>
        <v>0</v>
      </c>
      <c r="O205" s="16">
        <f t="shared" si="329"/>
        <v>0</v>
      </c>
      <c r="P205" s="16">
        <f t="shared" si="329"/>
        <v>0</v>
      </c>
      <c r="Q205" s="16">
        <f t="shared" si="329"/>
        <v>0</v>
      </c>
      <c r="R205" s="16">
        <f t="shared" si="329"/>
        <v>0</v>
      </c>
      <c r="S205" s="13">
        <f t="shared" si="329"/>
        <v>0</v>
      </c>
      <c r="T205" s="13">
        <f t="shared" si="329"/>
        <v>0</v>
      </c>
      <c r="U205" s="17">
        <f t="shared" si="329"/>
        <v>0</v>
      </c>
      <c r="V205" s="168">
        <f t="shared" si="329"/>
        <v>0</v>
      </c>
      <c r="W205" s="16">
        <f t="shared" si="329"/>
        <v>0</v>
      </c>
      <c r="X205" s="16">
        <f t="shared" si="329"/>
        <v>0</v>
      </c>
      <c r="Y205" s="16">
        <f t="shared" si="329"/>
        <v>0</v>
      </c>
      <c r="Z205" s="16">
        <f t="shared" si="329"/>
        <v>0</v>
      </c>
      <c r="AA205" s="16">
        <f t="shared" si="329"/>
        <v>0</v>
      </c>
      <c r="AB205" s="16">
        <f t="shared" si="329"/>
        <v>0</v>
      </c>
      <c r="AC205" s="16">
        <f t="shared" si="329"/>
        <v>0</v>
      </c>
      <c r="AD205" s="16">
        <f t="shared" si="329"/>
        <v>0</v>
      </c>
      <c r="AE205" s="16">
        <f t="shared" si="329"/>
        <v>0</v>
      </c>
      <c r="AF205" s="16">
        <f t="shared" si="329"/>
        <v>0</v>
      </c>
      <c r="AG205" s="16">
        <f t="shared" si="329"/>
        <v>0</v>
      </c>
      <c r="AH205" s="16">
        <f t="shared" si="329"/>
        <v>0</v>
      </c>
      <c r="AI205" s="16">
        <f t="shared" si="329"/>
        <v>0</v>
      </c>
      <c r="AJ205" s="16">
        <f t="shared" si="329"/>
        <v>0</v>
      </c>
      <c r="AK205" s="16">
        <f t="shared" si="329"/>
        <v>0</v>
      </c>
      <c r="AL205" s="16">
        <f t="shared" si="329"/>
        <v>0</v>
      </c>
      <c r="AM205" s="16">
        <f t="shared" si="329"/>
        <v>0</v>
      </c>
      <c r="AN205" s="16">
        <f t="shared" si="329"/>
        <v>0</v>
      </c>
      <c r="AO205" s="16">
        <f t="shared" si="329"/>
        <v>0</v>
      </c>
      <c r="AP205" s="16">
        <f t="shared" si="329"/>
        <v>0</v>
      </c>
      <c r="AQ205" s="16">
        <f t="shared" si="329"/>
        <v>0</v>
      </c>
      <c r="AR205" s="16">
        <f t="shared" si="329"/>
        <v>0</v>
      </c>
      <c r="AS205" s="16">
        <f t="shared" si="329"/>
        <v>0</v>
      </c>
      <c r="AT205" s="16">
        <f t="shared" si="329"/>
        <v>0</v>
      </c>
      <c r="AU205" s="16">
        <f t="shared" si="329"/>
        <v>0</v>
      </c>
      <c r="AV205" s="16">
        <f t="shared" si="329"/>
        <v>0</v>
      </c>
      <c r="AW205" s="16">
        <f t="shared" si="329"/>
        <v>0</v>
      </c>
      <c r="AX205" s="16">
        <f t="shared" si="329"/>
        <v>0</v>
      </c>
      <c r="AY205" s="16">
        <f t="shared" si="329"/>
        <v>0</v>
      </c>
      <c r="AZ205" s="13">
        <f t="shared" si="329"/>
        <v>0</v>
      </c>
      <c r="BA205" s="13">
        <f t="shared" si="329"/>
        <v>0</v>
      </c>
      <c r="BB205" s="13">
        <f t="shared" si="329"/>
        <v>0</v>
      </c>
      <c r="BC205" s="13">
        <f t="shared" si="329"/>
        <v>0</v>
      </c>
      <c r="BD205" s="13">
        <f t="shared" si="329"/>
        <v>0</v>
      </c>
      <c r="BE205" s="13">
        <f t="shared" si="329"/>
        <v>0</v>
      </c>
      <c r="BF205" s="13">
        <f t="shared" si="329"/>
        <v>0</v>
      </c>
      <c r="BG205" s="13">
        <f t="shared" si="329"/>
        <v>0</v>
      </c>
      <c r="BH205" s="13">
        <f t="shared" si="329"/>
        <v>0</v>
      </c>
      <c r="BI205" s="13">
        <f t="shared" si="329"/>
        <v>0</v>
      </c>
      <c r="BJ205" s="13">
        <f t="shared" si="329"/>
        <v>0</v>
      </c>
      <c r="BK205" s="169">
        <f t="shared" si="329"/>
        <v>0</v>
      </c>
      <c r="BL205" s="167">
        <f t="shared" si="329"/>
        <v>0</v>
      </c>
      <c r="BM205" s="16">
        <f t="shared" si="329"/>
        <v>0</v>
      </c>
      <c r="BN205" s="16">
        <f t="shared" si="329"/>
        <v>0</v>
      </c>
      <c r="BO205" s="16">
        <f t="shared" si="329"/>
        <v>0</v>
      </c>
      <c r="BP205" s="16">
        <f t="shared" si="329"/>
        <v>0</v>
      </c>
      <c r="BQ205" s="16">
        <f t="shared" si="329"/>
        <v>0</v>
      </c>
      <c r="BR205" s="16">
        <f t="shared" si="329"/>
        <v>0</v>
      </c>
      <c r="BS205" s="16">
        <f t="shared" si="329"/>
        <v>0</v>
      </c>
      <c r="BT205" s="16">
        <f t="shared" si="329"/>
        <v>0</v>
      </c>
      <c r="BU205" s="16">
        <f t="shared" si="329"/>
        <v>0</v>
      </c>
      <c r="BV205" s="13">
        <f t="shared" si="329"/>
        <v>0</v>
      </c>
      <c r="BW205" s="13">
        <f t="shared" si="329"/>
        <v>0</v>
      </c>
      <c r="BX205" s="169">
        <f t="shared" si="329"/>
        <v>0</v>
      </c>
      <c r="BY205" s="167">
        <f t="shared" si="329"/>
        <v>0</v>
      </c>
      <c r="BZ205" s="16">
        <f t="shared" ref="BZ205:CJ205" si="330">SUMIF($F$12:$F$472,"=3124",BZ$12:BZ$472)</f>
        <v>0</v>
      </c>
      <c r="CA205" s="16">
        <f t="shared" si="330"/>
        <v>0</v>
      </c>
      <c r="CB205" s="16">
        <f t="shared" si="330"/>
        <v>0</v>
      </c>
      <c r="CC205" s="16">
        <f t="shared" si="330"/>
        <v>0</v>
      </c>
      <c r="CD205" s="17">
        <f t="shared" si="330"/>
        <v>0</v>
      </c>
      <c r="CE205" s="167">
        <f t="shared" si="330"/>
        <v>0</v>
      </c>
      <c r="CF205" s="16">
        <f t="shared" si="330"/>
        <v>0</v>
      </c>
      <c r="CG205" s="16">
        <f t="shared" si="330"/>
        <v>0</v>
      </c>
      <c r="CH205" s="16">
        <f t="shared" si="330"/>
        <v>0</v>
      </c>
      <c r="CI205" s="16">
        <f t="shared" si="330"/>
        <v>0</v>
      </c>
      <c r="CJ205" s="17">
        <f t="shared" si="330"/>
        <v>0</v>
      </c>
    </row>
    <row r="206" spans="1:88">
      <c r="D206" s="9"/>
      <c r="E206" s="5"/>
      <c r="F206" s="9"/>
      <c r="G206" s="5"/>
      <c r="H206" s="2">
        <v>3141</v>
      </c>
      <c r="I206" s="167">
        <f t="shared" ref="I206:BY206" si="331">SUMIF($F$12:$F$472,"=3141",I$12:I$472)</f>
        <v>54128824</v>
      </c>
      <c r="J206" s="16">
        <f t="shared" si="331"/>
        <v>39840113</v>
      </c>
      <c r="K206" s="16">
        <f t="shared" si="331"/>
        <v>0</v>
      </c>
      <c r="L206" s="16">
        <f t="shared" si="331"/>
        <v>39840113</v>
      </c>
      <c r="M206" s="16">
        <f t="shared" si="331"/>
        <v>74000</v>
      </c>
      <c r="N206" s="16">
        <f t="shared" si="331"/>
        <v>0</v>
      </c>
      <c r="O206" s="16">
        <f t="shared" si="331"/>
        <v>74000</v>
      </c>
      <c r="P206" s="16">
        <f t="shared" si="331"/>
        <v>13490971</v>
      </c>
      <c r="Q206" s="16">
        <f t="shared" si="331"/>
        <v>398401</v>
      </c>
      <c r="R206" s="16">
        <f t="shared" si="331"/>
        <v>325339</v>
      </c>
      <c r="S206" s="13">
        <f t="shared" si="331"/>
        <v>119.60999999999999</v>
      </c>
      <c r="T206" s="13">
        <f t="shared" si="331"/>
        <v>0</v>
      </c>
      <c r="U206" s="17">
        <f t="shared" si="331"/>
        <v>119.60999999999999</v>
      </c>
      <c r="V206" s="168">
        <f t="shared" si="331"/>
        <v>0</v>
      </c>
      <c r="W206" s="16">
        <f t="shared" si="331"/>
        <v>8025</v>
      </c>
      <c r="X206" s="16">
        <f t="shared" si="331"/>
        <v>0</v>
      </c>
      <c r="Y206" s="16">
        <f t="shared" si="331"/>
        <v>0</v>
      </c>
      <c r="Z206" s="16">
        <f t="shared" si="331"/>
        <v>0</v>
      </c>
      <c r="AA206" s="16">
        <f t="shared" si="331"/>
        <v>-227473</v>
      </c>
      <c r="AB206" s="16">
        <f t="shared" si="331"/>
        <v>0</v>
      </c>
      <c r="AC206" s="16">
        <f t="shared" si="331"/>
        <v>0</v>
      </c>
      <c r="AD206" s="16">
        <f t="shared" si="331"/>
        <v>0</v>
      </c>
      <c r="AE206" s="16">
        <f t="shared" si="331"/>
        <v>0</v>
      </c>
      <c r="AF206" s="16">
        <f t="shared" si="331"/>
        <v>-219448</v>
      </c>
      <c r="AG206" s="16">
        <f t="shared" si="331"/>
        <v>-219448</v>
      </c>
      <c r="AH206" s="16">
        <f t="shared" si="331"/>
        <v>0</v>
      </c>
      <c r="AI206" s="16">
        <f t="shared" si="331"/>
        <v>-8025</v>
      </c>
      <c r="AJ206" s="16">
        <f t="shared" si="331"/>
        <v>0</v>
      </c>
      <c r="AK206" s="16">
        <f t="shared" si="331"/>
        <v>0</v>
      </c>
      <c r="AL206" s="16">
        <f t="shared" si="331"/>
        <v>0</v>
      </c>
      <c r="AM206" s="16">
        <f t="shared" si="331"/>
        <v>0</v>
      </c>
      <c r="AN206" s="16">
        <f t="shared" si="331"/>
        <v>-8025</v>
      </c>
      <c r="AO206" s="16">
        <f t="shared" si="331"/>
        <v>-8025</v>
      </c>
      <c r="AP206" s="16">
        <f t="shared" si="331"/>
        <v>0</v>
      </c>
      <c r="AQ206" s="16">
        <f t="shared" si="331"/>
        <v>-227473</v>
      </c>
      <c r="AR206" s="16">
        <f t="shared" si="331"/>
        <v>-227473</v>
      </c>
      <c r="AS206" s="16">
        <f t="shared" si="331"/>
        <v>-76888</v>
      </c>
      <c r="AT206" s="16">
        <f t="shared" si="331"/>
        <v>-2192</v>
      </c>
      <c r="AU206" s="16">
        <f t="shared" si="331"/>
        <v>0</v>
      </c>
      <c r="AV206" s="16">
        <f t="shared" si="331"/>
        <v>0</v>
      </c>
      <c r="AW206" s="16">
        <f t="shared" si="331"/>
        <v>0</v>
      </c>
      <c r="AX206" s="16">
        <f t="shared" si="331"/>
        <v>0</v>
      </c>
      <c r="AY206" s="16">
        <f t="shared" si="331"/>
        <v>-306553</v>
      </c>
      <c r="AZ206" s="13">
        <f t="shared" si="331"/>
        <v>0</v>
      </c>
      <c r="BA206" s="13">
        <f t="shared" si="331"/>
        <v>0</v>
      </c>
      <c r="BB206" s="13">
        <f t="shared" si="331"/>
        <v>0</v>
      </c>
      <c r="BC206" s="13">
        <f t="shared" si="331"/>
        <v>0</v>
      </c>
      <c r="BD206" s="13">
        <f t="shared" si="331"/>
        <v>-0.55999999999999983</v>
      </c>
      <c r="BE206" s="13">
        <f t="shared" si="331"/>
        <v>0</v>
      </c>
      <c r="BF206" s="13">
        <f t="shared" si="331"/>
        <v>0</v>
      </c>
      <c r="BG206" s="13">
        <f t="shared" si="331"/>
        <v>0</v>
      </c>
      <c r="BH206" s="13">
        <f t="shared" si="331"/>
        <v>0</v>
      </c>
      <c r="BI206" s="13">
        <f t="shared" si="331"/>
        <v>0</v>
      </c>
      <c r="BJ206" s="13">
        <f t="shared" si="331"/>
        <v>-0.55999999999999983</v>
      </c>
      <c r="BK206" s="169">
        <f t="shared" si="331"/>
        <v>-0.55999999999999983</v>
      </c>
      <c r="BL206" s="167">
        <f t="shared" si="331"/>
        <v>53822271</v>
      </c>
      <c r="BM206" s="16">
        <f t="shared" si="331"/>
        <v>39620665</v>
      </c>
      <c r="BN206" s="16">
        <f t="shared" si="331"/>
        <v>0</v>
      </c>
      <c r="BO206" s="16">
        <f t="shared" si="331"/>
        <v>39620665</v>
      </c>
      <c r="BP206" s="16">
        <f t="shared" si="331"/>
        <v>65975</v>
      </c>
      <c r="BQ206" s="16">
        <f t="shared" si="331"/>
        <v>0</v>
      </c>
      <c r="BR206" s="16">
        <f t="shared" si="331"/>
        <v>65975</v>
      </c>
      <c r="BS206" s="16">
        <f t="shared" si="331"/>
        <v>13414083</v>
      </c>
      <c r="BT206" s="16">
        <f t="shared" si="331"/>
        <v>396209</v>
      </c>
      <c r="BU206" s="16">
        <f t="shared" si="331"/>
        <v>325339</v>
      </c>
      <c r="BV206" s="13">
        <f t="shared" si="331"/>
        <v>119.05000000000001</v>
      </c>
      <c r="BW206" s="13">
        <f t="shared" si="331"/>
        <v>0</v>
      </c>
      <c r="BX206" s="169">
        <f t="shared" si="331"/>
        <v>119.05000000000001</v>
      </c>
      <c r="BY206" s="167">
        <f t="shared" si="331"/>
        <v>0</v>
      </c>
      <c r="BZ206" s="16">
        <f t="shared" ref="BZ206:CJ206" si="332">SUMIF($F$12:$F$472,"=3141",BZ$12:BZ$472)</f>
        <v>0</v>
      </c>
      <c r="CA206" s="16">
        <f t="shared" si="332"/>
        <v>0</v>
      </c>
      <c r="CB206" s="16">
        <f t="shared" si="332"/>
        <v>0</v>
      </c>
      <c r="CC206" s="16">
        <f t="shared" si="332"/>
        <v>0</v>
      </c>
      <c r="CD206" s="17">
        <f t="shared" si="332"/>
        <v>0</v>
      </c>
      <c r="CE206" s="167">
        <f t="shared" si="332"/>
        <v>0</v>
      </c>
      <c r="CF206" s="16">
        <f t="shared" si="332"/>
        <v>0</v>
      </c>
      <c r="CG206" s="16">
        <f t="shared" si="332"/>
        <v>0</v>
      </c>
      <c r="CH206" s="16">
        <f t="shared" si="332"/>
        <v>0</v>
      </c>
      <c r="CI206" s="16">
        <f t="shared" si="332"/>
        <v>0</v>
      </c>
      <c r="CJ206" s="17">
        <f t="shared" si="332"/>
        <v>0</v>
      </c>
    </row>
    <row r="207" spans="1:88" ht="12.75" customHeight="1">
      <c r="D207" s="9"/>
      <c r="E207" s="5"/>
      <c r="F207" s="9"/>
      <c r="G207" s="5"/>
      <c r="H207" s="2">
        <v>3143</v>
      </c>
      <c r="I207" s="167">
        <f t="shared" ref="I207:BY207" si="333">SUMIF($F$12:$F$472,"=3143",I$12:I$472)</f>
        <v>36203634</v>
      </c>
      <c r="J207" s="16">
        <f t="shared" si="333"/>
        <v>26746487</v>
      </c>
      <c r="K207" s="16">
        <f t="shared" si="333"/>
        <v>25879687</v>
      </c>
      <c r="L207" s="16">
        <f t="shared" si="333"/>
        <v>866800</v>
      </c>
      <c r="M207" s="16">
        <f t="shared" si="333"/>
        <v>80000</v>
      </c>
      <c r="N207" s="16">
        <f t="shared" si="333"/>
        <v>80000</v>
      </c>
      <c r="O207" s="16">
        <f t="shared" si="333"/>
        <v>0</v>
      </c>
      <c r="P207" s="16">
        <f t="shared" si="333"/>
        <v>9067348</v>
      </c>
      <c r="Q207" s="16">
        <f t="shared" si="333"/>
        <v>267463</v>
      </c>
      <c r="R207" s="16">
        <f t="shared" si="333"/>
        <v>42336</v>
      </c>
      <c r="S207" s="13">
        <f t="shared" si="333"/>
        <v>53.924200000000006</v>
      </c>
      <c r="T207" s="13">
        <f t="shared" si="333"/>
        <v>50.654199999999996</v>
      </c>
      <c r="U207" s="17">
        <f t="shared" si="333"/>
        <v>3.2699999999999996</v>
      </c>
      <c r="V207" s="168">
        <f t="shared" si="333"/>
        <v>-27000</v>
      </c>
      <c r="W207" s="16">
        <f t="shared" si="333"/>
        <v>0</v>
      </c>
      <c r="X207" s="16">
        <f t="shared" si="333"/>
        <v>0</v>
      </c>
      <c r="Y207" s="16">
        <f t="shared" si="333"/>
        <v>0</v>
      </c>
      <c r="Z207" s="16">
        <f t="shared" si="333"/>
        <v>228690</v>
      </c>
      <c r="AA207" s="16">
        <f t="shared" si="333"/>
        <v>0</v>
      </c>
      <c r="AB207" s="16">
        <f t="shared" si="333"/>
        <v>0</v>
      </c>
      <c r="AC207" s="16">
        <f t="shared" si="333"/>
        <v>0</v>
      </c>
      <c r="AD207" s="16">
        <f t="shared" si="333"/>
        <v>0</v>
      </c>
      <c r="AE207" s="16">
        <f t="shared" si="333"/>
        <v>201690</v>
      </c>
      <c r="AF207" s="16">
        <f t="shared" si="333"/>
        <v>0</v>
      </c>
      <c r="AG207" s="16">
        <f t="shared" si="333"/>
        <v>201690</v>
      </c>
      <c r="AH207" s="16">
        <f t="shared" si="333"/>
        <v>27000</v>
      </c>
      <c r="AI207" s="16">
        <f t="shared" si="333"/>
        <v>0</v>
      </c>
      <c r="AJ207" s="16">
        <f t="shared" si="333"/>
        <v>0</v>
      </c>
      <c r="AK207" s="16">
        <f t="shared" si="333"/>
        <v>0</v>
      </c>
      <c r="AL207" s="16">
        <f t="shared" si="333"/>
        <v>0</v>
      </c>
      <c r="AM207" s="16">
        <f t="shared" si="333"/>
        <v>27000</v>
      </c>
      <c r="AN207" s="16">
        <f t="shared" si="333"/>
        <v>0</v>
      </c>
      <c r="AO207" s="16">
        <f t="shared" si="333"/>
        <v>27000</v>
      </c>
      <c r="AP207" s="16">
        <f t="shared" si="333"/>
        <v>228690</v>
      </c>
      <c r="AQ207" s="16">
        <f t="shared" si="333"/>
        <v>0</v>
      </c>
      <c r="AR207" s="16">
        <f t="shared" si="333"/>
        <v>228690</v>
      </c>
      <c r="AS207" s="16">
        <f t="shared" si="333"/>
        <v>77297</v>
      </c>
      <c r="AT207" s="16">
        <f t="shared" si="333"/>
        <v>2017</v>
      </c>
      <c r="AU207" s="16">
        <f t="shared" si="333"/>
        <v>0</v>
      </c>
      <c r="AV207" s="16">
        <f t="shared" si="333"/>
        <v>0</v>
      </c>
      <c r="AW207" s="16">
        <f t="shared" si="333"/>
        <v>0</v>
      </c>
      <c r="AX207" s="16">
        <f t="shared" si="333"/>
        <v>0</v>
      </c>
      <c r="AY207" s="16">
        <f t="shared" si="333"/>
        <v>308004</v>
      </c>
      <c r="AZ207" s="13">
        <f t="shared" si="333"/>
        <v>0</v>
      </c>
      <c r="BA207" s="13">
        <f t="shared" si="333"/>
        <v>0</v>
      </c>
      <c r="BB207" s="13">
        <f t="shared" si="333"/>
        <v>0</v>
      </c>
      <c r="BC207" s="13">
        <f t="shared" si="333"/>
        <v>0.54</v>
      </c>
      <c r="BD207" s="13">
        <f t="shared" si="333"/>
        <v>0</v>
      </c>
      <c r="BE207" s="13">
        <f t="shared" si="333"/>
        <v>0</v>
      </c>
      <c r="BF207" s="13">
        <f t="shared" si="333"/>
        <v>0</v>
      </c>
      <c r="BG207" s="13">
        <f t="shared" si="333"/>
        <v>0</v>
      </c>
      <c r="BH207" s="13">
        <f t="shared" si="333"/>
        <v>0</v>
      </c>
      <c r="BI207" s="13">
        <f t="shared" si="333"/>
        <v>0.54</v>
      </c>
      <c r="BJ207" s="13">
        <f t="shared" si="333"/>
        <v>0</v>
      </c>
      <c r="BK207" s="169">
        <f t="shared" si="333"/>
        <v>0.54</v>
      </c>
      <c r="BL207" s="167">
        <f t="shared" si="333"/>
        <v>36511638</v>
      </c>
      <c r="BM207" s="16">
        <f t="shared" si="333"/>
        <v>26948177</v>
      </c>
      <c r="BN207" s="16">
        <f t="shared" si="333"/>
        <v>26081377</v>
      </c>
      <c r="BO207" s="16">
        <f t="shared" si="333"/>
        <v>866800</v>
      </c>
      <c r="BP207" s="16">
        <f t="shared" si="333"/>
        <v>107000</v>
      </c>
      <c r="BQ207" s="16">
        <f t="shared" si="333"/>
        <v>107000</v>
      </c>
      <c r="BR207" s="16">
        <f t="shared" si="333"/>
        <v>0</v>
      </c>
      <c r="BS207" s="16">
        <f t="shared" si="333"/>
        <v>9144645</v>
      </c>
      <c r="BT207" s="16">
        <f t="shared" si="333"/>
        <v>269480</v>
      </c>
      <c r="BU207" s="16">
        <f t="shared" si="333"/>
        <v>42336</v>
      </c>
      <c r="BV207" s="13">
        <f t="shared" si="333"/>
        <v>54.464200000000005</v>
      </c>
      <c r="BW207" s="13">
        <f t="shared" si="333"/>
        <v>51.194200000000002</v>
      </c>
      <c r="BX207" s="169">
        <f t="shared" si="333"/>
        <v>3.2699999999999996</v>
      </c>
      <c r="BY207" s="167">
        <f t="shared" si="333"/>
        <v>0</v>
      </c>
      <c r="BZ207" s="16">
        <f t="shared" ref="BZ207:CJ207" si="334">SUMIF($F$12:$F$472,"=3143",BZ$12:BZ$472)</f>
        <v>0</v>
      </c>
      <c r="CA207" s="16">
        <f t="shared" si="334"/>
        <v>0</v>
      </c>
      <c r="CB207" s="16">
        <f t="shared" si="334"/>
        <v>0</v>
      </c>
      <c r="CC207" s="16">
        <f t="shared" si="334"/>
        <v>0</v>
      </c>
      <c r="CD207" s="17">
        <f t="shared" si="334"/>
        <v>0</v>
      </c>
      <c r="CE207" s="167">
        <f t="shared" si="334"/>
        <v>0</v>
      </c>
      <c r="CF207" s="16">
        <f t="shared" si="334"/>
        <v>0</v>
      </c>
      <c r="CG207" s="16">
        <f t="shared" si="334"/>
        <v>0</v>
      </c>
      <c r="CH207" s="16">
        <f t="shared" si="334"/>
        <v>0</v>
      </c>
      <c r="CI207" s="16">
        <f t="shared" si="334"/>
        <v>0</v>
      </c>
      <c r="CJ207" s="17">
        <f t="shared" si="334"/>
        <v>0</v>
      </c>
    </row>
    <row r="208" spans="1:88" ht="12.75" customHeight="1">
      <c r="D208" s="9"/>
      <c r="E208" s="5"/>
      <c r="F208" s="9"/>
      <c r="G208" s="5"/>
      <c r="H208" s="2">
        <v>3231</v>
      </c>
      <c r="I208" s="167">
        <f t="shared" ref="I208:BY208" si="335">SUMIF($F$12:$F$472,"=3231",I$12:I$472)</f>
        <v>33768563</v>
      </c>
      <c r="J208" s="16">
        <f t="shared" si="335"/>
        <v>24928273</v>
      </c>
      <c r="K208" s="16">
        <f t="shared" si="335"/>
        <v>23562050</v>
      </c>
      <c r="L208" s="16">
        <f t="shared" si="335"/>
        <v>1366223</v>
      </c>
      <c r="M208" s="16">
        <f t="shared" si="335"/>
        <v>80000</v>
      </c>
      <c r="N208" s="16">
        <f t="shared" si="335"/>
        <v>80000</v>
      </c>
      <c r="O208" s="16">
        <f t="shared" si="335"/>
        <v>0</v>
      </c>
      <c r="P208" s="16">
        <f t="shared" si="335"/>
        <v>8452796</v>
      </c>
      <c r="Q208" s="16">
        <f t="shared" si="335"/>
        <v>249283</v>
      </c>
      <c r="R208" s="16">
        <f t="shared" si="335"/>
        <v>58211</v>
      </c>
      <c r="S208" s="13">
        <f t="shared" si="335"/>
        <v>41.187199999999997</v>
      </c>
      <c r="T208" s="13">
        <f t="shared" si="335"/>
        <v>37.353999999999999</v>
      </c>
      <c r="U208" s="17">
        <f t="shared" si="335"/>
        <v>3.8331999999999997</v>
      </c>
      <c r="V208" s="168">
        <f t="shared" si="335"/>
        <v>-40000</v>
      </c>
      <c r="W208" s="16">
        <f t="shared" si="335"/>
        <v>0</v>
      </c>
      <c r="X208" s="16">
        <f t="shared" si="335"/>
        <v>0</v>
      </c>
      <c r="Y208" s="16">
        <f t="shared" si="335"/>
        <v>0</v>
      </c>
      <c r="Z208" s="16">
        <f t="shared" si="335"/>
        <v>0</v>
      </c>
      <c r="AA208" s="16">
        <f t="shared" si="335"/>
        <v>0</v>
      </c>
      <c r="AB208" s="16">
        <f t="shared" si="335"/>
        <v>0</v>
      </c>
      <c r="AC208" s="16">
        <f t="shared" si="335"/>
        <v>0</v>
      </c>
      <c r="AD208" s="16">
        <f t="shared" si="335"/>
        <v>0</v>
      </c>
      <c r="AE208" s="16">
        <f t="shared" si="335"/>
        <v>-40000</v>
      </c>
      <c r="AF208" s="16">
        <f t="shared" si="335"/>
        <v>0</v>
      </c>
      <c r="AG208" s="16">
        <f t="shared" si="335"/>
        <v>-40000</v>
      </c>
      <c r="AH208" s="16">
        <f t="shared" si="335"/>
        <v>40000</v>
      </c>
      <c r="AI208" s="16">
        <f t="shared" si="335"/>
        <v>0</v>
      </c>
      <c r="AJ208" s="16">
        <f t="shared" si="335"/>
        <v>0</v>
      </c>
      <c r="AK208" s="16">
        <f t="shared" si="335"/>
        <v>0</v>
      </c>
      <c r="AL208" s="16">
        <f t="shared" si="335"/>
        <v>0</v>
      </c>
      <c r="AM208" s="16">
        <f t="shared" si="335"/>
        <v>40000</v>
      </c>
      <c r="AN208" s="16">
        <f t="shared" si="335"/>
        <v>0</v>
      </c>
      <c r="AO208" s="16">
        <f t="shared" si="335"/>
        <v>40000</v>
      </c>
      <c r="AP208" s="16">
        <f t="shared" si="335"/>
        <v>0</v>
      </c>
      <c r="AQ208" s="16">
        <f t="shared" si="335"/>
        <v>0</v>
      </c>
      <c r="AR208" s="16">
        <f t="shared" si="335"/>
        <v>0</v>
      </c>
      <c r="AS208" s="16">
        <f t="shared" si="335"/>
        <v>0</v>
      </c>
      <c r="AT208" s="16">
        <f t="shared" si="335"/>
        <v>-400</v>
      </c>
      <c r="AU208" s="16">
        <f t="shared" si="335"/>
        <v>0</v>
      </c>
      <c r="AV208" s="16">
        <f t="shared" si="335"/>
        <v>0</v>
      </c>
      <c r="AW208" s="16">
        <f t="shared" si="335"/>
        <v>0</v>
      </c>
      <c r="AX208" s="16">
        <f t="shared" si="335"/>
        <v>0</v>
      </c>
      <c r="AY208" s="16">
        <f t="shared" si="335"/>
        <v>-400</v>
      </c>
      <c r="AZ208" s="13">
        <f t="shared" si="335"/>
        <v>0</v>
      </c>
      <c r="BA208" s="13">
        <f t="shared" si="335"/>
        <v>0</v>
      </c>
      <c r="BB208" s="13">
        <f t="shared" si="335"/>
        <v>0</v>
      </c>
      <c r="BC208" s="13">
        <f t="shared" si="335"/>
        <v>0</v>
      </c>
      <c r="BD208" s="13">
        <f t="shared" si="335"/>
        <v>0</v>
      </c>
      <c r="BE208" s="13">
        <f t="shared" si="335"/>
        <v>0</v>
      </c>
      <c r="BF208" s="13">
        <f t="shared" si="335"/>
        <v>0</v>
      </c>
      <c r="BG208" s="13">
        <f t="shared" si="335"/>
        <v>0</v>
      </c>
      <c r="BH208" s="13">
        <f t="shared" si="335"/>
        <v>0</v>
      </c>
      <c r="BI208" s="13">
        <f t="shared" si="335"/>
        <v>0</v>
      </c>
      <c r="BJ208" s="13">
        <f t="shared" si="335"/>
        <v>0</v>
      </c>
      <c r="BK208" s="169">
        <f t="shared" si="335"/>
        <v>0</v>
      </c>
      <c r="BL208" s="167">
        <f t="shared" si="335"/>
        <v>33768163</v>
      </c>
      <c r="BM208" s="16">
        <f t="shared" si="335"/>
        <v>24888273</v>
      </c>
      <c r="BN208" s="16">
        <f t="shared" si="335"/>
        <v>23522050</v>
      </c>
      <c r="BO208" s="16">
        <f t="shared" si="335"/>
        <v>1366223</v>
      </c>
      <c r="BP208" s="16">
        <f t="shared" si="335"/>
        <v>120000</v>
      </c>
      <c r="BQ208" s="16">
        <f t="shared" si="335"/>
        <v>120000</v>
      </c>
      <c r="BR208" s="16">
        <f t="shared" si="335"/>
        <v>0</v>
      </c>
      <c r="BS208" s="16">
        <f t="shared" si="335"/>
        <v>8452796</v>
      </c>
      <c r="BT208" s="16">
        <f t="shared" si="335"/>
        <v>248883</v>
      </c>
      <c r="BU208" s="16">
        <f t="shared" si="335"/>
        <v>58211</v>
      </c>
      <c r="BV208" s="13">
        <f t="shared" si="335"/>
        <v>41.187199999999997</v>
      </c>
      <c r="BW208" s="13">
        <f t="shared" si="335"/>
        <v>37.353999999999999</v>
      </c>
      <c r="BX208" s="169">
        <f t="shared" si="335"/>
        <v>3.8331999999999997</v>
      </c>
      <c r="BY208" s="167">
        <f t="shared" si="335"/>
        <v>0</v>
      </c>
      <c r="BZ208" s="16">
        <f t="shared" ref="BZ208:CJ208" si="336">SUMIF($F$12:$F$472,"=3231",BZ$12:BZ$472)</f>
        <v>0</v>
      </c>
      <c r="CA208" s="16">
        <f t="shared" si="336"/>
        <v>0</v>
      </c>
      <c r="CB208" s="16">
        <f t="shared" si="336"/>
        <v>0</v>
      </c>
      <c r="CC208" s="16">
        <f t="shared" si="336"/>
        <v>0</v>
      </c>
      <c r="CD208" s="17">
        <f t="shared" si="336"/>
        <v>0</v>
      </c>
      <c r="CE208" s="167">
        <f t="shared" si="336"/>
        <v>623923</v>
      </c>
      <c r="CF208" s="16">
        <f t="shared" si="336"/>
        <v>448720</v>
      </c>
      <c r="CG208" s="16">
        <f t="shared" si="336"/>
        <v>151667</v>
      </c>
      <c r="CH208" s="16">
        <f t="shared" si="336"/>
        <v>4487</v>
      </c>
      <c r="CI208" s="16">
        <f t="shared" si="336"/>
        <v>19049</v>
      </c>
      <c r="CJ208" s="17">
        <f t="shared" si="336"/>
        <v>1.2586999999999999</v>
      </c>
    </row>
    <row r="209" spans="4:88" ht="13.5" thickBot="1">
      <c r="D209" s="9"/>
      <c r="E209" s="5"/>
      <c r="F209" s="9"/>
      <c r="G209" s="5"/>
      <c r="H209" s="151">
        <v>3233</v>
      </c>
      <c r="I209" s="170">
        <f t="shared" ref="I209:BY209" si="337">SUMIF($F$12:$F$472,"=3233",I$12:I$472)</f>
        <v>6070580</v>
      </c>
      <c r="J209" s="171">
        <f t="shared" si="337"/>
        <v>4494653</v>
      </c>
      <c r="K209" s="171">
        <f t="shared" si="337"/>
        <v>3170701</v>
      </c>
      <c r="L209" s="171">
        <f t="shared" si="337"/>
        <v>1323952</v>
      </c>
      <c r="M209" s="171">
        <f t="shared" si="337"/>
        <v>0</v>
      </c>
      <c r="N209" s="171">
        <f t="shared" si="337"/>
        <v>0</v>
      </c>
      <c r="O209" s="171">
        <f t="shared" si="337"/>
        <v>0</v>
      </c>
      <c r="P209" s="171">
        <f t="shared" si="337"/>
        <v>1519193</v>
      </c>
      <c r="Q209" s="171">
        <f t="shared" si="337"/>
        <v>44946</v>
      </c>
      <c r="R209" s="171">
        <f t="shared" si="337"/>
        <v>11788</v>
      </c>
      <c r="S209" s="172">
        <f t="shared" si="337"/>
        <v>10</v>
      </c>
      <c r="T209" s="172">
        <f t="shared" si="337"/>
        <v>5.74</v>
      </c>
      <c r="U209" s="173">
        <f t="shared" si="337"/>
        <v>4.26</v>
      </c>
      <c r="V209" s="174">
        <f t="shared" si="337"/>
        <v>0</v>
      </c>
      <c r="W209" s="171">
        <f t="shared" si="337"/>
        <v>0</v>
      </c>
      <c r="X209" s="171">
        <f t="shared" si="337"/>
        <v>0</v>
      </c>
      <c r="Y209" s="171">
        <f t="shared" si="337"/>
        <v>0</v>
      </c>
      <c r="Z209" s="171">
        <f t="shared" si="337"/>
        <v>0</v>
      </c>
      <c r="AA209" s="171">
        <f t="shared" si="337"/>
        <v>0</v>
      </c>
      <c r="AB209" s="171">
        <f t="shared" si="337"/>
        <v>0</v>
      </c>
      <c r="AC209" s="171">
        <f t="shared" si="337"/>
        <v>0</v>
      </c>
      <c r="AD209" s="171">
        <f t="shared" si="337"/>
        <v>0</v>
      </c>
      <c r="AE209" s="171">
        <f t="shared" si="337"/>
        <v>0</v>
      </c>
      <c r="AF209" s="171">
        <f t="shared" si="337"/>
        <v>0</v>
      </c>
      <c r="AG209" s="171">
        <f t="shared" si="337"/>
        <v>0</v>
      </c>
      <c r="AH209" s="171">
        <f t="shared" si="337"/>
        <v>0</v>
      </c>
      <c r="AI209" s="171">
        <f t="shared" si="337"/>
        <v>0</v>
      </c>
      <c r="AJ209" s="171">
        <f t="shared" si="337"/>
        <v>0</v>
      </c>
      <c r="AK209" s="171">
        <f t="shared" si="337"/>
        <v>0</v>
      </c>
      <c r="AL209" s="171">
        <f t="shared" si="337"/>
        <v>0</v>
      </c>
      <c r="AM209" s="171">
        <f t="shared" si="337"/>
        <v>0</v>
      </c>
      <c r="AN209" s="171">
        <f t="shared" si="337"/>
        <v>0</v>
      </c>
      <c r="AO209" s="171">
        <f t="shared" si="337"/>
        <v>0</v>
      </c>
      <c r="AP209" s="171">
        <f t="shared" si="337"/>
        <v>0</v>
      </c>
      <c r="AQ209" s="171">
        <f t="shared" si="337"/>
        <v>0</v>
      </c>
      <c r="AR209" s="171">
        <f t="shared" si="337"/>
        <v>0</v>
      </c>
      <c r="AS209" s="171">
        <f t="shared" si="337"/>
        <v>0</v>
      </c>
      <c r="AT209" s="171">
        <f t="shared" si="337"/>
        <v>0</v>
      </c>
      <c r="AU209" s="171">
        <f t="shared" si="337"/>
        <v>0</v>
      </c>
      <c r="AV209" s="171">
        <f t="shared" si="337"/>
        <v>0</v>
      </c>
      <c r="AW209" s="171">
        <f t="shared" si="337"/>
        <v>0</v>
      </c>
      <c r="AX209" s="171">
        <f t="shared" si="337"/>
        <v>0</v>
      </c>
      <c r="AY209" s="171">
        <f t="shared" si="337"/>
        <v>0</v>
      </c>
      <c r="AZ209" s="172">
        <f t="shared" si="337"/>
        <v>0</v>
      </c>
      <c r="BA209" s="172">
        <f t="shared" si="337"/>
        <v>0</v>
      </c>
      <c r="BB209" s="172">
        <f t="shared" si="337"/>
        <v>0</v>
      </c>
      <c r="BC209" s="172">
        <f t="shared" si="337"/>
        <v>0</v>
      </c>
      <c r="BD209" s="172">
        <f t="shared" si="337"/>
        <v>0</v>
      </c>
      <c r="BE209" s="172">
        <f t="shared" si="337"/>
        <v>0</v>
      </c>
      <c r="BF209" s="172">
        <f t="shared" si="337"/>
        <v>0</v>
      </c>
      <c r="BG209" s="172">
        <f t="shared" si="337"/>
        <v>0</v>
      </c>
      <c r="BH209" s="172">
        <f t="shared" si="337"/>
        <v>0</v>
      </c>
      <c r="BI209" s="172">
        <f t="shared" si="337"/>
        <v>0</v>
      </c>
      <c r="BJ209" s="172">
        <f t="shared" si="337"/>
        <v>0</v>
      </c>
      <c r="BK209" s="175">
        <f t="shared" si="337"/>
        <v>0</v>
      </c>
      <c r="BL209" s="170">
        <f t="shared" si="337"/>
        <v>6070580</v>
      </c>
      <c r="BM209" s="171">
        <f t="shared" si="337"/>
        <v>4494653</v>
      </c>
      <c r="BN209" s="171">
        <f t="shared" si="337"/>
        <v>3170701</v>
      </c>
      <c r="BO209" s="171">
        <f t="shared" si="337"/>
        <v>1323952</v>
      </c>
      <c r="BP209" s="171">
        <f t="shared" si="337"/>
        <v>0</v>
      </c>
      <c r="BQ209" s="171">
        <f t="shared" si="337"/>
        <v>0</v>
      </c>
      <c r="BR209" s="171">
        <f t="shared" si="337"/>
        <v>0</v>
      </c>
      <c r="BS209" s="171">
        <f t="shared" si="337"/>
        <v>1519193</v>
      </c>
      <c r="BT209" s="171">
        <f t="shared" si="337"/>
        <v>44946</v>
      </c>
      <c r="BU209" s="171">
        <f t="shared" si="337"/>
        <v>11788</v>
      </c>
      <c r="BV209" s="172">
        <f t="shared" si="337"/>
        <v>10</v>
      </c>
      <c r="BW209" s="172">
        <f t="shared" si="337"/>
        <v>5.74</v>
      </c>
      <c r="BX209" s="175">
        <f t="shared" si="337"/>
        <v>4.26</v>
      </c>
      <c r="BY209" s="170">
        <f t="shared" si="337"/>
        <v>0</v>
      </c>
      <c r="BZ209" s="171">
        <f t="shared" ref="BZ209:CJ209" si="338">SUMIF($F$12:$F$472,"=3233",BZ$12:BZ$472)</f>
        <v>0</v>
      </c>
      <c r="CA209" s="171">
        <f t="shared" si="338"/>
        <v>0</v>
      </c>
      <c r="CB209" s="171">
        <f t="shared" si="338"/>
        <v>0</v>
      </c>
      <c r="CC209" s="171">
        <f t="shared" si="338"/>
        <v>0</v>
      </c>
      <c r="CD209" s="173">
        <f t="shared" si="338"/>
        <v>0</v>
      </c>
      <c r="CE209" s="170">
        <f t="shared" si="338"/>
        <v>0</v>
      </c>
      <c r="CF209" s="171">
        <f t="shared" si="338"/>
        <v>0</v>
      </c>
      <c r="CG209" s="171">
        <f t="shared" si="338"/>
        <v>0</v>
      </c>
      <c r="CH209" s="171">
        <f t="shared" si="338"/>
        <v>0</v>
      </c>
      <c r="CI209" s="171">
        <f t="shared" si="338"/>
        <v>0</v>
      </c>
      <c r="CJ209" s="173">
        <f t="shared" si="338"/>
        <v>0</v>
      </c>
    </row>
    <row r="210" spans="4:88" ht="12.75" customHeight="1">
      <c r="D210" s="5"/>
      <c r="E210" s="5"/>
      <c r="F210" s="5"/>
      <c r="G210" s="5"/>
      <c r="H210" s="5"/>
    </row>
    <row r="211" spans="4:88">
      <c r="AH211" s="15"/>
      <c r="AI211" s="15"/>
      <c r="AJ211" s="15"/>
      <c r="AK211" s="15"/>
      <c r="AL211" s="15"/>
      <c r="AM211" s="15"/>
      <c r="AN211" s="15"/>
      <c r="AO211" s="15"/>
      <c r="AP211" s="15"/>
      <c r="AQ211" s="4"/>
    </row>
  </sheetData>
  <mergeCells count="58">
    <mergeCell ref="CE6:CJ7"/>
    <mergeCell ref="CE8:CJ9"/>
    <mergeCell ref="AB9:AB10"/>
    <mergeCell ref="BF8:BF9"/>
    <mergeCell ref="BC8:BD9"/>
    <mergeCell ref="BT9:BT10"/>
    <mergeCell ref="BL8:BL10"/>
    <mergeCell ref="AE9:AF9"/>
    <mergeCell ref="BM9:BM10"/>
    <mergeCell ref="BN9:BO9"/>
    <mergeCell ref="AY7:AY10"/>
    <mergeCell ref="AK9:AL9"/>
    <mergeCell ref="AP7:AR9"/>
    <mergeCell ref="AS7:AS10"/>
    <mergeCell ref="AT7:AT10"/>
    <mergeCell ref="AU7:AX9"/>
    <mergeCell ref="V9:W9"/>
    <mergeCell ref="X9:X10"/>
    <mergeCell ref="Y9:Y10"/>
    <mergeCell ref="AC9:AD9"/>
    <mergeCell ref="BY6:CD7"/>
    <mergeCell ref="BY8:CD9"/>
    <mergeCell ref="BQ9:BR9"/>
    <mergeCell ref="BS9:BS10"/>
    <mergeCell ref="AZ7:BK7"/>
    <mergeCell ref="BB8:BB9"/>
    <mergeCell ref="BE8:BE9"/>
    <mergeCell ref="BG8:BH9"/>
    <mergeCell ref="BI8:BK9"/>
    <mergeCell ref="Z9:AA9"/>
    <mergeCell ref="AH7:AO8"/>
    <mergeCell ref="BW8:BX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3:E3"/>
    <mergeCell ref="I8:I10"/>
    <mergeCell ref="I6:U7"/>
    <mergeCell ref="BV8:BV10"/>
    <mergeCell ref="AO9:AO10"/>
    <mergeCell ref="AM9:AN9"/>
    <mergeCell ref="AG9:AG10"/>
    <mergeCell ref="AH9:AI9"/>
    <mergeCell ref="AJ9:AJ10"/>
    <mergeCell ref="BP9:BP10"/>
    <mergeCell ref="AZ8:BA9"/>
    <mergeCell ref="BM8:BU8"/>
    <mergeCell ref="BU9:BU10"/>
    <mergeCell ref="V6:BK6"/>
    <mergeCell ref="BL6:BX7"/>
    <mergeCell ref="V7:AG8"/>
  </mergeCells>
  <pageMargins left="0.7" right="0.7" top="0.78740157499999996" bottom="0.78740157499999996" header="0.3" footer="0.3"/>
  <pageSetup paperSize="8" scale="1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CJ114"/>
  <sheetViews>
    <sheetView zoomScaleNormal="100" workbookViewId="0">
      <pane xSplit="8" ySplit="11" topLeftCell="BD89" activePane="bottomRight" state="frozen"/>
      <selection activeCell="V6" sqref="V6:BK10"/>
      <selection pane="topRight" activeCell="V6" sqref="V6:BK10"/>
      <selection pane="bottomLeft" activeCell="V6" sqref="V6:BK10"/>
      <selection pane="bottomRight" activeCell="BL6" sqref="BL6:BX7"/>
    </sheetView>
  </sheetViews>
  <sheetFormatPr defaultRowHeight="12.75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customWidth="1"/>
    <col min="29" max="42" width="10.28515625" style="8" customWidth="1"/>
    <col min="43" max="43" width="10.28515625" style="7" customWidth="1"/>
    <col min="44" max="45" width="9.28515625" style="7" customWidth="1"/>
    <col min="46" max="46" width="9.140625" style="8" customWidth="1"/>
    <col min="47" max="48" width="9.7109375" style="8" customWidth="1"/>
    <col min="49" max="49" width="11.85546875" style="8" customWidth="1"/>
    <col min="50" max="50" width="9.140625" style="8" customWidth="1"/>
    <col min="51" max="51" width="9.7109375" style="8" customWidth="1"/>
    <col min="52" max="54" width="9.140625" style="7" customWidth="1"/>
    <col min="55" max="55" width="10.140625" style="7" customWidth="1"/>
    <col min="56" max="57" width="9.28515625" style="7" customWidth="1"/>
    <col min="58" max="58" width="10.5703125" style="7" customWidth="1"/>
    <col min="59" max="63" width="9.28515625" style="7" customWidth="1"/>
    <col min="64" max="73" width="10.85546875" style="7" customWidth="1"/>
    <col min="74" max="76" width="9.28515625" style="7" customWidth="1"/>
    <col min="77" max="81" width="9.7109375" style="8" customWidth="1"/>
    <col min="82" max="82" width="9.7109375" style="7" customWidth="1"/>
    <col min="88" max="88" width="9.140625" style="7"/>
    <col min="191" max="191" width="7" customWidth="1"/>
    <col min="192" max="192" width="30.140625" customWidth="1"/>
    <col min="193" max="193" width="6.28515625" customWidth="1"/>
    <col min="194" max="194" width="31.42578125" customWidth="1"/>
    <col min="195" max="195" width="10.5703125" customWidth="1"/>
    <col min="196" max="196" width="10.42578125" customWidth="1"/>
    <col min="197" max="197" width="9.5703125" customWidth="1"/>
    <col min="198" max="198" width="8.42578125" customWidth="1"/>
    <col min="199" max="199" width="9" customWidth="1"/>
    <col min="200" max="200" width="10.42578125" customWidth="1"/>
    <col min="203" max="203" width="10.28515625" customWidth="1"/>
    <col min="447" max="447" width="7" customWidth="1"/>
    <col min="448" max="448" width="30.140625" customWidth="1"/>
    <col min="449" max="449" width="6.28515625" customWidth="1"/>
    <col min="450" max="450" width="31.42578125" customWidth="1"/>
    <col min="451" max="451" width="10.5703125" customWidth="1"/>
    <col min="452" max="452" width="10.42578125" customWidth="1"/>
    <col min="453" max="453" width="9.5703125" customWidth="1"/>
    <col min="454" max="454" width="8.42578125" customWidth="1"/>
    <col min="455" max="455" width="9" customWidth="1"/>
    <col min="456" max="456" width="10.42578125" customWidth="1"/>
    <col min="459" max="459" width="10.28515625" customWidth="1"/>
    <col min="703" max="703" width="7" customWidth="1"/>
    <col min="704" max="704" width="30.140625" customWidth="1"/>
    <col min="705" max="705" width="6.28515625" customWidth="1"/>
    <col min="706" max="706" width="31.42578125" customWidth="1"/>
    <col min="707" max="707" width="10.5703125" customWidth="1"/>
    <col min="708" max="708" width="10.42578125" customWidth="1"/>
    <col min="709" max="709" width="9.5703125" customWidth="1"/>
    <col min="710" max="710" width="8.42578125" customWidth="1"/>
    <col min="711" max="711" width="9" customWidth="1"/>
    <col min="712" max="712" width="10.42578125" customWidth="1"/>
    <col min="715" max="715" width="10.28515625" customWidth="1"/>
    <col min="959" max="959" width="7" customWidth="1"/>
    <col min="960" max="960" width="30.140625" customWidth="1"/>
    <col min="961" max="961" width="6.28515625" customWidth="1"/>
    <col min="962" max="962" width="31.42578125" customWidth="1"/>
    <col min="963" max="963" width="10.5703125" customWidth="1"/>
    <col min="964" max="964" width="10.42578125" customWidth="1"/>
    <col min="965" max="965" width="9.5703125" customWidth="1"/>
    <col min="966" max="966" width="8.42578125" customWidth="1"/>
    <col min="967" max="967" width="9" customWidth="1"/>
    <col min="968" max="968" width="10.42578125" customWidth="1"/>
    <col min="971" max="971" width="10.28515625" customWidth="1"/>
    <col min="1215" max="1215" width="7" customWidth="1"/>
    <col min="1216" max="1216" width="30.140625" customWidth="1"/>
    <col min="1217" max="1217" width="6.28515625" customWidth="1"/>
    <col min="1218" max="1218" width="31.42578125" customWidth="1"/>
    <col min="1219" max="1219" width="10.5703125" customWidth="1"/>
    <col min="1220" max="1220" width="10.42578125" customWidth="1"/>
    <col min="1221" max="1221" width="9.5703125" customWidth="1"/>
    <col min="1222" max="1222" width="8.42578125" customWidth="1"/>
    <col min="1223" max="1223" width="9" customWidth="1"/>
    <col min="1224" max="1224" width="10.42578125" customWidth="1"/>
    <col min="1227" max="1227" width="10.28515625" customWidth="1"/>
    <col min="1471" max="1471" width="7" customWidth="1"/>
    <col min="1472" max="1472" width="30.140625" customWidth="1"/>
    <col min="1473" max="1473" width="6.28515625" customWidth="1"/>
    <col min="1474" max="1474" width="31.42578125" customWidth="1"/>
    <col min="1475" max="1475" width="10.5703125" customWidth="1"/>
    <col min="1476" max="1476" width="10.42578125" customWidth="1"/>
    <col min="1477" max="1477" width="9.5703125" customWidth="1"/>
    <col min="1478" max="1478" width="8.42578125" customWidth="1"/>
    <col min="1479" max="1479" width="9" customWidth="1"/>
    <col min="1480" max="1480" width="10.42578125" customWidth="1"/>
    <col min="1483" max="1483" width="10.28515625" customWidth="1"/>
    <col min="1727" max="1727" width="7" customWidth="1"/>
    <col min="1728" max="1728" width="30.140625" customWidth="1"/>
    <col min="1729" max="1729" width="6.28515625" customWidth="1"/>
    <col min="1730" max="1730" width="31.42578125" customWidth="1"/>
    <col min="1731" max="1731" width="10.5703125" customWidth="1"/>
    <col min="1732" max="1732" width="10.42578125" customWidth="1"/>
    <col min="1733" max="1733" width="9.5703125" customWidth="1"/>
    <col min="1734" max="1734" width="8.42578125" customWidth="1"/>
    <col min="1735" max="1735" width="9" customWidth="1"/>
    <col min="1736" max="1736" width="10.42578125" customWidth="1"/>
    <col min="1739" max="1739" width="10.28515625" customWidth="1"/>
    <col min="1983" max="1983" width="7" customWidth="1"/>
    <col min="1984" max="1984" width="30.140625" customWidth="1"/>
    <col min="1985" max="1985" width="6.28515625" customWidth="1"/>
    <col min="1986" max="1986" width="31.42578125" customWidth="1"/>
    <col min="1987" max="1987" width="10.5703125" customWidth="1"/>
    <col min="1988" max="1988" width="10.42578125" customWidth="1"/>
    <col min="1989" max="1989" width="9.5703125" customWidth="1"/>
    <col min="1990" max="1990" width="8.42578125" customWidth="1"/>
    <col min="1991" max="1991" width="9" customWidth="1"/>
    <col min="1992" max="1992" width="10.42578125" customWidth="1"/>
    <col min="1995" max="1995" width="10.28515625" customWidth="1"/>
    <col min="2239" max="2239" width="7" customWidth="1"/>
    <col min="2240" max="2240" width="30.140625" customWidth="1"/>
    <col min="2241" max="2241" width="6.28515625" customWidth="1"/>
    <col min="2242" max="2242" width="31.42578125" customWidth="1"/>
    <col min="2243" max="2243" width="10.5703125" customWidth="1"/>
    <col min="2244" max="2244" width="10.42578125" customWidth="1"/>
    <col min="2245" max="2245" width="9.5703125" customWidth="1"/>
    <col min="2246" max="2246" width="8.42578125" customWidth="1"/>
    <col min="2247" max="2247" width="9" customWidth="1"/>
    <col min="2248" max="2248" width="10.42578125" customWidth="1"/>
    <col min="2251" max="2251" width="10.28515625" customWidth="1"/>
    <col min="2495" max="2495" width="7" customWidth="1"/>
    <col min="2496" max="2496" width="30.140625" customWidth="1"/>
    <col min="2497" max="2497" width="6.28515625" customWidth="1"/>
    <col min="2498" max="2498" width="31.42578125" customWidth="1"/>
    <col min="2499" max="2499" width="10.5703125" customWidth="1"/>
    <col min="2500" max="2500" width="10.42578125" customWidth="1"/>
    <col min="2501" max="2501" width="9.5703125" customWidth="1"/>
    <col min="2502" max="2502" width="8.42578125" customWidth="1"/>
    <col min="2503" max="2503" width="9" customWidth="1"/>
    <col min="2504" max="2504" width="10.42578125" customWidth="1"/>
    <col min="2507" max="2507" width="10.28515625" customWidth="1"/>
    <col min="2751" max="2751" width="7" customWidth="1"/>
    <col min="2752" max="2752" width="30.140625" customWidth="1"/>
    <col min="2753" max="2753" width="6.28515625" customWidth="1"/>
    <col min="2754" max="2754" width="31.42578125" customWidth="1"/>
    <col min="2755" max="2755" width="10.5703125" customWidth="1"/>
    <col min="2756" max="2756" width="10.42578125" customWidth="1"/>
    <col min="2757" max="2757" width="9.5703125" customWidth="1"/>
    <col min="2758" max="2758" width="8.42578125" customWidth="1"/>
    <col min="2759" max="2759" width="9" customWidth="1"/>
    <col min="2760" max="2760" width="10.42578125" customWidth="1"/>
    <col min="2763" max="2763" width="10.28515625" customWidth="1"/>
    <col min="3007" max="3007" width="7" customWidth="1"/>
    <col min="3008" max="3008" width="30.140625" customWidth="1"/>
    <col min="3009" max="3009" width="6.28515625" customWidth="1"/>
    <col min="3010" max="3010" width="31.42578125" customWidth="1"/>
    <col min="3011" max="3011" width="10.5703125" customWidth="1"/>
    <col min="3012" max="3012" width="10.42578125" customWidth="1"/>
    <col min="3013" max="3013" width="9.5703125" customWidth="1"/>
    <col min="3014" max="3014" width="8.42578125" customWidth="1"/>
    <col min="3015" max="3015" width="9" customWidth="1"/>
    <col min="3016" max="3016" width="10.42578125" customWidth="1"/>
    <col min="3019" max="3019" width="10.28515625" customWidth="1"/>
    <col min="3263" max="3263" width="7" customWidth="1"/>
    <col min="3264" max="3264" width="30.140625" customWidth="1"/>
    <col min="3265" max="3265" width="6.28515625" customWidth="1"/>
    <col min="3266" max="3266" width="31.42578125" customWidth="1"/>
    <col min="3267" max="3267" width="10.5703125" customWidth="1"/>
    <col min="3268" max="3268" width="10.42578125" customWidth="1"/>
    <col min="3269" max="3269" width="9.5703125" customWidth="1"/>
    <col min="3270" max="3270" width="8.42578125" customWidth="1"/>
    <col min="3271" max="3271" width="9" customWidth="1"/>
    <col min="3272" max="3272" width="10.42578125" customWidth="1"/>
    <col min="3275" max="3275" width="10.28515625" customWidth="1"/>
    <col min="3519" max="3519" width="7" customWidth="1"/>
    <col min="3520" max="3520" width="30.140625" customWidth="1"/>
    <col min="3521" max="3521" width="6.28515625" customWidth="1"/>
    <col min="3522" max="3522" width="31.42578125" customWidth="1"/>
    <col min="3523" max="3523" width="10.5703125" customWidth="1"/>
    <col min="3524" max="3524" width="10.42578125" customWidth="1"/>
    <col min="3525" max="3525" width="9.5703125" customWidth="1"/>
    <col min="3526" max="3526" width="8.42578125" customWidth="1"/>
    <col min="3527" max="3527" width="9" customWidth="1"/>
    <col min="3528" max="3528" width="10.42578125" customWidth="1"/>
    <col min="3531" max="3531" width="10.28515625" customWidth="1"/>
    <col min="3775" max="3775" width="7" customWidth="1"/>
    <col min="3776" max="3776" width="30.140625" customWidth="1"/>
    <col min="3777" max="3777" width="6.28515625" customWidth="1"/>
    <col min="3778" max="3778" width="31.42578125" customWidth="1"/>
    <col min="3779" max="3779" width="10.5703125" customWidth="1"/>
    <col min="3780" max="3780" width="10.42578125" customWidth="1"/>
    <col min="3781" max="3781" width="9.5703125" customWidth="1"/>
    <col min="3782" max="3782" width="8.42578125" customWidth="1"/>
    <col min="3783" max="3783" width="9" customWidth="1"/>
    <col min="3784" max="3784" width="10.42578125" customWidth="1"/>
    <col min="3787" max="3787" width="10.28515625" customWidth="1"/>
    <col min="4031" max="4031" width="7" customWidth="1"/>
    <col min="4032" max="4032" width="30.140625" customWidth="1"/>
    <col min="4033" max="4033" width="6.28515625" customWidth="1"/>
    <col min="4034" max="4034" width="31.42578125" customWidth="1"/>
    <col min="4035" max="4035" width="10.5703125" customWidth="1"/>
    <col min="4036" max="4036" width="10.42578125" customWidth="1"/>
    <col min="4037" max="4037" width="9.5703125" customWidth="1"/>
    <col min="4038" max="4038" width="8.42578125" customWidth="1"/>
    <col min="4039" max="4039" width="9" customWidth="1"/>
    <col min="4040" max="4040" width="10.42578125" customWidth="1"/>
    <col min="4043" max="4043" width="10.28515625" customWidth="1"/>
    <col min="4287" max="4287" width="7" customWidth="1"/>
    <col min="4288" max="4288" width="30.140625" customWidth="1"/>
    <col min="4289" max="4289" width="6.28515625" customWidth="1"/>
    <col min="4290" max="4290" width="31.42578125" customWidth="1"/>
    <col min="4291" max="4291" width="10.5703125" customWidth="1"/>
    <col min="4292" max="4292" width="10.42578125" customWidth="1"/>
    <col min="4293" max="4293" width="9.5703125" customWidth="1"/>
    <col min="4294" max="4294" width="8.42578125" customWidth="1"/>
    <col min="4295" max="4295" width="9" customWidth="1"/>
    <col min="4296" max="4296" width="10.42578125" customWidth="1"/>
    <col min="4299" max="4299" width="10.28515625" customWidth="1"/>
    <col min="4543" max="4543" width="7" customWidth="1"/>
    <col min="4544" max="4544" width="30.140625" customWidth="1"/>
    <col min="4545" max="4545" width="6.28515625" customWidth="1"/>
    <col min="4546" max="4546" width="31.42578125" customWidth="1"/>
    <col min="4547" max="4547" width="10.5703125" customWidth="1"/>
    <col min="4548" max="4548" width="10.42578125" customWidth="1"/>
    <col min="4549" max="4549" width="9.5703125" customWidth="1"/>
    <col min="4550" max="4550" width="8.42578125" customWidth="1"/>
    <col min="4551" max="4551" width="9" customWidth="1"/>
    <col min="4552" max="4552" width="10.42578125" customWidth="1"/>
    <col min="4555" max="4555" width="10.28515625" customWidth="1"/>
    <col min="4799" max="4799" width="7" customWidth="1"/>
    <col min="4800" max="4800" width="30.140625" customWidth="1"/>
    <col min="4801" max="4801" width="6.28515625" customWidth="1"/>
    <col min="4802" max="4802" width="31.42578125" customWidth="1"/>
    <col min="4803" max="4803" width="10.5703125" customWidth="1"/>
    <col min="4804" max="4804" width="10.42578125" customWidth="1"/>
    <col min="4805" max="4805" width="9.5703125" customWidth="1"/>
    <col min="4806" max="4806" width="8.42578125" customWidth="1"/>
    <col min="4807" max="4807" width="9" customWidth="1"/>
    <col min="4808" max="4808" width="10.42578125" customWidth="1"/>
    <col min="4811" max="4811" width="10.28515625" customWidth="1"/>
    <col min="5055" max="5055" width="7" customWidth="1"/>
    <col min="5056" max="5056" width="30.140625" customWidth="1"/>
    <col min="5057" max="5057" width="6.28515625" customWidth="1"/>
    <col min="5058" max="5058" width="31.42578125" customWidth="1"/>
    <col min="5059" max="5059" width="10.5703125" customWidth="1"/>
    <col min="5060" max="5060" width="10.42578125" customWidth="1"/>
    <col min="5061" max="5061" width="9.5703125" customWidth="1"/>
    <col min="5062" max="5062" width="8.42578125" customWidth="1"/>
    <col min="5063" max="5063" width="9" customWidth="1"/>
    <col min="5064" max="5064" width="10.42578125" customWidth="1"/>
    <col min="5067" max="5067" width="10.28515625" customWidth="1"/>
    <col min="5311" max="5311" width="7" customWidth="1"/>
    <col min="5312" max="5312" width="30.140625" customWidth="1"/>
    <col min="5313" max="5313" width="6.28515625" customWidth="1"/>
    <col min="5314" max="5314" width="31.42578125" customWidth="1"/>
    <col min="5315" max="5315" width="10.5703125" customWidth="1"/>
    <col min="5316" max="5316" width="10.42578125" customWidth="1"/>
    <col min="5317" max="5317" width="9.5703125" customWidth="1"/>
    <col min="5318" max="5318" width="8.42578125" customWidth="1"/>
    <col min="5319" max="5319" width="9" customWidth="1"/>
    <col min="5320" max="5320" width="10.42578125" customWidth="1"/>
    <col min="5323" max="5323" width="10.28515625" customWidth="1"/>
    <col min="5567" max="5567" width="7" customWidth="1"/>
    <col min="5568" max="5568" width="30.140625" customWidth="1"/>
    <col min="5569" max="5569" width="6.28515625" customWidth="1"/>
    <col min="5570" max="5570" width="31.42578125" customWidth="1"/>
    <col min="5571" max="5571" width="10.5703125" customWidth="1"/>
    <col min="5572" max="5572" width="10.42578125" customWidth="1"/>
    <col min="5573" max="5573" width="9.5703125" customWidth="1"/>
    <col min="5574" max="5574" width="8.42578125" customWidth="1"/>
    <col min="5575" max="5575" width="9" customWidth="1"/>
    <col min="5576" max="5576" width="10.42578125" customWidth="1"/>
    <col min="5579" max="5579" width="10.28515625" customWidth="1"/>
    <col min="5823" max="5823" width="7" customWidth="1"/>
    <col min="5824" max="5824" width="30.140625" customWidth="1"/>
    <col min="5825" max="5825" width="6.28515625" customWidth="1"/>
    <col min="5826" max="5826" width="31.42578125" customWidth="1"/>
    <col min="5827" max="5827" width="10.5703125" customWidth="1"/>
    <col min="5828" max="5828" width="10.42578125" customWidth="1"/>
    <col min="5829" max="5829" width="9.5703125" customWidth="1"/>
    <col min="5830" max="5830" width="8.42578125" customWidth="1"/>
    <col min="5831" max="5831" width="9" customWidth="1"/>
    <col min="5832" max="5832" width="10.42578125" customWidth="1"/>
    <col min="5835" max="5835" width="10.28515625" customWidth="1"/>
    <col min="6079" max="6079" width="7" customWidth="1"/>
    <col min="6080" max="6080" width="30.140625" customWidth="1"/>
    <col min="6081" max="6081" width="6.28515625" customWidth="1"/>
    <col min="6082" max="6082" width="31.42578125" customWidth="1"/>
    <col min="6083" max="6083" width="10.5703125" customWidth="1"/>
    <col min="6084" max="6084" width="10.42578125" customWidth="1"/>
    <col min="6085" max="6085" width="9.5703125" customWidth="1"/>
    <col min="6086" max="6086" width="8.42578125" customWidth="1"/>
    <col min="6087" max="6087" width="9" customWidth="1"/>
    <col min="6088" max="6088" width="10.42578125" customWidth="1"/>
    <col min="6091" max="6091" width="10.28515625" customWidth="1"/>
    <col min="6335" max="6335" width="7" customWidth="1"/>
    <col min="6336" max="6336" width="30.140625" customWidth="1"/>
    <col min="6337" max="6337" width="6.28515625" customWidth="1"/>
    <col min="6338" max="6338" width="31.42578125" customWidth="1"/>
    <col min="6339" max="6339" width="10.5703125" customWidth="1"/>
    <col min="6340" max="6340" width="10.42578125" customWidth="1"/>
    <col min="6341" max="6341" width="9.5703125" customWidth="1"/>
    <col min="6342" max="6342" width="8.42578125" customWidth="1"/>
    <col min="6343" max="6343" width="9" customWidth="1"/>
    <col min="6344" max="6344" width="10.42578125" customWidth="1"/>
    <col min="6347" max="6347" width="10.28515625" customWidth="1"/>
    <col min="6591" max="6591" width="7" customWidth="1"/>
    <col min="6592" max="6592" width="30.140625" customWidth="1"/>
    <col min="6593" max="6593" width="6.28515625" customWidth="1"/>
    <col min="6594" max="6594" width="31.42578125" customWidth="1"/>
    <col min="6595" max="6595" width="10.5703125" customWidth="1"/>
    <col min="6596" max="6596" width="10.42578125" customWidth="1"/>
    <col min="6597" max="6597" width="9.5703125" customWidth="1"/>
    <col min="6598" max="6598" width="8.42578125" customWidth="1"/>
    <col min="6599" max="6599" width="9" customWidth="1"/>
    <col min="6600" max="6600" width="10.42578125" customWidth="1"/>
    <col min="6603" max="6603" width="10.28515625" customWidth="1"/>
    <col min="6847" max="6847" width="7" customWidth="1"/>
    <col min="6848" max="6848" width="30.140625" customWidth="1"/>
    <col min="6849" max="6849" width="6.28515625" customWidth="1"/>
    <col min="6850" max="6850" width="31.42578125" customWidth="1"/>
    <col min="6851" max="6851" width="10.5703125" customWidth="1"/>
    <col min="6852" max="6852" width="10.42578125" customWidth="1"/>
    <col min="6853" max="6853" width="9.5703125" customWidth="1"/>
    <col min="6854" max="6854" width="8.42578125" customWidth="1"/>
    <col min="6855" max="6855" width="9" customWidth="1"/>
    <col min="6856" max="6856" width="10.42578125" customWidth="1"/>
    <col min="6859" max="6859" width="10.28515625" customWidth="1"/>
    <col min="7103" max="7103" width="7" customWidth="1"/>
    <col min="7104" max="7104" width="30.140625" customWidth="1"/>
    <col min="7105" max="7105" width="6.28515625" customWidth="1"/>
    <col min="7106" max="7106" width="31.42578125" customWidth="1"/>
    <col min="7107" max="7107" width="10.5703125" customWidth="1"/>
    <col min="7108" max="7108" width="10.42578125" customWidth="1"/>
    <col min="7109" max="7109" width="9.5703125" customWidth="1"/>
    <col min="7110" max="7110" width="8.42578125" customWidth="1"/>
    <col min="7111" max="7111" width="9" customWidth="1"/>
    <col min="7112" max="7112" width="10.42578125" customWidth="1"/>
    <col min="7115" max="7115" width="10.28515625" customWidth="1"/>
    <col min="7359" max="7359" width="7" customWidth="1"/>
    <col min="7360" max="7360" width="30.140625" customWidth="1"/>
    <col min="7361" max="7361" width="6.28515625" customWidth="1"/>
    <col min="7362" max="7362" width="31.42578125" customWidth="1"/>
    <col min="7363" max="7363" width="10.5703125" customWidth="1"/>
    <col min="7364" max="7364" width="10.42578125" customWidth="1"/>
    <col min="7365" max="7365" width="9.5703125" customWidth="1"/>
    <col min="7366" max="7366" width="8.42578125" customWidth="1"/>
    <col min="7367" max="7367" width="9" customWidth="1"/>
    <col min="7368" max="7368" width="10.42578125" customWidth="1"/>
    <col min="7371" max="7371" width="10.28515625" customWidth="1"/>
    <col min="7615" max="7615" width="7" customWidth="1"/>
    <col min="7616" max="7616" width="30.140625" customWidth="1"/>
    <col min="7617" max="7617" width="6.28515625" customWidth="1"/>
    <col min="7618" max="7618" width="31.42578125" customWidth="1"/>
    <col min="7619" max="7619" width="10.5703125" customWidth="1"/>
    <col min="7620" max="7620" width="10.42578125" customWidth="1"/>
    <col min="7621" max="7621" width="9.5703125" customWidth="1"/>
    <col min="7622" max="7622" width="8.42578125" customWidth="1"/>
    <col min="7623" max="7623" width="9" customWidth="1"/>
    <col min="7624" max="7624" width="10.42578125" customWidth="1"/>
    <col min="7627" max="7627" width="10.28515625" customWidth="1"/>
    <col min="7871" max="7871" width="7" customWidth="1"/>
    <col min="7872" max="7872" width="30.140625" customWidth="1"/>
    <col min="7873" max="7873" width="6.28515625" customWidth="1"/>
    <col min="7874" max="7874" width="31.42578125" customWidth="1"/>
    <col min="7875" max="7875" width="10.5703125" customWidth="1"/>
    <col min="7876" max="7876" width="10.42578125" customWidth="1"/>
    <col min="7877" max="7877" width="9.5703125" customWidth="1"/>
    <col min="7878" max="7878" width="8.42578125" customWidth="1"/>
    <col min="7879" max="7879" width="9" customWidth="1"/>
    <col min="7880" max="7880" width="10.42578125" customWidth="1"/>
    <col min="7883" max="7883" width="10.28515625" customWidth="1"/>
    <col min="8127" max="8127" width="7" customWidth="1"/>
    <col min="8128" max="8128" width="30.140625" customWidth="1"/>
    <col min="8129" max="8129" width="6.28515625" customWidth="1"/>
    <col min="8130" max="8130" width="31.42578125" customWidth="1"/>
    <col min="8131" max="8131" width="10.5703125" customWidth="1"/>
    <col min="8132" max="8132" width="10.42578125" customWidth="1"/>
    <col min="8133" max="8133" width="9.5703125" customWidth="1"/>
    <col min="8134" max="8134" width="8.42578125" customWidth="1"/>
    <col min="8135" max="8135" width="9" customWidth="1"/>
    <col min="8136" max="8136" width="10.42578125" customWidth="1"/>
    <col min="8139" max="8139" width="10.28515625" customWidth="1"/>
    <col min="8383" max="8383" width="7" customWidth="1"/>
    <col min="8384" max="8384" width="30.140625" customWidth="1"/>
    <col min="8385" max="8385" width="6.28515625" customWidth="1"/>
    <col min="8386" max="8386" width="31.42578125" customWidth="1"/>
    <col min="8387" max="8387" width="10.5703125" customWidth="1"/>
    <col min="8388" max="8388" width="10.42578125" customWidth="1"/>
    <col min="8389" max="8389" width="9.5703125" customWidth="1"/>
    <col min="8390" max="8390" width="8.42578125" customWidth="1"/>
    <col min="8391" max="8391" width="9" customWidth="1"/>
    <col min="8392" max="8392" width="10.42578125" customWidth="1"/>
    <col min="8395" max="8395" width="10.28515625" customWidth="1"/>
    <col min="8639" max="8639" width="7" customWidth="1"/>
    <col min="8640" max="8640" width="30.140625" customWidth="1"/>
    <col min="8641" max="8641" width="6.28515625" customWidth="1"/>
    <col min="8642" max="8642" width="31.42578125" customWidth="1"/>
    <col min="8643" max="8643" width="10.5703125" customWidth="1"/>
    <col min="8644" max="8644" width="10.42578125" customWidth="1"/>
    <col min="8645" max="8645" width="9.5703125" customWidth="1"/>
    <col min="8646" max="8646" width="8.42578125" customWidth="1"/>
    <col min="8647" max="8647" width="9" customWidth="1"/>
    <col min="8648" max="8648" width="10.42578125" customWidth="1"/>
    <col min="8651" max="8651" width="10.28515625" customWidth="1"/>
    <col min="8895" max="8895" width="7" customWidth="1"/>
    <col min="8896" max="8896" width="30.140625" customWidth="1"/>
    <col min="8897" max="8897" width="6.28515625" customWidth="1"/>
    <col min="8898" max="8898" width="31.42578125" customWidth="1"/>
    <col min="8899" max="8899" width="10.5703125" customWidth="1"/>
    <col min="8900" max="8900" width="10.42578125" customWidth="1"/>
    <col min="8901" max="8901" width="9.5703125" customWidth="1"/>
    <col min="8902" max="8902" width="8.42578125" customWidth="1"/>
    <col min="8903" max="8903" width="9" customWidth="1"/>
    <col min="8904" max="8904" width="10.42578125" customWidth="1"/>
    <col min="8907" max="8907" width="10.28515625" customWidth="1"/>
    <col min="9151" max="9151" width="7" customWidth="1"/>
    <col min="9152" max="9152" width="30.140625" customWidth="1"/>
    <col min="9153" max="9153" width="6.28515625" customWidth="1"/>
    <col min="9154" max="9154" width="31.42578125" customWidth="1"/>
    <col min="9155" max="9155" width="10.5703125" customWidth="1"/>
    <col min="9156" max="9156" width="10.42578125" customWidth="1"/>
    <col min="9157" max="9157" width="9.5703125" customWidth="1"/>
    <col min="9158" max="9158" width="8.42578125" customWidth="1"/>
    <col min="9159" max="9159" width="9" customWidth="1"/>
    <col min="9160" max="9160" width="10.42578125" customWidth="1"/>
    <col min="9163" max="9163" width="10.28515625" customWidth="1"/>
    <col min="9407" max="9407" width="7" customWidth="1"/>
    <col min="9408" max="9408" width="30.140625" customWidth="1"/>
    <col min="9409" max="9409" width="6.28515625" customWidth="1"/>
    <col min="9410" max="9410" width="31.42578125" customWidth="1"/>
    <col min="9411" max="9411" width="10.5703125" customWidth="1"/>
    <col min="9412" max="9412" width="10.42578125" customWidth="1"/>
    <col min="9413" max="9413" width="9.5703125" customWidth="1"/>
    <col min="9414" max="9414" width="8.42578125" customWidth="1"/>
    <col min="9415" max="9415" width="9" customWidth="1"/>
    <col min="9416" max="9416" width="10.42578125" customWidth="1"/>
    <col min="9419" max="9419" width="10.28515625" customWidth="1"/>
    <col min="9663" max="9663" width="7" customWidth="1"/>
    <col min="9664" max="9664" width="30.140625" customWidth="1"/>
    <col min="9665" max="9665" width="6.28515625" customWidth="1"/>
    <col min="9666" max="9666" width="31.42578125" customWidth="1"/>
    <col min="9667" max="9667" width="10.5703125" customWidth="1"/>
    <col min="9668" max="9668" width="10.42578125" customWidth="1"/>
    <col min="9669" max="9669" width="9.5703125" customWidth="1"/>
    <col min="9670" max="9670" width="8.42578125" customWidth="1"/>
    <col min="9671" max="9671" width="9" customWidth="1"/>
    <col min="9672" max="9672" width="10.42578125" customWidth="1"/>
    <col min="9675" max="9675" width="10.28515625" customWidth="1"/>
    <col min="9919" max="9919" width="7" customWidth="1"/>
    <col min="9920" max="9920" width="30.140625" customWidth="1"/>
    <col min="9921" max="9921" width="6.28515625" customWidth="1"/>
    <col min="9922" max="9922" width="31.42578125" customWidth="1"/>
    <col min="9923" max="9923" width="10.5703125" customWidth="1"/>
    <col min="9924" max="9924" width="10.42578125" customWidth="1"/>
    <col min="9925" max="9925" width="9.5703125" customWidth="1"/>
    <col min="9926" max="9926" width="8.42578125" customWidth="1"/>
    <col min="9927" max="9927" width="9" customWidth="1"/>
    <col min="9928" max="9928" width="10.42578125" customWidth="1"/>
    <col min="9931" max="9931" width="10.28515625" customWidth="1"/>
    <col min="10175" max="10175" width="7" customWidth="1"/>
    <col min="10176" max="10176" width="30.140625" customWidth="1"/>
    <col min="10177" max="10177" width="6.28515625" customWidth="1"/>
    <col min="10178" max="10178" width="31.42578125" customWidth="1"/>
    <col min="10179" max="10179" width="10.5703125" customWidth="1"/>
    <col min="10180" max="10180" width="10.42578125" customWidth="1"/>
    <col min="10181" max="10181" width="9.5703125" customWidth="1"/>
    <col min="10182" max="10182" width="8.42578125" customWidth="1"/>
    <col min="10183" max="10183" width="9" customWidth="1"/>
    <col min="10184" max="10184" width="10.42578125" customWidth="1"/>
    <col min="10187" max="10187" width="10.28515625" customWidth="1"/>
    <col min="10431" max="10431" width="7" customWidth="1"/>
    <col min="10432" max="10432" width="30.140625" customWidth="1"/>
    <col min="10433" max="10433" width="6.28515625" customWidth="1"/>
    <col min="10434" max="10434" width="31.42578125" customWidth="1"/>
    <col min="10435" max="10435" width="10.5703125" customWidth="1"/>
    <col min="10436" max="10436" width="10.42578125" customWidth="1"/>
    <col min="10437" max="10437" width="9.5703125" customWidth="1"/>
    <col min="10438" max="10438" width="8.42578125" customWidth="1"/>
    <col min="10439" max="10439" width="9" customWidth="1"/>
    <col min="10440" max="10440" width="10.42578125" customWidth="1"/>
    <col min="10443" max="10443" width="10.28515625" customWidth="1"/>
    <col min="10687" max="10687" width="7" customWidth="1"/>
    <col min="10688" max="10688" width="30.140625" customWidth="1"/>
    <col min="10689" max="10689" width="6.28515625" customWidth="1"/>
    <col min="10690" max="10690" width="31.42578125" customWidth="1"/>
    <col min="10691" max="10691" width="10.5703125" customWidth="1"/>
    <col min="10692" max="10692" width="10.42578125" customWidth="1"/>
    <col min="10693" max="10693" width="9.5703125" customWidth="1"/>
    <col min="10694" max="10694" width="8.42578125" customWidth="1"/>
    <col min="10695" max="10695" width="9" customWidth="1"/>
    <col min="10696" max="10696" width="10.42578125" customWidth="1"/>
    <col min="10699" max="10699" width="10.28515625" customWidth="1"/>
    <col min="10943" max="10943" width="7" customWidth="1"/>
    <col min="10944" max="10944" width="30.140625" customWidth="1"/>
    <col min="10945" max="10945" width="6.28515625" customWidth="1"/>
    <col min="10946" max="10946" width="31.42578125" customWidth="1"/>
    <col min="10947" max="10947" width="10.5703125" customWidth="1"/>
    <col min="10948" max="10948" width="10.42578125" customWidth="1"/>
    <col min="10949" max="10949" width="9.5703125" customWidth="1"/>
    <col min="10950" max="10950" width="8.42578125" customWidth="1"/>
    <col min="10951" max="10951" width="9" customWidth="1"/>
    <col min="10952" max="10952" width="10.42578125" customWidth="1"/>
    <col min="10955" max="10955" width="10.28515625" customWidth="1"/>
    <col min="11199" max="11199" width="7" customWidth="1"/>
    <col min="11200" max="11200" width="30.140625" customWidth="1"/>
    <col min="11201" max="11201" width="6.28515625" customWidth="1"/>
    <col min="11202" max="11202" width="31.42578125" customWidth="1"/>
    <col min="11203" max="11203" width="10.5703125" customWidth="1"/>
    <col min="11204" max="11204" width="10.42578125" customWidth="1"/>
    <col min="11205" max="11205" width="9.5703125" customWidth="1"/>
    <col min="11206" max="11206" width="8.42578125" customWidth="1"/>
    <col min="11207" max="11207" width="9" customWidth="1"/>
    <col min="11208" max="11208" width="10.42578125" customWidth="1"/>
    <col min="11211" max="11211" width="10.28515625" customWidth="1"/>
    <col min="11455" max="11455" width="7" customWidth="1"/>
    <col min="11456" max="11456" width="30.140625" customWidth="1"/>
    <col min="11457" max="11457" width="6.28515625" customWidth="1"/>
    <col min="11458" max="11458" width="31.42578125" customWidth="1"/>
    <col min="11459" max="11459" width="10.5703125" customWidth="1"/>
    <col min="11460" max="11460" width="10.42578125" customWidth="1"/>
    <col min="11461" max="11461" width="9.5703125" customWidth="1"/>
    <col min="11462" max="11462" width="8.42578125" customWidth="1"/>
    <col min="11463" max="11463" width="9" customWidth="1"/>
    <col min="11464" max="11464" width="10.42578125" customWidth="1"/>
    <col min="11467" max="11467" width="10.28515625" customWidth="1"/>
    <col min="11711" max="11711" width="7" customWidth="1"/>
    <col min="11712" max="11712" width="30.140625" customWidth="1"/>
    <col min="11713" max="11713" width="6.28515625" customWidth="1"/>
    <col min="11714" max="11714" width="31.42578125" customWidth="1"/>
    <col min="11715" max="11715" width="10.5703125" customWidth="1"/>
    <col min="11716" max="11716" width="10.42578125" customWidth="1"/>
    <col min="11717" max="11717" width="9.5703125" customWidth="1"/>
    <col min="11718" max="11718" width="8.42578125" customWidth="1"/>
    <col min="11719" max="11719" width="9" customWidth="1"/>
    <col min="11720" max="11720" width="10.42578125" customWidth="1"/>
    <col min="11723" max="11723" width="10.28515625" customWidth="1"/>
    <col min="11967" max="11967" width="7" customWidth="1"/>
    <col min="11968" max="11968" width="30.140625" customWidth="1"/>
    <col min="11969" max="11969" width="6.28515625" customWidth="1"/>
    <col min="11970" max="11970" width="31.42578125" customWidth="1"/>
    <col min="11971" max="11971" width="10.5703125" customWidth="1"/>
    <col min="11972" max="11972" width="10.42578125" customWidth="1"/>
    <col min="11973" max="11973" width="9.5703125" customWidth="1"/>
    <col min="11974" max="11974" width="8.42578125" customWidth="1"/>
    <col min="11975" max="11975" width="9" customWidth="1"/>
    <col min="11976" max="11976" width="10.42578125" customWidth="1"/>
    <col min="11979" max="11979" width="10.28515625" customWidth="1"/>
    <col min="12223" max="12223" width="7" customWidth="1"/>
    <col min="12224" max="12224" width="30.140625" customWidth="1"/>
    <col min="12225" max="12225" width="6.28515625" customWidth="1"/>
    <col min="12226" max="12226" width="31.42578125" customWidth="1"/>
    <col min="12227" max="12227" width="10.5703125" customWidth="1"/>
    <col min="12228" max="12228" width="10.42578125" customWidth="1"/>
    <col min="12229" max="12229" width="9.5703125" customWidth="1"/>
    <col min="12230" max="12230" width="8.42578125" customWidth="1"/>
    <col min="12231" max="12231" width="9" customWidth="1"/>
    <col min="12232" max="12232" width="10.42578125" customWidth="1"/>
    <col min="12235" max="12235" width="10.28515625" customWidth="1"/>
    <col min="12479" max="12479" width="7" customWidth="1"/>
    <col min="12480" max="12480" width="30.140625" customWidth="1"/>
    <col min="12481" max="12481" width="6.28515625" customWidth="1"/>
    <col min="12482" max="12482" width="31.42578125" customWidth="1"/>
    <col min="12483" max="12483" width="10.5703125" customWidth="1"/>
    <col min="12484" max="12484" width="10.42578125" customWidth="1"/>
    <col min="12485" max="12485" width="9.5703125" customWidth="1"/>
    <col min="12486" max="12486" width="8.42578125" customWidth="1"/>
    <col min="12487" max="12487" width="9" customWidth="1"/>
    <col min="12488" max="12488" width="10.42578125" customWidth="1"/>
    <col min="12491" max="12491" width="10.28515625" customWidth="1"/>
    <col min="12735" max="12735" width="7" customWidth="1"/>
    <col min="12736" max="12736" width="30.140625" customWidth="1"/>
    <col min="12737" max="12737" width="6.28515625" customWidth="1"/>
    <col min="12738" max="12738" width="31.42578125" customWidth="1"/>
    <col min="12739" max="12739" width="10.5703125" customWidth="1"/>
    <col min="12740" max="12740" width="10.42578125" customWidth="1"/>
    <col min="12741" max="12741" width="9.5703125" customWidth="1"/>
    <col min="12742" max="12742" width="8.42578125" customWidth="1"/>
    <col min="12743" max="12743" width="9" customWidth="1"/>
    <col min="12744" max="12744" width="10.42578125" customWidth="1"/>
    <col min="12747" max="12747" width="10.28515625" customWidth="1"/>
    <col min="12991" max="12991" width="7" customWidth="1"/>
    <col min="12992" max="12992" width="30.140625" customWidth="1"/>
    <col min="12993" max="12993" width="6.28515625" customWidth="1"/>
    <col min="12994" max="12994" width="31.42578125" customWidth="1"/>
    <col min="12995" max="12995" width="10.5703125" customWidth="1"/>
    <col min="12996" max="12996" width="10.42578125" customWidth="1"/>
    <col min="12997" max="12997" width="9.5703125" customWidth="1"/>
    <col min="12998" max="12998" width="8.42578125" customWidth="1"/>
    <col min="12999" max="12999" width="9" customWidth="1"/>
    <col min="13000" max="13000" width="10.42578125" customWidth="1"/>
    <col min="13003" max="13003" width="10.28515625" customWidth="1"/>
    <col min="13247" max="13247" width="7" customWidth="1"/>
    <col min="13248" max="13248" width="30.140625" customWidth="1"/>
    <col min="13249" max="13249" width="6.28515625" customWidth="1"/>
    <col min="13250" max="13250" width="31.42578125" customWidth="1"/>
    <col min="13251" max="13251" width="10.5703125" customWidth="1"/>
    <col min="13252" max="13252" width="10.42578125" customWidth="1"/>
    <col min="13253" max="13253" width="9.5703125" customWidth="1"/>
    <col min="13254" max="13254" width="8.42578125" customWidth="1"/>
    <col min="13255" max="13255" width="9" customWidth="1"/>
    <col min="13256" max="13256" width="10.42578125" customWidth="1"/>
    <col min="13259" max="13259" width="10.28515625" customWidth="1"/>
    <col min="13503" max="13503" width="7" customWidth="1"/>
    <col min="13504" max="13504" width="30.140625" customWidth="1"/>
    <col min="13505" max="13505" width="6.28515625" customWidth="1"/>
    <col min="13506" max="13506" width="31.42578125" customWidth="1"/>
    <col min="13507" max="13507" width="10.5703125" customWidth="1"/>
    <col min="13508" max="13508" width="10.42578125" customWidth="1"/>
    <col min="13509" max="13509" width="9.5703125" customWidth="1"/>
    <col min="13510" max="13510" width="8.42578125" customWidth="1"/>
    <col min="13511" max="13511" width="9" customWidth="1"/>
    <col min="13512" max="13512" width="10.42578125" customWidth="1"/>
    <col min="13515" max="13515" width="10.28515625" customWidth="1"/>
    <col min="13759" max="13759" width="7" customWidth="1"/>
    <col min="13760" max="13760" width="30.140625" customWidth="1"/>
    <col min="13761" max="13761" width="6.28515625" customWidth="1"/>
    <col min="13762" max="13762" width="31.42578125" customWidth="1"/>
    <col min="13763" max="13763" width="10.5703125" customWidth="1"/>
    <col min="13764" max="13764" width="10.42578125" customWidth="1"/>
    <col min="13765" max="13765" width="9.5703125" customWidth="1"/>
    <col min="13766" max="13766" width="8.42578125" customWidth="1"/>
    <col min="13767" max="13767" width="9" customWidth="1"/>
    <col min="13768" max="13768" width="10.42578125" customWidth="1"/>
    <col min="13771" max="13771" width="10.28515625" customWidth="1"/>
    <col min="14015" max="14015" width="7" customWidth="1"/>
    <col min="14016" max="14016" width="30.140625" customWidth="1"/>
    <col min="14017" max="14017" width="6.28515625" customWidth="1"/>
    <col min="14018" max="14018" width="31.42578125" customWidth="1"/>
    <col min="14019" max="14019" width="10.5703125" customWidth="1"/>
    <col min="14020" max="14020" width="10.42578125" customWidth="1"/>
    <col min="14021" max="14021" width="9.5703125" customWidth="1"/>
    <col min="14022" max="14022" width="8.42578125" customWidth="1"/>
    <col min="14023" max="14023" width="9" customWidth="1"/>
    <col min="14024" max="14024" width="10.42578125" customWidth="1"/>
    <col min="14027" max="14027" width="10.28515625" customWidth="1"/>
    <col min="14271" max="14271" width="7" customWidth="1"/>
    <col min="14272" max="14272" width="30.140625" customWidth="1"/>
    <col min="14273" max="14273" width="6.28515625" customWidth="1"/>
    <col min="14274" max="14274" width="31.42578125" customWidth="1"/>
    <col min="14275" max="14275" width="10.5703125" customWidth="1"/>
    <col min="14276" max="14276" width="10.42578125" customWidth="1"/>
    <col min="14277" max="14277" width="9.5703125" customWidth="1"/>
    <col min="14278" max="14278" width="8.42578125" customWidth="1"/>
    <col min="14279" max="14279" width="9" customWidth="1"/>
    <col min="14280" max="14280" width="10.42578125" customWidth="1"/>
    <col min="14283" max="14283" width="10.28515625" customWidth="1"/>
    <col min="14527" max="14527" width="7" customWidth="1"/>
    <col min="14528" max="14528" width="30.140625" customWidth="1"/>
    <col min="14529" max="14529" width="6.28515625" customWidth="1"/>
    <col min="14530" max="14530" width="31.42578125" customWidth="1"/>
    <col min="14531" max="14531" width="10.5703125" customWidth="1"/>
    <col min="14532" max="14532" width="10.42578125" customWidth="1"/>
    <col min="14533" max="14533" width="9.5703125" customWidth="1"/>
    <col min="14534" max="14534" width="8.42578125" customWidth="1"/>
    <col min="14535" max="14535" width="9" customWidth="1"/>
    <col min="14536" max="14536" width="10.42578125" customWidth="1"/>
    <col min="14539" max="14539" width="10.28515625" customWidth="1"/>
    <col min="14783" max="14783" width="7" customWidth="1"/>
    <col min="14784" max="14784" width="30.140625" customWidth="1"/>
    <col min="14785" max="14785" width="6.28515625" customWidth="1"/>
    <col min="14786" max="14786" width="31.42578125" customWidth="1"/>
    <col min="14787" max="14787" width="10.5703125" customWidth="1"/>
    <col min="14788" max="14788" width="10.42578125" customWidth="1"/>
    <col min="14789" max="14789" width="9.5703125" customWidth="1"/>
    <col min="14790" max="14790" width="8.42578125" customWidth="1"/>
    <col min="14791" max="14791" width="9" customWidth="1"/>
    <col min="14792" max="14792" width="10.42578125" customWidth="1"/>
    <col min="14795" max="14795" width="10.28515625" customWidth="1"/>
    <col min="15039" max="15039" width="7" customWidth="1"/>
    <col min="15040" max="15040" width="30.140625" customWidth="1"/>
    <col min="15041" max="15041" width="6.28515625" customWidth="1"/>
    <col min="15042" max="15042" width="31.42578125" customWidth="1"/>
    <col min="15043" max="15043" width="10.5703125" customWidth="1"/>
    <col min="15044" max="15044" width="10.42578125" customWidth="1"/>
    <col min="15045" max="15045" width="9.5703125" customWidth="1"/>
    <col min="15046" max="15046" width="8.42578125" customWidth="1"/>
    <col min="15047" max="15047" width="9" customWidth="1"/>
    <col min="15048" max="15048" width="10.42578125" customWidth="1"/>
    <col min="15051" max="15051" width="10.28515625" customWidth="1"/>
    <col min="15295" max="15295" width="7" customWidth="1"/>
    <col min="15296" max="15296" width="30.140625" customWidth="1"/>
    <col min="15297" max="15297" width="6.28515625" customWidth="1"/>
    <col min="15298" max="15298" width="31.42578125" customWidth="1"/>
    <col min="15299" max="15299" width="10.5703125" customWidth="1"/>
    <col min="15300" max="15300" width="10.42578125" customWidth="1"/>
    <col min="15301" max="15301" width="9.5703125" customWidth="1"/>
    <col min="15302" max="15302" width="8.42578125" customWidth="1"/>
    <col min="15303" max="15303" width="9" customWidth="1"/>
    <col min="15304" max="15304" width="10.42578125" customWidth="1"/>
    <col min="15307" max="15307" width="10.28515625" customWidth="1"/>
    <col min="15551" max="15551" width="7" customWidth="1"/>
    <col min="15552" max="15552" width="30.140625" customWidth="1"/>
    <col min="15553" max="15553" width="6.28515625" customWidth="1"/>
    <col min="15554" max="15554" width="31.42578125" customWidth="1"/>
    <col min="15555" max="15555" width="10.5703125" customWidth="1"/>
    <col min="15556" max="15556" width="10.42578125" customWidth="1"/>
    <col min="15557" max="15557" width="9.5703125" customWidth="1"/>
    <col min="15558" max="15558" width="8.42578125" customWidth="1"/>
    <col min="15559" max="15559" width="9" customWidth="1"/>
    <col min="15560" max="15560" width="10.42578125" customWidth="1"/>
    <col min="15563" max="15563" width="10.28515625" customWidth="1"/>
    <col min="15807" max="15807" width="7" customWidth="1"/>
    <col min="15808" max="15808" width="30.140625" customWidth="1"/>
    <col min="15809" max="15809" width="6.28515625" customWidth="1"/>
    <col min="15810" max="15810" width="31.42578125" customWidth="1"/>
    <col min="15811" max="15811" width="10.5703125" customWidth="1"/>
    <col min="15812" max="15812" width="10.42578125" customWidth="1"/>
    <col min="15813" max="15813" width="9.5703125" customWidth="1"/>
    <col min="15814" max="15814" width="8.42578125" customWidth="1"/>
    <col min="15815" max="15815" width="9" customWidth="1"/>
    <col min="15816" max="15816" width="10.42578125" customWidth="1"/>
    <col min="15819" max="15819" width="10.28515625" customWidth="1"/>
    <col min="16063" max="16063" width="7" customWidth="1"/>
    <col min="16064" max="16064" width="30.140625" customWidth="1"/>
    <col min="16065" max="16065" width="6.28515625" customWidth="1"/>
    <col min="16066" max="16066" width="31.42578125" customWidth="1"/>
    <col min="16067" max="16067" width="10.5703125" customWidth="1"/>
    <col min="16068" max="16068" width="10.42578125" customWidth="1"/>
    <col min="16069" max="16069" width="9.5703125" customWidth="1"/>
    <col min="16070" max="16070" width="8.42578125" customWidth="1"/>
    <col min="16071" max="16071" width="9" customWidth="1"/>
    <col min="16072" max="16072" width="10.42578125" customWidth="1"/>
    <col min="16075" max="16075" width="10.28515625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1041" t="s">
        <v>791</v>
      </c>
      <c r="H1" s="90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5">
      <c r="A2" s="50" t="s">
        <v>3</v>
      </c>
      <c r="B2" s="50"/>
      <c r="C2" s="42"/>
      <c r="D2" s="50"/>
      <c r="E2" s="50"/>
      <c r="F2" s="90"/>
      <c r="G2" s="90"/>
      <c r="H2" s="90"/>
    </row>
    <row r="3" spans="1:88" ht="12.75" customHeight="1">
      <c r="A3" s="1215" t="s">
        <v>4</v>
      </c>
      <c r="B3" s="1215"/>
      <c r="C3" s="1215"/>
      <c r="D3" s="1215"/>
      <c r="E3" s="1215"/>
      <c r="F3" s="90"/>
      <c r="G3" s="90"/>
      <c r="H3" s="90"/>
      <c r="AW3" s="506"/>
      <c r="AX3" s="506"/>
    </row>
    <row r="4" spans="1:88" ht="15">
      <c r="A4" s="89"/>
      <c r="B4" s="50"/>
      <c r="C4" s="50"/>
      <c r="D4" s="50"/>
      <c r="E4" s="50"/>
      <c r="F4" s="90"/>
      <c r="G4" s="90"/>
      <c r="H4" s="90"/>
      <c r="AW4" s="505"/>
      <c r="AX4" s="505"/>
    </row>
    <row r="5" spans="1:88" ht="16.5" thickBot="1">
      <c r="A5" s="181" t="s">
        <v>890</v>
      </c>
      <c r="B5" s="51"/>
      <c r="C5" s="51"/>
      <c r="D5" s="51"/>
      <c r="E5" s="52"/>
      <c r="F5" s="252"/>
      <c r="G5" s="252"/>
      <c r="H5" s="52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116" t="s">
        <v>877</v>
      </c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8"/>
      <c r="V6" s="1122" t="s">
        <v>888</v>
      </c>
      <c r="W6" s="1122"/>
      <c r="X6" s="1122"/>
      <c r="Y6" s="1122"/>
      <c r="Z6" s="1122"/>
      <c r="AA6" s="1122"/>
      <c r="AB6" s="1122"/>
      <c r="AC6" s="1122"/>
      <c r="AD6" s="1122"/>
      <c r="AE6" s="1122"/>
      <c r="AF6" s="1122"/>
      <c r="AG6" s="1122"/>
      <c r="AH6" s="1122"/>
      <c r="AI6" s="1122"/>
      <c r="AJ6" s="1122"/>
      <c r="AK6" s="1122"/>
      <c r="AL6" s="1122"/>
      <c r="AM6" s="1122"/>
      <c r="AN6" s="1122"/>
      <c r="AO6" s="1122"/>
      <c r="AP6" s="1122"/>
      <c r="AQ6" s="1122"/>
      <c r="AR6" s="1122"/>
      <c r="AS6" s="1122"/>
      <c r="AT6" s="1122"/>
      <c r="AU6" s="1122"/>
      <c r="AV6" s="1122"/>
      <c r="AW6" s="1122"/>
      <c r="AX6" s="1122"/>
      <c r="AY6" s="1122"/>
      <c r="AZ6" s="1122"/>
      <c r="BA6" s="1122"/>
      <c r="BB6" s="1122"/>
      <c r="BC6" s="1122"/>
      <c r="BD6" s="1122"/>
      <c r="BE6" s="1122"/>
      <c r="BF6" s="1122"/>
      <c r="BG6" s="1122"/>
      <c r="BH6" s="1122"/>
      <c r="BI6" s="1122"/>
      <c r="BJ6" s="1122"/>
      <c r="BK6" s="1123"/>
      <c r="BL6" s="1116" t="s">
        <v>889</v>
      </c>
      <c r="BM6" s="1117"/>
      <c r="BN6" s="1117"/>
      <c r="BO6" s="1117"/>
      <c r="BP6" s="1117"/>
      <c r="BQ6" s="1117"/>
      <c r="BR6" s="1117"/>
      <c r="BS6" s="1117"/>
      <c r="BT6" s="1117"/>
      <c r="BU6" s="1117"/>
      <c r="BV6" s="1117"/>
      <c r="BW6" s="1117"/>
      <c r="BX6" s="1118"/>
      <c r="BY6" s="1209" t="s">
        <v>847</v>
      </c>
      <c r="BZ6" s="1210"/>
      <c r="CA6" s="1210"/>
      <c r="CB6" s="1210"/>
      <c r="CC6" s="1210"/>
      <c r="CD6" s="1211"/>
      <c r="CE6" s="1168" t="s">
        <v>847</v>
      </c>
      <c r="CF6" s="1169"/>
      <c r="CG6" s="1169"/>
      <c r="CH6" s="1169"/>
      <c r="CI6" s="1170"/>
      <c r="CJ6" s="1171"/>
    </row>
    <row r="7" spans="1:88" ht="19.5" customHeight="1" thickBot="1">
      <c r="A7" s="89"/>
      <c r="B7" s="6"/>
      <c r="D7" s="10"/>
      <c r="E7" s="6"/>
      <c r="F7" s="90"/>
      <c r="G7" s="90"/>
      <c r="H7" s="90"/>
      <c r="I7" s="1119"/>
      <c r="J7" s="1120"/>
      <c r="K7" s="1120"/>
      <c r="L7" s="1120"/>
      <c r="M7" s="1120"/>
      <c r="N7" s="1120"/>
      <c r="O7" s="1120"/>
      <c r="P7" s="1120"/>
      <c r="Q7" s="1120"/>
      <c r="R7" s="1120"/>
      <c r="S7" s="1120"/>
      <c r="T7" s="1120"/>
      <c r="U7" s="1121"/>
      <c r="V7" s="1140" t="s">
        <v>807</v>
      </c>
      <c r="W7" s="1140"/>
      <c r="X7" s="1140"/>
      <c r="Y7" s="1140"/>
      <c r="Z7" s="1140"/>
      <c r="AA7" s="1140"/>
      <c r="AB7" s="1140"/>
      <c r="AC7" s="1140"/>
      <c r="AD7" s="1140"/>
      <c r="AE7" s="1140"/>
      <c r="AF7" s="1140"/>
      <c r="AG7" s="1141"/>
      <c r="AH7" s="1139" t="s">
        <v>808</v>
      </c>
      <c r="AI7" s="1140"/>
      <c r="AJ7" s="1140"/>
      <c r="AK7" s="1140"/>
      <c r="AL7" s="1140"/>
      <c r="AM7" s="1140"/>
      <c r="AN7" s="1140"/>
      <c r="AO7" s="1141"/>
      <c r="AP7" s="1190" t="s">
        <v>822</v>
      </c>
      <c r="AQ7" s="1190"/>
      <c r="AR7" s="1190"/>
      <c r="AS7" s="1113" t="s">
        <v>5</v>
      </c>
      <c r="AT7" s="1113" t="s">
        <v>275</v>
      </c>
      <c r="AU7" s="1197" t="s">
        <v>796</v>
      </c>
      <c r="AV7" s="1197"/>
      <c r="AW7" s="1197"/>
      <c r="AX7" s="1198"/>
      <c r="AY7" s="1203" t="s">
        <v>288</v>
      </c>
      <c r="AZ7" s="1206" t="s">
        <v>809</v>
      </c>
      <c r="BA7" s="1207"/>
      <c r="BB7" s="1207"/>
      <c r="BC7" s="1207"/>
      <c r="BD7" s="1207"/>
      <c r="BE7" s="1207"/>
      <c r="BF7" s="1207"/>
      <c r="BG7" s="1207"/>
      <c r="BH7" s="1207"/>
      <c r="BI7" s="1207"/>
      <c r="BJ7" s="1207"/>
      <c r="BK7" s="1208"/>
      <c r="BL7" s="1119"/>
      <c r="BM7" s="1120"/>
      <c r="BN7" s="1120"/>
      <c r="BO7" s="1120"/>
      <c r="BP7" s="1120"/>
      <c r="BQ7" s="1120"/>
      <c r="BR7" s="1120"/>
      <c r="BS7" s="1120"/>
      <c r="BT7" s="1120"/>
      <c r="BU7" s="1120"/>
      <c r="BV7" s="1120"/>
      <c r="BW7" s="1120"/>
      <c r="BX7" s="1121"/>
      <c r="BY7" s="1212"/>
      <c r="BZ7" s="1213"/>
      <c r="CA7" s="1213"/>
      <c r="CB7" s="1213"/>
      <c r="CC7" s="1213"/>
      <c r="CD7" s="1214"/>
      <c r="CE7" s="1172"/>
      <c r="CF7" s="1173"/>
      <c r="CG7" s="1173"/>
      <c r="CH7" s="1173"/>
      <c r="CI7" s="1174"/>
      <c r="CJ7" s="1175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127" t="s">
        <v>6</v>
      </c>
      <c r="J8" s="1124" t="s">
        <v>777</v>
      </c>
      <c r="K8" s="1125"/>
      <c r="L8" s="1125"/>
      <c r="M8" s="1125"/>
      <c r="N8" s="1125"/>
      <c r="O8" s="1125"/>
      <c r="P8" s="1125"/>
      <c r="Q8" s="1125"/>
      <c r="R8" s="1126"/>
      <c r="S8" s="1130" t="s">
        <v>813</v>
      </c>
      <c r="T8" s="1133" t="s">
        <v>814</v>
      </c>
      <c r="U8" s="1134"/>
      <c r="V8" s="1143"/>
      <c r="W8" s="1143"/>
      <c r="X8" s="1143"/>
      <c r="Y8" s="1143"/>
      <c r="Z8" s="1143"/>
      <c r="AA8" s="1143"/>
      <c r="AB8" s="1143"/>
      <c r="AC8" s="1143"/>
      <c r="AD8" s="1143"/>
      <c r="AE8" s="1143"/>
      <c r="AF8" s="1143"/>
      <c r="AG8" s="1144"/>
      <c r="AH8" s="1142"/>
      <c r="AI8" s="1143"/>
      <c r="AJ8" s="1143"/>
      <c r="AK8" s="1143"/>
      <c r="AL8" s="1143"/>
      <c r="AM8" s="1143"/>
      <c r="AN8" s="1143"/>
      <c r="AO8" s="1144"/>
      <c r="AP8" s="1190"/>
      <c r="AQ8" s="1190"/>
      <c r="AR8" s="1190"/>
      <c r="AS8" s="1114"/>
      <c r="AT8" s="1114"/>
      <c r="AU8" s="1199"/>
      <c r="AV8" s="1199"/>
      <c r="AW8" s="1199"/>
      <c r="AX8" s="1200"/>
      <c r="AY8" s="1204"/>
      <c r="AZ8" s="1145" t="s">
        <v>276</v>
      </c>
      <c r="BA8" s="1195"/>
      <c r="BB8" s="1184" t="s">
        <v>277</v>
      </c>
      <c r="BC8" s="1186" t="s">
        <v>860</v>
      </c>
      <c r="BD8" s="1187"/>
      <c r="BE8" s="1184" t="s">
        <v>787</v>
      </c>
      <c r="BF8" s="1184"/>
      <c r="BG8" s="1145" t="s">
        <v>278</v>
      </c>
      <c r="BH8" s="1195"/>
      <c r="BI8" s="1145" t="s">
        <v>823</v>
      </c>
      <c r="BJ8" s="1146"/>
      <c r="BK8" s="1147"/>
      <c r="BL8" s="1165" t="s">
        <v>6</v>
      </c>
      <c r="BM8" s="1161" t="s">
        <v>777</v>
      </c>
      <c r="BN8" s="1161"/>
      <c r="BO8" s="1161"/>
      <c r="BP8" s="1161"/>
      <c r="BQ8" s="1161"/>
      <c r="BR8" s="1161"/>
      <c r="BS8" s="1161"/>
      <c r="BT8" s="1161"/>
      <c r="BU8" s="1161"/>
      <c r="BV8" s="1130" t="s">
        <v>813</v>
      </c>
      <c r="BW8" s="1191" t="s">
        <v>778</v>
      </c>
      <c r="BX8" s="1192"/>
      <c r="BY8" s="1151" t="s">
        <v>846</v>
      </c>
      <c r="BZ8" s="1152"/>
      <c r="CA8" s="1152"/>
      <c r="CB8" s="1152"/>
      <c r="CC8" s="1152"/>
      <c r="CD8" s="1153"/>
      <c r="CE8" s="1176" t="s">
        <v>861</v>
      </c>
      <c r="CF8" s="1177"/>
      <c r="CG8" s="1177"/>
      <c r="CH8" s="1177"/>
      <c r="CI8" s="1177"/>
      <c r="CJ8" s="1178"/>
    </row>
    <row r="9" spans="1:88" ht="19.5" customHeight="1" thickBot="1">
      <c r="A9" s="12" t="s">
        <v>770</v>
      </c>
      <c r="D9" s="12"/>
      <c r="F9" s="59"/>
      <c r="G9" s="60"/>
      <c r="H9" s="60"/>
      <c r="I9" s="1128"/>
      <c r="J9" s="1137" t="s">
        <v>268</v>
      </c>
      <c r="K9" s="1108" t="s">
        <v>827</v>
      </c>
      <c r="L9" s="1109"/>
      <c r="M9" s="1111" t="s">
        <v>274</v>
      </c>
      <c r="N9" s="1108" t="s">
        <v>834</v>
      </c>
      <c r="O9" s="1109"/>
      <c r="P9" s="1111" t="s">
        <v>5</v>
      </c>
      <c r="Q9" s="1111" t="s">
        <v>1</v>
      </c>
      <c r="R9" s="1111" t="s">
        <v>7</v>
      </c>
      <c r="S9" s="1131"/>
      <c r="T9" s="1135"/>
      <c r="U9" s="1136"/>
      <c r="V9" s="1110" t="s">
        <v>279</v>
      </c>
      <c r="W9" s="1104"/>
      <c r="X9" s="1100" t="s">
        <v>812</v>
      </c>
      <c r="Y9" s="1100" t="s">
        <v>811</v>
      </c>
      <c r="Z9" s="1105" t="s">
        <v>860</v>
      </c>
      <c r="AA9" s="1105"/>
      <c r="AB9" s="1182"/>
      <c r="AC9" s="1105" t="s">
        <v>278</v>
      </c>
      <c r="AD9" s="1105"/>
      <c r="AE9" s="1103" t="s">
        <v>788</v>
      </c>
      <c r="AF9" s="1104"/>
      <c r="AG9" s="1106" t="s">
        <v>788</v>
      </c>
      <c r="AH9" s="1103" t="s">
        <v>280</v>
      </c>
      <c r="AI9" s="1104"/>
      <c r="AJ9" s="1101" t="s">
        <v>810</v>
      </c>
      <c r="AK9" s="1103" t="s">
        <v>281</v>
      </c>
      <c r="AL9" s="1104"/>
      <c r="AM9" s="1103" t="s">
        <v>745</v>
      </c>
      <c r="AN9" s="1104"/>
      <c r="AO9" s="1106" t="s">
        <v>745</v>
      </c>
      <c r="AP9" s="1190"/>
      <c r="AQ9" s="1190"/>
      <c r="AR9" s="1190"/>
      <c r="AS9" s="1114"/>
      <c r="AT9" s="1114"/>
      <c r="AU9" s="1201"/>
      <c r="AV9" s="1201"/>
      <c r="AW9" s="1201"/>
      <c r="AX9" s="1202"/>
      <c r="AY9" s="1204"/>
      <c r="AZ9" s="1148"/>
      <c r="BA9" s="1196"/>
      <c r="BB9" s="1185"/>
      <c r="BC9" s="1188"/>
      <c r="BD9" s="1189"/>
      <c r="BE9" s="1185"/>
      <c r="BF9" s="1185"/>
      <c r="BG9" s="1148"/>
      <c r="BH9" s="1196"/>
      <c r="BI9" s="1148"/>
      <c r="BJ9" s="1149"/>
      <c r="BK9" s="1150"/>
      <c r="BL9" s="1166"/>
      <c r="BM9" s="1157" t="s">
        <v>268</v>
      </c>
      <c r="BN9" s="1108" t="s">
        <v>827</v>
      </c>
      <c r="BO9" s="1109"/>
      <c r="BP9" s="1159" t="s">
        <v>274</v>
      </c>
      <c r="BQ9" s="1162" t="s">
        <v>834</v>
      </c>
      <c r="BR9" s="1162"/>
      <c r="BS9" s="1163" t="s">
        <v>5</v>
      </c>
      <c r="BT9" s="1163" t="s">
        <v>1</v>
      </c>
      <c r="BU9" s="1163" t="s">
        <v>7</v>
      </c>
      <c r="BV9" s="1131"/>
      <c r="BW9" s="1193"/>
      <c r="BX9" s="1194"/>
      <c r="BY9" s="1154"/>
      <c r="BZ9" s="1155"/>
      <c r="CA9" s="1155"/>
      <c r="CB9" s="1155"/>
      <c r="CC9" s="1155"/>
      <c r="CD9" s="1156"/>
      <c r="CE9" s="1179"/>
      <c r="CF9" s="1180"/>
      <c r="CG9" s="1180"/>
      <c r="CH9" s="1180"/>
      <c r="CI9" s="1180"/>
      <c r="CJ9" s="1181"/>
    </row>
    <row r="10" spans="1:88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129"/>
      <c r="J10" s="1138"/>
      <c r="K10" s="587" t="s">
        <v>805</v>
      </c>
      <c r="L10" s="587" t="s">
        <v>806</v>
      </c>
      <c r="M10" s="1112"/>
      <c r="N10" s="587" t="s">
        <v>805</v>
      </c>
      <c r="O10" s="587" t="s">
        <v>806</v>
      </c>
      <c r="P10" s="1112"/>
      <c r="Q10" s="1112"/>
      <c r="R10" s="1112"/>
      <c r="S10" s="1132"/>
      <c r="T10" s="588" t="s">
        <v>805</v>
      </c>
      <c r="U10" s="604" t="s">
        <v>806</v>
      </c>
      <c r="V10" s="562" t="s">
        <v>805</v>
      </c>
      <c r="W10" s="556" t="s">
        <v>806</v>
      </c>
      <c r="X10" s="1100"/>
      <c r="Y10" s="1100"/>
      <c r="Z10" s="556" t="s">
        <v>805</v>
      </c>
      <c r="AA10" s="561" t="s">
        <v>806</v>
      </c>
      <c r="AB10" s="1183"/>
      <c r="AC10" s="556" t="s">
        <v>805</v>
      </c>
      <c r="AD10" s="561" t="s">
        <v>806</v>
      </c>
      <c r="AE10" s="556" t="s">
        <v>805</v>
      </c>
      <c r="AF10" s="561" t="s">
        <v>806</v>
      </c>
      <c r="AG10" s="1107"/>
      <c r="AH10" s="557" t="s">
        <v>805</v>
      </c>
      <c r="AI10" s="557" t="s">
        <v>806</v>
      </c>
      <c r="AJ10" s="1102"/>
      <c r="AK10" s="556" t="s">
        <v>805</v>
      </c>
      <c r="AL10" s="556" t="s">
        <v>806</v>
      </c>
      <c r="AM10" s="556" t="s">
        <v>805</v>
      </c>
      <c r="AN10" s="556" t="s">
        <v>806</v>
      </c>
      <c r="AO10" s="1107"/>
      <c r="AP10" s="556" t="s">
        <v>805</v>
      </c>
      <c r="AQ10" s="556" t="s">
        <v>806</v>
      </c>
      <c r="AR10" s="556" t="s">
        <v>256</v>
      </c>
      <c r="AS10" s="1115"/>
      <c r="AT10" s="1115"/>
      <c r="AU10" s="403" t="s">
        <v>277</v>
      </c>
      <c r="AV10" s="403" t="s">
        <v>278</v>
      </c>
      <c r="AW10" s="403"/>
      <c r="AX10" s="403" t="s">
        <v>746</v>
      </c>
      <c r="AY10" s="1205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67"/>
      <c r="BM10" s="1158"/>
      <c r="BN10" s="557" t="s">
        <v>805</v>
      </c>
      <c r="BO10" s="557" t="s">
        <v>806</v>
      </c>
      <c r="BP10" s="1160"/>
      <c r="BQ10" s="557" t="s">
        <v>805</v>
      </c>
      <c r="BR10" s="557" t="s">
        <v>806</v>
      </c>
      <c r="BS10" s="1164"/>
      <c r="BT10" s="1164"/>
      <c r="BU10" s="1164"/>
      <c r="BV10" s="1132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0" t="s">
        <v>841</v>
      </c>
      <c r="CF10" s="871" t="s">
        <v>268</v>
      </c>
      <c r="CG10" s="871" t="s">
        <v>840</v>
      </c>
      <c r="CH10" s="871" t="s">
        <v>1</v>
      </c>
      <c r="CI10" s="876" t="s">
        <v>796</v>
      </c>
      <c r="CJ10" s="872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247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81" t="s">
        <v>857</v>
      </c>
      <c r="CF11" s="882" t="s">
        <v>802</v>
      </c>
      <c r="CG11" s="882" t="s">
        <v>858</v>
      </c>
      <c r="CH11" s="882" t="s">
        <v>859</v>
      </c>
      <c r="CI11" s="882" t="s">
        <v>796</v>
      </c>
      <c r="CJ11" s="883" t="s">
        <v>533</v>
      </c>
    </row>
    <row r="12" spans="1:88" ht="14.1" customHeight="1">
      <c r="A12" s="230">
        <v>1</v>
      </c>
      <c r="B12" s="231">
        <v>3440</v>
      </c>
      <c r="C12" s="231">
        <v>600078078</v>
      </c>
      <c r="D12" s="231">
        <v>72743441</v>
      </c>
      <c r="E12" s="232" t="s">
        <v>86</v>
      </c>
      <c r="F12" s="231">
        <v>3111</v>
      </c>
      <c r="G12" s="233" t="s">
        <v>290</v>
      </c>
      <c r="H12" s="606" t="s">
        <v>271</v>
      </c>
      <c r="I12" s="848">
        <v>11659876</v>
      </c>
      <c r="J12" s="564">
        <v>8429181</v>
      </c>
      <c r="K12" s="564">
        <v>7228587</v>
      </c>
      <c r="L12" s="564">
        <v>1200594</v>
      </c>
      <c r="M12" s="564">
        <v>180000</v>
      </c>
      <c r="N12" s="564">
        <v>150000</v>
      </c>
      <c r="O12" s="564">
        <v>30000</v>
      </c>
      <c r="P12" s="622">
        <v>2909903</v>
      </c>
      <c r="Q12" s="622">
        <v>84292</v>
      </c>
      <c r="R12" s="564">
        <v>56500</v>
      </c>
      <c r="S12" s="541">
        <v>16.590900000000001</v>
      </c>
      <c r="T12" s="544">
        <v>12.4</v>
      </c>
      <c r="U12" s="757">
        <v>4.1908999999999992</v>
      </c>
      <c r="V12" s="411">
        <f>AH12*-1</f>
        <v>-26000</v>
      </c>
      <c r="W12" s="409">
        <f>AI12*-1</f>
        <v>-36000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-26000</v>
      </c>
      <c r="AF12" s="409">
        <f>W12+AA12+AD12+AB12</f>
        <v>-36000</v>
      </c>
      <c r="AG12" s="409">
        <f>SUM(AE12:AF12)</f>
        <v>-62000</v>
      </c>
      <c r="AH12" s="409">
        <v>26000</v>
      </c>
      <c r="AI12" s="409">
        <v>36000</v>
      </c>
      <c r="AJ12" s="409">
        <v>0</v>
      </c>
      <c r="AK12" s="409">
        <v>0</v>
      </c>
      <c r="AL12" s="409">
        <v>0</v>
      </c>
      <c r="AM12" s="409">
        <f>AH12+AJ12+AK12</f>
        <v>26000</v>
      </c>
      <c r="AN12" s="409">
        <f>AI12+AL12</f>
        <v>36000</v>
      </c>
      <c r="AO12" s="409">
        <f>SUM(AM12:AN12)</f>
        <v>62000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-620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-620</v>
      </c>
      <c r="AZ12" s="410">
        <v>0</v>
      </c>
      <c r="BA12" s="410">
        <v>-0.18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-0.18</v>
      </c>
      <c r="BK12" s="412">
        <f>SUM(BI12:BJ12)</f>
        <v>-0.18</v>
      </c>
      <c r="BL12" s="836">
        <f>I12+AY12</f>
        <v>11659256</v>
      </c>
      <c r="BM12" s="835">
        <f>J12+AG12</f>
        <v>8367181</v>
      </c>
      <c r="BN12" s="835">
        <f t="shared" ref="BN12:BO14" si="0">K12+AE12</f>
        <v>7202587</v>
      </c>
      <c r="BO12" s="835">
        <f t="shared" si="0"/>
        <v>1164594</v>
      </c>
      <c r="BP12" s="835">
        <f>M12+AO12</f>
        <v>242000</v>
      </c>
      <c r="BQ12" s="835">
        <f t="shared" ref="BQ12:BR14" si="1">N12+AM12</f>
        <v>176000</v>
      </c>
      <c r="BR12" s="835">
        <f t="shared" si="1"/>
        <v>66000</v>
      </c>
      <c r="BS12" s="835">
        <f t="shared" ref="BS12:BT14" si="2">P12+AS12</f>
        <v>2909903</v>
      </c>
      <c r="BT12" s="835">
        <f t="shared" si="2"/>
        <v>83672</v>
      </c>
      <c r="BU12" s="835">
        <f>R12+AX12</f>
        <v>56500</v>
      </c>
      <c r="BV12" s="837">
        <f>S12+BK12</f>
        <v>16.410900000000002</v>
      </c>
      <c r="BW12" s="837">
        <f t="shared" ref="BW12:BX14" si="3">T12+BI12</f>
        <v>12.4</v>
      </c>
      <c r="BX12" s="846">
        <f t="shared" si="3"/>
        <v>4.0108999999999995</v>
      </c>
      <c r="BY12" s="405"/>
      <c r="BZ12" s="406"/>
      <c r="CA12" s="406"/>
      <c r="CB12" s="406"/>
      <c r="CC12" s="406"/>
      <c r="CD12" s="494"/>
      <c r="CE12" s="405">
        <v>551080</v>
      </c>
      <c r="CF12" s="406">
        <v>394874</v>
      </c>
      <c r="CG12" s="406">
        <v>133467</v>
      </c>
      <c r="CH12" s="406">
        <v>3949</v>
      </c>
      <c r="CI12" s="406">
        <v>18790</v>
      </c>
      <c r="CJ12" s="494">
        <v>1.3639999999999999</v>
      </c>
    </row>
    <row r="13" spans="1:88">
      <c r="A13" s="205">
        <v>1</v>
      </c>
      <c r="B13" s="206">
        <v>3440</v>
      </c>
      <c r="C13" s="206">
        <v>600078078</v>
      </c>
      <c r="D13" s="206">
        <v>72743441</v>
      </c>
      <c r="E13" s="204" t="s">
        <v>86</v>
      </c>
      <c r="F13" s="206">
        <v>3111</v>
      </c>
      <c r="G13" s="207" t="s">
        <v>291</v>
      </c>
      <c r="H13" s="607" t="s">
        <v>272</v>
      </c>
      <c r="I13" s="419">
        <v>1188282</v>
      </c>
      <c r="J13" s="564">
        <v>881515</v>
      </c>
      <c r="K13" s="564">
        <v>881515</v>
      </c>
      <c r="L13" s="564">
        <v>0</v>
      </c>
      <c r="M13" s="564">
        <v>0</v>
      </c>
      <c r="N13" s="564">
        <v>0</v>
      </c>
      <c r="O13" s="564">
        <v>0</v>
      </c>
      <c r="P13" s="68">
        <v>297952</v>
      </c>
      <c r="Q13" s="68">
        <v>8815</v>
      </c>
      <c r="R13" s="564">
        <v>0</v>
      </c>
      <c r="S13" s="541">
        <v>2.38</v>
      </c>
      <c r="T13" s="544">
        <v>2.38</v>
      </c>
      <c r="U13" s="757">
        <v>0</v>
      </c>
      <c r="V13" s="423">
        <f t="shared" ref="V13:V76" si="4">AH13*-1</f>
        <v>0</v>
      </c>
      <c r="W13" s="417">
        <f t="shared" ref="W13:W76" si="5">AI13*-1</f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6" si="6">V13+X13+Y13+Z13+AC13</f>
        <v>0</v>
      </c>
      <c r="AF13" s="417">
        <f t="shared" ref="AF13:AF76" si="7">W13+AA13+AD13+AB13</f>
        <v>0</v>
      </c>
      <c r="AG13" s="417">
        <f t="shared" ref="AG13:AG76" si="8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6" si="9">AH13+AJ13+AK13</f>
        <v>0</v>
      </c>
      <c r="AN13" s="417">
        <f t="shared" ref="AN13:AN76" si="10">AI13+AL13</f>
        <v>0</v>
      </c>
      <c r="AO13" s="417">
        <f t="shared" ref="AO13:AO76" si="11">SUM(AM13:AN13)</f>
        <v>0</v>
      </c>
      <c r="AP13" s="417">
        <f t="shared" ref="AP13:AP76" si="12">AE13+AM13</f>
        <v>0</v>
      </c>
      <c r="AQ13" s="417">
        <f t="shared" ref="AQ13:AQ76" si="13">AF13+AN13</f>
        <v>0</v>
      </c>
      <c r="AR13" s="417">
        <f t="shared" ref="AR13:AR76" si="14">SUM(AP13:AQ13)</f>
        <v>0</v>
      </c>
      <c r="AS13" s="68">
        <f t="shared" ref="AS13:AS76" si="15">ROUND((AG13+AH13+AI13+AJ13)*33.8%,0)</f>
        <v>0</v>
      </c>
      <c r="AT13" s="68">
        <f t="shared" ref="AT13:AT76" si="16">ROUND(AG13*1%,0)</f>
        <v>0</v>
      </c>
      <c r="AU13" s="417">
        <v>0</v>
      </c>
      <c r="AV13" s="417">
        <v>0</v>
      </c>
      <c r="AW13" s="417">
        <v>0</v>
      </c>
      <c r="AX13" s="417">
        <f t="shared" ref="AX13:AX76" si="17">SUM(AU13:AW13)</f>
        <v>0</v>
      </c>
      <c r="AY13" s="417">
        <f t="shared" ref="AY13:AY76" si="18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6" si="19">AZ13+BB13+BC13+BE13+BG13</f>
        <v>0</v>
      </c>
      <c r="BJ13" s="418">
        <f t="shared" ref="BJ13:BJ76" si="20">BA13+BD13+BH13+BF13</f>
        <v>0</v>
      </c>
      <c r="BK13" s="420">
        <f t="shared" ref="BK13:BK76" si="21">SUM(BI13:BJ13)</f>
        <v>0</v>
      </c>
      <c r="BL13" s="772">
        <f>I13+AY13</f>
        <v>1188282</v>
      </c>
      <c r="BM13" s="417">
        <f>J13+AG13</f>
        <v>881515</v>
      </c>
      <c r="BN13" s="417">
        <f t="shared" si="0"/>
        <v>881515</v>
      </c>
      <c r="BO13" s="417">
        <f t="shared" si="0"/>
        <v>0</v>
      </c>
      <c r="BP13" s="417">
        <f>M13+AO13</f>
        <v>0</v>
      </c>
      <c r="BQ13" s="417">
        <f t="shared" si="1"/>
        <v>0</v>
      </c>
      <c r="BR13" s="417">
        <f t="shared" si="1"/>
        <v>0</v>
      </c>
      <c r="BS13" s="417">
        <f t="shared" si="2"/>
        <v>297952</v>
      </c>
      <c r="BT13" s="417">
        <f t="shared" si="2"/>
        <v>8815</v>
      </c>
      <c r="BU13" s="417">
        <f>R13+AX13</f>
        <v>0</v>
      </c>
      <c r="BV13" s="418">
        <f>S13+BK13</f>
        <v>2.38</v>
      </c>
      <c r="BW13" s="418">
        <f t="shared" si="3"/>
        <v>2.38</v>
      </c>
      <c r="BX13" s="420">
        <f t="shared" si="3"/>
        <v>0</v>
      </c>
      <c r="BY13" s="419"/>
      <c r="BZ13" s="414"/>
      <c r="CA13" s="414"/>
      <c r="CB13" s="414"/>
      <c r="CC13" s="414"/>
      <c r="CD13" s="509"/>
      <c r="CE13" s="419"/>
      <c r="CF13" s="414"/>
      <c r="CG13" s="414"/>
      <c r="CH13" s="414"/>
      <c r="CI13" s="414"/>
      <c r="CJ13" s="509"/>
    </row>
    <row r="14" spans="1:88">
      <c r="A14" s="205">
        <v>1</v>
      </c>
      <c r="B14" s="206">
        <v>3440</v>
      </c>
      <c r="C14" s="206">
        <v>600078078</v>
      </c>
      <c r="D14" s="206">
        <v>72743441</v>
      </c>
      <c r="E14" s="204" t="s">
        <v>86</v>
      </c>
      <c r="F14" s="206">
        <v>3141</v>
      </c>
      <c r="G14" s="207" t="s">
        <v>294</v>
      </c>
      <c r="H14" s="607" t="s">
        <v>272</v>
      </c>
      <c r="I14" s="419">
        <v>1859603</v>
      </c>
      <c r="J14" s="414">
        <v>1314635</v>
      </c>
      <c r="K14" s="414">
        <v>0</v>
      </c>
      <c r="L14" s="414">
        <v>1314635</v>
      </c>
      <c r="M14" s="414">
        <v>60000</v>
      </c>
      <c r="N14" s="414">
        <v>0</v>
      </c>
      <c r="O14" s="414">
        <v>60000</v>
      </c>
      <c r="P14" s="68">
        <v>464626</v>
      </c>
      <c r="Q14" s="68">
        <v>13146</v>
      </c>
      <c r="R14" s="414">
        <v>7196</v>
      </c>
      <c r="S14" s="415">
        <v>3.99</v>
      </c>
      <c r="T14" s="416">
        <v>0</v>
      </c>
      <c r="U14" s="422">
        <v>3.99</v>
      </c>
      <c r="V14" s="423">
        <f t="shared" si="4"/>
        <v>0</v>
      </c>
      <c r="W14" s="417">
        <f t="shared" si="5"/>
        <v>-38000</v>
      </c>
      <c r="X14" s="417">
        <v>0</v>
      </c>
      <c r="Y14" s="417">
        <v>0</v>
      </c>
      <c r="Z14" s="417">
        <v>0</v>
      </c>
      <c r="AA14" s="417">
        <v>-21520</v>
      </c>
      <c r="AB14" s="417">
        <v>0</v>
      </c>
      <c r="AC14" s="417">
        <v>0</v>
      </c>
      <c r="AD14" s="417">
        <v>0</v>
      </c>
      <c r="AE14" s="417">
        <f t="shared" si="6"/>
        <v>0</v>
      </c>
      <c r="AF14" s="417">
        <f t="shared" si="7"/>
        <v>-59520</v>
      </c>
      <c r="AG14" s="417">
        <f t="shared" si="8"/>
        <v>-59520</v>
      </c>
      <c r="AH14" s="417">
        <v>0</v>
      </c>
      <c r="AI14" s="417">
        <v>38000</v>
      </c>
      <c r="AJ14" s="417">
        <v>0</v>
      </c>
      <c r="AK14" s="417">
        <v>0</v>
      </c>
      <c r="AL14" s="417">
        <v>0</v>
      </c>
      <c r="AM14" s="417">
        <f t="shared" si="9"/>
        <v>0</v>
      </c>
      <c r="AN14" s="417">
        <f t="shared" si="10"/>
        <v>38000</v>
      </c>
      <c r="AO14" s="417">
        <f t="shared" si="11"/>
        <v>38000</v>
      </c>
      <c r="AP14" s="417">
        <f t="shared" si="12"/>
        <v>0</v>
      </c>
      <c r="AQ14" s="417">
        <f t="shared" si="13"/>
        <v>-21520</v>
      </c>
      <c r="AR14" s="417">
        <f t="shared" si="14"/>
        <v>-21520</v>
      </c>
      <c r="AS14" s="68">
        <f t="shared" si="15"/>
        <v>-7274</v>
      </c>
      <c r="AT14" s="68">
        <f t="shared" si="16"/>
        <v>-595</v>
      </c>
      <c r="AU14" s="417">
        <v>0</v>
      </c>
      <c r="AV14" s="417">
        <v>0</v>
      </c>
      <c r="AW14" s="417">
        <v>0</v>
      </c>
      <c r="AX14" s="417">
        <f t="shared" si="17"/>
        <v>0</v>
      </c>
      <c r="AY14" s="417">
        <f t="shared" si="18"/>
        <v>-29389</v>
      </c>
      <c r="AZ14" s="418">
        <v>0</v>
      </c>
      <c r="BA14" s="418">
        <v>-0.08</v>
      </c>
      <c r="BB14" s="418">
        <v>0</v>
      </c>
      <c r="BC14" s="418">
        <v>0</v>
      </c>
      <c r="BD14" s="418">
        <v>-7.0000000000000007E-2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19"/>
        <v>0</v>
      </c>
      <c r="BJ14" s="418">
        <f t="shared" si="20"/>
        <v>-0.15000000000000002</v>
      </c>
      <c r="BK14" s="420">
        <f t="shared" si="21"/>
        <v>-0.15000000000000002</v>
      </c>
      <c r="BL14" s="772">
        <f>I14+AY14</f>
        <v>1830214</v>
      </c>
      <c r="BM14" s="417">
        <f>J14+AG14</f>
        <v>1255115</v>
      </c>
      <c r="BN14" s="417">
        <f t="shared" si="0"/>
        <v>0</v>
      </c>
      <c r="BO14" s="417">
        <f t="shared" si="0"/>
        <v>1255115</v>
      </c>
      <c r="BP14" s="417">
        <f>M14+AO14</f>
        <v>98000</v>
      </c>
      <c r="BQ14" s="417">
        <f t="shared" si="1"/>
        <v>0</v>
      </c>
      <c r="BR14" s="417">
        <f t="shared" si="1"/>
        <v>98000</v>
      </c>
      <c r="BS14" s="417">
        <f t="shared" si="2"/>
        <v>457352</v>
      </c>
      <c r="BT14" s="417">
        <f t="shared" si="2"/>
        <v>12551</v>
      </c>
      <c r="BU14" s="417">
        <f>R14+AX14</f>
        <v>7196</v>
      </c>
      <c r="BV14" s="418">
        <f>S14+BK14</f>
        <v>3.8400000000000003</v>
      </c>
      <c r="BW14" s="418">
        <f t="shared" si="3"/>
        <v>0</v>
      </c>
      <c r="BX14" s="420">
        <f t="shared" si="3"/>
        <v>3.8400000000000003</v>
      </c>
      <c r="BY14" s="419"/>
      <c r="BZ14" s="414"/>
      <c r="CA14" s="414"/>
      <c r="CB14" s="414"/>
      <c r="CC14" s="414"/>
      <c r="CD14" s="509"/>
      <c r="CE14" s="419"/>
      <c r="CF14" s="414"/>
      <c r="CG14" s="414"/>
      <c r="CH14" s="414"/>
      <c r="CI14" s="414"/>
      <c r="CJ14" s="509"/>
    </row>
    <row r="15" spans="1:88">
      <c r="A15" s="155">
        <v>1</v>
      </c>
      <c r="B15" s="18">
        <v>3440</v>
      </c>
      <c r="C15" s="18">
        <v>600078078</v>
      </c>
      <c r="D15" s="18">
        <v>72743441</v>
      </c>
      <c r="E15" s="164" t="s">
        <v>87</v>
      </c>
      <c r="F15" s="18"/>
      <c r="G15" s="154"/>
      <c r="H15" s="608"/>
      <c r="I15" s="446">
        <v>14707761</v>
      </c>
      <c r="J15" s="442">
        <v>10625331</v>
      </c>
      <c r="K15" s="442">
        <v>8110102</v>
      </c>
      <c r="L15" s="442">
        <v>2515229</v>
      </c>
      <c r="M15" s="442">
        <v>240000</v>
      </c>
      <c r="N15" s="442">
        <v>150000</v>
      </c>
      <c r="O15" s="442">
        <v>90000</v>
      </c>
      <c r="P15" s="442">
        <v>3672481</v>
      </c>
      <c r="Q15" s="442">
        <v>106253</v>
      </c>
      <c r="R15" s="442">
        <v>63696</v>
      </c>
      <c r="S15" s="443">
        <v>22.960900000000002</v>
      </c>
      <c r="T15" s="443">
        <v>14.780000000000001</v>
      </c>
      <c r="U15" s="448">
        <v>8.1808999999999994</v>
      </c>
      <c r="V15" s="446">
        <f t="shared" ref="V15:CG15" si="22">SUM(V12:V14)</f>
        <v>-26000</v>
      </c>
      <c r="W15" s="442">
        <f t="shared" si="22"/>
        <v>-74000</v>
      </c>
      <c r="X15" s="442">
        <f t="shared" si="22"/>
        <v>0</v>
      </c>
      <c r="Y15" s="442">
        <f t="shared" si="22"/>
        <v>0</v>
      </c>
      <c r="Z15" s="442">
        <f t="shared" si="22"/>
        <v>0</v>
      </c>
      <c r="AA15" s="442">
        <f t="shared" si="22"/>
        <v>-21520</v>
      </c>
      <c r="AB15" s="442">
        <f t="shared" si="22"/>
        <v>0</v>
      </c>
      <c r="AC15" s="442">
        <f t="shared" si="22"/>
        <v>0</v>
      </c>
      <c r="AD15" s="442">
        <f t="shared" si="22"/>
        <v>0</v>
      </c>
      <c r="AE15" s="442">
        <f t="shared" si="22"/>
        <v>-26000</v>
      </c>
      <c r="AF15" s="442">
        <f t="shared" si="22"/>
        <v>-95520</v>
      </c>
      <c r="AG15" s="442">
        <f t="shared" si="22"/>
        <v>-121520</v>
      </c>
      <c r="AH15" s="442">
        <f t="shared" si="22"/>
        <v>26000</v>
      </c>
      <c r="AI15" s="442">
        <f t="shared" si="22"/>
        <v>74000</v>
      </c>
      <c r="AJ15" s="442">
        <f t="shared" si="22"/>
        <v>0</v>
      </c>
      <c r="AK15" s="442">
        <f t="shared" si="22"/>
        <v>0</v>
      </c>
      <c r="AL15" s="442">
        <f t="shared" si="22"/>
        <v>0</v>
      </c>
      <c r="AM15" s="442">
        <f t="shared" si="22"/>
        <v>26000</v>
      </c>
      <c r="AN15" s="442">
        <f t="shared" si="22"/>
        <v>74000</v>
      </c>
      <c r="AO15" s="442">
        <f t="shared" si="22"/>
        <v>100000</v>
      </c>
      <c r="AP15" s="442">
        <f t="shared" si="22"/>
        <v>0</v>
      </c>
      <c r="AQ15" s="442">
        <f t="shared" si="22"/>
        <v>-21520</v>
      </c>
      <c r="AR15" s="442">
        <f t="shared" si="22"/>
        <v>-21520</v>
      </c>
      <c r="AS15" s="442">
        <f t="shared" si="22"/>
        <v>-7274</v>
      </c>
      <c r="AT15" s="442">
        <f t="shared" si="22"/>
        <v>-1215</v>
      </c>
      <c r="AU15" s="442">
        <f t="shared" si="22"/>
        <v>0</v>
      </c>
      <c r="AV15" s="442">
        <f t="shared" si="22"/>
        <v>0</v>
      </c>
      <c r="AW15" s="442">
        <f t="shared" si="22"/>
        <v>0</v>
      </c>
      <c r="AX15" s="442">
        <f t="shared" si="22"/>
        <v>0</v>
      </c>
      <c r="AY15" s="442">
        <f t="shared" si="22"/>
        <v>-30009</v>
      </c>
      <c r="AZ15" s="443">
        <f t="shared" si="22"/>
        <v>0</v>
      </c>
      <c r="BA15" s="443">
        <f t="shared" si="22"/>
        <v>-0.26</v>
      </c>
      <c r="BB15" s="443">
        <f t="shared" si="22"/>
        <v>0</v>
      </c>
      <c r="BC15" s="443">
        <f t="shared" si="22"/>
        <v>0</v>
      </c>
      <c r="BD15" s="443">
        <f t="shared" si="22"/>
        <v>-7.0000000000000007E-2</v>
      </c>
      <c r="BE15" s="443">
        <f t="shared" si="22"/>
        <v>0</v>
      </c>
      <c r="BF15" s="443">
        <f t="shared" si="22"/>
        <v>0</v>
      </c>
      <c r="BG15" s="443">
        <f t="shared" si="22"/>
        <v>0</v>
      </c>
      <c r="BH15" s="443">
        <f t="shared" si="22"/>
        <v>0</v>
      </c>
      <c r="BI15" s="443">
        <f t="shared" si="22"/>
        <v>0</v>
      </c>
      <c r="BJ15" s="443">
        <f t="shared" si="22"/>
        <v>-0.33</v>
      </c>
      <c r="BK15" s="40">
        <f t="shared" si="22"/>
        <v>-0.33</v>
      </c>
      <c r="BL15" s="450">
        <f t="shared" si="22"/>
        <v>14677752</v>
      </c>
      <c r="BM15" s="442">
        <f t="shared" si="22"/>
        <v>10503811</v>
      </c>
      <c r="BN15" s="442">
        <f t="shared" si="22"/>
        <v>8084102</v>
      </c>
      <c r="BO15" s="442">
        <f t="shared" si="22"/>
        <v>2419709</v>
      </c>
      <c r="BP15" s="442">
        <f t="shared" si="22"/>
        <v>340000</v>
      </c>
      <c r="BQ15" s="442">
        <f t="shared" si="22"/>
        <v>176000</v>
      </c>
      <c r="BR15" s="442">
        <f t="shared" si="22"/>
        <v>164000</v>
      </c>
      <c r="BS15" s="442">
        <f t="shared" si="22"/>
        <v>3665207</v>
      </c>
      <c r="BT15" s="442">
        <f t="shared" si="22"/>
        <v>105038</v>
      </c>
      <c r="BU15" s="442">
        <f t="shared" si="22"/>
        <v>63696</v>
      </c>
      <c r="BV15" s="443">
        <f t="shared" si="22"/>
        <v>22.6309</v>
      </c>
      <c r="BW15" s="443">
        <f t="shared" si="22"/>
        <v>14.780000000000001</v>
      </c>
      <c r="BX15" s="40">
        <f t="shared" si="22"/>
        <v>7.8508999999999993</v>
      </c>
      <c r="BY15" s="804">
        <f t="shared" si="22"/>
        <v>0</v>
      </c>
      <c r="BZ15" s="708">
        <f t="shared" si="22"/>
        <v>0</v>
      </c>
      <c r="CA15" s="708">
        <f t="shared" si="22"/>
        <v>0</v>
      </c>
      <c r="CB15" s="708">
        <f t="shared" si="22"/>
        <v>0</v>
      </c>
      <c r="CC15" s="708">
        <f t="shared" si="22"/>
        <v>0</v>
      </c>
      <c r="CD15" s="805">
        <f t="shared" si="22"/>
        <v>0</v>
      </c>
      <c r="CE15" s="916">
        <f t="shared" si="22"/>
        <v>551080</v>
      </c>
      <c r="CF15" s="917">
        <f t="shared" si="22"/>
        <v>394874</v>
      </c>
      <c r="CG15" s="917">
        <f t="shared" si="22"/>
        <v>133467</v>
      </c>
      <c r="CH15" s="917">
        <f t="shared" ref="CH15:CJ15" si="23">SUM(CH12:CH14)</f>
        <v>3949</v>
      </c>
      <c r="CI15" s="917">
        <f t="shared" si="23"/>
        <v>18790</v>
      </c>
      <c r="CJ15" s="918">
        <f t="shared" si="23"/>
        <v>1.3639999999999999</v>
      </c>
    </row>
    <row r="16" spans="1:88">
      <c r="A16" s="205">
        <v>2</v>
      </c>
      <c r="B16" s="206">
        <v>3458</v>
      </c>
      <c r="C16" s="206">
        <v>600029069</v>
      </c>
      <c r="D16" s="206">
        <v>75121557</v>
      </c>
      <c r="E16" s="204" t="s">
        <v>88</v>
      </c>
      <c r="F16" s="206">
        <v>3233</v>
      </c>
      <c r="G16" s="207" t="s">
        <v>297</v>
      </c>
      <c r="H16" s="607" t="s">
        <v>272</v>
      </c>
      <c r="I16" s="419">
        <v>2943214</v>
      </c>
      <c r="J16" s="414">
        <v>2181258</v>
      </c>
      <c r="K16" s="414">
        <v>1701044</v>
      </c>
      <c r="L16" s="414">
        <v>480214</v>
      </c>
      <c r="M16" s="414">
        <v>0</v>
      </c>
      <c r="N16" s="414">
        <v>0</v>
      </c>
      <c r="O16" s="414">
        <v>0</v>
      </c>
      <c r="P16" s="68">
        <v>737266</v>
      </c>
      <c r="Q16" s="68">
        <v>21813</v>
      </c>
      <c r="R16" s="414">
        <v>2877</v>
      </c>
      <c r="S16" s="415">
        <v>4.6300000000000008</v>
      </c>
      <c r="T16" s="416">
        <v>3.08</v>
      </c>
      <c r="U16" s="422">
        <v>1.55</v>
      </c>
      <c r="V16" s="423">
        <f t="shared" si="4"/>
        <v>0</v>
      </c>
      <c r="W16" s="417">
        <f t="shared" si="5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6"/>
        <v>0</v>
      </c>
      <c r="AF16" s="417">
        <f t="shared" si="7"/>
        <v>0</v>
      </c>
      <c r="AG16" s="417">
        <f t="shared" si="8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9"/>
        <v>0</v>
      </c>
      <c r="AN16" s="417">
        <f t="shared" si="10"/>
        <v>0</v>
      </c>
      <c r="AO16" s="417">
        <f t="shared" si="11"/>
        <v>0</v>
      </c>
      <c r="AP16" s="417">
        <f t="shared" si="12"/>
        <v>0</v>
      </c>
      <c r="AQ16" s="417">
        <f t="shared" si="13"/>
        <v>0</v>
      </c>
      <c r="AR16" s="417">
        <f t="shared" si="14"/>
        <v>0</v>
      </c>
      <c r="AS16" s="68">
        <f t="shared" si="15"/>
        <v>0</v>
      </c>
      <c r="AT16" s="68">
        <f t="shared" si="16"/>
        <v>0</v>
      </c>
      <c r="AU16" s="417">
        <v>0</v>
      </c>
      <c r="AV16" s="417">
        <v>0</v>
      </c>
      <c r="AW16" s="417">
        <v>0</v>
      </c>
      <c r="AX16" s="417">
        <f t="shared" si="17"/>
        <v>0</v>
      </c>
      <c r="AY16" s="417">
        <f t="shared" si="18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9"/>
        <v>0</v>
      </c>
      <c r="BJ16" s="418">
        <f t="shared" si="20"/>
        <v>0</v>
      </c>
      <c r="BK16" s="420">
        <f t="shared" si="21"/>
        <v>0</v>
      </c>
      <c r="BL16" s="772">
        <f>I16+AY16</f>
        <v>2943214</v>
      </c>
      <c r="BM16" s="417">
        <f>J16+AG16</f>
        <v>2181258</v>
      </c>
      <c r="BN16" s="417">
        <f>K16+AE16</f>
        <v>1701044</v>
      </c>
      <c r="BO16" s="417">
        <f>L16+AF16</f>
        <v>480214</v>
      </c>
      <c r="BP16" s="417">
        <f>M16+AO16</f>
        <v>0</v>
      </c>
      <c r="BQ16" s="417">
        <f>N16+AM16</f>
        <v>0</v>
      </c>
      <c r="BR16" s="417">
        <f>O16+AN16</f>
        <v>0</v>
      </c>
      <c r="BS16" s="417">
        <f>P16+AS16</f>
        <v>737266</v>
      </c>
      <c r="BT16" s="417">
        <f>Q16+AT16</f>
        <v>21813</v>
      </c>
      <c r="BU16" s="417">
        <f>R16+AX16</f>
        <v>2877</v>
      </c>
      <c r="BV16" s="418">
        <f>S16+BK16</f>
        <v>4.6300000000000008</v>
      </c>
      <c r="BW16" s="418">
        <f>T16+BI16</f>
        <v>3.08</v>
      </c>
      <c r="BX16" s="420">
        <f>U16+BJ16</f>
        <v>1.55</v>
      </c>
      <c r="BY16" s="419"/>
      <c r="BZ16" s="414"/>
      <c r="CA16" s="414"/>
      <c r="CB16" s="414"/>
      <c r="CC16" s="414"/>
      <c r="CD16" s="509"/>
      <c r="CE16" s="419"/>
      <c r="CF16" s="602"/>
      <c r="CG16" s="414"/>
      <c r="CH16" s="414"/>
      <c r="CI16" s="1035"/>
      <c r="CJ16" s="605"/>
    </row>
    <row r="17" spans="1:88">
      <c r="A17" s="155">
        <v>2</v>
      </c>
      <c r="B17" s="18">
        <v>3458</v>
      </c>
      <c r="C17" s="18">
        <v>600029069</v>
      </c>
      <c r="D17" s="18">
        <v>75121557</v>
      </c>
      <c r="E17" s="164" t="s">
        <v>89</v>
      </c>
      <c r="F17" s="18"/>
      <c r="G17" s="154"/>
      <c r="H17" s="608"/>
      <c r="I17" s="446">
        <v>2943214</v>
      </c>
      <c r="J17" s="442">
        <v>2181258</v>
      </c>
      <c r="K17" s="442">
        <v>1701044</v>
      </c>
      <c r="L17" s="442">
        <v>480214</v>
      </c>
      <c r="M17" s="442">
        <v>0</v>
      </c>
      <c r="N17" s="442">
        <v>0</v>
      </c>
      <c r="O17" s="442">
        <v>0</v>
      </c>
      <c r="P17" s="442">
        <v>737266</v>
      </c>
      <c r="Q17" s="442">
        <v>21813</v>
      </c>
      <c r="R17" s="442">
        <v>2877</v>
      </c>
      <c r="S17" s="443">
        <v>4.6300000000000008</v>
      </c>
      <c r="T17" s="443">
        <v>3.08</v>
      </c>
      <c r="U17" s="448">
        <v>1.55</v>
      </c>
      <c r="V17" s="446">
        <f t="shared" ref="V17:CG17" si="24">SUM(V16)</f>
        <v>0</v>
      </c>
      <c r="W17" s="442">
        <f t="shared" si="24"/>
        <v>0</v>
      </c>
      <c r="X17" s="442">
        <f t="shared" si="24"/>
        <v>0</v>
      </c>
      <c r="Y17" s="442">
        <f t="shared" si="24"/>
        <v>0</v>
      </c>
      <c r="Z17" s="442">
        <f t="shared" si="24"/>
        <v>0</v>
      </c>
      <c r="AA17" s="442">
        <f t="shared" si="24"/>
        <v>0</v>
      </c>
      <c r="AB17" s="442">
        <f t="shared" si="24"/>
        <v>0</v>
      </c>
      <c r="AC17" s="442">
        <f t="shared" si="24"/>
        <v>0</v>
      </c>
      <c r="AD17" s="442">
        <f t="shared" si="24"/>
        <v>0</v>
      </c>
      <c r="AE17" s="442">
        <f t="shared" si="24"/>
        <v>0</v>
      </c>
      <c r="AF17" s="442">
        <f t="shared" si="24"/>
        <v>0</v>
      </c>
      <c r="AG17" s="442">
        <f t="shared" si="24"/>
        <v>0</v>
      </c>
      <c r="AH17" s="442">
        <f t="shared" si="24"/>
        <v>0</v>
      </c>
      <c r="AI17" s="442">
        <f t="shared" si="24"/>
        <v>0</v>
      </c>
      <c r="AJ17" s="442">
        <f t="shared" si="24"/>
        <v>0</v>
      </c>
      <c r="AK17" s="442">
        <f t="shared" si="24"/>
        <v>0</v>
      </c>
      <c r="AL17" s="442">
        <f t="shared" si="24"/>
        <v>0</v>
      </c>
      <c r="AM17" s="442">
        <f t="shared" si="24"/>
        <v>0</v>
      </c>
      <c r="AN17" s="442">
        <f t="shared" si="24"/>
        <v>0</v>
      </c>
      <c r="AO17" s="442">
        <f t="shared" si="24"/>
        <v>0</v>
      </c>
      <c r="AP17" s="442">
        <f t="shared" si="24"/>
        <v>0</v>
      </c>
      <c r="AQ17" s="442">
        <f t="shared" si="24"/>
        <v>0</v>
      </c>
      <c r="AR17" s="442">
        <f t="shared" si="24"/>
        <v>0</v>
      </c>
      <c r="AS17" s="442">
        <f t="shared" si="24"/>
        <v>0</v>
      </c>
      <c r="AT17" s="442">
        <f t="shared" si="24"/>
        <v>0</v>
      </c>
      <c r="AU17" s="442">
        <f t="shared" si="24"/>
        <v>0</v>
      </c>
      <c r="AV17" s="442">
        <f t="shared" si="24"/>
        <v>0</v>
      </c>
      <c r="AW17" s="442">
        <f t="shared" si="24"/>
        <v>0</v>
      </c>
      <c r="AX17" s="442">
        <f t="shared" si="24"/>
        <v>0</v>
      </c>
      <c r="AY17" s="442">
        <f t="shared" si="24"/>
        <v>0</v>
      </c>
      <c r="AZ17" s="443">
        <f t="shared" si="24"/>
        <v>0</v>
      </c>
      <c r="BA17" s="443">
        <f t="shared" si="24"/>
        <v>0</v>
      </c>
      <c r="BB17" s="443">
        <f t="shared" si="24"/>
        <v>0</v>
      </c>
      <c r="BC17" s="443">
        <f t="shared" si="24"/>
        <v>0</v>
      </c>
      <c r="BD17" s="443">
        <f t="shared" si="24"/>
        <v>0</v>
      </c>
      <c r="BE17" s="443">
        <f t="shared" si="24"/>
        <v>0</v>
      </c>
      <c r="BF17" s="443">
        <f t="shared" si="24"/>
        <v>0</v>
      </c>
      <c r="BG17" s="443">
        <f t="shared" si="24"/>
        <v>0</v>
      </c>
      <c r="BH17" s="443">
        <f t="shared" si="24"/>
        <v>0</v>
      </c>
      <c r="BI17" s="443">
        <f t="shared" si="24"/>
        <v>0</v>
      </c>
      <c r="BJ17" s="443">
        <f t="shared" si="24"/>
        <v>0</v>
      </c>
      <c r="BK17" s="40">
        <f t="shared" si="24"/>
        <v>0</v>
      </c>
      <c r="BL17" s="450">
        <f t="shared" si="24"/>
        <v>2943214</v>
      </c>
      <c r="BM17" s="442">
        <f t="shared" si="24"/>
        <v>2181258</v>
      </c>
      <c r="BN17" s="442">
        <f t="shared" si="24"/>
        <v>1701044</v>
      </c>
      <c r="BO17" s="442">
        <f t="shared" si="24"/>
        <v>480214</v>
      </c>
      <c r="BP17" s="442">
        <f t="shared" si="24"/>
        <v>0</v>
      </c>
      <c r="BQ17" s="442">
        <f t="shared" si="24"/>
        <v>0</v>
      </c>
      <c r="BR17" s="442">
        <f t="shared" si="24"/>
        <v>0</v>
      </c>
      <c r="BS17" s="442">
        <f t="shared" si="24"/>
        <v>737266</v>
      </c>
      <c r="BT17" s="442">
        <f t="shared" si="24"/>
        <v>21813</v>
      </c>
      <c r="BU17" s="442">
        <f t="shared" si="24"/>
        <v>2877</v>
      </c>
      <c r="BV17" s="443">
        <f t="shared" si="24"/>
        <v>4.6300000000000008</v>
      </c>
      <c r="BW17" s="443">
        <f t="shared" si="24"/>
        <v>3.08</v>
      </c>
      <c r="BX17" s="40">
        <f t="shared" si="24"/>
        <v>1.55</v>
      </c>
      <c r="BY17" s="804">
        <f t="shared" si="24"/>
        <v>0</v>
      </c>
      <c r="BZ17" s="708">
        <f t="shared" si="24"/>
        <v>0</v>
      </c>
      <c r="CA17" s="708">
        <f t="shared" si="24"/>
        <v>0</v>
      </c>
      <c r="CB17" s="708">
        <f t="shared" si="24"/>
        <v>0</v>
      </c>
      <c r="CC17" s="708">
        <f t="shared" si="24"/>
        <v>0</v>
      </c>
      <c r="CD17" s="805">
        <f t="shared" si="24"/>
        <v>0</v>
      </c>
      <c r="CE17" s="916">
        <f t="shared" si="24"/>
        <v>0</v>
      </c>
      <c r="CF17" s="917">
        <f t="shared" si="24"/>
        <v>0</v>
      </c>
      <c r="CG17" s="917">
        <f t="shared" si="24"/>
        <v>0</v>
      </c>
      <c r="CH17" s="917">
        <f t="shared" ref="CH17:CJ17" si="25">SUM(CH16)</f>
        <v>0</v>
      </c>
      <c r="CI17" s="917">
        <f t="shared" si="25"/>
        <v>0</v>
      </c>
      <c r="CJ17" s="918">
        <f t="shared" si="25"/>
        <v>0</v>
      </c>
    </row>
    <row r="18" spans="1:88">
      <c r="A18" s="205">
        <v>3</v>
      </c>
      <c r="B18" s="206">
        <v>3439</v>
      </c>
      <c r="C18" s="206">
        <v>600010473</v>
      </c>
      <c r="D18" s="206">
        <v>43256791</v>
      </c>
      <c r="E18" s="204" t="s">
        <v>764</v>
      </c>
      <c r="F18" s="206">
        <v>3113</v>
      </c>
      <c r="G18" s="207" t="s">
        <v>293</v>
      </c>
      <c r="H18" s="607" t="s">
        <v>271</v>
      </c>
      <c r="I18" s="419">
        <v>26657773</v>
      </c>
      <c r="J18" s="414">
        <v>19022045</v>
      </c>
      <c r="K18" s="414">
        <v>17172160</v>
      </c>
      <c r="L18" s="414">
        <v>1849885</v>
      </c>
      <c r="M18" s="414">
        <v>285000</v>
      </c>
      <c r="N18" s="414">
        <v>170000</v>
      </c>
      <c r="O18" s="414">
        <v>115000</v>
      </c>
      <c r="P18" s="68">
        <v>6525782</v>
      </c>
      <c r="Q18" s="68">
        <v>190221</v>
      </c>
      <c r="R18" s="414">
        <v>634725</v>
      </c>
      <c r="S18" s="415">
        <v>32.479099999999995</v>
      </c>
      <c r="T18" s="416">
        <v>27.212</v>
      </c>
      <c r="U18" s="422">
        <v>5.2670999999999992</v>
      </c>
      <c r="V18" s="423">
        <f t="shared" si="4"/>
        <v>0</v>
      </c>
      <c r="W18" s="417">
        <f t="shared" si="5"/>
        <v>0</v>
      </c>
      <c r="X18" s="417">
        <v>0</v>
      </c>
      <c r="Y18" s="417">
        <v>15888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6"/>
        <v>15888</v>
      </c>
      <c r="AF18" s="417">
        <f t="shared" si="7"/>
        <v>0</v>
      </c>
      <c r="AG18" s="417">
        <f t="shared" si="8"/>
        <v>15888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9"/>
        <v>0</v>
      </c>
      <c r="AN18" s="417">
        <f t="shared" si="10"/>
        <v>0</v>
      </c>
      <c r="AO18" s="417">
        <f t="shared" si="11"/>
        <v>0</v>
      </c>
      <c r="AP18" s="417">
        <f t="shared" si="12"/>
        <v>15888</v>
      </c>
      <c r="AQ18" s="417">
        <f t="shared" si="13"/>
        <v>0</v>
      </c>
      <c r="AR18" s="417">
        <f t="shared" si="14"/>
        <v>15888</v>
      </c>
      <c r="AS18" s="68">
        <f t="shared" si="15"/>
        <v>5370</v>
      </c>
      <c r="AT18" s="68">
        <f t="shared" si="16"/>
        <v>159</v>
      </c>
      <c r="AU18" s="417">
        <v>0</v>
      </c>
      <c r="AV18" s="417">
        <v>0</v>
      </c>
      <c r="AW18" s="417">
        <v>0</v>
      </c>
      <c r="AX18" s="417">
        <f t="shared" si="17"/>
        <v>0</v>
      </c>
      <c r="AY18" s="417">
        <f t="shared" si="18"/>
        <v>21417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0.02</v>
      </c>
      <c r="BF18" s="418">
        <v>0</v>
      </c>
      <c r="BG18" s="418">
        <v>0</v>
      </c>
      <c r="BH18" s="418">
        <v>0</v>
      </c>
      <c r="BI18" s="418">
        <f t="shared" si="19"/>
        <v>0.02</v>
      </c>
      <c r="BJ18" s="418">
        <f t="shared" si="20"/>
        <v>0</v>
      </c>
      <c r="BK18" s="420">
        <f t="shared" si="21"/>
        <v>0.02</v>
      </c>
      <c r="BL18" s="772">
        <f>I18+AY18</f>
        <v>26679190</v>
      </c>
      <c r="BM18" s="417">
        <f>J18+AG18</f>
        <v>19037933</v>
      </c>
      <c r="BN18" s="417">
        <f t="shared" ref="BN18:BO22" si="26">K18+AE18</f>
        <v>17188048</v>
      </c>
      <c r="BO18" s="417">
        <f t="shared" si="26"/>
        <v>1849885</v>
      </c>
      <c r="BP18" s="417">
        <f>M18+AO18</f>
        <v>285000</v>
      </c>
      <c r="BQ18" s="417">
        <f t="shared" ref="BQ18:BR22" si="27">N18+AM18</f>
        <v>170000</v>
      </c>
      <c r="BR18" s="417">
        <f t="shared" si="27"/>
        <v>115000</v>
      </c>
      <c r="BS18" s="417">
        <f t="shared" ref="BS18:BT22" si="28">P18+AS18</f>
        <v>6531152</v>
      </c>
      <c r="BT18" s="417">
        <f t="shared" si="28"/>
        <v>190380</v>
      </c>
      <c r="BU18" s="417">
        <f>R18+AX18</f>
        <v>634725</v>
      </c>
      <c r="BV18" s="418">
        <f>S18+BK18</f>
        <v>32.499099999999999</v>
      </c>
      <c r="BW18" s="418">
        <f t="shared" ref="BW18:BX22" si="29">T18+BI18</f>
        <v>27.231999999999999</v>
      </c>
      <c r="BX18" s="420">
        <f t="shared" si="29"/>
        <v>5.2670999999999992</v>
      </c>
      <c r="BY18" s="419">
        <v>380136</v>
      </c>
      <c r="BZ18" s="414">
        <v>282000</v>
      </c>
      <c r="CA18" s="414">
        <v>0</v>
      </c>
      <c r="CB18" s="414">
        <v>95316</v>
      </c>
      <c r="CC18" s="414">
        <v>2820</v>
      </c>
      <c r="CD18" s="509">
        <v>0.5</v>
      </c>
      <c r="CE18" s="419">
        <v>992322</v>
      </c>
      <c r="CF18" s="414">
        <v>630455</v>
      </c>
      <c r="CG18" s="414">
        <v>213094</v>
      </c>
      <c r="CH18" s="414">
        <v>6305</v>
      </c>
      <c r="CI18" s="414">
        <v>142468</v>
      </c>
      <c r="CJ18" s="509">
        <v>1.7798</v>
      </c>
    </row>
    <row r="19" spans="1:88">
      <c r="A19" s="205">
        <v>3</v>
      </c>
      <c r="B19" s="206">
        <v>3439</v>
      </c>
      <c r="C19" s="206">
        <v>600010473</v>
      </c>
      <c r="D19" s="206">
        <v>43256791</v>
      </c>
      <c r="E19" s="204" t="s">
        <v>764</v>
      </c>
      <c r="F19" s="206">
        <v>3113</v>
      </c>
      <c r="G19" s="207" t="s">
        <v>291</v>
      </c>
      <c r="H19" s="607" t="s">
        <v>272</v>
      </c>
      <c r="I19" s="419">
        <v>7510690</v>
      </c>
      <c r="J19" s="414">
        <v>5556706</v>
      </c>
      <c r="K19" s="414">
        <v>5556706</v>
      </c>
      <c r="L19" s="414">
        <v>0</v>
      </c>
      <c r="M19" s="414">
        <v>0</v>
      </c>
      <c r="N19" s="414">
        <v>0</v>
      </c>
      <c r="O19" s="414">
        <v>0</v>
      </c>
      <c r="P19" s="68">
        <v>1878166</v>
      </c>
      <c r="Q19" s="68">
        <v>55568</v>
      </c>
      <c r="R19" s="414">
        <v>20250</v>
      </c>
      <c r="S19" s="415">
        <v>14.440000000000001</v>
      </c>
      <c r="T19" s="416">
        <v>14.440000000000001</v>
      </c>
      <c r="U19" s="422">
        <v>0</v>
      </c>
      <c r="V19" s="423">
        <f t="shared" si="4"/>
        <v>0</v>
      </c>
      <c r="W19" s="417">
        <f t="shared" si="5"/>
        <v>0</v>
      </c>
      <c r="X19" s="417">
        <f>69525+46350</f>
        <v>115875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6"/>
        <v>115875</v>
      </c>
      <c r="AF19" s="417">
        <f t="shared" si="7"/>
        <v>0</v>
      </c>
      <c r="AG19" s="417">
        <f t="shared" si="8"/>
        <v>115875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9"/>
        <v>0</v>
      </c>
      <c r="AN19" s="417">
        <f t="shared" si="10"/>
        <v>0</v>
      </c>
      <c r="AO19" s="417">
        <f t="shared" si="11"/>
        <v>0</v>
      </c>
      <c r="AP19" s="417">
        <f t="shared" si="12"/>
        <v>115875</v>
      </c>
      <c r="AQ19" s="417">
        <f t="shared" si="13"/>
        <v>0</v>
      </c>
      <c r="AR19" s="417">
        <f t="shared" si="14"/>
        <v>115875</v>
      </c>
      <c r="AS19" s="68">
        <f t="shared" si="15"/>
        <v>39166</v>
      </c>
      <c r="AT19" s="68">
        <f t="shared" si="16"/>
        <v>1159</v>
      </c>
      <c r="AU19" s="417">
        <v>0</v>
      </c>
      <c r="AV19" s="417">
        <v>0</v>
      </c>
      <c r="AW19" s="417">
        <v>0</v>
      </c>
      <c r="AX19" s="417">
        <f t="shared" si="17"/>
        <v>0</v>
      </c>
      <c r="AY19" s="417">
        <f t="shared" si="18"/>
        <v>156200</v>
      </c>
      <c r="AZ19" s="418">
        <v>0</v>
      </c>
      <c r="BA19" s="418">
        <v>0</v>
      </c>
      <c r="BB19" s="418">
        <f>0.19+0.13</f>
        <v>0.32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9"/>
        <v>0.32</v>
      </c>
      <c r="BJ19" s="418">
        <f t="shared" si="20"/>
        <v>0</v>
      </c>
      <c r="BK19" s="420">
        <f t="shared" si="21"/>
        <v>0.32</v>
      </c>
      <c r="BL19" s="772">
        <f>I19+AY19</f>
        <v>7666890</v>
      </c>
      <c r="BM19" s="417">
        <f>J19+AG19</f>
        <v>5672581</v>
      </c>
      <c r="BN19" s="417">
        <f t="shared" si="26"/>
        <v>5672581</v>
      </c>
      <c r="BO19" s="417">
        <f t="shared" si="26"/>
        <v>0</v>
      </c>
      <c r="BP19" s="417">
        <f>M19+AO19</f>
        <v>0</v>
      </c>
      <c r="BQ19" s="417">
        <f t="shared" si="27"/>
        <v>0</v>
      </c>
      <c r="BR19" s="417">
        <f t="shared" si="27"/>
        <v>0</v>
      </c>
      <c r="BS19" s="417">
        <f t="shared" si="28"/>
        <v>1917332</v>
      </c>
      <c r="BT19" s="417">
        <f t="shared" si="28"/>
        <v>56727</v>
      </c>
      <c r="BU19" s="417">
        <f>R19+AX19</f>
        <v>20250</v>
      </c>
      <c r="BV19" s="418">
        <f>S19+BK19</f>
        <v>14.760000000000002</v>
      </c>
      <c r="BW19" s="418">
        <f t="shared" si="29"/>
        <v>14.760000000000002</v>
      </c>
      <c r="BX19" s="420">
        <f t="shared" si="29"/>
        <v>0</v>
      </c>
      <c r="BY19" s="419"/>
      <c r="BZ19" s="414"/>
      <c r="CA19" s="414"/>
      <c r="CB19" s="414"/>
      <c r="CC19" s="414"/>
      <c r="CD19" s="509"/>
      <c r="CE19" s="419"/>
      <c r="CF19" s="414"/>
      <c r="CG19" s="414"/>
      <c r="CH19" s="414"/>
      <c r="CI19" s="414"/>
      <c r="CJ19" s="509"/>
    </row>
    <row r="20" spans="1:88">
      <c r="A20" s="205">
        <v>3</v>
      </c>
      <c r="B20" s="206">
        <v>3439</v>
      </c>
      <c r="C20" s="206">
        <v>600010473</v>
      </c>
      <c r="D20" s="206">
        <v>43256791</v>
      </c>
      <c r="E20" s="204" t="s">
        <v>764</v>
      </c>
      <c r="F20" s="206">
        <v>3143</v>
      </c>
      <c r="G20" s="207" t="s">
        <v>595</v>
      </c>
      <c r="H20" s="609" t="s">
        <v>271</v>
      </c>
      <c r="I20" s="419">
        <v>2223786</v>
      </c>
      <c r="J20" s="414">
        <v>1612134</v>
      </c>
      <c r="K20" s="414">
        <v>1612134</v>
      </c>
      <c r="L20" s="414">
        <v>0</v>
      </c>
      <c r="M20" s="414">
        <v>37840</v>
      </c>
      <c r="N20" s="414">
        <v>37840</v>
      </c>
      <c r="O20" s="414">
        <v>0</v>
      </c>
      <c r="P20" s="68">
        <v>557691</v>
      </c>
      <c r="Q20" s="68">
        <v>16121</v>
      </c>
      <c r="R20" s="414">
        <v>0</v>
      </c>
      <c r="S20" s="415">
        <v>3.36</v>
      </c>
      <c r="T20" s="416">
        <v>3.36</v>
      </c>
      <c r="U20" s="422">
        <v>0</v>
      </c>
      <c r="V20" s="423">
        <f t="shared" si="4"/>
        <v>0</v>
      </c>
      <c r="W20" s="417">
        <f t="shared" si="5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6"/>
        <v>0</v>
      </c>
      <c r="AF20" s="417">
        <f t="shared" si="7"/>
        <v>0</v>
      </c>
      <c r="AG20" s="417">
        <f t="shared" si="8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9"/>
        <v>0</v>
      </c>
      <c r="AN20" s="417">
        <f t="shared" si="10"/>
        <v>0</v>
      </c>
      <c r="AO20" s="417">
        <f t="shared" si="11"/>
        <v>0</v>
      </c>
      <c r="AP20" s="417">
        <f t="shared" si="12"/>
        <v>0</v>
      </c>
      <c r="AQ20" s="417">
        <f t="shared" si="13"/>
        <v>0</v>
      </c>
      <c r="AR20" s="417">
        <f t="shared" si="14"/>
        <v>0</v>
      </c>
      <c r="AS20" s="68">
        <f t="shared" si="15"/>
        <v>0</v>
      </c>
      <c r="AT20" s="68">
        <f t="shared" si="16"/>
        <v>0</v>
      </c>
      <c r="AU20" s="417">
        <v>0</v>
      </c>
      <c r="AV20" s="417">
        <v>0</v>
      </c>
      <c r="AW20" s="417">
        <v>0</v>
      </c>
      <c r="AX20" s="417">
        <f t="shared" si="17"/>
        <v>0</v>
      </c>
      <c r="AY20" s="417">
        <f t="shared" si="18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9"/>
        <v>0</v>
      </c>
      <c r="BJ20" s="418">
        <f t="shared" si="20"/>
        <v>0</v>
      </c>
      <c r="BK20" s="420">
        <f t="shared" si="21"/>
        <v>0</v>
      </c>
      <c r="BL20" s="772">
        <f>I20+AY20</f>
        <v>2223786</v>
      </c>
      <c r="BM20" s="417">
        <f>J20+AG20</f>
        <v>1612134</v>
      </c>
      <c r="BN20" s="417">
        <f t="shared" si="26"/>
        <v>1612134</v>
      </c>
      <c r="BO20" s="417">
        <f t="shared" si="26"/>
        <v>0</v>
      </c>
      <c r="BP20" s="417">
        <f>M20+AO20</f>
        <v>37840</v>
      </c>
      <c r="BQ20" s="417">
        <f t="shared" si="27"/>
        <v>37840</v>
      </c>
      <c r="BR20" s="417">
        <f t="shared" si="27"/>
        <v>0</v>
      </c>
      <c r="BS20" s="417">
        <f t="shared" si="28"/>
        <v>557691</v>
      </c>
      <c r="BT20" s="417">
        <f t="shared" si="28"/>
        <v>16121</v>
      </c>
      <c r="BU20" s="417">
        <f>R20+AX20</f>
        <v>0</v>
      </c>
      <c r="BV20" s="418">
        <f>S20+BK20</f>
        <v>3.36</v>
      </c>
      <c r="BW20" s="418">
        <f t="shared" si="29"/>
        <v>3.36</v>
      </c>
      <c r="BX20" s="420">
        <f t="shared" si="29"/>
        <v>0</v>
      </c>
      <c r="BY20" s="419"/>
      <c r="BZ20" s="414"/>
      <c r="CA20" s="414"/>
      <c r="CB20" s="414"/>
      <c r="CC20" s="414"/>
      <c r="CD20" s="509"/>
      <c r="CE20" s="419"/>
      <c r="CF20" s="414"/>
      <c r="CG20" s="414"/>
      <c r="CH20" s="414"/>
      <c r="CI20" s="414"/>
      <c r="CJ20" s="509"/>
    </row>
    <row r="21" spans="1:88">
      <c r="A21" s="205">
        <v>3</v>
      </c>
      <c r="B21" s="206">
        <v>3439</v>
      </c>
      <c r="C21" s="206">
        <v>600010473</v>
      </c>
      <c r="D21" s="206">
        <v>43256791</v>
      </c>
      <c r="E21" s="204" t="s">
        <v>764</v>
      </c>
      <c r="F21" s="206">
        <v>3143</v>
      </c>
      <c r="G21" s="207" t="s">
        <v>596</v>
      </c>
      <c r="H21" s="609" t="s">
        <v>272</v>
      </c>
      <c r="I21" s="419">
        <v>65314</v>
      </c>
      <c r="J21" s="414">
        <v>46750</v>
      </c>
      <c r="K21" s="414">
        <v>0</v>
      </c>
      <c r="L21" s="414">
        <v>46750</v>
      </c>
      <c r="M21" s="414">
        <v>0</v>
      </c>
      <c r="N21" s="414">
        <v>0</v>
      </c>
      <c r="O21" s="414">
        <v>0</v>
      </c>
      <c r="P21" s="68">
        <v>15801</v>
      </c>
      <c r="Q21" s="68">
        <v>468</v>
      </c>
      <c r="R21" s="414">
        <v>2295</v>
      </c>
      <c r="S21" s="415">
        <v>0.18</v>
      </c>
      <c r="T21" s="416">
        <v>0</v>
      </c>
      <c r="U21" s="422">
        <v>0.18</v>
      </c>
      <c r="V21" s="423">
        <f t="shared" si="4"/>
        <v>0</v>
      </c>
      <c r="W21" s="417">
        <f t="shared" si="5"/>
        <v>0</v>
      </c>
      <c r="X21" s="417">
        <v>0</v>
      </c>
      <c r="Y21" s="417">
        <v>0</v>
      </c>
      <c r="Z21" s="417">
        <v>214184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6"/>
        <v>214184</v>
      </c>
      <c r="AF21" s="417">
        <f t="shared" si="7"/>
        <v>0</v>
      </c>
      <c r="AG21" s="417">
        <f t="shared" si="8"/>
        <v>214184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9"/>
        <v>0</v>
      </c>
      <c r="AN21" s="417">
        <f t="shared" si="10"/>
        <v>0</v>
      </c>
      <c r="AO21" s="417">
        <f t="shared" si="11"/>
        <v>0</v>
      </c>
      <c r="AP21" s="417">
        <f t="shared" si="12"/>
        <v>214184</v>
      </c>
      <c r="AQ21" s="417">
        <f t="shared" si="13"/>
        <v>0</v>
      </c>
      <c r="AR21" s="417">
        <f t="shared" si="14"/>
        <v>214184</v>
      </c>
      <c r="AS21" s="68">
        <f t="shared" si="15"/>
        <v>72394</v>
      </c>
      <c r="AT21" s="68">
        <f t="shared" si="16"/>
        <v>2142</v>
      </c>
      <c r="AU21" s="417">
        <v>0</v>
      </c>
      <c r="AV21" s="417">
        <v>0</v>
      </c>
      <c r="AW21" s="417">
        <v>0</v>
      </c>
      <c r="AX21" s="417">
        <f t="shared" si="17"/>
        <v>0</v>
      </c>
      <c r="AY21" s="417">
        <f t="shared" si="18"/>
        <v>288720</v>
      </c>
      <c r="AZ21" s="418">
        <v>0</v>
      </c>
      <c r="BA21" s="418">
        <v>0</v>
      </c>
      <c r="BB21" s="418">
        <v>0</v>
      </c>
      <c r="BC21" s="418">
        <v>0.5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9"/>
        <v>0.5</v>
      </c>
      <c r="BJ21" s="418">
        <f t="shared" si="20"/>
        <v>0</v>
      </c>
      <c r="BK21" s="420">
        <f t="shared" si="21"/>
        <v>0.5</v>
      </c>
      <c r="BL21" s="772">
        <f>I21+AY21</f>
        <v>354034</v>
      </c>
      <c r="BM21" s="417">
        <f>J21+AG21</f>
        <v>260934</v>
      </c>
      <c r="BN21" s="417">
        <f t="shared" si="26"/>
        <v>214184</v>
      </c>
      <c r="BO21" s="417">
        <f t="shared" si="26"/>
        <v>46750</v>
      </c>
      <c r="BP21" s="417">
        <f>M21+AO21</f>
        <v>0</v>
      </c>
      <c r="BQ21" s="417">
        <f t="shared" si="27"/>
        <v>0</v>
      </c>
      <c r="BR21" s="417">
        <f t="shared" si="27"/>
        <v>0</v>
      </c>
      <c r="BS21" s="417">
        <f t="shared" si="28"/>
        <v>88195</v>
      </c>
      <c r="BT21" s="417">
        <f t="shared" si="28"/>
        <v>2610</v>
      </c>
      <c r="BU21" s="417">
        <f>R21+AX21</f>
        <v>2295</v>
      </c>
      <c r="BV21" s="418">
        <f>S21+BK21</f>
        <v>0.67999999999999994</v>
      </c>
      <c r="BW21" s="418">
        <f t="shared" si="29"/>
        <v>0.5</v>
      </c>
      <c r="BX21" s="420">
        <f t="shared" si="29"/>
        <v>0.18</v>
      </c>
      <c r="BY21" s="419"/>
      <c r="BZ21" s="414"/>
      <c r="CA21" s="414"/>
      <c r="CB21" s="414"/>
      <c r="CC21" s="414"/>
      <c r="CD21" s="509"/>
      <c r="CE21" s="419"/>
      <c r="CF21" s="414"/>
      <c r="CG21" s="414"/>
      <c r="CH21" s="414"/>
      <c r="CI21" s="414"/>
      <c r="CJ21" s="509"/>
    </row>
    <row r="22" spans="1:88">
      <c r="A22" s="205">
        <v>3</v>
      </c>
      <c r="B22" s="206">
        <v>3439</v>
      </c>
      <c r="C22" s="206">
        <v>600010473</v>
      </c>
      <c r="D22" s="206">
        <v>43256791</v>
      </c>
      <c r="E22" s="204" t="s">
        <v>764</v>
      </c>
      <c r="F22" s="206">
        <v>3143</v>
      </c>
      <c r="G22" s="207" t="s">
        <v>296</v>
      </c>
      <c r="H22" s="607" t="s">
        <v>272</v>
      </c>
      <c r="I22" s="419">
        <v>251912</v>
      </c>
      <c r="J22" s="414">
        <v>166560</v>
      </c>
      <c r="K22" s="414">
        <v>147310</v>
      </c>
      <c r="L22" s="414">
        <v>19250</v>
      </c>
      <c r="M22" s="414">
        <v>20000</v>
      </c>
      <c r="N22" s="414">
        <v>20000</v>
      </c>
      <c r="O22" s="414">
        <v>0</v>
      </c>
      <c r="P22" s="68">
        <v>63057</v>
      </c>
      <c r="Q22" s="68">
        <v>1665</v>
      </c>
      <c r="R22" s="414">
        <v>630</v>
      </c>
      <c r="S22" s="415">
        <v>0.35</v>
      </c>
      <c r="T22" s="416">
        <v>0.28000000000000003</v>
      </c>
      <c r="U22" s="422">
        <v>7.0000000000000007E-2</v>
      </c>
      <c r="V22" s="423">
        <f t="shared" si="4"/>
        <v>0</v>
      </c>
      <c r="W22" s="417">
        <f t="shared" si="5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6"/>
        <v>0</v>
      </c>
      <c r="AF22" s="417">
        <f t="shared" si="7"/>
        <v>0</v>
      </c>
      <c r="AG22" s="417">
        <f t="shared" si="8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9"/>
        <v>0</v>
      </c>
      <c r="AN22" s="417">
        <f t="shared" si="10"/>
        <v>0</v>
      </c>
      <c r="AO22" s="417">
        <f t="shared" si="11"/>
        <v>0</v>
      </c>
      <c r="AP22" s="417">
        <f t="shared" si="12"/>
        <v>0</v>
      </c>
      <c r="AQ22" s="417">
        <f t="shared" si="13"/>
        <v>0</v>
      </c>
      <c r="AR22" s="417">
        <f t="shared" si="14"/>
        <v>0</v>
      </c>
      <c r="AS22" s="68">
        <f t="shared" si="15"/>
        <v>0</v>
      </c>
      <c r="AT22" s="68">
        <f t="shared" si="16"/>
        <v>0</v>
      </c>
      <c r="AU22" s="417">
        <v>0</v>
      </c>
      <c r="AV22" s="417">
        <v>0</v>
      </c>
      <c r="AW22" s="417">
        <v>0</v>
      </c>
      <c r="AX22" s="417">
        <f t="shared" si="17"/>
        <v>0</v>
      </c>
      <c r="AY22" s="417">
        <f t="shared" si="18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9"/>
        <v>0</v>
      </c>
      <c r="BJ22" s="418">
        <f t="shared" si="20"/>
        <v>0</v>
      </c>
      <c r="BK22" s="420">
        <f t="shared" si="21"/>
        <v>0</v>
      </c>
      <c r="BL22" s="772">
        <f>I22+AY22</f>
        <v>251912</v>
      </c>
      <c r="BM22" s="417">
        <f>J22+AG22</f>
        <v>166560</v>
      </c>
      <c r="BN22" s="417">
        <f t="shared" si="26"/>
        <v>147310</v>
      </c>
      <c r="BO22" s="417">
        <f t="shared" si="26"/>
        <v>19250</v>
      </c>
      <c r="BP22" s="417">
        <f>M22+AO22</f>
        <v>20000</v>
      </c>
      <c r="BQ22" s="417">
        <f t="shared" si="27"/>
        <v>20000</v>
      </c>
      <c r="BR22" s="417">
        <f t="shared" si="27"/>
        <v>0</v>
      </c>
      <c r="BS22" s="417">
        <f t="shared" si="28"/>
        <v>63057</v>
      </c>
      <c r="BT22" s="417">
        <f t="shared" si="28"/>
        <v>1665</v>
      </c>
      <c r="BU22" s="417">
        <f>R22+AX22</f>
        <v>630</v>
      </c>
      <c r="BV22" s="418">
        <f>S22+BK22</f>
        <v>0.35</v>
      </c>
      <c r="BW22" s="418">
        <f t="shared" si="29"/>
        <v>0.28000000000000003</v>
      </c>
      <c r="BX22" s="420">
        <f t="shared" si="29"/>
        <v>7.0000000000000007E-2</v>
      </c>
      <c r="BY22" s="419"/>
      <c r="BZ22" s="414"/>
      <c r="CA22" s="414"/>
      <c r="CB22" s="414"/>
      <c r="CC22" s="414"/>
      <c r="CD22" s="509"/>
      <c r="CE22" s="419"/>
      <c r="CF22" s="601"/>
      <c r="CG22" s="414"/>
      <c r="CH22" s="414"/>
      <c r="CI22" s="602"/>
      <c r="CJ22" s="603"/>
    </row>
    <row r="23" spans="1:88">
      <c r="A23" s="155">
        <v>3</v>
      </c>
      <c r="B23" s="18">
        <v>3439</v>
      </c>
      <c r="C23" s="18">
        <v>600010473</v>
      </c>
      <c r="D23" s="18">
        <v>43256791</v>
      </c>
      <c r="E23" s="164" t="s">
        <v>90</v>
      </c>
      <c r="F23" s="18"/>
      <c r="G23" s="154"/>
      <c r="H23" s="608"/>
      <c r="I23" s="447">
        <v>36709475</v>
      </c>
      <c r="J23" s="444">
        <v>26404195</v>
      </c>
      <c r="K23" s="444">
        <v>24488310</v>
      </c>
      <c r="L23" s="444">
        <v>1915885</v>
      </c>
      <c r="M23" s="444">
        <v>342840</v>
      </c>
      <c r="N23" s="444">
        <v>227840</v>
      </c>
      <c r="O23" s="444">
        <v>115000</v>
      </c>
      <c r="P23" s="444">
        <v>9040497</v>
      </c>
      <c r="Q23" s="444">
        <v>264043</v>
      </c>
      <c r="R23" s="444">
        <v>657900</v>
      </c>
      <c r="S23" s="445">
        <v>50.809100000000001</v>
      </c>
      <c r="T23" s="445">
        <v>45.292000000000002</v>
      </c>
      <c r="U23" s="449">
        <v>5.5170999999999992</v>
      </c>
      <c r="V23" s="447">
        <f t="shared" ref="V23:CG23" si="30">SUM(V18:V22)</f>
        <v>0</v>
      </c>
      <c r="W23" s="444">
        <f t="shared" si="30"/>
        <v>0</v>
      </c>
      <c r="X23" s="444">
        <f t="shared" si="30"/>
        <v>115875</v>
      </c>
      <c r="Y23" s="444">
        <f t="shared" si="30"/>
        <v>15888</v>
      </c>
      <c r="Z23" s="444">
        <f t="shared" si="30"/>
        <v>214184</v>
      </c>
      <c r="AA23" s="444">
        <f t="shared" si="30"/>
        <v>0</v>
      </c>
      <c r="AB23" s="444">
        <f t="shared" si="30"/>
        <v>0</v>
      </c>
      <c r="AC23" s="444">
        <f t="shared" si="30"/>
        <v>0</v>
      </c>
      <c r="AD23" s="444">
        <f t="shared" si="30"/>
        <v>0</v>
      </c>
      <c r="AE23" s="444">
        <f t="shared" si="30"/>
        <v>345947</v>
      </c>
      <c r="AF23" s="444">
        <f t="shared" si="30"/>
        <v>0</v>
      </c>
      <c r="AG23" s="444">
        <f t="shared" si="30"/>
        <v>345947</v>
      </c>
      <c r="AH23" s="444">
        <f t="shared" si="30"/>
        <v>0</v>
      </c>
      <c r="AI23" s="444">
        <f t="shared" si="30"/>
        <v>0</v>
      </c>
      <c r="AJ23" s="444">
        <f t="shared" si="30"/>
        <v>0</v>
      </c>
      <c r="AK23" s="444">
        <f t="shared" si="30"/>
        <v>0</v>
      </c>
      <c r="AL23" s="444">
        <f t="shared" si="30"/>
        <v>0</v>
      </c>
      <c r="AM23" s="444">
        <f t="shared" si="30"/>
        <v>0</v>
      </c>
      <c r="AN23" s="444">
        <f t="shared" si="30"/>
        <v>0</v>
      </c>
      <c r="AO23" s="444">
        <f t="shared" si="30"/>
        <v>0</v>
      </c>
      <c r="AP23" s="444">
        <f t="shared" si="30"/>
        <v>345947</v>
      </c>
      <c r="AQ23" s="444">
        <f t="shared" si="30"/>
        <v>0</v>
      </c>
      <c r="AR23" s="444">
        <f t="shared" si="30"/>
        <v>345947</v>
      </c>
      <c r="AS23" s="444">
        <f t="shared" si="30"/>
        <v>116930</v>
      </c>
      <c r="AT23" s="444">
        <f t="shared" si="30"/>
        <v>3460</v>
      </c>
      <c r="AU23" s="444">
        <f t="shared" si="30"/>
        <v>0</v>
      </c>
      <c r="AV23" s="444">
        <f t="shared" si="30"/>
        <v>0</v>
      </c>
      <c r="AW23" s="444">
        <f t="shared" si="30"/>
        <v>0</v>
      </c>
      <c r="AX23" s="444">
        <f t="shared" si="30"/>
        <v>0</v>
      </c>
      <c r="AY23" s="444">
        <f t="shared" si="30"/>
        <v>466337</v>
      </c>
      <c r="AZ23" s="445">
        <f t="shared" si="30"/>
        <v>0</v>
      </c>
      <c r="BA23" s="445">
        <f t="shared" si="30"/>
        <v>0</v>
      </c>
      <c r="BB23" s="445">
        <f t="shared" si="30"/>
        <v>0.32</v>
      </c>
      <c r="BC23" s="445">
        <f t="shared" si="30"/>
        <v>0.5</v>
      </c>
      <c r="BD23" s="445">
        <f t="shared" si="30"/>
        <v>0</v>
      </c>
      <c r="BE23" s="445">
        <f t="shared" si="30"/>
        <v>0.02</v>
      </c>
      <c r="BF23" s="445">
        <f t="shared" si="30"/>
        <v>0</v>
      </c>
      <c r="BG23" s="445">
        <f t="shared" si="30"/>
        <v>0</v>
      </c>
      <c r="BH23" s="445">
        <f t="shared" si="30"/>
        <v>0</v>
      </c>
      <c r="BI23" s="445">
        <f t="shared" si="30"/>
        <v>0.84000000000000008</v>
      </c>
      <c r="BJ23" s="445">
        <f t="shared" si="30"/>
        <v>0</v>
      </c>
      <c r="BK23" s="39">
        <f t="shared" si="30"/>
        <v>0.84000000000000008</v>
      </c>
      <c r="BL23" s="451">
        <f t="shared" si="30"/>
        <v>37175812</v>
      </c>
      <c r="BM23" s="444">
        <f t="shared" si="30"/>
        <v>26750142</v>
      </c>
      <c r="BN23" s="444">
        <f t="shared" si="30"/>
        <v>24834257</v>
      </c>
      <c r="BO23" s="444">
        <f t="shared" si="30"/>
        <v>1915885</v>
      </c>
      <c r="BP23" s="444">
        <f t="shared" si="30"/>
        <v>342840</v>
      </c>
      <c r="BQ23" s="444">
        <f t="shared" si="30"/>
        <v>227840</v>
      </c>
      <c r="BR23" s="444">
        <f t="shared" si="30"/>
        <v>115000</v>
      </c>
      <c r="BS23" s="444">
        <f t="shared" si="30"/>
        <v>9157427</v>
      </c>
      <c r="BT23" s="444">
        <f t="shared" si="30"/>
        <v>267503</v>
      </c>
      <c r="BU23" s="444">
        <f t="shared" si="30"/>
        <v>657900</v>
      </c>
      <c r="BV23" s="445">
        <f t="shared" si="30"/>
        <v>51.649100000000004</v>
      </c>
      <c r="BW23" s="445">
        <f t="shared" si="30"/>
        <v>46.132000000000005</v>
      </c>
      <c r="BX23" s="39">
        <f t="shared" si="30"/>
        <v>5.5170999999999992</v>
      </c>
      <c r="BY23" s="806">
        <f t="shared" si="30"/>
        <v>380136</v>
      </c>
      <c r="BZ23" s="709">
        <f t="shared" si="30"/>
        <v>282000</v>
      </c>
      <c r="CA23" s="709">
        <f t="shared" si="30"/>
        <v>0</v>
      </c>
      <c r="CB23" s="709">
        <f t="shared" si="30"/>
        <v>95316</v>
      </c>
      <c r="CC23" s="709">
        <f t="shared" si="30"/>
        <v>2820</v>
      </c>
      <c r="CD23" s="807">
        <f t="shared" si="30"/>
        <v>0.5</v>
      </c>
      <c r="CE23" s="919">
        <f t="shared" si="30"/>
        <v>992322</v>
      </c>
      <c r="CF23" s="920">
        <f t="shared" si="30"/>
        <v>630455</v>
      </c>
      <c r="CG23" s="920">
        <f t="shared" si="30"/>
        <v>213094</v>
      </c>
      <c r="CH23" s="920">
        <f t="shared" ref="CH23:CJ23" si="31">SUM(CH18:CH22)</f>
        <v>6305</v>
      </c>
      <c r="CI23" s="920">
        <f t="shared" si="31"/>
        <v>142468</v>
      </c>
      <c r="CJ23" s="921">
        <f t="shared" si="31"/>
        <v>1.7798</v>
      </c>
    </row>
    <row r="24" spans="1:88">
      <c r="A24" s="205">
        <v>4</v>
      </c>
      <c r="B24" s="206">
        <v>3438</v>
      </c>
      <c r="C24" s="206">
        <v>600078493</v>
      </c>
      <c r="D24" s="206">
        <v>43257089</v>
      </c>
      <c r="E24" s="204" t="s">
        <v>91</v>
      </c>
      <c r="F24" s="206">
        <v>3113</v>
      </c>
      <c r="G24" s="207" t="s">
        <v>293</v>
      </c>
      <c r="H24" s="607" t="s">
        <v>271</v>
      </c>
      <c r="I24" s="419">
        <v>31381439</v>
      </c>
      <c r="J24" s="414">
        <v>22868789</v>
      </c>
      <c r="K24" s="414">
        <v>20604011</v>
      </c>
      <c r="L24" s="414">
        <v>2264778</v>
      </c>
      <c r="M24" s="414">
        <v>45000</v>
      </c>
      <c r="N24" s="414">
        <v>40000</v>
      </c>
      <c r="O24" s="414">
        <v>5000</v>
      </c>
      <c r="P24" s="68">
        <v>7744861</v>
      </c>
      <c r="Q24" s="68">
        <v>228689</v>
      </c>
      <c r="R24" s="414">
        <v>494100</v>
      </c>
      <c r="S24" s="415">
        <v>37.433899999999994</v>
      </c>
      <c r="T24" s="416">
        <v>30.709099999999999</v>
      </c>
      <c r="U24" s="422">
        <v>6.7248000000000001</v>
      </c>
      <c r="V24" s="423">
        <f t="shared" si="4"/>
        <v>-10000</v>
      </c>
      <c r="W24" s="417">
        <f t="shared" si="5"/>
        <v>5000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6"/>
        <v>-10000</v>
      </c>
      <c r="AF24" s="417">
        <f t="shared" si="7"/>
        <v>5000</v>
      </c>
      <c r="AG24" s="417">
        <f t="shared" si="8"/>
        <v>-5000</v>
      </c>
      <c r="AH24" s="417">
        <v>10000</v>
      </c>
      <c r="AI24" s="417">
        <v>-5000</v>
      </c>
      <c r="AJ24" s="417">
        <v>0</v>
      </c>
      <c r="AK24" s="417">
        <v>0</v>
      </c>
      <c r="AL24" s="417">
        <v>0</v>
      </c>
      <c r="AM24" s="417">
        <f t="shared" si="9"/>
        <v>10000</v>
      </c>
      <c r="AN24" s="417">
        <f t="shared" si="10"/>
        <v>-5000</v>
      </c>
      <c r="AO24" s="417">
        <f t="shared" si="11"/>
        <v>5000</v>
      </c>
      <c r="AP24" s="417">
        <f t="shared" si="12"/>
        <v>0</v>
      </c>
      <c r="AQ24" s="417">
        <f t="shared" si="13"/>
        <v>0</v>
      </c>
      <c r="AR24" s="417">
        <f t="shared" si="14"/>
        <v>0</v>
      </c>
      <c r="AS24" s="68">
        <f t="shared" si="15"/>
        <v>0</v>
      </c>
      <c r="AT24" s="68">
        <f t="shared" si="16"/>
        <v>-50</v>
      </c>
      <c r="AU24" s="417">
        <v>0</v>
      </c>
      <c r="AV24" s="417">
        <v>0</v>
      </c>
      <c r="AW24" s="417">
        <v>0</v>
      </c>
      <c r="AX24" s="417">
        <f t="shared" si="17"/>
        <v>0</v>
      </c>
      <c r="AY24" s="417">
        <f t="shared" si="18"/>
        <v>-50</v>
      </c>
      <c r="AZ24" s="418">
        <v>-7.0000000000000007E-2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9"/>
        <v>-7.0000000000000007E-2</v>
      </c>
      <c r="BJ24" s="418">
        <f t="shared" si="20"/>
        <v>0</v>
      </c>
      <c r="BK24" s="420">
        <f t="shared" si="21"/>
        <v>-7.0000000000000007E-2</v>
      </c>
      <c r="BL24" s="772">
        <f>I24+AY24</f>
        <v>31381389</v>
      </c>
      <c r="BM24" s="417">
        <f>J24+AG24</f>
        <v>22863789</v>
      </c>
      <c r="BN24" s="417">
        <f t="shared" ref="BN24:BO27" si="32">K24+AE24</f>
        <v>20594011</v>
      </c>
      <c r="BO24" s="417">
        <f t="shared" si="32"/>
        <v>2269778</v>
      </c>
      <c r="BP24" s="417">
        <f>M24+AO24</f>
        <v>50000</v>
      </c>
      <c r="BQ24" s="417">
        <f t="shared" ref="BQ24:BR27" si="33">N24+AM24</f>
        <v>50000</v>
      </c>
      <c r="BR24" s="417">
        <f t="shared" si="33"/>
        <v>0</v>
      </c>
      <c r="BS24" s="417">
        <f t="shared" ref="BS24:BT27" si="34">P24+AS24</f>
        <v>7744861</v>
      </c>
      <c r="BT24" s="417">
        <f t="shared" si="34"/>
        <v>228639</v>
      </c>
      <c r="BU24" s="417">
        <f>R24+AX24</f>
        <v>494100</v>
      </c>
      <c r="BV24" s="418">
        <f>S24+BK24</f>
        <v>37.363899999999994</v>
      </c>
      <c r="BW24" s="418">
        <f t="shared" ref="BW24:BX27" si="35">T24+BI24</f>
        <v>30.639099999999999</v>
      </c>
      <c r="BX24" s="420">
        <f t="shared" si="35"/>
        <v>6.7248000000000001</v>
      </c>
      <c r="BY24" s="419">
        <v>608218</v>
      </c>
      <c r="BZ24" s="414">
        <v>451200</v>
      </c>
      <c r="CA24" s="414">
        <v>0</v>
      </c>
      <c r="CB24" s="414">
        <v>152506</v>
      </c>
      <c r="CC24" s="414">
        <v>4512</v>
      </c>
      <c r="CD24" s="509">
        <v>0.8</v>
      </c>
      <c r="CE24" s="419">
        <v>1106949</v>
      </c>
      <c r="CF24" s="414">
        <v>728584</v>
      </c>
      <c r="CG24" s="414">
        <v>246261</v>
      </c>
      <c r="CH24" s="414">
        <v>7286</v>
      </c>
      <c r="CI24" s="414">
        <v>124818</v>
      </c>
      <c r="CJ24" s="509">
        <v>2.1588000000000003</v>
      </c>
    </row>
    <row r="25" spans="1:88">
      <c r="A25" s="205">
        <v>4</v>
      </c>
      <c r="B25" s="206">
        <v>3438</v>
      </c>
      <c r="C25" s="206">
        <v>600078493</v>
      </c>
      <c r="D25" s="206">
        <v>43257089</v>
      </c>
      <c r="E25" s="204" t="s">
        <v>91</v>
      </c>
      <c r="F25" s="206">
        <v>3113</v>
      </c>
      <c r="G25" s="207" t="s">
        <v>291</v>
      </c>
      <c r="H25" s="607" t="s">
        <v>272</v>
      </c>
      <c r="I25" s="419">
        <v>4263356</v>
      </c>
      <c r="J25" s="414">
        <v>3162727</v>
      </c>
      <c r="K25" s="414">
        <v>3162727</v>
      </c>
      <c r="L25" s="414">
        <v>0</v>
      </c>
      <c r="M25" s="414">
        <v>0</v>
      </c>
      <c r="N25" s="414">
        <v>0</v>
      </c>
      <c r="O25" s="414">
        <v>0</v>
      </c>
      <c r="P25" s="68">
        <v>1069002</v>
      </c>
      <c r="Q25" s="68">
        <v>31627</v>
      </c>
      <c r="R25" s="414">
        <v>0</v>
      </c>
      <c r="S25" s="415">
        <v>8.25</v>
      </c>
      <c r="T25" s="416">
        <v>8.25</v>
      </c>
      <c r="U25" s="422">
        <v>0</v>
      </c>
      <c r="V25" s="423">
        <f t="shared" si="4"/>
        <v>0</v>
      </c>
      <c r="W25" s="417">
        <f t="shared" si="5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6"/>
        <v>0</v>
      </c>
      <c r="AF25" s="417">
        <f t="shared" si="7"/>
        <v>0</v>
      </c>
      <c r="AG25" s="417">
        <f t="shared" si="8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9"/>
        <v>0</v>
      </c>
      <c r="AN25" s="417">
        <f t="shared" si="10"/>
        <v>0</v>
      </c>
      <c r="AO25" s="417">
        <f t="shared" si="11"/>
        <v>0</v>
      </c>
      <c r="AP25" s="417">
        <f t="shared" si="12"/>
        <v>0</v>
      </c>
      <c r="AQ25" s="417">
        <f t="shared" si="13"/>
        <v>0</v>
      </c>
      <c r="AR25" s="417">
        <f t="shared" si="14"/>
        <v>0</v>
      </c>
      <c r="AS25" s="68">
        <f t="shared" si="15"/>
        <v>0</v>
      </c>
      <c r="AT25" s="68">
        <f t="shared" si="16"/>
        <v>0</v>
      </c>
      <c r="AU25" s="417">
        <v>0</v>
      </c>
      <c r="AV25" s="417">
        <v>0</v>
      </c>
      <c r="AW25" s="417">
        <v>0</v>
      </c>
      <c r="AX25" s="417">
        <f t="shared" si="17"/>
        <v>0</v>
      </c>
      <c r="AY25" s="417">
        <f t="shared" si="18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9"/>
        <v>0</v>
      </c>
      <c r="BJ25" s="418">
        <f t="shared" si="20"/>
        <v>0</v>
      </c>
      <c r="BK25" s="420">
        <f t="shared" si="21"/>
        <v>0</v>
      </c>
      <c r="BL25" s="772">
        <f>I25+AY25</f>
        <v>4263356</v>
      </c>
      <c r="BM25" s="417">
        <f>J25+AG25</f>
        <v>3162727</v>
      </c>
      <c r="BN25" s="417">
        <f t="shared" si="32"/>
        <v>3162727</v>
      </c>
      <c r="BO25" s="417">
        <f t="shared" si="32"/>
        <v>0</v>
      </c>
      <c r="BP25" s="417">
        <f>M25+AO25</f>
        <v>0</v>
      </c>
      <c r="BQ25" s="417">
        <f t="shared" si="33"/>
        <v>0</v>
      </c>
      <c r="BR25" s="417">
        <f t="shared" si="33"/>
        <v>0</v>
      </c>
      <c r="BS25" s="417">
        <f t="shared" si="34"/>
        <v>1069002</v>
      </c>
      <c r="BT25" s="417">
        <f t="shared" si="34"/>
        <v>31627</v>
      </c>
      <c r="BU25" s="417">
        <f>R25+AX25</f>
        <v>0</v>
      </c>
      <c r="BV25" s="418">
        <f>S25+BK25</f>
        <v>8.25</v>
      </c>
      <c r="BW25" s="418">
        <f t="shared" si="35"/>
        <v>8.25</v>
      </c>
      <c r="BX25" s="420">
        <f t="shared" si="35"/>
        <v>0</v>
      </c>
      <c r="BY25" s="419"/>
      <c r="BZ25" s="414"/>
      <c r="CA25" s="414"/>
      <c r="CB25" s="414"/>
      <c r="CC25" s="414"/>
      <c r="CD25" s="509"/>
      <c r="CE25" s="419"/>
      <c r="CF25" s="414"/>
      <c r="CG25" s="414"/>
      <c r="CH25" s="414"/>
      <c r="CI25" s="414"/>
      <c r="CJ25" s="509"/>
    </row>
    <row r="26" spans="1:88">
      <c r="A26" s="205">
        <v>4</v>
      </c>
      <c r="B26" s="206">
        <v>3438</v>
      </c>
      <c r="C26" s="206">
        <v>600078493</v>
      </c>
      <c r="D26" s="206">
        <v>43257089</v>
      </c>
      <c r="E26" s="204" t="s">
        <v>91</v>
      </c>
      <c r="F26" s="206">
        <v>3143</v>
      </c>
      <c r="G26" s="207" t="s">
        <v>595</v>
      </c>
      <c r="H26" s="609" t="s">
        <v>271</v>
      </c>
      <c r="I26" s="419">
        <v>1917997</v>
      </c>
      <c r="J26" s="414">
        <v>1422847</v>
      </c>
      <c r="K26" s="414">
        <v>1422847</v>
      </c>
      <c r="L26" s="414">
        <v>0</v>
      </c>
      <c r="M26" s="414">
        <v>0</v>
      </c>
      <c r="N26" s="414">
        <v>0</v>
      </c>
      <c r="O26" s="414">
        <v>0</v>
      </c>
      <c r="P26" s="68">
        <v>480922</v>
      </c>
      <c r="Q26" s="68">
        <v>14228</v>
      </c>
      <c r="R26" s="414">
        <v>0</v>
      </c>
      <c r="S26" s="415">
        <v>2.6606999999999998</v>
      </c>
      <c r="T26" s="416">
        <v>2.6606999999999998</v>
      </c>
      <c r="U26" s="422">
        <v>0</v>
      </c>
      <c r="V26" s="423">
        <f t="shared" si="4"/>
        <v>0</v>
      </c>
      <c r="W26" s="417">
        <f t="shared" si="5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6"/>
        <v>0</v>
      </c>
      <c r="AF26" s="417">
        <f t="shared" si="7"/>
        <v>0</v>
      </c>
      <c r="AG26" s="417">
        <f t="shared" si="8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9"/>
        <v>0</v>
      </c>
      <c r="AN26" s="417">
        <f t="shared" si="10"/>
        <v>0</v>
      </c>
      <c r="AO26" s="417">
        <f t="shared" si="11"/>
        <v>0</v>
      </c>
      <c r="AP26" s="417">
        <f t="shared" si="12"/>
        <v>0</v>
      </c>
      <c r="AQ26" s="417">
        <f t="shared" si="13"/>
        <v>0</v>
      </c>
      <c r="AR26" s="417">
        <f t="shared" si="14"/>
        <v>0</v>
      </c>
      <c r="AS26" s="68">
        <f t="shared" si="15"/>
        <v>0</v>
      </c>
      <c r="AT26" s="68">
        <f t="shared" si="16"/>
        <v>0</v>
      </c>
      <c r="AU26" s="417">
        <v>0</v>
      </c>
      <c r="AV26" s="417">
        <v>0</v>
      </c>
      <c r="AW26" s="417">
        <v>0</v>
      </c>
      <c r="AX26" s="417">
        <f t="shared" si="17"/>
        <v>0</v>
      </c>
      <c r="AY26" s="417">
        <f t="shared" si="18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9"/>
        <v>0</v>
      </c>
      <c r="BJ26" s="418">
        <f t="shared" si="20"/>
        <v>0</v>
      </c>
      <c r="BK26" s="420">
        <f t="shared" si="21"/>
        <v>0</v>
      </c>
      <c r="BL26" s="772">
        <f>I26+AY26</f>
        <v>1917997</v>
      </c>
      <c r="BM26" s="417">
        <f>J26+AG26</f>
        <v>1422847</v>
      </c>
      <c r="BN26" s="417">
        <f t="shared" si="32"/>
        <v>1422847</v>
      </c>
      <c r="BO26" s="417">
        <f t="shared" si="32"/>
        <v>0</v>
      </c>
      <c r="BP26" s="417">
        <f>M26+AO26</f>
        <v>0</v>
      </c>
      <c r="BQ26" s="417">
        <f t="shared" si="33"/>
        <v>0</v>
      </c>
      <c r="BR26" s="417">
        <f t="shared" si="33"/>
        <v>0</v>
      </c>
      <c r="BS26" s="417">
        <f t="shared" si="34"/>
        <v>480922</v>
      </c>
      <c r="BT26" s="417">
        <f t="shared" si="34"/>
        <v>14228</v>
      </c>
      <c r="BU26" s="417">
        <f>R26+AX26</f>
        <v>0</v>
      </c>
      <c r="BV26" s="418">
        <f>S26+BK26</f>
        <v>2.6606999999999998</v>
      </c>
      <c r="BW26" s="418">
        <f t="shared" si="35"/>
        <v>2.6606999999999998</v>
      </c>
      <c r="BX26" s="420">
        <f t="shared" si="35"/>
        <v>0</v>
      </c>
      <c r="BY26" s="419"/>
      <c r="BZ26" s="414"/>
      <c r="CA26" s="414"/>
      <c r="CB26" s="414"/>
      <c r="CC26" s="414"/>
      <c r="CD26" s="509"/>
      <c r="CE26" s="419"/>
      <c r="CF26" s="414"/>
      <c r="CG26" s="414"/>
      <c r="CH26" s="414"/>
      <c r="CI26" s="414"/>
      <c r="CJ26" s="509"/>
    </row>
    <row r="27" spans="1:88">
      <c r="A27" s="205">
        <v>4</v>
      </c>
      <c r="B27" s="206">
        <v>3438</v>
      </c>
      <c r="C27" s="206">
        <v>600078493</v>
      </c>
      <c r="D27" s="206">
        <v>43257089</v>
      </c>
      <c r="E27" s="204" t="s">
        <v>91</v>
      </c>
      <c r="F27" s="206">
        <v>3143</v>
      </c>
      <c r="G27" s="207" t="s">
        <v>596</v>
      </c>
      <c r="H27" s="609" t="s">
        <v>272</v>
      </c>
      <c r="I27" s="419">
        <v>63009</v>
      </c>
      <c r="J27" s="414">
        <v>45100</v>
      </c>
      <c r="K27" s="414">
        <v>0</v>
      </c>
      <c r="L27" s="414">
        <v>45100</v>
      </c>
      <c r="M27" s="414">
        <v>0</v>
      </c>
      <c r="N27" s="414">
        <v>0</v>
      </c>
      <c r="O27" s="414">
        <v>0</v>
      </c>
      <c r="P27" s="68">
        <v>15244</v>
      </c>
      <c r="Q27" s="68">
        <v>451</v>
      </c>
      <c r="R27" s="414">
        <v>2214</v>
      </c>
      <c r="S27" s="415">
        <v>0.16999999999999998</v>
      </c>
      <c r="T27" s="416">
        <v>0</v>
      </c>
      <c r="U27" s="422">
        <v>0.16999999999999998</v>
      </c>
      <c r="V27" s="423">
        <f t="shared" si="4"/>
        <v>0</v>
      </c>
      <c r="W27" s="417">
        <f t="shared" si="5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6"/>
        <v>0</v>
      </c>
      <c r="AF27" s="417">
        <f t="shared" si="7"/>
        <v>0</v>
      </c>
      <c r="AG27" s="417">
        <f t="shared" si="8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9"/>
        <v>0</v>
      </c>
      <c r="AN27" s="417">
        <f t="shared" si="10"/>
        <v>0</v>
      </c>
      <c r="AO27" s="417">
        <f t="shared" si="11"/>
        <v>0</v>
      </c>
      <c r="AP27" s="417">
        <f t="shared" si="12"/>
        <v>0</v>
      </c>
      <c r="AQ27" s="417">
        <f t="shared" si="13"/>
        <v>0</v>
      </c>
      <c r="AR27" s="417">
        <f t="shared" si="14"/>
        <v>0</v>
      </c>
      <c r="AS27" s="68">
        <f t="shared" si="15"/>
        <v>0</v>
      </c>
      <c r="AT27" s="68">
        <f t="shared" si="16"/>
        <v>0</v>
      </c>
      <c r="AU27" s="417">
        <v>0</v>
      </c>
      <c r="AV27" s="417">
        <v>0</v>
      </c>
      <c r="AW27" s="417">
        <v>0</v>
      </c>
      <c r="AX27" s="417">
        <f t="shared" si="17"/>
        <v>0</v>
      </c>
      <c r="AY27" s="417">
        <f t="shared" si="18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9"/>
        <v>0</v>
      </c>
      <c r="BJ27" s="418">
        <f t="shared" si="20"/>
        <v>0</v>
      </c>
      <c r="BK27" s="420">
        <f t="shared" si="21"/>
        <v>0</v>
      </c>
      <c r="BL27" s="772">
        <f>I27+AY27</f>
        <v>63009</v>
      </c>
      <c r="BM27" s="417">
        <f>J27+AG27</f>
        <v>45100</v>
      </c>
      <c r="BN27" s="417">
        <f t="shared" si="32"/>
        <v>0</v>
      </c>
      <c r="BO27" s="417">
        <f t="shared" si="32"/>
        <v>45100</v>
      </c>
      <c r="BP27" s="417">
        <f>M27+AO27</f>
        <v>0</v>
      </c>
      <c r="BQ27" s="417">
        <f t="shared" si="33"/>
        <v>0</v>
      </c>
      <c r="BR27" s="417">
        <f t="shared" si="33"/>
        <v>0</v>
      </c>
      <c r="BS27" s="417">
        <f t="shared" si="34"/>
        <v>15244</v>
      </c>
      <c r="BT27" s="417">
        <f t="shared" si="34"/>
        <v>451</v>
      </c>
      <c r="BU27" s="417">
        <f>R27+AX27</f>
        <v>2214</v>
      </c>
      <c r="BV27" s="418">
        <f>S27+BK27</f>
        <v>0.16999999999999998</v>
      </c>
      <c r="BW27" s="418">
        <f t="shared" si="35"/>
        <v>0</v>
      </c>
      <c r="BX27" s="420">
        <f t="shared" si="35"/>
        <v>0.16999999999999998</v>
      </c>
      <c r="BY27" s="419"/>
      <c r="BZ27" s="414"/>
      <c r="CA27" s="414"/>
      <c r="CB27" s="414"/>
      <c r="CC27" s="414"/>
      <c r="CD27" s="509"/>
      <c r="CE27" s="419"/>
      <c r="CF27" s="601"/>
      <c r="CG27" s="414"/>
      <c r="CH27" s="414"/>
      <c r="CI27" s="602"/>
      <c r="CJ27" s="603"/>
    </row>
    <row r="28" spans="1:88">
      <c r="A28" s="155">
        <v>4</v>
      </c>
      <c r="B28" s="18">
        <v>3438</v>
      </c>
      <c r="C28" s="18">
        <v>600078493</v>
      </c>
      <c r="D28" s="18">
        <v>43257089</v>
      </c>
      <c r="E28" s="164" t="s">
        <v>92</v>
      </c>
      <c r="F28" s="18"/>
      <c r="G28" s="154"/>
      <c r="H28" s="608"/>
      <c r="I28" s="447">
        <v>37625801</v>
      </c>
      <c r="J28" s="444">
        <v>27499463</v>
      </c>
      <c r="K28" s="444">
        <v>25189585</v>
      </c>
      <c r="L28" s="444">
        <v>2309878</v>
      </c>
      <c r="M28" s="444">
        <v>45000</v>
      </c>
      <c r="N28" s="444">
        <v>40000</v>
      </c>
      <c r="O28" s="444">
        <v>5000</v>
      </c>
      <c r="P28" s="444">
        <v>9310029</v>
      </c>
      <c r="Q28" s="444">
        <v>274995</v>
      </c>
      <c r="R28" s="444">
        <v>496314</v>
      </c>
      <c r="S28" s="445">
        <v>48.514599999999994</v>
      </c>
      <c r="T28" s="445">
        <v>41.619799999999998</v>
      </c>
      <c r="U28" s="449">
        <v>6.8948</v>
      </c>
      <c r="V28" s="447">
        <f t="shared" ref="V28:CG28" si="36">SUM(V24:V27)</f>
        <v>-10000</v>
      </c>
      <c r="W28" s="444">
        <f t="shared" si="36"/>
        <v>5000</v>
      </c>
      <c r="X28" s="444">
        <f t="shared" si="36"/>
        <v>0</v>
      </c>
      <c r="Y28" s="444">
        <f t="shared" si="36"/>
        <v>0</v>
      </c>
      <c r="Z28" s="444">
        <f t="shared" si="36"/>
        <v>0</v>
      </c>
      <c r="AA28" s="444">
        <f t="shared" si="36"/>
        <v>0</v>
      </c>
      <c r="AB28" s="444">
        <f t="shared" si="36"/>
        <v>0</v>
      </c>
      <c r="AC28" s="444">
        <f t="shared" si="36"/>
        <v>0</v>
      </c>
      <c r="AD28" s="444">
        <f t="shared" si="36"/>
        <v>0</v>
      </c>
      <c r="AE28" s="444">
        <f t="shared" si="36"/>
        <v>-10000</v>
      </c>
      <c r="AF28" s="444">
        <f t="shared" si="36"/>
        <v>5000</v>
      </c>
      <c r="AG28" s="444">
        <f t="shared" si="36"/>
        <v>-5000</v>
      </c>
      <c r="AH28" s="444">
        <f t="shared" si="36"/>
        <v>10000</v>
      </c>
      <c r="AI28" s="444">
        <f t="shared" si="36"/>
        <v>-5000</v>
      </c>
      <c r="AJ28" s="444">
        <f t="shared" si="36"/>
        <v>0</v>
      </c>
      <c r="AK28" s="444">
        <f t="shared" si="36"/>
        <v>0</v>
      </c>
      <c r="AL28" s="444">
        <f t="shared" si="36"/>
        <v>0</v>
      </c>
      <c r="AM28" s="444">
        <f t="shared" si="36"/>
        <v>10000</v>
      </c>
      <c r="AN28" s="444">
        <f t="shared" si="36"/>
        <v>-5000</v>
      </c>
      <c r="AO28" s="444">
        <f t="shared" si="36"/>
        <v>5000</v>
      </c>
      <c r="AP28" s="444">
        <f t="shared" si="36"/>
        <v>0</v>
      </c>
      <c r="AQ28" s="444">
        <f t="shared" si="36"/>
        <v>0</v>
      </c>
      <c r="AR28" s="444">
        <f t="shared" si="36"/>
        <v>0</v>
      </c>
      <c r="AS28" s="444">
        <f t="shared" si="36"/>
        <v>0</v>
      </c>
      <c r="AT28" s="444">
        <f t="shared" si="36"/>
        <v>-50</v>
      </c>
      <c r="AU28" s="444">
        <f t="shared" si="36"/>
        <v>0</v>
      </c>
      <c r="AV28" s="444">
        <f t="shared" si="36"/>
        <v>0</v>
      </c>
      <c r="AW28" s="444">
        <f t="shared" si="36"/>
        <v>0</v>
      </c>
      <c r="AX28" s="444">
        <f t="shared" si="36"/>
        <v>0</v>
      </c>
      <c r="AY28" s="444">
        <f t="shared" si="36"/>
        <v>-50</v>
      </c>
      <c r="AZ28" s="445">
        <f t="shared" si="36"/>
        <v>-7.0000000000000007E-2</v>
      </c>
      <c r="BA28" s="445">
        <f t="shared" si="36"/>
        <v>0</v>
      </c>
      <c r="BB28" s="445">
        <f t="shared" si="36"/>
        <v>0</v>
      </c>
      <c r="BC28" s="445">
        <f t="shared" si="36"/>
        <v>0</v>
      </c>
      <c r="BD28" s="445">
        <f t="shared" si="36"/>
        <v>0</v>
      </c>
      <c r="BE28" s="445">
        <f t="shared" si="36"/>
        <v>0</v>
      </c>
      <c r="BF28" s="445">
        <f t="shared" si="36"/>
        <v>0</v>
      </c>
      <c r="BG28" s="445">
        <f t="shared" si="36"/>
        <v>0</v>
      </c>
      <c r="BH28" s="445">
        <f t="shared" si="36"/>
        <v>0</v>
      </c>
      <c r="BI28" s="445">
        <f t="shared" si="36"/>
        <v>-7.0000000000000007E-2</v>
      </c>
      <c r="BJ28" s="445">
        <f t="shared" si="36"/>
        <v>0</v>
      </c>
      <c r="BK28" s="39">
        <f t="shared" si="36"/>
        <v>-7.0000000000000007E-2</v>
      </c>
      <c r="BL28" s="451">
        <f t="shared" si="36"/>
        <v>37625751</v>
      </c>
      <c r="BM28" s="444">
        <f t="shared" si="36"/>
        <v>27494463</v>
      </c>
      <c r="BN28" s="444">
        <f t="shared" si="36"/>
        <v>25179585</v>
      </c>
      <c r="BO28" s="444">
        <f t="shared" si="36"/>
        <v>2314878</v>
      </c>
      <c r="BP28" s="444">
        <f t="shared" si="36"/>
        <v>50000</v>
      </c>
      <c r="BQ28" s="444">
        <f t="shared" si="36"/>
        <v>50000</v>
      </c>
      <c r="BR28" s="444">
        <f t="shared" si="36"/>
        <v>0</v>
      </c>
      <c r="BS28" s="444">
        <f t="shared" si="36"/>
        <v>9310029</v>
      </c>
      <c r="BT28" s="444">
        <f t="shared" si="36"/>
        <v>274945</v>
      </c>
      <c r="BU28" s="444">
        <f t="shared" si="36"/>
        <v>496314</v>
      </c>
      <c r="BV28" s="445">
        <f t="shared" si="36"/>
        <v>48.444599999999994</v>
      </c>
      <c r="BW28" s="445">
        <f t="shared" si="36"/>
        <v>41.549799999999998</v>
      </c>
      <c r="BX28" s="39">
        <f t="shared" si="36"/>
        <v>6.8948</v>
      </c>
      <c r="BY28" s="806">
        <f t="shared" si="36"/>
        <v>608218</v>
      </c>
      <c r="BZ28" s="709">
        <f t="shared" si="36"/>
        <v>451200</v>
      </c>
      <c r="CA28" s="709">
        <f t="shared" si="36"/>
        <v>0</v>
      </c>
      <c r="CB28" s="709">
        <f t="shared" si="36"/>
        <v>152506</v>
      </c>
      <c r="CC28" s="709">
        <f t="shared" si="36"/>
        <v>4512</v>
      </c>
      <c r="CD28" s="807">
        <f t="shared" si="36"/>
        <v>0.8</v>
      </c>
      <c r="CE28" s="919">
        <f t="shared" si="36"/>
        <v>1106949</v>
      </c>
      <c r="CF28" s="920">
        <f t="shared" si="36"/>
        <v>728584</v>
      </c>
      <c r="CG28" s="920">
        <f t="shared" si="36"/>
        <v>246261</v>
      </c>
      <c r="CH28" s="920">
        <f t="shared" ref="CH28:CJ28" si="37">SUM(CH24:CH27)</f>
        <v>7286</v>
      </c>
      <c r="CI28" s="920">
        <f t="shared" si="37"/>
        <v>124818</v>
      </c>
      <c r="CJ28" s="921">
        <f t="shared" si="37"/>
        <v>2.1588000000000003</v>
      </c>
    </row>
    <row r="29" spans="1:88" s="3" customFormat="1">
      <c r="A29" s="205">
        <v>5</v>
      </c>
      <c r="B29" s="206">
        <v>3459</v>
      </c>
      <c r="C29" s="206">
        <v>651040264</v>
      </c>
      <c r="D29" s="206">
        <v>75121531</v>
      </c>
      <c r="E29" s="204" t="s">
        <v>93</v>
      </c>
      <c r="F29" s="206">
        <v>3231</v>
      </c>
      <c r="G29" s="207" t="s">
        <v>295</v>
      </c>
      <c r="H29" s="609" t="s">
        <v>271</v>
      </c>
      <c r="I29" s="419">
        <v>17680369</v>
      </c>
      <c r="J29" s="414">
        <v>13021550</v>
      </c>
      <c r="K29" s="414">
        <v>12375019</v>
      </c>
      <c r="L29" s="414">
        <v>646531</v>
      </c>
      <c r="M29" s="414">
        <v>70000</v>
      </c>
      <c r="N29" s="414">
        <v>20000</v>
      </c>
      <c r="O29" s="414">
        <v>50000</v>
      </c>
      <c r="P29" s="68">
        <v>4424944</v>
      </c>
      <c r="Q29" s="68">
        <v>130216</v>
      </c>
      <c r="R29" s="414">
        <v>33659</v>
      </c>
      <c r="S29" s="415">
        <v>21.373100000000001</v>
      </c>
      <c r="T29" s="416">
        <v>19.588699999999999</v>
      </c>
      <c r="U29" s="422">
        <v>1.7844</v>
      </c>
      <c r="V29" s="423">
        <f t="shared" si="4"/>
        <v>-20000</v>
      </c>
      <c r="W29" s="417">
        <f t="shared" si="5"/>
        <v>5000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6"/>
        <v>-20000</v>
      </c>
      <c r="AF29" s="417">
        <f t="shared" si="7"/>
        <v>5000</v>
      </c>
      <c r="AG29" s="417">
        <f t="shared" si="8"/>
        <v>-15000</v>
      </c>
      <c r="AH29" s="417">
        <v>20000</v>
      </c>
      <c r="AI29" s="417">
        <v>-5000</v>
      </c>
      <c r="AJ29" s="417">
        <v>0</v>
      </c>
      <c r="AK29" s="417">
        <v>0</v>
      </c>
      <c r="AL29" s="417">
        <v>0</v>
      </c>
      <c r="AM29" s="417">
        <f t="shared" si="9"/>
        <v>20000</v>
      </c>
      <c r="AN29" s="417">
        <f t="shared" si="10"/>
        <v>-5000</v>
      </c>
      <c r="AO29" s="417">
        <f t="shared" si="11"/>
        <v>15000</v>
      </c>
      <c r="AP29" s="417">
        <f t="shared" si="12"/>
        <v>0</v>
      </c>
      <c r="AQ29" s="417">
        <f t="shared" si="13"/>
        <v>0</v>
      </c>
      <c r="AR29" s="417">
        <f t="shared" si="14"/>
        <v>0</v>
      </c>
      <c r="AS29" s="68">
        <f t="shared" si="15"/>
        <v>0</v>
      </c>
      <c r="AT29" s="68">
        <f t="shared" si="16"/>
        <v>-150</v>
      </c>
      <c r="AU29" s="417">
        <v>0</v>
      </c>
      <c r="AV29" s="417">
        <v>0</v>
      </c>
      <c r="AW29" s="417">
        <v>0</v>
      </c>
      <c r="AX29" s="417">
        <f t="shared" si="17"/>
        <v>0</v>
      </c>
      <c r="AY29" s="417">
        <f t="shared" si="18"/>
        <v>-150</v>
      </c>
      <c r="AZ29" s="418">
        <v>0</v>
      </c>
      <c r="BA29" s="418">
        <v>0.02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9"/>
        <v>0</v>
      </c>
      <c r="BJ29" s="418">
        <f t="shared" si="20"/>
        <v>0.02</v>
      </c>
      <c r="BK29" s="420">
        <f t="shared" si="21"/>
        <v>0.02</v>
      </c>
      <c r="BL29" s="772">
        <f>I29+AY29</f>
        <v>17680219</v>
      </c>
      <c r="BM29" s="417">
        <f>J29+AG29</f>
        <v>13006550</v>
      </c>
      <c r="BN29" s="417">
        <f>K29+AE29</f>
        <v>12355019</v>
      </c>
      <c r="BO29" s="417">
        <f>L29+AF29</f>
        <v>651531</v>
      </c>
      <c r="BP29" s="417">
        <f>M29+AO29</f>
        <v>85000</v>
      </c>
      <c r="BQ29" s="417">
        <f>N29+AM29</f>
        <v>40000</v>
      </c>
      <c r="BR29" s="417">
        <f>O29+AN29</f>
        <v>45000</v>
      </c>
      <c r="BS29" s="417">
        <f>P29+AS29</f>
        <v>4424944</v>
      </c>
      <c r="BT29" s="417">
        <f>Q29+AT29</f>
        <v>130066</v>
      </c>
      <c r="BU29" s="417">
        <f>R29+AX29</f>
        <v>33659</v>
      </c>
      <c r="BV29" s="418">
        <f>S29+BK29</f>
        <v>21.3931</v>
      </c>
      <c r="BW29" s="418">
        <f>T29+BI29</f>
        <v>19.588699999999999</v>
      </c>
      <c r="BX29" s="420">
        <f>U29+BJ29</f>
        <v>1.8044</v>
      </c>
      <c r="BY29" s="419"/>
      <c r="BZ29" s="414"/>
      <c r="CA29" s="414"/>
      <c r="CB29" s="414"/>
      <c r="CC29" s="414"/>
      <c r="CD29" s="509"/>
      <c r="CE29" s="419">
        <v>318883</v>
      </c>
      <c r="CF29" s="414">
        <v>228360</v>
      </c>
      <c r="CG29" s="414">
        <v>77186</v>
      </c>
      <c r="CH29" s="414">
        <v>2284</v>
      </c>
      <c r="CI29" s="414">
        <v>11053</v>
      </c>
      <c r="CJ29" s="509">
        <v>0.64070000000000005</v>
      </c>
    </row>
    <row r="30" spans="1:88" s="3" customFormat="1">
      <c r="A30" s="155">
        <v>5</v>
      </c>
      <c r="B30" s="18">
        <v>3459</v>
      </c>
      <c r="C30" s="18">
        <v>651040264</v>
      </c>
      <c r="D30" s="18">
        <v>75121531</v>
      </c>
      <c r="E30" s="164" t="s">
        <v>94</v>
      </c>
      <c r="F30" s="18"/>
      <c r="G30" s="154"/>
      <c r="H30" s="608"/>
      <c r="I30" s="446">
        <v>17680369</v>
      </c>
      <c r="J30" s="442">
        <v>13021550</v>
      </c>
      <c r="K30" s="442">
        <v>12375019</v>
      </c>
      <c r="L30" s="442">
        <v>646531</v>
      </c>
      <c r="M30" s="442">
        <v>70000</v>
      </c>
      <c r="N30" s="442">
        <v>20000</v>
      </c>
      <c r="O30" s="442">
        <v>50000</v>
      </c>
      <c r="P30" s="442">
        <v>4424944</v>
      </c>
      <c r="Q30" s="442">
        <v>130216</v>
      </c>
      <c r="R30" s="442">
        <v>33659</v>
      </c>
      <c r="S30" s="443">
        <v>21.373100000000001</v>
      </c>
      <c r="T30" s="443">
        <v>19.588699999999999</v>
      </c>
      <c r="U30" s="448">
        <v>1.7844</v>
      </c>
      <c r="V30" s="446">
        <f t="shared" ref="V30:CG30" si="38">SUM(V29)</f>
        <v>-20000</v>
      </c>
      <c r="W30" s="442">
        <f t="shared" si="38"/>
        <v>5000</v>
      </c>
      <c r="X30" s="442">
        <f t="shared" si="38"/>
        <v>0</v>
      </c>
      <c r="Y30" s="442">
        <f t="shared" si="38"/>
        <v>0</v>
      </c>
      <c r="Z30" s="442">
        <f t="shared" si="38"/>
        <v>0</v>
      </c>
      <c r="AA30" s="442">
        <f t="shared" si="38"/>
        <v>0</v>
      </c>
      <c r="AB30" s="442">
        <f t="shared" si="38"/>
        <v>0</v>
      </c>
      <c r="AC30" s="442">
        <f t="shared" si="38"/>
        <v>0</v>
      </c>
      <c r="AD30" s="442">
        <f t="shared" si="38"/>
        <v>0</v>
      </c>
      <c r="AE30" s="442">
        <f t="shared" si="38"/>
        <v>-20000</v>
      </c>
      <c r="AF30" s="442">
        <f t="shared" si="38"/>
        <v>5000</v>
      </c>
      <c r="AG30" s="442">
        <f t="shared" si="38"/>
        <v>-15000</v>
      </c>
      <c r="AH30" s="442">
        <f t="shared" si="38"/>
        <v>20000</v>
      </c>
      <c r="AI30" s="442">
        <f t="shared" si="38"/>
        <v>-5000</v>
      </c>
      <c r="AJ30" s="442">
        <f t="shared" si="38"/>
        <v>0</v>
      </c>
      <c r="AK30" s="442">
        <f t="shared" si="38"/>
        <v>0</v>
      </c>
      <c r="AL30" s="442">
        <f t="shared" si="38"/>
        <v>0</v>
      </c>
      <c r="AM30" s="442">
        <f t="shared" si="38"/>
        <v>20000</v>
      </c>
      <c r="AN30" s="442">
        <f t="shared" si="38"/>
        <v>-5000</v>
      </c>
      <c r="AO30" s="442">
        <f t="shared" si="38"/>
        <v>15000</v>
      </c>
      <c r="AP30" s="442">
        <f t="shared" si="38"/>
        <v>0</v>
      </c>
      <c r="AQ30" s="442">
        <f t="shared" si="38"/>
        <v>0</v>
      </c>
      <c r="AR30" s="442">
        <f t="shared" si="38"/>
        <v>0</v>
      </c>
      <c r="AS30" s="442">
        <f t="shared" si="38"/>
        <v>0</v>
      </c>
      <c r="AT30" s="442">
        <f t="shared" si="38"/>
        <v>-150</v>
      </c>
      <c r="AU30" s="442">
        <f t="shared" si="38"/>
        <v>0</v>
      </c>
      <c r="AV30" s="442">
        <f t="shared" si="38"/>
        <v>0</v>
      </c>
      <c r="AW30" s="442">
        <f t="shared" si="38"/>
        <v>0</v>
      </c>
      <c r="AX30" s="442">
        <f t="shared" si="38"/>
        <v>0</v>
      </c>
      <c r="AY30" s="442">
        <f t="shared" si="38"/>
        <v>-150</v>
      </c>
      <c r="AZ30" s="443">
        <f t="shared" si="38"/>
        <v>0</v>
      </c>
      <c r="BA30" s="443">
        <f t="shared" si="38"/>
        <v>0.02</v>
      </c>
      <c r="BB30" s="443">
        <f t="shared" si="38"/>
        <v>0</v>
      </c>
      <c r="BC30" s="443">
        <f t="shared" si="38"/>
        <v>0</v>
      </c>
      <c r="BD30" s="443">
        <f t="shared" si="38"/>
        <v>0</v>
      </c>
      <c r="BE30" s="443">
        <f t="shared" si="38"/>
        <v>0</v>
      </c>
      <c r="BF30" s="443">
        <f t="shared" si="38"/>
        <v>0</v>
      </c>
      <c r="BG30" s="443">
        <f t="shared" si="38"/>
        <v>0</v>
      </c>
      <c r="BH30" s="443">
        <f t="shared" si="38"/>
        <v>0</v>
      </c>
      <c r="BI30" s="443">
        <f t="shared" si="38"/>
        <v>0</v>
      </c>
      <c r="BJ30" s="443">
        <f t="shared" si="38"/>
        <v>0.02</v>
      </c>
      <c r="BK30" s="40">
        <f t="shared" si="38"/>
        <v>0.02</v>
      </c>
      <c r="BL30" s="450">
        <f t="shared" si="38"/>
        <v>17680219</v>
      </c>
      <c r="BM30" s="442">
        <f t="shared" si="38"/>
        <v>13006550</v>
      </c>
      <c r="BN30" s="442">
        <f t="shared" si="38"/>
        <v>12355019</v>
      </c>
      <c r="BO30" s="442">
        <f t="shared" si="38"/>
        <v>651531</v>
      </c>
      <c r="BP30" s="442">
        <f t="shared" si="38"/>
        <v>85000</v>
      </c>
      <c r="BQ30" s="442">
        <f t="shared" si="38"/>
        <v>40000</v>
      </c>
      <c r="BR30" s="442">
        <f t="shared" si="38"/>
        <v>45000</v>
      </c>
      <c r="BS30" s="442">
        <f t="shared" si="38"/>
        <v>4424944</v>
      </c>
      <c r="BT30" s="442">
        <f t="shared" si="38"/>
        <v>130066</v>
      </c>
      <c r="BU30" s="442">
        <f t="shared" si="38"/>
        <v>33659</v>
      </c>
      <c r="BV30" s="443">
        <f t="shared" si="38"/>
        <v>21.3931</v>
      </c>
      <c r="BW30" s="443">
        <f t="shared" si="38"/>
        <v>19.588699999999999</v>
      </c>
      <c r="BX30" s="40">
        <f t="shared" si="38"/>
        <v>1.8044</v>
      </c>
      <c r="BY30" s="804">
        <f t="shared" si="38"/>
        <v>0</v>
      </c>
      <c r="BZ30" s="708">
        <f t="shared" si="38"/>
        <v>0</v>
      </c>
      <c r="CA30" s="708">
        <f t="shared" si="38"/>
        <v>0</v>
      </c>
      <c r="CB30" s="708">
        <f t="shared" si="38"/>
        <v>0</v>
      </c>
      <c r="CC30" s="708">
        <f t="shared" si="38"/>
        <v>0</v>
      </c>
      <c r="CD30" s="805">
        <f t="shared" si="38"/>
        <v>0</v>
      </c>
      <c r="CE30" s="916">
        <f t="shared" si="38"/>
        <v>318883</v>
      </c>
      <c r="CF30" s="917">
        <f t="shared" si="38"/>
        <v>228360</v>
      </c>
      <c r="CG30" s="917">
        <f t="shared" si="38"/>
        <v>77186</v>
      </c>
      <c r="CH30" s="917">
        <f t="shared" ref="CH30:CJ30" si="39">SUM(CH29)</f>
        <v>2284</v>
      </c>
      <c r="CI30" s="917">
        <f t="shared" si="39"/>
        <v>11053</v>
      </c>
      <c r="CJ30" s="918">
        <f t="shared" si="39"/>
        <v>0.64070000000000005</v>
      </c>
    </row>
    <row r="31" spans="1:88" s="3" customFormat="1">
      <c r="A31" s="205">
        <v>6</v>
      </c>
      <c r="B31" s="206">
        <v>3401</v>
      </c>
      <c r="C31" s="206">
        <v>650023404</v>
      </c>
      <c r="D31" s="206">
        <v>70981477</v>
      </c>
      <c r="E31" s="204" t="s">
        <v>95</v>
      </c>
      <c r="F31" s="206">
        <v>3111</v>
      </c>
      <c r="G31" s="207" t="s">
        <v>290</v>
      </c>
      <c r="H31" s="607" t="s">
        <v>271</v>
      </c>
      <c r="I31" s="419">
        <v>1731899</v>
      </c>
      <c r="J31" s="414">
        <v>1258411</v>
      </c>
      <c r="K31" s="414">
        <v>1170393</v>
      </c>
      <c r="L31" s="414">
        <v>88018</v>
      </c>
      <c r="M31" s="414">
        <v>20000</v>
      </c>
      <c r="N31" s="414">
        <v>10000</v>
      </c>
      <c r="O31" s="414">
        <v>10000</v>
      </c>
      <c r="P31" s="68">
        <v>432103</v>
      </c>
      <c r="Q31" s="68">
        <v>12585</v>
      </c>
      <c r="R31" s="414">
        <v>8800</v>
      </c>
      <c r="S31" s="415">
        <v>2.3927</v>
      </c>
      <c r="T31" s="416">
        <v>2</v>
      </c>
      <c r="U31" s="422">
        <v>0.39269999999999999</v>
      </c>
      <c r="V31" s="423">
        <f t="shared" si="4"/>
        <v>10000</v>
      </c>
      <c r="W31" s="417">
        <f t="shared" si="5"/>
        <v>10000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6"/>
        <v>10000</v>
      </c>
      <c r="AF31" s="417">
        <f t="shared" si="7"/>
        <v>10000</v>
      </c>
      <c r="AG31" s="417">
        <f t="shared" si="8"/>
        <v>20000</v>
      </c>
      <c r="AH31" s="417">
        <v>-10000</v>
      </c>
      <c r="AI31" s="417">
        <v>-10000</v>
      </c>
      <c r="AJ31" s="417">
        <v>0</v>
      </c>
      <c r="AK31" s="417">
        <v>0</v>
      </c>
      <c r="AL31" s="417">
        <v>0</v>
      </c>
      <c r="AM31" s="417">
        <f t="shared" si="9"/>
        <v>-10000</v>
      </c>
      <c r="AN31" s="417">
        <f t="shared" si="10"/>
        <v>-10000</v>
      </c>
      <c r="AO31" s="417">
        <f t="shared" si="11"/>
        <v>-20000</v>
      </c>
      <c r="AP31" s="417">
        <f t="shared" si="12"/>
        <v>0</v>
      </c>
      <c r="AQ31" s="417">
        <f t="shared" si="13"/>
        <v>0</v>
      </c>
      <c r="AR31" s="417">
        <f t="shared" si="14"/>
        <v>0</v>
      </c>
      <c r="AS31" s="68">
        <f t="shared" si="15"/>
        <v>0</v>
      </c>
      <c r="AT31" s="68">
        <f t="shared" si="16"/>
        <v>200</v>
      </c>
      <c r="AU31" s="417">
        <v>0</v>
      </c>
      <c r="AV31" s="417">
        <v>0</v>
      </c>
      <c r="AW31" s="417">
        <v>0</v>
      </c>
      <c r="AX31" s="417">
        <f t="shared" si="17"/>
        <v>0</v>
      </c>
      <c r="AY31" s="417">
        <f t="shared" si="18"/>
        <v>200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9"/>
        <v>0</v>
      </c>
      <c r="BJ31" s="418">
        <f t="shared" si="20"/>
        <v>0</v>
      </c>
      <c r="BK31" s="420">
        <f t="shared" si="21"/>
        <v>0</v>
      </c>
      <c r="BL31" s="772">
        <f t="shared" ref="BL31:BL36" si="40">I31+AY31</f>
        <v>1732099</v>
      </c>
      <c r="BM31" s="417">
        <f t="shared" ref="BM31:BM36" si="41">J31+AG31</f>
        <v>1278411</v>
      </c>
      <c r="BN31" s="417">
        <f t="shared" ref="BN31:BO36" si="42">K31+AE31</f>
        <v>1180393</v>
      </c>
      <c r="BO31" s="417">
        <f t="shared" si="42"/>
        <v>98018</v>
      </c>
      <c r="BP31" s="417">
        <f t="shared" ref="BP31:BP36" si="43">M31+AO31</f>
        <v>0</v>
      </c>
      <c r="BQ31" s="417">
        <f t="shared" ref="BQ31:BR36" si="44">N31+AM31</f>
        <v>0</v>
      </c>
      <c r="BR31" s="417">
        <f t="shared" si="44"/>
        <v>0</v>
      </c>
      <c r="BS31" s="417">
        <f t="shared" ref="BS31:BT36" si="45">P31+AS31</f>
        <v>432103</v>
      </c>
      <c r="BT31" s="417">
        <f t="shared" si="45"/>
        <v>12785</v>
      </c>
      <c r="BU31" s="417">
        <f t="shared" ref="BU31:BU36" si="46">R31+AX31</f>
        <v>8800</v>
      </c>
      <c r="BV31" s="418">
        <f t="shared" ref="BV31:BV36" si="47">S31+BK31</f>
        <v>2.3927</v>
      </c>
      <c r="BW31" s="418">
        <f t="shared" ref="BW31:BX36" si="48">T31+BI31</f>
        <v>2</v>
      </c>
      <c r="BX31" s="420">
        <f t="shared" si="48"/>
        <v>0.39269999999999999</v>
      </c>
      <c r="BY31" s="419"/>
      <c r="BZ31" s="414"/>
      <c r="CA31" s="414"/>
      <c r="CB31" s="414"/>
      <c r="CC31" s="414"/>
      <c r="CD31" s="509"/>
      <c r="CE31" s="419">
        <v>45321</v>
      </c>
      <c r="CF31" s="414">
        <v>31450</v>
      </c>
      <c r="CG31" s="414">
        <v>10630</v>
      </c>
      <c r="CH31" s="414">
        <v>315</v>
      </c>
      <c r="CI31" s="414">
        <v>2926</v>
      </c>
      <c r="CJ31" s="509">
        <v>0.126</v>
      </c>
    </row>
    <row r="32" spans="1:88">
      <c r="A32" s="205">
        <v>6</v>
      </c>
      <c r="B32" s="206">
        <v>3401</v>
      </c>
      <c r="C32" s="206">
        <v>650023404</v>
      </c>
      <c r="D32" s="206">
        <v>70981477</v>
      </c>
      <c r="E32" s="204" t="s">
        <v>95</v>
      </c>
      <c r="F32" s="206">
        <v>3117</v>
      </c>
      <c r="G32" s="207" t="s">
        <v>293</v>
      </c>
      <c r="H32" s="607" t="s">
        <v>271</v>
      </c>
      <c r="I32" s="419">
        <v>3556408</v>
      </c>
      <c r="J32" s="414">
        <v>2579042</v>
      </c>
      <c r="K32" s="414">
        <v>2069414</v>
      </c>
      <c r="L32" s="414">
        <v>509628</v>
      </c>
      <c r="M32" s="414">
        <v>20000</v>
      </c>
      <c r="N32" s="414">
        <v>10000</v>
      </c>
      <c r="O32" s="414">
        <v>10000</v>
      </c>
      <c r="P32" s="68">
        <v>878476</v>
      </c>
      <c r="Q32" s="68">
        <v>25790</v>
      </c>
      <c r="R32" s="414">
        <v>53100</v>
      </c>
      <c r="S32" s="415">
        <v>4.9014000000000006</v>
      </c>
      <c r="T32" s="416">
        <v>3.4799000000000002</v>
      </c>
      <c r="U32" s="422">
        <v>1.4215</v>
      </c>
      <c r="V32" s="423">
        <f t="shared" si="4"/>
        <v>-15000</v>
      </c>
      <c r="W32" s="417">
        <f t="shared" si="5"/>
        <v>10000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6"/>
        <v>-15000</v>
      </c>
      <c r="AF32" s="417">
        <f t="shared" si="7"/>
        <v>10000</v>
      </c>
      <c r="AG32" s="417">
        <f t="shared" si="8"/>
        <v>-5000</v>
      </c>
      <c r="AH32" s="417">
        <v>15000</v>
      </c>
      <c r="AI32" s="417">
        <v>-10000</v>
      </c>
      <c r="AJ32" s="417">
        <v>0</v>
      </c>
      <c r="AK32" s="417">
        <v>0</v>
      </c>
      <c r="AL32" s="417">
        <v>0</v>
      </c>
      <c r="AM32" s="417">
        <f t="shared" si="9"/>
        <v>15000</v>
      </c>
      <c r="AN32" s="417">
        <f t="shared" si="10"/>
        <v>-10000</v>
      </c>
      <c r="AO32" s="417">
        <f t="shared" si="11"/>
        <v>5000</v>
      </c>
      <c r="AP32" s="417">
        <f t="shared" si="12"/>
        <v>0</v>
      </c>
      <c r="AQ32" s="417">
        <f t="shared" si="13"/>
        <v>0</v>
      </c>
      <c r="AR32" s="417">
        <f t="shared" si="14"/>
        <v>0</v>
      </c>
      <c r="AS32" s="68">
        <f t="shared" si="15"/>
        <v>0</v>
      </c>
      <c r="AT32" s="68">
        <f t="shared" si="16"/>
        <v>-50</v>
      </c>
      <c r="AU32" s="417">
        <v>0</v>
      </c>
      <c r="AV32" s="417">
        <v>0</v>
      </c>
      <c r="AW32" s="417">
        <v>0</v>
      </c>
      <c r="AX32" s="417">
        <f t="shared" si="17"/>
        <v>0</v>
      </c>
      <c r="AY32" s="417">
        <f t="shared" si="18"/>
        <v>-50</v>
      </c>
      <c r="AZ32" s="418">
        <v>-0.03</v>
      </c>
      <c r="BA32" s="418">
        <v>0.04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9"/>
        <v>-0.03</v>
      </c>
      <c r="BJ32" s="418">
        <f t="shared" si="20"/>
        <v>0.04</v>
      </c>
      <c r="BK32" s="420">
        <f t="shared" si="21"/>
        <v>1.0000000000000002E-2</v>
      </c>
      <c r="BL32" s="772">
        <f t="shared" si="40"/>
        <v>3556358</v>
      </c>
      <c r="BM32" s="417">
        <f t="shared" si="41"/>
        <v>2574042</v>
      </c>
      <c r="BN32" s="417">
        <f t="shared" si="42"/>
        <v>2054414</v>
      </c>
      <c r="BO32" s="417">
        <f t="shared" si="42"/>
        <v>519628</v>
      </c>
      <c r="BP32" s="417">
        <f t="shared" si="43"/>
        <v>25000</v>
      </c>
      <c r="BQ32" s="417">
        <f t="shared" si="44"/>
        <v>25000</v>
      </c>
      <c r="BR32" s="417">
        <f t="shared" si="44"/>
        <v>0</v>
      </c>
      <c r="BS32" s="417">
        <f t="shared" si="45"/>
        <v>878476</v>
      </c>
      <c r="BT32" s="417">
        <f t="shared" si="45"/>
        <v>25740</v>
      </c>
      <c r="BU32" s="417">
        <f t="shared" si="46"/>
        <v>53100</v>
      </c>
      <c r="BV32" s="418">
        <f t="shared" si="47"/>
        <v>4.9114000000000004</v>
      </c>
      <c r="BW32" s="418">
        <f t="shared" si="48"/>
        <v>3.4499000000000004</v>
      </c>
      <c r="BX32" s="420">
        <f t="shared" si="48"/>
        <v>1.4615</v>
      </c>
      <c r="BY32" s="419"/>
      <c r="BZ32" s="414"/>
      <c r="CA32" s="414"/>
      <c r="CB32" s="414"/>
      <c r="CC32" s="414"/>
      <c r="CD32" s="509"/>
      <c r="CE32" s="414">
        <v>234115</v>
      </c>
      <c r="CF32" s="414">
        <v>166786</v>
      </c>
      <c r="CG32" s="414">
        <v>56374</v>
      </c>
      <c r="CH32" s="414">
        <v>1667</v>
      </c>
      <c r="CI32" s="414">
        <v>9288</v>
      </c>
      <c r="CJ32" s="509">
        <v>0.46589999999999998</v>
      </c>
    </row>
    <row r="33" spans="1:88">
      <c r="A33" s="205">
        <v>6</v>
      </c>
      <c r="B33" s="206">
        <v>3401</v>
      </c>
      <c r="C33" s="206">
        <v>650023404</v>
      </c>
      <c r="D33" s="206">
        <v>70981477</v>
      </c>
      <c r="E33" s="204" t="s">
        <v>95</v>
      </c>
      <c r="F33" s="206">
        <v>3117</v>
      </c>
      <c r="G33" s="207" t="s">
        <v>298</v>
      </c>
      <c r="H33" s="607" t="s">
        <v>272</v>
      </c>
      <c r="I33" s="419">
        <v>441625</v>
      </c>
      <c r="J33" s="414">
        <v>327615</v>
      </c>
      <c r="K33" s="414">
        <v>327615</v>
      </c>
      <c r="L33" s="414">
        <v>0</v>
      </c>
      <c r="M33" s="414">
        <v>0</v>
      </c>
      <c r="N33" s="414">
        <v>0</v>
      </c>
      <c r="O33" s="414">
        <v>0</v>
      </c>
      <c r="P33" s="68">
        <v>110734</v>
      </c>
      <c r="Q33" s="68">
        <v>3276</v>
      </c>
      <c r="R33" s="414">
        <v>0</v>
      </c>
      <c r="S33" s="415">
        <v>0.85</v>
      </c>
      <c r="T33" s="416">
        <v>0.85</v>
      </c>
      <c r="U33" s="422">
        <v>0</v>
      </c>
      <c r="V33" s="423">
        <f t="shared" si="4"/>
        <v>0</v>
      </c>
      <c r="W33" s="417">
        <f t="shared" si="5"/>
        <v>0</v>
      </c>
      <c r="X33" s="417">
        <v>-8252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6"/>
        <v>-8252</v>
      </c>
      <c r="AF33" s="417">
        <f t="shared" si="7"/>
        <v>0</v>
      </c>
      <c r="AG33" s="417">
        <f t="shared" si="8"/>
        <v>-8252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9"/>
        <v>0</v>
      </c>
      <c r="AN33" s="417">
        <f t="shared" si="10"/>
        <v>0</v>
      </c>
      <c r="AO33" s="417">
        <f t="shared" si="11"/>
        <v>0</v>
      </c>
      <c r="AP33" s="417">
        <f t="shared" si="12"/>
        <v>-8252</v>
      </c>
      <c r="AQ33" s="417">
        <f t="shared" si="13"/>
        <v>0</v>
      </c>
      <c r="AR33" s="417">
        <f t="shared" si="14"/>
        <v>-8252</v>
      </c>
      <c r="AS33" s="68">
        <f t="shared" si="15"/>
        <v>-2789</v>
      </c>
      <c r="AT33" s="68">
        <f t="shared" si="16"/>
        <v>-83</v>
      </c>
      <c r="AU33" s="417">
        <v>0</v>
      </c>
      <c r="AV33" s="417">
        <v>0</v>
      </c>
      <c r="AW33" s="417">
        <v>0</v>
      </c>
      <c r="AX33" s="417">
        <f t="shared" si="17"/>
        <v>0</v>
      </c>
      <c r="AY33" s="417">
        <f t="shared" si="18"/>
        <v>-11124</v>
      </c>
      <c r="AZ33" s="418">
        <v>0</v>
      </c>
      <c r="BA33" s="418">
        <v>0</v>
      </c>
      <c r="BB33" s="418">
        <v>-0.02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9"/>
        <v>-0.02</v>
      </c>
      <c r="BJ33" s="418">
        <f t="shared" si="20"/>
        <v>0</v>
      </c>
      <c r="BK33" s="420">
        <f t="shared" si="21"/>
        <v>-0.02</v>
      </c>
      <c r="BL33" s="772">
        <f t="shared" si="40"/>
        <v>430501</v>
      </c>
      <c r="BM33" s="417">
        <f t="shared" si="41"/>
        <v>319363</v>
      </c>
      <c r="BN33" s="417">
        <f t="shared" si="42"/>
        <v>319363</v>
      </c>
      <c r="BO33" s="417">
        <f t="shared" si="42"/>
        <v>0</v>
      </c>
      <c r="BP33" s="417">
        <f t="shared" si="43"/>
        <v>0</v>
      </c>
      <c r="BQ33" s="417">
        <f t="shared" si="44"/>
        <v>0</v>
      </c>
      <c r="BR33" s="417">
        <f t="shared" si="44"/>
        <v>0</v>
      </c>
      <c r="BS33" s="417">
        <f t="shared" si="45"/>
        <v>107945</v>
      </c>
      <c r="BT33" s="417">
        <f t="shared" si="45"/>
        <v>3193</v>
      </c>
      <c r="BU33" s="417">
        <f t="shared" si="46"/>
        <v>0</v>
      </c>
      <c r="BV33" s="418">
        <f t="shared" si="47"/>
        <v>0.83</v>
      </c>
      <c r="BW33" s="418">
        <f t="shared" si="48"/>
        <v>0.83</v>
      </c>
      <c r="BX33" s="420">
        <f t="shared" si="48"/>
        <v>0</v>
      </c>
      <c r="BY33" s="419"/>
      <c r="BZ33" s="414"/>
      <c r="CA33" s="414"/>
      <c r="CB33" s="414"/>
      <c r="CC33" s="414"/>
      <c r="CD33" s="509"/>
      <c r="CE33" s="419"/>
      <c r="CF33" s="414"/>
      <c r="CG33" s="414"/>
      <c r="CH33" s="414"/>
      <c r="CI33" s="414"/>
      <c r="CJ33" s="509"/>
    </row>
    <row r="34" spans="1:88">
      <c r="A34" s="205">
        <v>6</v>
      </c>
      <c r="B34" s="206">
        <v>3401</v>
      </c>
      <c r="C34" s="206">
        <v>650023404</v>
      </c>
      <c r="D34" s="206">
        <v>70981477</v>
      </c>
      <c r="E34" s="204" t="s">
        <v>95</v>
      </c>
      <c r="F34" s="206">
        <v>3141</v>
      </c>
      <c r="G34" s="207" t="s">
        <v>294</v>
      </c>
      <c r="H34" s="607" t="s">
        <v>272</v>
      </c>
      <c r="I34" s="419">
        <v>790288</v>
      </c>
      <c r="J34" s="414">
        <v>584068</v>
      </c>
      <c r="K34" s="414">
        <v>0</v>
      </c>
      <c r="L34" s="414">
        <v>584068</v>
      </c>
      <c r="M34" s="414">
        <v>0</v>
      </c>
      <c r="N34" s="414">
        <v>0</v>
      </c>
      <c r="O34" s="414">
        <v>0</v>
      </c>
      <c r="P34" s="68">
        <v>197415</v>
      </c>
      <c r="Q34" s="68">
        <v>5841</v>
      </c>
      <c r="R34" s="414">
        <v>2964</v>
      </c>
      <c r="S34" s="415">
        <v>1.75</v>
      </c>
      <c r="T34" s="416">
        <v>0</v>
      </c>
      <c r="U34" s="422">
        <v>1.75</v>
      </c>
      <c r="V34" s="423">
        <f t="shared" si="4"/>
        <v>0</v>
      </c>
      <c r="W34" s="417">
        <f t="shared" si="5"/>
        <v>-75000</v>
      </c>
      <c r="X34" s="417">
        <v>0</v>
      </c>
      <c r="Y34" s="417">
        <v>0</v>
      </c>
      <c r="Z34" s="417">
        <v>0</v>
      </c>
      <c r="AA34" s="417">
        <v>-4525</v>
      </c>
      <c r="AB34" s="417">
        <v>0</v>
      </c>
      <c r="AC34" s="417">
        <v>0</v>
      </c>
      <c r="AD34" s="417">
        <v>0</v>
      </c>
      <c r="AE34" s="417">
        <f t="shared" si="6"/>
        <v>0</v>
      </c>
      <c r="AF34" s="417">
        <f t="shared" si="7"/>
        <v>-79525</v>
      </c>
      <c r="AG34" s="417">
        <f t="shared" si="8"/>
        <v>-79525</v>
      </c>
      <c r="AH34" s="417">
        <v>0</v>
      </c>
      <c r="AI34" s="417">
        <v>75000</v>
      </c>
      <c r="AJ34" s="417">
        <v>0</v>
      </c>
      <c r="AK34" s="417">
        <v>0</v>
      </c>
      <c r="AL34" s="417">
        <v>0</v>
      </c>
      <c r="AM34" s="417">
        <f t="shared" si="9"/>
        <v>0</v>
      </c>
      <c r="AN34" s="417">
        <f t="shared" si="10"/>
        <v>75000</v>
      </c>
      <c r="AO34" s="417">
        <f t="shared" si="11"/>
        <v>75000</v>
      </c>
      <c r="AP34" s="417">
        <f t="shared" si="12"/>
        <v>0</v>
      </c>
      <c r="AQ34" s="417">
        <f t="shared" si="13"/>
        <v>-4525</v>
      </c>
      <c r="AR34" s="417">
        <f t="shared" si="14"/>
        <v>-4525</v>
      </c>
      <c r="AS34" s="68">
        <f t="shared" si="15"/>
        <v>-1529</v>
      </c>
      <c r="AT34" s="68">
        <f t="shared" si="16"/>
        <v>-795</v>
      </c>
      <c r="AU34" s="417">
        <v>0</v>
      </c>
      <c r="AV34" s="417">
        <v>0</v>
      </c>
      <c r="AW34" s="417">
        <v>0</v>
      </c>
      <c r="AX34" s="417">
        <f t="shared" si="17"/>
        <v>0</v>
      </c>
      <c r="AY34" s="417">
        <f t="shared" si="18"/>
        <v>-6849</v>
      </c>
      <c r="AZ34" s="418">
        <v>0</v>
      </c>
      <c r="BA34" s="418">
        <v>0</v>
      </c>
      <c r="BB34" s="418">
        <v>0</v>
      </c>
      <c r="BC34" s="418">
        <v>0</v>
      </c>
      <c r="BD34" s="418">
        <v>-0.01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9"/>
        <v>0</v>
      </c>
      <c r="BJ34" s="418">
        <f t="shared" si="20"/>
        <v>-0.01</v>
      </c>
      <c r="BK34" s="420">
        <f t="shared" si="21"/>
        <v>-0.01</v>
      </c>
      <c r="BL34" s="772">
        <f t="shared" si="40"/>
        <v>783439</v>
      </c>
      <c r="BM34" s="417">
        <f t="shared" si="41"/>
        <v>504543</v>
      </c>
      <c r="BN34" s="417">
        <f t="shared" si="42"/>
        <v>0</v>
      </c>
      <c r="BO34" s="417">
        <f t="shared" si="42"/>
        <v>504543</v>
      </c>
      <c r="BP34" s="417">
        <f t="shared" si="43"/>
        <v>75000</v>
      </c>
      <c r="BQ34" s="417">
        <f t="shared" si="44"/>
        <v>0</v>
      </c>
      <c r="BR34" s="417">
        <f t="shared" si="44"/>
        <v>75000</v>
      </c>
      <c r="BS34" s="417">
        <f t="shared" si="45"/>
        <v>195886</v>
      </c>
      <c r="BT34" s="417">
        <f t="shared" si="45"/>
        <v>5046</v>
      </c>
      <c r="BU34" s="417">
        <f t="shared" si="46"/>
        <v>2964</v>
      </c>
      <c r="BV34" s="418">
        <f t="shared" si="47"/>
        <v>1.74</v>
      </c>
      <c r="BW34" s="418">
        <f t="shared" si="48"/>
        <v>0</v>
      </c>
      <c r="BX34" s="420">
        <f t="shared" si="48"/>
        <v>1.74</v>
      </c>
      <c r="BY34" s="419"/>
      <c r="BZ34" s="414"/>
      <c r="CA34" s="414"/>
      <c r="CB34" s="414"/>
      <c r="CC34" s="414"/>
      <c r="CD34" s="509"/>
      <c r="CE34" s="419"/>
      <c r="CF34" s="601"/>
      <c r="CG34" s="414"/>
      <c r="CH34" s="414"/>
      <c r="CI34" s="601"/>
      <c r="CJ34" s="603"/>
    </row>
    <row r="35" spans="1:88">
      <c r="A35" s="205">
        <v>6</v>
      </c>
      <c r="B35" s="206">
        <v>3401</v>
      </c>
      <c r="C35" s="206">
        <v>650023404</v>
      </c>
      <c r="D35" s="206">
        <v>70981477</v>
      </c>
      <c r="E35" s="204" t="s">
        <v>95</v>
      </c>
      <c r="F35" s="206">
        <v>3143</v>
      </c>
      <c r="G35" s="207" t="s">
        <v>595</v>
      </c>
      <c r="H35" s="609" t="s">
        <v>271</v>
      </c>
      <c r="I35" s="419">
        <v>741171</v>
      </c>
      <c r="J35" s="414">
        <v>549830</v>
      </c>
      <c r="K35" s="414">
        <v>549830</v>
      </c>
      <c r="L35" s="414">
        <v>0</v>
      </c>
      <c r="M35" s="414">
        <v>0</v>
      </c>
      <c r="N35" s="414">
        <v>0</v>
      </c>
      <c r="O35" s="414">
        <v>0</v>
      </c>
      <c r="P35" s="68">
        <v>185843</v>
      </c>
      <c r="Q35" s="68">
        <v>5498</v>
      </c>
      <c r="R35" s="414">
        <v>0</v>
      </c>
      <c r="S35" s="415">
        <v>1</v>
      </c>
      <c r="T35" s="416">
        <v>1</v>
      </c>
      <c r="U35" s="422">
        <v>0</v>
      </c>
      <c r="V35" s="423">
        <f t="shared" si="4"/>
        <v>0</v>
      </c>
      <c r="W35" s="417">
        <f t="shared" si="5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6"/>
        <v>0</v>
      </c>
      <c r="AF35" s="417">
        <f t="shared" si="7"/>
        <v>0</v>
      </c>
      <c r="AG35" s="417">
        <f t="shared" si="8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9"/>
        <v>0</v>
      </c>
      <c r="AN35" s="417">
        <f t="shared" si="10"/>
        <v>0</v>
      </c>
      <c r="AO35" s="417">
        <f t="shared" si="11"/>
        <v>0</v>
      </c>
      <c r="AP35" s="417">
        <f t="shared" si="12"/>
        <v>0</v>
      </c>
      <c r="AQ35" s="417">
        <f t="shared" si="13"/>
        <v>0</v>
      </c>
      <c r="AR35" s="417">
        <f t="shared" si="14"/>
        <v>0</v>
      </c>
      <c r="AS35" s="68">
        <f t="shared" si="15"/>
        <v>0</v>
      </c>
      <c r="AT35" s="68">
        <f t="shared" si="16"/>
        <v>0</v>
      </c>
      <c r="AU35" s="417">
        <v>0</v>
      </c>
      <c r="AV35" s="417">
        <v>0</v>
      </c>
      <c r="AW35" s="417">
        <v>0</v>
      </c>
      <c r="AX35" s="417">
        <f t="shared" si="17"/>
        <v>0</v>
      </c>
      <c r="AY35" s="417">
        <f t="shared" si="18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9"/>
        <v>0</v>
      </c>
      <c r="BJ35" s="418">
        <f t="shared" si="20"/>
        <v>0</v>
      </c>
      <c r="BK35" s="420">
        <f t="shared" si="21"/>
        <v>0</v>
      </c>
      <c r="BL35" s="772">
        <f t="shared" si="40"/>
        <v>741171</v>
      </c>
      <c r="BM35" s="417">
        <f t="shared" si="41"/>
        <v>549830</v>
      </c>
      <c r="BN35" s="417">
        <f t="shared" si="42"/>
        <v>549830</v>
      </c>
      <c r="BO35" s="417">
        <f t="shared" si="42"/>
        <v>0</v>
      </c>
      <c r="BP35" s="417">
        <f t="shared" si="43"/>
        <v>0</v>
      </c>
      <c r="BQ35" s="417">
        <f t="shared" si="44"/>
        <v>0</v>
      </c>
      <c r="BR35" s="417">
        <f t="shared" si="44"/>
        <v>0</v>
      </c>
      <c r="BS35" s="417">
        <f t="shared" si="45"/>
        <v>185843</v>
      </c>
      <c r="BT35" s="417">
        <f t="shared" si="45"/>
        <v>5498</v>
      </c>
      <c r="BU35" s="417">
        <f t="shared" si="46"/>
        <v>0</v>
      </c>
      <c r="BV35" s="418">
        <f t="shared" si="47"/>
        <v>1</v>
      </c>
      <c r="BW35" s="418">
        <f t="shared" si="48"/>
        <v>1</v>
      </c>
      <c r="BX35" s="420">
        <f t="shared" si="48"/>
        <v>0</v>
      </c>
      <c r="BY35" s="419"/>
      <c r="BZ35" s="414"/>
      <c r="CA35" s="414"/>
      <c r="CB35" s="414"/>
      <c r="CC35" s="414"/>
      <c r="CD35" s="509"/>
      <c r="CE35" s="419"/>
      <c r="CF35" s="414"/>
      <c r="CG35" s="414"/>
      <c r="CH35" s="414"/>
      <c r="CI35" s="414"/>
      <c r="CJ35" s="509"/>
    </row>
    <row r="36" spans="1:88">
      <c r="A36" s="205">
        <v>6</v>
      </c>
      <c r="B36" s="206">
        <v>3401</v>
      </c>
      <c r="C36" s="206">
        <v>650023404</v>
      </c>
      <c r="D36" s="206">
        <v>70981477</v>
      </c>
      <c r="E36" s="204" t="s">
        <v>95</v>
      </c>
      <c r="F36" s="206">
        <v>3143</v>
      </c>
      <c r="G36" s="207" t="s">
        <v>596</v>
      </c>
      <c r="H36" s="609" t="s">
        <v>272</v>
      </c>
      <c r="I36" s="419">
        <v>22283</v>
      </c>
      <c r="J36" s="414">
        <v>15950</v>
      </c>
      <c r="K36" s="414">
        <v>0</v>
      </c>
      <c r="L36" s="414">
        <v>15950</v>
      </c>
      <c r="M36" s="414">
        <v>0</v>
      </c>
      <c r="N36" s="414">
        <v>0</v>
      </c>
      <c r="O36" s="414">
        <v>0</v>
      </c>
      <c r="P36" s="68">
        <v>5391</v>
      </c>
      <c r="Q36" s="68">
        <v>159</v>
      </c>
      <c r="R36" s="414">
        <v>783</v>
      </c>
      <c r="S36" s="415">
        <v>0.06</v>
      </c>
      <c r="T36" s="416">
        <v>0</v>
      </c>
      <c r="U36" s="422">
        <v>0.06</v>
      </c>
      <c r="V36" s="423">
        <f t="shared" si="4"/>
        <v>0</v>
      </c>
      <c r="W36" s="417">
        <f t="shared" si="5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6"/>
        <v>0</v>
      </c>
      <c r="AF36" s="417">
        <f t="shared" si="7"/>
        <v>0</v>
      </c>
      <c r="AG36" s="417">
        <f t="shared" si="8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9"/>
        <v>0</v>
      </c>
      <c r="AN36" s="417">
        <f t="shared" si="10"/>
        <v>0</v>
      </c>
      <c r="AO36" s="417">
        <f t="shared" si="11"/>
        <v>0</v>
      </c>
      <c r="AP36" s="417">
        <f t="shared" si="12"/>
        <v>0</v>
      </c>
      <c r="AQ36" s="417">
        <f t="shared" si="13"/>
        <v>0</v>
      </c>
      <c r="AR36" s="417">
        <f t="shared" si="14"/>
        <v>0</v>
      </c>
      <c r="AS36" s="68">
        <f t="shared" si="15"/>
        <v>0</v>
      </c>
      <c r="AT36" s="68">
        <f t="shared" si="16"/>
        <v>0</v>
      </c>
      <c r="AU36" s="417">
        <v>0</v>
      </c>
      <c r="AV36" s="417">
        <v>0</v>
      </c>
      <c r="AW36" s="417">
        <v>0</v>
      </c>
      <c r="AX36" s="417">
        <f t="shared" si="17"/>
        <v>0</v>
      </c>
      <c r="AY36" s="417">
        <f t="shared" si="18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9"/>
        <v>0</v>
      </c>
      <c r="BJ36" s="418">
        <f t="shared" si="20"/>
        <v>0</v>
      </c>
      <c r="BK36" s="420">
        <f t="shared" si="21"/>
        <v>0</v>
      </c>
      <c r="BL36" s="772">
        <f t="shared" si="40"/>
        <v>22283</v>
      </c>
      <c r="BM36" s="417">
        <f t="shared" si="41"/>
        <v>15950</v>
      </c>
      <c r="BN36" s="417">
        <f t="shared" si="42"/>
        <v>0</v>
      </c>
      <c r="BO36" s="417">
        <f t="shared" si="42"/>
        <v>15950</v>
      </c>
      <c r="BP36" s="417">
        <f t="shared" si="43"/>
        <v>0</v>
      </c>
      <c r="BQ36" s="417">
        <f t="shared" si="44"/>
        <v>0</v>
      </c>
      <c r="BR36" s="417">
        <f t="shared" si="44"/>
        <v>0</v>
      </c>
      <c r="BS36" s="417">
        <f t="shared" si="45"/>
        <v>5391</v>
      </c>
      <c r="BT36" s="417">
        <f t="shared" si="45"/>
        <v>159</v>
      </c>
      <c r="BU36" s="417">
        <f t="shared" si="46"/>
        <v>783</v>
      </c>
      <c r="BV36" s="418">
        <f t="shared" si="47"/>
        <v>0.06</v>
      </c>
      <c r="BW36" s="418">
        <f t="shared" si="48"/>
        <v>0</v>
      </c>
      <c r="BX36" s="420">
        <f t="shared" si="48"/>
        <v>0.06</v>
      </c>
      <c r="BY36" s="419"/>
      <c r="BZ36" s="414"/>
      <c r="CA36" s="414"/>
      <c r="CB36" s="414"/>
      <c r="CC36" s="414"/>
      <c r="CD36" s="509"/>
      <c r="CE36" s="419"/>
      <c r="CF36" s="601"/>
      <c r="CG36" s="414"/>
      <c r="CH36" s="414"/>
      <c r="CI36" s="602"/>
      <c r="CJ36" s="603"/>
    </row>
    <row r="37" spans="1:88">
      <c r="A37" s="155">
        <v>6</v>
      </c>
      <c r="B37" s="18">
        <v>3401</v>
      </c>
      <c r="C37" s="18">
        <v>650023404</v>
      </c>
      <c r="D37" s="18">
        <v>70981477</v>
      </c>
      <c r="E37" s="164" t="s">
        <v>96</v>
      </c>
      <c r="F37" s="18"/>
      <c r="G37" s="154"/>
      <c r="H37" s="608"/>
      <c r="I37" s="446">
        <v>7283674</v>
      </c>
      <c r="J37" s="442">
        <v>5314916</v>
      </c>
      <c r="K37" s="442">
        <v>4117252</v>
      </c>
      <c r="L37" s="442">
        <v>1197664</v>
      </c>
      <c r="M37" s="442">
        <v>40000</v>
      </c>
      <c r="N37" s="442">
        <v>20000</v>
      </c>
      <c r="O37" s="442">
        <v>20000</v>
      </c>
      <c r="P37" s="442">
        <v>1809962</v>
      </c>
      <c r="Q37" s="442">
        <v>53149</v>
      </c>
      <c r="R37" s="442">
        <v>65647</v>
      </c>
      <c r="S37" s="443">
        <v>10.9541</v>
      </c>
      <c r="T37" s="443">
        <v>7.3299000000000003</v>
      </c>
      <c r="U37" s="448">
        <v>3.6242000000000001</v>
      </c>
      <c r="V37" s="446">
        <f t="shared" ref="V37:CG37" si="49">SUM(V31:V36)</f>
        <v>-5000</v>
      </c>
      <c r="W37" s="442">
        <f t="shared" si="49"/>
        <v>-55000</v>
      </c>
      <c r="X37" s="442">
        <f t="shared" si="49"/>
        <v>-8252</v>
      </c>
      <c r="Y37" s="442">
        <f t="shared" si="49"/>
        <v>0</v>
      </c>
      <c r="Z37" s="442">
        <f t="shared" si="49"/>
        <v>0</v>
      </c>
      <c r="AA37" s="442">
        <f t="shared" si="49"/>
        <v>-4525</v>
      </c>
      <c r="AB37" s="442">
        <f t="shared" si="49"/>
        <v>0</v>
      </c>
      <c r="AC37" s="442">
        <f t="shared" si="49"/>
        <v>0</v>
      </c>
      <c r="AD37" s="442">
        <f t="shared" si="49"/>
        <v>0</v>
      </c>
      <c r="AE37" s="442">
        <f t="shared" si="49"/>
        <v>-13252</v>
      </c>
      <c r="AF37" s="442">
        <f t="shared" si="49"/>
        <v>-59525</v>
      </c>
      <c r="AG37" s="442">
        <f t="shared" si="49"/>
        <v>-72777</v>
      </c>
      <c r="AH37" s="442">
        <f t="shared" si="49"/>
        <v>5000</v>
      </c>
      <c r="AI37" s="442">
        <f t="shared" si="49"/>
        <v>55000</v>
      </c>
      <c r="AJ37" s="442">
        <f t="shared" si="49"/>
        <v>0</v>
      </c>
      <c r="AK37" s="442">
        <f t="shared" si="49"/>
        <v>0</v>
      </c>
      <c r="AL37" s="442">
        <f t="shared" si="49"/>
        <v>0</v>
      </c>
      <c r="AM37" s="442">
        <f t="shared" si="49"/>
        <v>5000</v>
      </c>
      <c r="AN37" s="442">
        <f t="shared" si="49"/>
        <v>55000</v>
      </c>
      <c r="AO37" s="442">
        <f t="shared" si="49"/>
        <v>60000</v>
      </c>
      <c r="AP37" s="442">
        <f t="shared" si="49"/>
        <v>-8252</v>
      </c>
      <c r="AQ37" s="442">
        <f t="shared" si="49"/>
        <v>-4525</v>
      </c>
      <c r="AR37" s="442">
        <f t="shared" si="49"/>
        <v>-12777</v>
      </c>
      <c r="AS37" s="442">
        <f t="shared" si="49"/>
        <v>-4318</v>
      </c>
      <c r="AT37" s="442">
        <f t="shared" si="49"/>
        <v>-728</v>
      </c>
      <c r="AU37" s="442">
        <f t="shared" si="49"/>
        <v>0</v>
      </c>
      <c r="AV37" s="442">
        <f t="shared" si="49"/>
        <v>0</v>
      </c>
      <c r="AW37" s="442">
        <f t="shared" si="49"/>
        <v>0</v>
      </c>
      <c r="AX37" s="442">
        <f t="shared" si="49"/>
        <v>0</v>
      </c>
      <c r="AY37" s="442">
        <f t="shared" si="49"/>
        <v>-17823</v>
      </c>
      <c r="AZ37" s="443">
        <f t="shared" si="49"/>
        <v>-0.03</v>
      </c>
      <c r="BA37" s="443">
        <f t="shared" si="49"/>
        <v>0.04</v>
      </c>
      <c r="BB37" s="443">
        <f t="shared" si="49"/>
        <v>-0.02</v>
      </c>
      <c r="BC37" s="443">
        <f t="shared" si="49"/>
        <v>0</v>
      </c>
      <c r="BD37" s="443">
        <f t="shared" si="49"/>
        <v>-0.01</v>
      </c>
      <c r="BE37" s="443">
        <f t="shared" si="49"/>
        <v>0</v>
      </c>
      <c r="BF37" s="443">
        <f t="shared" si="49"/>
        <v>0</v>
      </c>
      <c r="BG37" s="443">
        <f t="shared" si="49"/>
        <v>0</v>
      </c>
      <c r="BH37" s="443">
        <f t="shared" si="49"/>
        <v>0</v>
      </c>
      <c r="BI37" s="443">
        <f t="shared" si="49"/>
        <v>-0.05</v>
      </c>
      <c r="BJ37" s="443">
        <f t="shared" si="49"/>
        <v>0.03</v>
      </c>
      <c r="BK37" s="40">
        <f t="shared" si="49"/>
        <v>-1.9999999999999997E-2</v>
      </c>
      <c r="BL37" s="450">
        <f t="shared" si="49"/>
        <v>7265851</v>
      </c>
      <c r="BM37" s="442">
        <f t="shared" si="49"/>
        <v>5242139</v>
      </c>
      <c r="BN37" s="442">
        <f t="shared" si="49"/>
        <v>4104000</v>
      </c>
      <c r="BO37" s="442">
        <f t="shared" si="49"/>
        <v>1138139</v>
      </c>
      <c r="BP37" s="442">
        <f t="shared" si="49"/>
        <v>100000</v>
      </c>
      <c r="BQ37" s="442">
        <f t="shared" si="49"/>
        <v>25000</v>
      </c>
      <c r="BR37" s="442">
        <f t="shared" si="49"/>
        <v>75000</v>
      </c>
      <c r="BS37" s="442">
        <f t="shared" si="49"/>
        <v>1805644</v>
      </c>
      <c r="BT37" s="442">
        <f t="shared" si="49"/>
        <v>52421</v>
      </c>
      <c r="BU37" s="442">
        <f t="shared" si="49"/>
        <v>65647</v>
      </c>
      <c r="BV37" s="443">
        <f t="shared" si="49"/>
        <v>10.934100000000001</v>
      </c>
      <c r="BW37" s="443">
        <f t="shared" si="49"/>
        <v>7.2799000000000005</v>
      </c>
      <c r="BX37" s="40">
        <f t="shared" si="49"/>
        <v>3.6541999999999999</v>
      </c>
      <c r="BY37" s="804">
        <f t="shared" si="49"/>
        <v>0</v>
      </c>
      <c r="BZ37" s="708">
        <f t="shared" si="49"/>
        <v>0</v>
      </c>
      <c r="CA37" s="708">
        <f t="shared" si="49"/>
        <v>0</v>
      </c>
      <c r="CB37" s="708">
        <f t="shared" si="49"/>
        <v>0</v>
      </c>
      <c r="CC37" s="708">
        <f t="shared" si="49"/>
        <v>0</v>
      </c>
      <c r="CD37" s="805">
        <f t="shared" si="49"/>
        <v>0</v>
      </c>
      <c r="CE37" s="916">
        <f t="shared" si="49"/>
        <v>279436</v>
      </c>
      <c r="CF37" s="917">
        <f t="shared" si="49"/>
        <v>198236</v>
      </c>
      <c r="CG37" s="917">
        <f t="shared" si="49"/>
        <v>67004</v>
      </c>
      <c r="CH37" s="917">
        <f t="shared" ref="CH37:CJ37" si="50">SUM(CH31:CH36)</f>
        <v>1982</v>
      </c>
      <c r="CI37" s="917">
        <f t="shared" si="50"/>
        <v>12214</v>
      </c>
      <c r="CJ37" s="918">
        <f t="shared" si="50"/>
        <v>0.59189999999999998</v>
      </c>
    </row>
    <row r="38" spans="1:88">
      <c r="A38" s="205">
        <v>7</v>
      </c>
      <c r="B38" s="206">
        <v>3404</v>
      </c>
      <c r="C38" s="206">
        <v>650023021</v>
      </c>
      <c r="D38" s="206">
        <v>70982597</v>
      </c>
      <c r="E38" s="204" t="s">
        <v>97</v>
      </c>
      <c r="F38" s="206">
        <v>3111</v>
      </c>
      <c r="G38" s="207" t="s">
        <v>290</v>
      </c>
      <c r="H38" s="607" t="s">
        <v>271</v>
      </c>
      <c r="I38" s="419">
        <v>6331394</v>
      </c>
      <c r="J38" s="414">
        <v>4656554</v>
      </c>
      <c r="K38" s="414">
        <v>4303718</v>
      </c>
      <c r="L38" s="414">
        <v>352836</v>
      </c>
      <c r="M38" s="414">
        <v>20000</v>
      </c>
      <c r="N38" s="414">
        <v>20000</v>
      </c>
      <c r="O38" s="414">
        <v>0</v>
      </c>
      <c r="P38" s="68">
        <v>1580675</v>
      </c>
      <c r="Q38" s="68">
        <v>46565</v>
      </c>
      <c r="R38" s="414">
        <v>27600</v>
      </c>
      <c r="S38" s="415">
        <v>8.9941999999999993</v>
      </c>
      <c r="T38" s="416">
        <v>7.5805999999999996</v>
      </c>
      <c r="U38" s="422">
        <v>1.4136</v>
      </c>
      <c r="V38" s="423">
        <f t="shared" si="4"/>
        <v>20000</v>
      </c>
      <c r="W38" s="417">
        <f t="shared" si="5"/>
        <v>0</v>
      </c>
      <c r="X38" s="417">
        <v>0</v>
      </c>
      <c r="Y38" s="417">
        <v>0</v>
      </c>
      <c r="Z38" s="417">
        <v>-224084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6"/>
        <v>-204084</v>
      </c>
      <c r="AF38" s="417">
        <f t="shared" si="7"/>
        <v>0</v>
      </c>
      <c r="AG38" s="417">
        <f t="shared" si="8"/>
        <v>-204084</v>
      </c>
      <c r="AH38" s="417">
        <v>-20000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9"/>
        <v>-20000</v>
      </c>
      <c r="AN38" s="417">
        <f t="shared" si="10"/>
        <v>0</v>
      </c>
      <c r="AO38" s="417">
        <f t="shared" si="11"/>
        <v>-20000</v>
      </c>
      <c r="AP38" s="417">
        <f t="shared" si="12"/>
        <v>-224084</v>
      </c>
      <c r="AQ38" s="417">
        <f t="shared" si="13"/>
        <v>0</v>
      </c>
      <c r="AR38" s="417">
        <f t="shared" si="14"/>
        <v>-224084</v>
      </c>
      <c r="AS38" s="68">
        <f t="shared" si="15"/>
        <v>-75740</v>
      </c>
      <c r="AT38" s="68">
        <f t="shared" si="16"/>
        <v>-2041</v>
      </c>
      <c r="AU38" s="417">
        <v>0</v>
      </c>
      <c r="AV38" s="417">
        <v>0</v>
      </c>
      <c r="AW38" s="417">
        <v>0</v>
      </c>
      <c r="AX38" s="417">
        <f t="shared" si="17"/>
        <v>0</v>
      </c>
      <c r="AY38" s="417">
        <f t="shared" si="18"/>
        <v>-301865</v>
      </c>
      <c r="AZ38" s="418">
        <v>0</v>
      </c>
      <c r="BA38" s="418">
        <v>0</v>
      </c>
      <c r="BB38" s="418">
        <v>0</v>
      </c>
      <c r="BC38" s="418">
        <v>-0.49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9"/>
        <v>-0.49</v>
      </c>
      <c r="BJ38" s="418">
        <f t="shared" si="20"/>
        <v>0</v>
      </c>
      <c r="BK38" s="420">
        <f t="shared" si="21"/>
        <v>-0.49</v>
      </c>
      <c r="BL38" s="772">
        <f t="shared" ref="BL38:BL43" si="51">I38+AY38</f>
        <v>6029529</v>
      </c>
      <c r="BM38" s="417">
        <f t="shared" ref="BM38:BM43" si="52">J38+AG38</f>
        <v>4452470</v>
      </c>
      <c r="BN38" s="417">
        <f t="shared" ref="BN38:BO43" si="53">K38+AE38</f>
        <v>4099634</v>
      </c>
      <c r="BO38" s="417">
        <f t="shared" si="53"/>
        <v>352836</v>
      </c>
      <c r="BP38" s="417">
        <f t="shared" ref="BP38:BP43" si="54">M38+AO38</f>
        <v>0</v>
      </c>
      <c r="BQ38" s="417">
        <f t="shared" ref="BQ38:BR43" si="55">N38+AM38</f>
        <v>0</v>
      </c>
      <c r="BR38" s="417">
        <f t="shared" si="55"/>
        <v>0</v>
      </c>
      <c r="BS38" s="417">
        <f t="shared" ref="BS38:BT43" si="56">P38+AS38</f>
        <v>1504935</v>
      </c>
      <c r="BT38" s="417">
        <f t="shared" si="56"/>
        <v>44524</v>
      </c>
      <c r="BU38" s="417">
        <f t="shared" ref="BU38:BU43" si="57">R38+AX38</f>
        <v>27600</v>
      </c>
      <c r="BV38" s="418">
        <f t="shared" ref="BV38:BV43" si="58">S38+BK38</f>
        <v>8.5041999999999991</v>
      </c>
      <c r="BW38" s="418">
        <f t="shared" ref="BW38:BX43" si="59">T38+BI38</f>
        <v>7.0905999999999993</v>
      </c>
      <c r="BX38" s="420">
        <f t="shared" si="59"/>
        <v>1.4136</v>
      </c>
      <c r="BY38" s="419"/>
      <c r="BZ38" s="414"/>
      <c r="CA38" s="414"/>
      <c r="CB38" s="414"/>
      <c r="CC38" s="414"/>
      <c r="CD38" s="509"/>
      <c r="CE38" s="419">
        <v>161797</v>
      </c>
      <c r="CF38" s="414">
        <v>113220</v>
      </c>
      <c r="CG38" s="414">
        <v>38268</v>
      </c>
      <c r="CH38" s="414">
        <v>1132</v>
      </c>
      <c r="CI38" s="414">
        <v>9177</v>
      </c>
      <c r="CJ38" s="509">
        <v>0.4536</v>
      </c>
    </row>
    <row r="39" spans="1:88">
      <c r="A39" s="205">
        <v>7</v>
      </c>
      <c r="B39" s="206">
        <v>3404</v>
      </c>
      <c r="C39" s="206">
        <v>650023021</v>
      </c>
      <c r="D39" s="206">
        <v>70982597</v>
      </c>
      <c r="E39" s="204" t="s">
        <v>97</v>
      </c>
      <c r="F39" s="206">
        <v>3113</v>
      </c>
      <c r="G39" s="207" t="s">
        <v>293</v>
      </c>
      <c r="H39" s="607" t="s">
        <v>271</v>
      </c>
      <c r="I39" s="419">
        <v>21493565</v>
      </c>
      <c r="J39" s="414">
        <v>15628456</v>
      </c>
      <c r="K39" s="414">
        <v>13591578</v>
      </c>
      <c r="L39" s="414">
        <v>2036878</v>
      </c>
      <c r="M39" s="414">
        <v>80000</v>
      </c>
      <c r="N39" s="414">
        <v>80000</v>
      </c>
      <c r="O39" s="414">
        <v>0</v>
      </c>
      <c r="P39" s="68">
        <v>5309459</v>
      </c>
      <c r="Q39" s="68">
        <v>156285</v>
      </c>
      <c r="R39" s="414">
        <v>319365</v>
      </c>
      <c r="S39" s="415">
        <v>27.2456</v>
      </c>
      <c r="T39" s="416">
        <v>21.247299999999999</v>
      </c>
      <c r="U39" s="422">
        <v>5.9983000000000004</v>
      </c>
      <c r="V39" s="423">
        <f t="shared" si="4"/>
        <v>76800</v>
      </c>
      <c r="W39" s="417">
        <f t="shared" si="5"/>
        <v>0</v>
      </c>
      <c r="X39" s="417">
        <v>0</v>
      </c>
      <c r="Y39" s="417">
        <v>15888</v>
      </c>
      <c r="Z39" s="417">
        <v>-210225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6"/>
        <v>-117537</v>
      </c>
      <c r="AF39" s="417">
        <f t="shared" si="7"/>
        <v>0</v>
      </c>
      <c r="AG39" s="417">
        <f t="shared" si="8"/>
        <v>-117537</v>
      </c>
      <c r="AH39" s="417">
        <v>-76800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9"/>
        <v>-76800</v>
      </c>
      <c r="AN39" s="417">
        <f t="shared" si="10"/>
        <v>0</v>
      </c>
      <c r="AO39" s="417">
        <f t="shared" si="11"/>
        <v>-76800</v>
      </c>
      <c r="AP39" s="417">
        <f t="shared" si="12"/>
        <v>-194337</v>
      </c>
      <c r="AQ39" s="417">
        <f t="shared" si="13"/>
        <v>0</v>
      </c>
      <c r="AR39" s="417">
        <f t="shared" si="14"/>
        <v>-194337</v>
      </c>
      <c r="AS39" s="68">
        <f t="shared" si="15"/>
        <v>-65686</v>
      </c>
      <c r="AT39" s="68">
        <f t="shared" si="16"/>
        <v>-1175</v>
      </c>
      <c r="AU39" s="417">
        <v>0</v>
      </c>
      <c r="AV39" s="417">
        <v>0</v>
      </c>
      <c r="AW39" s="417">
        <v>0</v>
      </c>
      <c r="AX39" s="417">
        <f t="shared" si="17"/>
        <v>0</v>
      </c>
      <c r="AY39" s="417">
        <f t="shared" si="18"/>
        <v>-261198</v>
      </c>
      <c r="AZ39" s="418">
        <v>0</v>
      </c>
      <c r="BA39" s="418">
        <v>0</v>
      </c>
      <c r="BB39" s="418">
        <v>0</v>
      </c>
      <c r="BC39" s="418">
        <v>-0.42</v>
      </c>
      <c r="BD39" s="418">
        <v>0</v>
      </c>
      <c r="BE39" s="418">
        <v>0.02</v>
      </c>
      <c r="BF39" s="418">
        <v>0</v>
      </c>
      <c r="BG39" s="418">
        <v>0</v>
      </c>
      <c r="BH39" s="418">
        <v>0</v>
      </c>
      <c r="BI39" s="418">
        <f t="shared" si="19"/>
        <v>-0.39999999999999997</v>
      </c>
      <c r="BJ39" s="418">
        <f t="shared" si="20"/>
        <v>0</v>
      </c>
      <c r="BK39" s="420">
        <f t="shared" si="21"/>
        <v>-0.39999999999999997</v>
      </c>
      <c r="BL39" s="772">
        <f t="shared" si="51"/>
        <v>21232367</v>
      </c>
      <c r="BM39" s="417">
        <f t="shared" si="52"/>
        <v>15510919</v>
      </c>
      <c r="BN39" s="417">
        <f t="shared" si="53"/>
        <v>13474041</v>
      </c>
      <c r="BO39" s="417">
        <f t="shared" si="53"/>
        <v>2036878</v>
      </c>
      <c r="BP39" s="417">
        <f t="shared" si="54"/>
        <v>3200</v>
      </c>
      <c r="BQ39" s="417">
        <f t="shared" si="55"/>
        <v>3200</v>
      </c>
      <c r="BR39" s="417">
        <f t="shared" si="55"/>
        <v>0</v>
      </c>
      <c r="BS39" s="417">
        <f t="shared" si="56"/>
        <v>5243773</v>
      </c>
      <c r="BT39" s="417">
        <f t="shared" si="56"/>
        <v>155110</v>
      </c>
      <c r="BU39" s="417">
        <f t="shared" si="57"/>
        <v>319365</v>
      </c>
      <c r="BV39" s="418">
        <f t="shared" si="58"/>
        <v>26.845600000000001</v>
      </c>
      <c r="BW39" s="418">
        <f t="shared" si="59"/>
        <v>20.847300000000001</v>
      </c>
      <c r="BX39" s="420">
        <f t="shared" si="59"/>
        <v>5.9983000000000004</v>
      </c>
      <c r="BY39" s="419">
        <v>380136</v>
      </c>
      <c r="BZ39" s="414">
        <v>282000</v>
      </c>
      <c r="CA39" s="414">
        <v>0</v>
      </c>
      <c r="CB39" s="414">
        <v>95316</v>
      </c>
      <c r="CC39" s="414">
        <v>2820</v>
      </c>
      <c r="CD39" s="509">
        <v>0.5</v>
      </c>
      <c r="CE39" s="414">
        <v>952772</v>
      </c>
      <c r="CF39" s="414">
        <v>653810</v>
      </c>
      <c r="CG39" s="414">
        <v>220988</v>
      </c>
      <c r="CH39" s="414">
        <v>6538</v>
      </c>
      <c r="CI39" s="414">
        <v>71436</v>
      </c>
      <c r="CJ39" s="509">
        <v>1.9255000000000002</v>
      </c>
    </row>
    <row r="40" spans="1:88">
      <c r="A40" s="205">
        <v>7</v>
      </c>
      <c r="B40" s="206">
        <v>3404</v>
      </c>
      <c r="C40" s="206">
        <v>650023021</v>
      </c>
      <c r="D40" s="206">
        <v>70982597</v>
      </c>
      <c r="E40" s="204" t="s">
        <v>97</v>
      </c>
      <c r="F40" s="206">
        <v>3113</v>
      </c>
      <c r="G40" s="207" t="s">
        <v>291</v>
      </c>
      <c r="H40" s="607" t="s">
        <v>272</v>
      </c>
      <c r="I40" s="419">
        <v>5360486</v>
      </c>
      <c r="J40" s="414">
        <v>3965494</v>
      </c>
      <c r="K40" s="414">
        <v>3965494</v>
      </c>
      <c r="L40" s="414">
        <v>0</v>
      </c>
      <c r="M40" s="414">
        <v>0</v>
      </c>
      <c r="N40" s="414">
        <v>0</v>
      </c>
      <c r="O40" s="414">
        <v>0</v>
      </c>
      <c r="P40" s="68">
        <v>1340337</v>
      </c>
      <c r="Q40" s="68">
        <v>39655</v>
      </c>
      <c r="R40" s="414">
        <v>15000</v>
      </c>
      <c r="S40" s="415">
        <v>10.629999999999999</v>
      </c>
      <c r="T40" s="416">
        <v>10.629999999999999</v>
      </c>
      <c r="U40" s="422">
        <v>0</v>
      </c>
      <c r="V40" s="423">
        <f t="shared" si="4"/>
        <v>0</v>
      </c>
      <c r="W40" s="417">
        <f t="shared" si="5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6"/>
        <v>0</v>
      </c>
      <c r="AF40" s="417">
        <f t="shared" si="7"/>
        <v>0</v>
      </c>
      <c r="AG40" s="417">
        <f t="shared" si="8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9"/>
        <v>0</v>
      </c>
      <c r="AN40" s="417">
        <f t="shared" si="10"/>
        <v>0</v>
      </c>
      <c r="AO40" s="417">
        <f t="shared" si="11"/>
        <v>0</v>
      </c>
      <c r="AP40" s="417">
        <f t="shared" si="12"/>
        <v>0</v>
      </c>
      <c r="AQ40" s="417">
        <f t="shared" si="13"/>
        <v>0</v>
      </c>
      <c r="AR40" s="417">
        <f t="shared" si="14"/>
        <v>0</v>
      </c>
      <c r="AS40" s="68">
        <f t="shared" si="15"/>
        <v>0</v>
      </c>
      <c r="AT40" s="68">
        <f t="shared" si="16"/>
        <v>0</v>
      </c>
      <c r="AU40" s="417">
        <v>0</v>
      </c>
      <c r="AV40" s="417">
        <v>0</v>
      </c>
      <c r="AW40" s="417">
        <v>0</v>
      </c>
      <c r="AX40" s="417">
        <f t="shared" si="17"/>
        <v>0</v>
      </c>
      <c r="AY40" s="417">
        <f t="shared" si="18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9"/>
        <v>0</v>
      </c>
      <c r="BJ40" s="418">
        <f t="shared" si="20"/>
        <v>0</v>
      </c>
      <c r="BK40" s="420">
        <f t="shared" si="21"/>
        <v>0</v>
      </c>
      <c r="BL40" s="772">
        <f t="shared" si="51"/>
        <v>5360486</v>
      </c>
      <c r="BM40" s="417">
        <f t="shared" si="52"/>
        <v>3965494</v>
      </c>
      <c r="BN40" s="417">
        <f t="shared" si="53"/>
        <v>3965494</v>
      </c>
      <c r="BO40" s="417">
        <f t="shared" si="53"/>
        <v>0</v>
      </c>
      <c r="BP40" s="417">
        <f t="shared" si="54"/>
        <v>0</v>
      </c>
      <c r="BQ40" s="417">
        <f t="shared" si="55"/>
        <v>0</v>
      </c>
      <c r="BR40" s="417">
        <f t="shared" si="55"/>
        <v>0</v>
      </c>
      <c r="BS40" s="417">
        <f t="shared" si="56"/>
        <v>1340337</v>
      </c>
      <c r="BT40" s="417">
        <f t="shared" si="56"/>
        <v>39655</v>
      </c>
      <c r="BU40" s="417">
        <f t="shared" si="57"/>
        <v>15000</v>
      </c>
      <c r="BV40" s="418">
        <f t="shared" si="58"/>
        <v>10.629999999999999</v>
      </c>
      <c r="BW40" s="418">
        <f t="shared" si="59"/>
        <v>10.629999999999999</v>
      </c>
      <c r="BX40" s="420">
        <f t="shared" si="59"/>
        <v>0</v>
      </c>
      <c r="BY40" s="419"/>
      <c r="BZ40" s="414"/>
      <c r="CA40" s="414"/>
      <c r="CB40" s="414"/>
      <c r="CC40" s="414"/>
      <c r="CD40" s="509"/>
      <c r="CE40" s="419"/>
      <c r="CF40" s="414"/>
      <c r="CG40" s="414"/>
      <c r="CH40" s="414"/>
      <c r="CI40" s="414"/>
      <c r="CJ40" s="509"/>
    </row>
    <row r="41" spans="1:88">
      <c r="A41" s="205">
        <v>7</v>
      </c>
      <c r="B41" s="206">
        <v>3404</v>
      </c>
      <c r="C41" s="206">
        <v>650023021</v>
      </c>
      <c r="D41" s="206">
        <v>70982597</v>
      </c>
      <c r="E41" s="204" t="s">
        <v>97</v>
      </c>
      <c r="F41" s="206">
        <v>3141</v>
      </c>
      <c r="G41" s="207" t="s">
        <v>294</v>
      </c>
      <c r="H41" s="607" t="s">
        <v>272</v>
      </c>
      <c r="I41" s="419">
        <v>2371381</v>
      </c>
      <c r="J41" s="414">
        <v>1748155</v>
      </c>
      <c r="K41" s="414">
        <v>0</v>
      </c>
      <c r="L41" s="414">
        <v>1748155</v>
      </c>
      <c r="M41" s="414">
        <v>0</v>
      </c>
      <c r="N41" s="414">
        <v>0</v>
      </c>
      <c r="O41" s="414">
        <v>0</v>
      </c>
      <c r="P41" s="68">
        <v>590876</v>
      </c>
      <c r="Q41" s="68">
        <v>17482</v>
      </c>
      <c r="R41" s="414">
        <v>14868</v>
      </c>
      <c r="S41" s="415">
        <v>5.24</v>
      </c>
      <c r="T41" s="416">
        <v>0</v>
      </c>
      <c r="U41" s="422">
        <v>5.24</v>
      </c>
      <c r="V41" s="423">
        <f t="shared" si="4"/>
        <v>0</v>
      </c>
      <c r="W41" s="417">
        <f t="shared" si="5"/>
        <v>0</v>
      </c>
      <c r="X41" s="417">
        <v>0</v>
      </c>
      <c r="Y41" s="417">
        <v>0</v>
      </c>
      <c r="Z41" s="417">
        <v>0</v>
      </c>
      <c r="AA41" s="417">
        <v>-61192</v>
      </c>
      <c r="AB41" s="417">
        <v>0</v>
      </c>
      <c r="AC41" s="417">
        <v>0</v>
      </c>
      <c r="AD41" s="417">
        <v>0</v>
      </c>
      <c r="AE41" s="417">
        <f t="shared" si="6"/>
        <v>0</v>
      </c>
      <c r="AF41" s="417">
        <f t="shared" si="7"/>
        <v>-61192</v>
      </c>
      <c r="AG41" s="417">
        <f t="shared" si="8"/>
        <v>-61192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9"/>
        <v>0</v>
      </c>
      <c r="AN41" s="417">
        <f t="shared" si="10"/>
        <v>0</v>
      </c>
      <c r="AO41" s="417">
        <f t="shared" si="11"/>
        <v>0</v>
      </c>
      <c r="AP41" s="417">
        <f t="shared" si="12"/>
        <v>0</v>
      </c>
      <c r="AQ41" s="417">
        <f t="shared" si="13"/>
        <v>-61192</v>
      </c>
      <c r="AR41" s="417">
        <f t="shared" si="14"/>
        <v>-61192</v>
      </c>
      <c r="AS41" s="68">
        <f t="shared" si="15"/>
        <v>-20683</v>
      </c>
      <c r="AT41" s="68">
        <f t="shared" si="16"/>
        <v>-612</v>
      </c>
      <c r="AU41" s="417">
        <v>0</v>
      </c>
      <c r="AV41" s="417">
        <v>0</v>
      </c>
      <c r="AW41" s="417">
        <v>0</v>
      </c>
      <c r="AX41" s="417">
        <f t="shared" si="17"/>
        <v>0</v>
      </c>
      <c r="AY41" s="417">
        <f t="shared" si="18"/>
        <v>-82487</v>
      </c>
      <c r="AZ41" s="418">
        <v>0</v>
      </c>
      <c r="BA41" s="418">
        <v>0</v>
      </c>
      <c r="BB41" s="418">
        <v>0</v>
      </c>
      <c r="BC41" s="418">
        <v>0</v>
      </c>
      <c r="BD41" s="418">
        <v>-0.17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9"/>
        <v>0</v>
      </c>
      <c r="BJ41" s="418">
        <f t="shared" si="20"/>
        <v>-0.17</v>
      </c>
      <c r="BK41" s="420">
        <f t="shared" si="21"/>
        <v>-0.17</v>
      </c>
      <c r="BL41" s="772">
        <f t="shared" si="51"/>
        <v>2288894</v>
      </c>
      <c r="BM41" s="417">
        <f t="shared" si="52"/>
        <v>1686963</v>
      </c>
      <c r="BN41" s="417">
        <f t="shared" si="53"/>
        <v>0</v>
      </c>
      <c r="BO41" s="417">
        <f t="shared" si="53"/>
        <v>1686963</v>
      </c>
      <c r="BP41" s="417">
        <f t="shared" si="54"/>
        <v>0</v>
      </c>
      <c r="BQ41" s="417">
        <f t="shared" si="55"/>
        <v>0</v>
      </c>
      <c r="BR41" s="417">
        <f t="shared" si="55"/>
        <v>0</v>
      </c>
      <c r="BS41" s="417">
        <f t="shared" si="56"/>
        <v>570193</v>
      </c>
      <c r="BT41" s="417">
        <f t="shared" si="56"/>
        <v>16870</v>
      </c>
      <c r="BU41" s="417">
        <f t="shared" si="57"/>
        <v>14868</v>
      </c>
      <c r="BV41" s="418">
        <f t="shared" si="58"/>
        <v>5.07</v>
      </c>
      <c r="BW41" s="418">
        <f t="shared" si="59"/>
        <v>0</v>
      </c>
      <c r="BX41" s="420">
        <f t="shared" si="59"/>
        <v>5.07</v>
      </c>
      <c r="BY41" s="419"/>
      <c r="BZ41" s="414"/>
      <c r="CA41" s="414"/>
      <c r="CB41" s="414"/>
      <c r="CC41" s="414"/>
      <c r="CD41" s="509"/>
      <c r="CE41" s="419"/>
      <c r="CF41" s="414"/>
      <c r="CG41" s="414"/>
      <c r="CH41" s="414"/>
      <c r="CI41" s="414"/>
      <c r="CJ41" s="509"/>
    </row>
    <row r="42" spans="1:88" s="3" customFormat="1">
      <c r="A42" s="205">
        <v>7</v>
      </c>
      <c r="B42" s="206">
        <v>3404</v>
      </c>
      <c r="C42" s="206">
        <v>650023021</v>
      </c>
      <c r="D42" s="206">
        <v>70982597</v>
      </c>
      <c r="E42" s="204" t="s">
        <v>97</v>
      </c>
      <c r="F42" s="206">
        <v>3143</v>
      </c>
      <c r="G42" s="207" t="s">
        <v>595</v>
      </c>
      <c r="H42" s="609" t="s">
        <v>271</v>
      </c>
      <c r="I42" s="419">
        <v>1945045</v>
      </c>
      <c r="J42" s="414">
        <v>1442912</v>
      </c>
      <c r="K42" s="414">
        <v>1442912</v>
      </c>
      <c r="L42" s="414">
        <v>0</v>
      </c>
      <c r="M42" s="414">
        <v>0</v>
      </c>
      <c r="N42" s="414">
        <v>0</v>
      </c>
      <c r="O42" s="414">
        <v>0</v>
      </c>
      <c r="P42" s="68">
        <v>487704</v>
      </c>
      <c r="Q42" s="68">
        <v>14429</v>
      </c>
      <c r="R42" s="414">
        <v>0</v>
      </c>
      <c r="S42" s="415">
        <v>2.9643000000000002</v>
      </c>
      <c r="T42" s="416">
        <v>2.9643000000000002</v>
      </c>
      <c r="U42" s="422">
        <v>0</v>
      </c>
      <c r="V42" s="423">
        <f t="shared" si="4"/>
        <v>0</v>
      </c>
      <c r="W42" s="417">
        <f t="shared" si="5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6"/>
        <v>0</v>
      </c>
      <c r="AF42" s="417">
        <f t="shared" si="7"/>
        <v>0</v>
      </c>
      <c r="AG42" s="417">
        <f t="shared" si="8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9"/>
        <v>0</v>
      </c>
      <c r="AN42" s="417">
        <f t="shared" si="10"/>
        <v>0</v>
      </c>
      <c r="AO42" s="417">
        <f t="shared" si="11"/>
        <v>0</v>
      </c>
      <c r="AP42" s="417">
        <f t="shared" si="12"/>
        <v>0</v>
      </c>
      <c r="AQ42" s="417">
        <f t="shared" si="13"/>
        <v>0</v>
      </c>
      <c r="AR42" s="417">
        <f t="shared" si="14"/>
        <v>0</v>
      </c>
      <c r="AS42" s="68">
        <f t="shared" si="15"/>
        <v>0</v>
      </c>
      <c r="AT42" s="68">
        <f t="shared" si="16"/>
        <v>0</v>
      </c>
      <c r="AU42" s="417">
        <v>0</v>
      </c>
      <c r="AV42" s="417">
        <v>0</v>
      </c>
      <c r="AW42" s="417">
        <v>0</v>
      </c>
      <c r="AX42" s="417">
        <f t="shared" si="17"/>
        <v>0</v>
      </c>
      <c r="AY42" s="417">
        <f t="shared" si="18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9"/>
        <v>0</v>
      </c>
      <c r="BJ42" s="418">
        <f t="shared" si="20"/>
        <v>0</v>
      </c>
      <c r="BK42" s="420">
        <f t="shared" si="21"/>
        <v>0</v>
      </c>
      <c r="BL42" s="772">
        <f t="shared" si="51"/>
        <v>1945045</v>
      </c>
      <c r="BM42" s="417">
        <f t="shared" si="52"/>
        <v>1442912</v>
      </c>
      <c r="BN42" s="417">
        <f t="shared" si="53"/>
        <v>1442912</v>
      </c>
      <c r="BO42" s="417">
        <f t="shared" si="53"/>
        <v>0</v>
      </c>
      <c r="BP42" s="417">
        <f t="shared" si="54"/>
        <v>0</v>
      </c>
      <c r="BQ42" s="417">
        <f t="shared" si="55"/>
        <v>0</v>
      </c>
      <c r="BR42" s="417">
        <f t="shared" si="55"/>
        <v>0</v>
      </c>
      <c r="BS42" s="417">
        <f t="shared" si="56"/>
        <v>487704</v>
      </c>
      <c r="BT42" s="417">
        <f t="shared" si="56"/>
        <v>14429</v>
      </c>
      <c r="BU42" s="417">
        <f t="shared" si="57"/>
        <v>0</v>
      </c>
      <c r="BV42" s="418">
        <f t="shared" si="58"/>
        <v>2.9643000000000002</v>
      </c>
      <c r="BW42" s="418">
        <f t="shared" si="59"/>
        <v>2.9643000000000002</v>
      </c>
      <c r="BX42" s="420">
        <f t="shared" si="59"/>
        <v>0</v>
      </c>
      <c r="BY42" s="419"/>
      <c r="BZ42" s="414"/>
      <c r="CA42" s="414"/>
      <c r="CB42" s="414"/>
      <c r="CC42" s="414"/>
      <c r="CD42" s="509"/>
      <c r="CE42" s="419"/>
      <c r="CF42" s="414"/>
      <c r="CG42" s="414"/>
      <c r="CH42" s="414"/>
      <c r="CI42" s="414"/>
      <c r="CJ42" s="509"/>
    </row>
    <row r="43" spans="1:88" s="3" customFormat="1">
      <c r="A43" s="205">
        <v>7</v>
      </c>
      <c r="B43" s="206">
        <v>3404</v>
      </c>
      <c r="C43" s="206">
        <v>650023021</v>
      </c>
      <c r="D43" s="206">
        <v>70982597</v>
      </c>
      <c r="E43" s="204" t="s">
        <v>97</v>
      </c>
      <c r="F43" s="206">
        <v>3143</v>
      </c>
      <c r="G43" s="207" t="s">
        <v>596</v>
      </c>
      <c r="H43" s="609" t="s">
        <v>272</v>
      </c>
      <c r="I43" s="419">
        <v>54556</v>
      </c>
      <c r="J43" s="414">
        <v>39050</v>
      </c>
      <c r="K43" s="414">
        <v>0</v>
      </c>
      <c r="L43" s="414">
        <v>39050</v>
      </c>
      <c r="M43" s="414">
        <v>0</v>
      </c>
      <c r="N43" s="414">
        <v>0</v>
      </c>
      <c r="O43" s="414">
        <v>0</v>
      </c>
      <c r="P43" s="68">
        <v>13199</v>
      </c>
      <c r="Q43" s="68">
        <v>390</v>
      </c>
      <c r="R43" s="414">
        <v>1917</v>
      </c>
      <c r="S43" s="415">
        <v>0.15000000000000002</v>
      </c>
      <c r="T43" s="416">
        <v>0</v>
      </c>
      <c r="U43" s="422">
        <v>0.15000000000000002</v>
      </c>
      <c r="V43" s="423">
        <f t="shared" si="4"/>
        <v>0</v>
      </c>
      <c r="W43" s="417">
        <f t="shared" si="5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6"/>
        <v>0</v>
      </c>
      <c r="AF43" s="417">
        <f t="shared" si="7"/>
        <v>0</v>
      </c>
      <c r="AG43" s="417">
        <f t="shared" si="8"/>
        <v>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9"/>
        <v>0</v>
      </c>
      <c r="AN43" s="417">
        <f t="shared" si="10"/>
        <v>0</v>
      </c>
      <c r="AO43" s="417">
        <f t="shared" si="11"/>
        <v>0</v>
      </c>
      <c r="AP43" s="417">
        <f t="shared" si="12"/>
        <v>0</v>
      </c>
      <c r="AQ43" s="417">
        <f t="shared" si="13"/>
        <v>0</v>
      </c>
      <c r="AR43" s="417">
        <f t="shared" si="14"/>
        <v>0</v>
      </c>
      <c r="AS43" s="68">
        <f t="shared" si="15"/>
        <v>0</v>
      </c>
      <c r="AT43" s="68">
        <f t="shared" si="16"/>
        <v>0</v>
      </c>
      <c r="AU43" s="417">
        <v>0</v>
      </c>
      <c r="AV43" s="417">
        <v>0</v>
      </c>
      <c r="AW43" s="417">
        <v>0</v>
      </c>
      <c r="AX43" s="417">
        <f t="shared" si="17"/>
        <v>0</v>
      </c>
      <c r="AY43" s="417">
        <f t="shared" si="18"/>
        <v>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9"/>
        <v>0</v>
      </c>
      <c r="BJ43" s="418">
        <f t="shared" si="20"/>
        <v>0</v>
      </c>
      <c r="BK43" s="420">
        <f t="shared" si="21"/>
        <v>0</v>
      </c>
      <c r="BL43" s="772">
        <f t="shared" si="51"/>
        <v>54556</v>
      </c>
      <c r="BM43" s="417">
        <f t="shared" si="52"/>
        <v>39050</v>
      </c>
      <c r="BN43" s="417">
        <f t="shared" si="53"/>
        <v>0</v>
      </c>
      <c r="BO43" s="417">
        <f t="shared" si="53"/>
        <v>39050</v>
      </c>
      <c r="BP43" s="417">
        <f t="shared" si="54"/>
        <v>0</v>
      </c>
      <c r="BQ43" s="417">
        <f t="shared" si="55"/>
        <v>0</v>
      </c>
      <c r="BR43" s="417">
        <f t="shared" si="55"/>
        <v>0</v>
      </c>
      <c r="BS43" s="417">
        <f t="shared" si="56"/>
        <v>13199</v>
      </c>
      <c r="BT43" s="417">
        <f t="shared" si="56"/>
        <v>390</v>
      </c>
      <c r="BU43" s="417">
        <f t="shared" si="57"/>
        <v>1917</v>
      </c>
      <c r="BV43" s="418">
        <f t="shared" si="58"/>
        <v>0.15000000000000002</v>
      </c>
      <c r="BW43" s="418">
        <f t="shared" si="59"/>
        <v>0</v>
      </c>
      <c r="BX43" s="420">
        <f t="shared" si="59"/>
        <v>0.15000000000000002</v>
      </c>
      <c r="BY43" s="419"/>
      <c r="BZ43" s="414"/>
      <c r="CA43" s="414"/>
      <c r="CB43" s="414"/>
      <c r="CC43" s="414"/>
      <c r="CD43" s="509"/>
      <c r="CE43" s="419"/>
      <c r="CF43" s="601"/>
      <c r="CG43" s="414"/>
      <c r="CH43" s="414"/>
      <c r="CI43" s="602"/>
      <c r="CJ43" s="603"/>
    </row>
    <row r="44" spans="1:88">
      <c r="A44" s="155">
        <v>7</v>
      </c>
      <c r="B44" s="18">
        <v>3404</v>
      </c>
      <c r="C44" s="18">
        <v>650023021</v>
      </c>
      <c r="D44" s="18">
        <v>70982597</v>
      </c>
      <c r="E44" s="164" t="s">
        <v>98</v>
      </c>
      <c r="F44" s="18"/>
      <c r="G44" s="154"/>
      <c r="H44" s="608"/>
      <c r="I44" s="446">
        <v>37556427</v>
      </c>
      <c r="J44" s="442">
        <v>27480621</v>
      </c>
      <c r="K44" s="442">
        <v>23303702</v>
      </c>
      <c r="L44" s="442">
        <v>4176919</v>
      </c>
      <c r="M44" s="442">
        <v>100000</v>
      </c>
      <c r="N44" s="442">
        <v>100000</v>
      </c>
      <c r="O44" s="442">
        <v>0</v>
      </c>
      <c r="P44" s="442">
        <v>9322250</v>
      </c>
      <c r="Q44" s="442">
        <v>274806</v>
      </c>
      <c r="R44" s="442">
        <v>378750</v>
      </c>
      <c r="S44" s="443">
        <v>55.2241</v>
      </c>
      <c r="T44" s="443">
        <v>42.422199999999997</v>
      </c>
      <c r="U44" s="448">
        <v>12.801900000000002</v>
      </c>
      <c r="V44" s="446">
        <f t="shared" ref="V44:CG44" si="60">SUM(V38:V43)</f>
        <v>96800</v>
      </c>
      <c r="W44" s="442">
        <f t="shared" si="60"/>
        <v>0</v>
      </c>
      <c r="X44" s="442">
        <f t="shared" si="60"/>
        <v>0</v>
      </c>
      <c r="Y44" s="442">
        <f t="shared" si="60"/>
        <v>15888</v>
      </c>
      <c r="Z44" s="442">
        <f t="shared" si="60"/>
        <v>-434309</v>
      </c>
      <c r="AA44" s="442">
        <f t="shared" si="60"/>
        <v>-61192</v>
      </c>
      <c r="AB44" s="442">
        <f t="shared" si="60"/>
        <v>0</v>
      </c>
      <c r="AC44" s="442">
        <f t="shared" si="60"/>
        <v>0</v>
      </c>
      <c r="AD44" s="442">
        <f t="shared" si="60"/>
        <v>0</v>
      </c>
      <c r="AE44" s="442">
        <f t="shared" si="60"/>
        <v>-321621</v>
      </c>
      <c r="AF44" s="442">
        <f t="shared" si="60"/>
        <v>-61192</v>
      </c>
      <c r="AG44" s="442">
        <f t="shared" si="60"/>
        <v>-382813</v>
      </c>
      <c r="AH44" s="442">
        <f t="shared" si="60"/>
        <v>-96800</v>
      </c>
      <c r="AI44" s="442">
        <f t="shared" si="60"/>
        <v>0</v>
      </c>
      <c r="AJ44" s="442">
        <f t="shared" si="60"/>
        <v>0</v>
      </c>
      <c r="AK44" s="442">
        <f t="shared" si="60"/>
        <v>0</v>
      </c>
      <c r="AL44" s="442">
        <f t="shared" si="60"/>
        <v>0</v>
      </c>
      <c r="AM44" s="442">
        <f t="shared" si="60"/>
        <v>-96800</v>
      </c>
      <c r="AN44" s="442">
        <f t="shared" si="60"/>
        <v>0</v>
      </c>
      <c r="AO44" s="442">
        <f t="shared" si="60"/>
        <v>-96800</v>
      </c>
      <c r="AP44" s="442">
        <f t="shared" si="60"/>
        <v>-418421</v>
      </c>
      <c r="AQ44" s="442">
        <f t="shared" si="60"/>
        <v>-61192</v>
      </c>
      <c r="AR44" s="442">
        <f t="shared" si="60"/>
        <v>-479613</v>
      </c>
      <c r="AS44" s="442">
        <f t="shared" si="60"/>
        <v>-162109</v>
      </c>
      <c r="AT44" s="442">
        <f t="shared" si="60"/>
        <v>-3828</v>
      </c>
      <c r="AU44" s="442">
        <f t="shared" si="60"/>
        <v>0</v>
      </c>
      <c r="AV44" s="442">
        <f t="shared" si="60"/>
        <v>0</v>
      </c>
      <c r="AW44" s="442">
        <f t="shared" si="60"/>
        <v>0</v>
      </c>
      <c r="AX44" s="442">
        <f t="shared" si="60"/>
        <v>0</v>
      </c>
      <c r="AY44" s="442">
        <f t="shared" si="60"/>
        <v>-645550</v>
      </c>
      <c r="AZ44" s="443">
        <f t="shared" si="60"/>
        <v>0</v>
      </c>
      <c r="BA44" s="443">
        <f t="shared" si="60"/>
        <v>0</v>
      </c>
      <c r="BB44" s="443">
        <f t="shared" si="60"/>
        <v>0</v>
      </c>
      <c r="BC44" s="443">
        <f t="shared" si="60"/>
        <v>-0.90999999999999992</v>
      </c>
      <c r="BD44" s="443">
        <f t="shared" si="60"/>
        <v>-0.17</v>
      </c>
      <c r="BE44" s="443">
        <f t="shared" si="60"/>
        <v>0.02</v>
      </c>
      <c r="BF44" s="443">
        <f t="shared" si="60"/>
        <v>0</v>
      </c>
      <c r="BG44" s="443">
        <f t="shared" si="60"/>
        <v>0</v>
      </c>
      <c r="BH44" s="443">
        <f t="shared" si="60"/>
        <v>0</v>
      </c>
      <c r="BI44" s="443">
        <f t="shared" si="60"/>
        <v>-0.8899999999999999</v>
      </c>
      <c r="BJ44" s="443">
        <f t="shared" si="60"/>
        <v>-0.17</v>
      </c>
      <c r="BK44" s="40">
        <f t="shared" si="60"/>
        <v>-1.0599999999999998</v>
      </c>
      <c r="BL44" s="450">
        <f t="shared" si="60"/>
        <v>36910877</v>
      </c>
      <c r="BM44" s="442">
        <f t="shared" si="60"/>
        <v>27097808</v>
      </c>
      <c r="BN44" s="442">
        <f t="shared" si="60"/>
        <v>22982081</v>
      </c>
      <c r="BO44" s="442">
        <f t="shared" si="60"/>
        <v>4115727</v>
      </c>
      <c r="BP44" s="442">
        <f t="shared" si="60"/>
        <v>3200</v>
      </c>
      <c r="BQ44" s="442">
        <f t="shared" si="60"/>
        <v>3200</v>
      </c>
      <c r="BR44" s="442">
        <f t="shared" si="60"/>
        <v>0</v>
      </c>
      <c r="BS44" s="442">
        <f t="shared" si="60"/>
        <v>9160141</v>
      </c>
      <c r="BT44" s="442">
        <f t="shared" si="60"/>
        <v>270978</v>
      </c>
      <c r="BU44" s="442">
        <f t="shared" si="60"/>
        <v>378750</v>
      </c>
      <c r="BV44" s="443">
        <f t="shared" si="60"/>
        <v>54.164099999999998</v>
      </c>
      <c r="BW44" s="443">
        <f t="shared" si="60"/>
        <v>41.532199999999996</v>
      </c>
      <c r="BX44" s="40">
        <f t="shared" si="60"/>
        <v>12.6319</v>
      </c>
      <c r="BY44" s="804">
        <f t="shared" si="60"/>
        <v>380136</v>
      </c>
      <c r="BZ44" s="708">
        <f t="shared" si="60"/>
        <v>282000</v>
      </c>
      <c r="CA44" s="708">
        <f t="shared" si="60"/>
        <v>0</v>
      </c>
      <c r="CB44" s="708">
        <f t="shared" si="60"/>
        <v>95316</v>
      </c>
      <c r="CC44" s="708">
        <f t="shared" si="60"/>
        <v>2820</v>
      </c>
      <c r="CD44" s="805">
        <f t="shared" si="60"/>
        <v>0.5</v>
      </c>
      <c r="CE44" s="916">
        <f t="shared" si="60"/>
        <v>1114569</v>
      </c>
      <c r="CF44" s="917">
        <f t="shared" si="60"/>
        <v>767030</v>
      </c>
      <c r="CG44" s="917">
        <f t="shared" si="60"/>
        <v>259256</v>
      </c>
      <c r="CH44" s="917">
        <f t="shared" ref="CH44:CJ44" si="61">SUM(CH38:CH43)</f>
        <v>7670</v>
      </c>
      <c r="CI44" s="917">
        <f t="shared" si="61"/>
        <v>80613</v>
      </c>
      <c r="CJ44" s="918">
        <f t="shared" si="61"/>
        <v>2.3791000000000002</v>
      </c>
    </row>
    <row r="45" spans="1:88">
      <c r="A45" s="205">
        <v>8</v>
      </c>
      <c r="B45" s="206">
        <v>3477</v>
      </c>
      <c r="C45" s="206">
        <v>600098451</v>
      </c>
      <c r="D45" s="206">
        <v>70695491</v>
      </c>
      <c r="E45" s="204" t="s">
        <v>99</v>
      </c>
      <c r="F45" s="206">
        <v>3111</v>
      </c>
      <c r="G45" s="207" t="s">
        <v>290</v>
      </c>
      <c r="H45" s="607" t="s">
        <v>271</v>
      </c>
      <c r="I45" s="419">
        <v>4426278</v>
      </c>
      <c r="J45" s="414">
        <v>3266898</v>
      </c>
      <c r="K45" s="414">
        <v>2793581</v>
      </c>
      <c r="L45" s="414">
        <v>473317</v>
      </c>
      <c r="M45" s="414">
        <v>0</v>
      </c>
      <c r="N45" s="414">
        <v>0</v>
      </c>
      <c r="O45" s="414">
        <v>0</v>
      </c>
      <c r="P45" s="68">
        <v>1104211</v>
      </c>
      <c r="Q45" s="68">
        <v>32669</v>
      </c>
      <c r="R45" s="414">
        <v>22500</v>
      </c>
      <c r="S45" s="415">
        <v>6.5829000000000004</v>
      </c>
      <c r="T45" s="416">
        <v>5</v>
      </c>
      <c r="U45" s="422">
        <v>1.5829000000000002</v>
      </c>
      <c r="V45" s="423">
        <f t="shared" si="4"/>
        <v>0</v>
      </c>
      <c r="W45" s="417">
        <f t="shared" si="5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6"/>
        <v>0</v>
      </c>
      <c r="AF45" s="417">
        <f t="shared" si="7"/>
        <v>0</v>
      </c>
      <c r="AG45" s="417">
        <f t="shared" si="8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9"/>
        <v>0</v>
      </c>
      <c r="AN45" s="417">
        <f t="shared" si="10"/>
        <v>0</v>
      </c>
      <c r="AO45" s="417">
        <f t="shared" si="11"/>
        <v>0</v>
      </c>
      <c r="AP45" s="417">
        <f t="shared" si="12"/>
        <v>0</v>
      </c>
      <c r="AQ45" s="417">
        <f t="shared" si="13"/>
        <v>0</v>
      </c>
      <c r="AR45" s="417">
        <f t="shared" si="14"/>
        <v>0</v>
      </c>
      <c r="AS45" s="68">
        <f t="shared" si="15"/>
        <v>0</v>
      </c>
      <c r="AT45" s="68">
        <f t="shared" si="16"/>
        <v>0</v>
      </c>
      <c r="AU45" s="417">
        <v>0</v>
      </c>
      <c r="AV45" s="417">
        <v>0</v>
      </c>
      <c r="AW45" s="417">
        <v>0</v>
      </c>
      <c r="AX45" s="417">
        <f t="shared" si="17"/>
        <v>0</v>
      </c>
      <c r="AY45" s="417">
        <f t="shared" si="18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9"/>
        <v>0</v>
      </c>
      <c r="BJ45" s="418">
        <f t="shared" si="20"/>
        <v>0</v>
      </c>
      <c r="BK45" s="420">
        <f t="shared" si="21"/>
        <v>0</v>
      </c>
      <c r="BL45" s="772">
        <f>I45+AY45</f>
        <v>4426278</v>
      </c>
      <c r="BM45" s="417">
        <f>J45+AG45</f>
        <v>3266898</v>
      </c>
      <c r="BN45" s="417">
        <f t="shared" ref="BN45:BO47" si="62">K45+AE45</f>
        <v>2793581</v>
      </c>
      <c r="BO45" s="417">
        <f t="shared" si="62"/>
        <v>473317</v>
      </c>
      <c r="BP45" s="417">
        <f>M45+AO45</f>
        <v>0</v>
      </c>
      <c r="BQ45" s="417">
        <f t="shared" ref="BQ45:BR47" si="63">N45+AM45</f>
        <v>0</v>
      </c>
      <c r="BR45" s="417">
        <f t="shared" si="63"/>
        <v>0</v>
      </c>
      <c r="BS45" s="417">
        <f t="shared" ref="BS45:BT47" si="64">P45+AS45</f>
        <v>1104211</v>
      </c>
      <c r="BT45" s="417">
        <f t="shared" si="64"/>
        <v>32669</v>
      </c>
      <c r="BU45" s="417">
        <f>R45+AX45</f>
        <v>22500</v>
      </c>
      <c r="BV45" s="418">
        <f>S45+BK45</f>
        <v>6.5829000000000004</v>
      </c>
      <c r="BW45" s="418">
        <f t="shared" ref="BW45:BX47" si="65">T45+BI45</f>
        <v>5</v>
      </c>
      <c r="BX45" s="420">
        <f t="shared" si="65"/>
        <v>1.5829000000000002</v>
      </c>
      <c r="BY45" s="419"/>
      <c r="BZ45" s="414"/>
      <c r="CA45" s="414"/>
      <c r="CB45" s="414"/>
      <c r="CC45" s="414"/>
      <c r="CD45" s="509"/>
      <c r="CE45" s="419">
        <v>212219</v>
      </c>
      <c r="CF45" s="414">
        <v>151880</v>
      </c>
      <c r="CG45" s="414">
        <v>51335</v>
      </c>
      <c r="CH45" s="414">
        <v>1519</v>
      </c>
      <c r="CI45" s="414">
        <v>7485</v>
      </c>
      <c r="CJ45" s="509">
        <v>0.50790000000000002</v>
      </c>
    </row>
    <row r="46" spans="1:88">
      <c r="A46" s="205">
        <v>8</v>
      </c>
      <c r="B46" s="206">
        <v>3477</v>
      </c>
      <c r="C46" s="206">
        <v>600098451</v>
      </c>
      <c r="D46" s="206">
        <v>70695491</v>
      </c>
      <c r="E46" s="204" t="s">
        <v>99</v>
      </c>
      <c r="F46" s="206">
        <v>3111</v>
      </c>
      <c r="G46" s="207" t="s">
        <v>291</v>
      </c>
      <c r="H46" s="607" t="s">
        <v>272</v>
      </c>
      <c r="I46" s="419">
        <v>666453</v>
      </c>
      <c r="J46" s="414">
        <v>494401</v>
      </c>
      <c r="K46" s="414">
        <v>494401</v>
      </c>
      <c r="L46" s="414">
        <v>0</v>
      </c>
      <c r="M46" s="414">
        <v>0</v>
      </c>
      <c r="N46" s="414">
        <v>0</v>
      </c>
      <c r="O46" s="414">
        <v>0</v>
      </c>
      <c r="P46" s="68">
        <v>167108</v>
      </c>
      <c r="Q46" s="68">
        <v>4944</v>
      </c>
      <c r="R46" s="414">
        <v>0</v>
      </c>
      <c r="S46" s="415">
        <v>1.33</v>
      </c>
      <c r="T46" s="416">
        <v>1.33</v>
      </c>
      <c r="U46" s="422">
        <v>0</v>
      </c>
      <c r="V46" s="423">
        <f t="shared" si="4"/>
        <v>0</v>
      </c>
      <c r="W46" s="417">
        <f t="shared" si="5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6"/>
        <v>0</v>
      </c>
      <c r="AF46" s="417">
        <f t="shared" si="7"/>
        <v>0</v>
      </c>
      <c r="AG46" s="417">
        <f t="shared" si="8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9"/>
        <v>0</v>
      </c>
      <c r="AN46" s="417">
        <f t="shared" si="10"/>
        <v>0</v>
      </c>
      <c r="AO46" s="417">
        <f t="shared" si="11"/>
        <v>0</v>
      </c>
      <c r="AP46" s="417">
        <f t="shared" si="12"/>
        <v>0</v>
      </c>
      <c r="AQ46" s="417">
        <f t="shared" si="13"/>
        <v>0</v>
      </c>
      <c r="AR46" s="417">
        <f t="shared" si="14"/>
        <v>0</v>
      </c>
      <c r="AS46" s="68">
        <f t="shared" si="15"/>
        <v>0</v>
      </c>
      <c r="AT46" s="68">
        <f t="shared" si="16"/>
        <v>0</v>
      </c>
      <c r="AU46" s="417">
        <v>0</v>
      </c>
      <c r="AV46" s="417">
        <v>0</v>
      </c>
      <c r="AW46" s="417">
        <v>0</v>
      </c>
      <c r="AX46" s="417">
        <f t="shared" si="17"/>
        <v>0</v>
      </c>
      <c r="AY46" s="417">
        <f t="shared" si="18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9"/>
        <v>0</v>
      </c>
      <c r="BJ46" s="418">
        <f t="shared" si="20"/>
        <v>0</v>
      </c>
      <c r="BK46" s="420">
        <f t="shared" si="21"/>
        <v>0</v>
      </c>
      <c r="BL46" s="772">
        <f>I46+AY46</f>
        <v>666453</v>
      </c>
      <c r="BM46" s="417">
        <f>J46+AG46</f>
        <v>494401</v>
      </c>
      <c r="BN46" s="417">
        <f t="shared" si="62"/>
        <v>494401</v>
      </c>
      <c r="BO46" s="417">
        <f t="shared" si="62"/>
        <v>0</v>
      </c>
      <c r="BP46" s="417">
        <f>M46+AO46</f>
        <v>0</v>
      </c>
      <c r="BQ46" s="417">
        <f t="shared" si="63"/>
        <v>0</v>
      </c>
      <c r="BR46" s="417">
        <f t="shared" si="63"/>
        <v>0</v>
      </c>
      <c r="BS46" s="417">
        <f t="shared" si="64"/>
        <v>167108</v>
      </c>
      <c r="BT46" s="417">
        <f t="shared" si="64"/>
        <v>4944</v>
      </c>
      <c r="BU46" s="417">
        <f>R46+AX46</f>
        <v>0</v>
      </c>
      <c r="BV46" s="418">
        <f>S46+BK46</f>
        <v>1.33</v>
      </c>
      <c r="BW46" s="418">
        <f t="shared" si="65"/>
        <v>1.33</v>
      </c>
      <c r="BX46" s="420">
        <f t="shared" si="65"/>
        <v>0</v>
      </c>
      <c r="BY46" s="419"/>
      <c r="BZ46" s="414"/>
      <c r="CA46" s="414"/>
      <c r="CB46" s="414"/>
      <c r="CC46" s="414"/>
      <c r="CD46" s="509"/>
      <c r="CE46" s="419"/>
      <c r="CF46" s="414"/>
      <c r="CG46" s="414"/>
      <c r="CH46" s="414"/>
      <c r="CI46" s="414"/>
      <c r="CJ46" s="509"/>
    </row>
    <row r="47" spans="1:88">
      <c r="A47" s="205">
        <v>8</v>
      </c>
      <c r="B47" s="206">
        <v>3477</v>
      </c>
      <c r="C47" s="206">
        <v>600098451</v>
      </c>
      <c r="D47" s="206">
        <v>70695491</v>
      </c>
      <c r="E47" s="204" t="s">
        <v>99</v>
      </c>
      <c r="F47" s="206">
        <v>3141</v>
      </c>
      <c r="G47" s="207" t="s">
        <v>294</v>
      </c>
      <c r="H47" s="607" t="s">
        <v>272</v>
      </c>
      <c r="I47" s="419">
        <v>637152</v>
      </c>
      <c r="J47" s="414">
        <v>470967</v>
      </c>
      <c r="K47" s="414">
        <v>0</v>
      </c>
      <c r="L47" s="414">
        <v>470967</v>
      </c>
      <c r="M47" s="414">
        <v>0</v>
      </c>
      <c r="N47" s="414">
        <v>0</v>
      </c>
      <c r="O47" s="414">
        <v>0</v>
      </c>
      <c r="P47" s="68">
        <v>159187</v>
      </c>
      <c r="Q47" s="68">
        <v>4710</v>
      </c>
      <c r="R47" s="414">
        <v>2288</v>
      </c>
      <c r="S47" s="415">
        <v>1.41</v>
      </c>
      <c r="T47" s="416">
        <v>0</v>
      </c>
      <c r="U47" s="422">
        <v>1.41</v>
      </c>
      <c r="V47" s="423">
        <f t="shared" si="4"/>
        <v>0</v>
      </c>
      <c r="W47" s="417">
        <f t="shared" si="5"/>
        <v>0</v>
      </c>
      <c r="X47" s="417">
        <v>0</v>
      </c>
      <c r="Y47" s="417">
        <v>0</v>
      </c>
      <c r="Z47" s="417">
        <v>0</v>
      </c>
      <c r="AA47" s="417">
        <v>-15317</v>
      </c>
      <c r="AB47" s="417">
        <v>0</v>
      </c>
      <c r="AC47" s="417">
        <v>0</v>
      </c>
      <c r="AD47" s="417">
        <v>0</v>
      </c>
      <c r="AE47" s="417">
        <f t="shared" si="6"/>
        <v>0</v>
      </c>
      <c r="AF47" s="417">
        <f t="shared" si="7"/>
        <v>-15317</v>
      </c>
      <c r="AG47" s="417">
        <f t="shared" si="8"/>
        <v>-15317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9"/>
        <v>0</v>
      </c>
      <c r="AN47" s="417">
        <f t="shared" si="10"/>
        <v>0</v>
      </c>
      <c r="AO47" s="417">
        <f t="shared" si="11"/>
        <v>0</v>
      </c>
      <c r="AP47" s="417">
        <f t="shared" si="12"/>
        <v>0</v>
      </c>
      <c r="AQ47" s="417">
        <f t="shared" si="13"/>
        <v>-15317</v>
      </c>
      <c r="AR47" s="417">
        <f t="shared" si="14"/>
        <v>-15317</v>
      </c>
      <c r="AS47" s="68">
        <f t="shared" si="15"/>
        <v>-5177</v>
      </c>
      <c r="AT47" s="68">
        <f t="shared" si="16"/>
        <v>-153</v>
      </c>
      <c r="AU47" s="417">
        <v>0</v>
      </c>
      <c r="AV47" s="417">
        <v>0</v>
      </c>
      <c r="AW47" s="417">
        <v>0</v>
      </c>
      <c r="AX47" s="417">
        <f t="shared" si="17"/>
        <v>0</v>
      </c>
      <c r="AY47" s="417">
        <f t="shared" si="18"/>
        <v>-20647</v>
      </c>
      <c r="AZ47" s="418">
        <v>0</v>
      </c>
      <c r="BA47" s="418">
        <v>0</v>
      </c>
      <c r="BB47" s="418">
        <v>0</v>
      </c>
      <c r="BC47" s="418">
        <v>0</v>
      </c>
      <c r="BD47" s="418">
        <v>-0.05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9"/>
        <v>0</v>
      </c>
      <c r="BJ47" s="418">
        <f t="shared" si="20"/>
        <v>-0.05</v>
      </c>
      <c r="BK47" s="420">
        <f t="shared" si="21"/>
        <v>-0.05</v>
      </c>
      <c r="BL47" s="772">
        <f>I47+AY47</f>
        <v>616505</v>
      </c>
      <c r="BM47" s="417">
        <f>J47+AG47</f>
        <v>455650</v>
      </c>
      <c r="BN47" s="417">
        <f t="shared" si="62"/>
        <v>0</v>
      </c>
      <c r="BO47" s="417">
        <f t="shared" si="62"/>
        <v>455650</v>
      </c>
      <c r="BP47" s="417">
        <f>M47+AO47</f>
        <v>0</v>
      </c>
      <c r="BQ47" s="417">
        <f t="shared" si="63"/>
        <v>0</v>
      </c>
      <c r="BR47" s="417">
        <f t="shared" si="63"/>
        <v>0</v>
      </c>
      <c r="BS47" s="417">
        <f t="shared" si="64"/>
        <v>154010</v>
      </c>
      <c r="BT47" s="417">
        <f t="shared" si="64"/>
        <v>4557</v>
      </c>
      <c r="BU47" s="417">
        <f>R47+AX47</f>
        <v>2288</v>
      </c>
      <c r="BV47" s="418">
        <f>S47+BK47</f>
        <v>1.3599999999999999</v>
      </c>
      <c r="BW47" s="418">
        <f t="shared" si="65"/>
        <v>0</v>
      </c>
      <c r="BX47" s="420">
        <f t="shared" si="65"/>
        <v>1.3599999999999999</v>
      </c>
      <c r="BY47" s="419"/>
      <c r="BZ47" s="414"/>
      <c r="CA47" s="414"/>
      <c r="CB47" s="414"/>
      <c r="CC47" s="414"/>
      <c r="CD47" s="509"/>
      <c r="CE47" s="419"/>
      <c r="CF47" s="601"/>
      <c r="CG47" s="414"/>
      <c r="CH47" s="414"/>
      <c r="CI47" s="601"/>
      <c r="CJ47" s="603"/>
    </row>
    <row r="48" spans="1:88">
      <c r="A48" s="155">
        <v>8</v>
      </c>
      <c r="B48" s="18">
        <v>3477</v>
      </c>
      <c r="C48" s="18">
        <v>600098451</v>
      </c>
      <c r="D48" s="18">
        <v>70695491</v>
      </c>
      <c r="E48" s="164" t="s">
        <v>100</v>
      </c>
      <c r="F48" s="18"/>
      <c r="G48" s="154"/>
      <c r="H48" s="608"/>
      <c r="I48" s="447">
        <v>5729883</v>
      </c>
      <c r="J48" s="444">
        <v>4232266</v>
      </c>
      <c r="K48" s="444">
        <v>3287982</v>
      </c>
      <c r="L48" s="444">
        <v>944284</v>
      </c>
      <c r="M48" s="444">
        <v>0</v>
      </c>
      <c r="N48" s="444">
        <v>0</v>
      </c>
      <c r="O48" s="444">
        <v>0</v>
      </c>
      <c r="P48" s="444">
        <v>1430506</v>
      </c>
      <c r="Q48" s="444">
        <v>42323</v>
      </c>
      <c r="R48" s="444">
        <v>24788</v>
      </c>
      <c r="S48" s="445">
        <v>9.3229000000000006</v>
      </c>
      <c r="T48" s="445">
        <v>6.33</v>
      </c>
      <c r="U48" s="449">
        <v>2.9929000000000001</v>
      </c>
      <c r="V48" s="447">
        <f t="shared" ref="V48:CG48" si="66">SUM(V45:V47)</f>
        <v>0</v>
      </c>
      <c r="W48" s="444">
        <f t="shared" si="66"/>
        <v>0</v>
      </c>
      <c r="X48" s="444">
        <f t="shared" si="66"/>
        <v>0</v>
      </c>
      <c r="Y48" s="444">
        <f t="shared" si="66"/>
        <v>0</v>
      </c>
      <c r="Z48" s="444">
        <f t="shared" si="66"/>
        <v>0</v>
      </c>
      <c r="AA48" s="444">
        <f t="shared" si="66"/>
        <v>-15317</v>
      </c>
      <c r="AB48" s="444">
        <f t="shared" si="66"/>
        <v>0</v>
      </c>
      <c r="AC48" s="444">
        <f t="shared" si="66"/>
        <v>0</v>
      </c>
      <c r="AD48" s="444">
        <f t="shared" si="66"/>
        <v>0</v>
      </c>
      <c r="AE48" s="444">
        <f t="shared" si="66"/>
        <v>0</v>
      </c>
      <c r="AF48" s="444">
        <f t="shared" si="66"/>
        <v>-15317</v>
      </c>
      <c r="AG48" s="444">
        <f t="shared" si="66"/>
        <v>-15317</v>
      </c>
      <c r="AH48" s="444">
        <f t="shared" si="66"/>
        <v>0</v>
      </c>
      <c r="AI48" s="444">
        <f t="shared" si="66"/>
        <v>0</v>
      </c>
      <c r="AJ48" s="444">
        <f t="shared" si="66"/>
        <v>0</v>
      </c>
      <c r="AK48" s="444">
        <f t="shared" si="66"/>
        <v>0</v>
      </c>
      <c r="AL48" s="444">
        <f t="shared" si="66"/>
        <v>0</v>
      </c>
      <c r="AM48" s="444">
        <f t="shared" si="66"/>
        <v>0</v>
      </c>
      <c r="AN48" s="444">
        <f t="shared" si="66"/>
        <v>0</v>
      </c>
      <c r="AO48" s="444">
        <f t="shared" si="66"/>
        <v>0</v>
      </c>
      <c r="AP48" s="444">
        <f t="shared" si="66"/>
        <v>0</v>
      </c>
      <c r="AQ48" s="444">
        <f t="shared" si="66"/>
        <v>-15317</v>
      </c>
      <c r="AR48" s="444">
        <f t="shared" si="66"/>
        <v>-15317</v>
      </c>
      <c r="AS48" s="444">
        <f t="shared" si="66"/>
        <v>-5177</v>
      </c>
      <c r="AT48" s="444">
        <f t="shared" si="66"/>
        <v>-153</v>
      </c>
      <c r="AU48" s="444">
        <f t="shared" si="66"/>
        <v>0</v>
      </c>
      <c r="AV48" s="444">
        <f t="shared" si="66"/>
        <v>0</v>
      </c>
      <c r="AW48" s="444">
        <f t="shared" si="66"/>
        <v>0</v>
      </c>
      <c r="AX48" s="444">
        <f t="shared" si="66"/>
        <v>0</v>
      </c>
      <c r="AY48" s="444">
        <f t="shared" si="66"/>
        <v>-20647</v>
      </c>
      <c r="AZ48" s="445">
        <f t="shared" si="66"/>
        <v>0</v>
      </c>
      <c r="BA48" s="445">
        <f t="shared" si="66"/>
        <v>0</v>
      </c>
      <c r="BB48" s="445">
        <f t="shared" si="66"/>
        <v>0</v>
      </c>
      <c r="BC48" s="445">
        <f t="shared" si="66"/>
        <v>0</v>
      </c>
      <c r="BD48" s="445">
        <f t="shared" si="66"/>
        <v>-0.05</v>
      </c>
      <c r="BE48" s="445">
        <f t="shared" si="66"/>
        <v>0</v>
      </c>
      <c r="BF48" s="445">
        <f t="shared" si="66"/>
        <v>0</v>
      </c>
      <c r="BG48" s="445">
        <f t="shared" si="66"/>
        <v>0</v>
      </c>
      <c r="BH48" s="445">
        <f t="shared" si="66"/>
        <v>0</v>
      </c>
      <c r="BI48" s="445">
        <f t="shared" si="66"/>
        <v>0</v>
      </c>
      <c r="BJ48" s="445">
        <f t="shared" si="66"/>
        <v>-0.05</v>
      </c>
      <c r="BK48" s="39">
        <f t="shared" si="66"/>
        <v>-0.05</v>
      </c>
      <c r="BL48" s="451">
        <f t="shared" si="66"/>
        <v>5709236</v>
      </c>
      <c r="BM48" s="444">
        <f t="shared" si="66"/>
        <v>4216949</v>
      </c>
      <c r="BN48" s="444">
        <f t="shared" si="66"/>
        <v>3287982</v>
      </c>
      <c r="BO48" s="444">
        <f t="shared" si="66"/>
        <v>928967</v>
      </c>
      <c r="BP48" s="444">
        <f t="shared" si="66"/>
        <v>0</v>
      </c>
      <c r="BQ48" s="444">
        <f t="shared" si="66"/>
        <v>0</v>
      </c>
      <c r="BR48" s="444">
        <f t="shared" si="66"/>
        <v>0</v>
      </c>
      <c r="BS48" s="444">
        <f t="shared" si="66"/>
        <v>1425329</v>
      </c>
      <c r="BT48" s="444">
        <f t="shared" si="66"/>
        <v>42170</v>
      </c>
      <c r="BU48" s="444">
        <f t="shared" si="66"/>
        <v>24788</v>
      </c>
      <c r="BV48" s="445">
        <f t="shared" si="66"/>
        <v>9.2728999999999999</v>
      </c>
      <c r="BW48" s="445">
        <f t="shared" si="66"/>
        <v>6.33</v>
      </c>
      <c r="BX48" s="39">
        <f t="shared" si="66"/>
        <v>2.9428999999999998</v>
      </c>
      <c r="BY48" s="806">
        <f t="shared" si="66"/>
        <v>0</v>
      </c>
      <c r="BZ48" s="709">
        <f t="shared" si="66"/>
        <v>0</v>
      </c>
      <c r="CA48" s="709">
        <f t="shared" si="66"/>
        <v>0</v>
      </c>
      <c r="CB48" s="709">
        <f t="shared" si="66"/>
        <v>0</v>
      </c>
      <c r="CC48" s="709">
        <f t="shared" si="66"/>
        <v>0</v>
      </c>
      <c r="CD48" s="807">
        <f t="shared" si="66"/>
        <v>0</v>
      </c>
      <c r="CE48" s="919">
        <f t="shared" si="66"/>
        <v>212219</v>
      </c>
      <c r="CF48" s="920">
        <f t="shared" si="66"/>
        <v>151880</v>
      </c>
      <c r="CG48" s="920">
        <f t="shared" si="66"/>
        <v>51335</v>
      </c>
      <c r="CH48" s="920">
        <f t="shared" ref="CH48:CJ48" si="67">SUM(CH45:CH47)</f>
        <v>1519</v>
      </c>
      <c r="CI48" s="920">
        <f t="shared" si="67"/>
        <v>7485</v>
      </c>
      <c r="CJ48" s="921">
        <f t="shared" si="67"/>
        <v>0.50790000000000002</v>
      </c>
    </row>
    <row r="49" spans="1:88">
      <c r="A49" s="205">
        <v>9</v>
      </c>
      <c r="B49" s="206">
        <v>3476</v>
      </c>
      <c r="C49" s="206">
        <v>600099164</v>
      </c>
      <c r="D49" s="206">
        <v>854808</v>
      </c>
      <c r="E49" s="204" t="s">
        <v>101</v>
      </c>
      <c r="F49" s="206">
        <v>3113</v>
      </c>
      <c r="G49" s="207" t="s">
        <v>293</v>
      </c>
      <c r="H49" s="607" t="s">
        <v>271</v>
      </c>
      <c r="I49" s="419">
        <v>10672855</v>
      </c>
      <c r="J49" s="414">
        <v>7809009</v>
      </c>
      <c r="K49" s="414">
        <v>6832517</v>
      </c>
      <c r="L49" s="414">
        <v>976492</v>
      </c>
      <c r="M49" s="414">
        <v>0</v>
      </c>
      <c r="N49" s="414">
        <v>0</v>
      </c>
      <c r="O49" s="414">
        <v>0</v>
      </c>
      <c r="P49" s="68">
        <v>2639446</v>
      </c>
      <c r="Q49" s="68">
        <v>78090</v>
      </c>
      <c r="R49" s="414">
        <v>146310</v>
      </c>
      <c r="S49" s="415">
        <v>13.3156</v>
      </c>
      <c r="T49" s="416">
        <v>10.802399999999999</v>
      </c>
      <c r="U49" s="422">
        <v>2.5131999999999999</v>
      </c>
      <c r="V49" s="423">
        <f t="shared" si="4"/>
        <v>0</v>
      </c>
      <c r="W49" s="417">
        <f t="shared" si="5"/>
        <v>0</v>
      </c>
      <c r="X49" s="417">
        <v>0</v>
      </c>
      <c r="Y49" s="417">
        <v>7944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6"/>
        <v>7944</v>
      </c>
      <c r="AF49" s="417">
        <f t="shared" si="7"/>
        <v>0</v>
      </c>
      <c r="AG49" s="417">
        <f t="shared" si="8"/>
        <v>7944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9"/>
        <v>0</v>
      </c>
      <c r="AN49" s="417">
        <f t="shared" si="10"/>
        <v>0</v>
      </c>
      <c r="AO49" s="417">
        <f t="shared" si="11"/>
        <v>0</v>
      </c>
      <c r="AP49" s="417">
        <f t="shared" si="12"/>
        <v>7944</v>
      </c>
      <c r="AQ49" s="417">
        <f t="shared" si="13"/>
        <v>0</v>
      </c>
      <c r="AR49" s="417">
        <f t="shared" si="14"/>
        <v>7944</v>
      </c>
      <c r="AS49" s="68">
        <f t="shared" si="15"/>
        <v>2685</v>
      </c>
      <c r="AT49" s="68">
        <f t="shared" si="16"/>
        <v>79</v>
      </c>
      <c r="AU49" s="417">
        <v>0</v>
      </c>
      <c r="AV49" s="417">
        <v>0</v>
      </c>
      <c r="AW49" s="417">
        <v>0</v>
      </c>
      <c r="AX49" s="417">
        <f t="shared" si="17"/>
        <v>0</v>
      </c>
      <c r="AY49" s="417">
        <f t="shared" si="18"/>
        <v>10708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0.01</v>
      </c>
      <c r="BF49" s="418">
        <v>0</v>
      </c>
      <c r="BG49" s="418">
        <v>0</v>
      </c>
      <c r="BH49" s="418">
        <v>0</v>
      </c>
      <c r="BI49" s="418">
        <f t="shared" si="19"/>
        <v>0.01</v>
      </c>
      <c r="BJ49" s="418">
        <f t="shared" si="20"/>
        <v>0</v>
      </c>
      <c r="BK49" s="420">
        <f t="shared" si="21"/>
        <v>0.01</v>
      </c>
      <c r="BL49" s="772">
        <f>I49+AY49</f>
        <v>10683563</v>
      </c>
      <c r="BM49" s="417">
        <f>J49+AG49</f>
        <v>7816953</v>
      </c>
      <c r="BN49" s="417">
        <f t="shared" ref="BN49:BO53" si="68">K49+AE49</f>
        <v>6840461</v>
      </c>
      <c r="BO49" s="417">
        <f t="shared" si="68"/>
        <v>976492</v>
      </c>
      <c r="BP49" s="417">
        <f>M49+AO49</f>
        <v>0</v>
      </c>
      <c r="BQ49" s="417">
        <f t="shared" ref="BQ49:BR53" si="69">N49+AM49</f>
        <v>0</v>
      </c>
      <c r="BR49" s="417">
        <f t="shared" si="69"/>
        <v>0</v>
      </c>
      <c r="BS49" s="417">
        <f t="shared" ref="BS49:BT53" si="70">P49+AS49</f>
        <v>2642131</v>
      </c>
      <c r="BT49" s="417">
        <f t="shared" si="70"/>
        <v>78169</v>
      </c>
      <c r="BU49" s="417">
        <f>R49+AX49</f>
        <v>146310</v>
      </c>
      <c r="BV49" s="418">
        <f>S49+BK49</f>
        <v>13.3256</v>
      </c>
      <c r="BW49" s="418">
        <f t="shared" ref="BW49:BX53" si="71">T49+BI49</f>
        <v>10.812399999999998</v>
      </c>
      <c r="BX49" s="420">
        <f t="shared" si="71"/>
        <v>2.5131999999999999</v>
      </c>
      <c r="BY49" s="419"/>
      <c r="BZ49" s="414"/>
      <c r="CA49" s="414"/>
      <c r="CB49" s="414"/>
      <c r="CC49" s="414"/>
      <c r="CD49" s="509"/>
      <c r="CE49" s="419">
        <v>456809</v>
      </c>
      <c r="CF49" s="414">
        <v>313434</v>
      </c>
      <c r="CG49" s="414">
        <v>105941</v>
      </c>
      <c r="CH49" s="414">
        <v>3134</v>
      </c>
      <c r="CI49" s="414">
        <v>34300</v>
      </c>
      <c r="CJ49" s="509">
        <v>0.80679999999999996</v>
      </c>
    </row>
    <row r="50" spans="1:88">
      <c r="A50" s="205">
        <v>9</v>
      </c>
      <c r="B50" s="206">
        <v>3476</v>
      </c>
      <c r="C50" s="206">
        <v>600099164</v>
      </c>
      <c r="D50" s="206">
        <v>854808</v>
      </c>
      <c r="E50" s="204" t="s">
        <v>101</v>
      </c>
      <c r="F50" s="206">
        <v>3113</v>
      </c>
      <c r="G50" s="207" t="s">
        <v>291</v>
      </c>
      <c r="H50" s="607" t="s">
        <v>272</v>
      </c>
      <c r="I50" s="419">
        <v>316665</v>
      </c>
      <c r="J50" s="414">
        <v>234915</v>
      </c>
      <c r="K50" s="414">
        <v>234915</v>
      </c>
      <c r="L50" s="414">
        <v>0</v>
      </c>
      <c r="M50" s="414">
        <v>0</v>
      </c>
      <c r="N50" s="414">
        <v>0</v>
      </c>
      <c r="O50" s="414">
        <v>0</v>
      </c>
      <c r="P50" s="68">
        <v>79401</v>
      </c>
      <c r="Q50" s="68">
        <v>2349</v>
      </c>
      <c r="R50" s="414">
        <v>0</v>
      </c>
      <c r="S50" s="415">
        <v>0.6</v>
      </c>
      <c r="T50" s="416">
        <v>0.6</v>
      </c>
      <c r="U50" s="422">
        <v>0</v>
      </c>
      <c r="V50" s="423">
        <f t="shared" si="4"/>
        <v>0</v>
      </c>
      <c r="W50" s="417">
        <f t="shared" si="5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6"/>
        <v>0</v>
      </c>
      <c r="AF50" s="417">
        <f t="shared" si="7"/>
        <v>0</v>
      </c>
      <c r="AG50" s="417">
        <f t="shared" si="8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9"/>
        <v>0</v>
      </c>
      <c r="AN50" s="417">
        <f t="shared" si="10"/>
        <v>0</v>
      </c>
      <c r="AO50" s="417">
        <f t="shared" si="11"/>
        <v>0</v>
      </c>
      <c r="AP50" s="417">
        <f t="shared" si="12"/>
        <v>0</v>
      </c>
      <c r="AQ50" s="417">
        <f t="shared" si="13"/>
        <v>0</v>
      </c>
      <c r="AR50" s="417">
        <f t="shared" si="14"/>
        <v>0</v>
      </c>
      <c r="AS50" s="68">
        <f t="shared" si="15"/>
        <v>0</v>
      </c>
      <c r="AT50" s="68">
        <f t="shared" si="16"/>
        <v>0</v>
      </c>
      <c r="AU50" s="417">
        <v>0</v>
      </c>
      <c r="AV50" s="417">
        <v>0</v>
      </c>
      <c r="AW50" s="417">
        <v>0</v>
      </c>
      <c r="AX50" s="417">
        <f t="shared" si="17"/>
        <v>0</v>
      </c>
      <c r="AY50" s="417">
        <f t="shared" si="18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9"/>
        <v>0</v>
      </c>
      <c r="BJ50" s="418">
        <f t="shared" si="20"/>
        <v>0</v>
      </c>
      <c r="BK50" s="420">
        <f t="shared" si="21"/>
        <v>0</v>
      </c>
      <c r="BL50" s="772">
        <f>I50+AY50</f>
        <v>316665</v>
      </c>
      <c r="BM50" s="417">
        <f>J50+AG50</f>
        <v>234915</v>
      </c>
      <c r="BN50" s="417">
        <f t="shared" si="68"/>
        <v>234915</v>
      </c>
      <c r="BO50" s="417">
        <f t="shared" si="68"/>
        <v>0</v>
      </c>
      <c r="BP50" s="417">
        <f>M50+AO50</f>
        <v>0</v>
      </c>
      <c r="BQ50" s="417">
        <f t="shared" si="69"/>
        <v>0</v>
      </c>
      <c r="BR50" s="417">
        <f t="shared" si="69"/>
        <v>0</v>
      </c>
      <c r="BS50" s="417">
        <f t="shared" si="70"/>
        <v>79401</v>
      </c>
      <c r="BT50" s="417">
        <f t="shared" si="70"/>
        <v>2349</v>
      </c>
      <c r="BU50" s="417">
        <f>R50+AX50</f>
        <v>0</v>
      </c>
      <c r="BV50" s="418">
        <f>S50+BK50</f>
        <v>0.6</v>
      </c>
      <c r="BW50" s="418">
        <f t="shared" si="71"/>
        <v>0.6</v>
      </c>
      <c r="BX50" s="420">
        <f t="shared" si="71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>
      <c r="A51" s="205">
        <v>9</v>
      </c>
      <c r="B51" s="206">
        <v>3476</v>
      </c>
      <c r="C51" s="206">
        <v>600099164</v>
      </c>
      <c r="D51" s="206">
        <v>854808</v>
      </c>
      <c r="E51" s="204" t="s">
        <v>101</v>
      </c>
      <c r="F51" s="206">
        <v>3141</v>
      </c>
      <c r="G51" s="207" t="s">
        <v>294</v>
      </c>
      <c r="H51" s="607" t="s">
        <v>272</v>
      </c>
      <c r="I51" s="419">
        <v>899896</v>
      </c>
      <c r="J51" s="414">
        <v>663682</v>
      </c>
      <c r="K51" s="414">
        <v>0</v>
      </c>
      <c r="L51" s="414">
        <v>663682</v>
      </c>
      <c r="M51" s="414">
        <v>0</v>
      </c>
      <c r="N51" s="414">
        <v>0</v>
      </c>
      <c r="O51" s="414">
        <v>0</v>
      </c>
      <c r="P51" s="68">
        <v>224325</v>
      </c>
      <c r="Q51" s="68">
        <v>6637</v>
      </c>
      <c r="R51" s="414">
        <v>5252</v>
      </c>
      <c r="S51" s="415">
        <v>1.9900000000000002</v>
      </c>
      <c r="T51" s="416">
        <v>0</v>
      </c>
      <c r="U51" s="422">
        <v>1.9900000000000002</v>
      </c>
      <c r="V51" s="423">
        <f t="shared" si="4"/>
        <v>0</v>
      </c>
      <c r="W51" s="417">
        <f t="shared" si="5"/>
        <v>0</v>
      </c>
      <c r="X51" s="417">
        <v>0</v>
      </c>
      <c r="Y51" s="417">
        <v>0</v>
      </c>
      <c r="Z51" s="417">
        <v>0</v>
      </c>
      <c r="AA51" s="417">
        <v>3341</v>
      </c>
      <c r="AB51" s="417">
        <v>0</v>
      </c>
      <c r="AC51" s="417">
        <v>0</v>
      </c>
      <c r="AD51" s="417">
        <v>0</v>
      </c>
      <c r="AE51" s="417">
        <f t="shared" si="6"/>
        <v>0</v>
      </c>
      <c r="AF51" s="417">
        <f t="shared" si="7"/>
        <v>3341</v>
      </c>
      <c r="AG51" s="417">
        <f t="shared" si="8"/>
        <v>3341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9"/>
        <v>0</v>
      </c>
      <c r="AN51" s="417">
        <f t="shared" si="10"/>
        <v>0</v>
      </c>
      <c r="AO51" s="417">
        <f t="shared" si="11"/>
        <v>0</v>
      </c>
      <c r="AP51" s="417">
        <f t="shared" si="12"/>
        <v>0</v>
      </c>
      <c r="AQ51" s="417">
        <f t="shared" si="13"/>
        <v>3341</v>
      </c>
      <c r="AR51" s="417">
        <f t="shared" si="14"/>
        <v>3341</v>
      </c>
      <c r="AS51" s="68">
        <f t="shared" si="15"/>
        <v>1129</v>
      </c>
      <c r="AT51" s="68">
        <f t="shared" si="16"/>
        <v>33</v>
      </c>
      <c r="AU51" s="417">
        <v>0</v>
      </c>
      <c r="AV51" s="417">
        <v>0</v>
      </c>
      <c r="AW51" s="417">
        <v>0</v>
      </c>
      <c r="AX51" s="417">
        <f t="shared" si="17"/>
        <v>0</v>
      </c>
      <c r="AY51" s="417">
        <f t="shared" si="18"/>
        <v>4503</v>
      </c>
      <c r="AZ51" s="418">
        <v>0</v>
      </c>
      <c r="BA51" s="418">
        <v>0</v>
      </c>
      <c r="BB51" s="418">
        <v>0</v>
      </c>
      <c r="BC51" s="418">
        <v>0</v>
      </c>
      <c r="BD51" s="418">
        <v>0.01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9"/>
        <v>0</v>
      </c>
      <c r="BJ51" s="418">
        <f t="shared" si="20"/>
        <v>0.01</v>
      </c>
      <c r="BK51" s="420">
        <f t="shared" si="21"/>
        <v>0.01</v>
      </c>
      <c r="BL51" s="772">
        <f>I51+AY51</f>
        <v>904399</v>
      </c>
      <c r="BM51" s="417">
        <f>J51+AG51</f>
        <v>667023</v>
      </c>
      <c r="BN51" s="417">
        <f t="shared" si="68"/>
        <v>0</v>
      </c>
      <c r="BO51" s="417">
        <f t="shared" si="68"/>
        <v>667023</v>
      </c>
      <c r="BP51" s="417">
        <f>M51+AO51</f>
        <v>0</v>
      </c>
      <c r="BQ51" s="417">
        <f t="shared" si="69"/>
        <v>0</v>
      </c>
      <c r="BR51" s="417">
        <f t="shared" si="69"/>
        <v>0</v>
      </c>
      <c r="BS51" s="417">
        <f t="shared" si="70"/>
        <v>225454</v>
      </c>
      <c r="BT51" s="417">
        <f t="shared" si="70"/>
        <v>6670</v>
      </c>
      <c r="BU51" s="417">
        <f>R51+AX51</f>
        <v>5252</v>
      </c>
      <c r="BV51" s="418">
        <f>S51+BK51</f>
        <v>2</v>
      </c>
      <c r="BW51" s="418">
        <f t="shared" si="71"/>
        <v>0</v>
      </c>
      <c r="BX51" s="420">
        <f t="shared" si="71"/>
        <v>2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1"/>
      <c r="CJ51" s="603"/>
    </row>
    <row r="52" spans="1:88">
      <c r="A52" s="205">
        <v>9</v>
      </c>
      <c r="B52" s="206">
        <v>3476</v>
      </c>
      <c r="C52" s="206">
        <v>600099164</v>
      </c>
      <c r="D52" s="206">
        <v>854808</v>
      </c>
      <c r="E52" s="204" t="s">
        <v>101</v>
      </c>
      <c r="F52" s="206">
        <v>3143</v>
      </c>
      <c r="G52" s="207" t="s">
        <v>595</v>
      </c>
      <c r="H52" s="609" t="s">
        <v>271</v>
      </c>
      <c r="I52" s="419">
        <v>586432</v>
      </c>
      <c r="J52" s="414">
        <v>435039</v>
      </c>
      <c r="K52" s="414">
        <v>435039</v>
      </c>
      <c r="L52" s="414">
        <v>0</v>
      </c>
      <c r="M52" s="414">
        <v>0</v>
      </c>
      <c r="N52" s="414">
        <v>0</v>
      </c>
      <c r="O52" s="414">
        <v>0</v>
      </c>
      <c r="P52" s="68">
        <v>147043</v>
      </c>
      <c r="Q52" s="68">
        <v>4350</v>
      </c>
      <c r="R52" s="414">
        <v>0</v>
      </c>
      <c r="S52" s="415">
        <v>0.89280000000000004</v>
      </c>
      <c r="T52" s="416">
        <v>0.89280000000000004</v>
      </c>
      <c r="U52" s="422">
        <v>0</v>
      </c>
      <c r="V52" s="423">
        <f t="shared" si="4"/>
        <v>0</v>
      </c>
      <c r="W52" s="417">
        <f t="shared" si="5"/>
        <v>0</v>
      </c>
      <c r="X52" s="417">
        <v>0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6"/>
        <v>0</v>
      </c>
      <c r="AF52" s="417">
        <f t="shared" si="7"/>
        <v>0</v>
      </c>
      <c r="AG52" s="417">
        <f t="shared" si="8"/>
        <v>0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9"/>
        <v>0</v>
      </c>
      <c r="AN52" s="417">
        <f t="shared" si="10"/>
        <v>0</v>
      </c>
      <c r="AO52" s="417">
        <f t="shared" si="11"/>
        <v>0</v>
      </c>
      <c r="AP52" s="417">
        <f t="shared" si="12"/>
        <v>0</v>
      </c>
      <c r="AQ52" s="417">
        <f t="shared" si="13"/>
        <v>0</v>
      </c>
      <c r="AR52" s="417">
        <f t="shared" si="14"/>
        <v>0</v>
      </c>
      <c r="AS52" s="68">
        <f t="shared" si="15"/>
        <v>0</v>
      </c>
      <c r="AT52" s="68">
        <f t="shared" si="16"/>
        <v>0</v>
      </c>
      <c r="AU52" s="417">
        <v>0</v>
      </c>
      <c r="AV52" s="417">
        <v>0</v>
      </c>
      <c r="AW52" s="417">
        <v>0</v>
      </c>
      <c r="AX52" s="417">
        <f t="shared" si="17"/>
        <v>0</v>
      </c>
      <c r="AY52" s="417">
        <f t="shared" si="18"/>
        <v>0</v>
      </c>
      <c r="AZ52" s="418">
        <v>0</v>
      </c>
      <c r="BA52" s="418">
        <v>0</v>
      </c>
      <c r="BB52" s="418">
        <v>0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9"/>
        <v>0</v>
      </c>
      <c r="BJ52" s="418">
        <f t="shared" si="20"/>
        <v>0</v>
      </c>
      <c r="BK52" s="420">
        <f t="shared" si="21"/>
        <v>0</v>
      </c>
      <c r="BL52" s="772">
        <f>I52+AY52</f>
        <v>586432</v>
      </c>
      <c r="BM52" s="417">
        <f>J52+AG52</f>
        <v>435039</v>
      </c>
      <c r="BN52" s="417">
        <f t="shared" si="68"/>
        <v>435039</v>
      </c>
      <c r="BO52" s="417">
        <f t="shared" si="68"/>
        <v>0</v>
      </c>
      <c r="BP52" s="417">
        <f>M52+AO52</f>
        <v>0</v>
      </c>
      <c r="BQ52" s="417">
        <f t="shared" si="69"/>
        <v>0</v>
      </c>
      <c r="BR52" s="417">
        <f t="shared" si="69"/>
        <v>0</v>
      </c>
      <c r="BS52" s="417">
        <f t="shared" si="70"/>
        <v>147043</v>
      </c>
      <c r="BT52" s="417">
        <f t="shared" si="70"/>
        <v>4350</v>
      </c>
      <c r="BU52" s="417">
        <f>R52+AX52</f>
        <v>0</v>
      </c>
      <c r="BV52" s="418">
        <f>S52+BK52</f>
        <v>0.89280000000000004</v>
      </c>
      <c r="BW52" s="418">
        <f t="shared" si="71"/>
        <v>0.89280000000000004</v>
      </c>
      <c r="BX52" s="420">
        <f t="shared" si="71"/>
        <v>0</v>
      </c>
      <c r="BY52" s="419"/>
      <c r="BZ52" s="414"/>
      <c r="CA52" s="414"/>
      <c r="CB52" s="414"/>
      <c r="CC52" s="414"/>
      <c r="CD52" s="509"/>
      <c r="CE52" s="419"/>
      <c r="CF52" s="414"/>
      <c r="CG52" s="414"/>
      <c r="CH52" s="414"/>
      <c r="CI52" s="414"/>
      <c r="CJ52" s="509"/>
    </row>
    <row r="53" spans="1:88">
      <c r="A53" s="205">
        <v>9</v>
      </c>
      <c r="B53" s="206">
        <v>3476</v>
      </c>
      <c r="C53" s="206">
        <v>600099164</v>
      </c>
      <c r="D53" s="206">
        <v>854808</v>
      </c>
      <c r="E53" s="204" t="s">
        <v>101</v>
      </c>
      <c r="F53" s="206">
        <v>3143</v>
      </c>
      <c r="G53" s="207" t="s">
        <v>596</v>
      </c>
      <c r="H53" s="609" t="s">
        <v>272</v>
      </c>
      <c r="I53" s="419">
        <v>19210</v>
      </c>
      <c r="J53" s="414">
        <v>13750</v>
      </c>
      <c r="K53" s="414">
        <v>0</v>
      </c>
      <c r="L53" s="414">
        <v>13750</v>
      </c>
      <c r="M53" s="414">
        <v>0</v>
      </c>
      <c r="N53" s="414">
        <v>0</v>
      </c>
      <c r="O53" s="414">
        <v>0</v>
      </c>
      <c r="P53" s="68">
        <v>4647</v>
      </c>
      <c r="Q53" s="68">
        <v>138</v>
      </c>
      <c r="R53" s="414">
        <v>675</v>
      </c>
      <c r="S53" s="415">
        <v>0.05</v>
      </c>
      <c r="T53" s="416">
        <v>0</v>
      </c>
      <c r="U53" s="422">
        <v>0.05</v>
      </c>
      <c r="V53" s="423">
        <f t="shared" si="4"/>
        <v>0</v>
      </c>
      <c r="W53" s="417">
        <f t="shared" si="5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6"/>
        <v>0</v>
      </c>
      <c r="AF53" s="417">
        <f t="shared" si="7"/>
        <v>0</v>
      </c>
      <c r="AG53" s="417">
        <f t="shared" si="8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9"/>
        <v>0</v>
      </c>
      <c r="AN53" s="417">
        <f t="shared" si="10"/>
        <v>0</v>
      </c>
      <c r="AO53" s="417">
        <f t="shared" si="11"/>
        <v>0</v>
      </c>
      <c r="AP53" s="417">
        <f t="shared" si="12"/>
        <v>0</v>
      </c>
      <c r="AQ53" s="417">
        <f t="shared" si="13"/>
        <v>0</v>
      </c>
      <c r="AR53" s="417">
        <f t="shared" si="14"/>
        <v>0</v>
      </c>
      <c r="AS53" s="68">
        <f t="shared" si="15"/>
        <v>0</v>
      </c>
      <c r="AT53" s="68">
        <f t="shared" si="16"/>
        <v>0</v>
      </c>
      <c r="AU53" s="417">
        <v>0</v>
      </c>
      <c r="AV53" s="417">
        <v>0</v>
      </c>
      <c r="AW53" s="417">
        <v>0</v>
      </c>
      <c r="AX53" s="417">
        <f t="shared" si="17"/>
        <v>0</v>
      </c>
      <c r="AY53" s="417">
        <f t="shared" si="18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9"/>
        <v>0</v>
      </c>
      <c r="BJ53" s="418">
        <f t="shared" si="20"/>
        <v>0</v>
      </c>
      <c r="BK53" s="420">
        <f t="shared" si="21"/>
        <v>0</v>
      </c>
      <c r="BL53" s="772">
        <f>I53+AY53</f>
        <v>19210</v>
      </c>
      <c r="BM53" s="417">
        <f>J53+AG53</f>
        <v>13750</v>
      </c>
      <c r="BN53" s="417">
        <f t="shared" si="68"/>
        <v>0</v>
      </c>
      <c r="BO53" s="417">
        <f t="shared" si="68"/>
        <v>13750</v>
      </c>
      <c r="BP53" s="417">
        <f>M53+AO53</f>
        <v>0</v>
      </c>
      <c r="BQ53" s="417">
        <f t="shared" si="69"/>
        <v>0</v>
      </c>
      <c r="BR53" s="417">
        <f t="shared" si="69"/>
        <v>0</v>
      </c>
      <c r="BS53" s="417">
        <f t="shared" si="70"/>
        <v>4647</v>
      </c>
      <c r="BT53" s="417">
        <f t="shared" si="70"/>
        <v>138</v>
      </c>
      <c r="BU53" s="417">
        <f>R53+AX53</f>
        <v>675</v>
      </c>
      <c r="BV53" s="418">
        <f>S53+BK53</f>
        <v>0.05</v>
      </c>
      <c r="BW53" s="418">
        <f t="shared" si="71"/>
        <v>0</v>
      </c>
      <c r="BX53" s="420">
        <f t="shared" si="71"/>
        <v>0.05</v>
      </c>
      <c r="BY53" s="419"/>
      <c r="BZ53" s="414"/>
      <c r="CA53" s="414"/>
      <c r="CB53" s="414"/>
      <c r="CC53" s="414"/>
      <c r="CD53" s="509"/>
      <c r="CE53" s="419"/>
      <c r="CF53" s="601"/>
      <c r="CG53" s="414"/>
      <c r="CH53" s="414"/>
      <c r="CI53" s="602"/>
      <c r="CJ53" s="603"/>
    </row>
    <row r="54" spans="1:88">
      <c r="A54" s="155">
        <v>9</v>
      </c>
      <c r="B54" s="18">
        <v>3476</v>
      </c>
      <c r="C54" s="18">
        <v>600099164</v>
      </c>
      <c r="D54" s="18">
        <v>854808</v>
      </c>
      <c r="E54" s="164" t="s">
        <v>102</v>
      </c>
      <c r="F54" s="18"/>
      <c r="G54" s="154"/>
      <c r="H54" s="608"/>
      <c r="I54" s="446">
        <v>12495058</v>
      </c>
      <c r="J54" s="442">
        <v>9156395</v>
      </c>
      <c r="K54" s="442">
        <v>7502471</v>
      </c>
      <c r="L54" s="442">
        <v>1653924</v>
      </c>
      <c r="M54" s="442">
        <v>0</v>
      </c>
      <c r="N54" s="442">
        <v>0</v>
      </c>
      <c r="O54" s="442">
        <v>0</v>
      </c>
      <c r="P54" s="442">
        <v>3094862</v>
      </c>
      <c r="Q54" s="442">
        <v>91564</v>
      </c>
      <c r="R54" s="442">
        <v>152237</v>
      </c>
      <c r="S54" s="443">
        <v>16.848400000000002</v>
      </c>
      <c r="T54" s="443">
        <v>12.295199999999998</v>
      </c>
      <c r="U54" s="448">
        <v>4.5531999999999995</v>
      </c>
      <c r="V54" s="446">
        <f t="shared" ref="V54:CG54" si="72">SUM(V49:V53)</f>
        <v>0</v>
      </c>
      <c r="W54" s="442">
        <f t="shared" si="72"/>
        <v>0</v>
      </c>
      <c r="X54" s="442">
        <f t="shared" si="72"/>
        <v>0</v>
      </c>
      <c r="Y54" s="442">
        <f t="shared" si="72"/>
        <v>7944</v>
      </c>
      <c r="Z54" s="442">
        <f t="shared" si="72"/>
        <v>0</v>
      </c>
      <c r="AA54" s="442">
        <f t="shared" si="72"/>
        <v>3341</v>
      </c>
      <c r="AB54" s="442">
        <f t="shared" si="72"/>
        <v>0</v>
      </c>
      <c r="AC54" s="442">
        <f t="shared" si="72"/>
        <v>0</v>
      </c>
      <c r="AD54" s="442">
        <f t="shared" si="72"/>
        <v>0</v>
      </c>
      <c r="AE54" s="442">
        <f t="shared" si="72"/>
        <v>7944</v>
      </c>
      <c r="AF54" s="442">
        <f t="shared" si="72"/>
        <v>3341</v>
      </c>
      <c r="AG54" s="442">
        <f t="shared" si="72"/>
        <v>11285</v>
      </c>
      <c r="AH54" s="442">
        <f t="shared" si="72"/>
        <v>0</v>
      </c>
      <c r="AI54" s="442">
        <f t="shared" si="72"/>
        <v>0</v>
      </c>
      <c r="AJ54" s="442">
        <f t="shared" si="72"/>
        <v>0</v>
      </c>
      <c r="AK54" s="442">
        <f t="shared" si="72"/>
        <v>0</v>
      </c>
      <c r="AL54" s="442">
        <f t="shared" si="72"/>
        <v>0</v>
      </c>
      <c r="AM54" s="442">
        <f t="shared" si="72"/>
        <v>0</v>
      </c>
      <c r="AN54" s="442">
        <f t="shared" si="72"/>
        <v>0</v>
      </c>
      <c r="AO54" s="442">
        <f t="shared" si="72"/>
        <v>0</v>
      </c>
      <c r="AP54" s="442">
        <f t="shared" si="72"/>
        <v>7944</v>
      </c>
      <c r="AQ54" s="442">
        <f t="shared" si="72"/>
        <v>3341</v>
      </c>
      <c r="AR54" s="442">
        <f t="shared" si="72"/>
        <v>11285</v>
      </c>
      <c r="AS54" s="442">
        <f t="shared" si="72"/>
        <v>3814</v>
      </c>
      <c r="AT54" s="442">
        <f t="shared" si="72"/>
        <v>112</v>
      </c>
      <c r="AU54" s="442">
        <f t="shared" si="72"/>
        <v>0</v>
      </c>
      <c r="AV54" s="442">
        <f t="shared" si="72"/>
        <v>0</v>
      </c>
      <c r="AW54" s="442">
        <f t="shared" si="72"/>
        <v>0</v>
      </c>
      <c r="AX54" s="442">
        <f t="shared" si="72"/>
        <v>0</v>
      </c>
      <c r="AY54" s="442">
        <f t="shared" si="72"/>
        <v>15211</v>
      </c>
      <c r="AZ54" s="443">
        <f t="shared" si="72"/>
        <v>0</v>
      </c>
      <c r="BA54" s="443">
        <f t="shared" si="72"/>
        <v>0</v>
      </c>
      <c r="BB54" s="443">
        <f t="shared" si="72"/>
        <v>0</v>
      </c>
      <c r="BC54" s="443">
        <f t="shared" si="72"/>
        <v>0</v>
      </c>
      <c r="BD54" s="443">
        <f t="shared" si="72"/>
        <v>0.01</v>
      </c>
      <c r="BE54" s="443">
        <f t="shared" si="72"/>
        <v>0.01</v>
      </c>
      <c r="BF54" s="443">
        <f t="shared" si="72"/>
        <v>0</v>
      </c>
      <c r="BG54" s="443">
        <f t="shared" si="72"/>
        <v>0</v>
      </c>
      <c r="BH54" s="443">
        <f t="shared" si="72"/>
        <v>0</v>
      </c>
      <c r="BI54" s="443">
        <f t="shared" si="72"/>
        <v>0.01</v>
      </c>
      <c r="BJ54" s="443">
        <f t="shared" si="72"/>
        <v>0.01</v>
      </c>
      <c r="BK54" s="40">
        <f t="shared" si="72"/>
        <v>0.02</v>
      </c>
      <c r="BL54" s="450">
        <f t="shared" si="72"/>
        <v>12510269</v>
      </c>
      <c r="BM54" s="442">
        <f t="shared" si="72"/>
        <v>9167680</v>
      </c>
      <c r="BN54" s="442">
        <f t="shared" si="72"/>
        <v>7510415</v>
      </c>
      <c r="BO54" s="442">
        <f t="shared" si="72"/>
        <v>1657265</v>
      </c>
      <c r="BP54" s="442">
        <f t="shared" si="72"/>
        <v>0</v>
      </c>
      <c r="BQ54" s="442">
        <f t="shared" si="72"/>
        <v>0</v>
      </c>
      <c r="BR54" s="442">
        <f t="shared" si="72"/>
        <v>0</v>
      </c>
      <c r="BS54" s="442">
        <f t="shared" si="72"/>
        <v>3098676</v>
      </c>
      <c r="BT54" s="442">
        <f t="shared" si="72"/>
        <v>91676</v>
      </c>
      <c r="BU54" s="442">
        <f t="shared" si="72"/>
        <v>152237</v>
      </c>
      <c r="BV54" s="443">
        <f t="shared" si="72"/>
        <v>16.868400000000001</v>
      </c>
      <c r="BW54" s="443">
        <f t="shared" si="72"/>
        <v>12.305199999999997</v>
      </c>
      <c r="BX54" s="40">
        <f t="shared" si="72"/>
        <v>4.5631999999999993</v>
      </c>
      <c r="BY54" s="804">
        <f t="shared" si="72"/>
        <v>0</v>
      </c>
      <c r="BZ54" s="708">
        <f t="shared" si="72"/>
        <v>0</v>
      </c>
      <c r="CA54" s="708">
        <f t="shared" si="72"/>
        <v>0</v>
      </c>
      <c r="CB54" s="708">
        <f t="shared" si="72"/>
        <v>0</v>
      </c>
      <c r="CC54" s="708">
        <f t="shared" si="72"/>
        <v>0</v>
      </c>
      <c r="CD54" s="805">
        <f t="shared" si="72"/>
        <v>0</v>
      </c>
      <c r="CE54" s="916">
        <f t="shared" si="72"/>
        <v>456809</v>
      </c>
      <c r="CF54" s="917">
        <f t="shared" si="72"/>
        <v>313434</v>
      </c>
      <c r="CG54" s="917">
        <f t="shared" si="72"/>
        <v>105941</v>
      </c>
      <c r="CH54" s="917">
        <f t="shared" ref="CH54:CJ54" si="73">SUM(CH49:CH53)</f>
        <v>3134</v>
      </c>
      <c r="CI54" s="917">
        <f t="shared" si="73"/>
        <v>34300</v>
      </c>
      <c r="CJ54" s="918">
        <f t="shared" si="73"/>
        <v>0.80679999999999996</v>
      </c>
    </row>
    <row r="55" spans="1:88">
      <c r="A55" s="205">
        <v>10</v>
      </c>
      <c r="B55" s="206">
        <v>3424</v>
      </c>
      <c r="C55" s="206">
        <v>650040384</v>
      </c>
      <c r="D55" s="206">
        <v>72744561</v>
      </c>
      <c r="E55" s="204" t="s">
        <v>103</v>
      </c>
      <c r="F55" s="206">
        <v>3111</v>
      </c>
      <c r="G55" s="207" t="s">
        <v>290</v>
      </c>
      <c r="H55" s="607" t="s">
        <v>271</v>
      </c>
      <c r="I55" s="419">
        <v>1523754</v>
      </c>
      <c r="J55" s="414">
        <v>1125634</v>
      </c>
      <c r="K55" s="414">
        <v>1037425</v>
      </c>
      <c r="L55" s="414">
        <v>88209</v>
      </c>
      <c r="M55" s="414">
        <v>0</v>
      </c>
      <c r="N55" s="414">
        <v>0</v>
      </c>
      <c r="O55" s="414">
        <v>0</v>
      </c>
      <c r="P55" s="68">
        <v>380464</v>
      </c>
      <c r="Q55" s="68">
        <v>11256</v>
      </c>
      <c r="R55" s="414">
        <v>6400</v>
      </c>
      <c r="S55" s="415">
        <v>2.3534000000000002</v>
      </c>
      <c r="T55" s="416">
        <v>2</v>
      </c>
      <c r="U55" s="422">
        <v>0.35339999999999999</v>
      </c>
      <c r="V55" s="423">
        <f t="shared" si="4"/>
        <v>0</v>
      </c>
      <c r="W55" s="417">
        <f t="shared" si="5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6"/>
        <v>0</v>
      </c>
      <c r="AF55" s="417">
        <f t="shared" si="7"/>
        <v>0</v>
      </c>
      <c r="AG55" s="417">
        <f t="shared" si="8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9"/>
        <v>0</v>
      </c>
      <c r="AN55" s="417">
        <f t="shared" si="10"/>
        <v>0</v>
      </c>
      <c r="AO55" s="417">
        <f t="shared" si="11"/>
        <v>0</v>
      </c>
      <c r="AP55" s="417">
        <f t="shared" si="12"/>
        <v>0</v>
      </c>
      <c r="AQ55" s="417">
        <f t="shared" si="13"/>
        <v>0</v>
      </c>
      <c r="AR55" s="417">
        <f t="shared" si="14"/>
        <v>0</v>
      </c>
      <c r="AS55" s="68">
        <f t="shared" si="15"/>
        <v>0</v>
      </c>
      <c r="AT55" s="68">
        <f t="shared" si="16"/>
        <v>0</v>
      </c>
      <c r="AU55" s="417">
        <v>0</v>
      </c>
      <c r="AV55" s="417">
        <v>0</v>
      </c>
      <c r="AW55" s="417">
        <v>0</v>
      </c>
      <c r="AX55" s="417">
        <f t="shared" si="17"/>
        <v>0</v>
      </c>
      <c r="AY55" s="417">
        <f t="shared" si="18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9"/>
        <v>0</v>
      </c>
      <c r="BJ55" s="418">
        <f t="shared" si="20"/>
        <v>0</v>
      </c>
      <c r="BK55" s="420">
        <f t="shared" si="21"/>
        <v>0</v>
      </c>
      <c r="BL55" s="772">
        <f t="shared" ref="BL55:BL60" si="74">I55+AY55</f>
        <v>1523754</v>
      </c>
      <c r="BM55" s="417">
        <f t="shared" ref="BM55:BM60" si="75">J55+AG55</f>
        <v>1125634</v>
      </c>
      <c r="BN55" s="417">
        <f t="shared" ref="BN55:BO60" si="76">K55+AE55</f>
        <v>1037425</v>
      </c>
      <c r="BO55" s="417">
        <f t="shared" si="76"/>
        <v>88209</v>
      </c>
      <c r="BP55" s="417">
        <f t="shared" ref="BP55:BP60" si="77">M55+AO55</f>
        <v>0</v>
      </c>
      <c r="BQ55" s="417">
        <f t="shared" ref="BQ55:BR60" si="78">N55+AM55</f>
        <v>0</v>
      </c>
      <c r="BR55" s="417">
        <f t="shared" si="78"/>
        <v>0</v>
      </c>
      <c r="BS55" s="417">
        <f t="shared" ref="BS55:BT60" si="79">P55+AS55</f>
        <v>380464</v>
      </c>
      <c r="BT55" s="417">
        <f t="shared" si="79"/>
        <v>11256</v>
      </c>
      <c r="BU55" s="417">
        <f t="shared" ref="BU55:BU60" si="80">R55+AX55</f>
        <v>6400</v>
      </c>
      <c r="BV55" s="418">
        <f t="shared" ref="BV55:BV60" si="81">S55+BK55</f>
        <v>2.3534000000000002</v>
      </c>
      <c r="BW55" s="418">
        <f t="shared" ref="BW55:BX60" si="82">T55+BI55</f>
        <v>2</v>
      </c>
      <c r="BX55" s="420">
        <f t="shared" si="82"/>
        <v>0.35339999999999999</v>
      </c>
      <c r="BY55" s="419"/>
      <c r="BZ55" s="414"/>
      <c r="CA55" s="414"/>
      <c r="CB55" s="414"/>
      <c r="CC55" s="414"/>
      <c r="CD55" s="509"/>
      <c r="CE55" s="419">
        <v>40283</v>
      </c>
      <c r="CF55" s="414">
        <v>28305</v>
      </c>
      <c r="CG55" s="414">
        <v>9567</v>
      </c>
      <c r="CH55" s="414">
        <v>283</v>
      </c>
      <c r="CI55" s="414">
        <v>2128</v>
      </c>
      <c r="CJ55" s="509">
        <v>0.1134</v>
      </c>
    </row>
    <row r="56" spans="1:88">
      <c r="A56" s="205">
        <v>10</v>
      </c>
      <c r="B56" s="206">
        <v>3424</v>
      </c>
      <c r="C56" s="206">
        <v>650040384</v>
      </c>
      <c r="D56" s="206">
        <v>72744561</v>
      </c>
      <c r="E56" s="204" t="s">
        <v>103</v>
      </c>
      <c r="F56" s="206">
        <v>3117</v>
      </c>
      <c r="G56" s="207" t="s">
        <v>293</v>
      </c>
      <c r="H56" s="607" t="s">
        <v>271</v>
      </c>
      <c r="I56" s="419">
        <v>3334493</v>
      </c>
      <c r="J56" s="414">
        <v>2405279</v>
      </c>
      <c r="K56" s="414">
        <v>1958669</v>
      </c>
      <c r="L56" s="414">
        <v>446610</v>
      </c>
      <c r="M56" s="414">
        <v>27000</v>
      </c>
      <c r="N56" s="414">
        <v>0</v>
      </c>
      <c r="O56" s="414">
        <v>27000</v>
      </c>
      <c r="P56" s="68">
        <v>822111</v>
      </c>
      <c r="Q56" s="68">
        <v>24053</v>
      </c>
      <c r="R56" s="414">
        <v>56050</v>
      </c>
      <c r="S56" s="415">
        <v>4.1318000000000001</v>
      </c>
      <c r="T56" s="416">
        <v>2.8182</v>
      </c>
      <c r="U56" s="422">
        <v>1.3136000000000001</v>
      </c>
      <c r="V56" s="423">
        <f t="shared" si="4"/>
        <v>0</v>
      </c>
      <c r="W56" s="417">
        <f t="shared" si="5"/>
        <v>-18000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6"/>
        <v>0</v>
      </c>
      <c r="AF56" s="417">
        <f t="shared" si="7"/>
        <v>-18000</v>
      </c>
      <c r="AG56" s="417">
        <f t="shared" si="8"/>
        <v>-18000</v>
      </c>
      <c r="AH56" s="417">
        <v>0</v>
      </c>
      <c r="AI56" s="417">
        <v>18000</v>
      </c>
      <c r="AJ56" s="417">
        <v>0</v>
      </c>
      <c r="AK56" s="417">
        <v>0</v>
      </c>
      <c r="AL56" s="417">
        <v>0</v>
      </c>
      <c r="AM56" s="417">
        <f t="shared" si="9"/>
        <v>0</v>
      </c>
      <c r="AN56" s="417">
        <f t="shared" si="10"/>
        <v>18000</v>
      </c>
      <c r="AO56" s="417">
        <f t="shared" si="11"/>
        <v>18000</v>
      </c>
      <c r="AP56" s="417">
        <f t="shared" si="12"/>
        <v>0</v>
      </c>
      <c r="AQ56" s="417">
        <f t="shared" si="13"/>
        <v>0</v>
      </c>
      <c r="AR56" s="417">
        <f t="shared" si="14"/>
        <v>0</v>
      </c>
      <c r="AS56" s="68">
        <f t="shared" si="15"/>
        <v>0</v>
      </c>
      <c r="AT56" s="68">
        <f t="shared" si="16"/>
        <v>-180</v>
      </c>
      <c r="AU56" s="417">
        <v>0</v>
      </c>
      <c r="AV56" s="417">
        <v>0</v>
      </c>
      <c r="AW56" s="417">
        <v>0</v>
      </c>
      <c r="AX56" s="417">
        <f t="shared" si="17"/>
        <v>0</v>
      </c>
      <c r="AY56" s="417">
        <f t="shared" si="18"/>
        <v>-180</v>
      </c>
      <c r="AZ56" s="418">
        <v>0</v>
      </c>
      <c r="BA56" s="418">
        <v>-0.06</v>
      </c>
      <c r="BB56" s="418">
        <v>0</v>
      </c>
      <c r="BC56" s="418">
        <v>0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19"/>
        <v>0</v>
      </c>
      <c r="BJ56" s="418">
        <f t="shared" si="20"/>
        <v>-0.06</v>
      </c>
      <c r="BK56" s="420">
        <f t="shared" si="21"/>
        <v>-0.06</v>
      </c>
      <c r="BL56" s="772">
        <f t="shared" si="74"/>
        <v>3334313</v>
      </c>
      <c r="BM56" s="417">
        <f t="shared" si="75"/>
        <v>2387279</v>
      </c>
      <c r="BN56" s="417">
        <f t="shared" si="76"/>
        <v>1958669</v>
      </c>
      <c r="BO56" s="417">
        <f t="shared" si="76"/>
        <v>428610</v>
      </c>
      <c r="BP56" s="417">
        <f t="shared" si="77"/>
        <v>45000</v>
      </c>
      <c r="BQ56" s="417">
        <f t="shared" si="78"/>
        <v>0</v>
      </c>
      <c r="BR56" s="417">
        <f t="shared" si="78"/>
        <v>45000</v>
      </c>
      <c r="BS56" s="417">
        <f t="shared" si="79"/>
        <v>822111</v>
      </c>
      <c r="BT56" s="417">
        <f t="shared" si="79"/>
        <v>23873</v>
      </c>
      <c r="BU56" s="417">
        <f t="shared" si="80"/>
        <v>56050</v>
      </c>
      <c r="BV56" s="418">
        <f t="shared" si="81"/>
        <v>4.0718000000000005</v>
      </c>
      <c r="BW56" s="418">
        <f t="shared" si="82"/>
        <v>2.8182</v>
      </c>
      <c r="BX56" s="420">
        <f t="shared" si="82"/>
        <v>1.2536</v>
      </c>
      <c r="BY56" s="419"/>
      <c r="BZ56" s="414"/>
      <c r="CA56" s="414"/>
      <c r="CB56" s="414"/>
      <c r="CC56" s="414"/>
      <c r="CD56" s="509"/>
      <c r="CE56" s="414">
        <v>214704</v>
      </c>
      <c r="CF56" s="414">
        <v>152003</v>
      </c>
      <c r="CG56" s="414">
        <v>51377</v>
      </c>
      <c r="CH56" s="414">
        <v>1520</v>
      </c>
      <c r="CI56" s="414">
        <v>9804</v>
      </c>
      <c r="CJ56" s="509">
        <v>0.45370000000000005</v>
      </c>
    </row>
    <row r="57" spans="1:88">
      <c r="A57" s="205">
        <v>10</v>
      </c>
      <c r="B57" s="206">
        <v>3424</v>
      </c>
      <c r="C57" s="206">
        <v>650040384</v>
      </c>
      <c r="D57" s="206">
        <v>72744561</v>
      </c>
      <c r="E57" s="204" t="s">
        <v>103</v>
      </c>
      <c r="F57" s="206">
        <v>3117</v>
      </c>
      <c r="G57" s="207" t="s">
        <v>291</v>
      </c>
      <c r="H57" s="607" t="s">
        <v>272</v>
      </c>
      <c r="I57" s="419">
        <v>402654</v>
      </c>
      <c r="J57" s="414">
        <v>298705</v>
      </c>
      <c r="K57" s="414">
        <v>298705</v>
      </c>
      <c r="L57" s="414">
        <v>0</v>
      </c>
      <c r="M57" s="414">
        <v>0</v>
      </c>
      <c r="N57" s="414">
        <v>0</v>
      </c>
      <c r="O57" s="414">
        <v>0</v>
      </c>
      <c r="P57" s="68">
        <v>100962</v>
      </c>
      <c r="Q57" s="68">
        <v>2987</v>
      </c>
      <c r="R57" s="414">
        <v>0</v>
      </c>
      <c r="S57" s="415">
        <v>0.81</v>
      </c>
      <c r="T57" s="416">
        <v>0.81</v>
      </c>
      <c r="U57" s="422">
        <v>0</v>
      </c>
      <c r="V57" s="423">
        <f t="shared" si="4"/>
        <v>0</v>
      </c>
      <c r="W57" s="417">
        <f t="shared" si="5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6"/>
        <v>0</v>
      </c>
      <c r="AF57" s="417">
        <f t="shared" si="7"/>
        <v>0</v>
      </c>
      <c r="AG57" s="417">
        <f t="shared" si="8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9"/>
        <v>0</v>
      </c>
      <c r="AN57" s="417">
        <f t="shared" si="10"/>
        <v>0</v>
      </c>
      <c r="AO57" s="417">
        <f t="shared" si="11"/>
        <v>0</v>
      </c>
      <c r="AP57" s="417">
        <f t="shared" si="12"/>
        <v>0</v>
      </c>
      <c r="AQ57" s="417">
        <f t="shared" si="13"/>
        <v>0</v>
      </c>
      <c r="AR57" s="417">
        <f t="shared" si="14"/>
        <v>0</v>
      </c>
      <c r="AS57" s="68">
        <f t="shared" si="15"/>
        <v>0</v>
      </c>
      <c r="AT57" s="68">
        <f t="shared" si="16"/>
        <v>0</v>
      </c>
      <c r="AU57" s="417">
        <v>0</v>
      </c>
      <c r="AV57" s="417">
        <v>0</v>
      </c>
      <c r="AW57" s="417">
        <v>0</v>
      </c>
      <c r="AX57" s="417">
        <f t="shared" si="17"/>
        <v>0</v>
      </c>
      <c r="AY57" s="417">
        <f t="shared" si="18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9"/>
        <v>0</v>
      </c>
      <c r="BJ57" s="418">
        <f t="shared" si="20"/>
        <v>0</v>
      </c>
      <c r="BK57" s="420">
        <f t="shared" si="21"/>
        <v>0</v>
      </c>
      <c r="BL57" s="772">
        <f t="shared" si="74"/>
        <v>402654</v>
      </c>
      <c r="BM57" s="417">
        <f t="shared" si="75"/>
        <v>298705</v>
      </c>
      <c r="BN57" s="417">
        <f t="shared" si="76"/>
        <v>298705</v>
      </c>
      <c r="BO57" s="417">
        <f t="shared" si="76"/>
        <v>0</v>
      </c>
      <c r="BP57" s="417">
        <f t="shared" si="77"/>
        <v>0</v>
      </c>
      <c r="BQ57" s="417">
        <f t="shared" si="78"/>
        <v>0</v>
      </c>
      <c r="BR57" s="417">
        <f t="shared" si="78"/>
        <v>0</v>
      </c>
      <c r="BS57" s="417">
        <f t="shared" si="79"/>
        <v>100962</v>
      </c>
      <c r="BT57" s="417">
        <f t="shared" si="79"/>
        <v>2987</v>
      </c>
      <c r="BU57" s="417">
        <f t="shared" si="80"/>
        <v>0</v>
      </c>
      <c r="BV57" s="418">
        <f t="shared" si="81"/>
        <v>0.81</v>
      </c>
      <c r="BW57" s="418">
        <f t="shared" si="82"/>
        <v>0.81</v>
      </c>
      <c r="BX57" s="420">
        <f t="shared" si="82"/>
        <v>0</v>
      </c>
      <c r="BY57" s="419"/>
      <c r="BZ57" s="414"/>
      <c r="CA57" s="414"/>
      <c r="CB57" s="414"/>
      <c r="CC57" s="414"/>
      <c r="CD57" s="509"/>
      <c r="CE57" s="419"/>
      <c r="CF57" s="414"/>
      <c r="CG57" s="414"/>
      <c r="CH57" s="414"/>
      <c r="CI57" s="414"/>
      <c r="CJ57" s="509"/>
    </row>
    <row r="58" spans="1:88">
      <c r="A58" s="205">
        <v>10</v>
      </c>
      <c r="B58" s="206">
        <v>3424</v>
      </c>
      <c r="C58" s="206">
        <v>650040384</v>
      </c>
      <c r="D58" s="206">
        <v>72744561</v>
      </c>
      <c r="E58" s="204" t="s">
        <v>103</v>
      </c>
      <c r="F58" s="206">
        <v>3141</v>
      </c>
      <c r="G58" s="207" t="s">
        <v>294</v>
      </c>
      <c r="H58" s="607" t="s">
        <v>272</v>
      </c>
      <c r="I58" s="419">
        <v>702895</v>
      </c>
      <c r="J58" s="414">
        <v>519041</v>
      </c>
      <c r="K58" s="414">
        <v>0</v>
      </c>
      <c r="L58" s="414">
        <v>519041</v>
      </c>
      <c r="M58" s="414">
        <v>0</v>
      </c>
      <c r="N58" s="414">
        <v>0</v>
      </c>
      <c r="O58" s="414">
        <v>0</v>
      </c>
      <c r="P58" s="68">
        <v>175436</v>
      </c>
      <c r="Q58" s="68">
        <v>5190</v>
      </c>
      <c r="R58" s="414">
        <v>3228</v>
      </c>
      <c r="S58" s="415">
        <v>1.55</v>
      </c>
      <c r="T58" s="416">
        <v>0</v>
      </c>
      <c r="U58" s="422">
        <v>1.55</v>
      </c>
      <c r="V58" s="423">
        <f t="shared" si="4"/>
        <v>0</v>
      </c>
      <c r="W58" s="417">
        <f t="shared" si="5"/>
        <v>0</v>
      </c>
      <c r="X58" s="417">
        <v>0</v>
      </c>
      <c r="Y58" s="417">
        <v>0</v>
      </c>
      <c r="Z58" s="417">
        <v>0</v>
      </c>
      <c r="AA58" s="417">
        <v>11765</v>
      </c>
      <c r="AB58" s="417">
        <v>0</v>
      </c>
      <c r="AC58" s="417">
        <v>0</v>
      </c>
      <c r="AD58" s="417">
        <v>0</v>
      </c>
      <c r="AE58" s="417">
        <f t="shared" si="6"/>
        <v>0</v>
      </c>
      <c r="AF58" s="417">
        <f t="shared" si="7"/>
        <v>11765</v>
      </c>
      <c r="AG58" s="417">
        <f t="shared" si="8"/>
        <v>11765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9"/>
        <v>0</v>
      </c>
      <c r="AN58" s="417">
        <f t="shared" si="10"/>
        <v>0</v>
      </c>
      <c r="AO58" s="417">
        <f t="shared" si="11"/>
        <v>0</v>
      </c>
      <c r="AP58" s="417">
        <f t="shared" si="12"/>
        <v>0</v>
      </c>
      <c r="AQ58" s="417">
        <f t="shared" si="13"/>
        <v>11765</v>
      </c>
      <c r="AR58" s="417">
        <f t="shared" si="14"/>
        <v>11765</v>
      </c>
      <c r="AS58" s="68">
        <f t="shared" si="15"/>
        <v>3977</v>
      </c>
      <c r="AT58" s="68">
        <f t="shared" si="16"/>
        <v>118</v>
      </c>
      <c r="AU58" s="417">
        <v>0</v>
      </c>
      <c r="AV58" s="417">
        <v>0</v>
      </c>
      <c r="AW58" s="417">
        <v>0</v>
      </c>
      <c r="AX58" s="417">
        <f t="shared" si="17"/>
        <v>0</v>
      </c>
      <c r="AY58" s="417">
        <f t="shared" si="18"/>
        <v>15860</v>
      </c>
      <c r="AZ58" s="418">
        <v>0</v>
      </c>
      <c r="BA58" s="418">
        <v>0</v>
      </c>
      <c r="BB58" s="418">
        <v>0</v>
      </c>
      <c r="BC58" s="418">
        <v>0</v>
      </c>
      <c r="BD58" s="418">
        <v>0.04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9"/>
        <v>0</v>
      </c>
      <c r="BJ58" s="418">
        <f t="shared" si="20"/>
        <v>0.04</v>
      </c>
      <c r="BK58" s="420">
        <f t="shared" si="21"/>
        <v>0.04</v>
      </c>
      <c r="BL58" s="772">
        <f t="shared" si="74"/>
        <v>718755</v>
      </c>
      <c r="BM58" s="417">
        <f t="shared" si="75"/>
        <v>530806</v>
      </c>
      <c r="BN58" s="417">
        <f t="shared" si="76"/>
        <v>0</v>
      </c>
      <c r="BO58" s="417">
        <f t="shared" si="76"/>
        <v>530806</v>
      </c>
      <c r="BP58" s="417">
        <f t="shared" si="77"/>
        <v>0</v>
      </c>
      <c r="BQ58" s="417">
        <f t="shared" si="78"/>
        <v>0</v>
      </c>
      <c r="BR58" s="417">
        <f t="shared" si="78"/>
        <v>0</v>
      </c>
      <c r="BS58" s="417">
        <f t="shared" si="79"/>
        <v>179413</v>
      </c>
      <c r="BT58" s="417">
        <f t="shared" si="79"/>
        <v>5308</v>
      </c>
      <c r="BU58" s="417">
        <f t="shared" si="80"/>
        <v>3228</v>
      </c>
      <c r="BV58" s="418">
        <f t="shared" si="81"/>
        <v>1.59</v>
      </c>
      <c r="BW58" s="418">
        <f t="shared" si="82"/>
        <v>0</v>
      </c>
      <c r="BX58" s="420">
        <f t="shared" si="82"/>
        <v>1.59</v>
      </c>
      <c r="BY58" s="419"/>
      <c r="BZ58" s="414"/>
      <c r="CA58" s="414"/>
      <c r="CB58" s="414"/>
      <c r="CC58" s="414"/>
      <c r="CD58" s="509"/>
      <c r="CE58" s="419"/>
      <c r="CF58" s="414"/>
      <c r="CG58" s="414"/>
      <c r="CH58" s="414"/>
      <c r="CI58" s="414"/>
      <c r="CJ58" s="509"/>
    </row>
    <row r="59" spans="1:88">
      <c r="A59" s="205">
        <v>10</v>
      </c>
      <c r="B59" s="206">
        <v>3424</v>
      </c>
      <c r="C59" s="206">
        <v>650040384</v>
      </c>
      <c r="D59" s="206">
        <v>72744561</v>
      </c>
      <c r="E59" s="204" t="s">
        <v>103</v>
      </c>
      <c r="F59" s="206">
        <v>3143</v>
      </c>
      <c r="G59" s="207" t="s">
        <v>595</v>
      </c>
      <c r="H59" s="609" t="s">
        <v>271</v>
      </c>
      <c r="I59" s="419">
        <v>619255</v>
      </c>
      <c r="J59" s="414">
        <v>459388</v>
      </c>
      <c r="K59" s="414">
        <v>459388</v>
      </c>
      <c r="L59" s="414">
        <v>0</v>
      </c>
      <c r="M59" s="414">
        <v>0</v>
      </c>
      <c r="N59" s="414">
        <v>0</v>
      </c>
      <c r="O59" s="414">
        <v>0</v>
      </c>
      <c r="P59" s="68">
        <v>155273</v>
      </c>
      <c r="Q59" s="68">
        <v>4594</v>
      </c>
      <c r="R59" s="414">
        <v>0</v>
      </c>
      <c r="S59" s="415">
        <v>0.86199999999999999</v>
      </c>
      <c r="T59" s="416">
        <v>0.86199999999999999</v>
      </c>
      <c r="U59" s="422">
        <v>0</v>
      </c>
      <c r="V59" s="423">
        <f t="shared" si="4"/>
        <v>0</v>
      </c>
      <c r="W59" s="417">
        <f t="shared" si="5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6"/>
        <v>0</v>
      </c>
      <c r="AF59" s="417">
        <f t="shared" si="7"/>
        <v>0</v>
      </c>
      <c r="AG59" s="417">
        <f t="shared" si="8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9"/>
        <v>0</v>
      </c>
      <c r="AN59" s="417">
        <f t="shared" si="10"/>
        <v>0</v>
      </c>
      <c r="AO59" s="417">
        <f t="shared" si="11"/>
        <v>0</v>
      </c>
      <c r="AP59" s="417">
        <f t="shared" si="12"/>
        <v>0</v>
      </c>
      <c r="AQ59" s="417">
        <f t="shared" si="13"/>
        <v>0</v>
      </c>
      <c r="AR59" s="417">
        <f t="shared" si="14"/>
        <v>0</v>
      </c>
      <c r="AS59" s="68">
        <f t="shared" si="15"/>
        <v>0</v>
      </c>
      <c r="AT59" s="68">
        <f t="shared" si="16"/>
        <v>0</v>
      </c>
      <c r="AU59" s="417">
        <v>0</v>
      </c>
      <c r="AV59" s="417">
        <v>0</v>
      </c>
      <c r="AW59" s="417">
        <v>0</v>
      </c>
      <c r="AX59" s="417">
        <f t="shared" si="17"/>
        <v>0</v>
      </c>
      <c r="AY59" s="417">
        <f t="shared" si="18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9"/>
        <v>0</v>
      </c>
      <c r="BJ59" s="418">
        <f t="shared" si="20"/>
        <v>0</v>
      </c>
      <c r="BK59" s="420">
        <f t="shared" si="21"/>
        <v>0</v>
      </c>
      <c r="BL59" s="772">
        <f t="shared" si="74"/>
        <v>619255</v>
      </c>
      <c r="BM59" s="417">
        <f t="shared" si="75"/>
        <v>459388</v>
      </c>
      <c r="BN59" s="417">
        <f t="shared" si="76"/>
        <v>459388</v>
      </c>
      <c r="BO59" s="417">
        <f t="shared" si="76"/>
        <v>0</v>
      </c>
      <c r="BP59" s="417">
        <f t="shared" si="77"/>
        <v>0</v>
      </c>
      <c r="BQ59" s="417">
        <f t="shared" si="78"/>
        <v>0</v>
      </c>
      <c r="BR59" s="417">
        <f t="shared" si="78"/>
        <v>0</v>
      </c>
      <c r="BS59" s="417">
        <f t="shared" si="79"/>
        <v>155273</v>
      </c>
      <c r="BT59" s="417">
        <f t="shared" si="79"/>
        <v>4594</v>
      </c>
      <c r="BU59" s="417">
        <f t="shared" si="80"/>
        <v>0</v>
      </c>
      <c r="BV59" s="418">
        <f t="shared" si="81"/>
        <v>0.86199999999999999</v>
      </c>
      <c r="BW59" s="418">
        <f t="shared" si="82"/>
        <v>0.86199999999999999</v>
      </c>
      <c r="BX59" s="420">
        <f t="shared" si="82"/>
        <v>0</v>
      </c>
      <c r="BY59" s="419"/>
      <c r="BZ59" s="414"/>
      <c r="CA59" s="414"/>
      <c r="CB59" s="414"/>
      <c r="CC59" s="414"/>
      <c r="CD59" s="509"/>
      <c r="CE59" s="419"/>
      <c r="CF59" s="414"/>
      <c r="CG59" s="414"/>
      <c r="CH59" s="414"/>
      <c r="CI59" s="414"/>
      <c r="CJ59" s="509"/>
    </row>
    <row r="60" spans="1:88">
      <c r="A60" s="205">
        <v>10</v>
      </c>
      <c r="B60" s="206">
        <v>3424</v>
      </c>
      <c r="C60" s="206">
        <v>650040384</v>
      </c>
      <c r="D60" s="206">
        <v>72744561</v>
      </c>
      <c r="E60" s="204" t="s">
        <v>103</v>
      </c>
      <c r="F60" s="206">
        <v>3143</v>
      </c>
      <c r="G60" s="207" t="s">
        <v>596</v>
      </c>
      <c r="H60" s="609" t="s">
        <v>272</v>
      </c>
      <c r="I60" s="419">
        <v>19210</v>
      </c>
      <c r="J60" s="414">
        <v>13750</v>
      </c>
      <c r="K60" s="414">
        <v>0</v>
      </c>
      <c r="L60" s="414">
        <v>13750</v>
      </c>
      <c r="M60" s="414">
        <v>0</v>
      </c>
      <c r="N60" s="414">
        <v>0</v>
      </c>
      <c r="O60" s="414">
        <v>0</v>
      </c>
      <c r="P60" s="68">
        <v>4647</v>
      </c>
      <c r="Q60" s="68">
        <v>138</v>
      </c>
      <c r="R60" s="414">
        <v>675</v>
      </c>
      <c r="S60" s="415">
        <v>0.05</v>
      </c>
      <c r="T60" s="416">
        <v>0</v>
      </c>
      <c r="U60" s="422">
        <v>0.05</v>
      </c>
      <c r="V60" s="423">
        <f t="shared" si="4"/>
        <v>0</v>
      </c>
      <c r="W60" s="417">
        <f t="shared" si="5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6"/>
        <v>0</v>
      </c>
      <c r="AF60" s="417">
        <f t="shared" si="7"/>
        <v>0</v>
      </c>
      <c r="AG60" s="417">
        <f t="shared" si="8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9"/>
        <v>0</v>
      </c>
      <c r="AN60" s="417">
        <f t="shared" si="10"/>
        <v>0</v>
      </c>
      <c r="AO60" s="417">
        <f t="shared" si="11"/>
        <v>0</v>
      </c>
      <c r="AP60" s="417">
        <f t="shared" si="12"/>
        <v>0</v>
      </c>
      <c r="AQ60" s="417">
        <f t="shared" si="13"/>
        <v>0</v>
      </c>
      <c r="AR60" s="417">
        <f t="shared" si="14"/>
        <v>0</v>
      </c>
      <c r="AS60" s="68">
        <f t="shared" si="15"/>
        <v>0</v>
      </c>
      <c r="AT60" s="68">
        <f t="shared" si="16"/>
        <v>0</v>
      </c>
      <c r="AU60" s="417">
        <v>0</v>
      </c>
      <c r="AV60" s="417">
        <v>0</v>
      </c>
      <c r="AW60" s="417">
        <v>0</v>
      </c>
      <c r="AX60" s="417">
        <f t="shared" si="17"/>
        <v>0</v>
      </c>
      <c r="AY60" s="417">
        <f t="shared" si="18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9"/>
        <v>0</v>
      </c>
      <c r="BJ60" s="418">
        <f t="shared" si="20"/>
        <v>0</v>
      </c>
      <c r="BK60" s="420">
        <f t="shared" si="21"/>
        <v>0</v>
      </c>
      <c r="BL60" s="772">
        <f t="shared" si="74"/>
        <v>19210</v>
      </c>
      <c r="BM60" s="417">
        <f t="shared" si="75"/>
        <v>13750</v>
      </c>
      <c r="BN60" s="417">
        <f t="shared" si="76"/>
        <v>0</v>
      </c>
      <c r="BO60" s="417">
        <f t="shared" si="76"/>
        <v>13750</v>
      </c>
      <c r="BP60" s="417">
        <f t="shared" si="77"/>
        <v>0</v>
      </c>
      <c r="BQ60" s="417">
        <f t="shared" si="78"/>
        <v>0</v>
      </c>
      <c r="BR60" s="417">
        <f t="shared" si="78"/>
        <v>0</v>
      </c>
      <c r="BS60" s="417">
        <f t="shared" si="79"/>
        <v>4647</v>
      </c>
      <c r="BT60" s="417">
        <f t="shared" si="79"/>
        <v>138</v>
      </c>
      <c r="BU60" s="417">
        <f t="shared" si="80"/>
        <v>675</v>
      </c>
      <c r="BV60" s="418">
        <f t="shared" si="81"/>
        <v>0.05</v>
      </c>
      <c r="BW60" s="418">
        <f t="shared" si="82"/>
        <v>0</v>
      </c>
      <c r="BX60" s="420">
        <f t="shared" si="82"/>
        <v>0.05</v>
      </c>
      <c r="BY60" s="419"/>
      <c r="BZ60" s="414"/>
      <c r="CA60" s="414"/>
      <c r="CB60" s="414"/>
      <c r="CC60" s="414"/>
      <c r="CD60" s="509"/>
      <c r="CE60" s="419"/>
      <c r="CF60" s="601"/>
      <c r="CG60" s="414"/>
      <c r="CH60" s="414"/>
      <c r="CI60" s="602"/>
      <c r="CJ60" s="603"/>
    </row>
    <row r="61" spans="1:88">
      <c r="A61" s="155">
        <v>10</v>
      </c>
      <c r="B61" s="18">
        <v>3424</v>
      </c>
      <c r="C61" s="18">
        <v>650040384</v>
      </c>
      <c r="D61" s="18">
        <v>72744561</v>
      </c>
      <c r="E61" s="164" t="s">
        <v>104</v>
      </c>
      <c r="F61" s="18"/>
      <c r="G61" s="154"/>
      <c r="H61" s="608"/>
      <c r="I61" s="446">
        <v>6602261</v>
      </c>
      <c r="J61" s="442">
        <v>4821797</v>
      </c>
      <c r="K61" s="442">
        <v>3754187</v>
      </c>
      <c r="L61" s="442">
        <v>1067610</v>
      </c>
      <c r="M61" s="442">
        <v>27000</v>
      </c>
      <c r="N61" s="442">
        <v>0</v>
      </c>
      <c r="O61" s="442">
        <v>27000</v>
      </c>
      <c r="P61" s="442">
        <v>1638893</v>
      </c>
      <c r="Q61" s="442">
        <v>48218</v>
      </c>
      <c r="R61" s="442">
        <v>66353</v>
      </c>
      <c r="S61" s="443">
        <v>9.7572000000000028</v>
      </c>
      <c r="T61" s="443">
        <v>6.4901999999999997</v>
      </c>
      <c r="U61" s="448">
        <v>3.2669999999999999</v>
      </c>
      <c r="V61" s="446">
        <f t="shared" ref="V61:CG61" si="83">SUM(V55:V60)</f>
        <v>0</v>
      </c>
      <c r="W61" s="442">
        <f t="shared" si="83"/>
        <v>-18000</v>
      </c>
      <c r="X61" s="442">
        <f t="shared" si="83"/>
        <v>0</v>
      </c>
      <c r="Y61" s="442">
        <f t="shared" si="83"/>
        <v>0</v>
      </c>
      <c r="Z61" s="442">
        <f t="shared" si="83"/>
        <v>0</v>
      </c>
      <c r="AA61" s="442">
        <f t="shared" si="83"/>
        <v>11765</v>
      </c>
      <c r="AB61" s="442">
        <f t="shared" si="83"/>
        <v>0</v>
      </c>
      <c r="AC61" s="442">
        <f t="shared" si="83"/>
        <v>0</v>
      </c>
      <c r="AD61" s="442">
        <f t="shared" si="83"/>
        <v>0</v>
      </c>
      <c r="AE61" s="442">
        <f t="shared" si="83"/>
        <v>0</v>
      </c>
      <c r="AF61" s="442">
        <f t="shared" si="83"/>
        <v>-6235</v>
      </c>
      <c r="AG61" s="442">
        <f t="shared" si="83"/>
        <v>-6235</v>
      </c>
      <c r="AH61" s="442">
        <f t="shared" si="83"/>
        <v>0</v>
      </c>
      <c r="AI61" s="442">
        <f t="shared" si="83"/>
        <v>18000</v>
      </c>
      <c r="AJ61" s="442">
        <f t="shared" si="83"/>
        <v>0</v>
      </c>
      <c r="AK61" s="442">
        <f t="shared" si="83"/>
        <v>0</v>
      </c>
      <c r="AL61" s="442">
        <f t="shared" si="83"/>
        <v>0</v>
      </c>
      <c r="AM61" s="442">
        <f t="shared" si="83"/>
        <v>0</v>
      </c>
      <c r="AN61" s="442">
        <f t="shared" si="83"/>
        <v>18000</v>
      </c>
      <c r="AO61" s="442">
        <f t="shared" si="83"/>
        <v>18000</v>
      </c>
      <c r="AP61" s="442">
        <f t="shared" si="83"/>
        <v>0</v>
      </c>
      <c r="AQ61" s="442">
        <f t="shared" si="83"/>
        <v>11765</v>
      </c>
      <c r="AR61" s="442">
        <f t="shared" si="83"/>
        <v>11765</v>
      </c>
      <c r="AS61" s="442">
        <f t="shared" si="83"/>
        <v>3977</v>
      </c>
      <c r="AT61" s="442">
        <f t="shared" si="83"/>
        <v>-62</v>
      </c>
      <c r="AU61" s="442">
        <f t="shared" si="83"/>
        <v>0</v>
      </c>
      <c r="AV61" s="442">
        <f t="shared" si="83"/>
        <v>0</v>
      </c>
      <c r="AW61" s="442">
        <f t="shared" si="83"/>
        <v>0</v>
      </c>
      <c r="AX61" s="442">
        <f t="shared" si="83"/>
        <v>0</v>
      </c>
      <c r="AY61" s="442">
        <f t="shared" si="83"/>
        <v>15680</v>
      </c>
      <c r="AZ61" s="443">
        <f t="shared" si="83"/>
        <v>0</v>
      </c>
      <c r="BA61" s="443">
        <f t="shared" si="83"/>
        <v>-0.06</v>
      </c>
      <c r="BB61" s="443">
        <f t="shared" si="83"/>
        <v>0</v>
      </c>
      <c r="BC61" s="443">
        <f t="shared" si="83"/>
        <v>0</v>
      </c>
      <c r="BD61" s="443">
        <f t="shared" si="83"/>
        <v>0.04</v>
      </c>
      <c r="BE61" s="443">
        <f t="shared" si="83"/>
        <v>0</v>
      </c>
      <c r="BF61" s="443">
        <f t="shared" si="83"/>
        <v>0</v>
      </c>
      <c r="BG61" s="443">
        <f t="shared" si="83"/>
        <v>0</v>
      </c>
      <c r="BH61" s="443">
        <f t="shared" si="83"/>
        <v>0</v>
      </c>
      <c r="BI61" s="443">
        <f t="shared" si="83"/>
        <v>0</v>
      </c>
      <c r="BJ61" s="443">
        <f t="shared" si="83"/>
        <v>-1.9999999999999997E-2</v>
      </c>
      <c r="BK61" s="40">
        <f t="shared" si="83"/>
        <v>-1.9999999999999997E-2</v>
      </c>
      <c r="BL61" s="450">
        <f t="shared" si="83"/>
        <v>6617941</v>
      </c>
      <c r="BM61" s="442">
        <f t="shared" si="83"/>
        <v>4815562</v>
      </c>
      <c r="BN61" s="442">
        <f t="shared" si="83"/>
        <v>3754187</v>
      </c>
      <c r="BO61" s="442">
        <f t="shared" si="83"/>
        <v>1061375</v>
      </c>
      <c r="BP61" s="442">
        <f t="shared" si="83"/>
        <v>45000</v>
      </c>
      <c r="BQ61" s="442">
        <f t="shared" si="83"/>
        <v>0</v>
      </c>
      <c r="BR61" s="442">
        <f t="shared" si="83"/>
        <v>45000</v>
      </c>
      <c r="BS61" s="442">
        <f t="shared" si="83"/>
        <v>1642870</v>
      </c>
      <c r="BT61" s="442">
        <f t="shared" si="83"/>
        <v>48156</v>
      </c>
      <c r="BU61" s="442">
        <f t="shared" si="83"/>
        <v>66353</v>
      </c>
      <c r="BV61" s="443">
        <f t="shared" si="83"/>
        <v>9.7372000000000014</v>
      </c>
      <c r="BW61" s="443">
        <f t="shared" si="83"/>
        <v>6.4901999999999997</v>
      </c>
      <c r="BX61" s="40">
        <f t="shared" si="83"/>
        <v>3.2469999999999999</v>
      </c>
      <c r="BY61" s="804">
        <f t="shared" si="83"/>
        <v>0</v>
      </c>
      <c r="BZ61" s="708">
        <f t="shared" si="83"/>
        <v>0</v>
      </c>
      <c r="CA61" s="708">
        <f t="shared" si="83"/>
        <v>0</v>
      </c>
      <c r="CB61" s="708">
        <f t="shared" si="83"/>
        <v>0</v>
      </c>
      <c r="CC61" s="708">
        <f t="shared" si="83"/>
        <v>0</v>
      </c>
      <c r="CD61" s="805">
        <f t="shared" si="83"/>
        <v>0</v>
      </c>
      <c r="CE61" s="916">
        <f t="shared" si="83"/>
        <v>254987</v>
      </c>
      <c r="CF61" s="917">
        <f t="shared" si="83"/>
        <v>180308</v>
      </c>
      <c r="CG61" s="917">
        <f t="shared" si="83"/>
        <v>60944</v>
      </c>
      <c r="CH61" s="917">
        <f t="shared" ref="CH61:CJ61" si="84">SUM(CH55:CH60)</f>
        <v>1803</v>
      </c>
      <c r="CI61" s="917">
        <f t="shared" si="84"/>
        <v>11932</v>
      </c>
      <c r="CJ61" s="918">
        <f t="shared" si="84"/>
        <v>0.56710000000000005</v>
      </c>
    </row>
    <row r="62" spans="1:88">
      <c r="A62" s="205">
        <v>11</v>
      </c>
      <c r="B62" s="206">
        <v>3430</v>
      </c>
      <c r="C62" s="206">
        <v>600078183</v>
      </c>
      <c r="D62" s="206">
        <v>72744405</v>
      </c>
      <c r="E62" s="204" t="s">
        <v>105</v>
      </c>
      <c r="F62" s="206">
        <v>3111</v>
      </c>
      <c r="G62" s="207" t="s">
        <v>290</v>
      </c>
      <c r="H62" s="607" t="s">
        <v>271</v>
      </c>
      <c r="I62" s="419">
        <v>3866315</v>
      </c>
      <c r="J62" s="414">
        <v>2844314</v>
      </c>
      <c r="K62" s="414">
        <v>2508113</v>
      </c>
      <c r="L62" s="414">
        <v>336201</v>
      </c>
      <c r="M62" s="414">
        <v>10000</v>
      </c>
      <c r="N62" s="414">
        <v>0</v>
      </c>
      <c r="O62" s="414">
        <v>10000</v>
      </c>
      <c r="P62" s="68">
        <v>964758</v>
      </c>
      <c r="Q62" s="68">
        <v>28443</v>
      </c>
      <c r="R62" s="414">
        <v>18800</v>
      </c>
      <c r="S62" s="415">
        <v>5.1381000000000006</v>
      </c>
      <c r="T62" s="416">
        <v>4</v>
      </c>
      <c r="U62" s="422">
        <v>1.1381000000000001</v>
      </c>
      <c r="V62" s="423">
        <f t="shared" si="4"/>
        <v>0</v>
      </c>
      <c r="W62" s="417">
        <f t="shared" si="5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6"/>
        <v>0</v>
      </c>
      <c r="AF62" s="417">
        <f t="shared" si="7"/>
        <v>0</v>
      </c>
      <c r="AG62" s="417">
        <f t="shared" si="8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9"/>
        <v>0</v>
      </c>
      <c r="AN62" s="417">
        <f t="shared" si="10"/>
        <v>0</v>
      </c>
      <c r="AO62" s="417">
        <f t="shared" si="11"/>
        <v>0</v>
      </c>
      <c r="AP62" s="417">
        <f t="shared" si="12"/>
        <v>0</v>
      </c>
      <c r="AQ62" s="417">
        <f t="shared" si="13"/>
        <v>0</v>
      </c>
      <c r="AR62" s="417">
        <f t="shared" si="14"/>
        <v>0</v>
      </c>
      <c r="AS62" s="68">
        <f t="shared" si="15"/>
        <v>0</v>
      </c>
      <c r="AT62" s="68">
        <f t="shared" si="16"/>
        <v>0</v>
      </c>
      <c r="AU62" s="417">
        <v>0</v>
      </c>
      <c r="AV62" s="417">
        <v>0</v>
      </c>
      <c r="AW62" s="417">
        <v>0</v>
      </c>
      <c r="AX62" s="417">
        <f t="shared" si="17"/>
        <v>0</v>
      </c>
      <c r="AY62" s="417">
        <f t="shared" si="18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9"/>
        <v>0</v>
      </c>
      <c r="BJ62" s="418">
        <f t="shared" si="20"/>
        <v>0</v>
      </c>
      <c r="BK62" s="420">
        <f t="shared" si="21"/>
        <v>0</v>
      </c>
      <c r="BL62" s="772">
        <f>I62+AY62</f>
        <v>3866315</v>
      </c>
      <c r="BM62" s="417">
        <f>J62+AG62</f>
        <v>2844314</v>
      </c>
      <c r="BN62" s="417">
        <f t="shared" ref="BN62:BO64" si="85">K62+AE62</f>
        <v>2508113</v>
      </c>
      <c r="BO62" s="417">
        <f t="shared" si="85"/>
        <v>336201</v>
      </c>
      <c r="BP62" s="417">
        <f>M62+AO62</f>
        <v>10000</v>
      </c>
      <c r="BQ62" s="417">
        <f t="shared" ref="BQ62:BR64" si="86">N62+AM62</f>
        <v>0</v>
      </c>
      <c r="BR62" s="417">
        <f t="shared" si="86"/>
        <v>10000</v>
      </c>
      <c r="BS62" s="417">
        <f t="shared" ref="BS62:BT64" si="87">P62+AS62</f>
        <v>964758</v>
      </c>
      <c r="BT62" s="417">
        <f t="shared" si="87"/>
        <v>28443</v>
      </c>
      <c r="BU62" s="417">
        <f>R62+AX62</f>
        <v>18800</v>
      </c>
      <c r="BV62" s="418">
        <f>S62+BK62</f>
        <v>5.1381000000000006</v>
      </c>
      <c r="BW62" s="418">
        <f t="shared" ref="BW62:BX64" si="88">T62+BI62</f>
        <v>4</v>
      </c>
      <c r="BX62" s="420">
        <f t="shared" si="88"/>
        <v>1.1381000000000001</v>
      </c>
      <c r="BY62" s="419"/>
      <c r="BZ62" s="414"/>
      <c r="CA62" s="414"/>
      <c r="CB62" s="414"/>
      <c r="CC62" s="414"/>
      <c r="CD62" s="509"/>
      <c r="CE62" s="419">
        <v>155988</v>
      </c>
      <c r="CF62" s="414">
        <v>111081</v>
      </c>
      <c r="CG62" s="414">
        <v>37545</v>
      </c>
      <c r="CH62" s="414">
        <v>1111</v>
      </c>
      <c r="CI62" s="414">
        <v>6251</v>
      </c>
      <c r="CJ62" s="509">
        <v>0.378</v>
      </c>
    </row>
    <row r="63" spans="1:88">
      <c r="A63" s="205">
        <v>11</v>
      </c>
      <c r="B63" s="206">
        <v>3430</v>
      </c>
      <c r="C63" s="206">
        <v>600078183</v>
      </c>
      <c r="D63" s="206">
        <v>72744405</v>
      </c>
      <c r="E63" s="204" t="s">
        <v>105</v>
      </c>
      <c r="F63" s="206">
        <v>3111</v>
      </c>
      <c r="G63" s="207" t="s">
        <v>291</v>
      </c>
      <c r="H63" s="607" t="s">
        <v>272</v>
      </c>
      <c r="I63" s="419">
        <v>874720</v>
      </c>
      <c r="J63" s="414">
        <v>648902</v>
      </c>
      <c r="K63" s="414">
        <v>648902</v>
      </c>
      <c r="L63" s="414">
        <v>0</v>
      </c>
      <c r="M63" s="414">
        <v>0</v>
      </c>
      <c r="N63" s="414">
        <v>0</v>
      </c>
      <c r="O63" s="414">
        <v>0</v>
      </c>
      <c r="P63" s="68">
        <v>219329</v>
      </c>
      <c r="Q63" s="68">
        <v>6489</v>
      </c>
      <c r="R63" s="414">
        <v>0</v>
      </c>
      <c r="S63" s="415">
        <v>1.75</v>
      </c>
      <c r="T63" s="416">
        <v>1.75</v>
      </c>
      <c r="U63" s="422">
        <v>0</v>
      </c>
      <c r="V63" s="423">
        <f t="shared" si="4"/>
        <v>0</v>
      </c>
      <c r="W63" s="417">
        <f t="shared" si="5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6"/>
        <v>0</v>
      </c>
      <c r="AF63" s="417">
        <f t="shared" si="7"/>
        <v>0</v>
      </c>
      <c r="AG63" s="417">
        <f t="shared" si="8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9"/>
        <v>0</v>
      </c>
      <c r="AN63" s="417">
        <f t="shared" si="10"/>
        <v>0</v>
      </c>
      <c r="AO63" s="417">
        <f t="shared" si="11"/>
        <v>0</v>
      </c>
      <c r="AP63" s="417">
        <f t="shared" si="12"/>
        <v>0</v>
      </c>
      <c r="AQ63" s="417">
        <f t="shared" si="13"/>
        <v>0</v>
      </c>
      <c r="AR63" s="417">
        <f t="shared" si="14"/>
        <v>0</v>
      </c>
      <c r="AS63" s="68">
        <f t="shared" si="15"/>
        <v>0</v>
      </c>
      <c r="AT63" s="68">
        <f t="shared" si="16"/>
        <v>0</v>
      </c>
      <c r="AU63" s="417">
        <v>2750</v>
      </c>
      <c r="AV63" s="417">
        <v>0</v>
      </c>
      <c r="AW63" s="417">
        <v>0</v>
      </c>
      <c r="AX63" s="417">
        <f t="shared" si="17"/>
        <v>2750</v>
      </c>
      <c r="AY63" s="417">
        <f t="shared" si="18"/>
        <v>2750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9"/>
        <v>0</v>
      </c>
      <c r="BJ63" s="418">
        <f t="shared" si="20"/>
        <v>0</v>
      </c>
      <c r="BK63" s="420">
        <f t="shared" si="21"/>
        <v>0</v>
      </c>
      <c r="BL63" s="772">
        <f>I63+AY63</f>
        <v>877470</v>
      </c>
      <c r="BM63" s="417">
        <f>J63+AG63</f>
        <v>648902</v>
      </c>
      <c r="BN63" s="417">
        <f t="shared" si="85"/>
        <v>648902</v>
      </c>
      <c r="BO63" s="417">
        <f t="shared" si="85"/>
        <v>0</v>
      </c>
      <c r="BP63" s="417">
        <f>M63+AO63</f>
        <v>0</v>
      </c>
      <c r="BQ63" s="417">
        <f t="shared" si="86"/>
        <v>0</v>
      </c>
      <c r="BR63" s="417">
        <f t="shared" si="86"/>
        <v>0</v>
      </c>
      <c r="BS63" s="417">
        <f t="shared" si="87"/>
        <v>219329</v>
      </c>
      <c r="BT63" s="417">
        <f t="shared" si="87"/>
        <v>6489</v>
      </c>
      <c r="BU63" s="417">
        <f>R63+AX63</f>
        <v>2750</v>
      </c>
      <c r="BV63" s="418">
        <f>S63+BK63</f>
        <v>1.75</v>
      </c>
      <c r="BW63" s="418">
        <f t="shared" si="88"/>
        <v>1.75</v>
      </c>
      <c r="BX63" s="420">
        <f t="shared" si="88"/>
        <v>0</v>
      </c>
      <c r="BY63" s="419"/>
      <c r="BZ63" s="414"/>
      <c r="CA63" s="414"/>
      <c r="CB63" s="414"/>
      <c r="CC63" s="414"/>
      <c r="CD63" s="509"/>
      <c r="CE63" s="419"/>
      <c r="CF63" s="414"/>
      <c r="CG63" s="414"/>
      <c r="CH63" s="414"/>
      <c r="CI63" s="414"/>
      <c r="CJ63" s="509"/>
    </row>
    <row r="64" spans="1:88">
      <c r="A64" s="205">
        <v>11</v>
      </c>
      <c r="B64" s="206">
        <v>3430</v>
      </c>
      <c r="C64" s="206">
        <v>600078183</v>
      </c>
      <c r="D64" s="206">
        <v>72744405</v>
      </c>
      <c r="E64" s="204" t="s">
        <v>105</v>
      </c>
      <c r="F64" s="206">
        <v>3141</v>
      </c>
      <c r="G64" s="207" t="s">
        <v>294</v>
      </c>
      <c r="H64" s="607" t="s">
        <v>272</v>
      </c>
      <c r="I64" s="419">
        <v>666853</v>
      </c>
      <c r="J64" s="414">
        <v>492886</v>
      </c>
      <c r="K64" s="414">
        <v>0</v>
      </c>
      <c r="L64" s="414">
        <v>492886</v>
      </c>
      <c r="M64" s="414">
        <v>0</v>
      </c>
      <c r="N64" s="414">
        <v>0</v>
      </c>
      <c r="O64" s="414">
        <v>0</v>
      </c>
      <c r="P64" s="68">
        <v>166595</v>
      </c>
      <c r="Q64" s="68">
        <v>4928</v>
      </c>
      <c r="R64" s="414">
        <v>2444</v>
      </c>
      <c r="S64" s="415">
        <v>1.48</v>
      </c>
      <c r="T64" s="416">
        <v>0</v>
      </c>
      <c r="U64" s="422">
        <v>1.48</v>
      </c>
      <c r="V64" s="423">
        <f t="shared" si="4"/>
        <v>0</v>
      </c>
      <c r="W64" s="417">
        <f t="shared" si="5"/>
        <v>0</v>
      </c>
      <c r="X64" s="417">
        <v>0</v>
      </c>
      <c r="Y64" s="417">
        <v>0</v>
      </c>
      <c r="Z64" s="417">
        <v>0</v>
      </c>
      <c r="AA64" s="417">
        <v>-2412</v>
      </c>
      <c r="AB64" s="417">
        <v>0</v>
      </c>
      <c r="AC64" s="417">
        <v>0</v>
      </c>
      <c r="AD64" s="417">
        <v>0</v>
      </c>
      <c r="AE64" s="417">
        <f t="shared" si="6"/>
        <v>0</v>
      </c>
      <c r="AF64" s="417">
        <f t="shared" si="7"/>
        <v>-2412</v>
      </c>
      <c r="AG64" s="417">
        <f t="shared" si="8"/>
        <v>-2412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9"/>
        <v>0</v>
      </c>
      <c r="AN64" s="417">
        <f t="shared" si="10"/>
        <v>0</v>
      </c>
      <c r="AO64" s="417">
        <f t="shared" si="11"/>
        <v>0</v>
      </c>
      <c r="AP64" s="417">
        <f t="shared" si="12"/>
        <v>0</v>
      </c>
      <c r="AQ64" s="417">
        <f t="shared" si="13"/>
        <v>-2412</v>
      </c>
      <c r="AR64" s="417">
        <f t="shared" si="14"/>
        <v>-2412</v>
      </c>
      <c r="AS64" s="68">
        <f t="shared" si="15"/>
        <v>-815</v>
      </c>
      <c r="AT64" s="68">
        <f t="shared" si="16"/>
        <v>-24</v>
      </c>
      <c r="AU64" s="417">
        <v>0</v>
      </c>
      <c r="AV64" s="417">
        <v>0</v>
      </c>
      <c r="AW64" s="417">
        <v>0</v>
      </c>
      <c r="AX64" s="417">
        <f t="shared" si="17"/>
        <v>0</v>
      </c>
      <c r="AY64" s="417">
        <f t="shared" si="18"/>
        <v>-3251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9"/>
        <v>0</v>
      </c>
      <c r="BJ64" s="418">
        <f t="shared" si="20"/>
        <v>0</v>
      </c>
      <c r="BK64" s="420">
        <f t="shared" si="21"/>
        <v>0</v>
      </c>
      <c r="BL64" s="772">
        <f>I64+AY64</f>
        <v>663602</v>
      </c>
      <c r="BM64" s="417">
        <f>J64+AG64</f>
        <v>490474</v>
      </c>
      <c r="BN64" s="417">
        <f t="shared" si="85"/>
        <v>0</v>
      </c>
      <c r="BO64" s="417">
        <f t="shared" si="85"/>
        <v>490474</v>
      </c>
      <c r="BP64" s="417">
        <f>M64+AO64</f>
        <v>0</v>
      </c>
      <c r="BQ64" s="417">
        <f t="shared" si="86"/>
        <v>0</v>
      </c>
      <c r="BR64" s="417">
        <f t="shared" si="86"/>
        <v>0</v>
      </c>
      <c r="BS64" s="417">
        <f t="shared" si="87"/>
        <v>165780</v>
      </c>
      <c r="BT64" s="417">
        <f t="shared" si="87"/>
        <v>4904</v>
      </c>
      <c r="BU64" s="417">
        <f>R64+AX64</f>
        <v>2444</v>
      </c>
      <c r="BV64" s="418">
        <f>S64+BK64</f>
        <v>1.48</v>
      </c>
      <c r="BW64" s="418">
        <f t="shared" si="88"/>
        <v>0</v>
      </c>
      <c r="BX64" s="420">
        <f t="shared" si="88"/>
        <v>1.48</v>
      </c>
      <c r="BY64" s="419"/>
      <c r="BZ64" s="414"/>
      <c r="CA64" s="414"/>
      <c r="CB64" s="414"/>
      <c r="CC64" s="414"/>
      <c r="CD64" s="509"/>
      <c r="CE64" s="419"/>
      <c r="CF64" s="601"/>
      <c r="CG64" s="414"/>
      <c r="CH64" s="414"/>
      <c r="CI64" s="601"/>
      <c r="CJ64" s="603"/>
    </row>
    <row r="65" spans="1:88">
      <c r="A65" s="155">
        <v>11</v>
      </c>
      <c r="B65" s="18">
        <v>3430</v>
      </c>
      <c r="C65" s="18">
        <v>600078183</v>
      </c>
      <c r="D65" s="18">
        <v>72744405</v>
      </c>
      <c r="E65" s="164" t="s">
        <v>106</v>
      </c>
      <c r="F65" s="18"/>
      <c r="G65" s="154"/>
      <c r="H65" s="608"/>
      <c r="I65" s="446">
        <v>5407888</v>
      </c>
      <c r="J65" s="442">
        <v>3986102</v>
      </c>
      <c r="K65" s="442">
        <v>3157015</v>
      </c>
      <c r="L65" s="442">
        <v>829087</v>
      </c>
      <c r="M65" s="442">
        <v>10000</v>
      </c>
      <c r="N65" s="442">
        <v>0</v>
      </c>
      <c r="O65" s="442">
        <v>10000</v>
      </c>
      <c r="P65" s="442">
        <v>1350682</v>
      </c>
      <c r="Q65" s="442">
        <v>39860</v>
      </c>
      <c r="R65" s="442">
        <v>21244</v>
      </c>
      <c r="S65" s="443">
        <v>8.3681000000000001</v>
      </c>
      <c r="T65" s="443">
        <v>5.75</v>
      </c>
      <c r="U65" s="448">
        <v>2.6181000000000001</v>
      </c>
      <c r="V65" s="446">
        <f t="shared" ref="V65:CG65" si="89">SUM(V62:V64)</f>
        <v>0</v>
      </c>
      <c r="W65" s="442">
        <f t="shared" si="89"/>
        <v>0</v>
      </c>
      <c r="X65" s="442">
        <f t="shared" si="89"/>
        <v>0</v>
      </c>
      <c r="Y65" s="442">
        <f t="shared" si="89"/>
        <v>0</v>
      </c>
      <c r="Z65" s="442">
        <f t="shared" si="89"/>
        <v>0</v>
      </c>
      <c r="AA65" s="442">
        <f t="shared" si="89"/>
        <v>-2412</v>
      </c>
      <c r="AB65" s="442">
        <f t="shared" si="89"/>
        <v>0</v>
      </c>
      <c r="AC65" s="442">
        <f t="shared" si="89"/>
        <v>0</v>
      </c>
      <c r="AD65" s="442">
        <f t="shared" si="89"/>
        <v>0</v>
      </c>
      <c r="AE65" s="442">
        <f t="shared" si="89"/>
        <v>0</v>
      </c>
      <c r="AF65" s="442">
        <f t="shared" si="89"/>
        <v>-2412</v>
      </c>
      <c r="AG65" s="442">
        <f t="shared" si="89"/>
        <v>-2412</v>
      </c>
      <c r="AH65" s="442">
        <f t="shared" si="89"/>
        <v>0</v>
      </c>
      <c r="AI65" s="442">
        <f t="shared" si="89"/>
        <v>0</v>
      </c>
      <c r="AJ65" s="442">
        <f t="shared" si="89"/>
        <v>0</v>
      </c>
      <c r="AK65" s="442">
        <f t="shared" si="89"/>
        <v>0</v>
      </c>
      <c r="AL65" s="442">
        <f t="shared" si="89"/>
        <v>0</v>
      </c>
      <c r="AM65" s="442">
        <f t="shared" si="89"/>
        <v>0</v>
      </c>
      <c r="AN65" s="442">
        <f t="shared" si="89"/>
        <v>0</v>
      </c>
      <c r="AO65" s="442">
        <f t="shared" si="89"/>
        <v>0</v>
      </c>
      <c r="AP65" s="442">
        <f t="shared" si="89"/>
        <v>0</v>
      </c>
      <c r="AQ65" s="442">
        <f t="shared" si="89"/>
        <v>-2412</v>
      </c>
      <c r="AR65" s="442">
        <f t="shared" si="89"/>
        <v>-2412</v>
      </c>
      <c r="AS65" s="442">
        <f t="shared" si="89"/>
        <v>-815</v>
      </c>
      <c r="AT65" s="442">
        <f t="shared" si="89"/>
        <v>-24</v>
      </c>
      <c r="AU65" s="442">
        <f t="shared" si="89"/>
        <v>2750</v>
      </c>
      <c r="AV65" s="442">
        <f t="shared" si="89"/>
        <v>0</v>
      </c>
      <c r="AW65" s="442">
        <f t="shared" si="89"/>
        <v>0</v>
      </c>
      <c r="AX65" s="442">
        <f t="shared" si="89"/>
        <v>2750</v>
      </c>
      <c r="AY65" s="442">
        <f t="shared" si="89"/>
        <v>-501</v>
      </c>
      <c r="AZ65" s="443">
        <f t="shared" si="89"/>
        <v>0</v>
      </c>
      <c r="BA65" s="443">
        <f t="shared" si="89"/>
        <v>0</v>
      </c>
      <c r="BB65" s="443">
        <f t="shared" si="89"/>
        <v>0</v>
      </c>
      <c r="BC65" s="443">
        <f t="shared" si="89"/>
        <v>0</v>
      </c>
      <c r="BD65" s="443">
        <f t="shared" si="89"/>
        <v>0</v>
      </c>
      <c r="BE65" s="443">
        <f t="shared" si="89"/>
        <v>0</v>
      </c>
      <c r="BF65" s="443">
        <f t="shared" si="89"/>
        <v>0</v>
      </c>
      <c r="BG65" s="443">
        <f t="shared" si="89"/>
        <v>0</v>
      </c>
      <c r="BH65" s="443">
        <f t="shared" si="89"/>
        <v>0</v>
      </c>
      <c r="BI65" s="443">
        <f t="shared" si="89"/>
        <v>0</v>
      </c>
      <c r="BJ65" s="443">
        <f t="shared" si="89"/>
        <v>0</v>
      </c>
      <c r="BK65" s="40">
        <f t="shared" si="89"/>
        <v>0</v>
      </c>
      <c r="BL65" s="450">
        <f t="shared" si="89"/>
        <v>5407387</v>
      </c>
      <c r="BM65" s="442">
        <f t="shared" si="89"/>
        <v>3983690</v>
      </c>
      <c r="BN65" s="442">
        <f t="shared" si="89"/>
        <v>3157015</v>
      </c>
      <c r="BO65" s="442">
        <f t="shared" si="89"/>
        <v>826675</v>
      </c>
      <c r="BP65" s="442">
        <f t="shared" si="89"/>
        <v>10000</v>
      </c>
      <c r="BQ65" s="442">
        <f t="shared" si="89"/>
        <v>0</v>
      </c>
      <c r="BR65" s="442">
        <f t="shared" si="89"/>
        <v>10000</v>
      </c>
      <c r="BS65" s="442">
        <f t="shared" si="89"/>
        <v>1349867</v>
      </c>
      <c r="BT65" s="442">
        <f t="shared" si="89"/>
        <v>39836</v>
      </c>
      <c r="BU65" s="442">
        <f t="shared" si="89"/>
        <v>23994</v>
      </c>
      <c r="BV65" s="443">
        <f t="shared" si="89"/>
        <v>8.3681000000000001</v>
      </c>
      <c r="BW65" s="443">
        <f t="shared" si="89"/>
        <v>5.75</v>
      </c>
      <c r="BX65" s="40">
        <f t="shared" si="89"/>
        <v>2.6181000000000001</v>
      </c>
      <c r="BY65" s="804">
        <f t="shared" si="89"/>
        <v>0</v>
      </c>
      <c r="BZ65" s="708">
        <f t="shared" si="89"/>
        <v>0</v>
      </c>
      <c r="CA65" s="708">
        <f t="shared" si="89"/>
        <v>0</v>
      </c>
      <c r="CB65" s="708">
        <f t="shared" si="89"/>
        <v>0</v>
      </c>
      <c r="CC65" s="708">
        <f t="shared" si="89"/>
        <v>0</v>
      </c>
      <c r="CD65" s="805">
        <f t="shared" si="89"/>
        <v>0</v>
      </c>
      <c r="CE65" s="916">
        <f t="shared" si="89"/>
        <v>155988</v>
      </c>
      <c r="CF65" s="917">
        <f t="shared" si="89"/>
        <v>111081</v>
      </c>
      <c r="CG65" s="917">
        <f t="shared" si="89"/>
        <v>37545</v>
      </c>
      <c r="CH65" s="917">
        <f t="shared" ref="CH65:CJ65" si="90">SUM(CH62:CH64)</f>
        <v>1111</v>
      </c>
      <c r="CI65" s="917">
        <f t="shared" si="90"/>
        <v>6251</v>
      </c>
      <c r="CJ65" s="918">
        <f t="shared" si="90"/>
        <v>0.378</v>
      </c>
    </row>
    <row r="66" spans="1:88">
      <c r="A66" s="205">
        <v>12</v>
      </c>
      <c r="B66" s="206">
        <v>3431</v>
      </c>
      <c r="C66" s="206">
        <v>600078370</v>
      </c>
      <c r="D66" s="206">
        <v>72744162</v>
      </c>
      <c r="E66" s="204" t="s">
        <v>107</v>
      </c>
      <c r="F66" s="206">
        <v>3117</v>
      </c>
      <c r="G66" s="207" t="s">
        <v>293</v>
      </c>
      <c r="H66" s="607" t="s">
        <v>271</v>
      </c>
      <c r="I66" s="419">
        <v>4450175</v>
      </c>
      <c r="J66" s="414">
        <v>3067812</v>
      </c>
      <c r="K66" s="414">
        <v>2741014</v>
      </c>
      <c r="L66" s="414">
        <v>326798</v>
      </c>
      <c r="M66" s="414">
        <v>165800</v>
      </c>
      <c r="N66" s="414">
        <v>112800</v>
      </c>
      <c r="O66" s="414">
        <v>53000</v>
      </c>
      <c r="P66" s="68">
        <v>1092960</v>
      </c>
      <c r="Q66" s="68">
        <v>30678</v>
      </c>
      <c r="R66" s="414">
        <v>92925</v>
      </c>
      <c r="S66" s="415">
        <v>5.0253999999999994</v>
      </c>
      <c r="T66" s="416">
        <v>4.1844999999999999</v>
      </c>
      <c r="U66" s="422">
        <v>0.84089999999999998</v>
      </c>
      <c r="V66" s="423">
        <f t="shared" si="4"/>
        <v>0</v>
      </c>
      <c r="W66" s="417">
        <f t="shared" si="5"/>
        <v>-19000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6"/>
        <v>0</v>
      </c>
      <c r="AF66" s="417">
        <f t="shared" si="7"/>
        <v>-19000</v>
      </c>
      <c r="AG66" s="417">
        <f t="shared" si="8"/>
        <v>-19000</v>
      </c>
      <c r="AH66" s="417">
        <v>0</v>
      </c>
      <c r="AI66" s="417">
        <v>19000</v>
      </c>
      <c r="AJ66" s="417">
        <v>0</v>
      </c>
      <c r="AK66" s="417">
        <v>0</v>
      </c>
      <c r="AL66" s="417">
        <v>0</v>
      </c>
      <c r="AM66" s="417">
        <f t="shared" si="9"/>
        <v>0</v>
      </c>
      <c r="AN66" s="417">
        <f t="shared" si="10"/>
        <v>19000</v>
      </c>
      <c r="AO66" s="417">
        <f t="shared" si="11"/>
        <v>19000</v>
      </c>
      <c r="AP66" s="417">
        <f t="shared" si="12"/>
        <v>0</v>
      </c>
      <c r="AQ66" s="417">
        <f t="shared" si="13"/>
        <v>0</v>
      </c>
      <c r="AR66" s="417">
        <f t="shared" si="14"/>
        <v>0</v>
      </c>
      <c r="AS66" s="68">
        <f t="shared" si="15"/>
        <v>0</v>
      </c>
      <c r="AT66" s="68">
        <f t="shared" si="16"/>
        <v>-190</v>
      </c>
      <c r="AU66" s="417">
        <v>0</v>
      </c>
      <c r="AV66" s="417">
        <v>0</v>
      </c>
      <c r="AW66" s="417">
        <v>0</v>
      </c>
      <c r="AX66" s="417">
        <f t="shared" si="17"/>
        <v>0</v>
      </c>
      <c r="AY66" s="417">
        <f t="shared" si="18"/>
        <v>-190</v>
      </c>
      <c r="AZ66" s="418">
        <v>0</v>
      </c>
      <c r="BA66" s="418">
        <v>-7.0000000000000007E-2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9"/>
        <v>0</v>
      </c>
      <c r="BJ66" s="418">
        <f t="shared" si="20"/>
        <v>-7.0000000000000007E-2</v>
      </c>
      <c r="BK66" s="420">
        <f t="shared" si="21"/>
        <v>-7.0000000000000007E-2</v>
      </c>
      <c r="BL66" s="772">
        <f>I66+AY66</f>
        <v>4449985</v>
      </c>
      <c r="BM66" s="417">
        <f>J66+AG66</f>
        <v>3048812</v>
      </c>
      <c r="BN66" s="417">
        <f t="shared" ref="BN66:BO70" si="91">K66+AE66</f>
        <v>2741014</v>
      </c>
      <c r="BO66" s="417">
        <f t="shared" si="91"/>
        <v>307798</v>
      </c>
      <c r="BP66" s="417">
        <f>M66+AO66</f>
        <v>184800</v>
      </c>
      <c r="BQ66" s="417">
        <f t="shared" ref="BQ66:BR70" si="92">N66+AM66</f>
        <v>112800</v>
      </c>
      <c r="BR66" s="417">
        <f t="shared" si="92"/>
        <v>72000</v>
      </c>
      <c r="BS66" s="417">
        <f t="shared" ref="BS66:BT70" si="93">P66+AS66</f>
        <v>1092960</v>
      </c>
      <c r="BT66" s="417">
        <f t="shared" si="93"/>
        <v>30488</v>
      </c>
      <c r="BU66" s="417">
        <f>R66+AX66</f>
        <v>92925</v>
      </c>
      <c r="BV66" s="418">
        <f>S66+BK66</f>
        <v>4.9553999999999991</v>
      </c>
      <c r="BW66" s="418">
        <f t="shared" ref="BW66:BX70" si="94">T66+BI66</f>
        <v>4.1844999999999999</v>
      </c>
      <c r="BX66" s="420">
        <f t="shared" si="94"/>
        <v>0.77089999999999992</v>
      </c>
      <c r="BY66" s="419">
        <v>150926</v>
      </c>
      <c r="BZ66" s="414">
        <v>0</v>
      </c>
      <c r="CA66" s="414">
        <v>112800</v>
      </c>
      <c r="CB66" s="414">
        <v>38126</v>
      </c>
      <c r="CC66" s="414">
        <v>0</v>
      </c>
      <c r="CD66" s="509">
        <v>0</v>
      </c>
      <c r="CE66" s="419">
        <v>180543</v>
      </c>
      <c r="CF66" s="414">
        <v>121876</v>
      </c>
      <c r="CG66" s="414">
        <v>41194</v>
      </c>
      <c r="CH66" s="414">
        <v>1219</v>
      </c>
      <c r="CI66" s="414">
        <v>16254</v>
      </c>
      <c r="CJ66" s="509">
        <v>0.33079999999999998</v>
      </c>
    </row>
    <row r="67" spans="1:88">
      <c r="A67" s="205">
        <v>12</v>
      </c>
      <c r="B67" s="206">
        <v>3431</v>
      </c>
      <c r="C67" s="206">
        <v>600078370</v>
      </c>
      <c r="D67" s="206">
        <v>72744162</v>
      </c>
      <c r="E67" s="204" t="s">
        <v>107</v>
      </c>
      <c r="F67" s="206">
        <v>3117</v>
      </c>
      <c r="G67" s="207" t="s">
        <v>291</v>
      </c>
      <c r="H67" s="607" t="s">
        <v>272</v>
      </c>
      <c r="I67" s="419">
        <v>1374560</v>
      </c>
      <c r="J67" s="414">
        <v>1019703</v>
      </c>
      <c r="K67" s="414">
        <v>1019703</v>
      </c>
      <c r="L67" s="414">
        <v>0</v>
      </c>
      <c r="M67" s="414">
        <v>0</v>
      </c>
      <c r="N67" s="414">
        <v>0</v>
      </c>
      <c r="O67" s="414">
        <v>0</v>
      </c>
      <c r="P67" s="68">
        <v>344660</v>
      </c>
      <c r="Q67" s="68">
        <v>10197</v>
      </c>
      <c r="R67" s="414">
        <v>0</v>
      </c>
      <c r="S67" s="415">
        <v>2.75</v>
      </c>
      <c r="T67" s="416">
        <v>2.75</v>
      </c>
      <c r="U67" s="422">
        <v>0</v>
      </c>
      <c r="V67" s="423">
        <f t="shared" si="4"/>
        <v>0</v>
      </c>
      <c r="W67" s="417">
        <f t="shared" si="5"/>
        <v>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6"/>
        <v>0</v>
      </c>
      <c r="AF67" s="417">
        <f t="shared" si="7"/>
        <v>0</v>
      </c>
      <c r="AG67" s="417">
        <f t="shared" si="8"/>
        <v>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9"/>
        <v>0</v>
      </c>
      <c r="AN67" s="417">
        <f t="shared" si="10"/>
        <v>0</v>
      </c>
      <c r="AO67" s="417">
        <f t="shared" si="11"/>
        <v>0</v>
      </c>
      <c r="AP67" s="417">
        <f t="shared" si="12"/>
        <v>0</v>
      </c>
      <c r="AQ67" s="417">
        <f t="shared" si="13"/>
        <v>0</v>
      </c>
      <c r="AR67" s="417">
        <f t="shared" si="14"/>
        <v>0</v>
      </c>
      <c r="AS67" s="68">
        <f t="shared" si="15"/>
        <v>0</v>
      </c>
      <c r="AT67" s="68">
        <f t="shared" si="16"/>
        <v>0</v>
      </c>
      <c r="AU67" s="417">
        <v>2500</v>
      </c>
      <c r="AV67" s="417">
        <v>0</v>
      </c>
      <c r="AW67" s="417">
        <v>0</v>
      </c>
      <c r="AX67" s="417">
        <f t="shared" si="17"/>
        <v>2500</v>
      </c>
      <c r="AY67" s="417">
        <f t="shared" si="18"/>
        <v>2500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9"/>
        <v>0</v>
      </c>
      <c r="BJ67" s="418">
        <f t="shared" si="20"/>
        <v>0</v>
      </c>
      <c r="BK67" s="420">
        <f t="shared" si="21"/>
        <v>0</v>
      </c>
      <c r="BL67" s="772">
        <f>I67+AY67</f>
        <v>1377060</v>
      </c>
      <c r="BM67" s="417">
        <f>J67+AG67</f>
        <v>1019703</v>
      </c>
      <c r="BN67" s="417">
        <f t="shared" si="91"/>
        <v>1019703</v>
      </c>
      <c r="BO67" s="417">
        <f t="shared" si="91"/>
        <v>0</v>
      </c>
      <c r="BP67" s="417">
        <f>M67+AO67</f>
        <v>0</v>
      </c>
      <c r="BQ67" s="417">
        <f t="shared" si="92"/>
        <v>0</v>
      </c>
      <c r="BR67" s="417">
        <f t="shared" si="92"/>
        <v>0</v>
      </c>
      <c r="BS67" s="417">
        <f t="shared" si="93"/>
        <v>344660</v>
      </c>
      <c r="BT67" s="417">
        <f t="shared" si="93"/>
        <v>10197</v>
      </c>
      <c r="BU67" s="417">
        <f>R67+AX67</f>
        <v>2500</v>
      </c>
      <c r="BV67" s="418">
        <f>S67+BK67</f>
        <v>2.75</v>
      </c>
      <c r="BW67" s="418">
        <f t="shared" si="94"/>
        <v>2.75</v>
      </c>
      <c r="BX67" s="420">
        <f t="shared" si="94"/>
        <v>0</v>
      </c>
      <c r="BY67" s="419"/>
      <c r="BZ67" s="414"/>
      <c r="CA67" s="414"/>
      <c r="CB67" s="414"/>
      <c r="CC67" s="414"/>
      <c r="CD67" s="509"/>
      <c r="CE67" s="419"/>
      <c r="CF67" s="414"/>
      <c r="CG67" s="414"/>
      <c r="CH67" s="414"/>
      <c r="CI67" s="414"/>
      <c r="CJ67" s="509"/>
    </row>
    <row r="68" spans="1:88">
      <c r="A68" s="205">
        <v>12</v>
      </c>
      <c r="B68" s="206">
        <v>3431</v>
      </c>
      <c r="C68" s="206">
        <v>600078370</v>
      </c>
      <c r="D68" s="206">
        <v>72744162</v>
      </c>
      <c r="E68" s="204" t="s">
        <v>107</v>
      </c>
      <c r="F68" s="206">
        <v>3141</v>
      </c>
      <c r="G68" s="207" t="s">
        <v>294</v>
      </c>
      <c r="H68" s="607" t="s">
        <v>272</v>
      </c>
      <c r="I68" s="419">
        <v>477555</v>
      </c>
      <c r="J68" s="414">
        <v>352611</v>
      </c>
      <c r="K68" s="414">
        <v>0</v>
      </c>
      <c r="L68" s="414">
        <v>352611</v>
      </c>
      <c r="M68" s="414">
        <v>0</v>
      </c>
      <c r="N68" s="414">
        <v>0</v>
      </c>
      <c r="O68" s="414">
        <v>0</v>
      </c>
      <c r="P68" s="68">
        <v>119182</v>
      </c>
      <c r="Q68" s="68">
        <v>3526</v>
      </c>
      <c r="R68" s="414">
        <v>2236</v>
      </c>
      <c r="S68" s="415">
        <v>1.06</v>
      </c>
      <c r="T68" s="416">
        <v>0</v>
      </c>
      <c r="U68" s="422">
        <v>1.06</v>
      </c>
      <c r="V68" s="423">
        <f t="shared" si="4"/>
        <v>0</v>
      </c>
      <c r="W68" s="417">
        <f t="shared" si="5"/>
        <v>0</v>
      </c>
      <c r="X68" s="417">
        <v>0</v>
      </c>
      <c r="Y68" s="417">
        <v>0</v>
      </c>
      <c r="Z68" s="417">
        <v>0</v>
      </c>
      <c r="AA68" s="417">
        <v>9646</v>
      </c>
      <c r="AB68" s="417">
        <v>0</v>
      </c>
      <c r="AC68" s="417">
        <v>0</v>
      </c>
      <c r="AD68" s="417">
        <v>0</v>
      </c>
      <c r="AE68" s="417">
        <f t="shared" si="6"/>
        <v>0</v>
      </c>
      <c r="AF68" s="417">
        <f t="shared" si="7"/>
        <v>9646</v>
      </c>
      <c r="AG68" s="417">
        <f t="shared" si="8"/>
        <v>9646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9"/>
        <v>0</v>
      </c>
      <c r="AN68" s="417">
        <f t="shared" si="10"/>
        <v>0</v>
      </c>
      <c r="AO68" s="417">
        <f t="shared" si="11"/>
        <v>0</v>
      </c>
      <c r="AP68" s="417">
        <f t="shared" si="12"/>
        <v>0</v>
      </c>
      <c r="AQ68" s="417">
        <f t="shared" si="13"/>
        <v>9646</v>
      </c>
      <c r="AR68" s="417">
        <f t="shared" si="14"/>
        <v>9646</v>
      </c>
      <c r="AS68" s="68">
        <f t="shared" si="15"/>
        <v>3260</v>
      </c>
      <c r="AT68" s="68">
        <f t="shared" si="16"/>
        <v>96</v>
      </c>
      <c r="AU68" s="417">
        <v>0</v>
      </c>
      <c r="AV68" s="417">
        <v>0</v>
      </c>
      <c r="AW68" s="417">
        <v>0</v>
      </c>
      <c r="AX68" s="417">
        <f t="shared" si="17"/>
        <v>0</v>
      </c>
      <c r="AY68" s="417">
        <f t="shared" si="18"/>
        <v>13002</v>
      </c>
      <c r="AZ68" s="418">
        <v>0</v>
      </c>
      <c r="BA68" s="418">
        <v>0</v>
      </c>
      <c r="BB68" s="418">
        <v>0</v>
      </c>
      <c r="BC68" s="418">
        <v>0</v>
      </c>
      <c r="BD68" s="418">
        <v>0.03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9"/>
        <v>0</v>
      </c>
      <c r="BJ68" s="418">
        <f t="shared" si="20"/>
        <v>0.03</v>
      </c>
      <c r="BK68" s="420">
        <f t="shared" si="21"/>
        <v>0.03</v>
      </c>
      <c r="BL68" s="772">
        <f>I68+AY68</f>
        <v>490557</v>
      </c>
      <c r="BM68" s="417">
        <f>J68+AG68</f>
        <v>362257</v>
      </c>
      <c r="BN68" s="417">
        <f t="shared" si="91"/>
        <v>0</v>
      </c>
      <c r="BO68" s="417">
        <f t="shared" si="91"/>
        <v>362257</v>
      </c>
      <c r="BP68" s="417">
        <f>M68+AO68</f>
        <v>0</v>
      </c>
      <c r="BQ68" s="417">
        <f t="shared" si="92"/>
        <v>0</v>
      </c>
      <c r="BR68" s="417">
        <f t="shared" si="92"/>
        <v>0</v>
      </c>
      <c r="BS68" s="417">
        <f t="shared" si="93"/>
        <v>122442</v>
      </c>
      <c r="BT68" s="417">
        <f t="shared" si="93"/>
        <v>3622</v>
      </c>
      <c r="BU68" s="417">
        <f>R68+AX68</f>
        <v>2236</v>
      </c>
      <c r="BV68" s="418">
        <f>S68+BK68</f>
        <v>1.0900000000000001</v>
      </c>
      <c r="BW68" s="418">
        <f t="shared" si="94"/>
        <v>0</v>
      </c>
      <c r="BX68" s="420">
        <f t="shared" si="94"/>
        <v>1.0900000000000001</v>
      </c>
      <c r="BY68" s="419"/>
      <c r="BZ68" s="414"/>
      <c r="CA68" s="414"/>
      <c r="CB68" s="414"/>
      <c r="CC68" s="414"/>
      <c r="CD68" s="509"/>
      <c r="CE68" s="419"/>
      <c r="CF68" s="601"/>
      <c r="CG68" s="414"/>
      <c r="CH68" s="414"/>
      <c r="CI68" s="601"/>
      <c r="CJ68" s="603"/>
    </row>
    <row r="69" spans="1:88">
      <c r="A69" s="205">
        <v>12</v>
      </c>
      <c r="B69" s="206">
        <v>3431</v>
      </c>
      <c r="C69" s="206">
        <v>600078370</v>
      </c>
      <c r="D69" s="206">
        <v>72744162</v>
      </c>
      <c r="E69" s="204" t="s">
        <v>107</v>
      </c>
      <c r="F69" s="206">
        <v>3143</v>
      </c>
      <c r="G69" s="207" t="s">
        <v>595</v>
      </c>
      <c r="H69" s="609" t="s">
        <v>271</v>
      </c>
      <c r="I69" s="419">
        <v>698534</v>
      </c>
      <c r="J69" s="414">
        <v>518200</v>
      </c>
      <c r="K69" s="414">
        <v>518200</v>
      </c>
      <c r="L69" s="414">
        <v>0</v>
      </c>
      <c r="M69" s="414">
        <v>0</v>
      </c>
      <c r="N69" s="414">
        <v>0</v>
      </c>
      <c r="O69" s="414">
        <v>0</v>
      </c>
      <c r="P69" s="68">
        <v>175152</v>
      </c>
      <c r="Q69" s="68">
        <v>5182</v>
      </c>
      <c r="R69" s="414">
        <v>0</v>
      </c>
      <c r="S69" s="415">
        <v>1</v>
      </c>
      <c r="T69" s="416">
        <v>1</v>
      </c>
      <c r="U69" s="422">
        <v>0</v>
      </c>
      <c r="V69" s="423">
        <f t="shared" si="4"/>
        <v>0</v>
      </c>
      <c r="W69" s="417">
        <f t="shared" si="5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6"/>
        <v>0</v>
      </c>
      <c r="AF69" s="417">
        <f t="shared" si="7"/>
        <v>0</v>
      </c>
      <c r="AG69" s="417">
        <f t="shared" si="8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9"/>
        <v>0</v>
      </c>
      <c r="AN69" s="417">
        <f t="shared" si="10"/>
        <v>0</v>
      </c>
      <c r="AO69" s="417">
        <f t="shared" si="11"/>
        <v>0</v>
      </c>
      <c r="AP69" s="417">
        <f t="shared" si="12"/>
        <v>0</v>
      </c>
      <c r="AQ69" s="417">
        <f t="shared" si="13"/>
        <v>0</v>
      </c>
      <c r="AR69" s="417">
        <f t="shared" si="14"/>
        <v>0</v>
      </c>
      <c r="AS69" s="68">
        <f t="shared" si="15"/>
        <v>0</v>
      </c>
      <c r="AT69" s="68">
        <f t="shared" si="16"/>
        <v>0</v>
      </c>
      <c r="AU69" s="417">
        <v>0</v>
      </c>
      <c r="AV69" s="417">
        <v>0</v>
      </c>
      <c r="AW69" s="417">
        <v>0</v>
      </c>
      <c r="AX69" s="417">
        <f t="shared" si="17"/>
        <v>0</v>
      </c>
      <c r="AY69" s="417">
        <f t="shared" si="18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9"/>
        <v>0</v>
      </c>
      <c r="BJ69" s="418">
        <f t="shared" si="20"/>
        <v>0</v>
      </c>
      <c r="BK69" s="420">
        <f t="shared" si="21"/>
        <v>0</v>
      </c>
      <c r="BL69" s="772">
        <f>I69+AY69</f>
        <v>698534</v>
      </c>
      <c r="BM69" s="417">
        <f>J69+AG69</f>
        <v>518200</v>
      </c>
      <c r="BN69" s="417">
        <f t="shared" si="91"/>
        <v>518200</v>
      </c>
      <c r="BO69" s="417">
        <f t="shared" si="91"/>
        <v>0</v>
      </c>
      <c r="BP69" s="417">
        <f>M69+AO69</f>
        <v>0</v>
      </c>
      <c r="BQ69" s="417">
        <f t="shared" si="92"/>
        <v>0</v>
      </c>
      <c r="BR69" s="417">
        <f t="shared" si="92"/>
        <v>0</v>
      </c>
      <c r="BS69" s="417">
        <f t="shared" si="93"/>
        <v>175152</v>
      </c>
      <c r="BT69" s="417">
        <f t="shared" si="93"/>
        <v>5182</v>
      </c>
      <c r="BU69" s="417">
        <f>R69+AX69</f>
        <v>0</v>
      </c>
      <c r="BV69" s="418">
        <f>S69+BK69</f>
        <v>1</v>
      </c>
      <c r="BW69" s="418">
        <f t="shared" si="94"/>
        <v>1</v>
      </c>
      <c r="BX69" s="420">
        <f t="shared" si="94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>
      <c r="A70" s="205">
        <v>12</v>
      </c>
      <c r="B70" s="206">
        <v>3431</v>
      </c>
      <c r="C70" s="206">
        <v>600078370</v>
      </c>
      <c r="D70" s="206">
        <v>72744162</v>
      </c>
      <c r="E70" s="204" t="s">
        <v>107</v>
      </c>
      <c r="F70" s="206">
        <v>3143</v>
      </c>
      <c r="G70" s="207" t="s">
        <v>596</v>
      </c>
      <c r="H70" s="609" t="s">
        <v>272</v>
      </c>
      <c r="I70" s="419">
        <v>22283</v>
      </c>
      <c r="J70" s="414">
        <v>15950</v>
      </c>
      <c r="K70" s="414">
        <v>0</v>
      </c>
      <c r="L70" s="414">
        <v>15950</v>
      </c>
      <c r="M70" s="414">
        <v>0</v>
      </c>
      <c r="N70" s="414">
        <v>0</v>
      </c>
      <c r="O70" s="414">
        <v>0</v>
      </c>
      <c r="P70" s="68">
        <v>5391</v>
      </c>
      <c r="Q70" s="68">
        <v>159</v>
      </c>
      <c r="R70" s="414">
        <v>783</v>
      </c>
      <c r="S70" s="415">
        <v>0.06</v>
      </c>
      <c r="T70" s="416">
        <v>0</v>
      </c>
      <c r="U70" s="422">
        <v>0.06</v>
      </c>
      <c r="V70" s="423">
        <f t="shared" si="4"/>
        <v>0</v>
      </c>
      <c r="W70" s="417">
        <f t="shared" si="5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6"/>
        <v>0</v>
      </c>
      <c r="AF70" s="417">
        <f t="shared" si="7"/>
        <v>0</v>
      </c>
      <c r="AG70" s="417">
        <f t="shared" si="8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9"/>
        <v>0</v>
      </c>
      <c r="AN70" s="417">
        <f t="shared" si="10"/>
        <v>0</v>
      </c>
      <c r="AO70" s="417">
        <f t="shared" si="11"/>
        <v>0</v>
      </c>
      <c r="AP70" s="417">
        <f t="shared" si="12"/>
        <v>0</v>
      </c>
      <c r="AQ70" s="417">
        <f t="shared" si="13"/>
        <v>0</v>
      </c>
      <c r="AR70" s="417">
        <f t="shared" si="14"/>
        <v>0</v>
      </c>
      <c r="AS70" s="68">
        <f t="shared" si="15"/>
        <v>0</v>
      </c>
      <c r="AT70" s="68">
        <f t="shared" si="16"/>
        <v>0</v>
      </c>
      <c r="AU70" s="417">
        <v>0</v>
      </c>
      <c r="AV70" s="417">
        <v>0</v>
      </c>
      <c r="AW70" s="417">
        <v>0</v>
      </c>
      <c r="AX70" s="417">
        <f t="shared" si="17"/>
        <v>0</v>
      </c>
      <c r="AY70" s="417">
        <f t="shared" si="18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9"/>
        <v>0</v>
      </c>
      <c r="BJ70" s="418">
        <f t="shared" si="20"/>
        <v>0</v>
      </c>
      <c r="BK70" s="420">
        <f t="shared" si="21"/>
        <v>0</v>
      </c>
      <c r="BL70" s="772">
        <f>I70+AY70</f>
        <v>22283</v>
      </c>
      <c r="BM70" s="417">
        <f>J70+AG70</f>
        <v>15950</v>
      </c>
      <c r="BN70" s="417">
        <f t="shared" si="91"/>
        <v>0</v>
      </c>
      <c r="BO70" s="417">
        <f t="shared" si="91"/>
        <v>15950</v>
      </c>
      <c r="BP70" s="417">
        <f>M70+AO70</f>
        <v>0</v>
      </c>
      <c r="BQ70" s="417">
        <f t="shared" si="92"/>
        <v>0</v>
      </c>
      <c r="BR70" s="417">
        <f t="shared" si="92"/>
        <v>0</v>
      </c>
      <c r="BS70" s="417">
        <f t="shared" si="93"/>
        <v>5391</v>
      </c>
      <c r="BT70" s="417">
        <f t="shared" si="93"/>
        <v>159</v>
      </c>
      <c r="BU70" s="417">
        <f>R70+AX70</f>
        <v>783</v>
      </c>
      <c r="BV70" s="418">
        <f>S70+BK70</f>
        <v>0.06</v>
      </c>
      <c r="BW70" s="418">
        <f t="shared" si="94"/>
        <v>0</v>
      </c>
      <c r="BX70" s="420">
        <f t="shared" si="94"/>
        <v>0.06</v>
      </c>
      <c r="BY70" s="419"/>
      <c r="BZ70" s="414"/>
      <c r="CA70" s="414"/>
      <c r="CB70" s="414"/>
      <c r="CC70" s="414"/>
      <c r="CD70" s="509"/>
      <c r="CE70" s="419"/>
      <c r="CF70" s="601"/>
      <c r="CG70" s="414"/>
      <c r="CH70" s="414"/>
      <c r="CI70" s="602"/>
      <c r="CJ70" s="603"/>
    </row>
    <row r="71" spans="1:88">
      <c r="A71" s="155">
        <v>12</v>
      </c>
      <c r="B71" s="18">
        <v>3431</v>
      </c>
      <c r="C71" s="18">
        <v>600078370</v>
      </c>
      <c r="D71" s="18">
        <v>72744162</v>
      </c>
      <c r="E71" s="164" t="s">
        <v>108</v>
      </c>
      <c r="F71" s="18"/>
      <c r="G71" s="154"/>
      <c r="H71" s="608"/>
      <c r="I71" s="446">
        <v>7023107</v>
      </c>
      <c r="J71" s="442">
        <v>4974276</v>
      </c>
      <c r="K71" s="442">
        <v>4278917</v>
      </c>
      <c r="L71" s="442">
        <v>695359</v>
      </c>
      <c r="M71" s="442">
        <v>165800</v>
      </c>
      <c r="N71" s="442">
        <v>112800</v>
      </c>
      <c r="O71" s="442">
        <v>53000</v>
      </c>
      <c r="P71" s="442">
        <v>1737345</v>
      </c>
      <c r="Q71" s="442">
        <v>49742</v>
      </c>
      <c r="R71" s="442">
        <v>95944</v>
      </c>
      <c r="S71" s="443">
        <v>9.8954000000000004</v>
      </c>
      <c r="T71" s="443">
        <v>7.9344999999999999</v>
      </c>
      <c r="U71" s="448">
        <v>1.9609000000000001</v>
      </c>
      <c r="V71" s="446">
        <f t="shared" ref="V71:CG71" si="95">SUM(V66:V70)</f>
        <v>0</v>
      </c>
      <c r="W71" s="442">
        <f t="shared" si="95"/>
        <v>-19000</v>
      </c>
      <c r="X71" s="442">
        <f t="shared" si="95"/>
        <v>0</v>
      </c>
      <c r="Y71" s="442">
        <f t="shared" si="95"/>
        <v>0</v>
      </c>
      <c r="Z71" s="442">
        <f t="shared" si="95"/>
        <v>0</v>
      </c>
      <c r="AA71" s="442">
        <f t="shared" si="95"/>
        <v>9646</v>
      </c>
      <c r="AB71" s="442">
        <f t="shared" si="95"/>
        <v>0</v>
      </c>
      <c r="AC71" s="442">
        <f t="shared" si="95"/>
        <v>0</v>
      </c>
      <c r="AD71" s="442">
        <f t="shared" si="95"/>
        <v>0</v>
      </c>
      <c r="AE71" s="442">
        <f t="shared" si="95"/>
        <v>0</v>
      </c>
      <c r="AF71" s="442">
        <f t="shared" si="95"/>
        <v>-9354</v>
      </c>
      <c r="AG71" s="442">
        <f t="shared" si="95"/>
        <v>-9354</v>
      </c>
      <c r="AH71" s="442">
        <f t="shared" si="95"/>
        <v>0</v>
      </c>
      <c r="AI71" s="442">
        <f t="shared" si="95"/>
        <v>19000</v>
      </c>
      <c r="AJ71" s="442">
        <f t="shared" si="95"/>
        <v>0</v>
      </c>
      <c r="AK71" s="442">
        <f t="shared" si="95"/>
        <v>0</v>
      </c>
      <c r="AL71" s="442">
        <f t="shared" si="95"/>
        <v>0</v>
      </c>
      <c r="AM71" s="442">
        <f t="shared" si="95"/>
        <v>0</v>
      </c>
      <c r="AN71" s="442">
        <f t="shared" si="95"/>
        <v>19000</v>
      </c>
      <c r="AO71" s="442">
        <f t="shared" si="95"/>
        <v>19000</v>
      </c>
      <c r="AP71" s="442">
        <f t="shared" si="95"/>
        <v>0</v>
      </c>
      <c r="AQ71" s="442">
        <f t="shared" si="95"/>
        <v>9646</v>
      </c>
      <c r="AR71" s="442">
        <f t="shared" si="95"/>
        <v>9646</v>
      </c>
      <c r="AS71" s="442">
        <f t="shared" si="95"/>
        <v>3260</v>
      </c>
      <c r="AT71" s="442">
        <f t="shared" si="95"/>
        <v>-94</v>
      </c>
      <c r="AU71" s="442">
        <f t="shared" si="95"/>
        <v>2500</v>
      </c>
      <c r="AV71" s="442">
        <f t="shared" si="95"/>
        <v>0</v>
      </c>
      <c r="AW71" s="442">
        <f t="shared" si="95"/>
        <v>0</v>
      </c>
      <c r="AX71" s="442">
        <f t="shared" si="95"/>
        <v>2500</v>
      </c>
      <c r="AY71" s="442">
        <f t="shared" si="95"/>
        <v>15312</v>
      </c>
      <c r="AZ71" s="443">
        <f t="shared" si="95"/>
        <v>0</v>
      </c>
      <c r="BA71" s="443">
        <f t="shared" si="95"/>
        <v>-7.0000000000000007E-2</v>
      </c>
      <c r="BB71" s="443">
        <f t="shared" si="95"/>
        <v>0</v>
      </c>
      <c r="BC71" s="443">
        <f t="shared" si="95"/>
        <v>0</v>
      </c>
      <c r="BD71" s="443">
        <f t="shared" si="95"/>
        <v>0.03</v>
      </c>
      <c r="BE71" s="443">
        <f t="shared" si="95"/>
        <v>0</v>
      </c>
      <c r="BF71" s="443">
        <f t="shared" si="95"/>
        <v>0</v>
      </c>
      <c r="BG71" s="443">
        <f t="shared" si="95"/>
        <v>0</v>
      </c>
      <c r="BH71" s="443">
        <f t="shared" si="95"/>
        <v>0</v>
      </c>
      <c r="BI71" s="443">
        <f t="shared" si="95"/>
        <v>0</v>
      </c>
      <c r="BJ71" s="443">
        <f t="shared" si="95"/>
        <v>-4.0000000000000008E-2</v>
      </c>
      <c r="BK71" s="40">
        <f t="shared" si="95"/>
        <v>-4.0000000000000008E-2</v>
      </c>
      <c r="BL71" s="450">
        <f t="shared" si="95"/>
        <v>7038419</v>
      </c>
      <c r="BM71" s="442">
        <f t="shared" si="95"/>
        <v>4964922</v>
      </c>
      <c r="BN71" s="442">
        <f t="shared" si="95"/>
        <v>4278917</v>
      </c>
      <c r="BO71" s="442">
        <f t="shared" si="95"/>
        <v>686005</v>
      </c>
      <c r="BP71" s="442">
        <f t="shared" si="95"/>
        <v>184800</v>
      </c>
      <c r="BQ71" s="442">
        <f t="shared" si="95"/>
        <v>112800</v>
      </c>
      <c r="BR71" s="442">
        <f t="shared" si="95"/>
        <v>72000</v>
      </c>
      <c r="BS71" s="442">
        <f t="shared" si="95"/>
        <v>1740605</v>
      </c>
      <c r="BT71" s="442">
        <f t="shared" si="95"/>
        <v>49648</v>
      </c>
      <c r="BU71" s="442">
        <f t="shared" si="95"/>
        <v>98444</v>
      </c>
      <c r="BV71" s="443">
        <f t="shared" si="95"/>
        <v>9.8553999999999995</v>
      </c>
      <c r="BW71" s="443">
        <f t="shared" si="95"/>
        <v>7.9344999999999999</v>
      </c>
      <c r="BX71" s="40">
        <f t="shared" si="95"/>
        <v>1.9209000000000001</v>
      </c>
      <c r="BY71" s="804">
        <f t="shared" si="95"/>
        <v>150926</v>
      </c>
      <c r="BZ71" s="708">
        <f t="shared" si="95"/>
        <v>0</v>
      </c>
      <c r="CA71" s="708">
        <f t="shared" si="95"/>
        <v>112800</v>
      </c>
      <c r="CB71" s="708">
        <f t="shared" si="95"/>
        <v>38126</v>
      </c>
      <c r="CC71" s="708">
        <f t="shared" si="95"/>
        <v>0</v>
      </c>
      <c r="CD71" s="805">
        <f t="shared" si="95"/>
        <v>0</v>
      </c>
      <c r="CE71" s="916">
        <f t="shared" si="95"/>
        <v>180543</v>
      </c>
      <c r="CF71" s="917">
        <f t="shared" si="95"/>
        <v>121876</v>
      </c>
      <c r="CG71" s="917">
        <f t="shared" si="95"/>
        <v>41194</v>
      </c>
      <c r="CH71" s="917">
        <f t="shared" ref="CH71:CJ71" si="96">SUM(CH66:CH70)</f>
        <v>1219</v>
      </c>
      <c r="CI71" s="917">
        <f t="shared" si="96"/>
        <v>16254</v>
      </c>
      <c r="CJ71" s="918">
        <f t="shared" si="96"/>
        <v>0.33079999999999998</v>
      </c>
    </row>
    <row r="72" spans="1:88">
      <c r="A72" s="205">
        <v>13</v>
      </c>
      <c r="B72" s="206">
        <v>3437</v>
      </c>
      <c r="C72" s="206">
        <v>600078051</v>
      </c>
      <c r="D72" s="206">
        <v>70695377</v>
      </c>
      <c r="E72" s="204" t="s">
        <v>109</v>
      </c>
      <c r="F72" s="206">
        <v>3111</v>
      </c>
      <c r="G72" s="207" t="s">
        <v>290</v>
      </c>
      <c r="H72" s="607" t="s">
        <v>271</v>
      </c>
      <c r="I72" s="419">
        <v>10861403</v>
      </c>
      <c r="J72" s="414">
        <v>8001367</v>
      </c>
      <c r="K72" s="414">
        <v>6938776</v>
      </c>
      <c r="L72" s="414">
        <v>1062591</v>
      </c>
      <c r="M72" s="414">
        <v>20000</v>
      </c>
      <c r="N72" s="414">
        <v>20000</v>
      </c>
      <c r="O72" s="414">
        <v>0</v>
      </c>
      <c r="P72" s="68">
        <v>2711222</v>
      </c>
      <c r="Q72" s="68">
        <v>80014</v>
      </c>
      <c r="R72" s="414">
        <v>48800</v>
      </c>
      <c r="S72" s="415">
        <v>15.622400000000001</v>
      </c>
      <c r="T72" s="416">
        <v>12</v>
      </c>
      <c r="U72" s="422">
        <v>3.6223999999999998</v>
      </c>
      <c r="V72" s="423">
        <f t="shared" si="4"/>
        <v>0</v>
      </c>
      <c r="W72" s="417">
        <f t="shared" si="5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6"/>
        <v>0</v>
      </c>
      <c r="AF72" s="417">
        <f t="shared" si="7"/>
        <v>0</v>
      </c>
      <c r="AG72" s="417">
        <f t="shared" si="8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9"/>
        <v>0</v>
      </c>
      <c r="AN72" s="417">
        <f t="shared" si="10"/>
        <v>0</v>
      </c>
      <c r="AO72" s="417">
        <f t="shared" si="11"/>
        <v>0</v>
      </c>
      <c r="AP72" s="417">
        <f t="shared" si="12"/>
        <v>0</v>
      </c>
      <c r="AQ72" s="417">
        <f t="shared" si="13"/>
        <v>0</v>
      </c>
      <c r="AR72" s="417">
        <f t="shared" si="14"/>
        <v>0</v>
      </c>
      <c r="AS72" s="68">
        <f t="shared" si="15"/>
        <v>0</v>
      </c>
      <c r="AT72" s="68">
        <f t="shared" si="16"/>
        <v>0</v>
      </c>
      <c r="AU72" s="417">
        <v>0</v>
      </c>
      <c r="AV72" s="417">
        <v>0</v>
      </c>
      <c r="AW72" s="417">
        <v>0</v>
      </c>
      <c r="AX72" s="417">
        <f t="shared" si="17"/>
        <v>0</v>
      </c>
      <c r="AY72" s="417">
        <f t="shared" si="18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9"/>
        <v>0</v>
      </c>
      <c r="BJ72" s="418">
        <f t="shared" si="20"/>
        <v>0</v>
      </c>
      <c r="BK72" s="420">
        <f t="shared" si="21"/>
        <v>0</v>
      </c>
      <c r="BL72" s="772">
        <f>I72+AY72</f>
        <v>10861403</v>
      </c>
      <c r="BM72" s="417">
        <f>J72+AG72</f>
        <v>8001367</v>
      </c>
      <c r="BN72" s="417">
        <f t="shared" ref="BN72:BO74" si="97">K72+AE72</f>
        <v>6938776</v>
      </c>
      <c r="BO72" s="417">
        <f t="shared" si="97"/>
        <v>1062591</v>
      </c>
      <c r="BP72" s="417">
        <f>M72+AO72</f>
        <v>20000</v>
      </c>
      <c r="BQ72" s="417">
        <f t="shared" ref="BQ72:BR74" si="98">N72+AM72</f>
        <v>20000</v>
      </c>
      <c r="BR72" s="417">
        <f t="shared" si="98"/>
        <v>0</v>
      </c>
      <c r="BS72" s="417">
        <f t="shared" ref="BS72:BT74" si="99">P72+AS72</f>
        <v>2711222</v>
      </c>
      <c r="BT72" s="417">
        <f t="shared" si="99"/>
        <v>80014</v>
      </c>
      <c r="BU72" s="417">
        <f>R72+AX72</f>
        <v>48800</v>
      </c>
      <c r="BV72" s="418">
        <f>S72+BK72</f>
        <v>15.622400000000001</v>
      </c>
      <c r="BW72" s="418">
        <f t="shared" ref="BW72:BX74" si="100">T72+BI72</f>
        <v>12</v>
      </c>
      <c r="BX72" s="420">
        <f t="shared" si="100"/>
        <v>3.6223999999999998</v>
      </c>
      <c r="BY72" s="419"/>
      <c r="BZ72" s="414"/>
      <c r="CA72" s="414"/>
      <c r="CB72" s="414"/>
      <c r="CC72" s="414"/>
      <c r="CD72" s="509"/>
      <c r="CE72" s="419">
        <v>475871</v>
      </c>
      <c r="CF72" s="414">
        <v>340983</v>
      </c>
      <c r="CG72" s="414">
        <v>115252</v>
      </c>
      <c r="CH72" s="414">
        <v>3410</v>
      </c>
      <c r="CI72" s="414">
        <v>16226</v>
      </c>
      <c r="CJ72" s="509">
        <v>1.1623999999999999</v>
      </c>
    </row>
    <row r="73" spans="1:88">
      <c r="A73" s="205">
        <v>13</v>
      </c>
      <c r="B73" s="206">
        <v>3437</v>
      </c>
      <c r="C73" s="206">
        <v>600078051</v>
      </c>
      <c r="D73" s="206">
        <v>70695377</v>
      </c>
      <c r="E73" s="204" t="s">
        <v>109</v>
      </c>
      <c r="F73" s="206">
        <v>3111</v>
      </c>
      <c r="G73" s="207" t="s">
        <v>291</v>
      </c>
      <c r="H73" s="607" t="s">
        <v>272</v>
      </c>
      <c r="I73" s="419">
        <v>1026483</v>
      </c>
      <c r="J73" s="414">
        <v>760373</v>
      </c>
      <c r="K73" s="414">
        <v>760373</v>
      </c>
      <c r="L73" s="414">
        <v>0</v>
      </c>
      <c r="M73" s="414">
        <v>0</v>
      </c>
      <c r="N73" s="414">
        <v>0</v>
      </c>
      <c r="O73" s="414">
        <v>0</v>
      </c>
      <c r="P73" s="68">
        <v>257006</v>
      </c>
      <c r="Q73" s="68">
        <v>7604</v>
      </c>
      <c r="R73" s="414">
        <v>1500</v>
      </c>
      <c r="S73" s="415">
        <v>2.13</v>
      </c>
      <c r="T73" s="416">
        <v>2.13</v>
      </c>
      <c r="U73" s="422">
        <v>0</v>
      </c>
      <c r="V73" s="423">
        <f t="shared" si="4"/>
        <v>0</v>
      </c>
      <c r="W73" s="417">
        <f t="shared" si="5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6"/>
        <v>0</v>
      </c>
      <c r="AF73" s="417">
        <f t="shared" si="7"/>
        <v>0</v>
      </c>
      <c r="AG73" s="417">
        <f t="shared" si="8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9"/>
        <v>0</v>
      </c>
      <c r="AN73" s="417">
        <f t="shared" si="10"/>
        <v>0</v>
      </c>
      <c r="AO73" s="417">
        <f t="shared" si="11"/>
        <v>0</v>
      </c>
      <c r="AP73" s="417">
        <f t="shared" si="12"/>
        <v>0</v>
      </c>
      <c r="AQ73" s="417">
        <f t="shared" si="13"/>
        <v>0</v>
      </c>
      <c r="AR73" s="417">
        <f t="shared" si="14"/>
        <v>0</v>
      </c>
      <c r="AS73" s="68">
        <f t="shared" si="15"/>
        <v>0</v>
      </c>
      <c r="AT73" s="68">
        <f t="shared" si="16"/>
        <v>0</v>
      </c>
      <c r="AU73" s="417">
        <v>0</v>
      </c>
      <c r="AV73" s="417">
        <v>0</v>
      </c>
      <c r="AW73" s="417">
        <v>0</v>
      </c>
      <c r="AX73" s="417">
        <f t="shared" si="17"/>
        <v>0</v>
      </c>
      <c r="AY73" s="417">
        <f t="shared" si="18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9"/>
        <v>0</v>
      </c>
      <c r="BJ73" s="418">
        <f t="shared" si="20"/>
        <v>0</v>
      </c>
      <c r="BK73" s="420">
        <f t="shared" si="21"/>
        <v>0</v>
      </c>
      <c r="BL73" s="772">
        <f>I73+AY73</f>
        <v>1026483</v>
      </c>
      <c r="BM73" s="417">
        <f>J73+AG73</f>
        <v>760373</v>
      </c>
      <c r="BN73" s="417">
        <f t="shared" si="97"/>
        <v>760373</v>
      </c>
      <c r="BO73" s="417">
        <f t="shared" si="97"/>
        <v>0</v>
      </c>
      <c r="BP73" s="417">
        <f>M73+AO73</f>
        <v>0</v>
      </c>
      <c r="BQ73" s="417">
        <f t="shared" si="98"/>
        <v>0</v>
      </c>
      <c r="BR73" s="417">
        <f t="shared" si="98"/>
        <v>0</v>
      </c>
      <c r="BS73" s="417">
        <f t="shared" si="99"/>
        <v>257006</v>
      </c>
      <c r="BT73" s="417">
        <f t="shared" si="99"/>
        <v>7604</v>
      </c>
      <c r="BU73" s="417">
        <f>R73+AX73</f>
        <v>1500</v>
      </c>
      <c r="BV73" s="418">
        <f>S73+BK73</f>
        <v>2.13</v>
      </c>
      <c r="BW73" s="418">
        <f t="shared" si="100"/>
        <v>2.13</v>
      </c>
      <c r="BX73" s="420">
        <f t="shared" si="100"/>
        <v>0</v>
      </c>
      <c r="BY73" s="419"/>
      <c r="BZ73" s="414"/>
      <c r="CA73" s="414"/>
      <c r="CB73" s="414"/>
      <c r="CC73" s="414"/>
      <c r="CD73" s="509"/>
      <c r="CE73" s="419"/>
      <c r="CF73" s="414"/>
      <c r="CG73" s="414"/>
      <c r="CH73" s="414"/>
      <c r="CI73" s="414"/>
      <c r="CJ73" s="509"/>
    </row>
    <row r="74" spans="1:88">
      <c r="A74" s="205">
        <v>13</v>
      </c>
      <c r="B74" s="206">
        <v>3437</v>
      </c>
      <c r="C74" s="206">
        <v>600078051</v>
      </c>
      <c r="D74" s="206">
        <v>70695377</v>
      </c>
      <c r="E74" s="204" t="s">
        <v>109</v>
      </c>
      <c r="F74" s="206">
        <v>3141</v>
      </c>
      <c r="G74" s="207" t="s">
        <v>294</v>
      </c>
      <c r="H74" s="607" t="s">
        <v>272</v>
      </c>
      <c r="I74" s="419">
        <v>940078</v>
      </c>
      <c r="J74" s="414">
        <v>694379</v>
      </c>
      <c r="K74" s="414">
        <v>0</v>
      </c>
      <c r="L74" s="414">
        <v>694379</v>
      </c>
      <c r="M74" s="414">
        <v>0</v>
      </c>
      <c r="N74" s="414">
        <v>0</v>
      </c>
      <c r="O74" s="414">
        <v>0</v>
      </c>
      <c r="P74" s="68">
        <v>234700</v>
      </c>
      <c r="Q74" s="68">
        <v>6943</v>
      </c>
      <c r="R74" s="414">
        <v>4056</v>
      </c>
      <c r="S74" s="415">
        <v>2.08</v>
      </c>
      <c r="T74" s="416">
        <v>0</v>
      </c>
      <c r="U74" s="422">
        <v>2.08</v>
      </c>
      <c r="V74" s="423">
        <f t="shared" si="4"/>
        <v>0</v>
      </c>
      <c r="W74" s="417">
        <f t="shared" si="5"/>
        <v>0</v>
      </c>
      <c r="X74" s="417">
        <v>0</v>
      </c>
      <c r="Y74" s="417">
        <v>0</v>
      </c>
      <c r="Z74" s="417">
        <v>0</v>
      </c>
      <c r="AA74" s="417">
        <v>-12223</v>
      </c>
      <c r="AB74" s="417">
        <v>0</v>
      </c>
      <c r="AC74" s="417">
        <v>0</v>
      </c>
      <c r="AD74" s="417">
        <v>0</v>
      </c>
      <c r="AE74" s="417">
        <f t="shared" si="6"/>
        <v>0</v>
      </c>
      <c r="AF74" s="417">
        <f t="shared" si="7"/>
        <v>-12223</v>
      </c>
      <c r="AG74" s="417">
        <f t="shared" si="8"/>
        <v>-12223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9"/>
        <v>0</v>
      </c>
      <c r="AN74" s="417">
        <f t="shared" si="10"/>
        <v>0</v>
      </c>
      <c r="AO74" s="417">
        <f t="shared" si="11"/>
        <v>0</v>
      </c>
      <c r="AP74" s="417">
        <f t="shared" si="12"/>
        <v>0</v>
      </c>
      <c r="AQ74" s="417">
        <f t="shared" si="13"/>
        <v>-12223</v>
      </c>
      <c r="AR74" s="417">
        <f t="shared" si="14"/>
        <v>-12223</v>
      </c>
      <c r="AS74" s="68">
        <f t="shared" si="15"/>
        <v>-4131</v>
      </c>
      <c r="AT74" s="68">
        <f t="shared" si="16"/>
        <v>-122</v>
      </c>
      <c r="AU74" s="417">
        <v>0</v>
      </c>
      <c r="AV74" s="417">
        <v>0</v>
      </c>
      <c r="AW74" s="417">
        <v>0</v>
      </c>
      <c r="AX74" s="417">
        <f t="shared" si="17"/>
        <v>0</v>
      </c>
      <c r="AY74" s="417">
        <f t="shared" si="18"/>
        <v>-16476</v>
      </c>
      <c r="AZ74" s="418">
        <v>0</v>
      </c>
      <c r="BA74" s="418">
        <v>0</v>
      </c>
      <c r="BB74" s="418">
        <v>0</v>
      </c>
      <c r="BC74" s="418">
        <v>0</v>
      </c>
      <c r="BD74" s="418">
        <v>-0.03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9"/>
        <v>0</v>
      </c>
      <c r="BJ74" s="418">
        <f t="shared" si="20"/>
        <v>-0.03</v>
      </c>
      <c r="BK74" s="420">
        <f t="shared" si="21"/>
        <v>-0.03</v>
      </c>
      <c r="BL74" s="772">
        <f>I74+AY74</f>
        <v>923602</v>
      </c>
      <c r="BM74" s="417">
        <f>J74+AG74</f>
        <v>682156</v>
      </c>
      <c r="BN74" s="417">
        <f t="shared" si="97"/>
        <v>0</v>
      </c>
      <c r="BO74" s="417">
        <f t="shared" si="97"/>
        <v>682156</v>
      </c>
      <c r="BP74" s="417">
        <f>M74+AO74</f>
        <v>0</v>
      </c>
      <c r="BQ74" s="417">
        <f t="shared" si="98"/>
        <v>0</v>
      </c>
      <c r="BR74" s="417">
        <f t="shared" si="98"/>
        <v>0</v>
      </c>
      <c r="BS74" s="417">
        <f t="shared" si="99"/>
        <v>230569</v>
      </c>
      <c r="BT74" s="417">
        <f t="shared" si="99"/>
        <v>6821</v>
      </c>
      <c r="BU74" s="417">
        <f>R74+AX74</f>
        <v>4056</v>
      </c>
      <c r="BV74" s="418">
        <f>S74+BK74</f>
        <v>2.0500000000000003</v>
      </c>
      <c r="BW74" s="418">
        <f t="shared" si="100"/>
        <v>0</v>
      </c>
      <c r="BX74" s="420">
        <f t="shared" si="100"/>
        <v>2.0500000000000003</v>
      </c>
      <c r="BY74" s="419"/>
      <c r="BZ74" s="414"/>
      <c r="CA74" s="414"/>
      <c r="CB74" s="414"/>
      <c r="CC74" s="414"/>
      <c r="CD74" s="509"/>
      <c r="CE74" s="419"/>
      <c r="CF74" s="601"/>
      <c r="CG74" s="414"/>
      <c r="CH74" s="414"/>
      <c r="CI74" s="601"/>
      <c r="CJ74" s="603"/>
    </row>
    <row r="75" spans="1:88">
      <c r="A75" s="155">
        <v>13</v>
      </c>
      <c r="B75" s="18">
        <v>3437</v>
      </c>
      <c r="C75" s="18">
        <v>600078051</v>
      </c>
      <c r="D75" s="18">
        <v>70695377</v>
      </c>
      <c r="E75" s="164" t="s">
        <v>110</v>
      </c>
      <c r="F75" s="18"/>
      <c r="G75" s="154"/>
      <c r="H75" s="608"/>
      <c r="I75" s="447">
        <v>12827964</v>
      </c>
      <c r="J75" s="444">
        <v>9456119</v>
      </c>
      <c r="K75" s="444">
        <v>7699149</v>
      </c>
      <c r="L75" s="444">
        <v>1756970</v>
      </c>
      <c r="M75" s="444">
        <v>20000</v>
      </c>
      <c r="N75" s="444">
        <v>20000</v>
      </c>
      <c r="O75" s="444">
        <v>0</v>
      </c>
      <c r="P75" s="444">
        <v>3202928</v>
      </c>
      <c r="Q75" s="444">
        <v>94561</v>
      </c>
      <c r="R75" s="444">
        <v>54356</v>
      </c>
      <c r="S75" s="445">
        <v>19.8324</v>
      </c>
      <c r="T75" s="445">
        <v>14.129999999999999</v>
      </c>
      <c r="U75" s="449">
        <v>5.7023999999999999</v>
      </c>
      <c r="V75" s="447">
        <f t="shared" ref="V75:CG75" si="101">SUM(V72:V74)</f>
        <v>0</v>
      </c>
      <c r="W75" s="444">
        <f t="shared" si="101"/>
        <v>0</v>
      </c>
      <c r="X75" s="444">
        <f t="shared" si="101"/>
        <v>0</v>
      </c>
      <c r="Y75" s="444">
        <f t="shared" si="101"/>
        <v>0</v>
      </c>
      <c r="Z75" s="444">
        <f t="shared" si="101"/>
        <v>0</v>
      </c>
      <c r="AA75" s="444">
        <f t="shared" si="101"/>
        <v>-12223</v>
      </c>
      <c r="AB75" s="444">
        <f t="shared" si="101"/>
        <v>0</v>
      </c>
      <c r="AC75" s="444">
        <f t="shared" si="101"/>
        <v>0</v>
      </c>
      <c r="AD75" s="444">
        <f t="shared" si="101"/>
        <v>0</v>
      </c>
      <c r="AE75" s="444">
        <f t="shared" si="101"/>
        <v>0</v>
      </c>
      <c r="AF75" s="444">
        <f t="shared" si="101"/>
        <v>-12223</v>
      </c>
      <c r="AG75" s="444">
        <f t="shared" si="101"/>
        <v>-12223</v>
      </c>
      <c r="AH75" s="444">
        <f t="shared" si="101"/>
        <v>0</v>
      </c>
      <c r="AI75" s="444">
        <f t="shared" si="101"/>
        <v>0</v>
      </c>
      <c r="AJ75" s="444">
        <f t="shared" si="101"/>
        <v>0</v>
      </c>
      <c r="AK75" s="444">
        <f t="shared" si="101"/>
        <v>0</v>
      </c>
      <c r="AL75" s="444">
        <f t="shared" si="101"/>
        <v>0</v>
      </c>
      <c r="AM75" s="444">
        <f t="shared" si="101"/>
        <v>0</v>
      </c>
      <c r="AN75" s="444">
        <f t="shared" si="101"/>
        <v>0</v>
      </c>
      <c r="AO75" s="444">
        <f t="shared" si="101"/>
        <v>0</v>
      </c>
      <c r="AP75" s="444">
        <f t="shared" si="101"/>
        <v>0</v>
      </c>
      <c r="AQ75" s="444">
        <f t="shared" si="101"/>
        <v>-12223</v>
      </c>
      <c r="AR75" s="444">
        <f t="shared" si="101"/>
        <v>-12223</v>
      </c>
      <c r="AS75" s="444">
        <f t="shared" si="101"/>
        <v>-4131</v>
      </c>
      <c r="AT75" s="444">
        <f t="shared" si="101"/>
        <v>-122</v>
      </c>
      <c r="AU75" s="444">
        <f t="shared" si="101"/>
        <v>0</v>
      </c>
      <c r="AV75" s="444">
        <f t="shared" si="101"/>
        <v>0</v>
      </c>
      <c r="AW75" s="444">
        <f t="shared" si="101"/>
        <v>0</v>
      </c>
      <c r="AX75" s="444">
        <f t="shared" si="101"/>
        <v>0</v>
      </c>
      <c r="AY75" s="444">
        <f t="shared" si="101"/>
        <v>-16476</v>
      </c>
      <c r="AZ75" s="445">
        <f t="shared" si="101"/>
        <v>0</v>
      </c>
      <c r="BA75" s="445">
        <f t="shared" si="101"/>
        <v>0</v>
      </c>
      <c r="BB75" s="445">
        <f t="shared" si="101"/>
        <v>0</v>
      </c>
      <c r="BC75" s="445">
        <f t="shared" si="101"/>
        <v>0</v>
      </c>
      <c r="BD75" s="445">
        <f t="shared" si="101"/>
        <v>-0.03</v>
      </c>
      <c r="BE75" s="445">
        <f t="shared" si="101"/>
        <v>0</v>
      </c>
      <c r="BF75" s="445">
        <f t="shared" si="101"/>
        <v>0</v>
      </c>
      <c r="BG75" s="445">
        <f t="shared" si="101"/>
        <v>0</v>
      </c>
      <c r="BH75" s="445">
        <f t="shared" si="101"/>
        <v>0</v>
      </c>
      <c r="BI75" s="445">
        <f t="shared" si="101"/>
        <v>0</v>
      </c>
      <c r="BJ75" s="445">
        <f t="shared" si="101"/>
        <v>-0.03</v>
      </c>
      <c r="BK75" s="39">
        <f t="shared" si="101"/>
        <v>-0.03</v>
      </c>
      <c r="BL75" s="451">
        <f t="shared" si="101"/>
        <v>12811488</v>
      </c>
      <c r="BM75" s="444">
        <f t="shared" si="101"/>
        <v>9443896</v>
      </c>
      <c r="BN75" s="444">
        <f t="shared" si="101"/>
        <v>7699149</v>
      </c>
      <c r="BO75" s="444">
        <f t="shared" si="101"/>
        <v>1744747</v>
      </c>
      <c r="BP75" s="444">
        <f t="shared" si="101"/>
        <v>20000</v>
      </c>
      <c r="BQ75" s="444">
        <f t="shared" si="101"/>
        <v>20000</v>
      </c>
      <c r="BR75" s="444">
        <f t="shared" si="101"/>
        <v>0</v>
      </c>
      <c r="BS75" s="444">
        <f t="shared" si="101"/>
        <v>3198797</v>
      </c>
      <c r="BT75" s="444">
        <f t="shared" si="101"/>
        <v>94439</v>
      </c>
      <c r="BU75" s="444">
        <f t="shared" si="101"/>
        <v>54356</v>
      </c>
      <c r="BV75" s="445">
        <f t="shared" si="101"/>
        <v>19.802400000000002</v>
      </c>
      <c r="BW75" s="445">
        <f t="shared" si="101"/>
        <v>14.129999999999999</v>
      </c>
      <c r="BX75" s="39">
        <f t="shared" si="101"/>
        <v>5.6723999999999997</v>
      </c>
      <c r="BY75" s="806">
        <f t="shared" si="101"/>
        <v>0</v>
      </c>
      <c r="BZ75" s="709">
        <f t="shared" si="101"/>
        <v>0</v>
      </c>
      <c r="CA75" s="709">
        <f t="shared" si="101"/>
        <v>0</v>
      </c>
      <c r="CB75" s="709">
        <f t="shared" si="101"/>
        <v>0</v>
      </c>
      <c r="CC75" s="709">
        <f t="shared" si="101"/>
        <v>0</v>
      </c>
      <c r="CD75" s="807">
        <f t="shared" si="101"/>
        <v>0</v>
      </c>
      <c r="CE75" s="919">
        <f t="shared" si="101"/>
        <v>475871</v>
      </c>
      <c r="CF75" s="920">
        <f t="shared" si="101"/>
        <v>340983</v>
      </c>
      <c r="CG75" s="920">
        <f t="shared" si="101"/>
        <v>115252</v>
      </c>
      <c r="CH75" s="920">
        <f t="shared" ref="CH75:CJ75" si="102">SUM(CH72:CH74)</f>
        <v>3410</v>
      </c>
      <c r="CI75" s="920">
        <f t="shared" si="102"/>
        <v>16226</v>
      </c>
      <c r="CJ75" s="921">
        <f t="shared" si="102"/>
        <v>1.1623999999999999</v>
      </c>
    </row>
    <row r="76" spans="1:88">
      <c r="A76" s="205">
        <v>14</v>
      </c>
      <c r="B76" s="206">
        <v>3436</v>
      </c>
      <c r="C76" s="206">
        <v>600078485</v>
      </c>
      <c r="D76" s="206">
        <v>70695385</v>
      </c>
      <c r="E76" s="204" t="s">
        <v>111</v>
      </c>
      <c r="F76" s="206">
        <v>3113</v>
      </c>
      <c r="G76" s="207" t="s">
        <v>293</v>
      </c>
      <c r="H76" s="607" t="s">
        <v>271</v>
      </c>
      <c r="I76" s="419">
        <v>26294100</v>
      </c>
      <c r="J76" s="414">
        <v>19139621</v>
      </c>
      <c r="K76" s="414">
        <v>17030355</v>
      </c>
      <c r="L76" s="414">
        <v>2109266</v>
      </c>
      <c r="M76" s="414">
        <v>0</v>
      </c>
      <c r="N76" s="414">
        <v>0</v>
      </c>
      <c r="O76" s="414">
        <v>0</v>
      </c>
      <c r="P76" s="68">
        <v>6469192</v>
      </c>
      <c r="Q76" s="68">
        <v>191397</v>
      </c>
      <c r="R76" s="414">
        <v>493890</v>
      </c>
      <c r="S76" s="415">
        <v>31.3506</v>
      </c>
      <c r="T76" s="416">
        <v>25.136299999999999</v>
      </c>
      <c r="U76" s="422">
        <v>6.2142999999999997</v>
      </c>
      <c r="V76" s="423">
        <f t="shared" si="4"/>
        <v>0</v>
      </c>
      <c r="W76" s="417">
        <f t="shared" si="5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6"/>
        <v>0</v>
      </c>
      <c r="AF76" s="417">
        <f t="shared" si="7"/>
        <v>0</v>
      </c>
      <c r="AG76" s="417">
        <f t="shared" si="8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9"/>
        <v>0</v>
      </c>
      <c r="AN76" s="417">
        <f t="shared" si="10"/>
        <v>0</v>
      </c>
      <c r="AO76" s="417">
        <f t="shared" si="11"/>
        <v>0</v>
      </c>
      <c r="AP76" s="417">
        <f t="shared" si="12"/>
        <v>0</v>
      </c>
      <c r="AQ76" s="417">
        <f t="shared" si="13"/>
        <v>0</v>
      </c>
      <c r="AR76" s="417">
        <f t="shared" si="14"/>
        <v>0</v>
      </c>
      <c r="AS76" s="68">
        <f t="shared" si="15"/>
        <v>0</v>
      </c>
      <c r="AT76" s="68">
        <f t="shared" si="16"/>
        <v>0</v>
      </c>
      <c r="AU76" s="417">
        <v>0</v>
      </c>
      <c r="AV76" s="417">
        <v>0</v>
      </c>
      <c r="AW76" s="417">
        <v>0</v>
      </c>
      <c r="AX76" s="417">
        <f t="shared" si="17"/>
        <v>0</v>
      </c>
      <c r="AY76" s="417">
        <f t="shared" si="18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9"/>
        <v>0</v>
      </c>
      <c r="BJ76" s="418">
        <f t="shared" si="20"/>
        <v>0</v>
      </c>
      <c r="BK76" s="420">
        <f t="shared" si="21"/>
        <v>0</v>
      </c>
      <c r="BL76" s="772">
        <f>I76+AY76</f>
        <v>26294100</v>
      </c>
      <c r="BM76" s="417">
        <f>J76+AG76</f>
        <v>19139621</v>
      </c>
      <c r="BN76" s="417">
        <f t="shared" ref="BN76:BO80" si="103">K76+AE76</f>
        <v>17030355</v>
      </c>
      <c r="BO76" s="417">
        <f t="shared" si="103"/>
        <v>2109266</v>
      </c>
      <c r="BP76" s="417">
        <f>M76+AO76</f>
        <v>0</v>
      </c>
      <c r="BQ76" s="417">
        <f t="shared" ref="BQ76:BR80" si="104">N76+AM76</f>
        <v>0</v>
      </c>
      <c r="BR76" s="417">
        <f t="shared" si="104"/>
        <v>0</v>
      </c>
      <c r="BS76" s="417">
        <f t="shared" ref="BS76:BT80" si="105">P76+AS76</f>
        <v>6469192</v>
      </c>
      <c r="BT76" s="417">
        <f t="shared" si="105"/>
        <v>191397</v>
      </c>
      <c r="BU76" s="417">
        <f>R76+AX76</f>
        <v>493890</v>
      </c>
      <c r="BV76" s="418">
        <f>S76+BK76</f>
        <v>31.3506</v>
      </c>
      <c r="BW76" s="418">
        <f t="shared" ref="BW76:BX80" si="106">T76+BI76</f>
        <v>25.136299999999999</v>
      </c>
      <c r="BX76" s="420">
        <f t="shared" si="106"/>
        <v>6.2142999999999997</v>
      </c>
      <c r="BY76" s="419"/>
      <c r="BZ76" s="414"/>
      <c r="CA76" s="414"/>
      <c r="CB76" s="414"/>
      <c r="CC76" s="414"/>
      <c r="CD76" s="509"/>
      <c r="CE76" s="419">
        <v>1029457</v>
      </c>
      <c r="CF76" s="414">
        <v>677055</v>
      </c>
      <c r="CG76" s="414">
        <v>228845</v>
      </c>
      <c r="CH76" s="414">
        <v>6771</v>
      </c>
      <c r="CI76" s="414">
        <v>116786</v>
      </c>
      <c r="CJ76" s="509">
        <v>1.9948999999999999</v>
      </c>
    </row>
    <row r="77" spans="1:88">
      <c r="A77" s="205">
        <v>14</v>
      </c>
      <c r="B77" s="206">
        <v>3436</v>
      </c>
      <c r="C77" s="206">
        <v>600078485</v>
      </c>
      <c r="D77" s="206">
        <v>70695385</v>
      </c>
      <c r="E77" s="204" t="s">
        <v>111</v>
      </c>
      <c r="F77" s="206">
        <v>3113</v>
      </c>
      <c r="G77" s="207" t="s">
        <v>291</v>
      </c>
      <c r="H77" s="607" t="s">
        <v>272</v>
      </c>
      <c r="I77" s="419">
        <v>3049960</v>
      </c>
      <c r="J77" s="414">
        <v>2262581</v>
      </c>
      <c r="K77" s="414">
        <v>2262581</v>
      </c>
      <c r="L77" s="414">
        <v>0</v>
      </c>
      <c r="M77" s="414">
        <v>0</v>
      </c>
      <c r="N77" s="414">
        <v>0</v>
      </c>
      <c r="O77" s="414">
        <v>0</v>
      </c>
      <c r="P77" s="68">
        <v>764753</v>
      </c>
      <c r="Q77" s="68">
        <v>22626</v>
      </c>
      <c r="R77" s="414">
        <v>0</v>
      </c>
      <c r="S77" s="415">
        <v>6.1</v>
      </c>
      <c r="T77" s="416">
        <v>6.1</v>
      </c>
      <c r="U77" s="422">
        <v>0</v>
      </c>
      <c r="V77" s="423">
        <f t="shared" ref="V77:V98" si="107">AH77*-1</f>
        <v>0</v>
      </c>
      <c r="W77" s="417">
        <f t="shared" ref="W77:W98" si="108">AI77*-1</f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ref="AE77:AE98" si="109">V77+X77+Y77+Z77+AC77</f>
        <v>0</v>
      </c>
      <c r="AF77" s="417">
        <f t="shared" ref="AF77:AF98" si="110">W77+AA77+AD77+AB77</f>
        <v>0</v>
      </c>
      <c r="AG77" s="417">
        <f t="shared" ref="AG77:AG98" si="111">SUM(AE77:AF77)</f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98" si="112">AH77+AJ77+AK77</f>
        <v>0</v>
      </c>
      <c r="AN77" s="417">
        <f t="shared" ref="AN77:AN98" si="113">AI77+AL77</f>
        <v>0</v>
      </c>
      <c r="AO77" s="417">
        <f t="shared" ref="AO77:AO98" si="114">SUM(AM77:AN77)</f>
        <v>0</v>
      </c>
      <c r="AP77" s="417">
        <f t="shared" ref="AP77:AP98" si="115">AE77+AM77</f>
        <v>0</v>
      </c>
      <c r="AQ77" s="417">
        <f t="shared" ref="AQ77:AQ98" si="116">AF77+AN77</f>
        <v>0</v>
      </c>
      <c r="AR77" s="417">
        <f t="shared" ref="AR77:AR98" si="117">SUM(AP77:AQ77)</f>
        <v>0</v>
      </c>
      <c r="AS77" s="68">
        <f t="shared" ref="AS77:AS98" si="118">ROUND((AG77+AH77+AI77+AJ77)*33.8%,0)</f>
        <v>0</v>
      </c>
      <c r="AT77" s="68">
        <f t="shared" ref="AT77:AT98" si="119">ROUND(AG77*1%,0)</f>
        <v>0</v>
      </c>
      <c r="AU77" s="417">
        <v>1250</v>
      </c>
      <c r="AV77" s="417">
        <v>0</v>
      </c>
      <c r="AW77" s="417">
        <v>0</v>
      </c>
      <c r="AX77" s="417">
        <f t="shared" ref="AX77:AX98" si="120">SUM(AU77:AW77)</f>
        <v>1250</v>
      </c>
      <c r="AY77" s="417">
        <f t="shared" ref="AY77:AY98" si="121">AR77+AS77+AT77+AX77</f>
        <v>1250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ref="BI77:BI98" si="122">AZ77+BB77+BC77+BE77+BG77</f>
        <v>0</v>
      </c>
      <c r="BJ77" s="418">
        <f t="shared" ref="BJ77:BJ98" si="123">BA77+BD77+BH77+BF77</f>
        <v>0</v>
      </c>
      <c r="BK77" s="420">
        <f t="shared" ref="BK77:BK98" si="124">SUM(BI77:BJ77)</f>
        <v>0</v>
      </c>
      <c r="BL77" s="772">
        <f>I77+AY77</f>
        <v>3051210</v>
      </c>
      <c r="BM77" s="417">
        <f>J77+AG77</f>
        <v>2262581</v>
      </c>
      <c r="BN77" s="417">
        <f t="shared" si="103"/>
        <v>2262581</v>
      </c>
      <c r="BO77" s="417">
        <f t="shared" si="103"/>
        <v>0</v>
      </c>
      <c r="BP77" s="417">
        <f>M77+AO77</f>
        <v>0</v>
      </c>
      <c r="BQ77" s="417">
        <f t="shared" si="104"/>
        <v>0</v>
      </c>
      <c r="BR77" s="417">
        <f t="shared" si="104"/>
        <v>0</v>
      </c>
      <c r="BS77" s="417">
        <f t="shared" si="105"/>
        <v>764753</v>
      </c>
      <c r="BT77" s="417">
        <f t="shared" si="105"/>
        <v>22626</v>
      </c>
      <c r="BU77" s="417">
        <f>R77+AX77</f>
        <v>1250</v>
      </c>
      <c r="BV77" s="418">
        <f>S77+BK77</f>
        <v>6.1</v>
      </c>
      <c r="BW77" s="418">
        <f t="shared" si="106"/>
        <v>6.1</v>
      </c>
      <c r="BX77" s="420">
        <f t="shared" si="106"/>
        <v>0</v>
      </c>
      <c r="BY77" s="419"/>
      <c r="BZ77" s="414"/>
      <c r="CA77" s="414"/>
      <c r="CB77" s="414"/>
      <c r="CC77" s="414"/>
      <c r="CD77" s="509"/>
      <c r="CE77" s="419"/>
      <c r="CF77" s="414"/>
      <c r="CG77" s="414"/>
      <c r="CH77" s="414"/>
      <c r="CI77" s="414"/>
      <c r="CJ77" s="509"/>
    </row>
    <row r="78" spans="1:88">
      <c r="A78" s="205">
        <v>14</v>
      </c>
      <c r="B78" s="206">
        <v>3436</v>
      </c>
      <c r="C78" s="206">
        <v>600078485</v>
      </c>
      <c r="D78" s="206">
        <v>70695385</v>
      </c>
      <c r="E78" s="204" t="s">
        <v>111</v>
      </c>
      <c r="F78" s="206">
        <v>3141</v>
      </c>
      <c r="G78" s="207" t="s">
        <v>294</v>
      </c>
      <c r="H78" s="607" t="s">
        <v>272</v>
      </c>
      <c r="I78" s="419">
        <v>2954362</v>
      </c>
      <c r="J78" s="414">
        <v>2176889</v>
      </c>
      <c r="K78" s="414">
        <v>0</v>
      </c>
      <c r="L78" s="414">
        <v>2176889</v>
      </c>
      <c r="M78" s="414">
        <v>0</v>
      </c>
      <c r="N78" s="414">
        <v>0</v>
      </c>
      <c r="O78" s="414">
        <v>0</v>
      </c>
      <c r="P78" s="68">
        <v>735788</v>
      </c>
      <c r="Q78" s="68">
        <v>21769</v>
      </c>
      <c r="R78" s="414">
        <v>19916</v>
      </c>
      <c r="S78" s="415">
        <v>6.5299999999999994</v>
      </c>
      <c r="T78" s="416">
        <v>0</v>
      </c>
      <c r="U78" s="422">
        <v>6.5299999999999994</v>
      </c>
      <c r="V78" s="423">
        <f t="shared" si="107"/>
        <v>0</v>
      </c>
      <c r="W78" s="417">
        <f t="shared" si="108"/>
        <v>0</v>
      </c>
      <c r="X78" s="417">
        <v>0</v>
      </c>
      <c r="Y78" s="417">
        <v>0</v>
      </c>
      <c r="Z78" s="417">
        <v>0</v>
      </c>
      <c r="AA78" s="417">
        <v>-29516</v>
      </c>
      <c r="AB78" s="417">
        <v>0</v>
      </c>
      <c r="AC78" s="417">
        <v>0</v>
      </c>
      <c r="AD78" s="417">
        <v>0</v>
      </c>
      <c r="AE78" s="417">
        <f t="shared" si="109"/>
        <v>0</v>
      </c>
      <c r="AF78" s="417">
        <f t="shared" si="110"/>
        <v>-29516</v>
      </c>
      <c r="AG78" s="417">
        <f t="shared" si="111"/>
        <v>-29516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si="112"/>
        <v>0</v>
      </c>
      <c r="AN78" s="417">
        <f t="shared" si="113"/>
        <v>0</v>
      </c>
      <c r="AO78" s="417">
        <f t="shared" si="114"/>
        <v>0</v>
      </c>
      <c r="AP78" s="417">
        <f t="shared" si="115"/>
        <v>0</v>
      </c>
      <c r="AQ78" s="417">
        <f t="shared" si="116"/>
        <v>-29516</v>
      </c>
      <c r="AR78" s="417">
        <f t="shared" si="117"/>
        <v>-29516</v>
      </c>
      <c r="AS78" s="68">
        <f t="shared" si="118"/>
        <v>-9976</v>
      </c>
      <c r="AT78" s="68">
        <f t="shared" si="119"/>
        <v>-295</v>
      </c>
      <c r="AU78" s="417">
        <v>0</v>
      </c>
      <c r="AV78" s="417">
        <v>0</v>
      </c>
      <c r="AW78" s="417">
        <v>0</v>
      </c>
      <c r="AX78" s="417">
        <f t="shared" si="120"/>
        <v>0</v>
      </c>
      <c r="AY78" s="417">
        <f t="shared" si="121"/>
        <v>-39787</v>
      </c>
      <c r="AZ78" s="418">
        <v>0</v>
      </c>
      <c r="BA78" s="418">
        <v>0</v>
      </c>
      <c r="BB78" s="418">
        <v>0</v>
      </c>
      <c r="BC78" s="418">
        <v>0</v>
      </c>
      <c r="BD78" s="418">
        <v>-0.09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si="122"/>
        <v>0</v>
      </c>
      <c r="BJ78" s="418">
        <f t="shared" si="123"/>
        <v>-0.09</v>
      </c>
      <c r="BK78" s="420">
        <f t="shared" si="124"/>
        <v>-0.09</v>
      </c>
      <c r="BL78" s="772">
        <f>I78+AY78</f>
        <v>2914575</v>
      </c>
      <c r="BM78" s="417">
        <f>J78+AG78</f>
        <v>2147373</v>
      </c>
      <c r="BN78" s="417">
        <f t="shared" si="103"/>
        <v>0</v>
      </c>
      <c r="BO78" s="417">
        <f t="shared" si="103"/>
        <v>2147373</v>
      </c>
      <c r="BP78" s="417">
        <f>M78+AO78</f>
        <v>0</v>
      </c>
      <c r="BQ78" s="417">
        <f t="shared" si="104"/>
        <v>0</v>
      </c>
      <c r="BR78" s="417">
        <f t="shared" si="104"/>
        <v>0</v>
      </c>
      <c r="BS78" s="417">
        <f t="shared" si="105"/>
        <v>725812</v>
      </c>
      <c r="BT78" s="417">
        <f t="shared" si="105"/>
        <v>21474</v>
      </c>
      <c r="BU78" s="417">
        <f>R78+AX78</f>
        <v>19916</v>
      </c>
      <c r="BV78" s="418">
        <f>S78+BK78</f>
        <v>6.4399999999999995</v>
      </c>
      <c r="BW78" s="418">
        <f t="shared" si="106"/>
        <v>0</v>
      </c>
      <c r="BX78" s="420">
        <f t="shared" si="106"/>
        <v>6.4399999999999995</v>
      </c>
      <c r="BY78" s="419"/>
      <c r="BZ78" s="414"/>
      <c r="CA78" s="414"/>
      <c r="CB78" s="414"/>
      <c r="CC78" s="414"/>
      <c r="CD78" s="509"/>
      <c r="CE78" s="419"/>
      <c r="CF78" s="601"/>
      <c r="CG78" s="414"/>
      <c r="CH78" s="414"/>
      <c r="CI78" s="601"/>
      <c r="CJ78" s="603"/>
    </row>
    <row r="79" spans="1:88">
      <c r="A79" s="205">
        <v>14</v>
      </c>
      <c r="B79" s="206">
        <v>3436</v>
      </c>
      <c r="C79" s="206">
        <v>600078485</v>
      </c>
      <c r="D79" s="206">
        <v>70695385</v>
      </c>
      <c r="E79" s="204" t="s">
        <v>111</v>
      </c>
      <c r="F79" s="206">
        <v>3143</v>
      </c>
      <c r="G79" s="207" t="s">
        <v>595</v>
      </c>
      <c r="H79" s="609" t="s">
        <v>271</v>
      </c>
      <c r="I79" s="419">
        <v>2120532</v>
      </c>
      <c r="J79" s="414">
        <v>1573095</v>
      </c>
      <c r="K79" s="414">
        <v>1573095</v>
      </c>
      <c r="L79" s="414">
        <v>0</v>
      </c>
      <c r="M79" s="414">
        <v>0</v>
      </c>
      <c r="N79" s="414">
        <v>0</v>
      </c>
      <c r="O79" s="414">
        <v>0</v>
      </c>
      <c r="P79" s="68">
        <v>531706</v>
      </c>
      <c r="Q79" s="68">
        <v>15731</v>
      </c>
      <c r="R79" s="414">
        <v>0</v>
      </c>
      <c r="S79" s="415">
        <v>2.9910999999999999</v>
      </c>
      <c r="T79" s="416">
        <v>2.9910999999999999</v>
      </c>
      <c r="U79" s="422">
        <v>0</v>
      </c>
      <c r="V79" s="423">
        <f t="shared" si="107"/>
        <v>0</v>
      </c>
      <c r="W79" s="417">
        <f t="shared" si="108"/>
        <v>0</v>
      </c>
      <c r="X79" s="417">
        <v>0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09"/>
        <v>0</v>
      </c>
      <c r="AF79" s="417">
        <f t="shared" si="110"/>
        <v>0</v>
      </c>
      <c r="AG79" s="417">
        <f t="shared" si="111"/>
        <v>0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12"/>
        <v>0</v>
      </c>
      <c r="AN79" s="417">
        <f t="shared" si="113"/>
        <v>0</v>
      </c>
      <c r="AO79" s="417">
        <f t="shared" si="114"/>
        <v>0</v>
      </c>
      <c r="AP79" s="417">
        <f t="shared" si="115"/>
        <v>0</v>
      </c>
      <c r="AQ79" s="417">
        <f t="shared" si="116"/>
        <v>0</v>
      </c>
      <c r="AR79" s="417">
        <f t="shared" si="117"/>
        <v>0</v>
      </c>
      <c r="AS79" s="68">
        <f t="shared" si="118"/>
        <v>0</v>
      </c>
      <c r="AT79" s="68">
        <f t="shared" si="119"/>
        <v>0</v>
      </c>
      <c r="AU79" s="417">
        <v>0</v>
      </c>
      <c r="AV79" s="417">
        <v>0</v>
      </c>
      <c r="AW79" s="417">
        <v>0</v>
      </c>
      <c r="AX79" s="417">
        <f t="shared" si="120"/>
        <v>0</v>
      </c>
      <c r="AY79" s="417">
        <f t="shared" si="121"/>
        <v>0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22"/>
        <v>0</v>
      </c>
      <c r="BJ79" s="418">
        <f t="shared" si="123"/>
        <v>0</v>
      </c>
      <c r="BK79" s="420">
        <f t="shared" si="124"/>
        <v>0</v>
      </c>
      <c r="BL79" s="772">
        <f>I79+AY79</f>
        <v>2120532</v>
      </c>
      <c r="BM79" s="417">
        <f>J79+AG79</f>
        <v>1573095</v>
      </c>
      <c r="BN79" s="417">
        <f t="shared" si="103"/>
        <v>1573095</v>
      </c>
      <c r="BO79" s="417">
        <f t="shared" si="103"/>
        <v>0</v>
      </c>
      <c r="BP79" s="417">
        <f>M79+AO79</f>
        <v>0</v>
      </c>
      <c r="BQ79" s="417">
        <f t="shared" si="104"/>
        <v>0</v>
      </c>
      <c r="BR79" s="417">
        <f t="shared" si="104"/>
        <v>0</v>
      </c>
      <c r="BS79" s="417">
        <f t="shared" si="105"/>
        <v>531706</v>
      </c>
      <c r="BT79" s="417">
        <f t="shared" si="105"/>
        <v>15731</v>
      </c>
      <c r="BU79" s="417">
        <f>R79+AX79</f>
        <v>0</v>
      </c>
      <c r="BV79" s="418">
        <f>S79+BK79</f>
        <v>2.9910999999999999</v>
      </c>
      <c r="BW79" s="418">
        <f t="shared" si="106"/>
        <v>2.9910999999999999</v>
      </c>
      <c r="BX79" s="420">
        <f t="shared" si="106"/>
        <v>0</v>
      </c>
      <c r="BY79" s="419"/>
      <c r="BZ79" s="414"/>
      <c r="CA79" s="414"/>
      <c r="CB79" s="414"/>
      <c r="CC79" s="414"/>
      <c r="CD79" s="509"/>
      <c r="CE79" s="419"/>
      <c r="CF79" s="414"/>
      <c r="CG79" s="414"/>
      <c r="CH79" s="414"/>
      <c r="CI79" s="414"/>
      <c r="CJ79" s="509"/>
    </row>
    <row r="80" spans="1:88">
      <c r="A80" s="205">
        <v>14</v>
      </c>
      <c r="B80" s="206">
        <v>3436</v>
      </c>
      <c r="C80" s="206">
        <v>600078485</v>
      </c>
      <c r="D80" s="206">
        <v>70695385</v>
      </c>
      <c r="E80" s="204" t="s">
        <v>111</v>
      </c>
      <c r="F80" s="206">
        <v>3143</v>
      </c>
      <c r="G80" s="207" t="s">
        <v>596</v>
      </c>
      <c r="H80" s="609" t="s">
        <v>272</v>
      </c>
      <c r="I80" s="419">
        <v>83756</v>
      </c>
      <c r="J80" s="414">
        <v>59950</v>
      </c>
      <c r="K80" s="414">
        <v>0</v>
      </c>
      <c r="L80" s="414">
        <v>59950</v>
      </c>
      <c r="M80" s="414">
        <v>0</v>
      </c>
      <c r="N80" s="414">
        <v>0</v>
      </c>
      <c r="O80" s="414">
        <v>0</v>
      </c>
      <c r="P80" s="68">
        <v>20263</v>
      </c>
      <c r="Q80" s="68">
        <v>600</v>
      </c>
      <c r="R80" s="414">
        <v>2943</v>
      </c>
      <c r="S80" s="415">
        <v>0.22999999999999998</v>
      </c>
      <c r="T80" s="416">
        <v>0</v>
      </c>
      <c r="U80" s="422">
        <v>0.22999999999999998</v>
      </c>
      <c r="V80" s="423">
        <f t="shared" si="107"/>
        <v>0</v>
      </c>
      <c r="W80" s="417">
        <f t="shared" si="108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09"/>
        <v>0</v>
      </c>
      <c r="AF80" s="417">
        <f t="shared" si="110"/>
        <v>0</v>
      </c>
      <c r="AG80" s="417">
        <f t="shared" si="111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2"/>
        <v>0</v>
      </c>
      <c r="AN80" s="417">
        <f t="shared" si="113"/>
        <v>0</v>
      </c>
      <c r="AO80" s="417">
        <f t="shared" si="114"/>
        <v>0</v>
      </c>
      <c r="AP80" s="417">
        <f t="shared" si="115"/>
        <v>0</v>
      </c>
      <c r="AQ80" s="417">
        <f t="shared" si="116"/>
        <v>0</v>
      </c>
      <c r="AR80" s="417">
        <f t="shared" si="117"/>
        <v>0</v>
      </c>
      <c r="AS80" s="68">
        <f t="shared" si="118"/>
        <v>0</v>
      </c>
      <c r="AT80" s="68">
        <f t="shared" si="119"/>
        <v>0</v>
      </c>
      <c r="AU80" s="417">
        <v>0</v>
      </c>
      <c r="AV80" s="417">
        <v>0</v>
      </c>
      <c r="AW80" s="417">
        <v>0</v>
      </c>
      <c r="AX80" s="417">
        <f t="shared" si="120"/>
        <v>0</v>
      </c>
      <c r="AY80" s="417">
        <f t="shared" si="121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22"/>
        <v>0</v>
      </c>
      <c r="BJ80" s="418">
        <f t="shared" si="123"/>
        <v>0</v>
      </c>
      <c r="BK80" s="420">
        <f t="shared" si="124"/>
        <v>0</v>
      </c>
      <c r="BL80" s="772">
        <f>I80+AY80</f>
        <v>83756</v>
      </c>
      <c r="BM80" s="417">
        <f>J80+AG80</f>
        <v>59950</v>
      </c>
      <c r="BN80" s="417">
        <f t="shared" si="103"/>
        <v>0</v>
      </c>
      <c r="BO80" s="417">
        <f t="shared" si="103"/>
        <v>59950</v>
      </c>
      <c r="BP80" s="417">
        <f>M80+AO80</f>
        <v>0</v>
      </c>
      <c r="BQ80" s="417">
        <f t="shared" si="104"/>
        <v>0</v>
      </c>
      <c r="BR80" s="417">
        <f t="shared" si="104"/>
        <v>0</v>
      </c>
      <c r="BS80" s="417">
        <f t="shared" si="105"/>
        <v>20263</v>
      </c>
      <c r="BT80" s="417">
        <f t="shared" si="105"/>
        <v>600</v>
      </c>
      <c r="BU80" s="417">
        <f>R80+AX80</f>
        <v>2943</v>
      </c>
      <c r="BV80" s="418">
        <f>S80+BK80</f>
        <v>0.22999999999999998</v>
      </c>
      <c r="BW80" s="418">
        <f t="shared" si="106"/>
        <v>0</v>
      </c>
      <c r="BX80" s="420">
        <f t="shared" si="106"/>
        <v>0.22999999999999998</v>
      </c>
      <c r="BY80" s="419"/>
      <c r="BZ80" s="414"/>
      <c r="CA80" s="414"/>
      <c r="CB80" s="414"/>
      <c r="CC80" s="414"/>
      <c r="CD80" s="509"/>
      <c r="CE80" s="419"/>
      <c r="CF80" s="601"/>
      <c r="CG80" s="414"/>
      <c r="CH80" s="414"/>
      <c r="CI80" s="602"/>
      <c r="CJ80" s="603"/>
    </row>
    <row r="81" spans="1:88">
      <c r="A81" s="155">
        <v>14</v>
      </c>
      <c r="B81" s="18">
        <v>3436</v>
      </c>
      <c r="C81" s="18">
        <v>600078485</v>
      </c>
      <c r="D81" s="18">
        <v>70695385</v>
      </c>
      <c r="E81" s="164" t="s">
        <v>112</v>
      </c>
      <c r="F81" s="18"/>
      <c r="G81" s="154"/>
      <c r="H81" s="608"/>
      <c r="I81" s="446">
        <v>34502710</v>
      </c>
      <c r="J81" s="442">
        <v>25212136</v>
      </c>
      <c r="K81" s="442">
        <v>20866031</v>
      </c>
      <c r="L81" s="442">
        <v>4346105</v>
      </c>
      <c r="M81" s="442">
        <v>0</v>
      </c>
      <c r="N81" s="442">
        <v>0</v>
      </c>
      <c r="O81" s="442">
        <v>0</v>
      </c>
      <c r="P81" s="442">
        <v>8521702</v>
      </c>
      <c r="Q81" s="442">
        <v>252123</v>
      </c>
      <c r="R81" s="442">
        <v>516749</v>
      </c>
      <c r="S81" s="443">
        <v>47.201700000000002</v>
      </c>
      <c r="T81" s="443">
        <v>34.227400000000003</v>
      </c>
      <c r="U81" s="448">
        <v>12.974299999999999</v>
      </c>
      <c r="V81" s="446">
        <f t="shared" ref="V81:CG81" si="125">SUM(V76:V80)</f>
        <v>0</v>
      </c>
      <c r="W81" s="442">
        <f t="shared" si="125"/>
        <v>0</v>
      </c>
      <c r="X81" s="442">
        <f t="shared" si="125"/>
        <v>0</v>
      </c>
      <c r="Y81" s="442">
        <f t="shared" si="125"/>
        <v>0</v>
      </c>
      <c r="Z81" s="442">
        <f t="shared" si="125"/>
        <v>0</v>
      </c>
      <c r="AA81" s="442">
        <f t="shared" si="125"/>
        <v>-29516</v>
      </c>
      <c r="AB81" s="442">
        <f t="shared" si="125"/>
        <v>0</v>
      </c>
      <c r="AC81" s="442">
        <f t="shared" si="125"/>
        <v>0</v>
      </c>
      <c r="AD81" s="442">
        <f t="shared" si="125"/>
        <v>0</v>
      </c>
      <c r="AE81" s="442">
        <f t="shared" si="125"/>
        <v>0</v>
      </c>
      <c r="AF81" s="442">
        <f t="shared" si="125"/>
        <v>-29516</v>
      </c>
      <c r="AG81" s="442">
        <f t="shared" si="125"/>
        <v>-29516</v>
      </c>
      <c r="AH81" s="442">
        <f t="shared" si="125"/>
        <v>0</v>
      </c>
      <c r="AI81" s="442">
        <f t="shared" si="125"/>
        <v>0</v>
      </c>
      <c r="AJ81" s="442">
        <f t="shared" si="125"/>
        <v>0</v>
      </c>
      <c r="AK81" s="442">
        <f t="shared" si="125"/>
        <v>0</v>
      </c>
      <c r="AL81" s="442">
        <f t="shared" si="125"/>
        <v>0</v>
      </c>
      <c r="AM81" s="442">
        <f t="shared" si="125"/>
        <v>0</v>
      </c>
      <c r="AN81" s="442">
        <f t="shared" si="125"/>
        <v>0</v>
      </c>
      <c r="AO81" s="442">
        <f t="shared" si="125"/>
        <v>0</v>
      </c>
      <c r="AP81" s="442">
        <f t="shared" si="125"/>
        <v>0</v>
      </c>
      <c r="AQ81" s="442">
        <f t="shared" si="125"/>
        <v>-29516</v>
      </c>
      <c r="AR81" s="442">
        <f t="shared" si="125"/>
        <v>-29516</v>
      </c>
      <c r="AS81" s="442">
        <f t="shared" si="125"/>
        <v>-9976</v>
      </c>
      <c r="AT81" s="442">
        <f t="shared" si="125"/>
        <v>-295</v>
      </c>
      <c r="AU81" s="442">
        <f t="shared" si="125"/>
        <v>1250</v>
      </c>
      <c r="AV81" s="442">
        <f t="shared" si="125"/>
        <v>0</v>
      </c>
      <c r="AW81" s="442">
        <f t="shared" si="125"/>
        <v>0</v>
      </c>
      <c r="AX81" s="442">
        <f t="shared" si="125"/>
        <v>1250</v>
      </c>
      <c r="AY81" s="442">
        <f t="shared" si="125"/>
        <v>-38537</v>
      </c>
      <c r="AZ81" s="443">
        <f t="shared" si="125"/>
        <v>0</v>
      </c>
      <c r="BA81" s="443">
        <f t="shared" si="125"/>
        <v>0</v>
      </c>
      <c r="BB81" s="443">
        <f t="shared" si="125"/>
        <v>0</v>
      </c>
      <c r="BC81" s="443">
        <f t="shared" si="125"/>
        <v>0</v>
      </c>
      <c r="BD81" s="443">
        <f t="shared" si="125"/>
        <v>-0.09</v>
      </c>
      <c r="BE81" s="443">
        <f t="shared" si="125"/>
        <v>0</v>
      </c>
      <c r="BF81" s="443">
        <f t="shared" si="125"/>
        <v>0</v>
      </c>
      <c r="BG81" s="443">
        <f t="shared" si="125"/>
        <v>0</v>
      </c>
      <c r="BH81" s="443">
        <f t="shared" si="125"/>
        <v>0</v>
      </c>
      <c r="BI81" s="443">
        <f t="shared" si="125"/>
        <v>0</v>
      </c>
      <c r="BJ81" s="443">
        <f t="shared" si="125"/>
        <v>-0.09</v>
      </c>
      <c r="BK81" s="40">
        <f t="shared" si="125"/>
        <v>-0.09</v>
      </c>
      <c r="BL81" s="450">
        <f t="shared" si="125"/>
        <v>34464173</v>
      </c>
      <c r="BM81" s="442">
        <f t="shared" si="125"/>
        <v>25182620</v>
      </c>
      <c r="BN81" s="442">
        <f t="shared" si="125"/>
        <v>20866031</v>
      </c>
      <c r="BO81" s="442">
        <f t="shared" si="125"/>
        <v>4316589</v>
      </c>
      <c r="BP81" s="442">
        <f t="shared" si="125"/>
        <v>0</v>
      </c>
      <c r="BQ81" s="442">
        <f t="shared" si="125"/>
        <v>0</v>
      </c>
      <c r="BR81" s="442">
        <f t="shared" si="125"/>
        <v>0</v>
      </c>
      <c r="BS81" s="442">
        <f t="shared" si="125"/>
        <v>8511726</v>
      </c>
      <c r="BT81" s="442">
        <f t="shared" si="125"/>
        <v>251828</v>
      </c>
      <c r="BU81" s="442">
        <f t="shared" si="125"/>
        <v>517999</v>
      </c>
      <c r="BV81" s="443">
        <f t="shared" si="125"/>
        <v>47.111699999999999</v>
      </c>
      <c r="BW81" s="443">
        <f t="shared" si="125"/>
        <v>34.227400000000003</v>
      </c>
      <c r="BX81" s="40">
        <f t="shared" si="125"/>
        <v>12.8843</v>
      </c>
      <c r="BY81" s="804">
        <f t="shared" si="125"/>
        <v>0</v>
      </c>
      <c r="BZ81" s="708">
        <f t="shared" si="125"/>
        <v>0</v>
      </c>
      <c r="CA81" s="708">
        <f t="shared" si="125"/>
        <v>0</v>
      </c>
      <c r="CB81" s="708">
        <f t="shared" si="125"/>
        <v>0</v>
      </c>
      <c r="CC81" s="708">
        <f t="shared" si="125"/>
        <v>0</v>
      </c>
      <c r="CD81" s="805">
        <f t="shared" si="125"/>
        <v>0</v>
      </c>
      <c r="CE81" s="916">
        <f t="shared" si="125"/>
        <v>1029457</v>
      </c>
      <c r="CF81" s="917">
        <f t="shared" si="125"/>
        <v>677055</v>
      </c>
      <c r="CG81" s="917">
        <f t="shared" si="125"/>
        <v>228845</v>
      </c>
      <c r="CH81" s="917">
        <f t="shared" ref="CH81:CJ81" si="126">SUM(CH76:CH80)</f>
        <v>6771</v>
      </c>
      <c r="CI81" s="917">
        <f t="shared" si="126"/>
        <v>116786</v>
      </c>
      <c r="CJ81" s="918">
        <f t="shared" si="126"/>
        <v>1.9948999999999999</v>
      </c>
    </row>
    <row r="82" spans="1:88">
      <c r="A82" s="205">
        <v>15</v>
      </c>
      <c r="B82" s="206">
        <v>3442</v>
      </c>
      <c r="C82" s="206">
        <v>600078205</v>
      </c>
      <c r="D82" s="206">
        <v>72743638</v>
      </c>
      <c r="E82" s="204" t="s">
        <v>828</v>
      </c>
      <c r="F82" s="206">
        <v>3111</v>
      </c>
      <c r="G82" s="207" t="s">
        <v>290</v>
      </c>
      <c r="H82" s="607" t="s">
        <v>271</v>
      </c>
      <c r="I82" s="419">
        <v>9097507</v>
      </c>
      <c r="J82" s="414">
        <v>6657723</v>
      </c>
      <c r="K82" s="414">
        <v>5936414</v>
      </c>
      <c r="L82" s="414">
        <v>721309</v>
      </c>
      <c r="M82" s="414">
        <v>59265</v>
      </c>
      <c r="N82" s="414">
        <v>0</v>
      </c>
      <c r="O82" s="414">
        <v>59265</v>
      </c>
      <c r="P82" s="68">
        <v>2270341</v>
      </c>
      <c r="Q82" s="68">
        <v>66578</v>
      </c>
      <c r="R82" s="414">
        <v>43600</v>
      </c>
      <c r="S82" s="415">
        <v>12.632099999999999</v>
      </c>
      <c r="T82" s="416">
        <v>10.172599999999999</v>
      </c>
      <c r="U82" s="422">
        <v>2.4594999999999998</v>
      </c>
      <c r="V82" s="423">
        <f t="shared" si="107"/>
        <v>-5200</v>
      </c>
      <c r="W82" s="417">
        <f t="shared" si="108"/>
        <v>-87015</v>
      </c>
      <c r="X82" s="417">
        <v>0</v>
      </c>
      <c r="Y82" s="417">
        <v>0</v>
      </c>
      <c r="Z82" s="417">
        <v>130691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09"/>
        <v>125491</v>
      </c>
      <c r="AF82" s="417">
        <f t="shared" si="110"/>
        <v>-87015</v>
      </c>
      <c r="AG82" s="417">
        <f t="shared" si="111"/>
        <v>38476</v>
      </c>
      <c r="AH82" s="417">
        <v>5200</v>
      </c>
      <c r="AI82" s="417">
        <v>87015</v>
      </c>
      <c r="AJ82" s="417">
        <v>0</v>
      </c>
      <c r="AK82" s="417">
        <v>0</v>
      </c>
      <c r="AL82" s="417">
        <v>0</v>
      </c>
      <c r="AM82" s="417">
        <f t="shared" si="112"/>
        <v>5200</v>
      </c>
      <c r="AN82" s="417">
        <f t="shared" si="113"/>
        <v>87015</v>
      </c>
      <c r="AO82" s="417">
        <f t="shared" si="114"/>
        <v>92215</v>
      </c>
      <c r="AP82" s="417">
        <f t="shared" si="115"/>
        <v>130691</v>
      </c>
      <c r="AQ82" s="417">
        <f t="shared" si="116"/>
        <v>0</v>
      </c>
      <c r="AR82" s="417">
        <f t="shared" si="117"/>
        <v>130691</v>
      </c>
      <c r="AS82" s="68">
        <f t="shared" si="118"/>
        <v>44174</v>
      </c>
      <c r="AT82" s="68">
        <f t="shared" si="119"/>
        <v>385</v>
      </c>
      <c r="AU82" s="417">
        <v>0</v>
      </c>
      <c r="AV82" s="417">
        <v>0</v>
      </c>
      <c r="AW82" s="417">
        <v>0</v>
      </c>
      <c r="AX82" s="417">
        <f t="shared" si="120"/>
        <v>0</v>
      </c>
      <c r="AY82" s="417">
        <f t="shared" si="121"/>
        <v>175250</v>
      </c>
      <c r="AZ82" s="418">
        <v>0</v>
      </c>
      <c r="BA82" s="418">
        <v>0</v>
      </c>
      <c r="BB82" s="418">
        <v>0</v>
      </c>
      <c r="BC82" s="418">
        <v>0.3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22"/>
        <v>0.3</v>
      </c>
      <c r="BJ82" s="418">
        <f t="shared" si="123"/>
        <v>0</v>
      </c>
      <c r="BK82" s="420">
        <f t="shared" si="124"/>
        <v>0.3</v>
      </c>
      <c r="BL82" s="772">
        <f>I82+AY82</f>
        <v>9272757</v>
      </c>
      <c r="BM82" s="417">
        <f>J82+AG82</f>
        <v>6696199</v>
      </c>
      <c r="BN82" s="417">
        <f t="shared" ref="BN82:BO84" si="127">K82+AE82</f>
        <v>6061905</v>
      </c>
      <c r="BO82" s="417">
        <f t="shared" si="127"/>
        <v>634294</v>
      </c>
      <c r="BP82" s="417">
        <f>M82+AO82</f>
        <v>151480</v>
      </c>
      <c r="BQ82" s="417">
        <f t="shared" ref="BQ82:BR84" si="128">N82+AM82</f>
        <v>5200</v>
      </c>
      <c r="BR82" s="417">
        <f t="shared" si="128"/>
        <v>146280</v>
      </c>
      <c r="BS82" s="417">
        <f t="shared" ref="BS82:BT84" si="129">P82+AS82</f>
        <v>2314515</v>
      </c>
      <c r="BT82" s="417">
        <f t="shared" si="129"/>
        <v>66963</v>
      </c>
      <c r="BU82" s="417">
        <f>R82+AX82</f>
        <v>43600</v>
      </c>
      <c r="BV82" s="418">
        <f>S82+BK82</f>
        <v>12.9321</v>
      </c>
      <c r="BW82" s="418">
        <f t="shared" ref="BW82:BX84" si="130">T82+BI82</f>
        <v>10.4726</v>
      </c>
      <c r="BX82" s="420">
        <f t="shared" si="130"/>
        <v>2.4594999999999998</v>
      </c>
      <c r="BY82" s="419"/>
      <c r="BZ82" s="414"/>
      <c r="CA82" s="414"/>
      <c r="CB82" s="414"/>
      <c r="CC82" s="414"/>
      <c r="CD82" s="509"/>
      <c r="CE82" s="419">
        <v>352128</v>
      </c>
      <c r="CF82" s="414">
        <v>250468</v>
      </c>
      <c r="CG82" s="414">
        <v>84658</v>
      </c>
      <c r="CH82" s="414">
        <v>2505</v>
      </c>
      <c r="CI82" s="414">
        <v>14497</v>
      </c>
      <c r="CJ82" s="509">
        <v>0.86939999999999995</v>
      </c>
    </row>
    <row r="83" spans="1:88">
      <c r="A83" s="205">
        <v>15</v>
      </c>
      <c r="B83" s="206">
        <v>3442</v>
      </c>
      <c r="C83" s="206">
        <v>600078205</v>
      </c>
      <c r="D83" s="206">
        <v>72743638</v>
      </c>
      <c r="E83" s="204" t="s">
        <v>829</v>
      </c>
      <c r="F83" s="206">
        <v>3111</v>
      </c>
      <c r="G83" s="207" t="s">
        <v>291</v>
      </c>
      <c r="H83" s="607" t="s">
        <v>272</v>
      </c>
      <c r="I83" s="419">
        <v>1975067</v>
      </c>
      <c r="J83" s="414">
        <v>1465183</v>
      </c>
      <c r="K83" s="414">
        <v>1465183</v>
      </c>
      <c r="L83" s="414">
        <v>0</v>
      </c>
      <c r="M83" s="414">
        <v>0</v>
      </c>
      <c r="N83" s="414">
        <v>0</v>
      </c>
      <c r="O83" s="414">
        <v>0</v>
      </c>
      <c r="P83" s="68">
        <v>495232</v>
      </c>
      <c r="Q83" s="68">
        <v>14652</v>
      </c>
      <c r="R83" s="414">
        <v>0</v>
      </c>
      <c r="S83" s="415">
        <v>4.1199999999999992</v>
      </c>
      <c r="T83" s="416">
        <v>4.1199999999999992</v>
      </c>
      <c r="U83" s="422">
        <v>0</v>
      </c>
      <c r="V83" s="423">
        <f t="shared" si="107"/>
        <v>0</v>
      </c>
      <c r="W83" s="417">
        <f t="shared" si="108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09"/>
        <v>0</v>
      </c>
      <c r="AF83" s="417">
        <f t="shared" si="110"/>
        <v>0</v>
      </c>
      <c r="AG83" s="417">
        <f t="shared" si="111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12"/>
        <v>0</v>
      </c>
      <c r="AN83" s="417">
        <f t="shared" si="113"/>
        <v>0</v>
      </c>
      <c r="AO83" s="417">
        <f t="shared" si="114"/>
        <v>0</v>
      </c>
      <c r="AP83" s="417">
        <f t="shared" si="115"/>
        <v>0</v>
      </c>
      <c r="AQ83" s="417">
        <f t="shared" si="116"/>
        <v>0</v>
      </c>
      <c r="AR83" s="417">
        <f t="shared" si="117"/>
        <v>0</v>
      </c>
      <c r="AS83" s="68">
        <f t="shared" si="118"/>
        <v>0</v>
      </c>
      <c r="AT83" s="68">
        <f t="shared" si="119"/>
        <v>0</v>
      </c>
      <c r="AU83" s="417">
        <v>0</v>
      </c>
      <c r="AV83" s="417">
        <v>0</v>
      </c>
      <c r="AW83" s="417">
        <v>0</v>
      </c>
      <c r="AX83" s="417">
        <f t="shared" si="120"/>
        <v>0</v>
      </c>
      <c r="AY83" s="417">
        <f t="shared" si="121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22"/>
        <v>0</v>
      </c>
      <c r="BJ83" s="418">
        <f t="shared" si="123"/>
        <v>0</v>
      </c>
      <c r="BK83" s="420">
        <f t="shared" si="124"/>
        <v>0</v>
      </c>
      <c r="BL83" s="772">
        <f>I83+AY83</f>
        <v>1975067</v>
      </c>
      <c r="BM83" s="417">
        <f>J83+AG83</f>
        <v>1465183</v>
      </c>
      <c r="BN83" s="417">
        <f t="shared" si="127"/>
        <v>1465183</v>
      </c>
      <c r="BO83" s="417">
        <f t="shared" si="127"/>
        <v>0</v>
      </c>
      <c r="BP83" s="417">
        <f>M83+AO83</f>
        <v>0</v>
      </c>
      <c r="BQ83" s="417">
        <f t="shared" si="128"/>
        <v>0</v>
      </c>
      <c r="BR83" s="417">
        <f t="shared" si="128"/>
        <v>0</v>
      </c>
      <c r="BS83" s="417">
        <f t="shared" si="129"/>
        <v>495232</v>
      </c>
      <c r="BT83" s="417">
        <f t="shared" si="129"/>
        <v>14652</v>
      </c>
      <c r="BU83" s="417">
        <f>R83+AX83</f>
        <v>0</v>
      </c>
      <c r="BV83" s="418">
        <f>S83+BK83</f>
        <v>4.1199999999999992</v>
      </c>
      <c r="BW83" s="418">
        <f t="shared" si="130"/>
        <v>4.1199999999999992</v>
      </c>
      <c r="BX83" s="420">
        <f t="shared" si="130"/>
        <v>0</v>
      </c>
      <c r="BY83" s="419"/>
      <c r="BZ83" s="414"/>
      <c r="CA83" s="414"/>
      <c r="CB83" s="414"/>
      <c r="CC83" s="414"/>
      <c r="CD83" s="509"/>
      <c r="CE83" s="419"/>
      <c r="CF83" s="414"/>
      <c r="CG83" s="414"/>
      <c r="CH83" s="414"/>
      <c r="CI83" s="414"/>
      <c r="CJ83" s="509"/>
    </row>
    <row r="84" spans="1:88" s="3" customFormat="1">
      <c r="A84" s="205">
        <v>15</v>
      </c>
      <c r="B84" s="206">
        <v>3442</v>
      </c>
      <c r="C84" s="206">
        <v>600078205</v>
      </c>
      <c r="D84" s="206">
        <v>72743638</v>
      </c>
      <c r="E84" s="204" t="s">
        <v>829</v>
      </c>
      <c r="F84" s="206">
        <v>3141</v>
      </c>
      <c r="G84" s="207" t="s">
        <v>294</v>
      </c>
      <c r="H84" s="607" t="s">
        <v>272</v>
      </c>
      <c r="I84" s="419">
        <v>1029649</v>
      </c>
      <c r="J84" s="414">
        <v>760401</v>
      </c>
      <c r="K84" s="414">
        <v>0</v>
      </c>
      <c r="L84" s="414">
        <v>760401</v>
      </c>
      <c r="M84" s="414">
        <v>0</v>
      </c>
      <c r="N84" s="414">
        <v>0</v>
      </c>
      <c r="O84" s="414">
        <v>0</v>
      </c>
      <c r="P84" s="68">
        <v>257016</v>
      </c>
      <c r="Q84" s="68">
        <v>7604</v>
      </c>
      <c r="R84" s="414">
        <v>4628</v>
      </c>
      <c r="S84" s="415">
        <v>2.2799999999999998</v>
      </c>
      <c r="T84" s="416">
        <v>0</v>
      </c>
      <c r="U84" s="422">
        <v>2.2799999999999998</v>
      </c>
      <c r="V84" s="423">
        <f t="shared" si="107"/>
        <v>0</v>
      </c>
      <c r="W84" s="417">
        <f t="shared" si="108"/>
        <v>0</v>
      </c>
      <c r="X84" s="417">
        <v>0</v>
      </c>
      <c r="Y84" s="417">
        <v>0</v>
      </c>
      <c r="Z84" s="417">
        <v>0</v>
      </c>
      <c r="AA84" s="417">
        <v>-26058</v>
      </c>
      <c r="AB84" s="417">
        <v>0</v>
      </c>
      <c r="AC84" s="417">
        <v>0</v>
      </c>
      <c r="AD84" s="417">
        <v>0</v>
      </c>
      <c r="AE84" s="417">
        <f t="shared" si="109"/>
        <v>0</v>
      </c>
      <c r="AF84" s="417">
        <f t="shared" si="110"/>
        <v>-26058</v>
      </c>
      <c r="AG84" s="417">
        <f t="shared" si="111"/>
        <v>-26058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12"/>
        <v>0</v>
      </c>
      <c r="AN84" s="417">
        <f t="shared" si="113"/>
        <v>0</v>
      </c>
      <c r="AO84" s="417">
        <f t="shared" si="114"/>
        <v>0</v>
      </c>
      <c r="AP84" s="417">
        <f t="shared" si="115"/>
        <v>0</v>
      </c>
      <c r="AQ84" s="417">
        <f t="shared" si="116"/>
        <v>-26058</v>
      </c>
      <c r="AR84" s="417">
        <f t="shared" si="117"/>
        <v>-26058</v>
      </c>
      <c r="AS84" s="68">
        <f t="shared" si="118"/>
        <v>-8808</v>
      </c>
      <c r="AT84" s="68">
        <f t="shared" si="119"/>
        <v>-261</v>
      </c>
      <c r="AU84" s="417">
        <v>0</v>
      </c>
      <c r="AV84" s="417">
        <v>0</v>
      </c>
      <c r="AW84" s="417">
        <v>0</v>
      </c>
      <c r="AX84" s="417">
        <f t="shared" si="120"/>
        <v>0</v>
      </c>
      <c r="AY84" s="417">
        <f t="shared" si="121"/>
        <v>-35127</v>
      </c>
      <c r="AZ84" s="418">
        <v>0</v>
      </c>
      <c r="BA84" s="418">
        <v>0</v>
      </c>
      <c r="BB84" s="418">
        <v>0</v>
      </c>
      <c r="BC84" s="418">
        <v>0</v>
      </c>
      <c r="BD84" s="418">
        <v>-0.08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22"/>
        <v>0</v>
      </c>
      <c r="BJ84" s="418">
        <f t="shared" si="123"/>
        <v>-0.08</v>
      </c>
      <c r="BK84" s="420">
        <f t="shared" si="124"/>
        <v>-0.08</v>
      </c>
      <c r="BL84" s="772">
        <f>I84+AY84</f>
        <v>994522</v>
      </c>
      <c r="BM84" s="417">
        <f>J84+AG84</f>
        <v>734343</v>
      </c>
      <c r="BN84" s="417">
        <f t="shared" si="127"/>
        <v>0</v>
      </c>
      <c r="BO84" s="417">
        <f t="shared" si="127"/>
        <v>734343</v>
      </c>
      <c r="BP84" s="417">
        <f>M84+AO84</f>
        <v>0</v>
      </c>
      <c r="BQ84" s="417">
        <f t="shared" si="128"/>
        <v>0</v>
      </c>
      <c r="BR84" s="417">
        <f t="shared" si="128"/>
        <v>0</v>
      </c>
      <c r="BS84" s="417">
        <f t="shared" si="129"/>
        <v>248208</v>
      </c>
      <c r="BT84" s="417">
        <f t="shared" si="129"/>
        <v>7343</v>
      </c>
      <c r="BU84" s="417">
        <f>R84+AX84</f>
        <v>4628</v>
      </c>
      <c r="BV84" s="418">
        <f>S84+BK84</f>
        <v>2.1999999999999997</v>
      </c>
      <c r="BW84" s="418">
        <f t="shared" si="130"/>
        <v>0</v>
      </c>
      <c r="BX84" s="420">
        <f t="shared" si="130"/>
        <v>2.1999999999999997</v>
      </c>
      <c r="BY84" s="419"/>
      <c r="BZ84" s="414"/>
      <c r="CA84" s="414"/>
      <c r="CB84" s="414"/>
      <c r="CC84" s="414"/>
      <c r="CD84" s="509"/>
      <c r="CE84" s="419"/>
      <c r="CF84" s="601"/>
      <c r="CG84" s="414"/>
      <c r="CH84" s="414"/>
      <c r="CI84" s="601"/>
      <c r="CJ84" s="603"/>
    </row>
    <row r="85" spans="1:88">
      <c r="A85" s="155">
        <v>15</v>
      </c>
      <c r="B85" s="18">
        <v>3442</v>
      </c>
      <c r="C85" s="18">
        <v>600078205</v>
      </c>
      <c r="D85" s="18">
        <v>72743638</v>
      </c>
      <c r="E85" s="164" t="s">
        <v>113</v>
      </c>
      <c r="F85" s="18"/>
      <c r="G85" s="154"/>
      <c r="H85" s="608"/>
      <c r="I85" s="447">
        <v>12102223</v>
      </c>
      <c r="J85" s="444">
        <v>8883307</v>
      </c>
      <c r="K85" s="444">
        <v>7401597</v>
      </c>
      <c r="L85" s="444">
        <v>1481710</v>
      </c>
      <c r="M85" s="444">
        <v>59265</v>
      </c>
      <c r="N85" s="444">
        <v>0</v>
      </c>
      <c r="O85" s="444">
        <v>59265</v>
      </c>
      <c r="P85" s="444">
        <v>3022589</v>
      </c>
      <c r="Q85" s="444">
        <v>88834</v>
      </c>
      <c r="R85" s="444">
        <v>48228</v>
      </c>
      <c r="S85" s="445">
        <v>19.0321</v>
      </c>
      <c r="T85" s="445">
        <v>14.292599999999998</v>
      </c>
      <c r="U85" s="449">
        <v>4.7394999999999996</v>
      </c>
      <c r="V85" s="447">
        <f t="shared" ref="V85:CG85" si="131">SUM(V82:V84)</f>
        <v>-5200</v>
      </c>
      <c r="W85" s="444">
        <f t="shared" si="131"/>
        <v>-87015</v>
      </c>
      <c r="X85" s="444">
        <f t="shared" si="131"/>
        <v>0</v>
      </c>
      <c r="Y85" s="444">
        <f t="shared" si="131"/>
        <v>0</v>
      </c>
      <c r="Z85" s="444">
        <f t="shared" si="131"/>
        <v>130691</v>
      </c>
      <c r="AA85" s="444">
        <f t="shared" si="131"/>
        <v>-26058</v>
      </c>
      <c r="AB85" s="444">
        <f t="shared" si="131"/>
        <v>0</v>
      </c>
      <c r="AC85" s="444">
        <f t="shared" si="131"/>
        <v>0</v>
      </c>
      <c r="AD85" s="444">
        <f t="shared" si="131"/>
        <v>0</v>
      </c>
      <c r="AE85" s="444">
        <f t="shared" si="131"/>
        <v>125491</v>
      </c>
      <c r="AF85" s="444">
        <f t="shared" si="131"/>
        <v>-113073</v>
      </c>
      <c r="AG85" s="444">
        <f t="shared" si="131"/>
        <v>12418</v>
      </c>
      <c r="AH85" s="444">
        <f t="shared" si="131"/>
        <v>5200</v>
      </c>
      <c r="AI85" s="444">
        <f t="shared" si="131"/>
        <v>87015</v>
      </c>
      <c r="AJ85" s="444">
        <f t="shared" si="131"/>
        <v>0</v>
      </c>
      <c r="AK85" s="444">
        <f t="shared" si="131"/>
        <v>0</v>
      </c>
      <c r="AL85" s="444">
        <f t="shared" si="131"/>
        <v>0</v>
      </c>
      <c r="AM85" s="444">
        <f t="shared" si="131"/>
        <v>5200</v>
      </c>
      <c r="AN85" s="444">
        <f t="shared" si="131"/>
        <v>87015</v>
      </c>
      <c r="AO85" s="444">
        <f t="shared" si="131"/>
        <v>92215</v>
      </c>
      <c r="AP85" s="444">
        <f t="shared" si="131"/>
        <v>130691</v>
      </c>
      <c r="AQ85" s="444">
        <f t="shared" si="131"/>
        <v>-26058</v>
      </c>
      <c r="AR85" s="444">
        <f t="shared" si="131"/>
        <v>104633</v>
      </c>
      <c r="AS85" s="444">
        <f t="shared" si="131"/>
        <v>35366</v>
      </c>
      <c r="AT85" s="444">
        <f t="shared" si="131"/>
        <v>124</v>
      </c>
      <c r="AU85" s="444">
        <f t="shared" si="131"/>
        <v>0</v>
      </c>
      <c r="AV85" s="444">
        <f t="shared" si="131"/>
        <v>0</v>
      </c>
      <c r="AW85" s="444">
        <f t="shared" si="131"/>
        <v>0</v>
      </c>
      <c r="AX85" s="444">
        <f t="shared" si="131"/>
        <v>0</v>
      </c>
      <c r="AY85" s="444">
        <f t="shared" si="131"/>
        <v>140123</v>
      </c>
      <c r="AZ85" s="445">
        <f t="shared" si="131"/>
        <v>0</v>
      </c>
      <c r="BA85" s="445">
        <f t="shared" si="131"/>
        <v>0</v>
      </c>
      <c r="BB85" s="445">
        <f t="shared" si="131"/>
        <v>0</v>
      </c>
      <c r="BC85" s="445">
        <f t="shared" si="131"/>
        <v>0.3</v>
      </c>
      <c r="BD85" s="445">
        <f t="shared" si="131"/>
        <v>-0.08</v>
      </c>
      <c r="BE85" s="445">
        <f t="shared" si="131"/>
        <v>0</v>
      </c>
      <c r="BF85" s="445">
        <f t="shared" si="131"/>
        <v>0</v>
      </c>
      <c r="BG85" s="445">
        <f t="shared" si="131"/>
        <v>0</v>
      </c>
      <c r="BH85" s="445">
        <f t="shared" si="131"/>
        <v>0</v>
      </c>
      <c r="BI85" s="445">
        <f t="shared" si="131"/>
        <v>0.3</v>
      </c>
      <c r="BJ85" s="445">
        <f t="shared" si="131"/>
        <v>-0.08</v>
      </c>
      <c r="BK85" s="39">
        <f t="shared" si="131"/>
        <v>0.21999999999999997</v>
      </c>
      <c r="BL85" s="451">
        <f t="shared" si="131"/>
        <v>12242346</v>
      </c>
      <c r="BM85" s="444">
        <f t="shared" si="131"/>
        <v>8895725</v>
      </c>
      <c r="BN85" s="444">
        <f t="shared" si="131"/>
        <v>7527088</v>
      </c>
      <c r="BO85" s="444">
        <f t="shared" si="131"/>
        <v>1368637</v>
      </c>
      <c r="BP85" s="444">
        <f t="shared" si="131"/>
        <v>151480</v>
      </c>
      <c r="BQ85" s="444">
        <f t="shared" si="131"/>
        <v>5200</v>
      </c>
      <c r="BR85" s="444">
        <f t="shared" si="131"/>
        <v>146280</v>
      </c>
      <c r="BS85" s="444">
        <f t="shared" si="131"/>
        <v>3057955</v>
      </c>
      <c r="BT85" s="444">
        <f t="shared" si="131"/>
        <v>88958</v>
      </c>
      <c r="BU85" s="444">
        <f t="shared" si="131"/>
        <v>48228</v>
      </c>
      <c r="BV85" s="445">
        <f t="shared" si="131"/>
        <v>19.252099999999999</v>
      </c>
      <c r="BW85" s="445">
        <f t="shared" si="131"/>
        <v>14.592599999999999</v>
      </c>
      <c r="BX85" s="39">
        <f t="shared" si="131"/>
        <v>4.6594999999999995</v>
      </c>
      <c r="BY85" s="806">
        <f t="shared" si="131"/>
        <v>0</v>
      </c>
      <c r="BZ85" s="709">
        <f t="shared" si="131"/>
        <v>0</v>
      </c>
      <c r="CA85" s="709">
        <f t="shared" si="131"/>
        <v>0</v>
      </c>
      <c r="CB85" s="709">
        <f t="shared" si="131"/>
        <v>0</v>
      </c>
      <c r="CC85" s="709">
        <f t="shared" si="131"/>
        <v>0</v>
      </c>
      <c r="CD85" s="807">
        <f t="shared" si="131"/>
        <v>0</v>
      </c>
      <c r="CE85" s="919">
        <f t="shared" si="131"/>
        <v>352128</v>
      </c>
      <c r="CF85" s="920">
        <f t="shared" si="131"/>
        <v>250468</v>
      </c>
      <c r="CG85" s="920">
        <f t="shared" si="131"/>
        <v>84658</v>
      </c>
      <c r="CH85" s="920">
        <f t="shared" ref="CH85:CJ85" si="132">SUM(CH82:CH84)</f>
        <v>2505</v>
      </c>
      <c r="CI85" s="920">
        <f t="shared" si="132"/>
        <v>14497</v>
      </c>
      <c r="CJ85" s="921">
        <f t="shared" si="132"/>
        <v>0.86939999999999995</v>
      </c>
    </row>
    <row r="86" spans="1:88" s="3" customFormat="1">
      <c r="A86" s="205">
        <v>16</v>
      </c>
      <c r="B86" s="206">
        <v>3452</v>
      </c>
      <c r="C86" s="206">
        <v>600078264</v>
      </c>
      <c r="D86" s="206">
        <v>72743557</v>
      </c>
      <c r="E86" s="204" t="s">
        <v>830</v>
      </c>
      <c r="F86" s="206">
        <v>3111</v>
      </c>
      <c r="G86" s="207" t="s">
        <v>290</v>
      </c>
      <c r="H86" s="607" t="s">
        <v>271</v>
      </c>
      <c r="I86" s="419">
        <v>0</v>
      </c>
      <c r="J86" s="414">
        <v>0</v>
      </c>
      <c r="K86" s="414">
        <v>0</v>
      </c>
      <c r="L86" s="414">
        <v>0</v>
      </c>
      <c r="M86" s="414">
        <v>0</v>
      </c>
      <c r="N86" s="414">
        <v>0</v>
      </c>
      <c r="O86" s="414">
        <v>0</v>
      </c>
      <c r="P86" s="68">
        <v>0</v>
      </c>
      <c r="Q86" s="68">
        <v>0</v>
      </c>
      <c r="R86" s="414">
        <v>0</v>
      </c>
      <c r="S86" s="415">
        <v>4.8000000000003595E-3</v>
      </c>
      <c r="T86" s="416">
        <v>4.7999999999999154E-3</v>
      </c>
      <c r="U86" s="422">
        <v>0</v>
      </c>
      <c r="V86" s="423">
        <f t="shared" si="107"/>
        <v>0</v>
      </c>
      <c r="W86" s="417">
        <f t="shared" si="108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09"/>
        <v>0</v>
      </c>
      <c r="AF86" s="417">
        <f t="shared" si="110"/>
        <v>0</v>
      </c>
      <c r="AG86" s="417">
        <f t="shared" si="111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12"/>
        <v>0</v>
      </c>
      <c r="AN86" s="417">
        <f t="shared" si="113"/>
        <v>0</v>
      </c>
      <c r="AO86" s="417">
        <f t="shared" si="114"/>
        <v>0</v>
      </c>
      <c r="AP86" s="417">
        <f t="shared" si="115"/>
        <v>0</v>
      </c>
      <c r="AQ86" s="417">
        <f t="shared" si="116"/>
        <v>0</v>
      </c>
      <c r="AR86" s="417">
        <f t="shared" si="117"/>
        <v>0</v>
      </c>
      <c r="AS86" s="68">
        <f t="shared" si="118"/>
        <v>0</v>
      </c>
      <c r="AT86" s="68">
        <f t="shared" si="119"/>
        <v>0</v>
      </c>
      <c r="AU86" s="417">
        <v>0</v>
      </c>
      <c r="AV86" s="417">
        <v>0</v>
      </c>
      <c r="AW86" s="417">
        <v>0</v>
      </c>
      <c r="AX86" s="417">
        <f t="shared" si="120"/>
        <v>0</v>
      </c>
      <c r="AY86" s="417">
        <f t="shared" si="121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22"/>
        <v>0</v>
      </c>
      <c r="BJ86" s="418">
        <f t="shared" si="123"/>
        <v>0</v>
      </c>
      <c r="BK86" s="420">
        <f t="shared" si="124"/>
        <v>0</v>
      </c>
      <c r="BL86" s="772">
        <f t="shared" ref="BL86:BL91" si="133">I86+AY86</f>
        <v>0</v>
      </c>
      <c r="BM86" s="417">
        <f t="shared" ref="BM86:BM91" si="134">J86+AG86</f>
        <v>0</v>
      </c>
      <c r="BN86" s="417">
        <f t="shared" ref="BN86:BO91" si="135">K86+AE86</f>
        <v>0</v>
      </c>
      <c r="BO86" s="417">
        <f t="shared" si="135"/>
        <v>0</v>
      </c>
      <c r="BP86" s="417">
        <f t="shared" ref="BP86:BP91" si="136">M86+AO86</f>
        <v>0</v>
      </c>
      <c r="BQ86" s="417">
        <f t="shared" ref="BQ86:BR91" si="137">N86+AM86</f>
        <v>0</v>
      </c>
      <c r="BR86" s="417">
        <f t="shared" si="137"/>
        <v>0</v>
      </c>
      <c r="BS86" s="417">
        <f t="shared" ref="BS86:BT91" si="138">P86+AS86</f>
        <v>0</v>
      </c>
      <c r="BT86" s="417">
        <f t="shared" si="138"/>
        <v>0</v>
      </c>
      <c r="BU86" s="417">
        <f t="shared" ref="BU86:BU91" si="139">R86+AX86</f>
        <v>0</v>
      </c>
      <c r="BV86" s="418">
        <f t="shared" ref="BV86:BV91" si="140">S86+BK86</f>
        <v>4.8000000000003595E-3</v>
      </c>
      <c r="BW86" s="418">
        <f t="shared" ref="BW86:BX91" si="141">T86+BI86</f>
        <v>4.7999999999999154E-3</v>
      </c>
      <c r="BX86" s="420">
        <f t="shared" si="141"/>
        <v>0</v>
      </c>
      <c r="BY86" s="419"/>
      <c r="BZ86" s="414"/>
      <c r="CA86" s="414"/>
      <c r="CB86" s="414"/>
      <c r="CC86" s="414"/>
      <c r="CD86" s="509"/>
      <c r="CE86" s="419">
        <v>0</v>
      </c>
      <c r="CF86" s="414">
        <v>0</v>
      </c>
      <c r="CG86" s="414">
        <v>0</v>
      </c>
      <c r="CH86" s="414">
        <v>0</v>
      </c>
      <c r="CI86" s="414">
        <v>0</v>
      </c>
      <c r="CJ86" s="509">
        <v>0</v>
      </c>
    </row>
    <row r="87" spans="1:88">
      <c r="A87" s="205">
        <v>16</v>
      </c>
      <c r="B87" s="206">
        <v>3452</v>
      </c>
      <c r="C87" s="206">
        <v>600078264</v>
      </c>
      <c r="D87" s="206">
        <v>72743557</v>
      </c>
      <c r="E87" s="204" t="s">
        <v>831</v>
      </c>
      <c r="F87" s="206">
        <v>3113</v>
      </c>
      <c r="G87" s="207" t="s">
        <v>293</v>
      </c>
      <c r="H87" s="607" t="s">
        <v>271</v>
      </c>
      <c r="I87" s="419">
        <v>21929798</v>
      </c>
      <c r="J87" s="414">
        <v>15920117</v>
      </c>
      <c r="K87" s="414">
        <v>14069101</v>
      </c>
      <c r="L87" s="414">
        <v>1851016</v>
      </c>
      <c r="M87" s="414">
        <v>110000</v>
      </c>
      <c r="N87" s="414">
        <v>65000</v>
      </c>
      <c r="O87" s="414">
        <v>45000</v>
      </c>
      <c r="P87" s="68">
        <v>5418180</v>
      </c>
      <c r="Q87" s="68">
        <v>159201</v>
      </c>
      <c r="R87" s="414">
        <v>322300</v>
      </c>
      <c r="S87" s="415">
        <v>27.369599999999998</v>
      </c>
      <c r="T87" s="416">
        <v>21.833600000000001</v>
      </c>
      <c r="U87" s="422">
        <v>5.5360000000000005</v>
      </c>
      <c r="V87" s="423">
        <f t="shared" si="107"/>
        <v>-10000</v>
      </c>
      <c r="W87" s="417">
        <f t="shared" si="108"/>
        <v>-10000</v>
      </c>
      <c r="X87" s="417">
        <v>0</v>
      </c>
      <c r="Y87" s="417">
        <v>0</v>
      </c>
      <c r="Z87" s="417">
        <v>-146302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09"/>
        <v>-156302</v>
      </c>
      <c r="AF87" s="417">
        <f t="shared" si="110"/>
        <v>-10000</v>
      </c>
      <c r="AG87" s="417">
        <f t="shared" si="111"/>
        <v>-166302</v>
      </c>
      <c r="AH87" s="417">
        <v>10000</v>
      </c>
      <c r="AI87" s="417">
        <v>10000</v>
      </c>
      <c r="AJ87" s="417">
        <v>0</v>
      </c>
      <c r="AK87" s="417">
        <v>0</v>
      </c>
      <c r="AL87" s="417">
        <v>0</v>
      </c>
      <c r="AM87" s="417">
        <f t="shared" si="112"/>
        <v>10000</v>
      </c>
      <c r="AN87" s="417">
        <f t="shared" si="113"/>
        <v>10000</v>
      </c>
      <c r="AO87" s="417">
        <f t="shared" si="114"/>
        <v>20000</v>
      </c>
      <c r="AP87" s="417">
        <f t="shared" si="115"/>
        <v>-146302</v>
      </c>
      <c r="AQ87" s="417">
        <f t="shared" si="116"/>
        <v>0</v>
      </c>
      <c r="AR87" s="417">
        <f t="shared" si="117"/>
        <v>-146302</v>
      </c>
      <c r="AS87" s="68">
        <f t="shared" si="118"/>
        <v>-49450</v>
      </c>
      <c r="AT87" s="68">
        <f t="shared" si="119"/>
        <v>-1663</v>
      </c>
      <c r="AU87" s="417">
        <v>0</v>
      </c>
      <c r="AV87" s="417">
        <v>0</v>
      </c>
      <c r="AW87" s="417">
        <v>0</v>
      </c>
      <c r="AX87" s="417">
        <f t="shared" si="120"/>
        <v>0</v>
      </c>
      <c r="AY87" s="417">
        <f t="shared" si="121"/>
        <v>-197415</v>
      </c>
      <c r="AZ87" s="418">
        <v>0</v>
      </c>
      <c r="BA87" s="418">
        <v>0</v>
      </c>
      <c r="BB87" s="418">
        <v>0</v>
      </c>
      <c r="BC87" s="418">
        <v>-0.3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22"/>
        <v>-0.3</v>
      </c>
      <c r="BJ87" s="418">
        <f t="shared" si="123"/>
        <v>0</v>
      </c>
      <c r="BK87" s="420">
        <f t="shared" si="124"/>
        <v>-0.3</v>
      </c>
      <c r="BL87" s="772">
        <f t="shared" si="133"/>
        <v>21732383</v>
      </c>
      <c r="BM87" s="417">
        <f t="shared" si="134"/>
        <v>15753815</v>
      </c>
      <c r="BN87" s="417">
        <f t="shared" si="135"/>
        <v>13912799</v>
      </c>
      <c r="BO87" s="417">
        <f t="shared" si="135"/>
        <v>1841016</v>
      </c>
      <c r="BP87" s="417">
        <f t="shared" si="136"/>
        <v>130000</v>
      </c>
      <c r="BQ87" s="417">
        <f t="shared" si="137"/>
        <v>75000</v>
      </c>
      <c r="BR87" s="417">
        <f t="shared" si="137"/>
        <v>55000</v>
      </c>
      <c r="BS87" s="417">
        <f t="shared" si="138"/>
        <v>5368730</v>
      </c>
      <c r="BT87" s="417">
        <f t="shared" si="138"/>
        <v>157538</v>
      </c>
      <c r="BU87" s="417">
        <f t="shared" si="139"/>
        <v>322300</v>
      </c>
      <c r="BV87" s="418">
        <f t="shared" si="140"/>
        <v>27.069599999999998</v>
      </c>
      <c r="BW87" s="418">
        <f t="shared" si="141"/>
        <v>21.5336</v>
      </c>
      <c r="BX87" s="420">
        <f t="shared" si="141"/>
        <v>5.5360000000000005</v>
      </c>
      <c r="BY87" s="419">
        <v>380136</v>
      </c>
      <c r="BZ87" s="414">
        <v>282000</v>
      </c>
      <c r="CA87" s="414">
        <v>0</v>
      </c>
      <c r="CB87" s="414">
        <v>95316</v>
      </c>
      <c r="CC87" s="414">
        <v>2820</v>
      </c>
      <c r="CD87" s="509">
        <v>0.5</v>
      </c>
      <c r="CE87" s="419">
        <v>899040</v>
      </c>
      <c r="CF87" s="414">
        <v>608536</v>
      </c>
      <c r="CG87" s="414">
        <v>205685</v>
      </c>
      <c r="CH87" s="414">
        <v>6085</v>
      </c>
      <c r="CI87" s="414">
        <v>78734</v>
      </c>
      <c r="CJ87" s="509">
        <v>1.7929999999999999</v>
      </c>
    </row>
    <row r="88" spans="1:88">
      <c r="A88" s="205">
        <v>16</v>
      </c>
      <c r="B88" s="206">
        <v>3452</v>
      </c>
      <c r="C88" s="206">
        <v>600078264</v>
      </c>
      <c r="D88" s="206">
        <v>72743557</v>
      </c>
      <c r="E88" s="204" t="s">
        <v>831</v>
      </c>
      <c r="F88" s="206">
        <v>3113</v>
      </c>
      <c r="G88" s="207" t="s">
        <v>291</v>
      </c>
      <c r="H88" s="607" t="s">
        <v>272</v>
      </c>
      <c r="I88" s="419">
        <v>4414807</v>
      </c>
      <c r="J88" s="414">
        <v>3275079</v>
      </c>
      <c r="K88" s="414">
        <v>3275079</v>
      </c>
      <c r="L88" s="414">
        <v>0</v>
      </c>
      <c r="M88" s="414">
        <v>0</v>
      </c>
      <c r="N88" s="414">
        <v>0</v>
      </c>
      <c r="O88" s="414">
        <v>0</v>
      </c>
      <c r="P88" s="68">
        <v>1106977</v>
      </c>
      <c r="Q88" s="68">
        <v>32751</v>
      </c>
      <c r="R88" s="414">
        <v>0</v>
      </c>
      <c r="S88" s="415">
        <v>8.6000000000000014</v>
      </c>
      <c r="T88" s="416">
        <v>8.6000000000000014</v>
      </c>
      <c r="U88" s="422">
        <v>0</v>
      </c>
      <c r="V88" s="423">
        <f t="shared" si="107"/>
        <v>0</v>
      </c>
      <c r="W88" s="417">
        <f t="shared" si="108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09"/>
        <v>0</v>
      </c>
      <c r="AF88" s="417">
        <f t="shared" si="110"/>
        <v>0</v>
      </c>
      <c r="AG88" s="417">
        <f t="shared" si="111"/>
        <v>0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12"/>
        <v>0</v>
      </c>
      <c r="AN88" s="417">
        <f t="shared" si="113"/>
        <v>0</v>
      </c>
      <c r="AO88" s="417">
        <f t="shared" si="114"/>
        <v>0</v>
      </c>
      <c r="AP88" s="417">
        <f t="shared" si="115"/>
        <v>0</v>
      </c>
      <c r="AQ88" s="417">
        <f t="shared" si="116"/>
        <v>0</v>
      </c>
      <c r="AR88" s="417">
        <f t="shared" si="117"/>
        <v>0</v>
      </c>
      <c r="AS88" s="68">
        <f t="shared" si="118"/>
        <v>0</v>
      </c>
      <c r="AT88" s="68">
        <f t="shared" si="119"/>
        <v>0</v>
      </c>
      <c r="AU88" s="417">
        <v>0</v>
      </c>
      <c r="AV88" s="417">
        <v>0</v>
      </c>
      <c r="AW88" s="417">
        <v>0</v>
      </c>
      <c r="AX88" s="417">
        <f t="shared" si="120"/>
        <v>0</v>
      </c>
      <c r="AY88" s="417">
        <f t="shared" si="121"/>
        <v>0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22"/>
        <v>0</v>
      </c>
      <c r="BJ88" s="418">
        <f t="shared" si="123"/>
        <v>0</v>
      </c>
      <c r="BK88" s="420">
        <f t="shared" si="124"/>
        <v>0</v>
      </c>
      <c r="BL88" s="772">
        <f t="shared" si="133"/>
        <v>4414807</v>
      </c>
      <c r="BM88" s="417">
        <f t="shared" si="134"/>
        <v>3275079</v>
      </c>
      <c r="BN88" s="417">
        <f t="shared" si="135"/>
        <v>3275079</v>
      </c>
      <c r="BO88" s="417">
        <f t="shared" si="135"/>
        <v>0</v>
      </c>
      <c r="BP88" s="417">
        <f t="shared" si="136"/>
        <v>0</v>
      </c>
      <c r="BQ88" s="417">
        <f t="shared" si="137"/>
        <v>0</v>
      </c>
      <c r="BR88" s="417">
        <f t="shared" si="137"/>
        <v>0</v>
      </c>
      <c r="BS88" s="417">
        <f t="shared" si="138"/>
        <v>1106977</v>
      </c>
      <c r="BT88" s="417">
        <f t="shared" si="138"/>
        <v>32751</v>
      </c>
      <c r="BU88" s="417">
        <f t="shared" si="139"/>
        <v>0</v>
      </c>
      <c r="BV88" s="418">
        <f t="shared" si="140"/>
        <v>8.6000000000000014</v>
      </c>
      <c r="BW88" s="418">
        <f t="shared" si="141"/>
        <v>8.6000000000000014</v>
      </c>
      <c r="BX88" s="420">
        <f t="shared" si="141"/>
        <v>0</v>
      </c>
      <c r="BY88" s="419"/>
      <c r="BZ88" s="414"/>
      <c r="CA88" s="414"/>
      <c r="CB88" s="414"/>
      <c r="CC88" s="414"/>
      <c r="CD88" s="509"/>
      <c r="CE88" s="419"/>
      <c r="CF88" s="414"/>
      <c r="CG88" s="414"/>
      <c r="CH88" s="414"/>
      <c r="CI88" s="414"/>
      <c r="CJ88" s="509"/>
    </row>
    <row r="89" spans="1:88">
      <c r="A89" s="205">
        <v>16</v>
      </c>
      <c r="B89" s="206">
        <v>3452</v>
      </c>
      <c r="C89" s="206">
        <v>600078264</v>
      </c>
      <c r="D89" s="206">
        <v>72743557</v>
      </c>
      <c r="E89" s="204" t="s">
        <v>831</v>
      </c>
      <c r="F89" s="206">
        <v>3141</v>
      </c>
      <c r="G89" s="207" t="s">
        <v>294</v>
      </c>
      <c r="H89" s="607" t="s">
        <v>272</v>
      </c>
      <c r="I89" s="419">
        <v>2072088</v>
      </c>
      <c r="J89" s="414">
        <v>1508202</v>
      </c>
      <c r="K89" s="414">
        <v>0</v>
      </c>
      <c r="L89" s="414">
        <v>1508202</v>
      </c>
      <c r="M89" s="414">
        <v>20000</v>
      </c>
      <c r="N89" s="414">
        <v>0</v>
      </c>
      <c r="O89" s="414">
        <v>20000</v>
      </c>
      <c r="P89" s="68">
        <v>516532</v>
      </c>
      <c r="Q89" s="68">
        <v>15082</v>
      </c>
      <c r="R89" s="414">
        <v>12272</v>
      </c>
      <c r="S89" s="415">
        <v>4.5600000000000005</v>
      </c>
      <c r="T89" s="416">
        <v>0</v>
      </c>
      <c r="U89" s="422">
        <v>4.5600000000000005</v>
      </c>
      <c r="V89" s="423">
        <f t="shared" si="107"/>
        <v>0</v>
      </c>
      <c r="W89" s="417">
        <f t="shared" si="108"/>
        <v>0</v>
      </c>
      <c r="X89" s="417">
        <v>0</v>
      </c>
      <c r="Y89" s="417">
        <v>0</v>
      </c>
      <c r="Z89" s="417">
        <v>0</v>
      </c>
      <c r="AA89" s="417">
        <v>-21268</v>
      </c>
      <c r="AB89" s="417">
        <v>0</v>
      </c>
      <c r="AC89" s="417">
        <v>0</v>
      </c>
      <c r="AD89" s="417">
        <v>0</v>
      </c>
      <c r="AE89" s="417">
        <f t="shared" si="109"/>
        <v>0</v>
      </c>
      <c r="AF89" s="417">
        <f t="shared" si="110"/>
        <v>-21268</v>
      </c>
      <c r="AG89" s="417">
        <f t="shared" si="111"/>
        <v>-21268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12"/>
        <v>0</v>
      </c>
      <c r="AN89" s="417">
        <f t="shared" si="113"/>
        <v>0</v>
      </c>
      <c r="AO89" s="417">
        <f t="shared" si="114"/>
        <v>0</v>
      </c>
      <c r="AP89" s="417">
        <f t="shared" si="115"/>
        <v>0</v>
      </c>
      <c r="AQ89" s="417">
        <f t="shared" si="116"/>
        <v>-21268</v>
      </c>
      <c r="AR89" s="417">
        <f t="shared" si="117"/>
        <v>-21268</v>
      </c>
      <c r="AS89" s="68">
        <f t="shared" si="118"/>
        <v>-7189</v>
      </c>
      <c r="AT89" s="68">
        <f t="shared" si="119"/>
        <v>-213</v>
      </c>
      <c r="AU89" s="417">
        <v>0</v>
      </c>
      <c r="AV89" s="417">
        <v>0</v>
      </c>
      <c r="AW89" s="417">
        <v>0</v>
      </c>
      <c r="AX89" s="417">
        <f t="shared" si="120"/>
        <v>0</v>
      </c>
      <c r="AY89" s="417">
        <f t="shared" si="121"/>
        <v>-28670</v>
      </c>
      <c r="AZ89" s="418">
        <v>0</v>
      </c>
      <c r="BA89" s="418">
        <v>0</v>
      </c>
      <c r="BB89" s="418">
        <v>0</v>
      </c>
      <c r="BC89" s="418">
        <v>0</v>
      </c>
      <c r="BD89" s="418">
        <v>-7.0000000000000007E-2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22"/>
        <v>0</v>
      </c>
      <c r="BJ89" s="418">
        <f t="shared" si="123"/>
        <v>-7.0000000000000007E-2</v>
      </c>
      <c r="BK89" s="420">
        <f t="shared" si="124"/>
        <v>-7.0000000000000007E-2</v>
      </c>
      <c r="BL89" s="772">
        <f t="shared" si="133"/>
        <v>2043418</v>
      </c>
      <c r="BM89" s="417">
        <f t="shared" si="134"/>
        <v>1486934</v>
      </c>
      <c r="BN89" s="417">
        <f t="shared" si="135"/>
        <v>0</v>
      </c>
      <c r="BO89" s="417">
        <f t="shared" si="135"/>
        <v>1486934</v>
      </c>
      <c r="BP89" s="417">
        <f t="shared" si="136"/>
        <v>20000</v>
      </c>
      <c r="BQ89" s="417">
        <f t="shared" si="137"/>
        <v>0</v>
      </c>
      <c r="BR89" s="417">
        <f t="shared" si="137"/>
        <v>20000</v>
      </c>
      <c r="BS89" s="417">
        <f t="shared" si="138"/>
        <v>509343</v>
      </c>
      <c r="BT89" s="417">
        <f t="shared" si="138"/>
        <v>14869</v>
      </c>
      <c r="BU89" s="417">
        <f t="shared" si="139"/>
        <v>12272</v>
      </c>
      <c r="BV89" s="418">
        <f t="shared" si="140"/>
        <v>4.49</v>
      </c>
      <c r="BW89" s="418">
        <f t="shared" si="141"/>
        <v>0</v>
      </c>
      <c r="BX89" s="420">
        <f t="shared" si="141"/>
        <v>4.49</v>
      </c>
      <c r="BY89" s="419"/>
      <c r="BZ89" s="414"/>
      <c r="CA89" s="414"/>
      <c r="CB89" s="414"/>
      <c r="CC89" s="414"/>
      <c r="CD89" s="509"/>
      <c r="CE89" s="419"/>
      <c r="CF89" s="414"/>
      <c r="CG89" s="414"/>
      <c r="CH89" s="414"/>
      <c r="CI89" s="414"/>
      <c r="CJ89" s="509"/>
    </row>
    <row r="90" spans="1:88">
      <c r="A90" s="205">
        <v>16</v>
      </c>
      <c r="B90" s="206">
        <v>3452</v>
      </c>
      <c r="C90" s="206">
        <v>600078264</v>
      </c>
      <c r="D90" s="206">
        <v>72743557</v>
      </c>
      <c r="E90" s="204" t="s">
        <v>831</v>
      </c>
      <c r="F90" s="206">
        <v>3143</v>
      </c>
      <c r="G90" s="207" t="s">
        <v>595</v>
      </c>
      <c r="H90" s="609" t="s">
        <v>271</v>
      </c>
      <c r="I90" s="419">
        <v>1931282</v>
      </c>
      <c r="J90" s="414">
        <v>1427739</v>
      </c>
      <c r="K90" s="414">
        <v>1427739</v>
      </c>
      <c r="L90" s="414">
        <v>0</v>
      </c>
      <c r="M90" s="414">
        <v>5000</v>
      </c>
      <c r="N90" s="414">
        <v>5000</v>
      </c>
      <c r="O90" s="414">
        <v>0</v>
      </c>
      <c r="P90" s="68">
        <v>484266</v>
      </c>
      <c r="Q90" s="68">
        <v>14277</v>
      </c>
      <c r="R90" s="414">
        <v>0</v>
      </c>
      <c r="S90" s="415">
        <v>2.7757000000000001</v>
      </c>
      <c r="T90" s="416">
        <v>2.7757000000000001</v>
      </c>
      <c r="U90" s="422">
        <v>0</v>
      </c>
      <c r="V90" s="423">
        <f t="shared" si="107"/>
        <v>0</v>
      </c>
      <c r="W90" s="417">
        <f t="shared" si="108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09"/>
        <v>0</v>
      </c>
      <c r="AF90" s="417">
        <f t="shared" si="110"/>
        <v>0</v>
      </c>
      <c r="AG90" s="417">
        <f t="shared" si="111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12"/>
        <v>0</v>
      </c>
      <c r="AN90" s="417">
        <f t="shared" si="113"/>
        <v>0</v>
      </c>
      <c r="AO90" s="417">
        <f t="shared" si="114"/>
        <v>0</v>
      </c>
      <c r="AP90" s="417">
        <f t="shared" si="115"/>
        <v>0</v>
      </c>
      <c r="AQ90" s="417">
        <f t="shared" si="116"/>
        <v>0</v>
      </c>
      <c r="AR90" s="417">
        <f t="shared" si="117"/>
        <v>0</v>
      </c>
      <c r="AS90" s="68">
        <f t="shared" si="118"/>
        <v>0</v>
      </c>
      <c r="AT90" s="68">
        <f t="shared" si="119"/>
        <v>0</v>
      </c>
      <c r="AU90" s="417">
        <v>0</v>
      </c>
      <c r="AV90" s="417">
        <v>0</v>
      </c>
      <c r="AW90" s="417">
        <v>0</v>
      </c>
      <c r="AX90" s="417">
        <f t="shared" si="120"/>
        <v>0</v>
      </c>
      <c r="AY90" s="417">
        <f t="shared" si="121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22"/>
        <v>0</v>
      </c>
      <c r="BJ90" s="418">
        <f t="shared" si="123"/>
        <v>0</v>
      </c>
      <c r="BK90" s="420">
        <f t="shared" si="124"/>
        <v>0</v>
      </c>
      <c r="BL90" s="772">
        <f t="shared" si="133"/>
        <v>1931282</v>
      </c>
      <c r="BM90" s="417">
        <f t="shared" si="134"/>
        <v>1427739</v>
      </c>
      <c r="BN90" s="417">
        <f t="shared" si="135"/>
        <v>1427739</v>
      </c>
      <c r="BO90" s="417">
        <f t="shared" si="135"/>
        <v>0</v>
      </c>
      <c r="BP90" s="417">
        <f t="shared" si="136"/>
        <v>5000</v>
      </c>
      <c r="BQ90" s="417">
        <f t="shared" si="137"/>
        <v>5000</v>
      </c>
      <c r="BR90" s="417">
        <f t="shared" si="137"/>
        <v>0</v>
      </c>
      <c r="BS90" s="417">
        <f t="shared" si="138"/>
        <v>484266</v>
      </c>
      <c r="BT90" s="417">
        <f t="shared" si="138"/>
        <v>14277</v>
      </c>
      <c r="BU90" s="417">
        <f t="shared" si="139"/>
        <v>0</v>
      </c>
      <c r="BV90" s="418">
        <f t="shared" si="140"/>
        <v>2.7757000000000001</v>
      </c>
      <c r="BW90" s="418">
        <f t="shared" si="141"/>
        <v>2.7757000000000001</v>
      </c>
      <c r="BX90" s="420">
        <f t="shared" si="141"/>
        <v>0</v>
      </c>
      <c r="BY90" s="419"/>
      <c r="BZ90" s="414"/>
      <c r="CA90" s="414"/>
      <c r="CB90" s="414"/>
      <c r="CC90" s="414"/>
      <c r="CD90" s="509"/>
      <c r="CE90" s="419"/>
      <c r="CF90" s="414"/>
      <c r="CG90" s="414"/>
      <c r="CH90" s="414"/>
      <c r="CI90" s="414"/>
      <c r="CJ90" s="509"/>
    </row>
    <row r="91" spans="1:88">
      <c r="A91" s="205">
        <v>16</v>
      </c>
      <c r="B91" s="206">
        <v>3452</v>
      </c>
      <c r="C91" s="206">
        <v>600078264</v>
      </c>
      <c r="D91" s="206">
        <v>72743557</v>
      </c>
      <c r="E91" s="204" t="s">
        <v>831</v>
      </c>
      <c r="F91" s="206">
        <v>3143</v>
      </c>
      <c r="G91" s="207" t="s">
        <v>596</v>
      </c>
      <c r="H91" s="609" t="s">
        <v>272</v>
      </c>
      <c r="I91" s="419">
        <v>52969</v>
      </c>
      <c r="J91" s="414">
        <v>32950</v>
      </c>
      <c r="K91" s="414">
        <v>0</v>
      </c>
      <c r="L91" s="414">
        <v>32950</v>
      </c>
      <c r="M91" s="414">
        <v>5000</v>
      </c>
      <c r="N91" s="414">
        <v>0</v>
      </c>
      <c r="O91" s="414">
        <v>5000</v>
      </c>
      <c r="P91" s="68">
        <v>12827</v>
      </c>
      <c r="Q91" s="68">
        <v>329</v>
      </c>
      <c r="R91" s="414">
        <v>1863</v>
      </c>
      <c r="S91" s="415">
        <v>0.15000000000000002</v>
      </c>
      <c r="T91" s="416">
        <v>0</v>
      </c>
      <c r="U91" s="422">
        <v>0.15000000000000002</v>
      </c>
      <c r="V91" s="423">
        <f t="shared" si="107"/>
        <v>0</v>
      </c>
      <c r="W91" s="417">
        <f t="shared" si="108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09"/>
        <v>0</v>
      </c>
      <c r="AF91" s="417">
        <f t="shared" si="110"/>
        <v>0</v>
      </c>
      <c r="AG91" s="417">
        <f t="shared" si="111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2"/>
        <v>0</v>
      </c>
      <c r="AN91" s="417">
        <f t="shared" si="113"/>
        <v>0</v>
      </c>
      <c r="AO91" s="417">
        <f t="shared" si="114"/>
        <v>0</v>
      </c>
      <c r="AP91" s="417">
        <f t="shared" si="115"/>
        <v>0</v>
      </c>
      <c r="AQ91" s="417">
        <f t="shared" si="116"/>
        <v>0</v>
      </c>
      <c r="AR91" s="417">
        <f t="shared" si="117"/>
        <v>0</v>
      </c>
      <c r="AS91" s="68">
        <f t="shared" si="118"/>
        <v>0</v>
      </c>
      <c r="AT91" s="68">
        <f t="shared" si="119"/>
        <v>0</v>
      </c>
      <c r="AU91" s="417">
        <v>0</v>
      </c>
      <c r="AV91" s="417">
        <v>0</v>
      </c>
      <c r="AW91" s="417">
        <v>0</v>
      </c>
      <c r="AX91" s="417">
        <f t="shared" si="120"/>
        <v>0</v>
      </c>
      <c r="AY91" s="417">
        <f t="shared" si="121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22"/>
        <v>0</v>
      </c>
      <c r="BJ91" s="418">
        <f t="shared" si="123"/>
        <v>0</v>
      </c>
      <c r="BK91" s="420">
        <f t="shared" si="124"/>
        <v>0</v>
      </c>
      <c r="BL91" s="772">
        <f t="shared" si="133"/>
        <v>52969</v>
      </c>
      <c r="BM91" s="417">
        <f t="shared" si="134"/>
        <v>32950</v>
      </c>
      <c r="BN91" s="417">
        <f t="shared" si="135"/>
        <v>0</v>
      </c>
      <c r="BO91" s="417">
        <f t="shared" si="135"/>
        <v>32950</v>
      </c>
      <c r="BP91" s="417">
        <f t="shared" si="136"/>
        <v>5000</v>
      </c>
      <c r="BQ91" s="417">
        <f t="shared" si="137"/>
        <v>0</v>
      </c>
      <c r="BR91" s="417">
        <f t="shared" si="137"/>
        <v>5000</v>
      </c>
      <c r="BS91" s="417">
        <f t="shared" si="138"/>
        <v>12827</v>
      </c>
      <c r="BT91" s="417">
        <f t="shared" si="138"/>
        <v>329</v>
      </c>
      <c r="BU91" s="417">
        <f t="shared" si="139"/>
        <v>1863</v>
      </c>
      <c r="BV91" s="418">
        <f t="shared" si="140"/>
        <v>0.15000000000000002</v>
      </c>
      <c r="BW91" s="418">
        <f t="shared" si="141"/>
        <v>0</v>
      </c>
      <c r="BX91" s="420">
        <f t="shared" si="141"/>
        <v>0.15000000000000002</v>
      </c>
      <c r="BY91" s="419"/>
      <c r="BZ91" s="414"/>
      <c r="CA91" s="414"/>
      <c r="CB91" s="414"/>
      <c r="CC91" s="414"/>
      <c r="CD91" s="509"/>
      <c r="CE91" s="419"/>
      <c r="CF91" s="414"/>
      <c r="CG91" s="414"/>
      <c r="CH91" s="414"/>
      <c r="CI91" s="414"/>
      <c r="CJ91" s="509"/>
    </row>
    <row r="92" spans="1:88">
      <c r="A92" s="155">
        <v>16</v>
      </c>
      <c r="B92" s="18">
        <v>3452</v>
      </c>
      <c r="C92" s="18">
        <v>600078264</v>
      </c>
      <c r="D92" s="18">
        <v>72743557</v>
      </c>
      <c r="E92" s="164" t="s">
        <v>114</v>
      </c>
      <c r="F92" s="18"/>
      <c r="G92" s="154"/>
      <c r="H92" s="608"/>
      <c r="I92" s="447">
        <v>30400944</v>
      </c>
      <c r="J92" s="444">
        <v>22164087</v>
      </c>
      <c r="K92" s="444">
        <v>18771919</v>
      </c>
      <c r="L92" s="444">
        <v>3392168</v>
      </c>
      <c r="M92" s="444">
        <v>140000</v>
      </c>
      <c r="N92" s="444">
        <v>70000</v>
      </c>
      <c r="O92" s="444">
        <v>70000</v>
      </c>
      <c r="P92" s="444">
        <v>7538782</v>
      </c>
      <c r="Q92" s="444">
        <v>221640</v>
      </c>
      <c r="R92" s="444">
        <v>336435</v>
      </c>
      <c r="S92" s="445">
        <v>43.460100000000004</v>
      </c>
      <c r="T92" s="445">
        <v>33.214100000000002</v>
      </c>
      <c r="U92" s="449">
        <v>10.246</v>
      </c>
      <c r="V92" s="447">
        <f t="shared" ref="V92:CG92" si="142">SUM(V86:V91)</f>
        <v>-10000</v>
      </c>
      <c r="W92" s="444">
        <f t="shared" si="142"/>
        <v>-10000</v>
      </c>
      <c r="X92" s="444">
        <f t="shared" si="142"/>
        <v>0</v>
      </c>
      <c r="Y92" s="444">
        <f t="shared" si="142"/>
        <v>0</v>
      </c>
      <c r="Z92" s="444">
        <f t="shared" si="142"/>
        <v>-146302</v>
      </c>
      <c r="AA92" s="444">
        <f t="shared" si="142"/>
        <v>-21268</v>
      </c>
      <c r="AB92" s="444">
        <f t="shared" si="142"/>
        <v>0</v>
      </c>
      <c r="AC92" s="444">
        <f t="shared" si="142"/>
        <v>0</v>
      </c>
      <c r="AD92" s="444">
        <f t="shared" si="142"/>
        <v>0</v>
      </c>
      <c r="AE92" s="444">
        <f t="shared" si="142"/>
        <v>-156302</v>
      </c>
      <c r="AF92" s="444">
        <f t="shared" si="142"/>
        <v>-31268</v>
      </c>
      <c r="AG92" s="444">
        <f t="shared" si="142"/>
        <v>-187570</v>
      </c>
      <c r="AH92" s="444">
        <f t="shared" si="142"/>
        <v>10000</v>
      </c>
      <c r="AI92" s="444">
        <f t="shared" si="142"/>
        <v>10000</v>
      </c>
      <c r="AJ92" s="444">
        <f t="shared" si="142"/>
        <v>0</v>
      </c>
      <c r="AK92" s="444">
        <f t="shared" si="142"/>
        <v>0</v>
      </c>
      <c r="AL92" s="444">
        <f t="shared" si="142"/>
        <v>0</v>
      </c>
      <c r="AM92" s="444">
        <f t="shared" si="142"/>
        <v>10000</v>
      </c>
      <c r="AN92" s="444">
        <f t="shared" si="142"/>
        <v>10000</v>
      </c>
      <c r="AO92" s="444">
        <f t="shared" si="142"/>
        <v>20000</v>
      </c>
      <c r="AP92" s="444">
        <f t="shared" si="142"/>
        <v>-146302</v>
      </c>
      <c r="AQ92" s="444">
        <f t="shared" si="142"/>
        <v>-21268</v>
      </c>
      <c r="AR92" s="444">
        <f t="shared" si="142"/>
        <v>-167570</v>
      </c>
      <c r="AS92" s="444">
        <f t="shared" si="142"/>
        <v>-56639</v>
      </c>
      <c r="AT92" s="444">
        <f t="shared" si="142"/>
        <v>-1876</v>
      </c>
      <c r="AU92" s="444">
        <f t="shared" si="142"/>
        <v>0</v>
      </c>
      <c r="AV92" s="444">
        <f t="shared" si="142"/>
        <v>0</v>
      </c>
      <c r="AW92" s="444">
        <f t="shared" si="142"/>
        <v>0</v>
      </c>
      <c r="AX92" s="444">
        <f t="shared" si="142"/>
        <v>0</v>
      </c>
      <c r="AY92" s="444">
        <f t="shared" si="142"/>
        <v>-226085</v>
      </c>
      <c r="AZ92" s="445">
        <f t="shared" si="142"/>
        <v>0</v>
      </c>
      <c r="BA92" s="445">
        <f t="shared" si="142"/>
        <v>0</v>
      </c>
      <c r="BB92" s="445">
        <f t="shared" si="142"/>
        <v>0</v>
      </c>
      <c r="BC92" s="445">
        <f t="shared" si="142"/>
        <v>-0.3</v>
      </c>
      <c r="BD92" s="445">
        <f t="shared" si="142"/>
        <v>-7.0000000000000007E-2</v>
      </c>
      <c r="BE92" s="445">
        <f t="shared" si="142"/>
        <v>0</v>
      </c>
      <c r="BF92" s="445">
        <f t="shared" si="142"/>
        <v>0</v>
      </c>
      <c r="BG92" s="445">
        <f t="shared" si="142"/>
        <v>0</v>
      </c>
      <c r="BH92" s="445">
        <f t="shared" si="142"/>
        <v>0</v>
      </c>
      <c r="BI92" s="445">
        <f t="shared" si="142"/>
        <v>-0.3</v>
      </c>
      <c r="BJ92" s="445">
        <f t="shared" si="142"/>
        <v>-7.0000000000000007E-2</v>
      </c>
      <c r="BK92" s="39">
        <f t="shared" si="142"/>
        <v>-0.37</v>
      </c>
      <c r="BL92" s="451">
        <f t="shared" si="142"/>
        <v>30174859</v>
      </c>
      <c r="BM92" s="444">
        <f t="shared" si="142"/>
        <v>21976517</v>
      </c>
      <c r="BN92" s="444">
        <f t="shared" si="142"/>
        <v>18615617</v>
      </c>
      <c r="BO92" s="444">
        <f t="shared" si="142"/>
        <v>3360900</v>
      </c>
      <c r="BP92" s="444">
        <f t="shared" si="142"/>
        <v>160000</v>
      </c>
      <c r="BQ92" s="444">
        <f t="shared" si="142"/>
        <v>80000</v>
      </c>
      <c r="BR92" s="444">
        <f t="shared" si="142"/>
        <v>80000</v>
      </c>
      <c r="BS92" s="444">
        <f t="shared" si="142"/>
        <v>7482143</v>
      </c>
      <c r="BT92" s="444">
        <f t="shared" si="142"/>
        <v>219764</v>
      </c>
      <c r="BU92" s="444">
        <f t="shared" si="142"/>
        <v>336435</v>
      </c>
      <c r="BV92" s="445">
        <f t="shared" si="142"/>
        <v>43.0901</v>
      </c>
      <c r="BW92" s="445">
        <f t="shared" si="142"/>
        <v>32.914099999999998</v>
      </c>
      <c r="BX92" s="39">
        <f t="shared" si="142"/>
        <v>10.176</v>
      </c>
      <c r="BY92" s="806">
        <f t="shared" si="142"/>
        <v>380136</v>
      </c>
      <c r="BZ92" s="709">
        <f t="shared" si="142"/>
        <v>282000</v>
      </c>
      <c r="CA92" s="709">
        <f t="shared" si="142"/>
        <v>0</v>
      </c>
      <c r="CB92" s="709">
        <f t="shared" si="142"/>
        <v>95316</v>
      </c>
      <c r="CC92" s="709">
        <f t="shared" si="142"/>
        <v>2820</v>
      </c>
      <c r="CD92" s="807">
        <f t="shared" si="142"/>
        <v>0.5</v>
      </c>
      <c r="CE92" s="919">
        <f t="shared" si="142"/>
        <v>899040</v>
      </c>
      <c r="CF92" s="920">
        <f t="shared" si="142"/>
        <v>608536</v>
      </c>
      <c r="CG92" s="920">
        <f t="shared" si="142"/>
        <v>205685</v>
      </c>
      <c r="CH92" s="920">
        <f t="shared" ref="CH92:CJ92" si="143">SUM(CH86:CH91)</f>
        <v>6085</v>
      </c>
      <c r="CI92" s="920">
        <f t="shared" si="143"/>
        <v>78734</v>
      </c>
      <c r="CJ92" s="921">
        <f t="shared" si="143"/>
        <v>1.7929999999999999</v>
      </c>
    </row>
    <row r="93" spans="1:88">
      <c r="A93" s="205">
        <v>17</v>
      </c>
      <c r="B93" s="206">
        <v>3445</v>
      </c>
      <c r="C93" s="206">
        <v>600078604</v>
      </c>
      <c r="D93" s="206">
        <v>70695849</v>
      </c>
      <c r="E93" s="204" t="s">
        <v>115</v>
      </c>
      <c r="F93" s="206">
        <v>3111</v>
      </c>
      <c r="G93" s="207" t="s">
        <v>290</v>
      </c>
      <c r="H93" s="607" t="s">
        <v>271</v>
      </c>
      <c r="I93" s="419">
        <v>1641550</v>
      </c>
      <c r="J93" s="414">
        <v>1172426</v>
      </c>
      <c r="K93" s="414">
        <v>1124217</v>
      </c>
      <c r="L93" s="414">
        <v>48209</v>
      </c>
      <c r="M93" s="414">
        <v>40000</v>
      </c>
      <c r="N93" s="414">
        <v>0</v>
      </c>
      <c r="O93" s="414">
        <v>40000</v>
      </c>
      <c r="P93" s="68">
        <v>409800</v>
      </c>
      <c r="Q93" s="68">
        <v>11724</v>
      </c>
      <c r="R93" s="414">
        <v>7600</v>
      </c>
      <c r="S93" s="415">
        <v>2.1934</v>
      </c>
      <c r="T93" s="416">
        <v>2</v>
      </c>
      <c r="U93" s="422">
        <v>0.19339999999999999</v>
      </c>
      <c r="V93" s="423">
        <f t="shared" si="107"/>
        <v>0</v>
      </c>
      <c r="W93" s="417">
        <f t="shared" si="108"/>
        <v>-15000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09"/>
        <v>0</v>
      </c>
      <c r="AF93" s="417">
        <f t="shared" si="110"/>
        <v>-15000</v>
      </c>
      <c r="AG93" s="417">
        <f t="shared" si="111"/>
        <v>-15000</v>
      </c>
      <c r="AH93" s="417">
        <v>0</v>
      </c>
      <c r="AI93" s="417">
        <v>15000</v>
      </c>
      <c r="AJ93" s="417">
        <v>0</v>
      </c>
      <c r="AK93" s="417">
        <v>0</v>
      </c>
      <c r="AL93" s="417">
        <v>0</v>
      </c>
      <c r="AM93" s="417">
        <f t="shared" si="112"/>
        <v>0</v>
      </c>
      <c r="AN93" s="417">
        <f t="shared" si="113"/>
        <v>15000</v>
      </c>
      <c r="AO93" s="417">
        <f t="shared" si="114"/>
        <v>15000</v>
      </c>
      <c r="AP93" s="417">
        <f t="shared" si="115"/>
        <v>0</v>
      </c>
      <c r="AQ93" s="417">
        <f t="shared" si="116"/>
        <v>0</v>
      </c>
      <c r="AR93" s="417">
        <f t="shared" si="117"/>
        <v>0</v>
      </c>
      <c r="AS93" s="68">
        <f t="shared" si="118"/>
        <v>0</v>
      </c>
      <c r="AT93" s="68">
        <f t="shared" si="119"/>
        <v>-150</v>
      </c>
      <c r="AU93" s="417">
        <v>0</v>
      </c>
      <c r="AV93" s="417">
        <v>0</v>
      </c>
      <c r="AW93" s="417">
        <v>0</v>
      </c>
      <c r="AX93" s="417">
        <f t="shared" si="120"/>
        <v>0</v>
      </c>
      <c r="AY93" s="417">
        <f t="shared" si="121"/>
        <v>-150</v>
      </c>
      <c r="AZ93" s="418">
        <v>0</v>
      </c>
      <c r="BA93" s="418">
        <v>-0.06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22"/>
        <v>0</v>
      </c>
      <c r="BJ93" s="418">
        <f t="shared" si="123"/>
        <v>-0.06</v>
      </c>
      <c r="BK93" s="420">
        <f t="shared" si="124"/>
        <v>-0.06</v>
      </c>
      <c r="BL93" s="772">
        <f t="shared" ref="BL93:BL98" si="144">I93+AY93</f>
        <v>1641400</v>
      </c>
      <c r="BM93" s="417">
        <f t="shared" ref="BM93:BM98" si="145">J93+AG93</f>
        <v>1157426</v>
      </c>
      <c r="BN93" s="417">
        <f t="shared" ref="BN93:BO98" si="146">K93+AE93</f>
        <v>1124217</v>
      </c>
      <c r="BO93" s="417">
        <f t="shared" si="146"/>
        <v>33209</v>
      </c>
      <c r="BP93" s="417">
        <f t="shared" ref="BP93:BP98" si="147">M93+AO93</f>
        <v>55000</v>
      </c>
      <c r="BQ93" s="417">
        <f t="shared" ref="BQ93:BR98" si="148">N93+AM93</f>
        <v>0</v>
      </c>
      <c r="BR93" s="417">
        <f t="shared" si="148"/>
        <v>55000</v>
      </c>
      <c r="BS93" s="417">
        <f t="shared" ref="BS93:BT98" si="149">P93+AS93</f>
        <v>409800</v>
      </c>
      <c r="BT93" s="417">
        <f t="shared" si="149"/>
        <v>11574</v>
      </c>
      <c r="BU93" s="417">
        <f t="shared" ref="BU93:BU98" si="150">R93+AX93</f>
        <v>7600</v>
      </c>
      <c r="BV93" s="418">
        <f t="shared" ref="BV93:BV98" si="151">S93+BK93</f>
        <v>2.1334</v>
      </c>
      <c r="BW93" s="418">
        <f t="shared" ref="BW93:BX98" si="152">T93+BI93</f>
        <v>2</v>
      </c>
      <c r="BX93" s="420">
        <f t="shared" si="152"/>
        <v>0.13339999999999999</v>
      </c>
      <c r="BY93" s="419"/>
      <c r="BZ93" s="414"/>
      <c r="CA93" s="414"/>
      <c r="CB93" s="414"/>
      <c r="CC93" s="414"/>
      <c r="CD93" s="509"/>
      <c r="CE93" s="419">
        <v>40682</v>
      </c>
      <c r="CF93" s="414">
        <v>28305</v>
      </c>
      <c r="CG93" s="414">
        <v>9567</v>
      </c>
      <c r="CH93" s="414">
        <v>283</v>
      </c>
      <c r="CI93" s="414">
        <v>2527</v>
      </c>
      <c r="CJ93" s="509">
        <v>0.1134</v>
      </c>
    </row>
    <row r="94" spans="1:88">
      <c r="A94" s="205">
        <v>17</v>
      </c>
      <c r="B94" s="206">
        <v>3445</v>
      </c>
      <c r="C94" s="206">
        <v>600078604</v>
      </c>
      <c r="D94" s="206">
        <v>70695849</v>
      </c>
      <c r="E94" s="204" t="s">
        <v>115</v>
      </c>
      <c r="F94" s="206">
        <v>3117</v>
      </c>
      <c r="G94" s="207" t="s">
        <v>293</v>
      </c>
      <c r="H94" s="607" t="s">
        <v>271</v>
      </c>
      <c r="I94" s="419">
        <v>2506696</v>
      </c>
      <c r="J94" s="414">
        <v>1809280</v>
      </c>
      <c r="K94" s="414">
        <v>1528935</v>
      </c>
      <c r="L94" s="414">
        <v>280345</v>
      </c>
      <c r="M94" s="414">
        <v>22000</v>
      </c>
      <c r="N94" s="414">
        <v>0</v>
      </c>
      <c r="O94" s="414">
        <v>22000</v>
      </c>
      <c r="P94" s="68">
        <v>618972</v>
      </c>
      <c r="Q94" s="68">
        <v>18094</v>
      </c>
      <c r="R94" s="414">
        <v>38350</v>
      </c>
      <c r="S94" s="415">
        <v>3.0198</v>
      </c>
      <c r="T94" s="416">
        <v>2.3144999999999998</v>
      </c>
      <c r="U94" s="422">
        <v>0.70530000000000004</v>
      </c>
      <c r="V94" s="423">
        <f t="shared" si="107"/>
        <v>0</v>
      </c>
      <c r="W94" s="417">
        <f t="shared" si="108"/>
        <v>-21000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09"/>
        <v>0</v>
      </c>
      <c r="AF94" s="417">
        <f t="shared" si="110"/>
        <v>-21000</v>
      </c>
      <c r="AG94" s="417">
        <f t="shared" si="111"/>
        <v>-21000</v>
      </c>
      <c r="AH94" s="417">
        <v>0</v>
      </c>
      <c r="AI94" s="417">
        <v>21000</v>
      </c>
      <c r="AJ94" s="417">
        <v>0</v>
      </c>
      <c r="AK94" s="417">
        <v>0</v>
      </c>
      <c r="AL94" s="417">
        <v>0</v>
      </c>
      <c r="AM94" s="417">
        <f t="shared" si="112"/>
        <v>0</v>
      </c>
      <c r="AN94" s="417">
        <f t="shared" si="113"/>
        <v>21000</v>
      </c>
      <c r="AO94" s="417">
        <f t="shared" si="114"/>
        <v>21000</v>
      </c>
      <c r="AP94" s="417">
        <f t="shared" si="115"/>
        <v>0</v>
      </c>
      <c r="AQ94" s="417">
        <f t="shared" si="116"/>
        <v>0</v>
      </c>
      <c r="AR94" s="417">
        <f t="shared" si="117"/>
        <v>0</v>
      </c>
      <c r="AS94" s="68">
        <f t="shared" si="118"/>
        <v>0</v>
      </c>
      <c r="AT94" s="68">
        <f t="shared" si="119"/>
        <v>-210</v>
      </c>
      <c r="AU94" s="417">
        <v>0</v>
      </c>
      <c r="AV94" s="417">
        <v>0</v>
      </c>
      <c r="AW94" s="417">
        <v>0</v>
      </c>
      <c r="AX94" s="417">
        <f t="shared" si="120"/>
        <v>0</v>
      </c>
      <c r="AY94" s="417">
        <f t="shared" si="121"/>
        <v>-210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22"/>
        <v>0</v>
      </c>
      <c r="BJ94" s="418">
        <f t="shared" si="123"/>
        <v>0</v>
      </c>
      <c r="BK94" s="420">
        <f t="shared" si="124"/>
        <v>0</v>
      </c>
      <c r="BL94" s="772">
        <f t="shared" si="144"/>
        <v>2506486</v>
      </c>
      <c r="BM94" s="417">
        <f t="shared" si="145"/>
        <v>1788280</v>
      </c>
      <c r="BN94" s="417">
        <f t="shared" si="146"/>
        <v>1528935</v>
      </c>
      <c r="BO94" s="417">
        <f t="shared" si="146"/>
        <v>259345</v>
      </c>
      <c r="BP94" s="417">
        <f t="shared" si="147"/>
        <v>43000</v>
      </c>
      <c r="BQ94" s="417">
        <f t="shared" si="148"/>
        <v>0</v>
      </c>
      <c r="BR94" s="417">
        <f t="shared" si="148"/>
        <v>43000</v>
      </c>
      <c r="BS94" s="417">
        <f t="shared" si="149"/>
        <v>618972</v>
      </c>
      <c r="BT94" s="417">
        <f t="shared" si="149"/>
        <v>17884</v>
      </c>
      <c r="BU94" s="417">
        <f t="shared" si="150"/>
        <v>38350</v>
      </c>
      <c r="BV94" s="418">
        <f t="shared" si="151"/>
        <v>3.0198</v>
      </c>
      <c r="BW94" s="418">
        <f t="shared" si="152"/>
        <v>2.3144999999999998</v>
      </c>
      <c r="BX94" s="420">
        <f t="shared" si="152"/>
        <v>0.70530000000000004</v>
      </c>
      <c r="BY94" s="419"/>
      <c r="BZ94" s="414"/>
      <c r="CA94" s="414"/>
      <c r="CB94" s="414"/>
      <c r="CC94" s="414"/>
      <c r="CD94" s="509"/>
      <c r="CE94" s="414">
        <v>137532</v>
      </c>
      <c r="CF94" s="414">
        <v>97050</v>
      </c>
      <c r="CG94" s="414">
        <v>32803</v>
      </c>
      <c r="CH94" s="414">
        <v>971</v>
      </c>
      <c r="CI94" s="414">
        <v>6708</v>
      </c>
      <c r="CJ94" s="509">
        <v>0.25209999999999999</v>
      </c>
    </row>
    <row r="95" spans="1:88">
      <c r="A95" s="205">
        <v>17</v>
      </c>
      <c r="B95" s="206">
        <v>3445</v>
      </c>
      <c r="C95" s="206">
        <v>600078604</v>
      </c>
      <c r="D95" s="206">
        <v>70695849</v>
      </c>
      <c r="E95" s="204" t="s">
        <v>115</v>
      </c>
      <c r="F95" s="206">
        <v>3117</v>
      </c>
      <c r="G95" s="207" t="s">
        <v>291</v>
      </c>
      <c r="H95" s="607" t="s">
        <v>272</v>
      </c>
      <c r="I95" s="419">
        <v>100115</v>
      </c>
      <c r="J95" s="414">
        <v>74269</v>
      </c>
      <c r="K95" s="414">
        <v>74269</v>
      </c>
      <c r="L95" s="414">
        <v>0</v>
      </c>
      <c r="M95" s="414">
        <v>0</v>
      </c>
      <c r="N95" s="414">
        <v>0</v>
      </c>
      <c r="O95" s="414">
        <v>0</v>
      </c>
      <c r="P95" s="68">
        <v>25103</v>
      </c>
      <c r="Q95" s="68">
        <v>743</v>
      </c>
      <c r="R95" s="414">
        <v>0</v>
      </c>
      <c r="S95" s="415">
        <v>0.15</v>
      </c>
      <c r="T95" s="416">
        <v>0.15</v>
      </c>
      <c r="U95" s="422">
        <v>0</v>
      </c>
      <c r="V95" s="423">
        <f t="shared" si="107"/>
        <v>0</v>
      </c>
      <c r="W95" s="417">
        <f t="shared" si="108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09"/>
        <v>0</v>
      </c>
      <c r="AF95" s="417">
        <f t="shared" si="110"/>
        <v>0</v>
      </c>
      <c r="AG95" s="417">
        <f t="shared" si="111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12"/>
        <v>0</v>
      </c>
      <c r="AN95" s="417">
        <f t="shared" si="113"/>
        <v>0</v>
      </c>
      <c r="AO95" s="417">
        <f t="shared" si="114"/>
        <v>0</v>
      </c>
      <c r="AP95" s="417">
        <f t="shared" si="115"/>
        <v>0</v>
      </c>
      <c r="AQ95" s="417">
        <f t="shared" si="116"/>
        <v>0</v>
      </c>
      <c r="AR95" s="417">
        <f t="shared" si="117"/>
        <v>0</v>
      </c>
      <c r="AS95" s="68">
        <f t="shared" si="118"/>
        <v>0</v>
      </c>
      <c r="AT95" s="68">
        <f t="shared" si="119"/>
        <v>0</v>
      </c>
      <c r="AU95" s="417">
        <v>0</v>
      </c>
      <c r="AV95" s="417">
        <v>0</v>
      </c>
      <c r="AW95" s="417">
        <v>0</v>
      </c>
      <c r="AX95" s="417">
        <f t="shared" si="120"/>
        <v>0</v>
      </c>
      <c r="AY95" s="417">
        <f t="shared" si="121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22"/>
        <v>0</v>
      </c>
      <c r="BJ95" s="418">
        <f t="shared" si="123"/>
        <v>0</v>
      </c>
      <c r="BK95" s="420">
        <f t="shared" si="124"/>
        <v>0</v>
      </c>
      <c r="BL95" s="772">
        <f t="shared" si="144"/>
        <v>100115</v>
      </c>
      <c r="BM95" s="417">
        <f t="shared" si="145"/>
        <v>74269</v>
      </c>
      <c r="BN95" s="417">
        <f t="shared" si="146"/>
        <v>74269</v>
      </c>
      <c r="BO95" s="417">
        <f t="shared" si="146"/>
        <v>0</v>
      </c>
      <c r="BP95" s="417">
        <f t="shared" si="147"/>
        <v>0</v>
      </c>
      <c r="BQ95" s="417">
        <f t="shared" si="148"/>
        <v>0</v>
      </c>
      <c r="BR95" s="417">
        <f t="shared" si="148"/>
        <v>0</v>
      </c>
      <c r="BS95" s="417">
        <f t="shared" si="149"/>
        <v>25103</v>
      </c>
      <c r="BT95" s="417">
        <f t="shared" si="149"/>
        <v>743</v>
      </c>
      <c r="BU95" s="417">
        <f t="shared" si="150"/>
        <v>0</v>
      </c>
      <c r="BV95" s="418">
        <f t="shared" si="151"/>
        <v>0.15</v>
      </c>
      <c r="BW95" s="418">
        <f t="shared" si="152"/>
        <v>0.15</v>
      </c>
      <c r="BX95" s="420">
        <f t="shared" si="152"/>
        <v>0</v>
      </c>
      <c r="BY95" s="419"/>
      <c r="BZ95" s="414"/>
      <c r="CA95" s="414"/>
      <c r="CB95" s="414"/>
      <c r="CC95" s="414"/>
      <c r="CD95" s="509"/>
      <c r="CE95" s="419"/>
      <c r="CF95" s="414"/>
      <c r="CG95" s="414"/>
      <c r="CH95" s="414"/>
      <c r="CI95" s="414"/>
      <c r="CJ95" s="509"/>
    </row>
    <row r="96" spans="1:88">
      <c r="A96" s="205">
        <v>17</v>
      </c>
      <c r="B96" s="206">
        <v>3445</v>
      </c>
      <c r="C96" s="206">
        <v>600078604</v>
      </c>
      <c r="D96" s="206">
        <v>70695849</v>
      </c>
      <c r="E96" s="204" t="s">
        <v>115</v>
      </c>
      <c r="F96" s="206">
        <v>3141</v>
      </c>
      <c r="G96" s="207" t="s">
        <v>294</v>
      </c>
      <c r="H96" s="607" t="s">
        <v>272</v>
      </c>
      <c r="I96" s="419">
        <v>659395</v>
      </c>
      <c r="J96" s="414">
        <v>487429</v>
      </c>
      <c r="K96" s="414">
        <v>0</v>
      </c>
      <c r="L96" s="414">
        <v>487429</v>
      </c>
      <c r="M96" s="414">
        <v>0</v>
      </c>
      <c r="N96" s="414">
        <v>0</v>
      </c>
      <c r="O96" s="414">
        <v>0</v>
      </c>
      <c r="P96" s="68">
        <v>164751</v>
      </c>
      <c r="Q96" s="68">
        <v>4875</v>
      </c>
      <c r="R96" s="414">
        <v>2340</v>
      </c>
      <c r="S96" s="415">
        <v>1.46</v>
      </c>
      <c r="T96" s="416">
        <v>0</v>
      </c>
      <c r="U96" s="422">
        <v>1.46</v>
      </c>
      <c r="V96" s="423">
        <f t="shared" si="107"/>
        <v>0</v>
      </c>
      <c r="W96" s="417">
        <f t="shared" si="108"/>
        <v>0</v>
      </c>
      <c r="X96" s="417">
        <v>0</v>
      </c>
      <c r="Y96" s="417">
        <v>0</v>
      </c>
      <c r="Z96" s="417">
        <v>0</v>
      </c>
      <c r="AA96" s="417">
        <v>-12064</v>
      </c>
      <c r="AB96" s="417">
        <v>0</v>
      </c>
      <c r="AC96" s="417">
        <v>0</v>
      </c>
      <c r="AD96" s="417">
        <v>0</v>
      </c>
      <c r="AE96" s="417">
        <f t="shared" si="109"/>
        <v>0</v>
      </c>
      <c r="AF96" s="417">
        <f t="shared" si="110"/>
        <v>-12064</v>
      </c>
      <c r="AG96" s="417">
        <f t="shared" si="111"/>
        <v>-12064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12"/>
        <v>0</v>
      </c>
      <c r="AN96" s="417">
        <f t="shared" si="113"/>
        <v>0</v>
      </c>
      <c r="AO96" s="417">
        <f t="shared" si="114"/>
        <v>0</v>
      </c>
      <c r="AP96" s="417">
        <f t="shared" si="115"/>
        <v>0</v>
      </c>
      <c r="AQ96" s="417">
        <f t="shared" si="116"/>
        <v>-12064</v>
      </c>
      <c r="AR96" s="417">
        <f t="shared" si="117"/>
        <v>-12064</v>
      </c>
      <c r="AS96" s="68">
        <f t="shared" si="118"/>
        <v>-4078</v>
      </c>
      <c r="AT96" s="68">
        <f t="shared" si="119"/>
        <v>-121</v>
      </c>
      <c r="AU96" s="417">
        <v>0</v>
      </c>
      <c r="AV96" s="417">
        <v>0</v>
      </c>
      <c r="AW96" s="417">
        <v>0</v>
      </c>
      <c r="AX96" s="417">
        <f t="shared" si="120"/>
        <v>0</v>
      </c>
      <c r="AY96" s="417">
        <f t="shared" si="121"/>
        <v>-16263</v>
      </c>
      <c r="AZ96" s="418">
        <v>0</v>
      </c>
      <c r="BA96" s="418">
        <v>0</v>
      </c>
      <c r="BB96" s="418">
        <v>0</v>
      </c>
      <c r="BC96" s="418">
        <v>0</v>
      </c>
      <c r="BD96" s="418">
        <v>-0.04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22"/>
        <v>0</v>
      </c>
      <c r="BJ96" s="418">
        <f t="shared" si="123"/>
        <v>-0.04</v>
      </c>
      <c r="BK96" s="420">
        <f t="shared" si="124"/>
        <v>-0.04</v>
      </c>
      <c r="BL96" s="772">
        <f t="shared" si="144"/>
        <v>643132</v>
      </c>
      <c r="BM96" s="417">
        <f t="shared" si="145"/>
        <v>475365</v>
      </c>
      <c r="BN96" s="417">
        <f t="shared" si="146"/>
        <v>0</v>
      </c>
      <c r="BO96" s="417">
        <f t="shared" si="146"/>
        <v>475365</v>
      </c>
      <c r="BP96" s="417">
        <f t="shared" si="147"/>
        <v>0</v>
      </c>
      <c r="BQ96" s="417">
        <f t="shared" si="148"/>
        <v>0</v>
      </c>
      <c r="BR96" s="417">
        <f t="shared" si="148"/>
        <v>0</v>
      </c>
      <c r="BS96" s="417">
        <f t="shared" si="149"/>
        <v>160673</v>
      </c>
      <c r="BT96" s="417">
        <f t="shared" si="149"/>
        <v>4754</v>
      </c>
      <c r="BU96" s="417">
        <f t="shared" si="150"/>
        <v>2340</v>
      </c>
      <c r="BV96" s="418">
        <f t="shared" si="151"/>
        <v>1.42</v>
      </c>
      <c r="BW96" s="418">
        <f t="shared" si="152"/>
        <v>0</v>
      </c>
      <c r="BX96" s="420">
        <f t="shared" si="152"/>
        <v>1.42</v>
      </c>
      <c r="BY96" s="419"/>
      <c r="BZ96" s="414"/>
      <c r="CA96" s="414"/>
      <c r="CB96" s="414"/>
      <c r="CC96" s="414"/>
      <c r="CD96" s="509"/>
      <c r="CE96" s="419"/>
      <c r="CF96" s="601"/>
      <c r="CG96" s="414"/>
      <c r="CH96" s="414"/>
      <c r="CI96" s="601"/>
      <c r="CJ96" s="603"/>
    </row>
    <row r="97" spans="1:88" s="3" customFormat="1">
      <c r="A97" s="205">
        <v>17</v>
      </c>
      <c r="B97" s="206">
        <v>3445</v>
      </c>
      <c r="C97" s="206">
        <v>600078604</v>
      </c>
      <c r="D97" s="206">
        <v>70695849</v>
      </c>
      <c r="E97" s="204" t="s">
        <v>115</v>
      </c>
      <c r="F97" s="206">
        <v>3143</v>
      </c>
      <c r="G97" s="207" t="s">
        <v>595</v>
      </c>
      <c r="H97" s="609" t="s">
        <v>271</v>
      </c>
      <c r="I97" s="419">
        <v>581589</v>
      </c>
      <c r="J97" s="414">
        <v>431446</v>
      </c>
      <c r="K97" s="414">
        <v>431446</v>
      </c>
      <c r="L97" s="414">
        <v>0</v>
      </c>
      <c r="M97" s="414">
        <v>0</v>
      </c>
      <c r="N97" s="414">
        <v>0</v>
      </c>
      <c r="O97" s="414">
        <v>0</v>
      </c>
      <c r="P97" s="68">
        <v>145829</v>
      </c>
      <c r="Q97" s="68">
        <v>4314</v>
      </c>
      <c r="R97" s="414">
        <v>0</v>
      </c>
      <c r="S97" s="415">
        <v>0.88329999999999997</v>
      </c>
      <c r="T97" s="416">
        <v>0.88329999999999997</v>
      </c>
      <c r="U97" s="422">
        <v>0</v>
      </c>
      <c r="V97" s="423">
        <f t="shared" si="107"/>
        <v>0</v>
      </c>
      <c r="W97" s="417">
        <f t="shared" si="108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09"/>
        <v>0</v>
      </c>
      <c r="AF97" s="417">
        <f t="shared" si="110"/>
        <v>0</v>
      </c>
      <c r="AG97" s="417">
        <f t="shared" si="111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12"/>
        <v>0</v>
      </c>
      <c r="AN97" s="417">
        <f t="shared" si="113"/>
        <v>0</v>
      </c>
      <c r="AO97" s="417">
        <f t="shared" si="114"/>
        <v>0</v>
      </c>
      <c r="AP97" s="417">
        <f t="shared" si="115"/>
        <v>0</v>
      </c>
      <c r="AQ97" s="417">
        <f t="shared" si="116"/>
        <v>0</v>
      </c>
      <c r="AR97" s="417">
        <f t="shared" si="117"/>
        <v>0</v>
      </c>
      <c r="AS97" s="68">
        <f t="shared" si="118"/>
        <v>0</v>
      </c>
      <c r="AT97" s="68">
        <f t="shared" si="119"/>
        <v>0</v>
      </c>
      <c r="AU97" s="417">
        <v>0</v>
      </c>
      <c r="AV97" s="417">
        <v>0</v>
      </c>
      <c r="AW97" s="417">
        <v>0</v>
      </c>
      <c r="AX97" s="417">
        <f t="shared" si="120"/>
        <v>0</v>
      </c>
      <c r="AY97" s="417">
        <f t="shared" si="121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22"/>
        <v>0</v>
      </c>
      <c r="BJ97" s="418">
        <f t="shared" si="123"/>
        <v>0</v>
      </c>
      <c r="BK97" s="420">
        <f t="shared" si="124"/>
        <v>0</v>
      </c>
      <c r="BL97" s="772">
        <f t="shared" si="144"/>
        <v>581589</v>
      </c>
      <c r="BM97" s="417">
        <f t="shared" si="145"/>
        <v>431446</v>
      </c>
      <c r="BN97" s="417">
        <f t="shared" si="146"/>
        <v>431446</v>
      </c>
      <c r="BO97" s="417">
        <f t="shared" si="146"/>
        <v>0</v>
      </c>
      <c r="BP97" s="417">
        <f t="shared" si="147"/>
        <v>0</v>
      </c>
      <c r="BQ97" s="417">
        <f t="shared" si="148"/>
        <v>0</v>
      </c>
      <c r="BR97" s="417">
        <f t="shared" si="148"/>
        <v>0</v>
      </c>
      <c r="BS97" s="417">
        <f t="shared" si="149"/>
        <v>145829</v>
      </c>
      <c r="BT97" s="417">
        <f t="shared" si="149"/>
        <v>4314</v>
      </c>
      <c r="BU97" s="417">
        <f t="shared" si="150"/>
        <v>0</v>
      </c>
      <c r="BV97" s="418">
        <f t="shared" si="151"/>
        <v>0.88329999999999997</v>
      </c>
      <c r="BW97" s="418">
        <f t="shared" si="152"/>
        <v>0.88329999999999997</v>
      </c>
      <c r="BX97" s="420">
        <f t="shared" si="152"/>
        <v>0</v>
      </c>
      <c r="BY97" s="419"/>
      <c r="BZ97" s="414"/>
      <c r="CA97" s="414"/>
      <c r="CB97" s="414"/>
      <c r="CC97" s="414"/>
      <c r="CD97" s="509"/>
      <c r="CE97" s="419"/>
      <c r="CF97" s="414"/>
      <c r="CG97" s="414"/>
      <c r="CH97" s="414"/>
      <c r="CI97" s="414"/>
      <c r="CJ97" s="509"/>
    </row>
    <row r="98" spans="1:88" s="3" customFormat="1">
      <c r="A98" s="205">
        <v>17</v>
      </c>
      <c r="B98" s="206">
        <v>3445</v>
      </c>
      <c r="C98" s="206">
        <v>600078604</v>
      </c>
      <c r="D98" s="206">
        <v>70695849</v>
      </c>
      <c r="E98" s="204" t="s">
        <v>115</v>
      </c>
      <c r="F98" s="206">
        <v>3143</v>
      </c>
      <c r="G98" s="207" t="s">
        <v>596</v>
      </c>
      <c r="H98" s="609" t="s">
        <v>272</v>
      </c>
      <c r="I98" s="419">
        <v>19978</v>
      </c>
      <c r="J98" s="414">
        <v>14300</v>
      </c>
      <c r="K98" s="414">
        <v>0</v>
      </c>
      <c r="L98" s="414">
        <v>14300</v>
      </c>
      <c r="M98" s="414">
        <v>0</v>
      </c>
      <c r="N98" s="414">
        <v>0</v>
      </c>
      <c r="O98" s="414">
        <v>0</v>
      </c>
      <c r="P98" s="68">
        <v>4833</v>
      </c>
      <c r="Q98" s="68">
        <v>143</v>
      </c>
      <c r="R98" s="414">
        <v>702</v>
      </c>
      <c r="S98" s="415">
        <v>0.06</v>
      </c>
      <c r="T98" s="416">
        <v>0</v>
      </c>
      <c r="U98" s="422">
        <v>0.06</v>
      </c>
      <c r="V98" s="423">
        <f t="shared" si="107"/>
        <v>0</v>
      </c>
      <c r="W98" s="417">
        <f t="shared" si="108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09"/>
        <v>0</v>
      </c>
      <c r="AF98" s="417">
        <f t="shared" si="110"/>
        <v>0</v>
      </c>
      <c r="AG98" s="417">
        <f t="shared" si="111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12"/>
        <v>0</v>
      </c>
      <c r="AN98" s="417">
        <f t="shared" si="113"/>
        <v>0</v>
      </c>
      <c r="AO98" s="417">
        <f t="shared" si="114"/>
        <v>0</v>
      </c>
      <c r="AP98" s="417">
        <f t="shared" si="115"/>
        <v>0</v>
      </c>
      <c r="AQ98" s="417">
        <f t="shared" si="116"/>
        <v>0</v>
      </c>
      <c r="AR98" s="417">
        <f t="shared" si="117"/>
        <v>0</v>
      </c>
      <c r="AS98" s="68">
        <f t="shared" si="118"/>
        <v>0</v>
      </c>
      <c r="AT98" s="68">
        <f t="shared" si="119"/>
        <v>0</v>
      </c>
      <c r="AU98" s="417">
        <v>0</v>
      </c>
      <c r="AV98" s="417">
        <v>0</v>
      </c>
      <c r="AW98" s="417">
        <v>0</v>
      </c>
      <c r="AX98" s="417">
        <f t="shared" si="120"/>
        <v>0</v>
      </c>
      <c r="AY98" s="417">
        <f t="shared" si="121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22"/>
        <v>0</v>
      </c>
      <c r="BJ98" s="418">
        <f t="shared" si="123"/>
        <v>0</v>
      </c>
      <c r="BK98" s="420">
        <f t="shared" si="124"/>
        <v>0</v>
      </c>
      <c r="BL98" s="772">
        <f t="shared" si="144"/>
        <v>19978</v>
      </c>
      <c r="BM98" s="417">
        <f t="shared" si="145"/>
        <v>14300</v>
      </c>
      <c r="BN98" s="417">
        <f t="shared" si="146"/>
        <v>0</v>
      </c>
      <c r="BO98" s="417">
        <f t="shared" si="146"/>
        <v>14300</v>
      </c>
      <c r="BP98" s="417">
        <f t="shared" si="147"/>
        <v>0</v>
      </c>
      <c r="BQ98" s="417">
        <f t="shared" si="148"/>
        <v>0</v>
      </c>
      <c r="BR98" s="417">
        <f t="shared" si="148"/>
        <v>0</v>
      </c>
      <c r="BS98" s="417">
        <f t="shared" si="149"/>
        <v>4833</v>
      </c>
      <c r="BT98" s="417">
        <f t="shared" si="149"/>
        <v>143</v>
      </c>
      <c r="BU98" s="417">
        <f t="shared" si="150"/>
        <v>702</v>
      </c>
      <c r="BV98" s="418">
        <f t="shared" si="151"/>
        <v>0.06</v>
      </c>
      <c r="BW98" s="418">
        <f t="shared" si="152"/>
        <v>0</v>
      </c>
      <c r="BX98" s="420">
        <f t="shared" si="152"/>
        <v>0.06</v>
      </c>
      <c r="BY98" s="419"/>
      <c r="BZ98" s="414"/>
      <c r="CA98" s="414"/>
      <c r="CB98" s="414"/>
      <c r="CC98" s="414"/>
      <c r="CD98" s="509"/>
      <c r="CE98" s="419"/>
      <c r="CF98" s="601"/>
      <c r="CG98" s="414"/>
      <c r="CH98" s="414"/>
      <c r="CI98" s="602"/>
      <c r="CJ98" s="603"/>
    </row>
    <row r="99" spans="1:88" ht="13.5" thickBot="1">
      <c r="A99" s="159">
        <v>17</v>
      </c>
      <c r="B99" s="33">
        <v>3445</v>
      </c>
      <c r="C99" s="33">
        <v>600078604</v>
      </c>
      <c r="D99" s="33">
        <v>70695849</v>
      </c>
      <c r="E99" s="234" t="s">
        <v>116</v>
      </c>
      <c r="F99" s="33"/>
      <c r="G99" s="160"/>
      <c r="H99" s="610"/>
      <c r="I99" s="452">
        <v>5509323</v>
      </c>
      <c r="J99" s="453">
        <v>3989150</v>
      </c>
      <c r="K99" s="453">
        <v>3158867</v>
      </c>
      <c r="L99" s="453">
        <v>830283</v>
      </c>
      <c r="M99" s="453">
        <v>62000</v>
      </c>
      <c r="N99" s="453">
        <v>0</v>
      </c>
      <c r="O99" s="453">
        <v>62000</v>
      </c>
      <c r="P99" s="453">
        <v>1369288</v>
      </c>
      <c r="Q99" s="453">
        <v>39893</v>
      </c>
      <c r="R99" s="453">
        <v>48992</v>
      </c>
      <c r="S99" s="454">
        <v>7.7665000000000006</v>
      </c>
      <c r="T99" s="454">
        <v>5.3478000000000003</v>
      </c>
      <c r="U99" s="758">
        <v>2.4186999999999999</v>
      </c>
      <c r="V99" s="905">
        <f t="shared" ref="V99:CG99" si="153">SUM(V93:V98)</f>
        <v>0</v>
      </c>
      <c r="W99" s="906">
        <f t="shared" si="153"/>
        <v>-36000</v>
      </c>
      <c r="X99" s="906">
        <f t="shared" si="153"/>
        <v>0</v>
      </c>
      <c r="Y99" s="906">
        <f t="shared" si="153"/>
        <v>0</v>
      </c>
      <c r="Z99" s="906">
        <f t="shared" si="153"/>
        <v>0</v>
      </c>
      <c r="AA99" s="906">
        <f t="shared" si="153"/>
        <v>-12064</v>
      </c>
      <c r="AB99" s="906">
        <f t="shared" si="153"/>
        <v>0</v>
      </c>
      <c r="AC99" s="906">
        <f t="shared" si="153"/>
        <v>0</v>
      </c>
      <c r="AD99" s="906">
        <f t="shared" si="153"/>
        <v>0</v>
      </c>
      <c r="AE99" s="906">
        <f t="shared" si="153"/>
        <v>0</v>
      </c>
      <c r="AF99" s="906">
        <f t="shared" si="153"/>
        <v>-48064</v>
      </c>
      <c r="AG99" s="906">
        <f t="shared" si="153"/>
        <v>-48064</v>
      </c>
      <c r="AH99" s="906">
        <f t="shared" si="153"/>
        <v>0</v>
      </c>
      <c r="AI99" s="906">
        <f t="shared" si="153"/>
        <v>36000</v>
      </c>
      <c r="AJ99" s="906">
        <f t="shared" si="153"/>
        <v>0</v>
      </c>
      <c r="AK99" s="906">
        <f t="shared" si="153"/>
        <v>0</v>
      </c>
      <c r="AL99" s="906">
        <f t="shared" si="153"/>
        <v>0</v>
      </c>
      <c r="AM99" s="906">
        <f t="shared" si="153"/>
        <v>0</v>
      </c>
      <c r="AN99" s="906">
        <f t="shared" si="153"/>
        <v>36000</v>
      </c>
      <c r="AO99" s="906">
        <f t="shared" si="153"/>
        <v>36000</v>
      </c>
      <c r="AP99" s="906">
        <f t="shared" si="153"/>
        <v>0</v>
      </c>
      <c r="AQ99" s="906">
        <f t="shared" si="153"/>
        <v>-12064</v>
      </c>
      <c r="AR99" s="906">
        <f t="shared" si="153"/>
        <v>-12064</v>
      </c>
      <c r="AS99" s="906">
        <f t="shared" si="153"/>
        <v>-4078</v>
      </c>
      <c r="AT99" s="906">
        <f t="shared" si="153"/>
        <v>-481</v>
      </c>
      <c r="AU99" s="906">
        <f t="shared" si="153"/>
        <v>0</v>
      </c>
      <c r="AV99" s="906">
        <f t="shared" si="153"/>
        <v>0</v>
      </c>
      <c r="AW99" s="906">
        <f t="shared" si="153"/>
        <v>0</v>
      </c>
      <c r="AX99" s="906">
        <f t="shared" si="153"/>
        <v>0</v>
      </c>
      <c r="AY99" s="906">
        <f t="shared" si="153"/>
        <v>-16623</v>
      </c>
      <c r="AZ99" s="914">
        <f t="shared" si="153"/>
        <v>0</v>
      </c>
      <c r="BA99" s="914">
        <f t="shared" si="153"/>
        <v>-0.06</v>
      </c>
      <c r="BB99" s="914">
        <f t="shared" si="153"/>
        <v>0</v>
      </c>
      <c r="BC99" s="914">
        <f t="shared" si="153"/>
        <v>0</v>
      </c>
      <c r="BD99" s="914">
        <f t="shared" si="153"/>
        <v>-0.04</v>
      </c>
      <c r="BE99" s="914">
        <f t="shared" si="153"/>
        <v>0</v>
      </c>
      <c r="BF99" s="914">
        <f t="shared" si="153"/>
        <v>0</v>
      </c>
      <c r="BG99" s="914">
        <f t="shared" si="153"/>
        <v>0</v>
      </c>
      <c r="BH99" s="914">
        <f t="shared" si="153"/>
        <v>0</v>
      </c>
      <c r="BI99" s="914">
        <f t="shared" si="153"/>
        <v>0</v>
      </c>
      <c r="BJ99" s="914">
        <f t="shared" si="153"/>
        <v>-0.1</v>
      </c>
      <c r="BK99" s="915">
        <f t="shared" si="153"/>
        <v>-0.1</v>
      </c>
      <c r="BL99" s="850">
        <f t="shared" si="153"/>
        <v>5492700</v>
      </c>
      <c r="BM99" s="453">
        <f t="shared" si="153"/>
        <v>3941086</v>
      </c>
      <c r="BN99" s="453">
        <f t="shared" si="153"/>
        <v>3158867</v>
      </c>
      <c r="BO99" s="453">
        <f t="shared" si="153"/>
        <v>782219</v>
      </c>
      <c r="BP99" s="453">
        <f t="shared" si="153"/>
        <v>98000</v>
      </c>
      <c r="BQ99" s="453">
        <f t="shared" si="153"/>
        <v>0</v>
      </c>
      <c r="BR99" s="453">
        <f t="shared" si="153"/>
        <v>98000</v>
      </c>
      <c r="BS99" s="453">
        <f t="shared" si="153"/>
        <v>1365210</v>
      </c>
      <c r="BT99" s="453">
        <f t="shared" si="153"/>
        <v>39412</v>
      </c>
      <c r="BU99" s="453">
        <f t="shared" si="153"/>
        <v>48992</v>
      </c>
      <c r="BV99" s="454">
        <f t="shared" si="153"/>
        <v>7.6665000000000001</v>
      </c>
      <c r="BW99" s="454">
        <f t="shared" si="153"/>
        <v>5.3478000000000003</v>
      </c>
      <c r="BX99" s="849">
        <f t="shared" si="153"/>
        <v>2.3187000000000002</v>
      </c>
      <c r="BY99" s="808">
        <f t="shared" si="153"/>
        <v>0</v>
      </c>
      <c r="BZ99" s="710">
        <f t="shared" si="153"/>
        <v>0</v>
      </c>
      <c r="CA99" s="710">
        <f t="shared" si="153"/>
        <v>0</v>
      </c>
      <c r="CB99" s="710">
        <f t="shared" si="153"/>
        <v>0</v>
      </c>
      <c r="CC99" s="710">
        <f t="shared" si="153"/>
        <v>0</v>
      </c>
      <c r="CD99" s="809">
        <f t="shared" si="153"/>
        <v>0</v>
      </c>
      <c r="CE99" s="922">
        <f t="shared" si="153"/>
        <v>178214</v>
      </c>
      <c r="CF99" s="923">
        <f t="shared" si="153"/>
        <v>125355</v>
      </c>
      <c r="CG99" s="923">
        <f t="shared" si="153"/>
        <v>42370</v>
      </c>
      <c r="CH99" s="923">
        <f t="shared" ref="CH99:CJ99" si="154">SUM(CH93:CH98)</f>
        <v>1254</v>
      </c>
      <c r="CI99" s="923">
        <f t="shared" si="154"/>
        <v>9235</v>
      </c>
      <c r="CJ99" s="924">
        <f t="shared" si="154"/>
        <v>0.36549999999999999</v>
      </c>
    </row>
    <row r="100" spans="1:88" ht="13.5" thickBot="1">
      <c r="A100" s="161"/>
      <c r="B100" s="30"/>
      <c r="C100" s="30"/>
      <c r="D100" s="30"/>
      <c r="E100" s="85" t="s">
        <v>751</v>
      </c>
      <c r="F100" s="30"/>
      <c r="G100" s="162"/>
      <c r="H100" s="611"/>
      <c r="I100" s="455">
        <f t="shared" ref="I100:BW100" si="155">I15+I17+I23+I28+I30+I37+I44+I48+I54+I61+I65+I71+I75+I81+I85+I92+I99</f>
        <v>287108082</v>
      </c>
      <c r="J100" s="456">
        <f t="shared" si="155"/>
        <v>209402969</v>
      </c>
      <c r="K100" s="456">
        <f t="shared" si="155"/>
        <v>179163149</v>
      </c>
      <c r="L100" s="456">
        <f t="shared" si="155"/>
        <v>30239820</v>
      </c>
      <c r="M100" s="456">
        <f t="shared" si="155"/>
        <v>1321905</v>
      </c>
      <c r="N100" s="456">
        <f t="shared" si="155"/>
        <v>760640</v>
      </c>
      <c r="O100" s="456">
        <f t="shared" si="155"/>
        <v>561265</v>
      </c>
      <c r="P100" s="456">
        <f t="shared" si="155"/>
        <v>71225006</v>
      </c>
      <c r="Q100" s="456">
        <f t="shared" si="155"/>
        <v>2094033</v>
      </c>
      <c r="R100" s="456">
        <f t="shared" si="155"/>
        <v>3064169</v>
      </c>
      <c r="S100" s="457">
        <f t="shared" si="155"/>
        <v>405.9507000000001</v>
      </c>
      <c r="T100" s="457">
        <f t="shared" si="155"/>
        <v>314.12440000000004</v>
      </c>
      <c r="U100" s="458">
        <f t="shared" si="155"/>
        <v>91.826299999999989</v>
      </c>
      <c r="V100" s="902">
        <f t="shared" si="155"/>
        <v>20600</v>
      </c>
      <c r="W100" s="902">
        <f t="shared" si="155"/>
        <v>-289015</v>
      </c>
      <c r="X100" s="902">
        <f t="shared" si="155"/>
        <v>107623</v>
      </c>
      <c r="Y100" s="902">
        <f t="shared" si="155"/>
        <v>39720</v>
      </c>
      <c r="Z100" s="902">
        <f t="shared" si="155"/>
        <v>-235736</v>
      </c>
      <c r="AA100" s="902">
        <f t="shared" si="155"/>
        <v>-181343</v>
      </c>
      <c r="AB100" s="902">
        <f t="shared" si="155"/>
        <v>0</v>
      </c>
      <c r="AC100" s="902">
        <f t="shared" si="155"/>
        <v>0</v>
      </c>
      <c r="AD100" s="902">
        <f t="shared" si="155"/>
        <v>0</v>
      </c>
      <c r="AE100" s="902">
        <f t="shared" si="155"/>
        <v>-67793</v>
      </c>
      <c r="AF100" s="902">
        <f t="shared" si="155"/>
        <v>-470358</v>
      </c>
      <c r="AG100" s="902">
        <f t="shared" si="155"/>
        <v>-538151</v>
      </c>
      <c r="AH100" s="902">
        <f t="shared" si="155"/>
        <v>-20600</v>
      </c>
      <c r="AI100" s="902">
        <f t="shared" si="155"/>
        <v>289015</v>
      </c>
      <c r="AJ100" s="902">
        <f t="shared" si="155"/>
        <v>0</v>
      </c>
      <c r="AK100" s="902">
        <f t="shared" si="155"/>
        <v>0</v>
      </c>
      <c r="AL100" s="902">
        <f t="shared" si="155"/>
        <v>0</v>
      </c>
      <c r="AM100" s="902">
        <f t="shared" si="155"/>
        <v>-20600</v>
      </c>
      <c r="AN100" s="902">
        <f t="shared" si="155"/>
        <v>289015</v>
      </c>
      <c r="AO100" s="902">
        <f t="shared" si="155"/>
        <v>268415</v>
      </c>
      <c r="AP100" s="902">
        <f t="shared" si="155"/>
        <v>-88393</v>
      </c>
      <c r="AQ100" s="902">
        <f t="shared" si="155"/>
        <v>-181343</v>
      </c>
      <c r="AR100" s="902">
        <f t="shared" si="155"/>
        <v>-269736</v>
      </c>
      <c r="AS100" s="902">
        <f t="shared" si="155"/>
        <v>-91170</v>
      </c>
      <c r="AT100" s="902">
        <f t="shared" si="155"/>
        <v>-5382</v>
      </c>
      <c r="AU100" s="902">
        <f t="shared" si="155"/>
        <v>6500</v>
      </c>
      <c r="AV100" s="902">
        <f t="shared" si="155"/>
        <v>0</v>
      </c>
      <c r="AW100" s="902">
        <f t="shared" si="155"/>
        <v>0</v>
      </c>
      <c r="AX100" s="902">
        <f t="shared" si="155"/>
        <v>6500</v>
      </c>
      <c r="AY100" s="902">
        <f t="shared" si="155"/>
        <v>-359788</v>
      </c>
      <c r="AZ100" s="903">
        <f t="shared" si="155"/>
        <v>-0.1</v>
      </c>
      <c r="BA100" s="903">
        <f t="shared" si="155"/>
        <v>-0.39</v>
      </c>
      <c r="BB100" s="903">
        <f t="shared" si="155"/>
        <v>0.3</v>
      </c>
      <c r="BC100" s="903">
        <f t="shared" si="155"/>
        <v>-0.40999999999999992</v>
      </c>
      <c r="BD100" s="903">
        <f t="shared" si="155"/>
        <v>-0.53</v>
      </c>
      <c r="BE100" s="903">
        <f t="shared" si="155"/>
        <v>0.05</v>
      </c>
      <c r="BF100" s="903">
        <f t="shared" si="155"/>
        <v>0</v>
      </c>
      <c r="BG100" s="903">
        <f t="shared" si="155"/>
        <v>0</v>
      </c>
      <c r="BH100" s="903">
        <f t="shared" si="155"/>
        <v>0</v>
      </c>
      <c r="BI100" s="903">
        <f t="shared" si="155"/>
        <v>-0.15999999999999992</v>
      </c>
      <c r="BJ100" s="903">
        <f t="shared" si="155"/>
        <v>-0.92</v>
      </c>
      <c r="BK100" s="904">
        <f t="shared" si="155"/>
        <v>-1.08</v>
      </c>
      <c r="BL100" s="455">
        <f t="shared" si="155"/>
        <v>286748294</v>
      </c>
      <c r="BM100" s="459">
        <f t="shared" si="155"/>
        <v>208864818</v>
      </c>
      <c r="BN100" s="459">
        <f t="shared" si="155"/>
        <v>179095356</v>
      </c>
      <c r="BO100" s="459">
        <f t="shared" si="155"/>
        <v>29769462</v>
      </c>
      <c r="BP100" s="459">
        <f t="shared" si="155"/>
        <v>1590320</v>
      </c>
      <c r="BQ100" s="459">
        <f t="shared" si="155"/>
        <v>740040</v>
      </c>
      <c r="BR100" s="459">
        <f t="shared" si="155"/>
        <v>850280</v>
      </c>
      <c r="BS100" s="459">
        <f t="shared" si="155"/>
        <v>71133836</v>
      </c>
      <c r="BT100" s="459">
        <f t="shared" si="155"/>
        <v>2088651</v>
      </c>
      <c r="BU100" s="459">
        <f t="shared" si="155"/>
        <v>3070669</v>
      </c>
      <c r="BV100" s="581">
        <f t="shared" si="155"/>
        <v>404.87069999999989</v>
      </c>
      <c r="BW100" s="581">
        <f t="shared" si="155"/>
        <v>313.96440000000001</v>
      </c>
      <c r="BX100" s="582">
        <f t="shared" ref="BX100:CJ100" si="156">BX15+BX17+BX23+BX28+BX30+BX37+BX44+BX48+BX54+BX61+BX65+BX71+BX75+BX81+BX85+BX92+BX99</f>
        <v>90.906300000000002</v>
      </c>
      <c r="BY100" s="711">
        <f t="shared" si="156"/>
        <v>1899552</v>
      </c>
      <c r="BZ100" s="712">
        <f t="shared" si="156"/>
        <v>1297200</v>
      </c>
      <c r="CA100" s="712">
        <f t="shared" si="156"/>
        <v>112800</v>
      </c>
      <c r="CB100" s="712">
        <f t="shared" si="156"/>
        <v>476580</v>
      </c>
      <c r="CC100" s="712">
        <f t="shared" si="156"/>
        <v>12972</v>
      </c>
      <c r="CD100" s="810">
        <f t="shared" si="156"/>
        <v>2.2999999999999998</v>
      </c>
      <c r="CE100" s="925">
        <f t="shared" si="156"/>
        <v>8558495</v>
      </c>
      <c r="CF100" s="926">
        <f t="shared" si="156"/>
        <v>5828515</v>
      </c>
      <c r="CG100" s="926">
        <f t="shared" si="156"/>
        <v>1970037</v>
      </c>
      <c r="CH100" s="926">
        <f t="shared" si="156"/>
        <v>58287</v>
      </c>
      <c r="CI100" s="926">
        <f t="shared" si="156"/>
        <v>701656</v>
      </c>
      <c r="CJ100" s="927">
        <f t="shared" si="156"/>
        <v>17.690100000000001</v>
      </c>
    </row>
    <row r="101" spans="1:88">
      <c r="D101" s="9"/>
      <c r="E101" s="5"/>
      <c r="F101" s="9"/>
      <c r="G101" s="20"/>
      <c r="H101" s="5"/>
      <c r="I101" s="427">
        <f>J100+M100+P100+Q100+R100</f>
        <v>287108082</v>
      </c>
      <c r="J101" s="427">
        <f>SUM(K100:L100)</f>
        <v>209402969</v>
      </c>
      <c r="K101" s="427"/>
      <c r="L101" s="427"/>
      <c r="M101" s="427">
        <f>SUM(N100:O100)</f>
        <v>1321905</v>
      </c>
      <c r="N101" s="427"/>
      <c r="O101" s="427"/>
      <c r="P101" s="427"/>
      <c r="Q101" s="427"/>
      <c r="R101" s="427"/>
      <c r="S101" s="428">
        <f>SUM(T100:U100)</f>
        <v>405.95070000000004</v>
      </c>
      <c r="T101" s="428"/>
      <c r="U101" s="428"/>
      <c r="V101" s="427">
        <f>AH100</f>
        <v>-20600</v>
      </c>
      <c r="W101" s="427">
        <f>AI100</f>
        <v>289015</v>
      </c>
      <c r="X101" s="428"/>
      <c r="Y101" s="428"/>
      <c r="Z101" s="428"/>
      <c r="AA101" s="428"/>
      <c r="AB101" s="427"/>
      <c r="AC101" s="428"/>
      <c r="AD101" s="428"/>
      <c r="AE101" s="429"/>
      <c r="AF101" s="429"/>
      <c r="AG101" s="429">
        <f>SUM(AE100:AF100)</f>
        <v>-538151</v>
      </c>
      <c r="AH101" s="429">
        <f>V100</f>
        <v>20600</v>
      </c>
      <c r="AI101" s="429">
        <f>W100</f>
        <v>-289015</v>
      </c>
      <c r="AJ101" s="430"/>
      <c r="AK101" s="430"/>
      <c r="AL101" s="430"/>
      <c r="AM101" s="429"/>
      <c r="AN101" s="429"/>
      <c r="AO101" s="429">
        <f>SUM(AM100:AN100)</f>
        <v>268415</v>
      </c>
      <c r="AP101" s="429"/>
      <c r="AQ101" s="429"/>
      <c r="AR101" s="429">
        <f>SUM(AP100:AQ100)</f>
        <v>-269736</v>
      </c>
      <c r="AS101" s="431"/>
      <c r="AT101" s="431"/>
      <c r="AU101" s="430"/>
      <c r="AV101" s="430"/>
      <c r="AW101" s="429"/>
      <c r="AX101" s="429">
        <f>SUM(AU100:AW100)</f>
        <v>6500</v>
      </c>
      <c r="AY101" s="429">
        <f>AG100+AO100+AS100+AT100+AX100</f>
        <v>-359788</v>
      </c>
      <c r="AZ101" s="432"/>
      <c r="BA101" s="432"/>
      <c r="BB101" s="432"/>
      <c r="BC101" s="432"/>
      <c r="BD101" s="432"/>
      <c r="BE101" s="432"/>
      <c r="BF101" s="507"/>
      <c r="BG101" s="432"/>
      <c r="BH101" s="432"/>
      <c r="BI101" s="507">
        <f>AZ100+BB100+BC100+BE100+BG100</f>
        <v>-0.15999999999999992</v>
      </c>
      <c r="BJ101" s="507">
        <f>BA100+BD100+BF100+BH100</f>
        <v>-0.92</v>
      </c>
      <c r="BK101" s="507">
        <f>SUM(BI100:BJ100)</f>
        <v>-1.08</v>
      </c>
      <c r="BL101" s="427">
        <f>BM100+BP100+BS100+BT100+BU100</f>
        <v>286748294</v>
      </c>
      <c r="BM101" s="427">
        <f>SUM(BN100:BO100)</f>
        <v>208864818</v>
      </c>
      <c r="BN101" s="429">
        <f>K100+AE100</f>
        <v>179095356</v>
      </c>
      <c r="BO101" s="429">
        <f>L100+AF100</f>
        <v>29769462</v>
      </c>
      <c r="BP101" s="86">
        <f>SUM(BQ100:BR100)</f>
        <v>1590320</v>
      </c>
      <c r="BQ101" s="429">
        <f>N100+AM100</f>
        <v>740040</v>
      </c>
      <c r="BR101" s="429">
        <f>O100+AN100</f>
        <v>850280</v>
      </c>
      <c r="BS101" s="429">
        <f>P100+AS100</f>
        <v>71133836</v>
      </c>
      <c r="BT101" s="429">
        <f>Q100+AT100</f>
        <v>2088651</v>
      </c>
      <c r="BU101" s="429">
        <f>R100+AX100</f>
        <v>3070669</v>
      </c>
      <c r="BV101" s="428">
        <f>SUM(BW100:BX100)</f>
        <v>404.8707</v>
      </c>
      <c r="BW101" s="507">
        <f>T100+BI100</f>
        <v>313.96440000000001</v>
      </c>
      <c r="BX101" s="507">
        <f>U100+BJ100</f>
        <v>90.906299999999987</v>
      </c>
      <c r="BY101" s="235">
        <f>SUM(BZ100:CC100)</f>
        <v>1899552</v>
      </c>
      <c r="CE101" s="235">
        <f>SUM(CF100:CI100)</f>
        <v>8558495</v>
      </c>
      <c r="CF101" s="8"/>
      <c r="CG101" s="8"/>
      <c r="CH101" s="8"/>
      <c r="CI101" s="8"/>
    </row>
    <row r="102" spans="1:88" ht="13.5" thickBot="1">
      <c r="D102" s="9"/>
      <c r="E102" s="5"/>
      <c r="F102" s="9"/>
      <c r="G102" s="20"/>
      <c r="H102" s="5"/>
      <c r="I102" s="427">
        <f>J103+M103+P103+Q103+R103</f>
        <v>287108082</v>
      </c>
      <c r="J102" s="427">
        <f>SUM(K103:L103)</f>
        <v>209402969</v>
      </c>
      <c r="K102" s="427"/>
      <c r="L102" s="427"/>
      <c r="M102" s="427">
        <f>SUM(N103:O103)</f>
        <v>1321905</v>
      </c>
      <c r="N102" s="427"/>
      <c r="O102" s="427"/>
      <c r="P102" s="427"/>
      <c r="Q102" s="427"/>
      <c r="R102" s="427"/>
      <c r="S102" s="428">
        <f>SUM(T103:U103)</f>
        <v>405.95069999999998</v>
      </c>
      <c r="T102" s="428"/>
      <c r="U102" s="428"/>
      <c r="V102" s="427">
        <f>AH103</f>
        <v>-20600</v>
      </c>
      <c r="W102" s="427">
        <f>AI103</f>
        <v>289015</v>
      </c>
      <c r="X102" s="428"/>
      <c r="Y102" s="428"/>
      <c r="Z102" s="428"/>
      <c r="AA102" s="428"/>
      <c r="AB102" s="427"/>
      <c r="AC102" s="428"/>
      <c r="AD102" s="428"/>
      <c r="AE102" s="429"/>
      <c r="AF102" s="429"/>
      <c r="AG102" s="429">
        <f>SUM(AE103:AF103)</f>
        <v>-538151</v>
      </c>
      <c r="AH102" s="429"/>
      <c r="AI102" s="429"/>
      <c r="AJ102" s="430"/>
      <c r="AK102" s="430"/>
      <c r="AL102" s="430"/>
      <c r="AM102" s="429"/>
      <c r="AN102" s="429"/>
      <c r="AO102" s="429">
        <f>SUM(AM103:AN103)</f>
        <v>268415</v>
      </c>
      <c r="AP102" s="429"/>
      <c r="AQ102" s="429"/>
      <c r="AR102" s="429">
        <f>SUM(AP103:AQ103)</f>
        <v>-269736</v>
      </c>
      <c r="AS102" s="431"/>
      <c r="AT102" s="431"/>
      <c r="AU102" s="430"/>
      <c r="AV102" s="430"/>
      <c r="AW102" s="429"/>
      <c r="AX102" s="429">
        <f>SUM(AU103:AW103)</f>
        <v>6500</v>
      </c>
      <c r="AY102" s="429">
        <f>AG103+AO103+AS103+AT103+AX103</f>
        <v>-359788</v>
      </c>
      <c r="AZ102" s="432"/>
      <c r="BA102" s="432"/>
      <c r="BB102" s="432"/>
      <c r="BC102" s="432"/>
      <c r="BD102" s="432"/>
      <c r="BE102" s="432"/>
      <c r="BF102" s="507"/>
      <c r="BG102" s="432"/>
      <c r="BH102" s="432"/>
      <c r="BI102" s="507">
        <f>AZ103+BB103+BC103+BE103+BG103</f>
        <v>-0.15999999999999992</v>
      </c>
      <c r="BJ102" s="507">
        <f>BA103+BD103+BF103+BH103</f>
        <v>-0.91999999999999993</v>
      </c>
      <c r="BK102" s="507">
        <f>SUM(BI103:BJ103)</f>
        <v>-1.08</v>
      </c>
      <c r="BL102" s="427">
        <f>BM103+BP103+BS103+BT103+BU103</f>
        <v>286748294</v>
      </c>
      <c r="BM102" s="427">
        <f>SUM(BN103:BO103)</f>
        <v>208864818</v>
      </c>
      <c r="BN102" s="53"/>
      <c r="BO102" s="53"/>
      <c r="BP102" s="86">
        <f>SUM(BQ103:BR103)</f>
        <v>1590320</v>
      </c>
      <c r="BQ102" s="53"/>
      <c r="BR102" s="53"/>
      <c r="BS102" s="53"/>
      <c r="BT102" s="53"/>
      <c r="BU102" s="53"/>
      <c r="BV102" s="428">
        <f>SUM(BW103:BX103)</f>
        <v>404.87069999999994</v>
      </c>
      <c r="BW102" s="87"/>
      <c r="BX102" s="87"/>
      <c r="BY102" s="235">
        <f>SUM(BZ103:CC103)</f>
        <v>1899552</v>
      </c>
      <c r="CE102" s="235">
        <f>SUM(CF103:CI103)</f>
        <v>8558495</v>
      </c>
      <c r="CF102" s="8"/>
      <c r="CG102" s="8"/>
      <c r="CH102" s="8"/>
      <c r="CI102" s="8"/>
    </row>
    <row r="103" spans="1:88" ht="13.5" thickBot="1">
      <c r="D103" s="9"/>
      <c r="E103" s="5"/>
      <c r="F103" s="9"/>
      <c r="G103" s="20"/>
      <c r="H103" s="474" t="s">
        <v>0</v>
      </c>
      <c r="I103" s="139">
        <f t="shared" ref="I103:BW103" si="157">SUM(I104:I113)</f>
        <v>287108082</v>
      </c>
      <c r="J103" s="34">
        <f t="shared" si="157"/>
        <v>209402969</v>
      </c>
      <c r="K103" s="34">
        <f t="shared" si="157"/>
        <v>179163149</v>
      </c>
      <c r="L103" s="34">
        <f t="shared" si="157"/>
        <v>30239820</v>
      </c>
      <c r="M103" s="34">
        <f t="shared" si="157"/>
        <v>1321905</v>
      </c>
      <c r="N103" s="34">
        <f t="shared" si="157"/>
        <v>760640</v>
      </c>
      <c r="O103" s="34">
        <f t="shared" si="157"/>
        <v>561265</v>
      </c>
      <c r="P103" s="34">
        <f t="shared" si="157"/>
        <v>71225006</v>
      </c>
      <c r="Q103" s="34">
        <f t="shared" si="157"/>
        <v>2094033</v>
      </c>
      <c r="R103" s="34">
        <f t="shared" si="157"/>
        <v>3064169</v>
      </c>
      <c r="S103" s="35">
        <f t="shared" si="157"/>
        <v>405.95069999999998</v>
      </c>
      <c r="T103" s="35">
        <f t="shared" si="157"/>
        <v>314.12439999999998</v>
      </c>
      <c r="U103" s="36">
        <f t="shared" si="157"/>
        <v>91.826300000000003</v>
      </c>
      <c r="V103" s="149">
        <f t="shared" si="157"/>
        <v>20600</v>
      </c>
      <c r="W103" s="34">
        <f t="shared" si="157"/>
        <v>-289015</v>
      </c>
      <c r="X103" s="34">
        <f t="shared" si="157"/>
        <v>107623</v>
      </c>
      <c r="Y103" s="34">
        <f t="shared" si="157"/>
        <v>39720</v>
      </c>
      <c r="Z103" s="34">
        <f t="shared" si="157"/>
        <v>-235736</v>
      </c>
      <c r="AA103" s="34">
        <f t="shared" si="157"/>
        <v>-181343</v>
      </c>
      <c r="AB103" s="34">
        <f t="shared" si="157"/>
        <v>0</v>
      </c>
      <c r="AC103" s="34">
        <f t="shared" si="157"/>
        <v>0</v>
      </c>
      <c r="AD103" s="34">
        <f t="shared" si="157"/>
        <v>0</v>
      </c>
      <c r="AE103" s="34">
        <f t="shared" si="157"/>
        <v>-67793</v>
      </c>
      <c r="AF103" s="34">
        <f t="shared" si="157"/>
        <v>-470358</v>
      </c>
      <c r="AG103" s="34">
        <f t="shared" si="157"/>
        <v>-538151</v>
      </c>
      <c r="AH103" s="34">
        <f t="shared" si="157"/>
        <v>-20600</v>
      </c>
      <c r="AI103" s="34">
        <f t="shared" si="157"/>
        <v>289015</v>
      </c>
      <c r="AJ103" s="34">
        <f t="shared" si="157"/>
        <v>0</v>
      </c>
      <c r="AK103" s="34">
        <f t="shared" si="157"/>
        <v>0</v>
      </c>
      <c r="AL103" s="34">
        <f t="shared" si="157"/>
        <v>0</v>
      </c>
      <c r="AM103" s="34">
        <f t="shared" si="157"/>
        <v>-20600</v>
      </c>
      <c r="AN103" s="34">
        <f t="shared" si="157"/>
        <v>289015</v>
      </c>
      <c r="AO103" s="34">
        <f t="shared" si="157"/>
        <v>268415</v>
      </c>
      <c r="AP103" s="34">
        <f t="shared" si="157"/>
        <v>-88393</v>
      </c>
      <c r="AQ103" s="34">
        <f t="shared" si="157"/>
        <v>-181343</v>
      </c>
      <c r="AR103" s="34">
        <f t="shared" si="157"/>
        <v>-269736</v>
      </c>
      <c r="AS103" s="34">
        <f t="shared" si="157"/>
        <v>-91170</v>
      </c>
      <c r="AT103" s="34">
        <f t="shared" si="157"/>
        <v>-5382</v>
      </c>
      <c r="AU103" s="34">
        <f t="shared" si="157"/>
        <v>6500</v>
      </c>
      <c r="AV103" s="34">
        <f t="shared" si="157"/>
        <v>0</v>
      </c>
      <c r="AW103" s="34">
        <f t="shared" si="157"/>
        <v>0</v>
      </c>
      <c r="AX103" s="34">
        <f t="shared" si="157"/>
        <v>6500</v>
      </c>
      <c r="AY103" s="34">
        <f t="shared" si="157"/>
        <v>-359788</v>
      </c>
      <c r="AZ103" s="35">
        <f t="shared" si="157"/>
        <v>-0.1</v>
      </c>
      <c r="BA103" s="35">
        <f t="shared" si="157"/>
        <v>-0.38999999999999996</v>
      </c>
      <c r="BB103" s="35">
        <f t="shared" si="157"/>
        <v>0.3</v>
      </c>
      <c r="BC103" s="35">
        <f t="shared" si="157"/>
        <v>-0.40999999999999992</v>
      </c>
      <c r="BD103" s="35">
        <f t="shared" si="157"/>
        <v>-0.53</v>
      </c>
      <c r="BE103" s="35">
        <f t="shared" si="157"/>
        <v>0.05</v>
      </c>
      <c r="BF103" s="35">
        <f t="shared" si="157"/>
        <v>0</v>
      </c>
      <c r="BG103" s="35">
        <f t="shared" si="157"/>
        <v>0</v>
      </c>
      <c r="BH103" s="35">
        <f t="shared" si="157"/>
        <v>0</v>
      </c>
      <c r="BI103" s="35">
        <f t="shared" si="157"/>
        <v>-0.15999999999999992</v>
      </c>
      <c r="BJ103" s="35">
        <f t="shared" si="157"/>
        <v>-0.92</v>
      </c>
      <c r="BK103" s="148">
        <f t="shared" si="157"/>
        <v>-1.08</v>
      </c>
      <c r="BL103" s="139">
        <f t="shared" si="157"/>
        <v>286748294</v>
      </c>
      <c r="BM103" s="34">
        <f t="shared" si="157"/>
        <v>208864818</v>
      </c>
      <c r="BN103" s="34">
        <f t="shared" si="157"/>
        <v>179095356</v>
      </c>
      <c r="BO103" s="34">
        <f t="shared" si="157"/>
        <v>29769462</v>
      </c>
      <c r="BP103" s="34">
        <f t="shared" si="157"/>
        <v>1590320</v>
      </c>
      <c r="BQ103" s="34">
        <f t="shared" si="157"/>
        <v>740040</v>
      </c>
      <c r="BR103" s="34">
        <f t="shared" si="157"/>
        <v>850280</v>
      </c>
      <c r="BS103" s="34">
        <f t="shared" si="157"/>
        <v>71133836</v>
      </c>
      <c r="BT103" s="34">
        <f t="shared" si="157"/>
        <v>2088651</v>
      </c>
      <c r="BU103" s="34">
        <f t="shared" si="157"/>
        <v>3070669</v>
      </c>
      <c r="BV103" s="35">
        <f t="shared" si="157"/>
        <v>404.8707</v>
      </c>
      <c r="BW103" s="35">
        <f t="shared" si="157"/>
        <v>313.96439999999996</v>
      </c>
      <c r="BX103" s="148">
        <f t="shared" ref="BX103:CJ103" si="158">SUM(BX104:BX113)</f>
        <v>90.906300000000002</v>
      </c>
      <c r="BY103" s="671">
        <f t="shared" si="158"/>
        <v>1899552</v>
      </c>
      <c r="BZ103" s="667">
        <f t="shared" si="158"/>
        <v>1297200</v>
      </c>
      <c r="CA103" s="667">
        <f t="shared" si="158"/>
        <v>112800</v>
      </c>
      <c r="CB103" s="667">
        <f t="shared" si="158"/>
        <v>476580</v>
      </c>
      <c r="CC103" s="667">
        <f t="shared" si="158"/>
        <v>12972</v>
      </c>
      <c r="CD103" s="672">
        <f t="shared" si="158"/>
        <v>2.2999999999999998</v>
      </c>
      <c r="CE103" s="893">
        <f t="shared" si="158"/>
        <v>8558495</v>
      </c>
      <c r="CF103" s="894">
        <f t="shared" si="158"/>
        <v>5828515</v>
      </c>
      <c r="CG103" s="894">
        <f t="shared" si="158"/>
        <v>1970037</v>
      </c>
      <c r="CH103" s="894">
        <f t="shared" si="158"/>
        <v>58287</v>
      </c>
      <c r="CI103" s="894">
        <f t="shared" si="158"/>
        <v>701656</v>
      </c>
      <c r="CJ103" s="885">
        <f t="shared" si="158"/>
        <v>17.690100000000001</v>
      </c>
    </row>
    <row r="104" spans="1:88">
      <c r="D104" s="9"/>
      <c r="E104" s="5"/>
      <c r="F104" s="9"/>
      <c r="G104" s="20"/>
      <c r="H104" s="473">
        <v>3111</v>
      </c>
      <c r="I104" s="488">
        <f t="shared" ref="I104:BW104" si="159">SUMIF($F$12:$F$446,"=3111",I$12:I$446)</f>
        <v>56870981</v>
      </c>
      <c r="J104" s="489">
        <f t="shared" si="159"/>
        <v>41662882</v>
      </c>
      <c r="K104" s="489">
        <f t="shared" si="159"/>
        <v>37291598</v>
      </c>
      <c r="L104" s="489">
        <f t="shared" si="159"/>
        <v>4371284</v>
      </c>
      <c r="M104" s="489">
        <f t="shared" si="159"/>
        <v>349265</v>
      </c>
      <c r="N104" s="489">
        <f t="shared" si="159"/>
        <v>200000</v>
      </c>
      <c r="O104" s="489">
        <f t="shared" si="159"/>
        <v>149265</v>
      </c>
      <c r="P104" s="489">
        <f t="shared" si="159"/>
        <v>14200104</v>
      </c>
      <c r="Q104" s="489">
        <f t="shared" si="159"/>
        <v>416630</v>
      </c>
      <c r="R104" s="489">
        <f t="shared" si="159"/>
        <v>242100</v>
      </c>
      <c r="S104" s="492">
        <f t="shared" si="159"/>
        <v>84.2149</v>
      </c>
      <c r="T104" s="492">
        <f t="shared" si="159"/>
        <v>68.868000000000009</v>
      </c>
      <c r="U104" s="495">
        <f t="shared" si="159"/>
        <v>15.3469</v>
      </c>
      <c r="V104" s="490">
        <f t="shared" si="159"/>
        <v>-1200</v>
      </c>
      <c r="W104" s="489">
        <f t="shared" si="159"/>
        <v>-128015</v>
      </c>
      <c r="X104" s="489">
        <f t="shared" si="159"/>
        <v>0</v>
      </c>
      <c r="Y104" s="489">
        <f t="shared" si="159"/>
        <v>0</v>
      </c>
      <c r="Z104" s="489">
        <f t="shared" si="159"/>
        <v>-93393</v>
      </c>
      <c r="AA104" s="489">
        <f t="shared" si="159"/>
        <v>0</v>
      </c>
      <c r="AB104" s="489">
        <f t="shared" si="159"/>
        <v>0</v>
      </c>
      <c r="AC104" s="489">
        <f t="shared" si="159"/>
        <v>0</v>
      </c>
      <c r="AD104" s="489">
        <f t="shared" si="159"/>
        <v>0</v>
      </c>
      <c r="AE104" s="489">
        <f t="shared" si="159"/>
        <v>-94593</v>
      </c>
      <c r="AF104" s="489">
        <f t="shared" si="159"/>
        <v>-128015</v>
      </c>
      <c r="AG104" s="489">
        <f t="shared" si="159"/>
        <v>-222608</v>
      </c>
      <c r="AH104" s="489">
        <f t="shared" si="159"/>
        <v>1200</v>
      </c>
      <c r="AI104" s="489">
        <f t="shared" si="159"/>
        <v>128015</v>
      </c>
      <c r="AJ104" s="489">
        <f t="shared" si="159"/>
        <v>0</v>
      </c>
      <c r="AK104" s="489">
        <f t="shared" si="159"/>
        <v>0</v>
      </c>
      <c r="AL104" s="489">
        <f t="shared" si="159"/>
        <v>0</v>
      </c>
      <c r="AM104" s="489">
        <f t="shared" si="159"/>
        <v>1200</v>
      </c>
      <c r="AN104" s="489">
        <f t="shared" si="159"/>
        <v>128015</v>
      </c>
      <c r="AO104" s="489">
        <f t="shared" si="159"/>
        <v>129215</v>
      </c>
      <c r="AP104" s="489">
        <f t="shared" si="159"/>
        <v>-93393</v>
      </c>
      <c r="AQ104" s="489">
        <f t="shared" si="159"/>
        <v>0</v>
      </c>
      <c r="AR104" s="489">
        <f t="shared" si="159"/>
        <v>-93393</v>
      </c>
      <c r="AS104" s="489">
        <f t="shared" si="159"/>
        <v>-31566</v>
      </c>
      <c r="AT104" s="489">
        <f t="shared" si="159"/>
        <v>-2226</v>
      </c>
      <c r="AU104" s="489">
        <f t="shared" si="159"/>
        <v>2750</v>
      </c>
      <c r="AV104" s="489">
        <f t="shared" si="159"/>
        <v>0</v>
      </c>
      <c r="AW104" s="489">
        <f t="shared" si="159"/>
        <v>0</v>
      </c>
      <c r="AX104" s="489">
        <f t="shared" si="159"/>
        <v>2750</v>
      </c>
      <c r="AY104" s="489">
        <f t="shared" si="159"/>
        <v>-124435</v>
      </c>
      <c r="AZ104" s="492">
        <f t="shared" si="159"/>
        <v>0</v>
      </c>
      <c r="BA104" s="492">
        <f t="shared" si="159"/>
        <v>-0.24</v>
      </c>
      <c r="BB104" s="492">
        <f t="shared" si="159"/>
        <v>0</v>
      </c>
      <c r="BC104" s="492">
        <f t="shared" si="159"/>
        <v>-0.19</v>
      </c>
      <c r="BD104" s="492">
        <f t="shared" si="159"/>
        <v>0</v>
      </c>
      <c r="BE104" s="492">
        <f t="shared" si="159"/>
        <v>0</v>
      </c>
      <c r="BF104" s="492">
        <f t="shared" si="159"/>
        <v>0</v>
      </c>
      <c r="BG104" s="492">
        <f t="shared" si="159"/>
        <v>0</v>
      </c>
      <c r="BH104" s="492">
        <f t="shared" si="159"/>
        <v>0</v>
      </c>
      <c r="BI104" s="492">
        <f t="shared" si="159"/>
        <v>-0.19</v>
      </c>
      <c r="BJ104" s="492">
        <f t="shared" si="159"/>
        <v>-0.24</v>
      </c>
      <c r="BK104" s="493">
        <f t="shared" si="159"/>
        <v>-0.42999999999999994</v>
      </c>
      <c r="BL104" s="488">
        <f t="shared" si="159"/>
        <v>56746546</v>
      </c>
      <c r="BM104" s="489">
        <f t="shared" si="159"/>
        <v>41440274</v>
      </c>
      <c r="BN104" s="489">
        <f t="shared" si="159"/>
        <v>37197005</v>
      </c>
      <c r="BO104" s="489">
        <f t="shared" si="159"/>
        <v>4243269</v>
      </c>
      <c r="BP104" s="489">
        <f t="shared" si="159"/>
        <v>478480</v>
      </c>
      <c r="BQ104" s="489">
        <f t="shared" si="159"/>
        <v>201200</v>
      </c>
      <c r="BR104" s="489">
        <f t="shared" si="159"/>
        <v>277280</v>
      </c>
      <c r="BS104" s="489">
        <f t="shared" si="159"/>
        <v>14168538</v>
      </c>
      <c r="BT104" s="489">
        <f t="shared" si="159"/>
        <v>414404</v>
      </c>
      <c r="BU104" s="489">
        <f t="shared" si="159"/>
        <v>244850</v>
      </c>
      <c r="BV104" s="492">
        <f t="shared" si="159"/>
        <v>83.784900000000007</v>
      </c>
      <c r="BW104" s="492">
        <f t="shared" si="159"/>
        <v>68.678000000000011</v>
      </c>
      <c r="BX104" s="493">
        <f t="shared" ref="BX104:CJ104" si="160">SUMIF($F$12:$F$446,"=3111",BX$12:BX$446)</f>
        <v>15.1069</v>
      </c>
      <c r="BY104" s="488">
        <f t="shared" si="160"/>
        <v>0</v>
      </c>
      <c r="BZ104" s="489">
        <f t="shared" si="160"/>
        <v>0</v>
      </c>
      <c r="CA104" s="489">
        <f t="shared" si="160"/>
        <v>0</v>
      </c>
      <c r="CB104" s="489">
        <f t="shared" si="160"/>
        <v>0</v>
      </c>
      <c r="CC104" s="489">
        <f t="shared" si="160"/>
        <v>0</v>
      </c>
      <c r="CD104" s="495">
        <f t="shared" si="160"/>
        <v>0</v>
      </c>
      <c r="CE104" s="488">
        <f t="shared" si="160"/>
        <v>2035369</v>
      </c>
      <c r="CF104" s="489">
        <f t="shared" si="160"/>
        <v>1450566</v>
      </c>
      <c r="CG104" s="489">
        <f t="shared" si="160"/>
        <v>490289</v>
      </c>
      <c r="CH104" s="489">
        <f t="shared" si="160"/>
        <v>14507</v>
      </c>
      <c r="CI104" s="489">
        <f t="shared" si="160"/>
        <v>80007</v>
      </c>
      <c r="CJ104" s="495">
        <f t="shared" si="160"/>
        <v>5.0880999999999998</v>
      </c>
    </row>
    <row r="105" spans="1:88">
      <c r="D105" s="9"/>
      <c r="E105" s="5"/>
      <c r="F105" s="9"/>
      <c r="G105" s="20"/>
      <c r="H105" s="19">
        <v>3113</v>
      </c>
      <c r="I105" s="167">
        <f t="shared" ref="I105:BW105" si="161">SUMIF($F$12:$F$446,"=3113",I$12:I$446)</f>
        <v>163345494</v>
      </c>
      <c r="J105" s="16">
        <f t="shared" si="161"/>
        <v>118845539</v>
      </c>
      <c r="K105" s="16">
        <f t="shared" si="161"/>
        <v>107757224</v>
      </c>
      <c r="L105" s="16">
        <f t="shared" si="161"/>
        <v>11088315</v>
      </c>
      <c r="M105" s="16">
        <f t="shared" si="161"/>
        <v>520000</v>
      </c>
      <c r="N105" s="16">
        <f t="shared" si="161"/>
        <v>355000</v>
      </c>
      <c r="O105" s="16">
        <f t="shared" si="161"/>
        <v>165000</v>
      </c>
      <c r="P105" s="16">
        <f t="shared" si="161"/>
        <v>40345556</v>
      </c>
      <c r="Q105" s="16">
        <f t="shared" si="161"/>
        <v>1188459</v>
      </c>
      <c r="R105" s="16">
        <f t="shared" si="161"/>
        <v>2445940</v>
      </c>
      <c r="S105" s="13">
        <f t="shared" si="161"/>
        <v>217.81439999999998</v>
      </c>
      <c r="T105" s="13">
        <f t="shared" si="161"/>
        <v>185.56069999999997</v>
      </c>
      <c r="U105" s="17">
        <f t="shared" si="161"/>
        <v>32.253700000000002</v>
      </c>
      <c r="V105" s="168">
        <f t="shared" si="161"/>
        <v>56800</v>
      </c>
      <c r="W105" s="16">
        <f t="shared" si="161"/>
        <v>-5000</v>
      </c>
      <c r="X105" s="16">
        <f t="shared" si="161"/>
        <v>115875</v>
      </c>
      <c r="Y105" s="16">
        <f t="shared" si="161"/>
        <v>39720</v>
      </c>
      <c r="Z105" s="16">
        <f t="shared" si="161"/>
        <v>-356527</v>
      </c>
      <c r="AA105" s="16">
        <f t="shared" si="161"/>
        <v>0</v>
      </c>
      <c r="AB105" s="16">
        <f t="shared" si="161"/>
        <v>0</v>
      </c>
      <c r="AC105" s="16">
        <f t="shared" si="161"/>
        <v>0</v>
      </c>
      <c r="AD105" s="16">
        <f t="shared" si="161"/>
        <v>0</v>
      </c>
      <c r="AE105" s="16">
        <f t="shared" si="161"/>
        <v>-144132</v>
      </c>
      <c r="AF105" s="16">
        <f t="shared" si="161"/>
        <v>-5000</v>
      </c>
      <c r="AG105" s="16">
        <f t="shared" si="161"/>
        <v>-149132</v>
      </c>
      <c r="AH105" s="16">
        <f t="shared" si="161"/>
        <v>-56800</v>
      </c>
      <c r="AI105" s="16">
        <f t="shared" si="161"/>
        <v>5000</v>
      </c>
      <c r="AJ105" s="16">
        <f t="shared" si="161"/>
        <v>0</v>
      </c>
      <c r="AK105" s="16">
        <f t="shared" si="161"/>
        <v>0</v>
      </c>
      <c r="AL105" s="16">
        <f t="shared" si="161"/>
        <v>0</v>
      </c>
      <c r="AM105" s="16">
        <f t="shared" si="161"/>
        <v>-56800</v>
      </c>
      <c r="AN105" s="16">
        <f t="shared" si="161"/>
        <v>5000</v>
      </c>
      <c r="AO105" s="16">
        <f t="shared" si="161"/>
        <v>-51800</v>
      </c>
      <c r="AP105" s="16">
        <f t="shared" si="161"/>
        <v>-200932</v>
      </c>
      <c r="AQ105" s="16">
        <f t="shared" si="161"/>
        <v>0</v>
      </c>
      <c r="AR105" s="16">
        <f t="shared" si="161"/>
        <v>-200932</v>
      </c>
      <c r="AS105" s="16">
        <f t="shared" si="161"/>
        <v>-67915</v>
      </c>
      <c r="AT105" s="16">
        <f t="shared" si="161"/>
        <v>-1491</v>
      </c>
      <c r="AU105" s="16">
        <f t="shared" si="161"/>
        <v>1250</v>
      </c>
      <c r="AV105" s="16">
        <f t="shared" si="161"/>
        <v>0</v>
      </c>
      <c r="AW105" s="16">
        <f t="shared" si="161"/>
        <v>0</v>
      </c>
      <c r="AX105" s="16">
        <f t="shared" si="161"/>
        <v>1250</v>
      </c>
      <c r="AY105" s="16">
        <f t="shared" si="161"/>
        <v>-269088</v>
      </c>
      <c r="AZ105" s="13">
        <f t="shared" si="161"/>
        <v>-7.0000000000000007E-2</v>
      </c>
      <c r="BA105" s="13">
        <f t="shared" si="161"/>
        <v>0</v>
      </c>
      <c r="BB105" s="13">
        <f t="shared" si="161"/>
        <v>0.32</v>
      </c>
      <c r="BC105" s="13">
        <f t="shared" si="161"/>
        <v>-0.72</v>
      </c>
      <c r="BD105" s="13">
        <f t="shared" si="161"/>
        <v>0</v>
      </c>
      <c r="BE105" s="13">
        <f t="shared" si="161"/>
        <v>0.05</v>
      </c>
      <c r="BF105" s="13">
        <f t="shared" si="161"/>
        <v>0</v>
      </c>
      <c r="BG105" s="13">
        <f t="shared" si="161"/>
        <v>0</v>
      </c>
      <c r="BH105" s="13">
        <f t="shared" si="161"/>
        <v>0</v>
      </c>
      <c r="BI105" s="13">
        <f t="shared" si="161"/>
        <v>-0.41999999999999993</v>
      </c>
      <c r="BJ105" s="13">
        <f t="shared" si="161"/>
        <v>0</v>
      </c>
      <c r="BK105" s="169">
        <f t="shared" si="161"/>
        <v>-0.41999999999999993</v>
      </c>
      <c r="BL105" s="167">
        <f t="shared" si="161"/>
        <v>163076406</v>
      </c>
      <c r="BM105" s="16">
        <f t="shared" si="161"/>
        <v>118696407</v>
      </c>
      <c r="BN105" s="16">
        <f t="shared" si="161"/>
        <v>107613092</v>
      </c>
      <c r="BO105" s="16">
        <f t="shared" si="161"/>
        <v>11083315</v>
      </c>
      <c r="BP105" s="16">
        <f t="shared" si="161"/>
        <v>468200</v>
      </c>
      <c r="BQ105" s="16">
        <f t="shared" si="161"/>
        <v>298200</v>
      </c>
      <c r="BR105" s="16">
        <f t="shared" si="161"/>
        <v>170000</v>
      </c>
      <c r="BS105" s="16">
        <f t="shared" si="161"/>
        <v>40277641</v>
      </c>
      <c r="BT105" s="16">
        <f t="shared" si="161"/>
        <v>1186968</v>
      </c>
      <c r="BU105" s="16">
        <f t="shared" si="161"/>
        <v>2447190</v>
      </c>
      <c r="BV105" s="13">
        <f t="shared" si="161"/>
        <v>217.39439999999999</v>
      </c>
      <c r="BW105" s="13">
        <f t="shared" si="161"/>
        <v>185.14069999999998</v>
      </c>
      <c r="BX105" s="169">
        <f t="shared" ref="BX105:CJ105" si="162">SUMIF($F$12:$F$446,"=3113",BX$12:BX$446)</f>
        <v>32.253700000000002</v>
      </c>
      <c r="BY105" s="167">
        <f t="shared" si="162"/>
        <v>1748626</v>
      </c>
      <c r="BZ105" s="16">
        <f t="shared" si="162"/>
        <v>1297200</v>
      </c>
      <c r="CA105" s="16">
        <f t="shared" si="162"/>
        <v>0</v>
      </c>
      <c r="CB105" s="16">
        <f t="shared" si="162"/>
        <v>438454</v>
      </c>
      <c r="CC105" s="16">
        <f t="shared" si="162"/>
        <v>12972</v>
      </c>
      <c r="CD105" s="17">
        <f t="shared" si="162"/>
        <v>2.2999999999999998</v>
      </c>
      <c r="CE105" s="167">
        <f t="shared" si="162"/>
        <v>5437349</v>
      </c>
      <c r="CF105" s="16">
        <f t="shared" si="162"/>
        <v>3611874</v>
      </c>
      <c r="CG105" s="16">
        <f t="shared" si="162"/>
        <v>1220814</v>
      </c>
      <c r="CH105" s="16">
        <f t="shared" si="162"/>
        <v>36119</v>
      </c>
      <c r="CI105" s="16">
        <f t="shared" si="162"/>
        <v>568542</v>
      </c>
      <c r="CJ105" s="17">
        <f t="shared" si="162"/>
        <v>10.4588</v>
      </c>
    </row>
    <row r="106" spans="1:88">
      <c r="D106" s="9"/>
      <c r="E106" s="5"/>
      <c r="F106" s="9"/>
      <c r="G106" s="20"/>
      <c r="H106" s="19">
        <v>3114</v>
      </c>
      <c r="I106" s="167">
        <f t="shared" ref="I106:BW106" si="163">SUMIF($F$12:$F$446,"=3114",I$12:I$446)</f>
        <v>0</v>
      </c>
      <c r="J106" s="16">
        <f t="shared" si="163"/>
        <v>0</v>
      </c>
      <c r="K106" s="16">
        <f t="shared" si="163"/>
        <v>0</v>
      </c>
      <c r="L106" s="16">
        <f t="shared" si="163"/>
        <v>0</v>
      </c>
      <c r="M106" s="16">
        <f t="shared" si="163"/>
        <v>0</v>
      </c>
      <c r="N106" s="16">
        <f t="shared" si="163"/>
        <v>0</v>
      </c>
      <c r="O106" s="16">
        <f t="shared" si="163"/>
        <v>0</v>
      </c>
      <c r="P106" s="16">
        <f t="shared" si="163"/>
        <v>0</v>
      </c>
      <c r="Q106" s="16">
        <f t="shared" si="163"/>
        <v>0</v>
      </c>
      <c r="R106" s="16">
        <f t="shared" si="163"/>
        <v>0</v>
      </c>
      <c r="S106" s="13">
        <f t="shared" si="163"/>
        <v>0</v>
      </c>
      <c r="T106" s="13">
        <f t="shared" si="163"/>
        <v>0</v>
      </c>
      <c r="U106" s="17">
        <f t="shared" si="163"/>
        <v>0</v>
      </c>
      <c r="V106" s="168">
        <f t="shared" si="163"/>
        <v>0</v>
      </c>
      <c r="W106" s="16">
        <f t="shared" si="163"/>
        <v>0</v>
      </c>
      <c r="X106" s="16">
        <f t="shared" si="163"/>
        <v>0</v>
      </c>
      <c r="Y106" s="16">
        <f t="shared" si="163"/>
        <v>0</v>
      </c>
      <c r="Z106" s="16">
        <f t="shared" si="163"/>
        <v>0</v>
      </c>
      <c r="AA106" s="16">
        <f t="shared" si="163"/>
        <v>0</v>
      </c>
      <c r="AB106" s="16">
        <f t="shared" si="163"/>
        <v>0</v>
      </c>
      <c r="AC106" s="16">
        <f t="shared" si="163"/>
        <v>0</v>
      </c>
      <c r="AD106" s="16">
        <f t="shared" si="163"/>
        <v>0</v>
      </c>
      <c r="AE106" s="16">
        <f t="shared" si="163"/>
        <v>0</v>
      </c>
      <c r="AF106" s="16">
        <f t="shared" si="163"/>
        <v>0</v>
      </c>
      <c r="AG106" s="16">
        <f t="shared" si="163"/>
        <v>0</v>
      </c>
      <c r="AH106" s="16">
        <f t="shared" si="163"/>
        <v>0</v>
      </c>
      <c r="AI106" s="16">
        <f t="shared" si="163"/>
        <v>0</v>
      </c>
      <c r="AJ106" s="16">
        <f t="shared" si="163"/>
        <v>0</v>
      </c>
      <c r="AK106" s="16">
        <f t="shared" si="163"/>
        <v>0</v>
      </c>
      <c r="AL106" s="16">
        <f t="shared" si="163"/>
        <v>0</v>
      </c>
      <c r="AM106" s="16">
        <f t="shared" si="163"/>
        <v>0</v>
      </c>
      <c r="AN106" s="16">
        <f t="shared" si="163"/>
        <v>0</v>
      </c>
      <c r="AO106" s="16">
        <f t="shared" si="163"/>
        <v>0</v>
      </c>
      <c r="AP106" s="16">
        <f t="shared" si="163"/>
        <v>0</v>
      </c>
      <c r="AQ106" s="16">
        <f t="shared" si="163"/>
        <v>0</v>
      </c>
      <c r="AR106" s="16">
        <f t="shared" si="163"/>
        <v>0</v>
      </c>
      <c r="AS106" s="16">
        <f t="shared" si="163"/>
        <v>0</v>
      </c>
      <c r="AT106" s="16">
        <f t="shared" si="163"/>
        <v>0</v>
      </c>
      <c r="AU106" s="16">
        <f t="shared" si="163"/>
        <v>0</v>
      </c>
      <c r="AV106" s="16">
        <f t="shared" si="163"/>
        <v>0</v>
      </c>
      <c r="AW106" s="16">
        <f t="shared" si="163"/>
        <v>0</v>
      </c>
      <c r="AX106" s="16">
        <f t="shared" si="163"/>
        <v>0</v>
      </c>
      <c r="AY106" s="16">
        <f t="shared" si="163"/>
        <v>0</v>
      </c>
      <c r="AZ106" s="13">
        <f t="shared" si="163"/>
        <v>0</v>
      </c>
      <c r="BA106" s="13">
        <f t="shared" si="163"/>
        <v>0</v>
      </c>
      <c r="BB106" s="13">
        <f t="shared" si="163"/>
        <v>0</v>
      </c>
      <c r="BC106" s="13">
        <f t="shared" si="163"/>
        <v>0</v>
      </c>
      <c r="BD106" s="13">
        <f t="shared" si="163"/>
        <v>0</v>
      </c>
      <c r="BE106" s="13">
        <f t="shared" si="163"/>
        <v>0</v>
      </c>
      <c r="BF106" s="13">
        <f t="shared" si="163"/>
        <v>0</v>
      </c>
      <c r="BG106" s="13">
        <f t="shared" si="163"/>
        <v>0</v>
      </c>
      <c r="BH106" s="13">
        <f t="shared" si="163"/>
        <v>0</v>
      </c>
      <c r="BI106" s="13">
        <f t="shared" si="163"/>
        <v>0</v>
      </c>
      <c r="BJ106" s="13">
        <f t="shared" si="163"/>
        <v>0</v>
      </c>
      <c r="BK106" s="169">
        <f t="shared" si="163"/>
        <v>0</v>
      </c>
      <c r="BL106" s="167">
        <f t="shared" si="163"/>
        <v>0</v>
      </c>
      <c r="BM106" s="16">
        <f t="shared" si="163"/>
        <v>0</v>
      </c>
      <c r="BN106" s="16">
        <f t="shared" si="163"/>
        <v>0</v>
      </c>
      <c r="BO106" s="16">
        <f t="shared" si="163"/>
        <v>0</v>
      </c>
      <c r="BP106" s="16">
        <f t="shared" si="163"/>
        <v>0</v>
      </c>
      <c r="BQ106" s="16">
        <f t="shared" si="163"/>
        <v>0</v>
      </c>
      <c r="BR106" s="16">
        <f t="shared" si="163"/>
        <v>0</v>
      </c>
      <c r="BS106" s="16">
        <f t="shared" si="163"/>
        <v>0</v>
      </c>
      <c r="BT106" s="16">
        <f t="shared" si="163"/>
        <v>0</v>
      </c>
      <c r="BU106" s="16">
        <f t="shared" si="163"/>
        <v>0</v>
      </c>
      <c r="BV106" s="13">
        <f t="shared" si="163"/>
        <v>0</v>
      </c>
      <c r="BW106" s="13">
        <f t="shared" si="163"/>
        <v>0</v>
      </c>
      <c r="BX106" s="169">
        <f t="shared" ref="BX106:CJ106" si="164">SUMIF($F$12:$F$446,"=3114",BX$12:BX$446)</f>
        <v>0</v>
      </c>
      <c r="BY106" s="167">
        <f t="shared" si="164"/>
        <v>0</v>
      </c>
      <c r="BZ106" s="16">
        <f t="shared" si="164"/>
        <v>0</v>
      </c>
      <c r="CA106" s="16">
        <f t="shared" si="164"/>
        <v>0</v>
      </c>
      <c r="CB106" s="16">
        <f t="shared" si="164"/>
        <v>0</v>
      </c>
      <c r="CC106" s="16">
        <f t="shared" si="164"/>
        <v>0</v>
      </c>
      <c r="CD106" s="17">
        <f t="shared" si="164"/>
        <v>0</v>
      </c>
      <c r="CE106" s="167">
        <f t="shared" si="164"/>
        <v>0</v>
      </c>
      <c r="CF106" s="16">
        <f t="shared" si="164"/>
        <v>0</v>
      </c>
      <c r="CG106" s="16">
        <f t="shared" si="164"/>
        <v>0</v>
      </c>
      <c r="CH106" s="16">
        <f t="shared" si="164"/>
        <v>0</v>
      </c>
      <c r="CI106" s="16">
        <f t="shared" si="164"/>
        <v>0</v>
      </c>
      <c r="CJ106" s="17">
        <f t="shared" si="164"/>
        <v>0</v>
      </c>
    </row>
    <row r="107" spans="1:88">
      <c r="D107" s="9"/>
      <c r="E107" s="5"/>
      <c r="F107" s="9"/>
      <c r="G107" s="20"/>
      <c r="H107" s="19">
        <v>3117</v>
      </c>
      <c r="I107" s="167">
        <f t="shared" ref="I107:BW107" si="165">SUMIF($F$12:$F$446,"=3117",I$12:I$446)</f>
        <v>16166726</v>
      </c>
      <c r="J107" s="16">
        <f t="shared" si="165"/>
        <v>11581705</v>
      </c>
      <c r="K107" s="16">
        <f t="shared" si="165"/>
        <v>10018324</v>
      </c>
      <c r="L107" s="16">
        <f t="shared" si="165"/>
        <v>1563381</v>
      </c>
      <c r="M107" s="16">
        <f t="shared" si="165"/>
        <v>234800</v>
      </c>
      <c r="N107" s="16">
        <f t="shared" si="165"/>
        <v>122800</v>
      </c>
      <c r="O107" s="16">
        <f t="shared" si="165"/>
        <v>112000</v>
      </c>
      <c r="P107" s="16">
        <f t="shared" si="165"/>
        <v>3993978</v>
      </c>
      <c r="Q107" s="16">
        <f t="shared" si="165"/>
        <v>115818</v>
      </c>
      <c r="R107" s="16">
        <f t="shared" si="165"/>
        <v>240425</v>
      </c>
      <c r="S107" s="13">
        <f t="shared" si="165"/>
        <v>21.638400000000001</v>
      </c>
      <c r="T107" s="13">
        <f t="shared" si="165"/>
        <v>17.357099999999999</v>
      </c>
      <c r="U107" s="17">
        <f t="shared" si="165"/>
        <v>4.2812999999999999</v>
      </c>
      <c r="V107" s="168">
        <f t="shared" si="165"/>
        <v>-15000</v>
      </c>
      <c r="W107" s="16">
        <f t="shared" si="165"/>
        <v>-48000</v>
      </c>
      <c r="X107" s="16">
        <f t="shared" si="165"/>
        <v>-8252</v>
      </c>
      <c r="Y107" s="16">
        <f t="shared" si="165"/>
        <v>0</v>
      </c>
      <c r="Z107" s="16">
        <f t="shared" si="165"/>
        <v>0</v>
      </c>
      <c r="AA107" s="16">
        <f t="shared" si="165"/>
        <v>0</v>
      </c>
      <c r="AB107" s="16">
        <f t="shared" si="165"/>
        <v>0</v>
      </c>
      <c r="AC107" s="16">
        <f t="shared" si="165"/>
        <v>0</v>
      </c>
      <c r="AD107" s="16">
        <f t="shared" si="165"/>
        <v>0</v>
      </c>
      <c r="AE107" s="16">
        <f t="shared" si="165"/>
        <v>-23252</v>
      </c>
      <c r="AF107" s="16">
        <f t="shared" si="165"/>
        <v>-48000</v>
      </c>
      <c r="AG107" s="16">
        <f t="shared" si="165"/>
        <v>-71252</v>
      </c>
      <c r="AH107" s="16">
        <f t="shared" si="165"/>
        <v>15000</v>
      </c>
      <c r="AI107" s="16">
        <f t="shared" si="165"/>
        <v>48000</v>
      </c>
      <c r="AJ107" s="16">
        <f t="shared" si="165"/>
        <v>0</v>
      </c>
      <c r="AK107" s="16">
        <f t="shared" si="165"/>
        <v>0</v>
      </c>
      <c r="AL107" s="16">
        <f t="shared" si="165"/>
        <v>0</v>
      </c>
      <c r="AM107" s="16">
        <f t="shared" si="165"/>
        <v>15000</v>
      </c>
      <c r="AN107" s="16">
        <f t="shared" si="165"/>
        <v>48000</v>
      </c>
      <c r="AO107" s="16">
        <f t="shared" si="165"/>
        <v>63000</v>
      </c>
      <c r="AP107" s="16">
        <f t="shared" si="165"/>
        <v>-8252</v>
      </c>
      <c r="AQ107" s="16">
        <f t="shared" si="165"/>
        <v>0</v>
      </c>
      <c r="AR107" s="16">
        <f t="shared" si="165"/>
        <v>-8252</v>
      </c>
      <c r="AS107" s="16">
        <f t="shared" si="165"/>
        <v>-2789</v>
      </c>
      <c r="AT107" s="16">
        <f t="shared" si="165"/>
        <v>-713</v>
      </c>
      <c r="AU107" s="16">
        <f t="shared" si="165"/>
        <v>2500</v>
      </c>
      <c r="AV107" s="16">
        <f t="shared" si="165"/>
        <v>0</v>
      </c>
      <c r="AW107" s="16">
        <f t="shared" si="165"/>
        <v>0</v>
      </c>
      <c r="AX107" s="16">
        <f t="shared" si="165"/>
        <v>2500</v>
      </c>
      <c r="AY107" s="16">
        <f t="shared" si="165"/>
        <v>-9254</v>
      </c>
      <c r="AZ107" s="13">
        <f t="shared" si="165"/>
        <v>-0.03</v>
      </c>
      <c r="BA107" s="13">
        <f t="shared" si="165"/>
        <v>-0.09</v>
      </c>
      <c r="BB107" s="13">
        <f t="shared" si="165"/>
        <v>-0.02</v>
      </c>
      <c r="BC107" s="13">
        <f t="shared" si="165"/>
        <v>0</v>
      </c>
      <c r="BD107" s="13">
        <f t="shared" si="165"/>
        <v>0</v>
      </c>
      <c r="BE107" s="13">
        <f t="shared" si="165"/>
        <v>0</v>
      </c>
      <c r="BF107" s="13">
        <f t="shared" si="165"/>
        <v>0</v>
      </c>
      <c r="BG107" s="13">
        <f t="shared" si="165"/>
        <v>0</v>
      </c>
      <c r="BH107" s="13">
        <f t="shared" si="165"/>
        <v>0</v>
      </c>
      <c r="BI107" s="13">
        <f t="shared" si="165"/>
        <v>-0.05</v>
      </c>
      <c r="BJ107" s="13">
        <f t="shared" si="165"/>
        <v>-0.09</v>
      </c>
      <c r="BK107" s="169">
        <f t="shared" si="165"/>
        <v>-0.14000000000000001</v>
      </c>
      <c r="BL107" s="167">
        <f t="shared" si="165"/>
        <v>16157472</v>
      </c>
      <c r="BM107" s="16">
        <f t="shared" si="165"/>
        <v>11510453</v>
      </c>
      <c r="BN107" s="16">
        <f t="shared" si="165"/>
        <v>9995072</v>
      </c>
      <c r="BO107" s="16">
        <f t="shared" si="165"/>
        <v>1515381</v>
      </c>
      <c r="BP107" s="16">
        <f t="shared" si="165"/>
        <v>297800</v>
      </c>
      <c r="BQ107" s="16">
        <f t="shared" si="165"/>
        <v>137800</v>
      </c>
      <c r="BR107" s="16">
        <f t="shared" si="165"/>
        <v>160000</v>
      </c>
      <c r="BS107" s="16">
        <f t="shared" si="165"/>
        <v>3991189</v>
      </c>
      <c r="BT107" s="16">
        <f t="shared" si="165"/>
        <v>115105</v>
      </c>
      <c r="BU107" s="16">
        <f t="shared" si="165"/>
        <v>242925</v>
      </c>
      <c r="BV107" s="13">
        <f t="shared" si="165"/>
        <v>21.4984</v>
      </c>
      <c r="BW107" s="13">
        <f t="shared" si="165"/>
        <v>17.307099999999998</v>
      </c>
      <c r="BX107" s="169">
        <f t="shared" ref="BX107:CJ107" si="166">SUMIF($F$12:$F$446,"=3117",BX$12:BX$446)</f>
        <v>4.1913</v>
      </c>
      <c r="BY107" s="167">
        <f t="shared" si="166"/>
        <v>150926</v>
      </c>
      <c r="BZ107" s="16">
        <f t="shared" si="166"/>
        <v>0</v>
      </c>
      <c r="CA107" s="16">
        <f t="shared" si="166"/>
        <v>112800</v>
      </c>
      <c r="CB107" s="16">
        <f t="shared" si="166"/>
        <v>38126</v>
      </c>
      <c r="CC107" s="16">
        <f t="shared" si="166"/>
        <v>0</v>
      </c>
      <c r="CD107" s="17">
        <f t="shared" si="166"/>
        <v>0</v>
      </c>
      <c r="CE107" s="167">
        <f t="shared" si="166"/>
        <v>766894</v>
      </c>
      <c r="CF107" s="16">
        <f t="shared" si="166"/>
        <v>537715</v>
      </c>
      <c r="CG107" s="16">
        <f t="shared" si="166"/>
        <v>181748</v>
      </c>
      <c r="CH107" s="16">
        <f t="shared" si="166"/>
        <v>5377</v>
      </c>
      <c r="CI107" s="16">
        <f t="shared" si="166"/>
        <v>42054</v>
      </c>
      <c r="CJ107" s="17">
        <f t="shared" si="166"/>
        <v>1.5024999999999999</v>
      </c>
    </row>
    <row r="108" spans="1:88">
      <c r="D108" s="9"/>
      <c r="E108" s="5"/>
      <c r="F108" s="9"/>
      <c r="G108" s="20"/>
      <c r="H108" s="19">
        <v>3122</v>
      </c>
      <c r="I108" s="167">
        <f t="shared" ref="I108:BW108" si="167">SUMIF($F$12:$F$446,"=3122",I$12:I$446)</f>
        <v>0</v>
      </c>
      <c r="J108" s="16">
        <f t="shared" si="167"/>
        <v>0</v>
      </c>
      <c r="K108" s="16">
        <f t="shared" si="167"/>
        <v>0</v>
      </c>
      <c r="L108" s="16">
        <f t="shared" si="167"/>
        <v>0</v>
      </c>
      <c r="M108" s="16">
        <f t="shared" si="167"/>
        <v>0</v>
      </c>
      <c r="N108" s="16">
        <f t="shared" si="167"/>
        <v>0</v>
      </c>
      <c r="O108" s="16">
        <f t="shared" si="167"/>
        <v>0</v>
      </c>
      <c r="P108" s="16">
        <f t="shared" si="167"/>
        <v>0</v>
      </c>
      <c r="Q108" s="16">
        <f t="shared" si="167"/>
        <v>0</v>
      </c>
      <c r="R108" s="16">
        <f t="shared" si="167"/>
        <v>0</v>
      </c>
      <c r="S108" s="13">
        <f t="shared" si="167"/>
        <v>0</v>
      </c>
      <c r="T108" s="13">
        <f t="shared" si="167"/>
        <v>0</v>
      </c>
      <c r="U108" s="17">
        <f t="shared" si="167"/>
        <v>0</v>
      </c>
      <c r="V108" s="168">
        <f t="shared" si="167"/>
        <v>0</v>
      </c>
      <c r="W108" s="16">
        <f t="shared" si="167"/>
        <v>0</v>
      </c>
      <c r="X108" s="16">
        <f t="shared" si="167"/>
        <v>0</v>
      </c>
      <c r="Y108" s="16">
        <f t="shared" si="167"/>
        <v>0</v>
      </c>
      <c r="Z108" s="16">
        <f t="shared" si="167"/>
        <v>0</v>
      </c>
      <c r="AA108" s="16">
        <f t="shared" si="167"/>
        <v>0</v>
      </c>
      <c r="AB108" s="16">
        <f t="shared" si="167"/>
        <v>0</v>
      </c>
      <c r="AC108" s="16">
        <f t="shared" si="167"/>
        <v>0</v>
      </c>
      <c r="AD108" s="16">
        <f t="shared" si="167"/>
        <v>0</v>
      </c>
      <c r="AE108" s="16">
        <f t="shared" si="167"/>
        <v>0</v>
      </c>
      <c r="AF108" s="16">
        <f t="shared" si="167"/>
        <v>0</v>
      </c>
      <c r="AG108" s="16">
        <f t="shared" si="167"/>
        <v>0</v>
      </c>
      <c r="AH108" s="16">
        <f t="shared" si="167"/>
        <v>0</v>
      </c>
      <c r="AI108" s="16">
        <f t="shared" si="167"/>
        <v>0</v>
      </c>
      <c r="AJ108" s="16">
        <f t="shared" si="167"/>
        <v>0</v>
      </c>
      <c r="AK108" s="16">
        <f t="shared" si="167"/>
        <v>0</v>
      </c>
      <c r="AL108" s="16">
        <f t="shared" si="167"/>
        <v>0</v>
      </c>
      <c r="AM108" s="16">
        <f t="shared" si="167"/>
        <v>0</v>
      </c>
      <c r="AN108" s="16">
        <f t="shared" si="167"/>
        <v>0</v>
      </c>
      <c r="AO108" s="16">
        <f t="shared" si="167"/>
        <v>0</v>
      </c>
      <c r="AP108" s="16">
        <f t="shared" si="167"/>
        <v>0</v>
      </c>
      <c r="AQ108" s="16">
        <f t="shared" si="167"/>
        <v>0</v>
      </c>
      <c r="AR108" s="16">
        <f t="shared" si="167"/>
        <v>0</v>
      </c>
      <c r="AS108" s="16">
        <f t="shared" si="167"/>
        <v>0</v>
      </c>
      <c r="AT108" s="16">
        <f t="shared" si="167"/>
        <v>0</v>
      </c>
      <c r="AU108" s="16">
        <f t="shared" si="167"/>
        <v>0</v>
      </c>
      <c r="AV108" s="16">
        <f t="shared" si="167"/>
        <v>0</v>
      </c>
      <c r="AW108" s="16">
        <f t="shared" si="167"/>
        <v>0</v>
      </c>
      <c r="AX108" s="16">
        <f t="shared" si="167"/>
        <v>0</v>
      </c>
      <c r="AY108" s="16">
        <f t="shared" si="167"/>
        <v>0</v>
      </c>
      <c r="AZ108" s="13">
        <f t="shared" si="167"/>
        <v>0</v>
      </c>
      <c r="BA108" s="13">
        <f t="shared" si="167"/>
        <v>0</v>
      </c>
      <c r="BB108" s="13">
        <f t="shared" si="167"/>
        <v>0</v>
      </c>
      <c r="BC108" s="13">
        <f t="shared" si="167"/>
        <v>0</v>
      </c>
      <c r="BD108" s="13">
        <f t="shared" si="167"/>
        <v>0</v>
      </c>
      <c r="BE108" s="13">
        <f t="shared" si="167"/>
        <v>0</v>
      </c>
      <c r="BF108" s="13">
        <f t="shared" si="167"/>
        <v>0</v>
      </c>
      <c r="BG108" s="13">
        <f t="shared" si="167"/>
        <v>0</v>
      </c>
      <c r="BH108" s="13">
        <f t="shared" si="167"/>
        <v>0</v>
      </c>
      <c r="BI108" s="13">
        <f t="shared" si="167"/>
        <v>0</v>
      </c>
      <c r="BJ108" s="13">
        <f t="shared" si="167"/>
        <v>0</v>
      </c>
      <c r="BK108" s="169">
        <f t="shared" si="167"/>
        <v>0</v>
      </c>
      <c r="BL108" s="167">
        <f t="shared" si="167"/>
        <v>0</v>
      </c>
      <c r="BM108" s="16">
        <f t="shared" si="167"/>
        <v>0</v>
      </c>
      <c r="BN108" s="16">
        <f t="shared" si="167"/>
        <v>0</v>
      </c>
      <c r="BO108" s="16">
        <f t="shared" si="167"/>
        <v>0</v>
      </c>
      <c r="BP108" s="16">
        <f t="shared" si="167"/>
        <v>0</v>
      </c>
      <c r="BQ108" s="16">
        <f t="shared" si="167"/>
        <v>0</v>
      </c>
      <c r="BR108" s="16">
        <f t="shared" si="167"/>
        <v>0</v>
      </c>
      <c r="BS108" s="16">
        <f t="shared" si="167"/>
        <v>0</v>
      </c>
      <c r="BT108" s="16">
        <f t="shared" si="167"/>
        <v>0</v>
      </c>
      <c r="BU108" s="16">
        <f t="shared" si="167"/>
        <v>0</v>
      </c>
      <c r="BV108" s="13">
        <f t="shared" si="167"/>
        <v>0</v>
      </c>
      <c r="BW108" s="13">
        <f t="shared" si="167"/>
        <v>0</v>
      </c>
      <c r="BX108" s="169">
        <f t="shared" ref="BX108:CJ108" si="168">SUMIF($F$12:$F$446,"=3122",BX$12:BX$446)</f>
        <v>0</v>
      </c>
      <c r="BY108" s="167">
        <f t="shared" si="168"/>
        <v>0</v>
      </c>
      <c r="BZ108" s="16">
        <f t="shared" si="168"/>
        <v>0</v>
      </c>
      <c r="CA108" s="16">
        <f t="shared" si="168"/>
        <v>0</v>
      </c>
      <c r="CB108" s="16">
        <f t="shared" si="168"/>
        <v>0</v>
      </c>
      <c r="CC108" s="16">
        <f t="shared" si="168"/>
        <v>0</v>
      </c>
      <c r="CD108" s="17">
        <f t="shared" si="168"/>
        <v>0</v>
      </c>
      <c r="CE108" s="167">
        <f t="shared" si="168"/>
        <v>0</v>
      </c>
      <c r="CF108" s="16">
        <f t="shared" si="168"/>
        <v>0</v>
      </c>
      <c r="CG108" s="16">
        <f t="shared" si="168"/>
        <v>0</v>
      </c>
      <c r="CH108" s="16">
        <f t="shared" si="168"/>
        <v>0</v>
      </c>
      <c r="CI108" s="16">
        <f t="shared" si="168"/>
        <v>0</v>
      </c>
      <c r="CJ108" s="17">
        <f t="shared" si="168"/>
        <v>0</v>
      </c>
    </row>
    <row r="109" spans="1:88">
      <c r="D109" s="9"/>
      <c r="E109" s="5"/>
      <c r="F109" s="9"/>
      <c r="G109" s="20"/>
      <c r="H109" s="19">
        <v>3124</v>
      </c>
      <c r="I109" s="167">
        <f t="shared" ref="I109:BW109" si="169">SUMIF($F$12:$F$446,"=3124",I$12:I$446)</f>
        <v>0</v>
      </c>
      <c r="J109" s="16">
        <f t="shared" si="169"/>
        <v>0</v>
      </c>
      <c r="K109" s="16">
        <f t="shared" si="169"/>
        <v>0</v>
      </c>
      <c r="L109" s="16">
        <f t="shared" si="169"/>
        <v>0</v>
      </c>
      <c r="M109" s="16">
        <f t="shared" si="169"/>
        <v>0</v>
      </c>
      <c r="N109" s="16">
        <f t="shared" si="169"/>
        <v>0</v>
      </c>
      <c r="O109" s="16">
        <f t="shared" si="169"/>
        <v>0</v>
      </c>
      <c r="P109" s="16">
        <f t="shared" si="169"/>
        <v>0</v>
      </c>
      <c r="Q109" s="16">
        <f t="shared" si="169"/>
        <v>0</v>
      </c>
      <c r="R109" s="16">
        <f t="shared" si="169"/>
        <v>0</v>
      </c>
      <c r="S109" s="13">
        <f t="shared" si="169"/>
        <v>0</v>
      </c>
      <c r="T109" s="13">
        <f t="shared" si="169"/>
        <v>0</v>
      </c>
      <c r="U109" s="17">
        <f t="shared" si="169"/>
        <v>0</v>
      </c>
      <c r="V109" s="168">
        <f t="shared" si="169"/>
        <v>0</v>
      </c>
      <c r="W109" s="16">
        <f t="shared" si="169"/>
        <v>0</v>
      </c>
      <c r="X109" s="16">
        <f t="shared" si="169"/>
        <v>0</v>
      </c>
      <c r="Y109" s="16">
        <f t="shared" si="169"/>
        <v>0</v>
      </c>
      <c r="Z109" s="16">
        <f t="shared" si="169"/>
        <v>0</v>
      </c>
      <c r="AA109" s="16">
        <f t="shared" si="169"/>
        <v>0</v>
      </c>
      <c r="AB109" s="16">
        <f t="shared" si="169"/>
        <v>0</v>
      </c>
      <c r="AC109" s="16">
        <f t="shared" si="169"/>
        <v>0</v>
      </c>
      <c r="AD109" s="16">
        <f t="shared" si="169"/>
        <v>0</v>
      </c>
      <c r="AE109" s="16">
        <f t="shared" si="169"/>
        <v>0</v>
      </c>
      <c r="AF109" s="16">
        <f t="shared" si="169"/>
        <v>0</v>
      </c>
      <c r="AG109" s="16">
        <f t="shared" si="169"/>
        <v>0</v>
      </c>
      <c r="AH109" s="16">
        <f t="shared" si="169"/>
        <v>0</v>
      </c>
      <c r="AI109" s="16">
        <f t="shared" si="169"/>
        <v>0</v>
      </c>
      <c r="AJ109" s="16">
        <f t="shared" si="169"/>
        <v>0</v>
      </c>
      <c r="AK109" s="16">
        <f t="shared" si="169"/>
        <v>0</v>
      </c>
      <c r="AL109" s="16">
        <f t="shared" si="169"/>
        <v>0</v>
      </c>
      <c r="AM109" s="16">
        <f t="shared" si="169"/>
        <v>0</v>
      </c>
      <c r="AN109" s="16">
        <f t="shared" si="169"/>
        <v>0</v>
      </c>
      <c r="AO109" s="16">
        <f t="shared" si="169"/>
        <v>0</v>
      </c>
      <c r="AP109" s="16">
        <f t="shared" si="169"/>
        <v>0</v>
      </c>
      <c r="AQ109" s="16">
        <f t="shared" si="169"/>
        <v>0</v>
      </c>
      <c r="AR109" s="16">
        <f t="shared" si="169"/>
        <v>0</v>
      </c>
      <c r="AS109" s="16">
        <f t="shared" si="169"/>
        <v>0</v>
      </c>
      <c r="AT109" s="16">
        <f t="shared" si="169"/>
        <v>0</v>
      </c>
      <c r="AU109" s="16">
        <f t="shared" si="169"/>
        <v>0</v>
      </c>
      <c r="AV109" s="16">
        <f t="shared" si="169"/>
        <v>0</v>
      </c>
      <c r="AW109" s="16">
        <f t="shared" si="169"/>
        <v>0</v>
      </c>
      <c r="AX109" s="16">
        <f t="shared" si="169"/>
        <v>0</v>
      </c>
      <c r="AY109" s="16">
        <f t="shared" si="169"/>
        <v>0</v>
      </c>
      <c r="AZ109" s="13">
        <f t="shared" si="169"/>
        <v>0</v>
      </c>
      <c r="BA109" s="13">
        <f t="shared" si="169"/>
        <v>0</v>
      </c>
      <c r="BB109" s="13">
        <f t="shared" si="169"/>
        <v>0</v>
      </c>
      <c r="BC109" s="13">
        <f t="shared" si="169"/>
        <v>0</v>
      </c>
      <c r="BD109" s="13">
        <f t="shared" si="169"/>
        <v>0</v>
      </c>
      <c r="BE109" s="13">
        <f t="shared" si="169"/>
        <v>0</v>
      </c>
      <c r="BF109" s="13">
        <f t="shared" si="169"/>
        <v>0</v>
      </c>
      <c r="BG109" s="13">
        <f t="shared" si="169"/>
        <v>0</v>
      </c>
      <c r="BH109" s="13">
        <f t="shared" si="169"/>
        <v>0</v>
      </c>
      <c r="BI109" s="13">
        <f t="shared" si="169"/>
        <v>0</v>
      </c>
      <c r="BJ109" s="13">
        <f t="shared" si="169"/>
        <v>0</v>
      </c>
      <c r="BK109" s="169">
        <f t="shared" si="169"/>
        <v>0</v>
      </c>
      <c r="BL109" s="167">
        <f t="shared" si="169"/>
        <v>0</v>
      </c>
      <c r="BM109" s="16">
        <f t="shared" si="169"/>
        <v>0</v>
      </c>
      <c r="BN109" s="16">
        <f t="shared" si="169"/>
        <v>0</v>
      </c>
      <c r="BO109" s="16">
        <f t="shared" si="169"/>
        <v>0</v>
      </c>
      <c r="BP109" s="16">
        <f t="shared" si="169"/>
        <v>0</v>
      </c>
      <c r="BQ109" s="16">
        <f t="shared" si="169"/>
        <v>0</v>
      </c>
      <c r="BR109" s="16">
        <f t="shared" si="169"/>
        <v>0</v>
      </c>
      <c r="BS109" s="16">
        <f t="shared" si="169"/>
        <v>0</v>
      </c>
      <c r="BT109" s="16">
        <f t="shared" si="169"/>
        <v>0</v>
      </c>
      <c r="BU109" s="16">
        <f t="shared" si="169"/>
        <v>0</v>
      </c>
      <c r="BV109" s="13">
        <f t="shared" si="169"/>
        <v>0</v>
      </c>
      <c r="BW109" s="13">
        <f t="shared" si="169"/>
        <v>0</v>
      </c>
      <c r="BX109" s="169">
        <f t="shared" ref="BX109:CJ109" si="170">SUMIF($F$12:$F$446,"=3124",BX$12:BX$446)</f>
        <v>0</v>
      </c>
      <c r="BY109" s="167">
        <f t="shared" si="170"/>
        <v>0</v>
      </c>
      <c r="BZ109" s="16">
        <f t="shared" si="170"/>
        <v>0</v>
      </c>
      <c r="CA109" s="16">
        <f t="shared" si="170"/>
        <v>0</v>
      </c>
      <c r="CB109" s="16">
        <f t="shared" si="170"/>
        <v>0</v>
      </c>
      <c r="CC109" s="16">
        <f t="shared" si="170"/>
        <v>0</v>
      </c>
      <c r="CD109" s="17">
        <f t="shared" si="170"/>
        <v>0</v>
      </c>
      <c r="CE109" s="167">
        <f t="shared" si="170"/>
        <v>0</v>
      </c>
      <c r="CF109" s="16">
        <f t="shared" si="170"/>
        <v>0</v>
      </c>
      <c r="CG109" s="16">
        <f t="shared" si="170"/>
        <v>0</v>
      </c>
      <c r="CH109" s="16">
        <f t="shared" si="170"/>
        <v>0</v>
      </c>
      <c r="CI109" s="16">
        <f t="shared" si="170"/>
        <v>0</v>
      </c>
      <c r="CJ109" s="17">
        <f t="shared" si="170"/>
        <v>0</v>
      </c>
    </row>
    <row r="110" spans="1:88">
      <c r="D110" s="9"/>
      <c r="E110" s="5"/>
      <c r="F110" s="9"/>
      <c r="G110" s="20"/>
      <c r="H110" s="19">
        <v>3141</v>
      </c>
      <c r="I110" s="167">
        <f t="shared" ref="I110:BW110" si="171">SUMIF($F$12:$F$446,"=3141",I$12:I$446)</f>
        <v>16061195</v>
      </c>
      <c r="J110" s="16">
        <f t="shared" si="171"/>
        <v>11773345</v>
      </c>
      <c r="K110" s="16">
        <f t="shared" si="171"/>
        <v>0</v>
      </c>
      <c r="L110" s="16">
        <f t="shared" si="171"/>
        <v>11773345</v>
      </c>
      <c r="M110" s="16">
        <f t="shared" si="171"/>
        <v>80000</v>
      </c>
      <c r="N110" s="16">
        <f t="shared" si="171"/>
        <v>0</v>
      </c>
      <c r="O110" s="16">
        <f t="shared" si="171"/>
        <v>80000</v>
      </c>
      <c r="P110" s="16">
        <f t="shared" si="171"/>
        <v>4006429</v>
      </c>
      <c r="Q110" s="16">
        <f t="shared" si="171"/>
        <v>117733</v>
      </c>
      <c r="R110" s="16">
        <f t="shared" si="171"/>
        <v>83688</v>
      </c>
      <c r="S110" s="13">
        <f t="shared" si="171"/>
        <v>35.380000000000003</v>
      </c>
      <c r="T110" s="13">
        <f t="shared" si="171"/>
        <v>0</v>
      </c>
      <c r="U110" s="17">
        <f t="shared" si="171"/>
        <v>35.380000000000003</v>
      </c>
      <c r="V110" s="168">
        <f t="shared" si="171"/>
        <v>0</v>
      </c>
      <c r="W110" s="16">
        <f t="shared" si="171"/>
        <v>-113000</v>
      </c>
      <c r="X110" s="16">
        <f t="shared" si="171"/>
        <v>0</v>
      </c>
      <c r="Y110" s="16">
        <f t="shared" si="171"/>
        <v>0</v>
      </c>
      <c r="Z110" s="16">
        <f t="shared" si="171"/>
        <v>0</v>
      </c>
      <c r="AA110" s="16">
        <f t="shared" si="171"/>
        <v>-181343</v>
      </c>
      <c r="AB110" s="16">
        <f t="shared" si="171"/>
        <v>0</v>
      </c>
      <c r="AC110" s="16">
        <f t="shared" si="171"/>
        <v>0</v>
      </c>
      <c r="AD110" s="16">
        <f t="shared" si="171"/>
        <v>0</v>
      </c>
      <c r="AE110" s="16">
        <f t="shared" si="171"/>
        <v>0</v>
      </c>
      <c r="AF110" s="16">
        <f t="shared" si="171"/>
        <v>-294343</v>
      </c>
      <c r="AG110" s="16">
        <f t="shared" si="171"/>
        <v>-294343</v>
      </c>
      <c r="AH110" s="16">
        <f t="shared" si="171"/>
        <v>0</v>
      </c>
      <c r="AI110" s="16">
        <f t="shared" si="171"/>
        <v>113000</v>
      </c>
      <c r="AJ110" s="16">
        <f t="shared" si="171"/>
        <v>0</v>
      </c>
      <c r="AK110" s="16">
        <f t="shared" si="171"/>
        <v>0</v>
      </c>
      <c r="AL110" s="16">
        <f t="shared" si="171"/>
        <v>0</v>
      </c>
      <c r="AM110" s="16">
        <f t="shared" si="171"/>
        <v>0</v>
      </c>
      <c r="AN110" s="16">
        <f t="shared" si="171"/>
        <v>113000</v>
      </c>
      <c r="AO110" s="16">
        <f t="shared" si="171"/>
        <v>113000</v>
      </c>
      <c r="AP110" s="16">
        <f t="shared" si="171"/>
        <v>0</v>
      </c>
      <c r="AQ110" s="16">
        <f t="shared" si="171"/>
        <v>-181343</v>
      </c>
      <c r="AR110" s="16">
        <f t="shared" si="171"/>
        <v>-181343</v>
      </c>
      <c r="AS110" s="16">
        <f t="shared" si="171"/>
        <v>-61294</v>
      </c>
      <c r="AT110" s="16">
        <f t="shared" si="171"/>
        <v>-2944</v>
      </c>
      <c r="AU110" s="16">
        <f t="shared" si="171"/>
        <v>0</v>
      </c>
      <c r="AV110" s="16">
        <f t="shared" si="171"/>
        <v>0</v>
      </c>
      <c r="AW110" s="16">
        <f t="shared" si="171"/>
        <v>0</v>
      </c>
      <c r="AX110" s="16">
        <f t="shared" si="171"/>
        <v>0</v>
      </c>
      <c r="AY110" s="16">
        <f t="shared" si="171"/>
        <v>-245581</v>
      </c>
      <c r="AZ110" s="13">
        <f t="shared" si="171"/>
        <v>0</v>
      </c>
      <c r="BA110" s="13">
        <f t="shared" si="171"/>
        <v>-0.08</v>
      </c>
      <c r="BB110" s="13">
        <f t="shared" si="171"/>
        <v>0</v>
      </c>
      <c r="BC110" s="13">
        <f t="shared" si="171"/>
        <v>0</v>
      </c>
      <c r="BD110" s="13">
        <f t="shared" si="171"/>
        <v>-0.53</v>
      </c>
      <c r="BE110" s="13">
        <f t="shared" si="171"/>
        <v>0</v>
      </c>
      <c r="BF110" s="13">
        <f t="shared" si="171"/>
        <v>0</v>
      </c>
      <c r="BG110" s="13">
        <f t="shared" si="171"/>
        <v>0</v>
      </c>
      <c r="BH110" s="13">
        <f t="shared" si="171"/>
        <v>0</v>
      </c>
      <c r="BI110" s="13">
        <f t="shared" si="171"/>
        <v>0</v>
      </c>
      <c r="BJ110" s="13">
        <f t="shared" si="171"/>
        <v>-0.6100000000000001</v>
      </c>
      <c r="BK110" s="169">
        <f t="shared" si="171"/>
        <v>-0.6100000000000001</v>
      </c>
      <c r="BL110" s="167">
        <f t="shared" si="171"/>
        <v>15815614</v>
      </c>
      <c r="BM110" s="16">
        <f t="shared" si="171"/>
        <v>11479002</v>
      </c>
      <c r="BN110" s="16">
        <f t="shared" si="171"/>
        <v>0</v>
      </c>
      <c r="BO110" s="16">
        <f t="shared" si="171"/>
        <v>11479002</v>
      </c>
      <c r="BP110" s="16">
        <f t="shared" si="171"/>
        <v>193000</v>
      </c>
      <c r="BQ110" s="16">
        <f t="shared" si="171"/>
        <v>0</v>
      </c>
      <c r="BR110" s="16">
        <f t="shared" si="171"/>
        <v>193000</v>
      </c>
      <c r="BS110" s="16">
        <f t="shared" si="171"/>
        <v>3945135</v>
      </c>
      <c r="BT110" s="16">
        <f t="shared" si="171"/>
        <v>114789</v>
      </c>
      <c r="BU110" s="16">
        <f t="shared" si="171"/>
        <v>83688</v>
      </c>
      <c r="BV110" s="13">
        <f t="shared" si="171"/>
        <v>34.769999999999996</v>
      </c>
      <c r="BW110" s="13">
        <f t="shared" si="171"/>
        <v>0</v>
      </c>
      <c r="BX110" s="169">
        <f t="shared" ref="BX110:CJ110" si="172">SUMIF($F$12:$F$446,"=3141",BX$12:BX$446)</f>
        <v>34.769999999999996</v>
      </c>
      <c r="BY110" s="167">
        <f t="shared" si="172"/>
        <v>0</v>
      </c>
      <c r="BZ110" s="16">
        <f t="shared" si="172"/>
        <v>0</v>
      </c>
      <c r="CA110" s="16">
        <f t="shared" si="172"/>
        <v>0</v>
      </c>
      <c r="CB110" s="16">
        <f t="shared" si="172"/>
        <v>0</v>
      </c>
      <c r="CC110" s="16">
        <f t="shared" si="172"/>
        <v>0</v>
      </c>
      <c r="CD110" s="17">
        <f t="shared" si="172"/>
        <v>0</v>
      </c>
      <c r="CE110" s="167">
        <f t="shared" si="172"/>
        <v>0</v>
      </c>
      <c r="CF110" s="16">
        <f t="shared" si="172"/>
        <v>0</v>
      </c>
      <c r="CG110" s="16">
        <f t="shared" si="172"/>
        <v>0</v>
      </c>
      <c r="CH110" s="16">
        <f t="shared" si="172"/>
        <v>0</v>
      </c>
      <c r="CI110" s="16">
        <f t="shared" si="172"/>
        <v>0</v>
      </c>
      <c r="CJ110" s="17">
        <f t="shared" si="172"/>
        <v>0</v>
      </c>
    </row>
    <row r="111" spans="1:88">
      <c r="D111" s="9"/>
      <c r="E111" s="5"/>
      <c r="F111" s="9"/>
      <c r="G111" s="20"/>
      <c r="H111" s="19">
        <v>3143</v>
      </c>
      <c r="I111" s="167">
        <f t="shared" ref="I111:BW111" si="173">SUMIF($F$12:$F$446,"=3143",I$12:I$446)</f>
        <v>14040103</v>
      </c>
      <c r="J111" s="16">
        <f t="shared" si="173"/>
        <v>10336690</v>
      </c>
      <c r="K111" s="16">
        <f t="shared" si="173"/>
        <v>10019940</v>
      </c>
      <c r="L111" s="16">
        <f t="shared" si="173"/>
        <v>316750</v>
      </c>
      <c r="M111" s="16">
        <f t="shared" si="173"/>
        <v>67840</v>
      </c>
      <c r="N111" s="16">
        <f t="shared" si="173"/>
        <v>62840</v>
      </c>
      <c r="O111" s="16">
        <f t="shared" si="173"/>
        <v>5000</v>
      </c>
      <c r="P111" s="16">
        <f t="shared" si="173"/>
        <v>3516729</v>
      </c>
      <c r="Q111" s="16">
        <f t="shared" si="173"/>
        <v>103364</v>
      </c>
      <c r="R111" s="16">
        <f t="shared" si="173"/>
        <v>15480</v>
      </c>
      <c r="S111" s="13">
        <f t="shared" si="173"/>
        <v>20.899899999999999</v>
      </c>
      <c r="T111" s="13">
        <f t="shared" si="173"/>
        <v>19.669899999999998</v>
      </c>
      <c r="U111" s="17">
        <f t="shared" si="173"/>
        <v>1.23</v>
      </c>
      <c r="V111" s="168">
        <f t="shared" si="173"/>
        <v>0</v>
      </c>
      <c r="W111" s="16">
        <f t="shared" si="173"/>
        <v>0</v>
      </c>
      <c r="X111" s="16">
        <f t="shared" si="173"/>
        <v>0</v>
      </c>
      <c r="Y111" s="16">
        <f t="shared" si="173"/>
        <v>0</v>
      </c>
      <c r="Z111" s="16">
        <f t="shared" si="173"/>
        <v>214184</v>
      </c>
      <c r="AA111" s="16">
        <f t="shared" si="173"/>
        <v>0</v>
      </c>
      <c r="AB111" s="16">
        <f t="shared" si="173"/>
        <v>0</v>
      </c>
      <c r="AC111" s="16">
        <f t="shared" si="173"/>
        <v>0</v>
      </c>
      <c r="AD111" s="16">
        <f t="shared" si="173"/>
        <v>0</v>
      </c>
      <c r="AE111" s="16">
        <f t="shared" si="173"/>
        <v>214184</v>
      </c>
      <c r="AF111" s="16">
        <f t="shared" si="173"/>
        <v>0</v>
      </c>
      <c r="AG111" s="16">
        <f t="shared" si="173"/>
        <v>214184</v>
      </c>
      <c r="AH111" s="16">
        <f t="shared" si="173"/>
        <v>0</v>
      </c>
      <c r="AI111" s="16">
        <f t="shared" si="173"/>
        <v>0</v>
      </c>
      <c r="AJ111" s="16">
        <f t="shared" si="173"/>
        <v>0</v>
      </c>
      <c r="AK111" s="16">
        <f t="shared" si="173"/>
        <v>0</v>
      </c>
      <c r="AL111" s="16">
        <f t="shared" si="173"/>
        <v>0</v>
      </c>
      <c r="AM111" s="16">
        <f t="shared" si="173"/>
        <v>0</v>
      </c>
      <c r="AN111" s="16">
        <f t="shared" si="173"/>
        <v>0</v>
      </c>
      <c r="AO111" s="16">
        <f t="shared" si="173"/>
        <v>0</v>
      </c>
      <c r="AP111" s="16">
        <f t="shared" si="173"/>
        <v>214184</v>
      </c>
      <c r="AQ111" s="16">
        <f t="shared" si="173"/>
        <v>0</v>
      </c>
      <c r="AR111" s="16">
        <f t="shared" si="173"/>
        <v>214184</v>
      </c>
      <c r="AS111" s="16">
        <f t="shared" si="173"/>
        <v>72394</v>
      </c>
      <c r="AT111" s="16">
        <f t="shared" si="173"/>
        <v>2142</v>
      </c>
      <c r="AU111" s="16">
        <f t="shared" si="173"/>
        <v>0</v>
      </c>
      <c r="AV111" s="16">
        <f t="shared" si="173"/>
        <v>0</v>
      </c>
      <c r="AW111" s="16">
        <f t="shared" si="173"/>
        <v>0</v>
      </c>
      <c r="AX111" s="16">
        <f t="shared" si="173"/>
        <v>0</v>
      </c>
      <c r="AY111" s="16">
        <f t="shared" si="173"/>
        <v>288720</v>
      </c>
      <c r="AZ111" s="13">
        <f t="shared" si="173"/>
        <v>0</v>
      </c>
      <c r="BA111" s="13">
        <f t="shared" si="173"/>
        <v>0</v>
      </c>
      <c r="BB111" s="13">
        <f t="shared" si="173"/>
        <v>0</v>
      </c>
      <c r="BC111" s="13">
        <f t="shared" si="173"/>
        <v>0.5</v>
      </c>
      <c r="BD111" s="13">
        <f t="shared" si="173"/>
        <v>0</v>
      </c>
      <c r="BE111" s="13">
        <f t="shared" si="173"/>
        <v>0</v>
      </c>
      <c r="BF111" s="13">
        <f t="shared" si="173"/>
        <v>0</v>
      </c>
      <c r="BG111" s="13">
        <f t="shared" si="173"/>
        <v>0</v>
      </c>
      <c r="BH111" s="13">
        <f t="shared" si="173"/>
        <v>0</v>
      </c>
      <c r="BI111" s="13">
        <f t="shared" si="173"/>
        <v>0.5</v>
      </c>
      <c r="BJ111" s="13">
        <f t="shared" si="173"/>
        <v>0</v>
      </c>
      <c r="BK111" s="169">
        <f t="shared" si="173"/>
        <v>0.5</v>
      </c>
      <c r="BL111" s="167">
        <f t="shared" si="173"/>
        <v>14328823</v>
      </c>
      <c r="BM111" s="16">
        <f t="shared" si="173"/>
        <v>10550874</v>
      </c>
      <c r="BN111" s="16">
        <f t="shared" si="173"/>
        <v>10234124</v>
      </c>
      <c r="BO111" s="16">
        <f t="shared" si="173"/>
        <v>316750</v>
      </c>
      <c r="BP111" s="16">
        <f t="shared" si="173"/>
        <v>67840</v>
      </c>
      <c r="BQ111" s="16">
        <f t="shared" si="173"/>
        <v>62840</v>
      </c>
      <c r="BR111" s="16">
        <f t="shared" si="173"/>
        <v>5000</v>
      </c>
      <c r="BS111" s="16">
        <f t="shared" si="173"/>
        <v>3589123</v>
      </c>
      <c r="BT111" s="16">
        <f t="shared" si="173"/>
        <v>105506</v>
      </c>
      <c r="BU111" s="16">
        <f t="shared" si="173"/>
        <v>15480</v>
      </c>
      <c r="BV111" s="13">
        <f t="shared" si="173"/>
        <v>21.399899999999999</v>
      </c>
      <c r="BW111" s="13">
        <f t="shared" si="173"/>
        <v>20.169899999999998</v>
      </c>
      <c r="BX111" s="169">
        <f t="shared" ref="BX111:CJ111" si="174">SUMIF($F$12:$F$446,"=3143",BX$12:BX$446)</f>
        <v>1.23</v>
      </c>
      <c r="BY111" s="167">
        <f t="shared" si="174"/>
        <v>0</v>
      </c>
      <c r="BZ111" s="16">
        <f t="shared" si="174"/>
        <v>0</v>
      </c>
      <c r="CA111" s="16">
        <f t="shared" si="174"/>
        <v>0</v>
      </c>
      <c r="CB111" s="16">
        <f t="shared" si="174"/>
        <v>0</v>
      </c>
      <c r="CC111" s="16">
        <f t="shared" si="174"/>
        <v>0</v>
      </c>
      <c r="CD111" s="17">
        <f t="shared" si="174"/>
        <v>0</v>
      </c>
      <c r="CE111" s="167">
        <f t="shared" si="174"/>
        <v>0</v>
      </c>
      <c r="CF111" s="16">
        <f t="shared" si="174"/>
        <v>0</v>
      </c>
      <c r="CG111" s="16">
        <f t="shared" si="174"/>
        <v>0</v>
      </c>
      <c r="CH111" s="16">
        <f t="shared" si="174"/>
        <v>0</v>
      </c>
      <c r="CI111" s="16">
        <f t="shared" si="174"/>
        <v>0</v>
      </c>
      <c r="CJ111" s="17">
        <f t="shared" si="174"/>
        <v>0</v>
      </c>
    </row>
    <row r="112" spans="1:88">
      <c r="D112" s="9"/>
      <c r="E112" s="5"/>
      <c r="F112" s="9"/>
      <c r="G112" s="20"/>
      <c r="H112" s="19">
        <v>3231</v>
      </c>
      <c r="I112" s="167">
        <f t="shared" ref="I112:BW112" si="175">SUMIF($F$12:$F$446,"=3231",I$12:I$446)</f>
        <v>17680369</v>
      </c>
      <c r="J112" s="16">
        <f t="shared" si="175"/>
        <v>13021550</v>
      </c>
      <c r="K112" s="16">
        <f t="shared" si="175"/>
        <v>12375019</v>
      </c>
      <c r="L112" s="16">
        <f t="shared" si="175"/>
        <v>646531</v>
      </c>
      <c r="M112" s="16">
        <f t="shared" si="175"/>
        <v>70000</v>
      </c>
      <c r="N112" s="16">
        <f t="shared" si="175"/>
        <v>20000</v>
      </c>
      <c r="O112" s="16">
        <f t="shared" si="175"/>
        <v>50000</v>
      </c>
      <c r="P112" s="16">
        <f t="shared" si="175"/>
        <v>4424944</v>
      </c>
      <c r="Q112" s="16">
        <f t="shared" si="175"/>
        <v>130216</v>
      </c>
      <c r="R112" s="16">
        <f t="shared" si="175"/>
        <v>33659</v>
      </c>
      <c r="S112" s="13">
        <f t="shared" si="175"/>
        <v>21.373100000000001</v>
      </c>
      <c r="T112" s="13">
        <f t="shared" si="175"/>
        <v>19.588699999999999</v>
      </c>
      <c r="U112" s="17">
        <f t="shared" si="175"/>
        <v>1.7844</v>
      </c>
      <c r="V112" s="168">
        <f t="shared" si="175"/>
        <v>-20000</v>
      </c>
      <c r="W112" s="16">
        <f t="shared" si="175"/>
        <v>5000</v>
      </c>
      <c r="X112" s="16">
        <f t="shared" si="175"/>
        <v>0</v>
      </c>
      <c r="Y112" s="16">
        <f t="shared" si="175"/>
        <v>0</v>
      </c>
      <c r="Z112" s="16">
        <f t="shared" si="175"/>
        <v>0</v>
      </c>
      <c r="AA112" s="16">
        <f t="shared" si="175"/>
        <v>0</v>
      </c>
      <c r="AB112" s="16">
        <f t="shared" si="175"/>
        <v>0</v>
      </c>
      <c r="AC112" s="16">
        <f t="shared" si="175"/>
        <v>0</v>
      </c>
      <c r="AD112" s="16">
        <f t="shared" si="175"/>
        <v>0</v>
      </c>
      <c r="AE112" s="16">
        <f t="shared" si="175"/>
        <v>-20000</v>
      </c>
      <c r="AF112" s="16">
        <f t="shared" si="175"/>
        <v>5000</v>
      </c>
      <c r="AG112" s="16">
        <f t="shared" si="175"/>
        <v>-15000</v>
      </c>
      <c r="AH112" s="16">
        <f t="shared" si="175"/>
        <v>20000</v>
      </c>
      <c r="AI112" s="16">
        <f t="shared" si="175"/>
        <v>-5000</v>
      </c>
      <c r="AJ112" s="16">
        <f t="shared" si="175"/>
        <v>0</v>
      </c>
      <c r="AK112" s="16">
        <f t="shared" si="175"/>
        <v>0</v>
      </c>
      <c r="AL112" s="16">
        <f t="shared" si="175"/>
        <v>0</v>
      </c>
      <c r="AM112" s="16">
        <f t="shared" si="175"/>
        <v>20000</v>
      </c>
      <c r="AN112" s="16">
        <f t="shared" si="175"/>
        <v>-5000</v>
      </c>
      <c r="AO112" s="16">
        <f t="shared" si="175"/>
        <v>15000</v>
      </c>
      <c r="AP112" s="16">
        <f t="shared" si="175"/>
        <v>0</v>
      </c>
      <c r="AQ112" s="16">
        <f t="shared" si="175"/>
        <v>0</v>
      </c>
      <c r="AR112" s="16">
        <f t="shared" si="175"/>
        <v>0</v>
      </c>
      <c r="AS112" s="16">
        <f t="shared" si="175"/>
        <v>0</v>
      </c>
      <c r="AT112" s="16">
        <f t="shared" si="175"/>
        <v>-150</v>
      </c>
      <c r="AU112" s="16">
        <f t="shared" si="175"/>
        <v>0</v>
      </c>
      <c r="AV112" s="16">
        <f t="shared" si="175"/>
        <v>0</v>
      </c>
      <c r="AW112" s="16">
        <f t="shared" si="175"/>
        <v>0</v>
      </c>
      <c r="AX112" s="16">
        <f t="shared" si="175"/>
        <v>0</v>
      </c>
      <c r="AY112" s="16">
        <f t="shared" si="175"/>
        <v>-150</v>
      </c>
      <c r="AZ112" s="13">
        <f t="shared" si="175"/>
        <v>0</v>
      </c>
      <c r="BA112" s="13">
        <f t="shared" si="175"/>
        <v>0.02</v>
      </c>
      <c r="BB112" s="13">
        <f t="shared" si="175"/>
        <v>0</v>
      </c>
      <c r="BC112" s="13">
        <f t="shared" si="175"/>
        <v>0</v>
      </c>
      <c r="BD112" s="13">
        <f t="shared" si="175"/>
        <v>0</v>
      </c>
      <c r="BE112" s="13">
        <f t="shared" si="175"/>
        <v>0</v>
      </c>
      <c r="BF112" s="13">
        <f t="shared" si="175"/>
        <v>0</v>
      </c>
      <c r="BG112" s="13">
        <f t="shared" si="175"/>
        <v>0</v>
      </c>
      <c r="BH112" s="13">
        <f t="shared" si="175"/>
        <v>0</v>
      </c>
      <c r="BI112" s="13">
        <f t="shared" si="175"/>
        <v>0</v>
      </c>
      <c r="BJ112" s="13">
        <f t="shared" si="175"/>
        <v>0.02</v>
      </c>
      <c r="BK112" s="169">
        <f t="shared" si="175"/>
        <v>0.02</v>
      </c>
      <c r="BL112" s="167">
        <f t="shared" si="175"/>
        <v>17680219</v>
      </c>
      <c r="BM112" s="16">
        <f t="shared" si="175"/>
        <v>13006550</v>
      </c>
      <c r="BN112" s="16">
        <f t="shared" si="175"/>
        <v>12355019</v>
      </c>
      <c r="BO112" s="16">
        <f t="shared" si="175"/>
        <v>651531</v>
      </c>
      <c r="BP112" s="16">
        <f t="shared" si="175"/>
        <v>85000</v>
      </c>
      <c r="BQ112" s="16">
        <f t="shared" si="175"/>
        <v>40000</v>
      </c>
      <c r="BR112" s="16">
        <f t="shared" si="175"/>
        <v>45000</v>
      </c>
      <c r="BS112" s="16">
        <f t="shared" si="175"/>
        <v>4424944</v>
      </c>
      <c r="BT112" s="16">
        <f t="shared" si="175"/>
        <v>130066</v>
      </c>
      <c r="BU112" s="16">
        <f t="shared" si="175"/>
        <v>33659</v>
      </c>
      <c r="BV112" s="13">
        <f t="shared" si="175"/>
        <v>21.3931</v>
      </c>
      <c r="BW112" s="13">
        <f t="shared" si="175"/>
        <v>19.588699999999999</v>
      </c>
      <c r="BX112" s="169">
        <f t="shared" ref="BX112:CJ112" si="176">SUMIF($F$12:$F$446,"=3231",BX$12:BX$446)</f>
        <v>1.8044</v>
      </c>
      <c r="BY112" s="167">
        <f t="shared" si="176"/>
        <v>0</v>
      </c>
      <c r="BZ112" s="16">
        <f t="shared" si="176"/>
        <v>0</v>
      </c>
      <c r="CA112" s="16">
        <f t="shared" si="176"/>
        <v>0</v>
      </c>
      <c r="CB112" s="16">
        <f t="shared" si="176"/>
        <v>0</v>
      </c>
      <c r="CC112" s="16">
        <f t="shared" si="176"/>
        <v>0</v>
      </c>
      <c r="CD112" s="17">
        <f t="shared" si="176"/>
        <v>0</v>
      </c>
      <c r="CE112" s="167">
        <f t="shared" si="176"/>
        <v>318883</v>
      </c>
      <c r="CF112" s="16">
        <f t="shared" si="176"/>
        <v>228360</v>
      </c>
      <c r="CG112" s="16">
        <f t="shared" si="176"/>
        <v>77186</v>
      </c>
      <c r="CH112" s="16">
        <f t="shared" si="176"/>
        <v>2284</v>
      </c>
      <c r="CI112" s="16">
        <f t="shared" si="176"/>
        <v>11053</v>
      </c>
      <c r="CJ112" s="17">
        <f t="shared" si="176"/>
        <v>0.64070000000000005</v>
      </c>
    </row>
    <row r="113" spans="4:88" ht="13.5" thickBot="1">
      <c r="D113" s="9"/>
      <c r="E113" s="5"/>
      <c r="F113" s="9"/>
      <c r="G113" s="20"/>
      <c r="H113" s="138">
        <v>3233</v>
      </c>
      <c r="I113" s="170">
        <f t="shared" ref="I113:BW113" si="177">SUMIF($F$12:$F$446,"=3233",I$12:I$446)</f>
        <v>2943214</v>
      </c>
      <c r="J113" s="171">
        <f t="shared" si="177"/>
        <v>2181258</v>
      </c>
      <c r="K113" s="171">
        <f t="shared" si="177"/>
        <v>1701044</v>
      </c>
      <c r="L113" s="171">
        <f t="shared" si="177"/>
        <v>480214</v>
      </c>
      <c r="M113" s="171">
        <f t="shared" si="177"/>
        <v>0</v>
      </c>
      <c r="N113" s="171">
        <f t="shared" si="177"/>
        <v>0</v>
      </c>
      <c r="O113" s="171">
        <f t="shared" si="177"/>
        <v>0</v>
      </c>
      <c r="P113" s="171">
        <f t="shared" si="177"/>
        <v>737266</v>
      </c>
      <c r="Q113" s="171">
        <f t="shared" si="177"/>
        <v>21813</v>
      </c>
      <c r="R113" s="171">
        <f t="shared" si="177"/>
        <v>2877</v>
      </c>
      <c r="S113" s="172">
        <f t="shared" si="177"/>
        <v>4.6300000000000008</v>
      </c>
      <c r="T113" s="172">
        <f t="shared" si="177"/>
        <v>3.08</v>
      </c>
      <c r="U113" s="173">
        <f t="shared" si="177"/>
        <v>1.55</v>
      </c>
      <c r="V113" s="174">
        <f t="shared" si="177"/>
        <v>0</v>
      </c>
      <c r="W113" s="171">
        <f t="shared" si="177"/>
        <v>0</v>
      </c>
      <c r="X113" s="171">
        <f t="shared" si="177"/>
        <v>0</v>
      </c>
      <c r="Y113" s="171">
        <f t="shared" si="177"/>
        <v>0</v>
      </c>
      <c r="Z113" s="171">
        <f t="shared" si="177"/>
        <v>0</v>
      </c>
      <c r="AA113" s="171">
        <f t="shared" si="177"/>
        <v>0</v>
      </c>
      <c r="AB113" s="171">
        <f t="shared" si="177"/>
        <v>0</v>
      </c>
      <c r="AC113" s="171">
        <f t="shared" si="177"/>
        <v>0</v>
      </c>
      <c r="AD113" s="171">
        <f t="shared" si="177"/>
        <v>0</v>
      </c>
      <c r="AE113" s="171">
        <f t="shared" si="177"/>
        <v>0</v>
      </c>
      <c r="AF113" s="171">
        <f t="shared" si="177"/>
        <v>0</v>
      </c>
      <c r="AG113" s="171">
        <f t="shared" si="177"/>
        <v>0</v>
      </c>
      <c r="AH113" s="171">
        <f t="shared" si="177"/>
        <v>0</v>
      </c>
      <c r="AI113" s="171">
        <f t="shared" si="177"/>
        <v>0</v>
      </c>
      <c r="AJ113" s="171">
        <f t="shared" si="177"/>
        <v>0</v>
      </c>
      <c r="AK113" s="171">
        <f t="shared" si="177"/>
        <v>0</v>
      </c>
      <c r="AL113" s="171">
        <f t="shared" si="177"/>
        <v>0</v>
      </c>
      <c r="AM113" s="171">
        <f t="shared" si="177"/>
        <v>0</v>
      </c>
      <c r="AN113" s="171">
        <f t="shared" si="177"/>
        <v>0</v>
      </c>
      <c r="AO113" s="171">
        <f t="shared" si="177"/>
        <v>0</v>
      </c>
      <c r="AP113" s="171">
        <f t="shared" si="177"/>
        <v>0</v>
      </c>
      <c r="AQ113" s="171">
        <f t="shared" si="177"/>
        <v>0</v>
      </c>
      <c r="AR113" s="171">
        <f t="shared" si="177"/>
        <v>0</v>
      </c>
      <c r="AS113" s="171">
        <f t="shared" si="177"/>
        <v>0</v>
      </c>
      <c r="AT113" s="171">
        <f t="shared" si="177"/>
        <v>0</v>
      </c>
      <c r="AU113" s="171">
        <f t="shared" si="177"/>
        <v>0</v>
      </c>
      <c r="AV113" s="171">
        <f t="shared" si="177"/>
        <v>0</v>
      </c>
      <c r="AW113" s="171">
        <f t="shared" si="177"/>
        <v>0</v>
      </c>
      <c r="AX113" s="171">
        <f t="shared" si="177"/>
        <v>0</v>
      </c>
      <c r="AY113" s="171">
        <f t="shared" si="177"/>
        <v>0</v>
      </c>
      <c r="AZ113" s="172">
        <f t="shared" si="177"/>
        <v>0</v>
      </c>
      <c r="BA113" s="172">
        <f t="shared" si="177"/>
        <v>0</v>
      </c>
      <c r="BB113" s="172">
        <f t="shared" si="177"/>
        <v>0</v>
      </c>
      <c r="BC113" s="172">
        <f t="shared" si="177"/>
        <v>0</v>
      </c>
      <c r="BD113" s="172">
        <f t="shared" si="177"/>
        <v>0</v>
      </c>
      <c r="BE113" s="172">
        <f t="shared" si="177"/>
        <v>0</v>
      </c>
      <c r="BF113" s="172">
        <f t="shared" si="177"/>
        <v>0</v>
      </c>
      <c r="BG113" s="172">
        <f t="shared" si="177"/>
        <v>0</v>
      </c>
      <c r="BH113" s="172">
        <f t="shared" si="177"/>
        <v>0</v>
      </c>
      <c r="BI113" s="172">
        <f t="shared" si="177"/>
        <v>0</v>
      </c>
      <c r="BJ113" s="172">
        <f t="shared" si="177"/>
        <v>0</v>
      </c>
      <c r="BK113" s="175">
        <f t="shared" si="177"/>
        <v>0</v>
      </c>
      <c r="BL113" s="170">
        <f t="shared" si="177"/>
        <v>2943214</v>
      </c>
      <c r="BM113" s="171">
        <f t="shared" si="177"/>
        <v>2181258</v>
      </c>
      <c r="BN113" s="171">
        <f t="shared" si="177"/>
        <v>1701044</v>
      </c>
      <c r="BO113" s="171">
        <f t="shared" si="177"/>
        <v>480214</v>
      </c>
      <c r="BP113" s="171">
        <f t="shared" si="177"/>
        <v>0</v>
      </c>
      <c r="BQ113" s="171">
        <f t="shared" si="177"/>
        <v>0</v>
      </c>
      <c r="BR113" s="171">
        <f t="shared" si="177"/>
        <v>0</v>
      </c>
      <c r="BS113" s="171">
        <f t="shared" si="177"/>
        <v>737266</v>
      </c>
      <c r="BT113" s="171">
        <f t="shared" si="177"/>
        <v>21813</v>
      </c>
      <c r="BU113" s="171">
        <f t="shared" si="177"/>
        <v>2877</v>
      </c>
      <c r="BV113" s="172">
        <f t="shared" si="177"/>
        <v>4.6300000000000008</v>
      </c>
      <c r="BW113" s="172">
        <f t="shared" si="177"/>
        <v>3.08</v>
      </c>
      <c r="BX113" s="175">
        <f t="shared" ref="BX113:CJ113" si="178">SUMIF($F$12:$F$446,"=3233",BX$12:BX$446)</f>
        <v>1.55</v>
      </c>
      <c r="BY113" s="170">
        <f t="shared" si="178"/>
        <v>0</v>
      </c>
      <c r="BZ113" s="171">
        <f t="shared" si="178"/>
        <v>0</v>
      </c>
      <c r="CA113" s="171">
        <f t="shared" si="178"/>
        <v>0</v>
      </c>
      <c r="CB113" s="171">
        <f t="shared" si="178"/>
        <v>0</v>
      </c>
      <c r="CC113" s="171">
        <f t="shared" si="178"/>
        <v>0</v>
      </c>
      <c r="CD113" s="173">
        <f t="shared" si="178"/>
        <v>0</v>
      </c>
      <c r="CE113" s="170">
        <f t="shared" si="178"/>
        <v>0</v>
      </c>
      <c r="CF113" s="171">
        <f t="shared" si="178"/>
        <v>0</v>
      </c>
      <c r="CG113" s="171">
        <f t="shared" si="178"/>
        <v>0</v>
      </c>
      <c r="CH113" s="171">
        <f t="shared" si="178"/>
        <v>0</v>
      </c>
      <c r="CI113" s="171">
        <f t="shared" si="178"/>
        <v>0</v>
      </c>
      <c r="CJ113" s="173">
        <f t="shared" si="178"/>
        <v>0</v>
      </c>
    </row>
    <row r="114" spans="4:88">
      <c r="D114" s="5"/>
      <c r="E114" s="5"/>
      <c r="F114" s="5"/>
      <c r="G114" s="20"/>
      <c r="H114" s="5"/>
    </row>
  </sheetData>
  <mergeCells count="58">
    <mergeCell ref="CE6:CJ7"/>
    <mergeCell ref="CE8:CJ9"/>
    <mergeCell ref="AB9:AB10"/>
    <mergeCell ref="BF8:BF9"/>
    <mergeCell ref="BC8:BD9"/>
    <mergeCell ref="BT9:BT10"/>
    <mergeCell ref="BL8:BL10"/>
    <mergeCell ref="AE9:AF9"/>
    <mergeCell ref="BM9:BM10"/>
    <mergeCell ref="BN9:BO9"/>
    <mergeCell ref="AY7:AY10"/>
    <mergeCell ref="AK9:AL9"/>
    <mergeCell ref="AP7:AR9"/>
    <mergeCell ref="AS7:AS10"/>
    <mergeCell ref="AT7:AT10"/>
    <mergeCell ref="AU7:AX9"/>
    <mergeCell ref="V9:W9"/>
    <mergeCell ref="X9:X10"/>
    <mergeCell ref="Y9:Y10"/>
    <mergeCell ref="AC9:AD9"/>
    <mergeCell ref="BY6:CD7"/>
    <mergeCell ref="BY8:CD9"/>
    <mergeCell ref="BQ9:BR9"/>
    <mergeCell ref="BS9:BS10"/>
    <mergeCell ref="AZ7:BK7"/>
    <mergeCell ref="BB8:BB9"/>
    <mergeCell ref="BE8:BE9"/>
    <mergeCell ref="BG8:BH9"/>
    <mergeCell ref="BI8:BK9"/>
    <mergeCell ref="Z9:AA9"/>
    <mergeCell ref="AH7:AO8"/>
    <mergeCell ref="BW8:BX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3:E3"/>
    <mergeCell ref="I8:I10"/>
    <mergeCell ref="I6:U7"/>
    <mergeCell ref="BV8:BV10"/>
    <mergeCell ref="AO9:AO10"/>
    <mergeCell ref="AM9:AN9"/>
    <mergeCell ref="AG9:AG10"/>
    <mergeCell ref="AH9:AI9"/>
    <mergeCell ref="AJ9:AJ10"/>
    <mergeCell ref="BP9:BP10"/>
    <mergeCell ref="AZ8:BA9"/>
    <mergeCell ref="BM8:BU8"/>
    <mergeCell ref="BU9:BU10"/>
    <mergeCell ref="V6:BK6"/>
    <mergeCell ref="BL6:BX7"/>
    <mergeCell ref="V7:AG8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CJ131"/>
  <sheetViews>
    <sheetView zoomScaleNormal="100" workbookViewId="0">
      <pane xSplit="8" ySplit="11" topLeftCell="BH57" activePane="bottomRight" state="frozen"/>
      <selection activeCell="V6" sqref="V6:BK10"/>
      <selection pane="topRight" activeCell="V6" sqref="V6:BK10"/>
      <selection pane="bottomLeft" activeCell="V6" sqref="V6:BK10"/>
      <selection pane="bottomRight" activeCell="BL6" sqref="BL6:BX7"/>
    </sheetView>
  </sheetViews>
  <sheetFormatPr defaultRowHeight="12.75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425781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customWidth="1"/>
    <col min="29" max="45" width="10.28515625" style="8" customWidth="1"/>
    <col min="46" max="46" width="10.28515625" style="7" customWidth="1"/>
    <col min="47" max="48" width="9.28515625" style="7" customWidth="1"/>
    <col min="49" max="49" width="12.5703125" style="7" customWidth="1"/>
    <col min="50" max="50" width="9.140625" style="8" customWidth="1"/>
    <col min="51" max="51" width="9.7109375" style="8" customWidth="1"/>
    <col min="52" max="52" width="10.140625" style="7" customWidth="1"/>
    <col min="53" max="53" width="9.140625" style="7" customWidth="1"/>
    <col min="54" max="54" width="9.7109375" style="7" customWidth="1"/>
    <col min="55" max="57" width="9.140625" style="7" customWidth="1"/>
    <col min="58" max="58" width="10.5703125" style="7" customWidth="1"/>
    <col min="59" max="59" width="10.140625" style="7" customWidth="1"/>
    <col min="60" max="63" width="9.28515625" style="7" customWidth="1"/>
    <col min="64" max="73" width="10.85546875" style="8" customWidth="1"/>
    <col min="74" max="76" width="9.28515625" style="7" customWidth="1"/>
    <col min="77" max="81" width="9.7109375" style="8" customWidth="1"/>
    <col min="82" max="82" width="9.7109375" style="7" customWidth="1"/>
    <col min="88" max="88" width="9.140625" style="7"/>
    <col min="192" max="192" width="7" customWidth="1"/>
    <col min="193" max="193" width="33.140625" customWidth="1"/>
    <col min="194" max="194" width="6.42578125" customWidth="1"/>
    <col min="195" max="195" width="29" customWidth="1"/>
    <col min="196" max="196" width="11.42578125" customWidth="1"/>
    <col min="197" max="197" width="10.7109375" customWidth="1"/>
    <col min="198" max="198" width="10.85546875" customWidth="1"/>
    <col min="199" max="199" width="11.28515625" customWidth="1"/>
    <col min="201" max="201" width="9.7109375" customWidth="1"/>
    <col min="204" max="204" width="10.42578125" customWidth="1"/>
    <col min="448" max="448" width="7" customWidth="1"/>
    <col min="449" max="449" width="33.140625" customWidth="1"/>
    <col min="450" max="450" width="6.42578125" customWidth="1"/>
    <col min="451" max="451" width="29" customWidth="1"/>
    <col min="452" max="452" width="11.42578125" customWidth="1"/>
    <col min="453" max="453" width="10.7109375" customWidth="1"/>
    <col min="454" max="454" width="10.85546875" customWidth="1"/>
    <col min="455" max="455" width="11.28515625" customWidth="1"/>
    <col min="457" max="457" width="9.7109375" customWidth="1"/>
    <col min="460" max="460" width="10.42578125" customWidth="1"/>
    <col min="704" max="704" width="7" customWidth="1"/>
    <col min="705" max="705" width="33.140625" customWidth="1"/>
    <col min="706" max="706" width="6.42578125" customWidth="1"/>
    <col min="707" max="707" width="29" customWidth="1"/>
    <col min="708" max="708" width="11.42578125" customWidth="1"/>
    <col min="709" max="709" width="10.7109375" customWidth="1"/>
    <col min="710" max="710" width="10.85546875" customWidth="1"/>
    <col min="711" max="711" width="11.28515625" customWidth="1"/>
    <col min="713" max="713" width="9.7109375" customWidth="1"/>
    <col min="716" max="716" width="10.42578125" customWidth="1"/>
    <col min="960" max="960" width="7" customWidth="1"/>
    <col min="961" max="961" width="33.140625" customWidth="1"/>
    <col min="962" max="962" width="6.42578125" customWidth="1"/>
    <col min="963" max="963" width="29" customWidth="1"/>
    <col min="964" max="964" width="11.42578125" customWidth="1"/>
    <col min="965" max="965" width="10.7109375" customWidth="1"/>
    <col min="966" max="966" width="10.85546875" customWidth="1"/>
    <col min="967" max="967" width="11.28515625" customWidth="1"/>
    <col min="969" max="969" width="9.7109375" customWidth="1"/>
    <col min="972" max="972" width="10.42578125" customWidth="1"/>
    <col min="1216" max="1216" width="7" customWidth="1"/>
    <col min="1217" max="1217" width="33.140625" customWidth="1"/>
    <col min="1218" max="1218" width="6.42578125" customWidth="1"/>
    <col min="1219" max="1219" width="29" customWidth="1"/>
    <col min="1220" max="1220" width="11.42578125" customWidth="1"/>
    <col min="1221" max="1221" width="10.7109375" customWidth="1"/>
    <col min="1222" max="1222" width="10.85546875" customWidth="1"/>
    <col min="1223" max="1223" width="11.28515625" customWidth="1"/>
    <col min="1225" max="1225" width="9.7109375" customWidth="1"/>
    <col min="1228" max="1228" width="10.42578125" customWidth="1"/>
    <col min="1472" max="1472" width="7" customWidth="1"/>
    <col min="1473" max="1473" width="33.140625" customWidth="1"/>
    <col min="1474" max="1474" width="6.42578125" customWidth="1"/>
    <col min="1475" max="1475" width="29" customWidth="1"/>
    <col min="1476" max="1476" width="11.42578125" customWidth="1"/>
    <col min="1477" max="1477" width="10.7109375" customWidth="1"/>
    <col min="1478" max="1478" width="10.85546875" customWidth="1"/>
    <col min="1479" max="1479" width="11.28515625" customWidth="1"/>
    <col min="1481" max="1481" width="9.7109375" customWidth="1"/>
    <col min="1484" max="1484" width="10.42578125" customWidth="1"/>
    <col min="1728" max="1728" width="7" customWidth="1"/>
    <col min="1729" max="1729" width="33.140625" customWidth="1"/>
    <col min="1730" max="1730" width="6.42578125" customWidth="1"/>
    <col min="1731" max="1731" width="29" customWidth="1"/>
    <col min="1732" max="1732" width="11.42578125" customWidth="1"/>
    <col min="1733" max="1733" width="10.7109375" customWidth="1"/>
    <col min="1734" max="1734" width="10.85546875" customWidth="1"/>
    <col min="1735" max="1735" width="11.28515625" customWidth="1"/>
    <col min="1737" max="1737" width="9.7109375" customWidth="1"/>
    <col min="1740" max="1740" width="10.42578125" customWidth="1"/>
    <col min="1984" max="1984" width="7" customWidth="1"/>
    <col min="1985" max="1985" width="33.140625" customWidth="1"/>
    <col min="1986" max="1986" width="6.42578125" customWidth="1"/>
    <col min="1987" max="1987" width="29" customWidth="1"/>
    <col min="1988" max="1988" width="11.42578125" customWidth="1"/>
    <col min="1989" max="1989" width="10.7109375" customWidth="1"/>
    <col min="1990" max="1990" width="10.85546875" customWidth="1"/>
    <col min="1991" max="1991" width="11.28515625" customWidth="1"/>
    <col min="1993" max="1993" width="9.7109375" customWidth="1"/>
    <col min="1996" max="1996" width="10.42578125" customWidth="1"/>
    <col min="2240" max="2240" width="7" customWidth="1"/>
    <col min="2241" max="2241" width="33.140625" customWidth="1"/>
    <col min="2242" max="2242" width="6.42578125" customWidth="1"/>
    <col min="2243" max="2243" width="29" customWidth="1"/>
    <col min="2244" max="2244" width="11.42578125" customWidth="1"/>
    <col min="2245" max="2245" width="10.7109375" customWidth="1"/>
    <col min="2246" max="2246" width="10.85546875" customWidth="1"/>
    <col min="2247" max="2247" width="11.28515625" customWidth="1"/>
    <col min="2249" max="2249" width="9.7109375" customWidth="1"/>
    <col min="2252" max="2252" width="10.42578125" customWidth="1"/>
    <col min="2496" max="2496" width="7" customWidth="1"/>
    <col min="2497" max="2497" width="33.140625" customWidth="1"/>
    <col min="2498" max="2498" width="6.42578125" customWidth="1"/>
    <col min="2499" max="2499" width="29" customWidth="1"/>
    <col min="2500" max="2500" width="11.42578125" customWidth="1"/>
    <col min="2501" max="2501" width="10.7109375" customWidth="1"/>
    <col min="2502" max="2502" width="10.85546875" customWidth="1"/>
    <col min="2503" max="2503" width="11.28515625" customWidth="1"/>
    <col min="2505" max="2505" width="9.7109375" customWidth="1"/>
    <col min="2508" max="2508" width="10.42578125" customWidth="1"/>
    <col min="2752" max="2752" width="7" customWidth="1"/>
    <col min="2753" max="2753" width="33.140625" customWidth="1"/>
    <col min="2754" max="2754" width="6.42578125" customWidth="1"/>
    <col min="2755" max="2755" width="29" customWidth="1"/>
    <col min="2756" max="2756" width="11.42578125" customWidth="1"/>
    <col min="2757" max="2757" width="10.7109375" customWidth="1"/>
    <col min="2758" max="2758" width="10.85546875" customWidth="1"/>
    <col min="2759" max="2759" width="11.28515625" customWidth="1"/>
    <col min="2761" max="2761" width="9.7109375" customWidth="1"/>
    <col min="2764" max="2764" width="10.42578125" customWidth="1"/>
    <col min="3008" max="3008" width="7" customWidth="1"/>
    <col min="3009" max="3009" width="33.140625" customWidth="1"/>
    <col min="3010" max="3010" width="6.42578125" customWidth="1"/>
    <col min="3011" max="3011" width="29" customWidth="1"/>
    <col min="3012" max="3012" width="11.42578125" customWidth="1"/>
    <col min="3013" max="3013" width="10.7109375" customWidth="1"/>
    <col min="3014" max="3014" width="10.85546875" customWidth="1"/>
    <col min="3015" max="3015" width="11.28515625" customWidth="1"/>
    <col min="3017" max="3017" width="9.7109375" customWidth="1"/>
    <col min="3020" max="3020" width="10.42578125" customWidth="1"/>
    <col min="3264" max="3264" width="7" customWidth="1"/>
    <col min="3265" max="3265" width="33.140625" customWidth="1"/>
    <col min="3266" max="3266" width="6.42578125" customWidth="1"/>
    <col min="3267" max="3267" width="29" customWidth="1"/>
    <col min="3268" max="3268" width="11.42578125" customWidth="1"/>
    <col min="3269" max="3269" width="10.7109375" customWidth="1"/>
    <col min="3270" max="3270" width="10.85546875" customWidth="1"/>
    <col min="3271" max="3271" width="11.28515625" customWidth="1"/>
    <col min="3273" max="3273" width="9.7109375" customWidth="1"/>
    <col min="3276" max="3276" width="10.42578125" customWidth="1"/>
    <col min="3520" max="3520" width="7" customWidth="1"/>
    <col min="3521" max="3521" width="33.140625" customWidth="1"/>
    <col min="3522" max="3522" width="6.42578125" customWidth="1"/>
    <col min="3523" max="3523" width="29" customWidth="1"/>
    <col min="3524" max="3524" width="11.42578125" customWidth="1"/>
    <col min="3525" max="3525" width="10.7109375" customWidth="1"/>
    <col min="3526" max="3526" width="10.85546875" customWidth="1"/>
    <col min="3527" max="3527" width="11.28515625" customWidth="1"/>
    <col min="3529" max="3529" width="9.7109375" customWidth="1"/>
    <col min="3532" max="3532" width="10.42578125" customWidth="1"/>
    <col min="3776" max="3776" width="7" customWidth="1"/>
    <col min="3777" max="3777" width="33.140625" customWidth="1"/>
    <col min="3778" max="3778" width="6.42578125" customWidth="1"/>
    <col min="3779" max="3779" width="29" customWidth="1"/>
    <col min="3780" max="3780" width="11.42578125" customWidth="1"/>
    <col min="3781" max="3781" width="10.7109375" customWidth="1"/>
    <col min="3782" max="3782" width="10.85546875" customWidth="1"/>
    <col min="3783" max="3783" width="11.28515625" customWidth="1"/>
    <col min="3785" max="3785" width="9.7109375" customWidth="1"/>
    <col min="3788" max="3788" width="10.42578125" customWidth="1"/>
    <col min="4032" max="4032" width="7" customWidth="1"/>
    <col min="4033" max="4033" width="33.140625" customWidth="1"/>
    <col min="4034" max="4034" width="6.42578125" customWidth="1"/>
    <col min="4035" max="4035" width="29" customWidth="1"/>
    <col min="4036" max="4036" width="11.42578125" customWidth="1"/>
    <col min="4037" max="4037" width="10.7109375" customWidth="1"/>
    <col min="4038" max="4038" width="10.85546875" customWidth="1"/>
    <col min="4039" max="4039" width="11.28515625" customWidth="1"/>
    <col min="4041" max="4041" width="9.7109375" customWidth="1"/>
    <col min="4044" max="4044" width="10.42578125" customWidth="1"/>
    <col min="4288" max="4288" width="7" customWidth="1"/>
    <col min="4289" max="4289" width="33.140625" customWidth="1"/>
    <col min="4290" max="4290" width="6.42578125" customWidth="1"/>
    <col min="4291" max="4291" width="29" customWidth="1"/>
    <col min="4292" max="4292" width="11.42578125" customWidth="1"/>
    <col min="4293" max="4293" width="10.7109375" customWidth="1"/>
    <col min="4294" max="4294" width="10.85546875" customWidth="1"/>
    <col min="4295" max="4295" width="11.28515625" customWidth="1"/>
    <col min="4297" max="4297" width="9.7109375" customWidth="1"/>
    <col min="4300" max="4300" width="10.42578125" customWidth="1"/>
    <col min="4544" max="4544" width="7" customWidth="1"/>
    <col min="4545" max="4545" width="33.140625" customWidth="1"/>
    <col min="4546" max="4546" width="6.42578125" customWidth="1"/>
    <col min="4547" max="4547" width="29" customWidth="1"/>
    <col min="4548" max="4548" width="11.42578125" customWidth="1"/>
    <col min="4549" max="4549" width="10.7109375" customWidth="1"/>
    <col min="4550" max="4550" width="10.85546875" customWidth="1"/>
    <col min="4551" max="4551" width="11.28515625" customWidth="1"/>
    <col min="4553" max="4553" width="9.7109375" customWidth="1"/>
    <col min="4556" max="4556" width="10.42578125" customWidth="1"/>
    <col min="4800" max="4800" width="7" customWidth="1"/>
    <col min="4801" max="4801" width="33.140625" customWidth="1"/>
    <col min="4802" max="4802" width="6.42578125" customWidth="1"/>
    <col min="4803" max="4803" width="29" customWidth="1"/>
    <col min="4804" max="4804" width="11.42578125" customWidth="1"/>
    <col min="4805" max="4805" width="10.7109375" customWidth="1"/>
    <col min="4806" max="4806" width="10.85546875" customWidth="1"/>
    <col min="4807" max="4807" width="11.28515625" customWidth="1"/>
    <col min="4809" max="4809" width="9.7109375" customWidth="1"/>
    <col min="4812" max="4812" width="10.42578125" customWidth="1"/>
    <col min="5056" max="5056" width="7" customWidth="1"/>
    <col min="5057" max="5057" width="33.140625" customWidth="1"/>
    <col min="5058" max="5058" width="6.42578125" customWidth="1"/>
    <col min="5059" max="5059" width="29" customWidth="1"/>
    <col min="5060" max="5060" width="11.42578125" customWidth="1"/>
    <col min="5061" max="5061" width="10.7109375" customWidth="1"/>
    <col min="5062" max="5062" width="10.85546875" customWidth="1"/>
    <col min="5063" max="5063" width="11.28515625" customWidth="1"/>
    <col min="5065" max="5065" width="9.7109375" customWidth="1"/>
    <col min="5068" max="5068" width="10.42578125" customWidth="1"/>
    <col min="5312" max="5312" width="7" customWidth="1"/>
    <col min="5313" max="5313" width="33.140625" customWidth="1"/>
    <col min="5314" max="5314" width="6.42578125" customWidth="1"/>
    <col min="5315" max="5315" width="29" customWidth="1"/>
    <col min="5316" max="5316" width="11.42578125" customWidth="1"/>
    <col min="5317" max="5317" width="10.7109375" customWidth="1"/>
    <col min="5318" max="5318" width="10.85546875" customWidth="1"/>
    <col min="5319" max="5319" width="11.28515625" customWidth="1"/>
    <col min="5321" max="5321" width="9.7109375" customWidth="1"/>
    <col min="5324" max="5324" width="10.42578125" customWidth="1"/>
    <col min="5568" max="5568" width="7" customWidth="1"/>
    <col min="5569" max="5569" width="33.140625" customWidth="1"/>
    <col min="5570" max="5570" width="6.42578125" customWidth="1"/>
    <col min="5571" max="5571" width="29" customWidth="1"/>
    <col min="5572" max="5572" width="11.42578125" customWidth="1"/>
    <col min="5573" max="5573" width="10.7109375" customWidth="1"/>
    <col min="5574" max="5574" width="10.85546875" customWidth="1"/>
    <col min="5575" max="5575" width="11.28515625" customWidth="1"/>
    <col min="5577" max="5577" width="9.7109375" customWidth="1"/>
    <col min="5580" max="5580" width="10.42578125" customWidth="1"/>
    <col min="5824" max="5824" width="7" customWidth="1"/>
    <col min="5825" max="5825" width="33.140625" customWidth="1"/>
    <col min="5826" max="5826" width="6.42578125" customWidth="1"/>
    <col min="5827" max="5827" width="29" customWidth="1"/>
    <col min="5828" max="5828" width="11.42578125" customWidth="1"/>
    <col min="5829" max="5829" width="10.7109375" customWidth="1"/>
    <col min="5830" max="5830" width="10.85546875" customWidth="1"/>
    <col min="5831" max="5831" width="11.28515625" customWidth="1"/>
    <col min="5833" max="5833" width="9.7109375" customWidth="1"/>
    <col min="5836" max="5836" width="10.42578125" customWidth="1"/>
    <col min="6080" max="6080" width="7" customWidth="1"/>
    <col min="6081" max="6081" width="33.140625" customWidth="1"/>
    <col min="6082" max="6082" width="6.42578125" customWidth="1"/>
    <col min="6083" max="6083" width="29" customWidth="1"/>
    <col min="6084" max="6084" width="11.42578125" customWidth="1"/>
    <col min="6085" max="6085" width="10.7109375" customWidth="1"/>
    <col min="6086" max="6086" width="10.85546875" customWidth="1"/>
    <col min="6087" max="6087" width="11.28515625" customWidth="1"/>
    <col min="6089" max="6089" width="9.7109375" customWidth="1"/>
    <col min="6092" max="6092" width="10.42578125" customWidth="1"/>
    <col min="6336" max="6336" width="7" customWidth="1"/>
    <col min="6337" max="6337" width="33.140625" customWidth="1"/>
    <col min="6338" max="6338" width="6.42578125" customWidth="1"/>
    <col min="6339" max="6339" width="29" customWidth="1"/>
    <col min="6340" max="6340" width="11.42578125" customWidth="1"/>
    <col min="6341" max="6341" width="10.7109375" customWidth="1"/>
    <col min="6342" max="6342" width="10.85546875" customWidth="1"/>
    <col min="6343" max="6343" width="11.28515625" customWidth="1"/>
    <col min="6345" max="6345" width="9.7109375" customWidth="1"/>
    <col min="6348" max="6348" width="10.42578125" customWidth="1"/>
    <col min="6592" max="6592" width="7" customWidth="1"/>
    <col min="6593" max="6593" width="33.140625" customWidth="1"/>
    <col min="6594" max="6594" width="6.42578125" customWidth="1"/>
    <col min="6595" max="6595" width="29" customWidth="1"/>
    <col min="6596" max="6596" width="11.42578125" customWidth="1"/>
    <col min="6597" max="6597" width="10.7109375" customWidth="1"/>
    <col min="6598" max="6598" width="10.85546875" customWidth="1"/>
    <col min="6599" max="6599" width="11.28515625" customWidth="1"/>
    <col min="6601" max="6601" width="9.7109375" customWidth="1"/>
    <col min="6604" max="6604" width="10.42578125" customWidth="1"/>
    <col min="6848" max="6848" width="7" customWidth="1"/>
    <col min="6849" max="6849" width="33.140625" customWidth="1"/>
    <col min="6850" max="6850" width="6.42578125" customWidth="1"/>
    <col min="6851" max="6851" width="29" customWidth="1"/>
    <col min="6852" max="6852" width="11.42578125" customWidth="1"/>
    <col min="6853" max="6853" width="10.7109375" customWidth="1"/>
    <col min="6854" max="6854" width="10.85546875" customWidth="1"/>
    <col min="6855" max="6855" width="11.28515625" customWidth="1"/>
    <col min="6857" max="6857" width="9.7109375" customWidth="1"/>
    <col min="6860" max="6860" width="10.42578125" customWidth="1"/>
    <col min="7104" max="7104" width="7" customWidth="1"/>
    <col min="7105" max="7105" width="33.140625" customWidth="1"/>
    <col min="7106" max="7106" width="6.42578125" customWidth="1"/>
    <col min="7107" max="7107" width="29" customWidth="1"/>
    <col min="7108" max="7108" width="11.42578125" customWidth="1"/>
    <col min="7109" max="7109" width="10.7109375" customWidth="1"/>
    <col min="7110" max="7110" width="10.85546875" customWidth="1"/>
    <col min="7111" max="7111" width="11.28515625" customWidth="1"/>
    <col min="7113" max="7113" width="9.7109375" customWidth="1"/>
    <col min="7116" max="7116" width="10.42578125" customWidth="1"/>
    <col min="7360" max="7360" width="7" customWidth="1"/>
    <col min="7361" max="7361" width="33.140625" customWidth="1"/>
    <col min="7362" max="7362" width="6.42578125" customWidth="1"/>
    <col min="7363" max="7363" width="29" customWidth="1"/>
    <col min="7364" max="7364" width="11.42578125" customWidth="1"/>
    <col min="7365" max="7365" width="10.7109375" customWidth="1"/>
    <col min="7366" max="7366" width="10.85546875" customWidth="1"/>
    <col min="7367" max="7367" width="11.28515625" customWidth="1"/>
    <col min="7369" max="7369" width="9.7109375" customWidth="1"/>
    <col min="7372" max="7372" width="10.42578125" customWidth="1"/>
    <col min="7616" max="7616" width="7" customWidth="1"/>
    <col min="7617" max="7617" width="33.140625" customWidth="1"/>
    <col min="7618" max="7618" width="6.42578125" customWidth="1"/>
    <col min="7619" max="7619" width="29" customWidth="1"/>
    <col min="7620" max="7620" width="11.42578125" customWidth="1"/>
    <col min="7621" max="7621" width="10.7109375" customWidth="1"/>
    <col min="7622" max="7622" width="10.85546875" customWidth="1"/>
    <col min="7623" max="7623" width="11.28515625" customWidth="1"/>
    <col min="7625" max="7625" width="9.7109375" customWidth="1"/>
    <col min="7628" max="7628" width="10.42578125" customWidth="1"/>
    <col min="7872" max="7872" width="7" customWidth="1"/>
    <col min="7873" max="7873" width="33.140625" customWidth="1"/>
    <col min="7874" max="7874" width="6.42578125" customWidth="1"/>
    <col min="7875" max="7875" width="29" customWidth="1"/>
    <col min="7876" max="7876" width="11.42578125" customWidth="1"/>
    <col min="7877" max="7877" width="10.7109375" customWidth="1"/>
    <col min="7878" max="7878" width="10.85546875" customWidth="1"/>
    <col min="7879" max="7879" width="11.28515625" customWidth="1"/>
    <col min="7881" max="7881" width="9.7109375" customWidth="1"/>
    <col min="7884" max="7884" width="10.42578125" customWidth="1"/>
    <col min="8128" max="8128" width="7" customWidth="1"/>
    <col min="8129" max="8129" width="33.140625" customWidth="1"/>
    <col min="8130" max="8130" width="6.42578125" customWidth="1"/>
    <col min="8131" max="8131" width="29" customWidth="1"/>
    <col min="8132" max="8132" width="11.42578125" customWidth="1"/>
    <col min="8133" max="8133" width="10.7109375" customWidth="1"/>
    <col min="8134" max="8134" width="10.85546875" customWidth="1"/>
    <col min="8135" max="8135" width="11.28515625" customWidth="1"/>
    <col min="8137" max="8137" width="9.7109375" customWidth="1"/>
    <col min="8140" max="8140" width="10.42578125" customWidth="1"/>
    <col min="8384" max="8384" width="7" customWidth="1"/>
    <col min="8385" max="8385" width="33.140625" customWidth="1"/>
    <col min="8386" max="8386" width="6.42578125" customWidth="1"/>
    <col min="8387" max="8387" width="29" customWidth="1"/>
    <col min="8388" max="8388" width="11.42578125" customWidth="1"/>
    <col min="8389" max="8389" width="10.7109375" customWidth="1"/>
    <col min="8390" max="8390" width="10.85546875" customWidth="1"/>
    <col min="8391" max="8391" width="11.28515625" customWidth="1"/>
    <col min="8393" max="8393" width="9.7109375" customWidth="1"/>
    <col min="8396" max="8396" width="10.42578125" customWidth="1"/>
    <col min="8640" max="8640" width="7" customWidth="1"/>
    <col min="8641" max="8641" width="33.140625" customWidth="1"/>
    <col min="8642" max="8642" width="6.42578125" customWidth="1"/>
    <col min="8643" max="8643" width="29" customWidth="1"/>
    <col min="8644" max="8644" width="11.42578125" customWidth="1"/>
    <col min="8645" max="8645" width="10.7109375" customWidth="1"/>
    <col min="8646" max="8646" width="10.85546875" customWidth="1"/>
    <col min="8647" max="8647" width="11.28515625" customWidth="1"/>
    <col min="8649" max="8649" width="9.7109375" customWidth="1"/>
    <col min="8652" max="8652" width="10.42578125" customWidth="1"/>
    <col min="8896" max="8896" width="7" customWidth="1"/>
    <col min="8897" max="8897" width="33.140625" customWidth="1"/>
    <col min="8898" max="8898" width="6.42578125" customWidth="1"/>
    <col min="8899" max="8899" width="29" customWidth="1"/>
    <col min="8900" max="8900" width="11.42578125" customWidth="1"/>
    <col min="8901" max="8901" width="10.7109375" customWidth="1"/>
    <col min="8902" max="8902" width="10.85546875" customWidth="1"/>
    <col min="8903" max="8903" width="11.28515625" customWidth="1"/>
    <col min="8905" max="8905" width="9.7109375" customWidth="1"/>
    <col min="8908" max="8908" width="10.42578125" customWidth="1"/>
    <col min="9152" max="9152" width="7" customWidth="1"/>
    <col min="9153" max="9153" width="33.140625" customWidth="1"/>
    <col min="9154" max="9154" width="6.42578125" customWidth="1"/>
    <col min="9155" max="9155" width="29" customWidth="1"/>
    <col min="9156" max="9156" width="11.42578125" customWidth="1"/>
    <col min="9157" max="9157" width="10.7109375" customWidth="1"/>
    <col min="9158" max="9158" width="10.85546875" customWidth="1"/>
    <col min="9159" max="9159" width="11.28515625" customWidth="1"/>
    <col min="9161" max="9161" width="9.7109375" customWidth="1"/>
    <col min="9164" max="9164" width="10.42578125" customWidth="1"/>
    <col min="9408" max="9408" width="7" customWidth="1"/>
    <col min="9409" max="9409" width="33.140625" customWidth="1"/>
    <col min="9410" max="9410" width="6.42578125" customWidth="1"/>
    <col min="9411" max="9411" width="29" customWidth="1"/>
    <col min="9412" max="9412" width="11.42578125" customWidth="1"/>
    <col min="9413" max="9413" width="10.7109375" customWidth="1"/>
    <col min="9414" max="9414" width="10.85546875" customWidth="1"/>
    <col min="9415" max="9415" width="11.28515625" customWidth="1"/>
    <col min="9417" max="9417" width="9.7109375" customWidth="1"/>
    <col min="9420" max="9420" width="10.42578125" customWidth="1"/>
    <col min="9664" max="9664" width="7" customWidth="1"/>
    <col min="9665" max="9665" width="33.140625" customWidth="1"/>
    <col min="9666" max="9666" width="6.42578125" customWidth="1"/>
    <col min="9667" max="9667" width="29" customWidth="1"/>
    <col min="9668" max="9668" width="11.42578125" customWidth="1"/>
    <col min="9669" max="9669" width="10.7109375" customWidth="1"/>
    <col min="9670" max="9670" width="10.85546875" customWidth="1"/>
    <col min="9671" max="9671" width="11.28515625" customWidth="1"/>
    <col min="9673" max="9673" width="9.7109375" customWidth="1"/>
    <col min="9676" max="9676" width="10.42578125" customWidth="1"/>
    <col min="9920" max="9920" width="7" customWidth="1"/>
    <col min="9921" max="9921" width="33.140625" customWidth="1"/>
    <col min="9922" max="9922" width="6.42578125" customWidth="1"/>
    <col min="9923" max="9923" width="29" customWidth="1"/>
    <col min="9924" max="9924" width="11.42578125" customWidth="1"/>
    <col min="9925" max="9925" width="10.7109375" customWidth="1"/>
    <col min="9926" max="9926" width="10.85546875" customWidth="1"/>
    <col min="9927" max="9927" width="11.28515625" customWidth="1"/>
    <col min="9929" max="9929" width="9.7109375" customWidth="1"/>
    <col min="9932" max="9932" width="10.42578125" customWidth="1"/>
    <col min="10176" max="10176" width="7" customWidth="1"/>
    <col min="10177" max="10177" width="33.140625" customWidth="1"/>
    <col min="10178" max="10178" width="6.42578125" customWidth="1"/>
    <col min="10179" max="10179" width="29" customWidth="1"/>
    <col min="10180" max="10180" width="11.42578125" customWidth="1"/>
    <col min="10181" max="10181" width="10.7109375" customWidth="1"/>
    <col min="10182" max="10182" width="10.85546875" customWidth="1"/>
    <col min="10183" max="10183" width="11.28515625" customWidth="1"/>
    <col min="10185" max="10185" width="9.7109375" customWidth="1"/>
    <col min="10188" max="10188" width="10.42578125" customWidth="1"/>
    <col min="10432" max="10432" width="7" customWidth="1"/>
    <col min="10433" max="10433" width="33.140625" customWidth="1"/>
    <col min="10434" max="10434" width="6.42578125" customWidth="1"/>
    <col min="10435" max="10435" width="29" customWidth="1"/>
    <col min="10436" max="10436" width="11.42578125" customWidth="1"/>
    <col min="10437" max="10437" width="10.7109375" customWidth="1"/>
    <col min="10438" max="10438" width="10.85546875" customWidth="1"/>
    <col min="10439" max="10439" width="11.28515625" customWidth="1"/>
    <col min="10441" max="10441" width="9.7109375" customWidth="1"/>
    <col min="10444" max="10444" width="10.42578125" customWidth="1"/>
    <col min="10688" max="10688" width="7" customWidth="1"/>
    <col min="10689" max="10689" width="33.140625" customWidth="1"/>
    <col min="10690" max="10690" width="6.42578125" customWidth="1"/>
    <col min="10691" max="10691" width="29" customWidth="1"/>
    <col min="10692" max="10692" width="11.42578125" customWidth="1"/>
    <col min="10693" max="10693" width="10.7109375" customWidth="1"/>
    <col min="10694" max="10694" width="10.85546875" customWidth="1"/>
    <col min="10695" max="10695" width="11.28515625" customWidth="1"/>
    <col min="10697" max="10697" width="9.7109375" customWidth="1"/>
    <col min="10700" max="10700" width="10.42578125" customWidth="1"/>
    <col min="10944" max="10944" width="7" customWidth="1"/>
    <col min="10945" max="10945" width="33.140625" customWidth="1"/>
    <col min="10946" max="10946" width="6.42578125" customWidth="1"/>
    <col min="10947" max="10947" width="29" customWidth="1"/>
    <col min="10948" max="10948" width="11.42578125" customWidth="1"/>
    <col min="10949" max="10949" width="10.7109375" customWidth="1"/>
    <col min="10950" max="10950" width="10.85546875" customWidth="1"/>
    <col min="10951" max="10951" width="11.28515625" customWidth="1"/>
    <col min="10953" max="10953" width="9.7109375" customWidth="1"/>
    <col min="10956" max="10956" width="10.42578125" customWidth="1"/>
    <col min="11200" max="11200" width="7" customWidth="1"/>
    <col min="11201" max="11201" width="33.140625" customWidth="1"/>
    <col min="11202" max="11202" width="6.42578125" customWidth="1"/>
    <col min="11203" max="11203" width="29" customWidth="1"/>
    <col min="11204" max="11204" width="11.42578125" customWidth="1"/>
    <col min="11205" max="11205" width="10.7109375" customWidth="1"/>
    <col min="11206" max="11206" width="10.85546875" customWidth="1"/>
    <col min="11207" max="11207" width="11.28515625" customWidth="1"/>
    <col min="11209" max="11209" width="9.7109375" customWidth="1"/>
    <col min="11212" max="11212" width="10.42578125" customWidth="1"/>
    <col min="11456" max="11456" width="7" customWidth="1"/>
    <col min="11457" max="11457" width="33.140625" customWidth="1"/>
    <col min="11458" max="11458" width="6.42578125" customWidth="1"/>
    <col min="11459" max="11459" width="29" customWidth="1"/>
    <col min="11460" max="11460" width="11.42578125" customWidth="1"/>
    <col min="11461" max="11461" width="10.7109375" customWidth="1"/>
    <col min="11462" max="11462" width="10.85546875" customWidth="1"/>
    <col min="11463" max="11463" width="11.28515625" customWidth="1"/>
    <col min="11465" max="11465" width="9.7109375" customWidth="1"/>
    <col min="11468" max="11468" width="10.42578125" customWidth="1"/>
    <col min="11712" max="11712" width="7" customWidth="1"/>
    <col min="11713" max="11713" width="33.140625" customWidth="1"/>
    <col min="11714" max="11714" width="6.42578125" customWidth="1"/>
    <col min="11715" max="11715" width="29" customWidth="1"/>
    <col min="11716" max="11716" width="11.42578125" customWidth="1"/>
    <col min="11717" max="11717" width="10.7109375" customWidth="1"/>
    <col min="11718" max="11718" width="10.85546875" customWidth="1"/>
    <col min="11719" max="11719" width="11.28515625" customWidth="1"/>
    <col min="11721" max="11721" width="9.7109375" customWidth="1"/>
    <col min="11724" max="11724" width="10.42578125" customWidth="1"/>
    <col min="11968" max="11968" width="7" customWidth="1"/>
    <col min="11969" max="11969" width="33.140625" customWidth="1"/>
    <col min="11970" max="11970" width="6.42578125" customWidth="1"/>
    <col min="11971" max="11971" width="29" customWidth="1"/>
    <col min="11972" max="11972" width="11.42578125" customWidth="1"/>
    <col min="11973" max="11973" width="10.7109375" customWidth="1"/>
    <col min="11974" max="11974" width="10.85546875" customWidth="1"/>
    <col min="11975" max="11975" width="11.28515625" customWidth="1"/>
    <col min="11977" max="11977" width="9.7109375" customWidth="1"/>
    <col min="11980" max="11980" width="10.42578125" customWidth="1"/>
    <col min="12224" max="12224" width="7" customWidth="1"/>
    <col min="12225" max="12225" width="33.140625" customWidth="1"/>
    <col min="12226" max="12226" width="6.42578125" customWidth="1"/>
    <col min="12227" max="12227" width="29" customWidth="1"/>
    <col min="12228" max="12228" width="11.42578125" customWidth="1"/>
    <col min="12229" max="12229" width="10.7109375" customWidth="1"/>
    <col min="12230" max="12230" width="10.85546875" customWidth="1"/>
    <col min="12231" max="12231" width="11.28515625" customWidth="1"/>
    <col min="12233" max="12233" width="9.7109375" customWidth="1"/>
    <col min="12236" max="12236" width="10.42578125" customWidth="1"/>
    <col min="12480" max="12480" width="7" customWidth="1"/>
    <col min="12481" max="12481" width="33.140625" customWidth="1"/>
    <col min="12482" max="12482" width="6.42578125" customWidth="1"/>
    <col min="12483" max="12483" width="29" customWidth="1"/>
    <col min="12484" max="12484" width="11.42578125" customWidth="1"/>
    <col min="12485" max="12485" width="10.7109375" customWidth="1"/>
    <col min="12486" max="12486" width="10.85546875" customWidth="1"/>
    <col min="12487" max="12487" width="11.28515625" customWidth="1"/>
    <col min="12489" max="12489" width="9.7109375" customWidth="1"/>
    <col min="12492" max="12492" width="10.42578125" customWidth="1"/>
    <col min="12736" max="12736" width="7" customWidth="1"/>
    <col min="12737" max="12737" width="33.140625" customWidth="1"/>
    <col min="12738" max="12738" width="6.42578125" customWidth="1"/>
    <col min="12739" max="12739" width="29" customWidth="1"/>
    <col min="12740" max="12740" width="11.42578125" customWidth="1"/>
    <col min="12741" max="12741" width="10.7109375" customWidth="1"/>
    <col min="12742" max="12742" width="10.85546875" customWidth="1"/>
    <col min="12743" max="12743" width="11.28515625" customWidth="1"/>
    <col min="12745" max="12745" width="9.7109375" customWidth="1"/>
    <col min="12748" max="12748" width="10.42578125" customWidth="1"/>
    <col min="12992" max="12992" width="7" customWidth="1"/>
    <col min="12993" max="12993" width="33.140625" customWidth="1"/>
    <col min="12994" max="12994" width="6.42578125" customWidth="1"/>
    <col min="12995" max="12995" width="29" customWidth="1"/>
    <col min="12996" max="12996" width="11.42578125" customWidth="1"/>
    <col min="12997" max="12997" width="10.7109375" customWidth="1"/>
    <col min="12998" max="12998" width="10.85546875" customWidth="1"/>
    <col min="12999" max="12999" width="11.28515625" customWidth="1"/>
    <col min="13001" max="13001" width="9.7109375" customWidth="1"/>
    <col min="13004" max="13004" width="10.42578125" customWidth="1"/>
    <col min="13248" max="13248" width="7" customWidth="1"/>
    <col min="13249" max="13249" width="33.140625" customWidth="1"/>
    <col min="13250" max="13250" width="6.42578125" customWidth="1"/>
    <col min="13251" max="13251" width="29" customWidth="1"/>
    <col min="13252" max="13252" width="11.42578125" customWidth="1"/>
    <col min="13253" max="13253" width="10.7109375" customWidth="1"/>
    <col min="13254" max="13254" width="10.85546875" customWidth="1"/>
    <col min="13255" max="13255" width="11.28515625" customWidth="1"/>
    <col min="13257" max="13257" width="9.7109375" customWidth="1"/>
    <col min="13260" max="13260" width="10.42578125" customWidth="1"/>
    <col min="13504" max="13504" width="7" customWidth="1"/>
    <col min="13505" max="13505" width="33.140625" customWidth="1"/>
    <col min="13506" max="13506" width="6.42578125" customWidth="1"/>
    <col min="13507" max="13507" width="29" customWidth="1"/>
    <col min="13508" max="13508" width="11.42578125" customWidth="1"/>
    <col min="13509" max="13509" width="10.7109375" customWidth="1"/>
    <col min="13510" max="13510" width="10.85546875" customWidth="1"/>
    <col min="13511" max="13511" width="11.28515625" customWidth="1"/>
    <col min="13513" max="13513" width="9.7109375" customWidth="1"/>
    <col min="13516" max="13516" width="10.42578125" customWidth="1"/>
    <col min="13760" max="13760" width="7" customWidth="1"/>
    <col min="13761" max="13761" width="33.140625" customWidth="1"/>
    <col min="13762" max="13762" width="6.42578125" customWidth="1"/>
    <col min="13763" max="13763" width="29" customWidth="1"/>
    <col min="13764" max="13764" width="11.42578125" customWidth="1"/>
    <col min="13765" max="13765" width="10.7109375" customWidth="1"/>
    <col min="13766" max="13766" width="10.85546875" customWidth="1"/>
    <col min="13767" max="13767" width="11.28515625" customWidth="1"/>
    <col min="13769" max="13769" width="9.7109375" customWidth="1"/>
    <col min="13772" max="13772" width="10.42578125" customWidth="1"/>
    <col min="14016" max="14016" width="7" customWidth="1"/>
    <col min="14017" max="14017" width="33.140625" customWidth="1"/>
    <col min="14018" max="14018" width="6.42578125" customWidth="1"/>
    <col min="14019" max="14019" width="29" customWidth="1"/>
    <col min="14020" max="14020" width="11.42578125" customWidth="1"/>
    <col min="14021" max="14021" width="10.7109375" customWidth="1"/>
    <col min="14022" max="14022" width="10.85546875" customWidth="1"/>
    <col min="14023" max="14023" width="11.28515625" customWidth="1"/>
    <col min="14025" max="14025" width="9.7109375" customWidth="1"/>
    <col min="14028" max="14028" width="10.42578125" customWidth="1"/>
    <col min="14272" max="14272" width="7" customWidth="1"/>
    <col min="14273" max="14273" width="33.140625" customWidth="1"/>
    <col min="14274" max="14274" width="6.42578125" customWidth="1"/>
    <col min="14275" max="14275" width="29" customWidth="1"/>
    <col min="14276" max="14276" width="11.42578125" customWidth="1"/>
    <col min="14277" max="14277" width="10.7109375" customWidth="1"/>
    <col min="14278" max="14278" width="10.85546875" customWidth="1"/>
    <col min="14279" max="14279" width="11.28515625" customWidth="1"/>
    <col min="14281" max="14281" width="9.7109375" customWidth="1"/>
    <col min="14284" max="14284" width="10.42578125" customWidth="1"/>
    <col min="14528" max="14528" width="7" customWidth="1"/>
    <col min="14529" max="14529" width="33.140625" customWidth="1"/>
    <col min="14530" max="14530" width="6.42578125" customWidth="1"/>
    <col min="14531" max="14531" width="29" customWidth="1"/>
    <col min="14532" max="14532" width="11.42578125" customWidth="1"/>
    <col min="14533" max="14533" width="10.7109375" customWidth="1"/>
    <col min="14534" max="14534" width="10.85546875" customWidth="1"/>
    <col min="14535" max="14535" width="11.28515625" customWidth="1"/>
    <col min="14537" max="14537" width="9.7109375" customWidth="1"/>
    <col min="14540" max="14540" width="10.42578125" customWidth="1"/>
    <col min="14784" max="14784" width="7" customWidth="1"/>
    <col min="14785" max="14785" width="33.140625" customWidth="1"/>
    <col min="14786" max="14786" width="6.42578125" customWidth="1"/>
    <col min="14787" max="14787" width="29" customWidth="1"/>
    <col min="14788" max="14788" width="11.42578125" customWidth="1"/>
    <col min="14789" max="14789" width="10.7109375" customWidth="1"/>
    <col min="14790" max="14790" width="10.85546875" customWidth="1"/>
    <col min="14791" max="14791" width="11.28515625" customWidth="1"/>
    <col min="14793" max="14793" width="9.7109375" customWidth="1"/>
    <col min="14796" max="14796" width="10.42578125" customWidth="1"/>
    <col min="15040" max="15040" width="7" customWidth="1"/>
    <col min="15041" max="15041" width="33.140625" customWidth="1"/>
    <col min="15042" max="15042" width="6.42578125" customWidth="1"/>
    <col min="15043" max="15043" width="29" customWidth="1"/>
    <col min="15044" max="15044" width="11.42578125" customWidth="1"/>
    <col min="15045" max="15045" width="10.7109375" customWidth="1"/>
    <col min="15046" max="15046" width="10.85546875" customWidth="1"/>
    <col min="15047" max="15047" width="11.28515625" customWidth="1"/>
    <col min="15049" max="15049" width="9.7109375" customWidth="1"/>
    <col min="15052" max="15052" width="10.42578125" customWidth="1"/>
    <col min="15296" max="15296" width="7" customWidth="1"/>
    <col min="15297" max="15297" width="33.140625" customWidth="1"/>
    <col min="15298" max="15298" width="6.42578125" customWidth="1"/>
    <col min="15299" max="15299" width="29" customWidth="1"/>
    <col min="15300" max="15300" width="11.42578125" customWidth="1"/>
    <col min="15301" max="15301" width="10.7109375" customWidth="1"/>
    <col min="15302" max="15302" width="10.85546875" customWidth="1"/>
    <col min="15303" max="15303" width="11.28515625" customWidth="1"/>
    <col min="15305" max="15305" width="9.7109375" customWidth="1"/>
    <col min="15308" max="15308" width="10.42578125" customWidth="1"/>
    <col min="15552" max="15552" width="7" customWidth="1"/>
    <col min="15553" max="15553" width="33.140625" customWidth="1"/>
    <col min="15554" max="15554" width="6.42578125" customWidth="1"/>
    <col min="15555" max="15555" width="29" customWidth="1"/>
    <col min="15556" max="15556" width="11.42578125" customWidth="1"/>
    <col min="15557" max="15557" width="10.7109375" customWidth="1"/>
    <col min="15558" max="15558" width="10.85546875" customWidth="1"/>
    <col min="15559" max="15559" width="11.28515625" customWidth="1"/>
    <col min="15561" max="15561" width="9.7109375" customWidth="1"/>
    <col min="15564" max="15564" width="10.42578125" customWidth="1"/>
    <col min="15808" max="15808" width="7" customWidth="1"/>
    <col min="15809" max="15809" width="33.140625" customWidth="1"/>
    <col min="15810" max="15810" width="6.42578125" customWidth="1"/>
    <col min="15811" max="15811" width="29" customWidth="1"/>
    <col min="15812" max="15812" width="11.42578125" customWidth="1"/>
    <col min="15813" max="15813" width="10.7109375" customWidth="1"/>
    <col min="15814" max="15814" width="10.85546875" customWidth="1"/>
    <col min="15815" max="15815" width="11.28515625" customWidth="1"/>
    <col min="15817" max="15817" width="9.7109375" customWidth="1"/>
    <col min="15820" max="15820" width="10.42578125" customWidth="1"/>
    <col min="16064" max="16064" width="7" customWidth="1"/>
    <col min="16065" max="16065" width="33.140625" customWidth="1"/>
    <col min="16066" max="16066" width="6.42578125" customWidth="1"/>
    <col min="16067" max="16067" width="29" customWidth="1"/>
    <col min="16068" max="16068" width="11.42578125" customWidth="1"/>
    <col min="16069" max="16069" width="10.7109375" customWidth="1"/>
    <col min="16070" max="16070" width="10.85546875" customWidth="1"/>
    <col min="16071" max="16071" width="11.28515625" customWidth="1"/>
    <col min="16073" max="16073" width="9.7109375" customWidth="1"/>
    <col min="16076" max="16076" width="10.42578125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90"/>
      <c r="H1" s="90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87"/>
      <c r="BW1" s="87"/>
      <c r="BX1" s="87"/>
    </row>
    <row r="2" spans="1:88" ht="15">
      <c r="A2" s="50" t="s">
        <v>3</v>
      </c>
      <c r="B2" s="50"/>
      <c r="C2" s="42"/>
      <c r="D2" s="50"/>
      <c r="E2" s="50"/>
      <c r="F2" s="90"/>
      <c r="G2" s="90"/>
      <c r="H2" s="90"/>
    </row>
    <row r="3" spans="1:88" ht="12.75" customHeight="1">
      <c r="A3" s="1215" t="s">
        <v>4</v>
      </c>
      <c r="B3" s="1215"/>
      <c r="C3" s="1215"/>
      <c r="D3" s="1215"/>
      <c r="E3" s="1215"/>
      <c r="F3" s="90"/>
      <c r="G3" s="90"/>
      <c r="H3" s="90"/>
      <c r="AZ3" s="568"/>
      <c r="BA3" s="568"/>
    </row>
    <row r="4" spans="1:88" ht="15">
      <c r="A4" s="89"/>
      <c r="B4" s="50"/>
      <c r="C4" s="50"/>
      <c r="D4" s="50"/>
      <c r="E4" s="50"/>
      <c r="F4" s="90"/>
      <c r="G4" s="90"/>
      <c r="H4" s="90"/>
      <c r="AZ4" s="569"/>
      <c r="BA4" s="569"/>
    </row>
    <row r="5" spans="1:88" ht="16.5" thickBot="1">
      <c r="A5" s="181" t="s">
        <v>890</v>
      </c>
      <c r="B5" s="51"/>
      <c r="C5" s="51"/>
      <c r="D5" s="51"/>
      <c r="E5" s="52"/>
      <c r="F5" s="252"/>
      <c r="G5" s="252"/>
      <c r="H5" s="52"/>
      <c r="AZ5" s="569"/>
      <c r="BA5" s="569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116" t="s">
        <v>877</v>
      </c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8"/>
      <c r="V6" s="1122" t="s">
        <v>888</v>
      </c>
      <c r="W6" s="1122"/>
      <c r="X6" s="1122"/>
      <c r="Y6" s="1122"/>
      <c r="Z6" s="1122"/>
      <c r="AA6" s="1122"/>
      <c r="AB6" s="1122"/>
      <c r="AC6" s="1122"/>
      <c r="AD6" s="1122"/>
      <c r="AE6" s="1122"/>
      <c r="AF6" s="1122"/>
      <c r="AG6" s="1122"/>
      <c r="AH6" s="1122"/>
      <c r="AI6" s="1122"/>
      <c r="AJ6" s="1122"/>
      <c r="AK6" s="1122"/>
      <c r="AL6" s="1122"/>
      <c r="AM6" s="1122"/>
      <c r="AN6" s="1122"/>
      <c r="AO6" s="1122"/>
      <c r="AP6" s="1122"/>
      <c r="AQ6" s="1122"/>
      <c r="AR6" s="1122"/>
      <c r="AS6" s="1122"/>
      <c r="AT6" s="1122"/>
      <c r="AU6" s="1122"/>
      <c r="AV6" s="1122"/>
      <c r="AW6" s="1122"/>
      <c r="AX6" s="1122"/>
      <c r="AY6" s="1122"/>
      <c r="AZ6" s="1122"/>
      <c r="BA6" s="1122"/>
      <c r="BB6" s="1122"/>
      <c r="BC6" s="1122"/>
      <c r="BD6" s="1122"/>
      <c r="BE6" s="1122"/>
      <c r="BF6" s="1122"/>
      <c r="BG6" s="1122"/>
      <c r="BH6" s="1122"/>
      <c r="BI6" s="1122"/>
      <c r="BJ6" s="1122"/>
      <c r="BK6" s="1123"/>
      <c r="BL6" s="1116" t="s">
        <v>889</v>
      </c>
      <c r="BM6" s="1117"/>
      <c r="BN6" s="1117"/>
      <c r="BO6" s="1117"/>
      <c r="BP6" s="1117"/>
      <c r="BQ6" s="1117"/>
      <c r="BR6" s="1117"/>
      <c r="BS6" s="1117"/>
      <c r="BT6" s="1117"/>
      <c r="BU6" s="1117"/>
      <c r="BV6" s="1117"/>
      <c r="BW6" s="1117"/>
      <c r="BX6" s="1118"/>
      <c r="BY6" s="1209" t="s">
        <v>847</v>
      </c>
      <c r="BZ6" s="1210"/>
      <c r="CA6" s="1210"/>
      <c r="CB6" s="1210"/>
      <c r="CC6" s="1210"/>
      <c r="CD6" s="1211"/>
      <c r="CE6" s="1168" t="s">
        <v>847</v>
      </c>
      <c r="CF6" s="1169"/>
      <c r="CG6" s="1169"/>
      <c r="CH6" s="1169"/>
      <c r="CI6" s="1170"/>
      <c r="CJ6" s="1171"/>
    </row>
    <row r="7" spans="1:88" ht="16.5" customHeight="1" thickBot="1">
      <c r="A7" s="89"/>
      <c r="B7" s="6"/>
      <c r="D7" s="10"/>
      <c r="E7" s="6"/>
      <c r="F7" s="90"/>
      <c r="G7" s="90"/>
      <c r="H7" s="90"/>
      <c r="I7" s="1119"/>
      <c r="J7" s="1120"/>
      <c r="K7" s="1120"/>
      <c r="L7" s="1120"/>
      <c r="M7" s="1120"/>
      <c r="N7" s="1120"/>
      <c r="O7" s="1120"/>
      <c r="P7" s="1120"/>
      <c r="Q7" s="1120"/>
      <c r="R7" s="1120"/>
      <c r="S7" s="1120"/>
      <c r="T7" s="1120"/>
      <c r="U7" s="1121"/>
      <c r="V7" s="1140" t="s">
        <v>807</v>
      </c>
      <c r="W7" s="1140"/>
      <c r="X7" s="1140"/>
      <c r="Y7" s="1140"/>
      <c r="Z7" s="1140"/>
      <c r="AA7" s="1140"/>
      <c r="AB7" s="1140"/>
      <c r="AC7" s="1140"/>
      <c r="AD7" s="1140"/>
      <c r="AE7" s="1140"/>
      <c r="AF7" s="1140"/>
      <c r="AG7" s="1141"/>
      <c r="AH7" s="1139" t="s">
        <v>808</v>
      </c>
      <c r="AI7" s="1140"/>
      <c r="AJ7" s="1140"/>
      <c r="AK7" s="1140"/>
      <c r="AL7" s="1140"/>
      <c r="AM7" s="1140"/>
      <c r="AN7" s="1140"/>
      <c r="AO7" s="1141"/>
      <c r="AP7" s="1190" t="s">
        <v>822</v>
      </c>
      <c r="AQ7" s="1190"/>
      <c r="AR7" s="1190"/>
      <c r="AS7" s="1113" t="s">
        <v>5</v>
      </c>
      <c r="AT7" s="1113" t="s">
        <v>275</v>
      </c>
      <c r="AU7" s="1197" t="s">
        <v>796</v>
      </c>
      <c r="AV7" s="1197"/>
      <c r="AW7" s="1197"/>
      <c r="AX7" s="1198"/>
      <c r="AY7" s="1203" t="s">
        <v>288</v>
      </c>
      <c r="AZ7" s="1206" t="s">
        <v>809</v>
      </c>
      <c r="BA7" s="1207"/>
      <c r="BB7" s="1207"/>
      <c r="BC7" s="1207"/>
      <c r="BD7" s="1207"/>
      <c r="BE7" s="1207"/>
      <c r="BF7" s="1207"/>
      <c r="BG7" s="1207"/>
      <c r="BH7" s="1207"/>
      <c r="BI7" s="1207"/>
      <c r="BJ7" s="1207"/>
      <c r="BK7" s="1208"/>
      <c r="BL7" s="1119"/>
      <c r="BM7" s="1120"/>
      <c r="BN7" s="1120"/>
      <c r="BO7" s="1120"/>
      <c r="BP7" s="1120"/>
      <c r="BQ7" s="1120"/>
      <c r="BR7" s="1120"/>
      <c r="BS7" s="1120"/>
      <c r="BT7" s="1120"/>
      <c r="BU7" s="1120"/>
      <c r="BV7" s="1120"/>
      <c r="BW7" s="1120"/>
      <c r="BX7" s="1121"/>
      <c r="BY7" s="1212"/>
      <c r="BZ7" s="1213"/>
      <c r="CA7" s="1213"/>
      <c r="CB7" s="1213"/>
      <c r="CC7" s="1213"/>
      <c r="CD7" s="1214"/>
      <c r="CE7" s="1172"/>
      <c r="CF7" s="1173"/>
      <c r="CG7" s="1173"/>
      <c r="CH7" s="1173"/>
      <c r="CI7" s="1174"/>
      <c r="CJ7" s="1175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127" t="s">
        <v>6</v>
      </c>
      <c r="J8" s="1124" t="s">
        <v>777</v>
      </c>
      <c r="K8" s="1125"/>
      <c r="L8" s="1125"/>
      <c r="M8" s="1125"/>
      <c r="N8" s="1125"/>
      <c r="O8" s="1125"/>
      <c r="P8" s="1125"/>
      <c r="Q8" s="1125"/>
      <c r="R8" s="1126"/>
      <c r="S8" s="1130" t="s">
        <v>813</v>
      </c>
      <c r="T8" s="1133" t="s">
        <v>814</v>
      </c>
      <c r="U8" s="1134"/>
      <c r="V8" s="1143"/>
      <c r="W8" s="1143"/>
      <c r="X8" s="1143"/>
      <c r="Y8" s="1143"/>
      <c r="Z8" s="1143"/>
      <c r="AA8" s="1143"/>
      <c r="AB8" s="1143"/>
      <c r="AC8" s="1143"/>
      <c r="AD8" s="1143"/>
      <c r="AE8" s="1143"/>
      <c r="AF8" s="1143"/>
      <c r="AG8" s="1144"/>
      <c r="AH8" s="1142"/>
      <c r="AI8" s="1143"/>
      <c r="AJ8" s="1143"/>
      <c r="AK8" s="1143"/>
      <c r="AL8" s="1143"/>
      <c r="AM8" s="1143"/>
      <c r="AN8" s="1143"/>
      <c r="AO8" s="1144"/>
      <c r="AP8" s="1190"/>
      <c r="AQ8" s="1190"/>
      <c r="AR8" s="1190"/>
      <c r="AS8" s="1114"/>
      <c r="AT8" s="1114"/>
      <c r="AU8" s="1199"/>
      <c r="AV8" s="1199"/>
      <c r="AW8" s="1199"/>
      <c r="AX8" s="1200"/>
      <c r="AY8" s="1204"/>
      <c r="AZ8" s="1145" t="s">
        <v>276</v>
      </c>
      <c r="BA8" s="1195"/>
      <c r="BB8" s="1184" t="s">
        <v>277</v>
      </c>
      <c r="BC8" s="1186" t="s">
        <v>860</v>
      </c>
      <c r="BD8" s="1187"/>
      <c r="BE8" s="1184" t="s">
        <v>787</v>
      </c>
      <c r="BF8" s="1184"/>
      <c r="BG8" s="1145" t="s">
        <v>278</v>
      </c>
      <c r="BH8" s="1195"/>
      <c r="BI8" s="1145" t="s">
        <v>823</v>
      </c>
      <c r="BJ8" s="1146"/>
      <c r="BK8" s="1147"/>
      <c r="BL8" s="1165" t="s">
        <v>6</v>
      </c>
      <c r="BM8" s="1161" t="s">
        <v>777</v>
      </c>
      <c r="BN8" s="1161"/>
      <c r="BO8" s="1161"/>
      <c r="BP8" s="1161"/>
      <c r="BQ8" s="1161"/>
      <c r="BR8" s="1161"/>
      <c r="BS8" s="1161"/>
      <c r="BT8" s="1161"/>
      <c r="BU8" s="1161"/>
      <c r="BV8" s="1130" t="s">
        <v>813</v>
      </c>
      <c r="BW8" s="1191" t="s">
        <v>778</v>
      </c>
      <c r="BX8" s="1192"/>
      <c r="BY8" s="1151" t="s">
        <v>846</v>
      </c>
      <c r="BZ8" s="1152"/>
      <c r="CA8" s="1152"/>
      <c r="CB8" s="1152"/>
      <c r="CC8" s="1152"/>
      <c r="CD8" s="1153"/>
      <c r="CE8" s="1176" t="s">
        <v>861</v>
      </c>
      <c r="CF8" s="1177"/>
      <c r="CG8" s="1177"/>
      <c r="CH8" s="1177"/>
      <c r="CI8" s="1177"/>
      <c r="CJ8" s="1178"/>
    </row>
    <row r="9" spans="1:88" ht="19.5" customHeight="1" thickBot="1">
      <c r="A9" s="12" t="s">
        <v>771</v>
      </c>
      <c r="D9" s="12"/>
      <c r="F9" s="59"/>
      <c r="G9" s="60"/>
      <c r="H9" s="60"/>
      <c r="I9" s="1128"/>
      <c r="J9" s="1137" t="s">
        <v>268</v>
      </c>
      <c r="K9" s="1108" t="s">
        <v>827</v>
      </c>
      <c r="L9" s="1109"/>
      <c r="M9" s="1111" t="s">
        <v>274</v>
      </c>
      <c r="N9" s="1108" t="s">
        <v>834</v>
      </c>
      <c r="O9" s="1109"/>
      <c r="P9" s="1111" t="s">
        <v>5</v>
      </c>
      <c r="Q9" s="1111" t="s">
        <v>1</v>
      </c>
      <c r="R9" s="1111" t="s">
        <v>7</v>
      </c>
      <c r="S9" s="1131"/>
      <c r="T9" s="1135"/>
      <c r="U9" s="1136"/>
      <c r="V9" s="1110" t="s">
        <v>279</v>
      </c>
      <c r="W9" s="1104"/>
      <c r="X9" s="1100" t="s">
        <v>812</v>
      </c>
      <c r="Y9" s="1100" t="s">
        <v>811</v>
      </c>
      <c r="Z9" s="1105" t="s">
        <v>860</v>
      </c>
      <c r="AA9" s="1105"/>
      <c r="AB9" s="1182"/>
      <c r="AC9" s="1105" t="s">
        <v>278</v>
      </c>
      <c r="AD9" s="1105"/>
      <c r="AE9" s="1103" t="s">
        <v>788</v>
      </c>
      <c r="AF9" s="1104"/>
      <c r="AG9" s="1106" t="s">
        <v>788</v>
      </c>
      <c r="AH9" s="1103" t="s">
        <v>280</v>
      </c>
      <c r="AI9" s="1104"/>
      <c r="AJ9" s="1101" t="s">
        <v>810</v>
      </c>
      <c r="AK9" s="1103" t="s">
        <v>281</v>
      </c>
      <c r="AL9" s="1104"/>
      <c r="AM9" s="1103" t="s">
        <v>745</v>
      </c>
      <c r="AN9" s="1104"/>
      <c r="AO9" s="1106" t="s">
        <v>745</v>
      </c>
      <c r="AP9" s="1190"/>
      <c r="AQ9" s="1190"/>
      <c r="AR9" s="1190"/>
      <c r="AS9" s="1114"/>
      <c r="AT9" s="1114"/>
      <c r="AU9" s="1201"/>
      <c r="AV9" s="1201"/>
      <c r="AW9" s="1201"/>
      <c r="AX9" s="1202"/>
      <c r="AY9" s="1204"/>
      <c r="AZ9" s="1148"/>
      <c r="BA9" s="1196"/>
      <c r="BB9" s="1185"/>
      <c r="BC9" s="1188"/>
      <c r="BD9" s="1189"/>
      <c r="BE9" s="1185"/>
      <c r="BF9" s="1185"/>
      <c r="BG9" s="1148"/>
      <c r="BH9" s="1196"/>
      <c r="BI9" s="1148"/>
      <c r="BJ9" s="1149"/>
      <c r="BK9" s="1150"/>
      <c r="BL9" s="1166"/>
      <c r="BM9" s="1157" t="s">
        <v>268</v>
      </c>
      <c r="BN9" s="1108" t="s">
        <v>827</v>
      </c>
      <c r="BO9" s="1109"/>
      <c r="BP9" s="1159" t="s">
        <v>274</v>
      </c>
      <c r="BQ9" s="1162" t="s">
        <v>834</v>
      </c>
      <c r="BR9" s="1162"/>
      <c r="BS9" s="1163" t="s">
        <v>5</v>
      </c>
      <c r="BT9" s="1163" t="s">
        <v>1</v>
      </c>
      <c r="BU9" s="1163" t="s">
        <v>7</v>
      </c>
      <c r="BV9" s="1131"/>
      <c r="BW9" s="1193"/>
      <c r="BX9" s="1194"/>
      <c r="BY9" s="1154"/>
      <c r="BZ9" s="1155"/>
      <c r="CA9" s="1155"/>
      <c r="CB9" s="1155"/>
      <c r="CC9" s="1155"/>
      <c r="CD9" s="1156"/>
      <c r="CE9" s="1179"/>
      <c r="CF9" s="1180"/>
      <c r="CG9" s="1180"/>
      <c r="CH9" s="1180"/>
      <c r="CI9" s="1180"/>
      <c r="CJ9" s="1181"/>
    </row>
    <row r="10" spans="1:88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129"/>
      <c r="J10" s="1138"/>
      <c r="K10" s="587" t="s">
        <v>805</v>
      </c>
      <c r="L10" s="587" t="s">
        <v>806</v>
      </c>
      <c r="M10" s="1112"/>
      <c r="N10" s="587" t="s">
        <v>805</v>
      </c>
      <c r="O10" s="587" t="s">
        <v>806</v>
      </c>
      <c r="P10" s="1112"/>
      <c r="Q10" s="1112"/>
      <c r="R10" s="1112"/>
      <c r="S10" s="1132"/>
      <c r="T10" s="588" t="s">
        <v>805</v>
      </c>
      <c r="U10" s="604" t="s">
        <v>806</v>
      </c>
      <c r="V10" s="562" t="s">
        <v>805</v>
      </c>
      <c r="W10" s="556" t="s">
        <v>806</v>
      </c>
      <c r="X10" s="1100"/>
      <c r="Y10" s="1100"/>
      <c r="Z10" s="556" t="s">
        <v>805</v>
      </c>
      <c r="AA10" s="561" t="s">
        <v>806</v>
      </c>
      <c r="AB10" s="1183"/>
      <c r="AC10" s="556" t="s">
        <v>805</v>
      </c>
      <c r="AD10" s="561" t="s">
        <v>806</v>
      </c>
      <c r="AE10" s="556" t="s">
        <v>805</v>
      </c>
      <c r="AF10" s="561" t="s">
        <v>806</v>
      </c>
      <c r="AG10" s="1107"/>
      <c r="AH10" s="557" t="s">
        <v>805</v>
      </c>
      <c r="AI10" s="557" t="s">
        <v>806</v>
      </c>
      <c r="AJ10" s="1102"/>
      <c r="AK10" s="556" t="s">
        <v>805</v>
      </c>
      <c r="AL10" s="556" t="s">
        <v>806</v>
      </c>
      <c r="AM10" s="556" t="s">
        <v>805</v>
      </c>
      <c r="AN10" s="556" t="s">
        <v>806</v>
      </c>
      <c r="AO10" s="1107"/>
      <c r="AP10" s="556" t="s">
        <v>805</v>
      </c>
      <c r="AQ10" s="556" t="s">
        <v>806</v>
      </c>
      <c r="AR10" s="556" t="s">
        <v>256</v>
      </c>
      <c r="AS10" s="1115"/>
      <c r="AT10" s="1115"/>
      <c r="AU10" s="403" t="s">
        <v>277</v>
      </c>
      <c r="AV10" s="403" t="s">
        <v>278</v>
      </c>
      <c r="AW10" s="403"/>
      <c r="AX10" s="403" t="s">
        <v>746</v>
      </c>
      <c r="AY10" s="1205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67"/>
      <c r="BM10" s="1158"/>
      <c r="BN10" s="557" t="s">
        <v>805</v>
      </c>
      <c r="BO10" s="557" t="s">
        <v>806</v>
      </c>
      <c r="BP10" s="1160"/>
      <c r="BQ10" s="557" t="s">
        <v>805</v>
      </c>
      <c r="BR10" s="557" t="s">
        <v>806</v>
      </c>
      <c r="BS10" s="1164"/>
      <c r="BT10" s="1164"/>
      <c r="BU10" s="1164"/>
      <c r="BV10" s="1132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0" t="s">
        <v>841</v>
      </c>
      <c r="CF10" s="871" t="s">
        <v>268</v>
      </c>
      <c r="CG10" s="871" t="s">
        <v>840</v>
      </c>
      <c r="CH10" s="871" t="s">
        <v>1</v>
      </c>
      <c r="CI10" s="876" t="s">
        <v>796</v>
      </c>
      <c r="CJ10" s="872" t="s">
        <v>842</v>
      </c>
    </row>
    <row r="11" spans="1:88" s="122" customFormat="1" ht="12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81" t="s">
        <v>857</v>
      </c>
      <c r="CF11" s="882" t="s">
        <v>802</v>
      </c>
      <c r="CG11" s="882" t="s">
        <v>858</v>
      </c>
      <c r="CH11" s="882" t="s">
        <v>859</v>
      </c>
      <c r="CI11" s="882" t="s">
        <v>796</v>
      </c>
      <c r="CJ11" s="883" t="s">
        <v>533</v>
      </c>
    </row>
    <row r="12" spans="1:88" ht="14.1" customHeight="1">
      <c r="A12" s="612">
        <v>1</v>
      </c>
      <c r="B12" s="613">
        <v>3475</v>
      </c>
      <c r="C12" s="613">
        <v>691008604</v>
      </c>
      <c r="D12" s="613">
        <v>4624548</v>
      </c>
      <c r="E12" s="614" t="s">
        <v>117</v>
      </c>
      <c r="F12" s="613">
        <v>3111</v>
      </c>
      <c r="G12" s="615" t="s">
        <v>290</v>
      </c>
      <c r="H12" s="616" t="s">
        <v>271</v>
      </c>
      <c r="I12" s="851">
        <v>3717126</v>
      </c>
      <c r="J12" s="564">
        <v>2741711</v>
      </c>
      <c r="K12" s="564">
        <v>2395510</v>
      </c>
      <c r="L12" s="564">
        <v>346201</v>
      </c>
      <c r="M12" s="564">
        <v>0</v>
      </c>
      <c r="N12" s="564">
        <v>0</v>
      </c>
      <c r="O12" s="564">
        <v>0</v>
      </c>
      <c r="P12" s="622">
        <v>926698</v>
      </c>
      <c r="Q12" s="622">
        <v>27417</v>
      </c>
      <c r="R12" s="564">
        <v>21300</v>
      </c>
      <c r="S12" s="541">
        <v>5.2425999999999995</v>
      </c>
      <c r="T12" s="544">
        <v>4.0644999999999998</v>
      </c>
      <c r="U12" s="757">
        <v>1.1781000000000001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836">
        <f>I12+AY12</f>
        <v>3717126</v>
      </c>
      <c r="BM12" s="835">
        <f>J12+AG12</f>
        <v>2741711</v>
      </c>
      <c r="BN12" s="835">
        <f t="shared" ref="BN12:BO14" si="0">K12+AE12</f>
        <v>2395510</v>
      </c>
      <c r="BO12" s="835">
        <f t="shared" si="0"/>
        <v>346201</v>
      </c>
      <c r="BP12" s="835">
        <f>M12+AO12</f>
        <v>0</v>
      </c>
      <c r="BQ12" s="835">
        <f t="shared" ref="BQ12:BR14" si="1">N12+AM12</f>
        <v>0</v>
      </c>
      <c r="BR12" s="835">
        <f t="shared" si="1"/>
        <v>0</v>
      </c>
      <c r="BS12" s="835">
        <f t="shared" ref="BS12:BT14" si="2">P12+AS12</f>
        <v>926698</v>
      </c>
      <c r="BT12" s="835">
        <f t="shared" si="2"/>
        <v>27417</v>
      </c>
      <c r="BU12" s="835">
        <f>R12+AX12</f>
        <v>21300</v>
      </c>
      <c r="BV12" s="837">
        <f>S12+BK12</f>
        <v>5.2425999999999995</v>
      </c>
      <c r="BW12" s="837">
        <f t="shared" ref="BW12:BX14" si="3">T12+BI12</f>
        <v>4.0644999999999998</v>
      </c>
      <c r="BX12" s="846">
        <f t="shared" si="3"/>
        <v>1.1781000000000001</v>
      </c>
      <c r="BY12" s="405"/>
      <c r="BZ12" s="406"/>
      <c r="CA12" s="406"/>
      <c r="CB12" s="406"/>
      <c r="CC12" s="406"/>
      <c r="CD12" s="494"/>
      <c r="CE12" s="405">
        <v>156823</v>
      </c>
      <c r="CF12" s="406">
        <v>111081</v>
      </c>
      <c r="CG12" s="406">
        <v>37545</v>
      </c>
      <c r="CH12" s="406">
        <v>1111</v>
      </c>
      <c r="CI12" s="406">
        <v>7086</v>
      </c>
      <c r="CJ12" s="494">
        <v>0.378</v>
      </c>
    </row>
    <row r="13" spans="1:88" ht="13.5" customHeight="1">
      <c r="A13" s="205">
        <v>1</v>
      </c>
      <c r="B13" s="206">
        <v>3475</v>
      </c>
      <c r="C13" s="206">
        <v>691008604</v>
      </c>
      <c r="D13" s="206">
        <v>4624548</v>
      </c>
      <c r="E13" s="204" t="s">
        <v>118</v>
      </c>
      <c r="F13" s="206">
        <v>3111</v>
      </c>
      <c r="G13" s="207" t="s">
        <v>291</v>
      </c>
      <c r="H13" s="607" t="s">
        <v>272</v>
      </c>
      <c r="I13" s="510">
        <v>624800</v>
      </c>
      <c r="J13" s="564">
        <v>463502</v>
      </c>
      <c r="K13" s="564">
        <v>463502</v>
      </c>
      <c r="L13" s="564">
        <v>0</v>
      </c>
      <c r="M13" s="564">
        <v>0</v>
      </c>
      <c r="N13" s="564">
        <v>0</v>
      </c>
      <c r="O13" s="564">
        <v>0</v>
      </c>
      <c r="P13" s="68">
        <v>156663</v>
      </c>
      <c r="Q13" s="68">
        <v>4635</v>
      </c>
      <c r="R13" s="564">
        <v>0</v>
      </c>
      <c r="S13" s="541">
        <v>1.25</v>
      </c>
      <c r="T13" s="544">
        <v>1.25</v>
      </c>
      <c r="U13" s="757">
        <v>0</v>
      </c>
      <c r="V13" s="423">
        <f t="shared" ref="V13:V72" si="4">AH13*-1</f>
        <v>0</v>
      </c>
      <c r="W13" s="417">
        <f t="shared" ref="W13:W72" si="5">AI13*-1</f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2" si="6">V13+X13+Y13+Z13+AC13</f>
        <v>0</v>
      </c>
      <c r="AF13" s="417">
        <f t="shared" ref="AF13:AF72" si="7">W13+AA13+AD13+AB13</f>
        <v>0</v>
      </c>
      <c r="AG13" s="417">
        <f t="shared" ref="AG13:AG72" si="8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2" si="9">AH13+AJ13+AK13</f>
        <v>0</v>
      </c>
      <c r="AN13" s="417">
        <f t="shared" ref="AN13:AN72" si="10">AI13+AL13</f>
        <v>0</v>
      </c>
      <c r="AO13" s="417">
        <f t="shared" ref="AO13:AO72" si="11">SUM(AM13:AN13)</f>
        <v>0</v>
      </c>
      <c r="AP13" s="417">
        <f t="shared" ref="AP13:AP72" si="12">AE13+AM13</f>
        <v>0</v>
      </c>
      <c r="AQ13" s="417">
        <f t="shared" ref="AQ13:AQ72" si="13">AF13+AN13</f>
        <v>0</v>
      </c>
      <c r="AR13" s="417">
        <f t="shared" ref="AR13:AR72" si="14">SUM(AP13:AQ13)</f>
        <v>0</v>
      </c>
      <c r="AS13" s="68">
        <f t="shared" ref="AS13:AS72" si="15">ROUND((AG13+AH13+AI13+AJ13)*33.8%,0)</f>
        <v>0</v>
      </c>
      <c r="AT13" s="68">
        <f t="shared" ref="AT13:AT72" si="16">ROUND(AG13*1%,0)</f>
        <v>0</v>
      </c>
      <c r="AU13" s="417">
        <v>0</v>
      </c>
      <c r="AV13" s="417">
        <v>0</v>
      </c>
      <c r="AW13" s="417">
        <v>0</v>
      </c>
      <c r="AX13" s="417">
        <f t="shared" ref="AX13:AX72" si="17">SUM(AU13:AW13)</f>
        <v>0</v>
      </c>
      <c r="AY13" s="417">
        <f t="shared" ref="AY13:AY72" si="18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2" si="19">AZ13+BB13+BC13+BE13+BG13</f>
        <v>0</v>
      </c>
      <c r="BJ13" s="418">
        <f t="shared" ref="BJ13:BJ72" si="20">BA13+BD13+BH13+BF13</f>
        <v>0</v>
      </c>
      <c r="BK13" s="420">
        <f t="shared" ref="BK13:BK72" si="21">SUM(BI13:BJ13)</f>
        <v>0</v>
      </c>
      <c r="BL13" s="772">
        <f>I13+AY13</f>
        <v>624800</v>
      </c>
      <c r="BM13" s="417">
        <f>J13+AG13</f>
        <v>463502</v>
      </c>
      <c r="BN13" s="417">
        <f t="shared" si="0"/>
        <v>463502</v>
      </c>
      <c r="BO13" s="417">
        <f t="shared" si="0"/>
        <v>0</v>
      </c>
      <c r="BP13" s="417">
        <f>M13+AO13</f>
        <v>0</v>
      </c>
      <c r="BQ13" s="417">
        <f t="shared" si="1"/>
        <v>0</v>
      </c>
      <c r="BR13" s="417">
        <f t="shared" si="1"/>
        <v>0</v>
      </c>
      <c r="BS13" s="417">
        <f t="shared" si="2"/>
        <v>156663</v>
      </c>
      <c r="BT13" s="417">
        <f t="shared" si="2"/>
        <v>4635</v>
      </c>
      <c r="BU13" s="417">
        <f>R13+AX13</f>
        <v>0</v>
      </c>
      <c r="BV13" s="418">
        <f>S13+BK13</f>
        <v>1.25</v>
      </c>
      <c r="BW13" s="418">
        <f t="shared" si="3"/>
        <v>1.25</v>
      </c>
      <c r="BX13" s="420">
        <f t="shared" si="3"/>
        <v>0</v>
      </c>
      <c r="BY13" s="419"/>
      <c r="BZ13" s="414"/>
      <c r="CA13" s="414"/>
      <c r="CB13" s="414"/>
      <c r="CC13" s="414"/>
      <c r="CD13" s="509"/>
      <c r="CE13" s="419"/>
      <c r="CF13" s="414"/>
      <c r="CG13" s="414"/>
      <c r="CH13" s="414"/>
      <c r="CI13" s="414"/>
      <c r="CJ13" s="509"/>
    </row>
    <row r="14" spans="1:88" ht="13.5" customHeight="1">
      <c r="A14" s="205">
        <v>1</v>
      </c>
      <c r="B14" s="206">
        <v>3475</v>
      </c>
      <c r="C14" s="206">
        <v>691008604</v>
      </c>
      <c r="D14" s="206">
        <v>4624548</v>
      </c>
      <c r="E14" s="204" t="s">
        <v>118</v>
      </c>
      <c r="F14" s="206">
        <v>3141</v>
      </c>
      <c r="G14" s="207" t="s">
        <v>294</v>
      </c>
      <c r="H14" s="607" t="s">
        <v>272</v>
      </c>
      <c r="I14" s="510">
        <v>606538</v>
      </c>
      <c r="J14" s="414">
        <v>448372</v>
      </c>
      <c r="K14" s="414">
        <v>0</v>
      </c>
      <c r="L14" s="414">
        <v>448372</v>
      </c>
      <c r="M14" s="414">
        <v>0</v>
      </c>
      <c r="N14" s="414">
        <v>0</v>
      </c>
      <c r="O14" s="414">
        <v>0</v>
      </c>
      <c r="P14" s="68">
        <v>151550</v>
      </c>
      <c r="Q14" s="68">
        <v>4484</v>
      </c>
      <c r="R14" s="414">
        <v>2132</v>
      </c>
      <c r="S14" s="415">
        <v>1.34</v>
      </c>
      <c r="T14" s="416">
        <v>0</v>
      </c>
      <c r="U14" s="422">
        <v>1.34</v>
      </c>
      <c r="V14" s="423">
        <f t="shared" si="4"/>
        <v>0</v>
      </c>
      <c r="W14" s="417">
        <f t="shared" si="5"/>
        <v>0</v>
      </c>
      <c r="X14" s="417">
        <v>0</v>
      </c>
      <c r="Y14" s="417">
        <v>0</v>
      </c>
      <c r="Z14" s="417">
        <v>0</v>
      </c>
      <c r="AA14" s="417">
        <v>9991</v>
      </c>
      <c r="AB14" s="417">
        <v>0</v>
      </c>
      <c r="AC14" s="417">
        <v>0</v>
      </c>
      <c r="AD14" s="417">
        <v>0</v>
      </c>
      <c r="AE14" s="417">
        <f t="shared" si="6"/>
        <v>0</v>
      </c>
      <c r="AF14" s="417">
        <f t="shared" si="7"/>
        <v>9991</v>
      </c>
      <c r="AG14" s="417">
        <f t="shared" si="8"/>
        <v>9991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9"/>
        <v>0</v>
      </c>
      <c r="AN14" s="417">
        <f t="shared" si="10"/>
        <v>0</v>
      </c>
      <c r="AO14" s="417">
        <f t="shared" si="11"/>
        <v>0</v>
      </c>
      <c r="AP14" s="417">
        <f t="shared" si="12"/>
        <v>0</v>
      </c>
      <c r="AQ14" s="417">
        <f t="shared" si="13"/>
        <v>9991</v>
      </c>
      <c r="AR14" s="417">
        <f t="shared" si="14"/>
        <v>9991</v>
      </c>
      <c r="AS14" s="68">
        <f t="shared" si="15"/>
        <v>3377</v>
      </c>
      <c r="AT14" s="68">
        <f t="shared" si="16"/>
        <v>100</v>
      </c>
      <c r="AU14" s="417">
        <v>0</v>
      </c>
      <c r="AV14" s="417">
        <v>0</v>
      </c>
      <c r="AW14" s="417">
        <v>0</v>
      </c>
      <c r="AX14" s="417">
        <f t="shared" si="17"/>
        <v>0</v>
      </c>
      <c r="AY14" s="417">
        <f t="shared" si="18"/>
        <v>13468</v>
      </c>
      <c r="AZ14" s="418">
        <v>0</v>
      </c>
      <c r="BA14" s="418">
        <v>0</v>
      </c>
      <c r="BB14" s="418">
        <v>0</v>
      </c>
      <c r="BC14" s="418">
        <v>0</v>
      </c>
      <c r="BD14" s="418">
        <v>0.03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19"/>
        <v>0</v>
      </c>
      <c r="BJ14" s="418">
        <f t="shared" si="20"/>
        <v>0.03</v>
      </c>
      <c r="BK14" s="420">
        <f t="shared" si="21"/>
        <v>0.03</v>
      </c>
      <c r="BL14" s="772">
        <f>I14+AY14</f>
        <v>620006</v>
      </c>
      <c r="BM14" s="417">
        <f>J14+AG14</f>
        <v>458363</v>
      </c>
      <c r="BN14" s="417">
        <f t="shared" si="0"/>
        <v>0</v>
      </c>
      <c r="BO14" s="417">
        <f t="shared" si="0"/>
        <v>458363</v>
      </c>
      <c r="BP14" s="417">
        <f>M14+AO14</f>
        <v>0</v>
      </c>
      <c r="BQ14" s="417">
        <f t="shared" si="1"/>
        <v>0</v>
      </c>
      <c r="BR14" s="417">
        <f t="shared" si="1"/>
        <v>0</v>
      </c>
      <c r="BS14" s="417">
        <f t="shared" si="2"/>
        <v>154927</v>
      </c>
      <c r="BT14" s="417">
        <f t="shared" si="2"/>
        <v>4584</v>
      </c>
      <c r="BU14" s="417">
        <f>R14+AX14</f>
        <v>2132</v>
      </c>
      <c r="BV14" s="418">
        <f>S14+BK14</f>
        <v>1.37</v>
      </c>
      <c r="BW14" s="418">
        <f t="shared" si="3"/>
        <v>0</v>
      </c>
      <c r="BX14" s="420">
        <f t="shared" si="3"/>
        <v>1.37</v>
      </c>
      <c r="BY14" s="419"/>
      <c r="BZ14" s="414"/>
      <c r="CA14" s="414"/>
      <c r="CB14" s="414"/>
      <c r="CC14" s="414"/>
      <c r="CD14" s="509"/>
      <c r="CE14" s="419"/>
      <c r="CF14" s="601"/>
      <c r="CG14" s="414"/>
      <c r="CH14" s="414"/>
      <c r="CI14" s="601"/>
      <c r="CJ14" s="603"/>
    </row>
    <row r="15" spans="1:88" ht="13.5" customHeight="1">
      <c r="A15" s="155">
        <v>1</v>
      </c>
      <c r="B15" s="18">
        <v>3475</v>
      </c>
      <c r="C15" s="18">
        <v>691008604</v>
      </c>
      <c r="D15" s="18">
        <v>4624548</v>
      </c>
      <c r="E15" s="164" t="s">
        <v>119</v>
      </c>
      <c r="F15" s="18"/>
      <c r="G15" s="154"/>
      <c r="H15" s="608"/>
      <c r="I15" s="451">
        <v>4948464</v>
      </c>
      <c r="J15" s="444">
        <v>3653585</v>
      </c>
      <c r="K15" s="444">
        <v>2859012</v>
      </c>
      <c r="L15" s="444">
        <v>794573</v>
      </c>
      <c r="M15" s="444">
        <v>0</v>
      </c>
      <c r="N15" s="444">
        <v>0</v>
      </c>
      <c r="O15" s="444">
        <v>0</v>
      </c>
      <c r="P15" s="444">
        <v>1234911</v>
      </c>
      <c r="Q15" s="444">
        <v>36536</v>
      </c>
      <c r="R15" s="444">
        <v>23432</v>
      </c>
      <c r="S15" s="445">
        <v>7.8325999999999993</v>
      </c>
      <c r="T15" s="445">
        <v>5.3144999999999998</v>
      </c>
      <c r="U15" s="449">
        <v>2.5181000000000004</v>
      </c>
      <c r="V15" s="447">
        <f t="shared" ref="V15:CG15" si="22">SUM(V12:V14)</f>
        <v>0</v>
      </c>
      <c r="W15" s="444">
        <f t="shared" si="22"/>
        <v>0</v>
      </c>
      <c r="X15" s="444">
        <f t="shared" si="22"/>
        <v>0</v>
      </c>
      <c r="Y15" s="444">
        <f t="shared" si="22"/>
        <v>0</v>
      </c>
      <c r="Z15" s="444">
        <f t="shared" si="22"/>
        <v>0</v>
      </c>
      <c r="AA15" s="444">
        <f t="shared" si="22"/>
        <v>9991</v>
      </c>
      <c r="AB15" s="444">
        <f t="shared" si="22"/>
        <v>0</v>
      </c>
      <c r="AC15" s="444">
        <f t="shared" si="22"/>
        <v>0</v>
      </c>
      <c r="AD15" s="444">
        <f t="shared" si="22"/>
        <v>0</v>
      </c>
      <c r="AE15" s="444">
        <f t="shared" si="22"/>
        <v>0</v>
      </c>
      <c r="AF15" s="444">
        <f t="shared" si="22"/>
        <v>9991</v>
      </c>
      <c r="AG15" s="444">
        <f t="shared" si="22"/>
        <v>9991</v>
      </c>
      <c r="AH15" s="444">
        <f t="shared" si="22"/>
        <v>0</v>
      </c>
      <c r="AI15" s="444">
        <f t="shared" si="22"/>
        <v>0</v>
      </c>
      <c r="AJ15" s="444">
        <f t="shared" si="22"/>
        <v>0</v>
      </c>
      <c r="AK15" s="444">
        <f t="shared" si="22"/>
        <v>0</v>
      </c>
      <c r="AL15" s="444">
        <f t="shared" si="22"/>
        <v>0</v>
      </c>
      <c r="AM15" s="444">
        <f t="shared" si="22"/>
        <v>0</v>
      </c>
      <c r="AN15" s="444">
        <f t="shared" si="22"/>
        <v>0</v>
      </c>
      <c r="AO15" s="444">
        <f t="shared" si="22"/>
        <v>0</v>
      </c>
      <c r="AP15" s="444">
        <f t="shared" si="22"/>
        <v>0</v>
      </c>
      <c r="AQ15" s="444">
        <f t="shared" si="22"/>
        <v>9991</v>
      </c>
      <c r="AR15" s="444">
        <f t="shared" si="22"/>
        <v>9991</v>
      </c>
      <c r="AS15" s="444">
        <f t="shared" si="22"/>
        <v>3377</v>
      </c>
      <c r="AT15" s="444">
        <f t="shared" si="22"/>
        <v>100</v>
      </c>
      <c r="AU15" s="444">
        <f t="shared" si="22"/>
        <v>0</v>
      </c>
      <c r="AV15" s="444">
        <f t="shared" si="22"/>
        <v>0</v>
      </c>
      <c r="AW15" s="444">
        <f t="shared" si="22"/>
        <v>0</v>
      </c>
      <c r="AX15" s="444">
        <f t="shared" si="22"/>
        <v>0</v>
      </c>
      <c r="AY15" s="444">
        <f t="shared" si="22"/>
        <v>13468</v>
      </c>
      <c r="AZ15" s="445">
        <f t="shared" si="22"/>
        <v>0</v>
      </c>
      <c r="BA15" s="445">
        <f t="shared" si="22"/>
        <v>0</v>
      </c>
      <c r="BB15" s="445">
        <f t="shared" si="22"/>
        <v>0</v>
      </c>
      <c r="BC15" s="445">
        <f t="shared" si="22"/>
        <v>0</v>
      </c>
      <c r="BD15" s="445">
        <f t="shared" si="22"/>
        <v>0.03</v>
      </c>
      <c r="BE15" s="445">
        <f t="shared" si="22"/>
        <v>0</v>
      </c>
      <c r="BF15" s="445">
        <f t="shared" si="22"/>
        <v>0</v>
      </c>
      <c r="BG15" s="445">
        <f t="shared" si="22"/>
        <v>0</v>
      </c>
      <c r="BH15" s="445">
        <f t="shared" si="22"/>
        <v>0</v>
      </c>
      <c r="BI15" s="445">
        <f t="shared" si="22"/>
        <v>0</v>
      </c>
      <c r="BJ15" s="445">
        <f t="shared" si="22"/>
        <v>0.03</v>
      </c>
      <c r="BK15" s="39">
        <f t="shared" si="22"/>
        <v>0.03</v>
      </c>
      <c r="BL15" s="451">
        <f t="shared" si="22"/>
        <v>4961932</v>
      </c>
      <c r="BM15" s="444">
        <f t="shared" si="22"/>
        <v>3663576</v>
      </c>
      <c r="BN15" s="444">
        <f t="shared" si="22"/>
        <v>2859012</v>
      </c>
      <c r="BO15" s="444">
        <f t="shared" si="22"/>
        <v>804564</v>
      </c>
      <c r="BP15" s="444">
        <f t="shared" si="22"/>
        <v>0</v>
      </c>
      <c r="BQ15" s="444">
        <f t="shared" si="22"/>
        <v>0</v>
      </c>
      <c r="BR15" s="444">
        <f t="shared" si="22"/>
        <v>0</v>
      </c>
      <c r="BS15" s="444">
        <f t="shared" si="22"/>
        <v>1238288</v>
      </c>
      <c r="BT15" s="444">
        <f t="shared" si="22"/>
        <v>36636</v>
      </c>
      <c r="BU15" s="444">
        <f t="shared" si="22"/>
        <v>23432</v>
      </c>
      <c r="BV15" s="445">
        <f t="shared" si="22"/>
        <v>7.8625999999999996</v>
      </c>
      <c r="BW15" s="445">
        <f t="shared" si="22"/>
        <v>5.3144999999999998</v>
      </c>
      <c r="BX15" s="39">
        <f t="shared" si="22"/>
        <v>2.5481000000000003</v>
      </c>
      <c r="BY15" s="806">
        <f t="shared" si="22"/>
        <v>0</v>
      </c>
      <c r="BZ15" s="709">
        <f t="shared" si="22"/>
        <v>0</v>
      </c>
      <c r="CA15" s="709">
        <f t="shared" si="22"/>
        <v>0</v>
      </c>
      <c r="CB15" s="709">
        <f t="shared" si="22"/>
        <v>0</v>
      </c>
      <c r="CC15" s="709">
        <f t="shared" si="22"/>
        <v>0</v>
      </c>
      <c r="CD15" s="807">
        <f t="shared" si="22"/>
        <v>0</v>
      </c>
      <c r="CE15" s="919">
        <f t="shared" si="22"/>
        <v>156823</v>
      </c>
      <c r="CF15" s="920">
        <f t="shared" si="22"/>
        <v>111081</v>
      </c>
      <c r="CG15" s="920">
        <f t="shared" si="22"/>
        <v>37545</v>
      </c>
      <c r="CH15" s="920">
        <f t="shared" ref="CH15:CJ15" si="23">SUM(CH12:CH14)</f>
        <v>1111</v>
      </c>
      <c r="CI15" s="920">
        <f t="shared" si="23"/>
        <v>7086</v>
      </c>
      <c r="CJ15" s="921">
        <f t="shared" si="23"/>
        <v>0.378</v>
      </c>
    </row>
    <row r="16" spans="1:88" ht="13.5" customHeight="1">
      <c r="A16" s="205">
        <v>2</v>
      </c>
      <c r="B16" s="206">
        <v>3449</v>
      </c>
      <c r="C16" s="206">
        <v>600078116</v>
      </c>
      <c r="D16" s="206">
        <v>70695016</v>
      </c>
      <c r="E16" s="204" t="s">
        <v>120</v>
      </c>
      <c r="F16" s="206">
        <v>3111</v>
      </c>
      <c r="G16" s="207" t="s">
        <v>290</v>
      </c>
      <c r="H16" s="607" t="s">
        <v>271</v>
      </c>
      <c r="I16" s="510">
        <v>5195150</v>
      </c>
      <c r="J16" s="414">
        <v>3763939</v>
      </c>
      <c r="K16" s="414">
        <v>3284083</v>
      </c>
      <c r="L16" s="414">
        <v>479856</v>
      </c>
      <c r="M16" s="414">
        <v>70000</v>
      </c>
      <c r="N16" s="414">
        <v>60000</v>
      </c>
      <c r="O16" s="414">
        <v>10000</v>
      </c>
      <c r="P16" s="68">
        <v>1295871</v>
      </c>
      <c r="Q16" s="68">
        <v>37640</v>
      </c>
      <c r="R16" s="414">
        <v>27700</v>
      </c>
      <c r="S16" s="415">
        <v>7.6492000000000004</v>
      </c>
      <c r="T16" s="416">
        <v>6</v>
      </c>
      <c r="U16" s="422">
        <v>1.6492</v>
      </c>
      <c r="V16" s="423">
        <f t="shared" si="4"/>
        <v>0</v>
      </c>
      <c r="W16" s="417">
        <f t="shared" si="5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6"/>
        <v>0</v>
      </c>
      <c r="AF16" s="417">
        <f t="shared" si="7"/>
        <v>0</v>
      </c>
      <c r="AG16" s="417">
        <f t="shared" si="8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9"/>
        <v>0</v>
      </c>
      <c r="AN16" s="417">
        <f t="shared" si="10"/>
        <v>0</v>
      </c>
      <c r="AO16" s="417">
        <f t="shared" si="11"/>
        <v>0</v>
      </c>
      <c r="AP16" s="417">
        <f t="shared" si="12"/>
        <v>0</v>
      </c>
      <c r="AQ16" s="417">
        <f t="shared" si="13"/>
        <v>0</v>
      </c>
      <c r="AR16" s="417">
        <f t="shared" si="14"/>
        <v>0</v>
      </c>
      <c r="AS16" s="68">
        <f t="shared" si="15"/>
        <v>0</v>
      </c>
      <c r="AT16" s="68">
        <f t="shared" si="16"/>
        <v>0</v>
      </c>
      <c r="AU16" s="417">
        <v>0</v>
      </c>
      <c r="AV16" s="417">
        <v>0</v>
      </c>
      <c r="AW16" s="417">
        <v>0</v>
      </c>
      <c r="AX16" s="417">
        <f t="shared" si="17"/>
        <v>0</v>
      </c>
      <c r="AY16" s="417">
        <f t="shared" si="18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9"/>
        <v>0</v>
      </c>
      <c r="BJ16" s="418">
        <f t="shared" si="20"/>
        <v>0</v>
      </c>
      <c r="BK16" s="420">
        <f t="shared" si="21"/>
        <v>0</v>
      </c>
      <c r="BL16" s="772">
        <f>I16+AY16</f>
        <v>5195150</v>
      </c>
      <c r="BM16" s="417">
        <f>J16+AG16</f>
        <v>3763939</v>
      </c>
      <c r="BN16" s="417">
        <f t="shared" ref="BN16:BO18" si="24">K16+AE16</f>
        <v>3284083</v>
      </c>
      <c r="BO16" s="417">
        <f t="shared" si="24"/>
        <v>479856</v>
      </c>
      <c r="BP16" s="417">
        <f>M16+AO16</f>
        <v>70000</v>
      </c>
      <c r="BQ16" s="417">
        <f t="shared" ref="BQ16:BR18" si="25">N16+AM16</f>
        <v>60000</v>
      </c>
      <c r="BR16" s="417">
        <f t="shared" si="25"/>
        <v>10000</v>
      </c>
      <c r="BS16" s="417">
        <f t="shared" ref="BS16:BT18" si="26">P16+AS16</f>
        <v>1295871</v>
      </c>
      <c r="BT16" s="417">
        <f t="shared" si="26"/>
        <v>37640</v>
      </c>
      <c r="BU16" s="417">
        <f>R16+AX16</f>
        <v>27700</v>
      </c>
      <c r="BV16" s="418">
        <f>S16+BK16</f>
        <v>7.6492000000000004</v>
      </c>
      <c r="BW16" s="418">
        <f t="shared" ref="BW16:BX18" si="27">T16+BI16</f>
        <v>6</v>
      </c>
      <c r="BX16" s="420">
        <f t="shared" si="27"/>
        <v>1.6492</v>
      </c>
      <c r="BY16" s="419"/>
      <c r="BZ16" s="414"/>
      <c r="CA16" s="414"/>
      <c r="CB16" s="414"/>
      <c r="CC16" s="414"/>
      <c r="CD16" s="509"/>
      <c r="CE16" s="419">
        <v>221102</v>
      </c>
      <c r="CF16" s="414">
        <v>157187</v>
      </c>
      <c r="CG16" s="414">
        <v>53129</v>
      </c>
      <c r="CH16" s="414">
        <v>1572</v>
      </c>
      <c r="CI16" s="414">
        <v>9214</v>
      </c>
      <c r="CJ16" s="509">
        <v>0.5292</v>
      </c>
    </row>
    <row r="17" spans="1:88" ht="13.5" customHeight="1">
      <c r="A17" s="205">
        <v>2</v>
      </c>
      <c r="B17" s="206">
        <v>3449</v>
      </c>
      <c r="C17" s="206">
        <v>600078116</v>
      </c>
      <c r="D17" s="206">
        <v>70695016</v>
      </c>
      <c r="E17" s="204" t="s">
        <v>120</v>
      </c>
      <c r="F17" s="206">
        <v>3111</v>
      </c>
      <c r="G17" s="207" t="s">
        <v>291</v>
      </c>
      <c r="H17" s="607" t="s">
        <v>272</v>
      </c>
      <c r="I17" s="510">
        <v>1249600</v>
      </c>
      <c r="J17" s="414">
        <v>927003</v>
      </c>
      <c r="K17" s="414">
        <v>927003</v>
      </c>
      <c r="L17" s="414">
        <v>0</v>
      </c>
      <c r="M17" s="414">
        <v>0</v>
      </c>
      <c r="N17" s="414">
        <v>0</v>
      </c>
      <c r="O17" s="414">
        <v>0</v>
      </c>
      <c r="P17" s="68">
        <v>313327</v>
      </c>
      <c r="Q17" s="68">
        <v>9270</v>
      </c>
      <c r="R17" s="414">
        <v>0</v>
      </c>
      <c r="S17" s="415">
        <v>2.5</v>
      </c>
      <c r="T17" s="416">
        <v>2.5</v>
      </c>
      <c r="U17" s="422">
        <v>0</v>
      </c>
      <c r="V17" s="423">
        <f t="shared" si="4"/>
        <v>0</v>
      </c>
      <c r="W17" s="417">
        <f t="shared" si="5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6"/>
        <v>0</v>
      </c>
      <c r="AF17" s="417">
        <f t="shared" si="7"/>
        <v>0</v>
      </c>
      <c r="AG17" s="417">
        <f t="shared" si="8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9"/>
        <v>0</v>
      </c>
      <c r="AN17" s="417">
        <f t="shared" si="10"/>
        <v>0</v>
      </c>
      <c r="AO17" s="417">
        <f t="shared" si="11"/>
        <v>0</v>
      </c>
      <c r="AP17" s="417">
        <f t="shared" si="12"/>
        <v>0</v>
      </c>
      <c r="AQ17" s="417">
        <f t="shared" si="13"/>
        <v>0</v>
      </c>
      <c r="AR17" s="417">
        <f t="shared" si="14"/>
        <v>0</v>
      </c>
      <c r="AS17" s="68">
        <f t="shared" si="15"/>
        <v>0</v>
      </c>
      <c r="AT17" s="68">
        <f t="shared" si="16"/>
        <v>0</v>
      </c>
      <c r="AU17" s="417">
        <v>0</v>
      </c>
      <c r="AV17" s="417">
        <v>0</v>
      </c>
      <c r="AW17" s="417">
        <v>0</v>
      </c>
      <c r="AX17" s="417">
        <f t="shared" si="17"/>
        <v>0</v>
      </c>
      <c r="AY17" s="417">
        <f t="shared" si="18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9"/>
        <v>0</v>
      </c>
      <c r="BJ17" s="418">
        <f t="shared" si="20"/>
        <v>0</v>
      </c>
      <c r="BK17" s="420">
        <f t="shared" si="21"/>
        <v>0</v>
      </c>
      <c r="BL17" s="772">
        <f>I17+AY17</f>
        <v>1249600</v>
      </c>
      <c r="BM17" s="417">
        <f>J17+AG17</f>
        <v>927003</v>
      </c>
      <c r="BN17" s="417">
        <f t="shared" si="24"/>
        <v>927003</v>
      </c>
      <c r="BO17" s="417">
        <f t="shared" si="24"/>
        <v>0</v>
      </c>
      <c r="BP17" s="417">
        <f>M17+AO17</f>
        <v>0</v>
      </c>
      <c r="BQ17" s="417">
        <f t="shared" si="25"/>
        <v>0</v>
      </c>
      <c r="BR17" s="417">
        <f t="shared" si="25"/>
        <v>0</v>
      </c>
      <c r="BS17" s="417">
        <f t="shared" si="26"/>
        <v>313327</v>
      </c>
      <c r="BT17" s="417">
        <f t="shared" si="26"/>
        <v>9270</v>
      </c>
      <c r="BU17" s="417">
        <f>R17+AX17</f>
        <v>0</v>
      </c>
      <c r="BV17" s="418">
        <f>S17+BK17</f>
        <v>2.5</v>
      </c>
      <c r="BW17" s="418">
        <f t="shared" si="27"/>
        <v>2.5</v>
      </c>
      <c r="BX17" s="420">
        <f t="shared" si="27"/>
        <v>0</v>
      </c>
      <c r="BY17" s="419"/>
      <c r="BZ17" s="414"/>
      <c r="CA17" s="414"/>
      <c r="CB17" s="414"/>
      <c r="CC17" s="414"/>
      <c r="CD17" s="509"/>
      <c r="CE17" s="419"/>
      <c r="CF17" s="414"/>
      <c r="CG17" s="414"/>
      <c r="CH17" s="414"/>
      <c r="CI17" s="414"/>
      <c r="CJ17" s="509"/>
    </row>
    <row r="18" spans="1:88" ht="13.5" customHeight="1">
      <c r="A18" s="205">
        <v>2</v>
      </c>
      <c r="B18" s="206">
        <v>3449</v>
      </c>
      <c r="C18" s="206">
        <v>600078116</v>
      </c>
      <c r="D18" s="206">
        <v>70695016</v>
      </c>
      <c r="E18" s="204" t="s">
        <v>120</v>
      </c>
      <c r="F18" s="206">
        <v>3141</v>
      </c>
      <c r="G18" s="207" t="s">
        <v>294</v>
      </c>
      <c r="H18" s="607" t="s">
        <v>272</v>
      </c>
      <c r="I18" s="510">
        <v>760408</v>
      </c>
      <c r="J18" s="414">
        <v>551977</v>
      </c>
      <c r="K18" s="414">
        <v>0</v>
      </c>
      <c r="L18" s="414">
        <v>551977</v>
      </c>
      <c r="M18" s="414">
        <v>10000</v>
      </c>
      <c r="N18" s="414">
        <v>0</v>
      </c>
      <c r="O18" s="414">
        <v>10000</v>
      </c>
      <c r="P18" s="68">
        <v>189948</v>
      </c>
      <c r="Q18" s="68">
        <v>5519</v>
      </c>
      <c r="R18" s="414">
        <v>2964</v>
      </c>
      <c r="S18" s="415">
        <v>1.66</v>
      </c>
      <c r="T18" s="416">
        <v>0</v>
      </c>
      <c r="U18" s="422">
        <v>1.66</v>
      </c>
      <c r="V18" s="423">
        <f t="shared" si="4"/>
        <v>0</v>
      </c>
      <c r="W18" s="417">
        <f t="shared" si="5"/>
        <v>0</v>
      </c>
      <c r="X18" s="417">
        <v>0</v>
      </c>
      <c r="Y18" s="417">
        <v>0</v>
      </c>
      <c r="Z18" s="417">
        <v>0</v>
      </c>
      <c r="AA18" s="417">
        <v>2210</v>
      </c>
      <c r="AB18" s="417">
        <v>0</v>
      </c>
      <c r="AC18" s="417">
        <v>0</v>
      </c>
      <c r="AD18" s="417">
        <v>0</v>
      </c>
      <c r="AE18" s="417">
        <f t="shared" si="6"/>
        <v>0</v>
      </c>
      <c r="AF18" s="417">
        <f t="shared" si="7"/>
        <v>2210</v>
      </c>
      <c r="AG18" s="417">
        <f t="shared" si="8"/>
        <v>2210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9"/>
        <v>0</v>
      </c>
      <c r="AN18" s="417">
        <f t="shared" si="10"/>
        <v>0</v>
      </c>
      <c r="AO18" s="417">
        <f t="shared" si="11"/>
        <v>0</v>
      </c>
      <c r="AP18" s="417">
        <f t="shared" si="12"/>
        <v>0</v>
      </c>
      <c r="AQ18" s="417">
        <f t="shared" si="13"/>
        <v>2210</v>
      </c>
      <c r="AR18" s="417">
        <f t="shared" si="14"/>
        <v>2210</v>
      </c>
      <c r="AS18" s="68">
        <f t="shared" si="15"/>
        <v>747</v>
      </c>
      <c r="AT18" s="68">
        <f t="shared" si="16"/>
        <v>22</v>
      </c>
      <c r="AU18" s="417">
        <v>0</v>
      </c>
      <c r="AV18" s="417">
        <v>0</v>
      </c>
      <c r="AW18" s="417">
        <v>0</v>
      </c>
      <c r="AX18" s="417">
        <f t="shared" si="17"/>
        <v>0</v>
      </c>
      <c r="AY18" s="417">
        <f t="shared" si="18"/>
        <v>2979</v>
      </c>
      <c r="AZ18" s="418">
        <v>0</v>
      </c>
      <c r="BA18" s="418">
        <v>0</v>
      </c>
      <c r="BB18" s="418">
        <v>0</v>
      </c>
      <c r="BC18" s="418">
        <v>0</v>
      </c>
      <c r="BD18" s="418">
        <v>0.01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9"/>
        <v>0</v>
      </c>
      <c r="BJ18" s="418">
        <f t="shared" si="20"/>
        <v>0.01</v>
      </c>
      <c r="BK18" s="420">
        <f t="shared" si="21"/>
        <v>0.01</v>
      </c>
      <c r="BL18" s="772">
        <f>I18+AY18</f>
        <v>763387</v>
      </c>
      <c r="BM18" s="417">
        <f>J18+AG18</f>
        <v>554187</v>
      </c>
      <c r="BN18" s="417">
        <f t="shared" si="24"/>
        <v>0</v>
      </c>
      <c r="BO18" s="417">
        <f t="shared" si="24"/>
        <v>554187</v>
      </c>
      <c r="BP18" s="417">
        <f>M18+AO18</f>
        <v>10000</v>
      </c>
      <c r="BQ18" s="417">
        <f t="shared" si="25"/>
        <v>0</v>
      </c>
      <c r="BR18" s="417">
        <f t="shared" si="25"/>
        <v>10000</v>
      </c>
      <c r="BS18" s="417">
        <f t="shared" si="26"/>
        <v>190695</v>
      </c>
      <c r="BT18" s="417">
        <f t="shared" si="26"/>
        <v>5541</v>
      </c>
      <c r="BU18" s="417">
        <f>R18+AX18</f>
        <v>2964</v>
      </c>
      <c r="BV18" s="418">
        <f>S18+BK18</f>
        <v>1.67</v>
      </c>
      <c r="BW18" s="418">
        <f t="shared" si="27"/>
        <v>0</v>
      </c>
      <c r="BX18" s="420">
        <f t="shared" si="27"/>
        <v>1.67</v>
      </c>
      <c r="BY18" s="419"/>
      <c r="BZ18" s="414"/>
      <c r="CA18" s="414"/>
      <c r="CB18" s="414"/>
      <c r="CC18" s="414"/>
      <c r="CD18" s="509"/>
      <c r="CE18" s="419"/>
      <c r="CF18" s="601"/>
      <c r="CG18" s="414"/>
      <c r="CH18" s="414"/>
      <c r="CI18" s="601"/>
      <c r="CJ18" s="603"/>
    </row>
    <row r="19" spans="1:88" ht="13.5" customHeight="1">
      <c r="A19" s="155">
        <v>2</v>
      </c>
      <c r="B19" s="18">
        <v>3449</v>
      </c>
      <c r="C19" s="18">
        <v>600078116</v>
      </c>
      <c r="D19" s="18">
        <v>70695016</v>
      </c>
      <c r="E19" s="164" t="s">
        <v>121</v>
      </c>
      <c r="F19" s="18"/>
      <c r="G19" s="154"/>
      <c r="H19" s="608"/>
      <c r="I19" s="451">
        <v>7205158</v>
      </c>
      <c r="J19" s="444">
        <v>5242919</v>
      </c>
      <c r="K19" s="444">
        <v>4211086</v>
      </c>
      <c r="L19" s="444">
        <v>1031833</v>
      </c>
      <c r="M19" s="444">
        <v>80000</v>
      </c>
      <c r="N19" s="444">
        <v>60000</v>
      </c>
      <c r="O19" s="444">
        <v>20000</v>
      </c>
      <c r="P19" s="444">
        <v>1799146</v>
      </c>
      <c r="Q19" s="444">
        <v>52429</v>
      </c>
      <c r="R19" s="444">
        <v>30664</v>
      </c>
      <c r="S19" s="445">
        <v>11.809200000000001</v>
      </c>
      <c r="T19" s="445">
        <v>8.5</v>
      </c>
      <c r="U19" s="449">
        <v>3.3091999999999997</v>
      </c>
      <c r="V19" s="447">
        <f t="shared" ref="V19:CG19" si="28">SUM(V16:V18)</f>
        <v>0</v>
      </c>
      <c r="W19" s="444">
        <f t="shared" si="28"/>
        <v>0</v>
      </c>
      <c r="X19" s="444">
        <f t="shared" si="28"/>
        <v>0</v>
      </c>
      <c r="Y19" s="444">
        <f t="shared" si="28"/>
        <v>0</v>
      </c>
      <c r="Z19" s="444">
        <f t="shared" si="28"/>
        <v>0</v>
      </c>
      <c r="AA19" s="444">
        <f t="shared" si="28"/>
        <v>2210</v>
      </c>
      <c r="AB19" s="444">
        <f t="shared" si="28"/>
        <v>0</v>
      </c>
      <c r="AC19" s="444">
        <f t="shared" si="28"/>
        <v>0</v>
      </c>
      <c r="AD19" s="444">
        <f t="shared" si="28"/>
        <v>0</v>
      </c>
      <c r="AE19" s="444">
        <f t="shared" si="28"/>
        <v>0</v>
      </c>
      <c r="AF19" s="444">
        <f t="shared" si="28"/>
        <v>2210</v>
      </c>
      <c r="AG19" s="444">
        <f t="shared" si="28"/>
        <v>2210</v>
      </c>
      <c r="AH19" s="444">
        <f t="shared" si="28"/>
        <v>0</v>
      </c>
      <c r="AI19" s="444">
        <f t="shared" si="28"/>
        <v>0</v>
      </c>
      <c r="AJ19" s="444">
        <f t="shared" si="28"/>
        <v>0</v>
      </c>
      <c r="AK19" s="444">
        <f t="shared" si="28"/>
        <v>0</v>
      </c>
      <c r="AL19" s="444">
        <f t="shared" si="28"/>
        <v>0</v>
      </c>
      <c r="AM19" s="444">
        <f t="shared" si="28"/>
        <v>0</v>
      </c>
      <c r="AN19" s="444">
        <f t="shared" si="28"/>
        <v>0</v>
      </c>
      <c r="AO19" s="444">
        <f t="shared" si="28"/>
        <v>0</v>
      </c>
      <c r="AP19" s="444">
        <f t="shared" si="28"/>
        <v>0</v>
      </c>
      <c r="AQ19" s="444">
        <f t="shared" si="28"/>
        <v>2210</v>
      </c>
      <c r="AR19" s="444">
        <f t="shared" si="28"/>
        <v>2210</v>
      </c>
      <c r="AS19" s="444">
        <f t="shared" si="28"/>
        <v>747</v>
      </c>
      <c r="AT19" s="444">
        <f t="shared" si="28"/>
        <v>22</v>
      </c>
      <c r="AU19" s="444">
        <f t="shared" si="28"/>
        <v>0</v>
      </c>
      <c r="AV19" s="444">
        <f t="shared" si="28"/>
        <v>0</v>
      </c>
      <c r="AW19" s="444">
        <f t="shared" si="28"/>
        <v>0</v>
      </c>
      <c r="AX19" s="444">
        <f t="shared" si="28"/>
        <v>0</v>
      </c>
      <c r="AY19" s="444">
        <f t="shared" si="28"/>
        <v>2979</v>
      </c>
      <c r="AZ19" s="445">
        <f t="shared" si="28"/>
        <v>0</v>
      </c>
      <c r="BA19" s="445">
        <f t="shared" si="28"/>
        <v>0</v>
      </c>
      <c r="BB19" s="445">
        <f t="shared" si="28"/>
        <v>0</v>
      </c>
      <c r="BC19" s="445">
        <f t="shared" si="28"/>
        <v>0</v>
      </c>
      <c r="BD19" s="445">
        <f t="shared" si="28"/>
        <v>0.01</v>
      </c>
      <c r="BE19" s="445">
        <f t="shared" si="28"/>
        <v>0</v>
      </c>
      <c r="BF19" s="445">
        <f t="shared" si="28"/>
        <v>0</v>
      </c>
      <c r="BG19" s="445">
        <f t="shared" si="28"/>
        <v>0</v>
      </c>
      <c r="BH19" s="445">
        <f t="shared" si="28"/>
        <v>0</v>
      </c>
      <c r="BI19" s="445">
        <f t="shared" si="28"/>
        <v>0</v>
      </c>
      <c r="BJ19" s="445">
        <f t="shared" si="28"/>
        <v>0.01</v>
      </c>
      <c r="BK19" s="39">
        <f t="shared" si="28"/>
        <v>0.01</v>
      </c>
      <c r="BL19" s="451">
        <f t="shared" si="28"/>
        <v>7208137</v>
      </c>
      <c r="BM19" s="444">
        <f t="shared" si="28"/>
        <v>5245129</v>
      </c>
      <c r="BN19" s="444">
        <f t="shared" si="28"/>
        <v>4211086</v>
      </c>
      <c r="BO19" s="444">
        <f t="shared" si="28"/>
        <v>1034043</v>
      </c>
      <c r="BP19" s="444">
        <f t="shared" si="28"/>
        <v>80000</v>
      </c>
      <c r="BQ19" s="444">
        <f t="shared" si="28"/>
        <v>60000</v>
      </c>
      <c r="BR19" s="444">
        <f t="shared" si="28"/>
        <v>20000</v>
      </c>
      <c r="BS19" s="444">
        <f t="shared" si="28"/>
        <v>1799893</v>
      </c>
      <c r="BT19" s="444">
        <f t="shared" si="28"/>
        <v>52451</v>
      </c>
      <c r="BU19" s="444">
        <f t="shared" si="28"/>
        <v>30664</v>
      </c>
      <c r="BV19" s="445">
        <f t="shared" si="28"/>
        <v>11.8192</v>
      </c>
      <c r="BW19" s="445">
        <f t="shared" si="28"/>
        <v>8.5</v>
      </c>
      <c r="BX19" s="39">
        <f t="shared" si="28"/>
        <v>3.3191999999999999</v>
      </c>
      <c r="BY19" s="806">
        <f t="shared" si="28"/>
        <v>0</v>
      </c>
      <c r="BZ19" s="709">
        <f t="shared" si="28"/>
        <v>0</v>
      </c>
      <c r="CA19" s="709">
        <f t="shared" si="28"/>
        <v>0</v>
      </c>
      <c r="CB19" s="709">
        <f t="shared" si="28"/>
        <v>0</v>
      </c>
      <c r="CC19" s="709">
        <f t="shared" si="28"/>
        <v>0</v>
      </c>
      <c r="CD19" s="807">
        <f t="shared" si="28"/>
        <v>0</v>
      </c>
      <c r="CE19" s="919">
        <f t="shared" si="28"/>
        <v>221102</v>
      </c>
      <c r="CF19" s="920">
        <f t="shared" si="28"/>
        <v>157187</v>
      </c>
      <c r="CG19" s="920">
        <f t="shared" si="28"/>
        <v>53129</v>
      </c>
      <c r="CH19" s="920">
        <f t="shared" ref="CH19:CJ19" si="29">SUM(CH16:CH18)</f>
        <v>1572</v>
      </c>
      <c r="CI19" s="920">
        <f t="shared" si="29"/>
        <v>9214</v>
      </c>
      <c r="CJ19" s="921">
        <f t="shared" si="29"/>
        <v>0.5292</v>
      </c>
    </row>
    <row r="20" spans="1:88" ht="13.5" customHeight="1">
      <c r="A20" s="205">
        <v>3</v>
      </c>
      <c r="B20" s="206">
        <v>3451</v>
      </c>
      <c r="C20" s="206">
        <v>600078621</v>
      </c>
      <c r="D20" s="206">
        <v>70694991</v>
      </c>
      <c r="E20" s="204" t="s">
        <v>122</v>
      </c>
      <c r="F20" s="206">
        <v>3111</v>
      </c>
      <c r="G20" s="207" t="s">
        <v>290</v>
      </c>
      <c r="H20" s="607" t="s">
        <v>271</v>
      </c>
      <c r="I20" s="510">
        <v>5510278</v>
      </c>
      <c r="J20" s="414">
        <v>4060473</v>
      </c>
      <c r="K20" s="414">
        <v>3521596</v>
      </c>
      <c r="L20" s="414">
        <v>538877</v>
      </c>
      <c r="M20" s="414">
        <v>0</v>
      </c>
      <c r="N20" s="414">
        <v>0</v>
      </c>
      <c r="O20" s="414">
        <v>0</v>
      </c>
      <c r="P20" s="68">
        <v>1372440</v>
      </c>
      <c r="Q20" s="68">
        <v>40605</v>
      </c>
      <c r="R20" s="414">
        <v>36760</v>
      </c>
      <c r="S20" s="415">
        <v>7.8456000000000001</v>
      </c>
      <c r="T20" s="416">
        <v>6</v>
      </c>
      <c r="U20" s="422">
        <v>1.8456000000000001</v>
      </c>
      <c r="V20" s="423">
        <f t="shared" si="4"/>
        <v>0</v>
      </c>
      <c r="W20" s="417">
        <f t="shared" si="5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6"/>
        <v>0</v>
      </c>
      <c r="AF20" s="417">
        <f t="shared" si="7"/>
        <v>0</v>
      </c>
      <c r="AG20" s="417">
        <f t="shared" si="8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9"/>
        <v>0</v>
      </c>
      <c r="AN20" s="417">
        <f t="shared" si="10"/>
        <v>0</v>
      </c>
      <c r="AO20" s="417">
        <f t="shared" si="11"/>
        <v>0</v>
      </c>
      <c r="AP20" s="417">
        <f t="shared" si="12"/>
        <v>0</v>
      </c>
      <c r="AQ20" s="417">
        <f t="shared" si="13"/>
        <v>0</v>
      </c>
      <c r="AR20" s="417">
        <f t="shared" si="14"/>
        <v>0</v>
      </c>
      <c r="AS20" s="68">
        <f t="shared" si="15"/>
        <v>0</v>
      </c>
      <c r="AT20" s="68">
        <f t="shared" si="16"/>
        <v>0</v>
      </c>
      <c r="AU20" s="417">
        <v>0</v>
      </c>
      <c r="AV20" s="417">
        <v>0</v>
      </c>
      <c r="AW20" s="417">
        <v>0</v>
      </c>
      <c r="AX20" s="417">
        <f t="shared" si="17"/>
        <v>0</v>
      </c>
      <c r="AY20" s="417">
        <f t="shared" si="18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9"/>
        <v>0</v>
      </c>
      <c r="BJ20" s="418">
        <f t="shared" si="20"/>
        <v>0</v>
      </c>
      <c r="BK20" s="420">
        <f t="shared" si="21"/>
        <v>0</v>
      </c>
      <c r="BL20" s="772">
        <f>I20+AY20</f>
        <v>5510278</v>
      </c>
      <c r="BM20" s="417">
        <f>J20+AG20</f>
        <v>4060473</v>
      </c>
      <c r="BN20" s="417">
        <f t="shared" ref="BN20:BO22" si="30">K20+AE20</f>
        <v>3521596</v>
      </c>
      <c r="BO20" s="417">
        <f t="shared" si="30"/>
        <v>538877</v>
      </c>
      <c r="BP20" s="417">
        <f>M20+AO20</f>
        <v>0</v>
      </c>
      <c r="BQ20" s="417">
        <f t="shared" ref="BQ20:BR22" si="31">N20+AM20</f>
        <v>0</v>
      </c>
      <c r="BR20" s="417">
        <f t="shared" si="31"/>
        <v>0</v>
      </c>
      <c r="BS20" s="417">
        <f t="shared" ref="BS20:BT22" si="32">P20+AS20</f>
        <v>1372440</v>
      </c>
      <c r="BT20" s="417">
        <f t="shared" si="32"/>
        <v>40605</v>
      </c>
      <c r="BU20" s="417">
        <f>R20+AX20</f>
        <v>36760</v>
      </c>
      <c r="BV20" s="418">
        <f>S20+BK20</f>
        <v>7.8456000000000001</v>
      </c>
      <c r="BW20" s="418">
        <f t="shared" ref="BW20:BX22" si="33">T20+BI20</f>
        <v>6</v>
      </c>
      <c r="BX20" s="420">
        <f t="shared" si="33"/>
        <v>1.8456000000000001</v>
      </c>
      <c r="BY20" s="419"/>
      <c r="BZ20" s="414"/>
      <c r="CA20" s="414"/>
      <c r="CB20" s="414"/>
      <c r="CC20" s="414"/>
      <c r="CD20" s="509"/>
      <c r="CE20" s="419">
        <v>245323</v>
      </c>
      <c r="CF20" s="414">
        <v>172912</v>
      </c>
      <c r="CG20" s="414">
        <v>58444</v>
      </c>
      <c r="CH20" s="414">
        <v>1729</v>
      </c>
      <c r="CI20" s="414">
        <v>12238</v>
      </c>
      <c r="CJ20" s="509">
        <v>0.59220000000000006</v>
      </c>
    </row>
    <row r="21" spans="1:88" ht="13.5" customHeight="1">
      <c r="A21" s="205">
        <v>3</v>
      </c>
      <c r="B21" s="206">
        <v>3451</v>
      </c>
      <c r="C21" s="206">
        <v>600078621</v>
      </c>
      <c r="D21" s="206">
        <v>70694991</v>
      </c>
      <c r="E21" s="204" t="s">
        <v>122</v>
      </c>
      <c r="F21" s="206">
        <v>3111</v>
      </c>
      <c r="G21" s="207" t="s">
        <v>291</v>
      </c>
      <c r="H21" s="607" t="s">
        <v>272</v>
      </c>
      <c r="I21" s="510">
        <v>916373</v>
      </c>
      <c r="J21" s="414">
        <v>679802</v>
      </c>
      <c r="K21" s="414">
        <v>679802</v>
      </c>
      <c r="L21" s="414">
        <v>0</v>
      </c>
      <c r="M21" s="414">
        <v>0</v>
      </c>
      <c r="N21" s="414">
        <v>0</v>
      </c>
      <c r="O21" s="414">
        <v>0</v>
      </c>
      <c r="P21" s="68">
        <v>229773</v>
      </c>
      <c r="Q21" s="68">
        <v>6798</v>
      </c>
      <c r="R21" s="414">
        <v>0</v>
      </c>
      <c r="S21" s="415">
        <v>1.83</v>
      </c>
      <c r="T21" s="416">
        <v>1.83</v>
      </c>
      <c r="U21" s="422">
        <v>0</v>
      </c>
      <c r="V21" s="423">
        <f t="shared" si="4"/>
        <v>0</v>
      </c>
      <c r="W21" s="417">
        <f t="shared" si="5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6"/>
        <v>0</v>
      </c>
      <c r="AF21" s="417">
        <f t="shared" si="7"/>
        <v>0</v>
      </c>
      <c r="AG21" s="417">
        <f t="shared" si="8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9"/>
        <v>0</v>
      </c>
      <c r="AN21" s="417">
        <f t="shared" si="10"/>
        <v>0</v>
      </c>
      <c r="AO21" s="417">
        <f t="shared" si="11"/>
        <v>0</v>
      </c>
      <c r="AP21" s="417">
        <f t="shared" si="12"/>
        <v>0</v>
      </c>
      <c r="AQ21" s="417">
        <f t="shared" si="13"/>
        <v>0</v>
      </c>
      <c r="AR21" s="417">
        <f t="shared" si="14"/>
        <v>0</v>
      </c>
      <c r="AS21" s="68">
        <f t="shared" si="15"/>
        <v>0</v>
      </c>
      <c r="AT21" s="68">
        <f t="shared" si="16"/>
        <v>0</v>
      </c>
      <c r="AU21" s="417">
        <v>0</v>
      </c>
      <c r="AV21" s="417">
        <v>0</v>
      </c>
      <c r="AW21" s="417">
        <v>0</v>
      </c>
      <c r="AX21" s="417">
        <f t="shared" si="17"/>
        <v>0</v>
      </c>
      <c r="AY21" s="417">
        <f t="shared" si="18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9"/>
        <v>0</v>
      </c>
      <c r="BJ21" s="418">
        <f t="shared" si="20"/>
        <v>0</v>
      </c>
      <c r="BK21" s="420">
        <f t="shared" si="21"/>
        <v>0</v>
      </c>
      <c r="BL21" s="772">
        <f>I21+AY21</f>
        <v>916373</v>
      </c>
      <c r="BM21" s="417">
        <f>J21+AG21</f>
        <v>679802</v>
      </c>
      <c r="BN21" s="417">
        <f t="shared" si="30"/>
        <v>679802</v>
      </c>
      <c r="BO21" s="417">
        <f t="shared" si="30"/>
        <v>0</v>
      </c>
      <c r="BP21" s="417">
        <f>M21+AO21</f>
        <v>0</v>
      </c>
      <c r="BQ21" s="417">
        <f t="shared" si="31"/>
        <v>0</v>
      </c>
      <c r="BR21" s="417">
        <f t="shared" si="31"/>
        <v>0</v>
      </c>
      <c r="BS21" s="417">
        <f t="shared" si="32"/>
        <v>229773</v>
      </c>
      <c r="BT21" s="417">
        <f t="shared" si="32"/>
        <v>6798</v>
      </c>
      <c r="BU21" s="417">
        <f>R21+AX21</f>
        <v>0</v>
      </c>
      <c r="BV21" s="418">
        <f>S21+BK21</f>
        <v>1.83</v>
      </c>
      <c r="BW21" s="418">
        <f t="shared" si="33"/>
        <v>1.83</v>
      </c>
      <c r="BX21" s="420">
        <f t="shared" si="33"/>
        <v>0</v>
      </c>
      <c r="BY21" s="419"/>
      <c r="BZ21" s="414"/>
      <c r="CA21" s="414"/>
      <c r="CB21" s="414"/>
      <c r="CC21" s="414"/>
      <c r="CD21" s="509"/>
      <c r="CE21" s="419"/>
      <c r="CF21" s="414"/>
      <c r="CG21" s="414"/>
      <c r="CH21" s="414"/>
      <c r="CI21" s="414"/>
      <c r="CJ21" s="509"/>
    </row>
    <row r="22" spans="1:88" ht="13.5" customHeight="1">
      <c r="A22" s="205">
        <v>3</v>
      </c>
      <c r="B22" s="206">
        <v>3451</v>
      </c>
      <c r="C22" s="206">
        <v>600078621</v>
      </c>
      <c r="D22" s="206">
        <v>70694991</v>
      </c>
      <c r="E22" s="204" t="s">
        <v>122</v>
      </c>
      <c r="F22" s="206">
        <v>3141</v>
      </c>
      <c r="G22" s="207" t="s">
        <v>294</v>
      </c>
      <c r="H22" s="607" t="s">
        <v>272</v>
      </c>
      <c r="I22" s="510">
        <v>786809</v>
      </c>
      <c r="J22" s="414">
        <v>531743</v>
      </c>
      <c r="K22" s="414">
        <v>0</v>
      </c>
      <c r="L22" s="414">
        <v>531743</v>
      </c>
      <c r="M22" s="414">
        <v>50000</v>
      </c>
      <c r="N22" s="414">
        <v>0</v>
      </c>
      <c r="O22" s="414">
        <v>50000</v>
      </c>
      <c r="P22" s="68">
        <v>196629</v>
      </c>
      <c r="Q22" s="68">
        <v>5317</v>
      </c>
      <c r="R22" s="414">
        <v>3120</v>
      </c>
      <c r="S22" s="415">
        <v>1.56</v>
      </c>
      <c r="T22" s="416">
        <v>0</v>
      </c>
      <c r="U22" s="422">
        <v>1.56</v>
      </c>
      <c r="V22" s="423">
        <f t="shared" si="4"/>
        <v>0</v>
      </c>
      <c r="W22" s="417">
        <f t="shared" si="5"/>
        <v>-36000</v>
      </c>
      <c r="X22" s="417">
        <v>0</v>
      </c>
      <c r="Y22" s="417">
        <v>0</v>
      </c>
      <c r="Z22" s="417">
        <v>0</v>
      </c>
      <c r="AA22" s="417">
        <v>-11054</v>
      </c>
      <c r="AB22" s="417">
        <v>0</v>
      </c>
      <c r="AC22" s="417">
        <v>0</v>
      </c>
      <c r="AD22" s="417">
        <v>0</v>
      </c>
      <c r="AE22" s="417">
        <f t="shared" si="6"/>
        <v>0</v>
      </c>
      <c r="AF22" s="417">
        <f t="shared" si="7"/>
        <v>-47054</v>
      </c>
      <c r="AG22" s="417">
        <f t="shared" si="8"/>
        <v>-47054</v>
      </c>
      <c r="AH22" s="417">
        <v>0</v>
      </c>
      <c r="AI22" s="417">
        <v>36000</v>
      </c>
      <c r="AJ22" s="417">
        <v>0</v>
      </c>
      <c r="AK22" s="417">
        <v>0</v>
      </c>
      <c r="AL22" s="417">
        <v>0</v>
      </c>
      <c r="AM22" s="417">
        <f t="shared" si="9"/>
        <v>0</v>
      </c>
      <c r="AN22" s="417">
        <f t="shared" si="10"/>
        <v>36000</v>
      </c>
      <c r="AO22" s="417">
        <f t="shared" si="11"/>
        <v>36000</v>
      </c>
      <c r="AP22" s="417">
        <f t="shared" si="12"/>
        <v>0</v>
      </c>
      <c r="AQ22" s="417">
        <f t="shared" si="13"/>
        <v>-11054</v>
      </c>
      <c r="AR22" s="417">
        <f t="shared" si="14"/>
        <v>-11054</v>
      </c>
      <c r="AS22" s="68">
        <f t="shared" si="15"/>
        <v>-3736</v>
      </c>
      <c r="AT22" s="68">
        <f t="shared" si="16"/>
        <v>-471</v>
      </c>
      <c r="AU22" s="417">
        <v>0</v>
      </c>
      <c r="AV22" s="417">
        <v>0</v>
      </c>
      <c r="AW22" s="417">
        <v>0</v>
      </c>
      <c r="AX22" s="417">
        <f t="shared" si="17"/>
        <v>0</v>
      </c>
      <c r="AY22" s="417">
        <f t="shared" si="18"/>
        <v>-15261</v>
      </c>
      <c r="AZ22" s="418">
        <v>0</v>
      </c>
      <c r="BA22" s="418">
        <v>-0.13</v>
      </c>
      <c r="BB22" s="418">
        <v>0</v>
      </c>
      <c r="BC22" s="418">
        <v>0</v>
      </c>
      <c r="BD22" s="418">
        <v>-0.03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9"/>
        <v>0</v>
      </c>
      <c r="BJ22" s="418">
        <f t="shared" si="20"/>
        <v>-0.16</v>
      </c>
      <c r="BK22" s="420">
        <f t="shared" si="21"/>
        <v>-0.16</v>
      </c>
      <c r="BL22" s="772">
        <f>I22+AY22</f>
        <v>771548</v>
      </c>
      <c r="BM22" s="417">
        <f>J22+AG22</f>
        <v>484689</v>
      </c>
      <c r="BN22" s="417">
        <f t="shared" si="30"/>
        <v>0</v>
      </c>
      <c r="BO22" s="417">
        <f t="shared" si="30"/>
        <v>484689</v>
      </c>
      <c r="BP22" s="417">
        <f>M22+AO22</f>
        <v>86000</v>
      </c>
      <c r="BQ22" s="417">
        <f t="shared" si="31"/>
        <v>0</v>
      </c>
      <c r="BR22" s="417">
        <f t="shared" si="31"/>
        <v>86000</v>
      </c>
      <c r="BS22" s="417">
        <f t="shared" si="32"/>
        <v>192893</v>
      </c>
      <c r="BT22" s="417">
        <f t="shared" si="32"/>
        <v>4846</v>
      </c>
      <c r="BU22" s="417">
        <f>R22+AX22</f>
        <v>3120</v>
      </c>
      <c r="BV22" s="418">
        <f>S22+BK22</f>
        <v>1.4000000000000001</v>
      </c>
      <c r="BW22" s="418">
        <f t="shared" si="33"/>
        <v>0</v>
      </c>
      <c r="BX22" s="420">
        <f t="shared" si="33"/>
        <v>1.4000000000000001</v>
      </c>
      <c r="BY22" s="419"/>
      <c r="BZ22" s="414"/>
      <c r="CA22" s="414"/>
      <c r="CB22" s="414"/>
      <c r="CC22" s="414"/>
      <c r="CD22" s="509"/>
      <c r="CE22" s="419"/>
      <c r="CF22" s="601"/>
      <c r="CG22" s="414"/>
      <c r="CH22" s="414"/>
      <c r="CI22" s="601"/>
      <c r="CJ22" s="603"/>
    </row>
    <row r="23" spans="1:88" ht="13.5" customHeight="1">
      <c r="A23" s="155">
        <v>3</v>
      </c>
      <c r="B23" s="18">
        <v>3451</v>
      </c>
      <c r="C23" s="18">
        <v>600078621</v>
      </c>
      <c r="D23" s="18">
        <v>70694991</v>
      </c>
      <c r="E23" s="164" t="s">
        <v>123</v>
      </c>
      <c r="F23" s="18"/>
      <c r="G23" s="154"/>
      <c r="H23" s="608"/>
      <c r="I23" s="451">
        <v>7213460</v>
      </c>
      <c r="J23" s="444">
        <v>5272018</v>
      </c>
      <c r="K23" s="444">
        <v>4201398</v>
      </c>
      <c r="L23" s="444">
        <v>1070620</v>
      </c>
      <c r="M23" s="444">
        <v>50000</v>
      </c>
      <c r="N23" s="444">
        <v>0</v>
      </c>
      <c r="O23" s="444">
        <v>50000</v>
      </c>
      <c r="P23" s="444">
        <v>1798842</v>
      </c>
      <c r="Q23" s="444">
        <v>52720</v>
      </c>
      <c r="R23" s="444">
        <v>39880</v>
      </c>
      <c r="S23" s="445">
        <v>11.2356</v>
      </c>
      <c r="T23" s="445">
        <v>7.83</v>
      </c>
      <c r="U23" s="449">
        <v>3.4056000000000002</v>
      </c>
      <c r="V23" s="447">
        <f t="shared" ref="V23:CG23" si="34">SUM(V20:V22)</f>
        <v>0</v>
      </c>
      <c r="W23" s="444">
        <f t="shared" si="34"/>
        <v>-36000</v>
      </c>
      <c r="X23" s="444">
        <f t="shared" si="34"/>
        <v>0</v>
      </c>
      <c r="Y23" s="444">
        <f t="shared" si="34"/>
        <v>0</v>
      </c>
      <c r="Z23" s="444">
        <f t="shared" si="34"/>
        <v>0</v>
      </c>
      <c r="AA23" s="444">
        <f t="shared" si="34"/>
        <v>-11054</v>
      </c>
      <c r="AB23" s="444">
        <f t="shared" si="34"/>
        <v>0</v>
      </c>
      <c r="AC23" s="444">
        <f t="shared" si="34"/>
        <v>0</v>
      </c>
      <c r="AD23" s="444">
        <f t="shared" si="34"/>
        <v>0</v>
      </c>
      <c r="AE23" s="444">
        <f t="shared" si="34"/>
        <v>0</v>
      </c>
      <c r="AF23" s="444">
        <f t="shared" si="34"/>
        <v>-47054</v>
      </c>
      <c r="AG23" s="444">
        <f t="shared" si="34"/>
        <v>-47054</v>
      </c>
      <c r="AH23" s="444">
        <f t="shared" si="34"/>
        <v>0</v>
      </c>
      <c r="AI23" s="444">
        <f t="shared" si="34"/>
        <v>36000</v>
      </c>
      <c r="AJ23" s="444">
        <f t="shared" si="34"/>
        <v>0</v>
      </c>
      <c r="AK23" s="444">
        <f t="shared" si="34"/>
        <v>0</v>
      </c>
      <c r="AL23" s="444">
        <f t="shared" si="34"/>
        <v>0</v>
      </c>
      <c r="AM23" s="444">
        <f t="shared" si="34"/>
        <v>0</v>
      </c>
      <c r="AN23" s="444">
        <f t="shared" si="34"/>
        <v>36000</v>
      </c>
      <c r="AO23" s="444">
        <f t="shared" si="34"/>
        <v>36000</v>
      </c>
      <c r="AP23" s="444">
        <f t="shared" si="34"/>
        <v>0</v>
      </c>
      <c r="AQ23" s="444">
        <f t="shared" si="34"/>
        <v>-11054</v>
      </c>
      <c r="AR23" s="444">
        <f t="shared" si="34"/>
        <v>-11054</v>
      </c>
      <c r="AS23" s="444">
        <f t="shared" si="34"/>
        <v>-3736</v>
      </c>
      <c r="AT23" s="444">
        <f t="shared" si="34"/>
        <v>-471</v>
      </c>
      <c r="AU23" s="444">
        <f t="shared" si="34"/>
        <v>0</v>
      </c>
      <c r="AV23" s="444">
        <f t="shared" si="34"/>
        <v>0</v>
      </c>
      <c r="AW23" s="444">
        <f t="shared" si="34"/>
        <v>0</v>
      </c>
      <c r="AX23" s="444">
        <f t="shared" si="34"/>
        <v>0</v>
      </c>
      <c r="AY23" s="444">
        <f t="shared" si="34"/>
        <v>-15261</v>
      </c>
      <c r="AZ23" s="445">
        <f t="shared" si="34"/>
        <v>0</v>
      </c>
      <c r="BA23" s="445">
        <f t="shared" si="34"/>
        <v>-0.13</v>
      </c>
      <c r="BB23" s="445">
        <f t="shared" si="34"/>
        <v>0</v>
      </c>
      <c r="BC23" s="445">
        <f t="shared" si="34"/>
        <v>0</v>
      </c>
      <c r="BD23" s="445">
        <f t="shared" si="34"/>
        <v>-0.03</v>
      </c>
      <c r="BE23" s="445">
        <f t="shared" si="34"/>
        <v>0</v>
      </c>
      <c r="BF23" s="445">
        <f t="shared" si="34"/>
        <v>0</v>
      </c>
      <c r="BG23" s="445">
        <f t="shared" si="34"/>
        <v>0</v>
      </c>
      <c r="BH23" s="445">
        <f t="shared" si="34"/>
        <v>0</v>
      </c>
      <c r="BI23" s="445">
        <f t="shared" si="34"/>
        <v>0</v>
      </c>
      <c r="BJ23" s="445">
        <f t="shared" si="34"/>
        <v>-0.16</v>
      </c>
      <c r="BK23" s="39">
        <f t="shared" si="34"/>
        <v>-0.16</v>
      </c>
      <c r="BL23" s="451">
        <f t="shared" si="34"/>
        <v>7198199</v>
      </c>
      <c r="BM23" s="444">
        <f t="shared" si="34"/>
        <v>5224964</v>
      </c>
      <c r="BN23" s="444">
        <f t="shared" si="34"/>
        <v>4201398</v>
      </c>
      <c r="BO23" s="444">
        <f t="shared" si="34"/>
        <v>1023566</v>
      </c>
      <c r="BP23" s="444">
        <f t="shared" si="34"/>
        <v>86000</v>
      </c>
      <c r="BQ23" s="444">
        <f t="shared" si="34"/>
        <v>0</v>
      </c>
      <c r="BR23" s="444">
        <f t="shared" si="34"/>
        <v>86000</v>
      </c>
      <c r="BS23" s="444">
        <f t="shared" si="34"/>
        <v>1795106</v>
      </c>
      <c r="BT23" s="444">
        <f t="shared" si="34"/>
        <v>52249</v>
      </c>
      <c r="BU23" s="444">
        <f t="shared" si="34"/>
        <v>39880</v>
      </c>
      <c r="BV23" s="445">
        <f t="shared" si="34"/>
        <v>11.0756</v>
      </c>
      <c r="BW23" s="445">
        <f t="shared" si="34"/>
        <v>7.83</v>
      </c>
      <c r="BX23" s="39">
        <f t="shared" si="34"/>
        <v>3.2456000000000005</v>
      </c>
      <c r="BY23" s="806">
        <f t="shared" si="34"/>
        <v>0</v>
      </c>
      <c r="BZ23" s="709">
        <f t="shared" si="34"/>
        <v>0</v>
      </c>
      <c r="CA23" s="709">
        <f t="shared" si="34"/>
        <v>0</v>
      </c>
      <c r="CB23" s="709">
        <f t="shared" si="34"/>
        <v>0</v>
      </c>
      <c r="CC23" s="709">
        <f t="shared" si="34"/>
        <v>0</v>
      </c>
      <c r="CD23" s="807">
        <f t="shared" si="34"/>
        <v>0</v>
      </c>
      <c r="CE23" s="919">
        <f t="shared" si="34"/>
        <v>245323</v>
      </c>
      <c r="CF23" s="920">
        <f t="shared" si="34"/>
        <v>172912</v>
      </c>
      <c r="CG23" s="920">
        <f t="shared" si="34"/>
        <v>58444</v>
      </c>
      <c r="CH23" s="920">
        <f t="shared" ref="CH23:CJ23" si="35">SUM(CH20:CH22)</f>
        <v>1729</v>
      </c>
      <c r="CI23" s="920">
        <f t="shared" si="35"/>
        <v>12238</v>
      </c>
      <c r="CJ23" s="921">
        <f t="shared" si="35"/>
        <v>0.59220000000000006</v>
      </c>
    </row>
    <row r="24" spans="1:88" ht="13.5" customHeight="1">
      <c r="A24" s="205">
        <v>4</v>
      </c>
      <c r="B24" s="206">
        <v>3456</v>
      </c>
      <c r="C24" s="206">
        <v>600029051</v>
      </c>
      <c r="D24" s="206">
        <v>75125439</v>
      </c>
      <c r="E24" s="204" t="s">
        <v>124</v>
      </c>
      <c r="F24" s="206">
        <v>3233</v>
      </c>
      <c r="G24" s="207" t="s">
        <v>297</v>
      </c>
      <c r="H24" s="607" t="s">
        <v>272</v>
      </c>
      <c r="I24" s="510">
        <v>2798613</v>
      </c>
      <c r="J24" s="414">
        <v>1894763</v>
      </c>
      <c r="K24" s="414">
        <v>1448822</v>
      </c>
      <c r="L24" s="414">
        <v>445941</v>
      </c>
      <c r="M24" s="414">
        <v>180000</v>
      </c>
      <c r="N24" s="414">
        <v>160000</v>
      </c>
      <c r="O24" s="414">
        <v>20000</v>
      </c>
      <c r="P24" s="68">
        <v>701270</v>
      </c>
      <c r="Q24" s="68">
        <v>18947</v>
      </c>
      <c r="R24" s="414">
        <v>3633</v>
      </c>
      <c r="S24" s="415">
        <v>4.0600000000000005</v>
      </c>
      <c r="T24" s="416">
        <v>2.62</v>
      </c>
      <c r="U24" s="422">
        <v>1.44</v>
      </c>
      <c r="V24" s="423">
        <f t="shared" si="4"/>
        <v>0</v>
      </c>
      <c r="W24" s="417">
        <f t="shared" si="5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6"/>
        <v>0</v>
      </c>
      <c r="AF24" s="417">
        <f t="shared" si="7"/>
        <v>0</v>
      </c>
      <c r="AG24" s="417">
        <f t="shared" si="8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9"/>
        <v>0</v>
      </c>
      <c r="AN24" s="417">
        <f t="shared" si="10"/>
        <v>0</v>
      </c>
      <c r="AO24" s="417">
        <f t="shared" si="11"/>
        <v>0</v>
      </c>
      <c r="AP24" s="417">
        <f t="shared" si="12"/>
        <v>0</v>
      </c>
      <c r="AQ24" s="417">
        <f t="shared" si="13"/>
        <v>0</v>
      </c>
      <c r="AR24" s="417">
        <f t="shared" si="14"/>
        <v>0</v>
      </c>
      <c r="AS24" s="68">
        <f t="shared" si="15"/>
        <v>0</v>
      </c>
      <c r="AT24" s="68">
        <f t="shared" si="16"/>
        <v>0</v>
      </c>
      <c r="AU24" s="417">
        <v>0</v>
      </c>
      <c r="AV24" s="417">
        <v>0</v>
      </c>
      <c r="AW24" s="417">
        <v>0</v>
      </c>
      <c r="AX24" s="417">
        <f t="shared" si="17"/>
        <v>0</v>
      </c>
      <c r="AY24" s="417">
        <f t="shared" si="18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9"/>
        <v>0</v>
      </c>
      <c r="BJ24" s="418">
        <f t="shared" si="20"/>
        <v>0</v>
      </c>
      <c r="BK24" s="420">
        <f t="shared" si="21"/>
        <v>0</v>
      </c>
      <c r="BL24" s="772">
        <f>I24+AY24</f>
        <v>2798613</v>
      </c>
      <c r="BM24" s="417">
        <f>J24+AG24</f>
        <v>1894763</v>
      </c>
      <c r="BN24" s="417">
        <f>K24+AE24</f>
        <v>1448822</v>
      </c>
      <c r="BO24" s="417">
        <f>L24+AF24</f>
        <v>445941</v>
      </c>
      <c r="BP24" s="417">
        <f>M24+AO24</f>
        <v>180000</v>
      </c>
      <c r="BQ24" s="417">
        <f>N24+AM24</f>
        <v>160000</v>
      </c>
      <c r="BR24" s="417">
        <f>O24+AN24</f>
        <v>20000</v>
      </c>
      <c r="BS24" s="417">
        <f>P24+AS24</f>
        <v>701270</v>
      </c>
      <c r="BT24" s="417">
        <f>Q24+AT24</f>
        <v>18947</v>
      </c>
      <c r="BU24" s="417">
        <f>R24+AX24</f>
        <v>3633</v>
      </c>
      <c r="BV24" s="418">
        <f>S24+BK24</f>
        <v>4.0600000000000005</v>
      </c>
      <c r="BW24" s="418">
        <f>T24+BI24</f>
        <v>2.62</v>
      </c>
      <c r="BX24" s="420">
        <f>U24+BJ24</f>
        <v>1.44</v>
      </c>
      <c r="BY24" s="419"/>
      <c r="BZ24" s="414"/>
      <c r="CA24" s="414"/>
      <c r="CB24" s="414"/>
      <c r="CC24" s="414"/>
      <c r="CD24" s="509"/>
      <c r="CE24" s="419"/>
      <c r="CF24" s="602"/>
      <c r="CG24" s="414"/>
      <c r="CH24" s="414"/>
      <c r="CI24" s="1035"/>
      <c r="CJ24" s="605"/>
    </row>
    <row r="25" spans="1:88" ht="13.5" customHeight="1">
      <c r="A25" s="155">
        <v>4</v>
      </c>
      <c r="B25" s="18">
        <v>3456</v>
      </c>
      <c r="C25" s="18">
        <v>600029051</v>
      </c>
      <c r="D25" s="18">
        <v>75125439</v>
      </c>
      <c r="E25" s="164" t="s">
        <v>125</v>
      </c>
      <c r="F25" s="18"/>
      <c r="G25" s="154"/>
      <c r="H25" s="608"/>
      <c r="I25" s="451">
        <v>2798613</v>
      </c>
      <c r="J25" s="444">
        <v>1894763</v>
      </c>
      <c r="K25" s="444">
        <v>1448822</v>
      </c>
      <c r="L25" s="444">
        <v>445941</v>
      </c>
      <c r="M25" s="444">
        <v>180000</v>
      </c>
      <c r="N25" s="444">
        <v>160000</v>
      </c>
      <c r="O25" s="444">
        <v>20000</v>
      </c>
      <c r="P25" s="444">
        <v>701270</v>
      </c>
      <c r="Q25" s="444">
        <v>18947</v>
      </c>
      <c r="R25" s="444">
        <v>3633</v>
      </c>
      <c r="S25" s="445">
        <v>4.0600000000000005</v>
      </c>
      <c r="T25" s="445">
        <v>2.62</v>
      </c>
      <c r="U25" s="449">
        <v>1.44</v>
      </c>
      <c r="V25" s="447">
        <f t="shared" ref="V25:CG25" si="36">SUM(V24)</f>
        <v>0</v>
      </c>
      <c r="W25" s="444">
        <f t="shared" si="36"/>
        <v>0</v>
      </c>
      <c r="X25" s="444">
        <f t="shared" si="36"/>
        <v>0</v>
      </c>
      <c r="Y25" s="444">
        <f t="shared" si="36"/>
        <v>0</v>
      </c>
      <c r="Z25" s="444">
        <f t="shared" si="36"/>
        <v>0</v>
      </c>
      <c r="AA25" s="444">
        <f t="shared" si="36"/>
        <v>0</v>
      </c>
      <c r="AB25" s="444">
        <f t="shared" si="36"/>
        <v>0</v>
      </c>
      <c r="AC25" s="444">
        <f t="shared" si="36"/>
        <v>0</v>
      </c>
      <c r="AD25" s="444">
        <f t="shared" si="36"/>
        <v>0</v>
      </c>
      <c r="AE25" s="444">
        <f t="shared" si="36"/>
        <v>0</v>
      </c>
      <c r="AF25" s="444">
        <f t="shared" si="36"/>
        <v>0</v>
      </c>
      <c r="AG25" s="444">
        <f t="shared" si="36"/>
        <v>0</v>
      </c>
      <c r="AH25" s="444">
        <f t="shared" si="36"/>
        <v>0</v>
      </c>
      <c r="AI25" s="444">
        <f t="shared" si="36"/>
        <v>0</v>
      </c>
      <c r="AJ25" s="444">
        <f t="shared" si="36"/>
        <v>0</v>
      </c>
      <c r="AK25" s="444">
        <f t="shared" si="36"/>
        <v>0</v>
      </c>
      <c r="AL25" s="444">
        <f t="shared" si="36"/>
        <v>0</v>
      </c>
      <c r="AM25" s="444">
        <f t="shared" si="36"/>
        <v>0</v>
      </c>
      <c r="AN25" s="444">
        <f t="shared" si="36"/>
        <v>0</v>
      </c>
      <c r="AO25" s="444">
        <f t="shared" si="36"/>
        <v>0</v>
      </c>
      <c r="AP25" s="444">
        <f t="shared" si="36"/>
        <v>0</v>
      </c>
      <c r="AQ25" s="444">
        <f t="shared" si="36"/>
        <v>0</v>
      </c>
      <c r="AR25" s="444">
        <f t="shared" si="36"/>
        <v>0</v>
      </c>
      <c r="AS25" s="444">
        <f t="shared" si="36"/>
        <v>0</v>
      </c>
      <c r="AT25" s="444">
        <f t="shared" si="36"/>
        <v>0</v>
      </c>
      <c r="AU25" s="444">
        <f t="shared" si="36"/>
        <v>0</v>
      </c>
      <c r="AV25" s="444">
        <f t="shared" si="36"/>
        <v>0</v>
      </c>
      <c r="AW25" s="444">
        <f t="shared" si="36"/>
        <v>0</v>
      </c>
      <c r="AX25" s="444">
        <f t="shared" si="36"/>
        <v>0</v>
      </c>
      <c r="AY25" s="444">
        <f t="shared" si="36"/>
        <v>0</v>
      </c>
      <c r="AZ25" s="445">
        <f t="shared" si="36"/>
        <v>0</v>
      </c>
      <c r="BA25" s="445">
        <f t="shared" si="36"/>
        <v>0</v>
      </c>
      <c r="BB25" s="445">
        <f t="shared" si="36"/>
        <v>0</v>
      </c>
      <c r="BC25" s="445">
        <f t="shared" si="36"/>
        <v>0</v>
      </c>
      <c r="BD25" s="445">
        <f t="shared" si="36"/>
        <v>0</v>
      </c>
      <c r="BE25" s="445">
        <f t="shared" si="36"/>
        <v>0</v>
      </c>
      <c r="BF25" s="445">
        <f t="shared" si="36"/>
        <v>0</v>
      </c>
      <c r="BG25" s="445">
        <f t="shared" si="36"/>
        <v>0</v>
      </c>
      <c r="BH25" s="445">
        <f t="shared" si="36"/>
        <v>0</v>
      </c>
      <c r="BI25" s="445">
        <f t="shared" si="36"/>
        <v>0</v>
      </c>
      <c r="BJ25" s="445">
        <f t="shared" si="36"/>
        <v>0</v>
      </c>
      <c r="BK25" s="39">
        <f t="shared" si="36"/>
        <v>0</v>
      </c>
      <c r="BL25" s="451">
        <f t="shared" si="36"/>
        <v>2798613</v>
      </c>
      <c r="BM25" s="444">
        <f t="shared" si="36"/>
        <v>1894763</v>
      </c>
      <c r="BN25" s="444">
        <f t="shared" si="36"/>
        <v>1448822</v>
      </c>
      <c r="BO25" s="444">
        <f t="shared" si="36"/>
        <v>445941</v>
      </c>
      <c r="BP25" s="444">
        <f t="shared" si="36"/>
        <v>180000</v>
      </c>
      <c r="BQ25" s="444">
        <f t="shared" si="36"/>
        <v>160000</v>
      </c>
      <c r="BR25" s="444">
        <f t="shared" si="36"/>
        <v>20000</v>
      </c>
      <c r="BS25" s="444">
        <f t="shared" si="36"/>
        <v>701270</v>
      </c>
      <c r="BT25" s="444">
        <f t="shared" si="36"/>
        <v>18947</v>
      </c>
      <c r="BU25" s="444">
        <f t="shared" si="36"/>
        <v>3633</v>
      </c>
      <c r="BV25" s="445">
        <f t="shared" si="36"/>
        <v>4.0600000000000005</v>
      </c>
      <c r="BW25" s="445">
        <f t="shared" si="36"/>
        <v>2.62</v>
      </c>
      <c r="BX25" s="39">
        <f t="shared" si="36"/>
        <v>1.44</v>
      </c>
      <c r="BY25" s="806">
        <f t="shared" si="36"/>
        <v>0</v>
      </c>
      <c r="BZ25" s="709">
        <f t="shared" si="36"/>
        <v>0</v>
      </c>
      <c r="CA25" s="709">
        <f t="shared" si="36"/>
        <v>0</v>
      </c>
      <c r="CB25" s="709">
        <f t="shared" si="36"/>
        <v>0</v>
      </c>
      <c r="CC25" s="709">
        <f t="shared" si="36"/>
        <v>0</v>
      </c>
      <c r="CD25" s="807">
        <f t="shared" si="36"/>
        <v>0</v>
      </c>
      <c r="CE25" s="919">
        <f t="shared" si="36"/>
        <v>0</v>
      </c>
      <c r="CF25" s="920">
        <f t="shared" si="36"/>
        <v>0</v>
      </c>
      <c r="CG25" s="920">
        <f t="shared" si="36"/>
        <v>0</v>
      </c>
      <c r="CH25" s="920">
        <f t="shared" ref="CH25:CJ25" si="37">SUM(CH24)</f>
        <v>0</v>
      </c>
      <c r="CI25" s="920">
        <f t="shared" si="37"/>
        <v>0</v>
      </c>
      <c r="CJ25" s="921">
        <f t="shared" si="37"/>
        <v>0</v>
      </c>
    </row>
    <row r="26" spans="1:88" ht="13.5" customHeight="1">
      <c r="A26" s="205">
        <v>5</v>
      </c>
      <c r="B26" s="206">
        <v>3447</v>
      </c>
      <c r="C26" s="206">
        <v>600078531</v>
      </c>
      <c r="D26" s="206">
        <v>70694982</v>
      </c>
      <c r="E26" s="204" t="s">
        <v>126</v>
      </c>
      <c r="F26" s="206">
        <v>3113</v>
      </c>
      <c r="G26" s="207" t="s">
        <v>293</v>
      </c>
      <c r="H26" s="607" t="s">
        <v>271</v>
      </c>
      <c r="I26" s="510">
        <v>21612606</v>
      </c>
      <c r="J26" s="414">
        <v>15786265</v>
      </c>
      <c r="K26" s="414">
        <v>14105347</v>
      </c>
      <c r="L26" s="414">
        <v>1680918</v>
      </c>
      <c r="M26" s="414">
        <v>0</v>
      </c>
      <c r="N26" s="414">
        <v>0</v>
      </c>
      <c r="O26" s="414">
        <v>0</v>
      </c>
      <c r="P26" s="68">
        <v>5335758</v>
      </c>
      <c r="Q26" s="68">
        <v>157863</v>
      </c>
      <c r="R26" s="414">
        <v>332720</v>
      </c>
      <c r="S26" s="415">
        <v>24.970199999999998</v>
      </c>
      <c r="T26" s="416">
        <v>20.091100000000001</v>
      </c>
      <c r="U26" s="422">
        <v>4.8790999999999993</v>
      </c>
      <c r="V26" s="423">
        <f t="shared" si="4"/>
        <v>0</v>
      </c>
      <c r="W26" s="417">
        <f t="shared" si="5"/>
        <v>0</v>
      </c>
      <c r="X26" s="417">
        <v>0</v>
      </c>
      <c r="Y26" s="417">
        <v>0</v>
      </c>
      <c r="Z26" s="417">
        <v>-213995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6"/>
        <v>-213995</v>
      </c>
      <c r="AF26" s="417">
        <f t="shared" si="7"/>
        <v>0</v>
      </c>
      <c r="AG26" s="417">
        <f t="shared" si="8"/>
        <v>-213995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9"/>
        <v>0</v>
      </c>
      <c r="AN26" s="417">
        <f t="shared" si="10"/>
        <v>0</v>
      </c>
      <c r="AO26" s="417">
        <f t="shared" si="11"/>
        <v>0</v>
      </c>
      <c r="AP26" s="417">
        <f t="shared" si="12"/>
        <v>-213995</v>
      </c>
      <c r="AQ26" s="417">
        <f t="shared" si="13"/>
        <v>0</v>
      </c>
      <c r="AR26" s="417">
        <f t="shared" si="14"/>
        <v>-213995</v>
      </c>
      <c r="AS26" s="68">
        <f t="shared" si="15"/>
        <v>-72330</v>
      </c>
      <c r="AT26" s="68">
        <f t="shared" si="16"/>
        <v>-2140</v>
      </c>
      <c r="AU26" s="417">
        <v>0</v>
      </c>
      <c r="AV26" s="417">
        <v>0</v>
      </c>
      <c r="AW26" s="417">
        <v>0</v>
      </c>
      <c r="AX26" s="417">
        <f t="shared" si="17"/>
        <v>0</v>
      </c>
      <c r="AY26" s="417">
        <f t="shared" si="18"/>
        <v>-288465</v>
      </c>
      <c r="AZ26" s="418">
        <v>0</v>
      </c>
      <c r="BA26" s="418">
        <v>0</v>
      </c>
      <c r="BB26" s="418">
        <v>0</v>
      </c>
      <c r="BC26" s="418">
        <v>-0.42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9"/>
        <v>-0.42</v>
      </c>
      <c r="BJ26" s="418">
        <f t="shared" si="20"/>
        <v>0</v>
      </c>
      <c r="BK26" s="420">
        <f t="shared" si="21"/>
        <v>-0.42</v>
      </c>
      <c r="BL26" s="772">
        <f t="shared" ref="BL26:BL31" si="38">I26+AY26</f>
        <v>21324141</v>
      </c>
      <c r="BM26" s="417">
        <f t="shared" ref="BM26:BM31" si="39">J26+AG26</f>
        <v>15572270</v>
      </c>
      <c r="BN26" s="417">
        <f t="shared" ref="BN26:BO31" si="40">K26+AE26</f>
        <v>13891352</v>
      </c>
      <c r="BO26" s="417">
        <f t="shared" si="40"/>
        <v>1680918</v>
      </c>
      <c r="BP26" s="417">
        <f t="shared" ref="BP26:BP31" si="41">M26+AO26</f>
        <v>0</v>
      </c>
      <c r="BQ26" s="417">
        <f t="shared" ref="BQ26:BR31" si="42">N26+AM26</f>
        <v>0</v>
      </c>
      <c r="BR26" s="417">
        <f t="shared" si="42"/>
        <v>0</v>
      </c>
      <c r="BS26" s="417">
        <f t="shared" ref="BS26:BT31" si="43">P26+AS26</f>
        <v>5263428</v>
      </c>
      <c r="BT26" s="417">
        <f t="shared" si="43"/>
        <v>155723</v>
      </c>
      <c r="BU26" s="417">
        <f t="shared" ref="BU26:BU31" si="44">R26+AX26</f>
        <v>332720</v>
      </c>
      <c r="BV26" s="418">
        <f t="shared" ref="BV26:BV31" si="45">S26+BK26</f>
        <v>24.550199999999997</v>
      </c>
      <c r="BW26" s="418">
        <f t="shared" ref="BW26:BX31" si="46">T26+BI26</f>
        <v>19.671099999999999</v>
      </c>
      <c r="BX26" s="420">
        <f t="shared" si="46"/>
        <v>4.8790999999999993</v>
      </c>
      <c r="BY26" s="419">
        <v>380136</v>
      </c>
      <c r="BZ26" s="414">
        <v>282000</v>
      </c>
      <c r="CA26" s="414">
        <v>0</v>
      </c>
      <c r="CB26" s="414">
        <v>95316</v>
      </c>
      <c r="CC26" s="414">
        <v>2820</v>
      </c>
      <c r="CD26" s="509">
        <v>0.5</v>
      </c>
      <c r="CE26" s="419">
        <v>808758</v>
      </c>
      <c r="CF26" s="414">
        <v>539504</v>
      </c>
      <c r="CG26" s="414">
        <v>182352</v>
      </c>
      <c r="CH26" s="414">
        <v>5395</v>
      </c>
      <c r="CI26" s="414">
        <v>81507</v>
      </c>
      <c r="CJ26" s="509">
        <v>1.5661</v>
      </c>
    </row>
    <row r="27" spans="1:88" ht="13.5" customHeight="1">
      <c r="A27" s="205">
        <v>5</v>
      </c>
      <c r="B27" s="206">
        <v>3447</v>
      </c>
      <c r="C27" s="206">
        <v>600078531</v>
      </c>
      <c r="D27" s="206">
        <v>70694982</v>
      </c>
      <c r="E27" s="204" t="s">
        <v>126</v>
      </c>
      <c r="F27" s="206">
        <v>3113</v>
      </c>
      <c r="G27" s="207" t="s">
        <v>292</v>
      </c>
      <c r="H27" s="607" t="s">
        <v>271</v>
      </c>
      <c r="I27" s="510">
        <v>463685</v>
      </c>
      <c r="J27" s="414">
        <v>343980</v>
      </c>
      <c r="K27" s="414">
        <v>343980</v>
      </c>
      <c r="L27" s="414">
        <v>0</v>
      </c>
      <c r="M27" s="414">
        <v>0</v>
      </c>
      <c r="N27" s="414">
        <v>0</v>
      </c>
      <c r="O27" s="414">
        <v>0</v>
      </c>
      <c r="P27" s="68">
        <v>116265</v>
      </c>
      <c r="Q27" s="68">
        <v>3440</v>
      </c>
      <c r="R27" s="414">
        <v>0</v>
      </c>
      <c r="S27" s="415">
        <v>0.75</v>
      </c>
      <c r="T27" s="416">
        <v>0.75</v>
      </c>
      <c r="U27" s="422">
        <v>0</v>
      </c>
      <c r="V27" s="423">
        <f t="shared" si="4"/>
        <v>0</v>
      </c>
      <c r="W27" s="417">
        <f t="shared" si="5"/>
        <v>0</v>
      </c>
      <c r="X27" s="417">
        <v>0</v>
      </c>
      <c r="Y27" s="417">
        <v>0</v>
      </c>
      <c r="Z27" s="417">
        <v>78405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6"/>
        <v>78405</v>
      </c>
      <c r="AF27" s="417">
        <f t="shared" si="7"/>
        <v>0</v>
      </c>
      <c r="AG27" s="417">
        <f t="shared" si="8"/>
        <v>78405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9"/>
        <v>0</v>
      </c>
      <c r="AN27" s="417">
        <f t="shared" si="10"/>
        <v>0</v>
      </c>
      <c r="AO27" s="417">
        <f t="shared" si="11"/>
        <v>0</v>
      </c>
      <c r="AP27" s="417">
        <f t="shared" si="12"/>
        <v>78405</v>
      </c>
      <c r="AQ27" s="417">
        <f t="shared" si="13"/>
        <v>0</v>
      </c>
      <c r="AR27" s="417">
        <f t="shared" si="14"/>
        <v>78405</v>
      </c>
      <c r="AS27" s="68">
        <f t="shared" si="15"/>
        <v>26501</v>
      </c>
      <c r="AT27" s="68">
        <f t="shared" si="16"/>
        <v>784</v>
      </c>
      <c r="AU27" s="417">
        <v>0</v>
      </c>
      <c r="AV27" s="417">
        <v>0</v>
      </c>
      <c r="AW27" s="417">
        <v>0</v>
      </c>
      <c r="AX27" s="417">
        <f t="shared" si="17"/>
        <v>0</v>
      </c>
      <c r="AY27" s="417">
        <f t="shared" si="18"/>
        <v>105690</v>
      </c>
      <c r="AZ27" s="418">
        <v>0</v>
      </c>
      <c r="BA27" s="418">
        <v>0</v>
      </c>
      <c r="BB27" s="418">
        <v>0</v>
      </c>
      <c r="BC27" s="418">
        <v>0.19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9"/>
        <v>0.19</v>
      </c>
      <c r="BJ27" s="418">
        <f t="shared" si="20"/>
        <v>0</v>
      </c>
      <c r="BK27" s="420">
        <f t="shared" si="21"/>
        <v>0.19</v>
      </c>
      <c r="BL27" s="772">
        <f t="shared" si="38"/>
        <v>569375</v>
      </c>
      <c r="BM27" s="417">
        <f t="shared" si="39"/>
        <v>422385</v>
      </c>
      <c r="BN27" s="417">
        <f t="shared" si="40"/>
        <v>422385</v>
      </c>
      <c r="BO27" s="417">
        <f t="shared" si="40"/>
        <v>0</v>
      </c>
      <c r="BP27" s="417">
        <f t="shared" si="41"/>
        <v>0</v>
      </c>
      <c r="BQ27" s="417">
        <f t="shared" si="42"/>
        <v>0</v>
      </c>
      <c r="BR27" s="417">
        <f t="shared" si="42"/>
        <v>0</v>
      </c>
      <c r="BS27" s="417">
        <f t="shared" si="43"/>
        <v>142766</v>
      </c>
      <c r="BT27" s="417">
        <f t="shared" si="43"/>
        <v>4224</v>
      </c>
      <c r="BU27" s="417">
        <f t="shared" si="44"/>
        <v>0</v>
      </c>
      <c r="BV27" s="418">
        <f t="shared" si="45"/>
        <v>0.94</v>
      </c>
      <c r="BW27" s="418">
        <f t="shared" si="46"/>
        <v>0.94</v>
      </c>
      <c r="BX27" s="420">
        <f t="shared" si="46"/>
        <v>0</v>
      </c>
      <c r="BY27" s="419"/>
      <c r="BZ27" s="414"/>
      <c r="CA27" s="414"/>
      <c r="CB27" s="414"/>
      <c r="CC27" s="414"/>
      <c r="CD27" s="509"/>
      <c r="CE27" s="419"/>
      <c r="CF27" s="414"/>
      <c r="CG27" s="414"/>
      <c r="CH27" s="414"/>
      <c r="CI27" s="414"/>
      <c r="CJ27" s="509"/>
    </row>
    <row r="28" spans="1:88" ht="13.5" customHeight="1">
      <c r="A28" s="205">
        <v>5</v>
      </c>
      <c r="B28" s="206">
        <v>3447</v>
      </c>
      <c r="C28" s="206">
        <v>600078531</v>
      </c>
      <c r="D28" s="206">
        <v>70694982</v>
      </c>
      <c r="E28" s="204" t="s">
        <v>126</v>
      </c>
      <c r="F28" s="206">
        <v>3113</v>
      </c>
      <c r="G28" s="207" t="s">
        <v>298</v>
      </c>
      <c r="H28" s="607" t="s">
        <v>272</v>
      </c>
      <c r="I28" s="510">
        <v>2246450</v>
      </c>
      <c r="J28" s="414">
        <v>1657456</v>
      </c>
      <c r="K28" s="414">
        <v>1657456</v>
      </c>
      <c r="L28" s="414">
        <v>0</v>
      </c>
      <c r="M28" s="414">
        <v>0</v>
      </c>
      <c r="N28" s="414">
        <v>0</v>
      </c>
      <c r="O28" s="414">
        <v>0</v>
      </c>
      <c r="P28" s="68">
        <v>560220</v>
      </c>
      <c r="Q28" s="68">
        <v>16574</v>
      </c>
      <c r="R28" s="414">
        <v>12200</v>
      </c>
      <c r="S28" s="415">
        <v>4.2399999999999993</v>
      </c>
      <c r="T28" s="416">
        <v>4.2399999999999993</v>
      </c>
      <c r="U28" s="422">
        <v>0</v>
      </c>
      <c r="V28" s="423">
        <f t="shared" si="4"/>
        <v>0</v>
      </c>
      <c r="W28" s="417">
        <f t="shared" si="5"/>
        <v>0</v>
      </c>
      <c r="X28" s="417">
        <v>30900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6"/>
        <v>30900</v>
      </c>
      <c r="AF28" s="417">
        <f t="shared" si="7"/>
        <v>0</v>
      </c>
      <c r="AG28" s="417">
        <f t="shared" si="8"/>
        <v>30900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9"/>
        <v>0</v>
      </c>
      <c r="AN28" s="417">
        <f t="shared" si="10"/>
        <v>0</v>
      </c>
      <c r="AO28" s="417">
        <f t="shared" si="11"/>
        <v>0</v>
      </c>
      <c r="AP28" s="417">
        <f t="shared" si="12"/>
        <v>30900</v>
      </c>
      <c r="AQ28" s="417">
        <f t="shared" si="13"/>
        <v>0</v>
      </c>
      <c r="AR28" s="417">
        <f t="shared" si="14"/>
        <v>30900</v>
      </c>
      <c r="AS28" s="68">
        <f t="shared" si="15"/>
        <v>10444</v>
      </c>
      <c r="AT28" s="68">
        <f t="shared" si="16"/>
        <v>309</v>
      </c>
      <c r="AU28" s="417">
        <v>0</v>
      </c>
      <c r="AV28" s="417">
        <v>0</v>
      </c>
      <c r="AW28" s="417">
        <v>0</v>
      </c>
      <c r="AX28" s="417">
        <f t="shared" si="17"/>
        <v>0</v>
      </c>
      <c r="AY28" s="417">
        <f t="shared" si="18"/>
        <v>41653</v>
      </c>
      <c r="AZ28" s="418">
        <v>0</v>
      </c>
      <c r="BA28" s="418">
        <v>0</v>
      </c>
      <c r="BB28" s="418">
        <v>0.08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9"/>
        <v>0.08</v>
      </c>
      <c r="BJ28" s="418">
        <f t="shared" si="20"/>
        <v>0</v>
      </c>
      <c r="BK28" s="420">
        <f t="shared" si="21"/>
        <v>0.08</v>
      </c>
      <c r="BL28" s="772">
        <f t="shared" si="38"/>
        <v>2288103</v>
      </c>
      <c r="BM28" s="417">
        <f t="shared" si="39"/>
        <v>1688356</v>
      </c>
      <c r="BN28" s="417">
        <f t="shared" si="40"/>
        <v>1688356</v>
      </c>
      <c r="BO28" s="417">
        <f t="shared" si="40"/>
        <v>0</v>
      </c>
      <c r="BP28" s="417">
        <f t="shared" si="41"/>
        <v>0</v>
      </c>
      <c r="BQ28" s="417">
        <f t="shared" si="42"/>
        <v>0</v>
      </c>
      <c r="BR28" s="417">
        <f t="shared" si="42"/>
        <v>0</v>
      </c>
      <c r="BS28" s="417">
        <f t="shared" si="43"/>
        <v>570664</v>
      </c>
      <c r="BT28" s="417">
        <f t="shared" si="43"/>
        <v>16883</v>
      </c>
      <c r="BU28" s="417">
        <f t="shared" si="44"/>
        <v>12200</v>
      </c>
      <c r="BV28" s="418">
        <f t="shared" si="45"/>
        <v>4.3199999999999994</v>
      </c>
      <c r="BW28" s="418">
        <f t="shared" si="46"/>
        <v>4.3199999999999994</v>
      </c>
      <c r="BX28" s="420">
        <f t="shared" si="46"/>
        <v>0</v>
      </c>
      <c r="BY28" s="419"/>
      <c r="BZ28" s="414"/>
      <c r="CA28" s="414"/>
      <c r="CB28" s="414"/>
      <c r="CC28" s="414"/>
      <c r="CD28" s="509"/>
      <c r="CE28" s="419"/>
      <c r="CF28" s="414"/>
      <c r="CG28" s="414"/>
      <c r="CH28" s="414"/>
      <c r="CI28" s="414"/>
      <c r="CJ28" s="509"/>
    </row>
    <row r="29" spans="1:88" ht="13.5" customHeight="1">
      <c r="A29" s="205">
        <v>5</v>
      </c>
      <c r="B29" s="206">
        <v>3447</v>
      </c>
      <c r="C29" s="206">
        <v>600078531</v>
      </c>
      <c r="D29" s="206">
        <v>70694982</v>
      </c>
      <c r="E29" s="204" t="s">
        <v>126</v>
      </c>
      <c r="F29" s="206">
        <v>3141</v>
      </c>
      <c r="G29" s="207" t="s">
        <v>294</v>
      </c>
      <c r="H29" s="607" t="s">
        <v>272</v>
      </c>
      <c r="I29" s="510">
        <v>1752261</v>
      </c>
      <c r="J29" s="414">
        <v>1287776</v>
      </c>
      <c r="K29" s="414">
        <v>0</v>
      </c>
      <c r="L29" s="414">
        <v>1287776</v>
      </c>
      <c r="M29" s="414">
        <v>3000</v>
      </c>
      <c r="N29" s="414">
        <v>0</v>
      </c>
      <c r="O29" s="414">
        <v>3000</v>
      </c>
      <c r="P29" s="68">
        <v>436283</v>
      </c>
      <c r="Q29" s="68">
        <v>12878</v>
      </c>
      <c r="R29" s="414">
        <v>12324</v>
      </c>
      <c r="S29" s="415">
        <v>3.87</v>
      </c>
      <c r="T29" s="416">
        <v>0</v>
      </c>
      <c r="U29" s="422">
        <v>3.87</v>
      </c>
      <c r="V29" s="423">
        <f t="shared" si="4"/>
        <v>0</v>
      </c>
      <c r="W29" s="417">
        <f t="shared" si="5"/>
        <v>0</v>
      </c>
      <c r="X29" s="417">
        <v>0</v>
      </c>
      <c r="Y29" s="417">
        <v>0</v>
      </c>
      <c r="Z29" s="417">
        <v>0</v>
      </c>
      <c r="AA29" s="417">
        <v>-14446</v>
      </c>
      <c r="AB29" s="417">
        <v>0</v>
      </c>
      <c r="AC29" s="417">
        <v>0</v>
      </c>
      <c r="AD29" s="417">
        <v>0</v>
      </c>
      <c r="AE29" s="417">
        <f t="shared" si="6"/>
        <v>0</v>
      </c>
      <c r="AF29" s="417">
        <f t="shared" si="7"/>
        <v>-14446</v>
      </c>
      <c r="AG29" s="417">
        <f t="shared" si="8"/>
        <v>-14446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9"/>
        <v>0</v>
      </c>
      <c r="AN29" s="417">
        <f t="shared" si="10"/>
        <v>0</v>
      </c>
      <c r="AO29" s="417">
        <f t="shared" si="11"/>
        <v>0</v>
      </c>
      <c r="AP29" s="417">
        <f t="shared" si="12"/>
        <v>0</v>
      </c>
      <c r="AQ29" s="417">
        <f t="shared" si="13"/>
        <v>-14446</v>
      </c>
      <c r="AR29" s="417">
        <f t="shared" si="14"/>
        <v>-14446</v>
      </c>
      <c r="AS29" s="68">
        <f t="shared" si="15"/>
        <v>-4883</v>
      </c>
      <c r="AT29" s="68">
        <f t="shared" si="16"/>
        <v>-144</v>
      </c>
      <c r="AU29" s="417">
        <v>0</v>
      </c>
      <c r="AV29" s="417">
        <v>0</v>
      </c>
      <c r="AW29" s="417">
        <v>0</v>
      </c>
      <c r="AX29" s="417">
        <f t="shared" si="17"/>
        <v>0</v>
      </c>
      <c r="AY29" s="417">
        <f t="shared" si="18"/>
        <v>-19473</v>
      </c>
      <c r="AZ29" s="418">
        <v>0</v>
      </c>
      <c r="BA29" s="418">
        <v>0</v>
      </c>
      <c r="BB29" s="418">
        <v>0</v>
      </c>
      <c r="BC29" s="418">
        <v>0</v>
      </c>
      <c r="BD29" s="418">
        <v>-0.04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9"/>
        <v>0</v>
      </c>
      <c r="BJ29" s="418">
        <f t="shared" si="20"/>
        <v>-0.04</v>
      </c>
      <c r="BK29" s="420">
        <f t="shared" si="21"/>
        <v>-0.04</v>
      </c>
      <c r="BL29" s="772">
        <f t="shared" si="38"/>
        <v>1732788</v>
      </c>
      <c r="BM29" s="417">
        <f t="shared" si="39"/>
        <v>1273330</v>
      </c>
      <c r="BN29" s="417">
        <f t="shared" si="40"/>
        <v>0</v>
      </c>
      <c r="BO29" s="417">
        <f t="shared" si="40"/>
        <v>1273330</v>
      </c>
      <c r="BP29" s="417">
        <f t="shared" si="41"/>
        <v>3000</v>
      </c>
      <c r="BQ29" s="417">
        <f t="shared" si="42"/>
        <v>0</v>
      </c>
      <c r="BR29" s="417">
        <f t="shared" si="42"/>
        <v>3000</v>
      </c>
      <c r="BS29" s="417">
        <f t="shared" si="43"/>
        <v>431400</v>
      </c>
      <c r="BT29" s="417">
        <f t="shared" si="43"/>
        <v>12734</v>
      </c>
      <c r="BU29" s="417">
        <f t="shared" si="44"/>
        <v>12324</v>
      </c>
      <c r="BV29" s="418">
        <f t="shared" si="45"/>
        <v>3.83</v>
      </c>
      <c r="BW29" s="418">
        <f t="shared" si="46"/>
        <v>0</v>
      </c>
      <c r="BX29" s="420">
        <f t="shared" si="46"/>
        <v>3.83</v>
      </c>
      <c r="BY29" s="419"/>
      <c r="BZ29" s="414"/>
      <c r="CA29" s="414"/>
      <c r="CB29" s="414"/>
      <c r="CC29" s="414"/>
      <c r="CD29" s="509"/>
      <c r="CE29" s="419"/>
      <c r="CF29" s="601"/>
      <c r="CG29" s="414"/>
      <c r="CH29" s="414"/>
      <c r="CI29" s="601"/>
      <c r="CJ29" s="603"/>
    </row>
    <row r="30" spans="1:88" ht="13.5" customHeight="1">
      <c r="A30" s="205">
        <v>5</v>
      </c>
      <c r="B30" s="206">
        <v>3447</v>
      </c>
      <c r="C30" s="206">
        <v>600078531</v>
      </c>
      <c r="D30" s="206">
        <v>70694982</v>
      </c>
      <c r="E30" s="204" t="s">
        <v>126</v>
      </c>
      <c r="F30" s="206">
        <v>3143</v>
      </c>
      <c r="G30" s="207" t="s">
        <v>595</v>
      </c>
      <c r="H30" s="609" t="s">
        <v>271</v>
      </c>
      <c r="I30" s="510">
        <v>1794654</v>
      </c>
      <c r="J30" s="414">
        <v>1320924</v>
      </c>
      <c r="K30" s="414">
        <v>1320924</v>
      </c>
      <c r="L30" s="414">
        <v>0</v>
      </c>
      <c r="M30" s="414">
        <v>10500</v>
      </c>
      <c r="N30" s="414">
        <v>10500</v>
      </c>
      <c r="O30" s="414">
        <v>0</v>
      </c>
      <c r="P30" s="68">
        <v>450021</v>
      </c>
      <c r="Q30" s="68">
        <v>13209</v>
      </c>
      <c r="R30" s="414">
        <v>0</v>
      </c>
      <c r="S30" s="415">
        <v>2.75</v>
      </c>
      <c r="T30" s="416">
        <v>2.75</v>
      </c>
      <c r="U30" s="422">
        <v>0</v>
      </c>
      <c r="V30" s="423">
        <f t="shared" si="4"/>
        <v>0</v>
      </c>
      <c r="W30" s="417">
        <f t="shared" si="5"/>
        <v>0</v>
      </c>
      <c r="X30" s="417">
        <v>0</v>
      </c>
      <c r="Y30" s="417">
        <v>0</v>
      </c>
      <c r="Z30" s="417">
        <v>29988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6"/>
        <v>29988</v>
      </c>
      <c r="AF30" s="417">
        <f t="shared" si="7"/>
        <v>0</v>
      </c>
      <c r="AG30" s="417">
        <f t="shared" si="8"/>
        <v>29988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9"/>
        <v>0</v>
      </c>
      <c r="AN30" s="417">
        <f t="shared" si="10"/>
        <v>0</v>
      </c>
      <c r="AO30" s="417">
        <f t="shared" si="11"/>
        <v>0</v>
      </c>
      <c r="AP30" s="417">
        <f t="shared" si="12"/>
        <v>29988</v>
      </c>
      <c r="AQ30" s="417">
        <f t="shared" si="13"/>
        <v>0</v>
      </c>
      <c r="AR30" s="417">
        <f t="shared" si="14"/>
        <v>29988</v>
      </c>
      <c r="AS30" s="68">
        <f t="shared" si="15"/>
        <v>10136</v>
      </c>
      <c r="AT30" s="68">
        <f t="shared" si="16"/>
        <v>300</v>
      </c>
      <c r="AU30" s="417">
        <v>0</v>
      </c>
      <c r="AV30" s="417">
        <v>0</v>
      </c>
      <c r="AW30" s="417">
        <v>0</v>
      </c>
      <c r="AX30" s="417">
        <f t="shared" si="17"/>
        <v>0</v>
      </c>
      <c r="AY30" s="417">
        <f t="shared" si="18"/>
        <v>40424</v>
      </c>
      <c r="AZ30" s="418">
        <v>0</v>
      </c>
      <c r="BA30" s="418">
        <v>0</v>
      </c>
      <c r="BB30" s="418">
        <v>0</v>
      </c>
      <c r="BC30" s="418">
        <v>0.06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9"/>
        <v>0.06</v>
      </c>
      <c r="BJ30" s="418">
        <f t="shared" si="20"/>
        <v>0</v>
      </c>
      <c r="BK30" s="420">
        <f t="shared" si="21"/>
        <v>0.06</v>
      </c>
      <c r="BL30" s="772">
        <f t="shared" si="38"/>
        <v>1835078</v>
      </c>
      <c r="BM30" s="417">
        <f t="shared" si="39"/>
        <v>1350912</v>
      </c>
      <c r="BN30" s="417">
        <f t="shared" si="40"/>
        <v>1350912</v>
      </c>
      <c r="BO30" s="417">
        <f t="shared" si="40"/>
        <v>0</v>
      </c>
      <c r="BP30" s="417">
        <f t="shared" si="41"/>
        <v>10500</v>
      </c>
      <c r="BQ30" s="417">
        <f t="shared" si="42"/>
        <v>10500</v>
      </c>
      <c r="BR30" s="417">
        <f t="shared" si="42"/>
        <v>0</v>
      </c>
      <c r="BS30" s="417">
        <f t="shared" si="43"/>
        <v>460157</v>
      </c>
      <c r="BT30" s="417">
        <f t="shared" si="43"/>
        <v>13509</v>
      </c>
      <c r="BU30" s="417">
        <f t="shared" si="44"/>
        <v>0</v>
      </c>
      <c r="BV30" s="418">
        <f t="shared" si="45"/>
        <v>2.81</v>
      </c>
      <c r="BW30" s="418">
        <f t="shared" si="46"/>
        <v>2.81</v>
      </c>
      <c r="BX30" s="420">
        <f t="shared" si="46"/>
        <v>0</v>
      </c>
      <c r="BY30" s="419"/>
      <c r="BZ30" s="414"/>
      <c r="CA30" s="414"/>
      <c r="CB30" s="414"/>
      <c r="CC30" s="414"/>
      <c r="CD30" s="509"/>
      <c r="CE30" s="419"/>
      <c r="CF30" s="414"/>
      <c r="CG30" s="414"/>
      <c r="CH30" s="414"/>
      <c r="CI30" s="414"/>
      <c r="CJ30" s="509"/>
    </row>
    <row r="31" spans="1:88" ht="13.5" customHeight="1">
      <c r="A31" s="205">
        <v>5</v>
      </c>
      <c r="B31" s="206">
        <v>3447</v>
      </c>
      <c r="C31" s="206">
        <v>600078531</v>
      </c>
      <c r="D31" s="206">
        <v>70694982</v>
      </c>
      <c r="E31" s="204" t="s">
        <v>126</v>
      </c>
      <c r="F31" s="206">
        <v>3143</v>
      </c>
      <c r="G31" s="207" t="s">
        <v>596</v>
      </c>
      <c r="H31" s="609" t="s">
        <v>272</v>
      </c>
      <c r="I31" s="510">
        <v>46104</v>
      </c>
      <c r="J31" s="414">
        <v>33000</v>
      </c>
      <c r="K31" s="414">
        <v>0</v>
      </c>
      <c r="L31" s="414">
        <v>33000</v>
      </c>
      <c r="M31" s="414">
        <v>0</v>
      </c>
      <c r="N31" s="414">
        <v>0</v>
      </c>
      <c r="O31" s="414">
        <v>0</v>
      </c>
      <c r="P31" s="68">
        <v>11154</v>
      </c>
      <c r="Q31" s="68">
        <v>330</v>
      </c>
      <c r="R31" s="414">
        <v>1620</v>
      </c>
      <c r="S31" s="415">
        <v>0.12</v>
      </c>
      <c r="T31" s="416">
        <v>0</v>
      </c>
      <c r="U31" s="422">
        <v>0.12</v>
      </c>
      <c r="V31" s="423">
        <f t="shared" si="4"/>
        <v>0</v>
      </c>
      <c r="W31" s="417">
        <f t="shared" si="5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6"/>
        <v>0</v>
      </c>
      <c r="AF31" s="417">
        <f t="shared" si="7"/>
        <v>0</v>
      </c>
      <c r="AG31" s="417">
        <f t="shared" si="8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9"/>
        <v>0</v>
      </c>
      <c r="AN31" s="417">
        <f t="shared" si="10"/>
        <v>0</v>
      </c>
      <c r="AO31" s="417">
        <f t="shared" si="11"/>
        <v>0</v>
      </c>
      <c r="AP31" s="417">
        <f t="shared" si="12"/>
        <v>0</v>
      </c>
      <c r="AQ31" s="417">
        <f t="shared" si="13"/>
        <v>0</v>
      </c>
      <c r="AR31" s="417">
        <f t="shared" si="14"/>
        <v>0</v>
      </c>
      <c r="AS31" s="68">
        <f t="shared" si="15"/>
        <v>0</v>
      </c>
      <c r="AT31" s="68">
        <f t="shared" si="16"/>
        <v>0</v>
      </c>
      <c r="AU31" s="417">
        <v>0</v>
      </c>
      <c r="AV31" s="417">
        <v>0</v>
      </c>
      <c r="AW31" s="417">
        <v>0</v>
      </c>
      <c r="AX31" s="417">
        <f t="shared" si="17"/>
        <v>0</v>
      </c>
      <c r="AY31" s="417">
        <f t="shared" si="18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9"/>
        <v>0</v>
      </c>
      <c r="BJ31" s="418">
        <f t="shared" si="20"/>
        <v>0</v>
      </c>
      <c r="BK31" s="420">
        <f t="shared" si="21"/>
        <v>0</v>
      </c>
      <c r="BL31" s="772">
        <f t="shared" si="38"/>
        <v>46104</v>
      </c>
      <c r="BM31" s="417">
        <f t="shared" si="39"/>
        <v>33000</v>
      </c>
      <c r="BN31" s="417">
        <f t="shared" si="40"/>
        <v>0</v>
      </c>
      <c r="BO31" s="417">
        <f t="shared" si="40"/>
        <v>33000</v>
      </c>
      <c r="BP31" s="417">
        <f t="shared" si="41"/>
        <v>0</v>
      </c>
      <c r="BQ31" s="417">
        <f t="shared" si="42"/>
        <v>0</v>
      </c>
      <c r="BR31" s="417">
        <f t="shared" si="42"/>
        <v>0</v>
      </c>
      <c r="BS31" s="417">
        <f t="shared" si="43"/>
        <v>11154</v>
      </c>
      <c r="BT31" s="417">
        <f t="shared" si="43"/>
        <v>330</v>
      </c>
      <c r="BU31" s="417">
        <f t="shared" si="44"/>
        <v>1620</v>
      </c>
      <c r="BV31" s="418">
        <f t="shared" si="45"/>
        <v>0.12</v>
      </c>
      <c r="BW31" s="418">
        <f t="shared" si="46"/>
        <v>0</v>
      </c>
      <c r="BX31" s="420">
        <f t="shared" si="46"/>
        <v>0.12</v>
      </c>
      <c r="BY31" s="419"/>
      <c r="BZ31" s="414"/>
      <c r="CA31" s="414"/>
      <c r="CB31" s="414"/>
      <c r="CC31" s="414"/>
      <c r="CD31" s="509"/>
      <c r="CE31" s="419"/>
      <c r="CF31" s="601"/>
      <c r="CG31" s="414"/>
      <c r="CH31" s="414"/>
      <c r="CI31" s="602"/>
      <c r="CJ31" s="603"/>
    </row>
    <row r="32" spans="1:88" ht="13.5" customHeight="1">
      <c r="A32" s="155">
        <v>5</v>
      </c>
      <c r="B32" s="18">
        <v>3447</v>
      </c>
      <c r="C32" s="18">
        <v>600078531</v>
      </c>
      <c r="D32" s="18">
        <v>70694982</v>
      </c>
      <c r="E32" s="164" t="s">
        <v>127</v>
      </c>
      <c r="F32" s="18"/>
      <c r="G32" s="154"/>
      <c r="H32" s="608"/>
      <c r="I32" s="451">
        <v>27915760</v>
      </c>
      <c r="J32" s="444">
        <v>20429401</v>
      </c>
      <c r="K32" s="444">
        <v>17427707</v>
      </c>
      <c r="L32" s="444">
        <v>3001694</v>
      </c>
      <c r="M32" s="444">
        <v>13500</v>
      </c>
      <c r="N32" s="444">
        <v>10500</v>
      </c>
      <c r="O32" s="444">
        <v>3000</v>
      </c>
      <c r="P32" s="444">
        <v>6909701</v>
      </c>
      <c r="Q32" s="444">
        <v>204294</v>
      </c>
      <c r="R32" s="444">
        <v>358864</v>
      </c>
      <c r="S32" s="445">
        <v>36.700199999999995</v>
      </c>
      <c r="T32" s="445">
        <v>27.831099999999999</v>
      </c>
      <c r="U32" s="449">
        <v>8.8690999999999978</v>
      </c>
      <c r="V32" s="447">
        <f t="shared" ref="V32:CG32" si="47">SUM(V26:V31)</f>
        <v>0</v>
      </c>
      <c r="W32" s="444">
        <f t="shared" si="47"/>
        <v>0</v>
      </c>
      <c r="X32" s="444">
        <f t="shared" si="47"/>
        <v>30900</v>
      </c>
      <c r="Y32" s="444">
        <f t="shared" si="47"/>
        <v>0</v>
      </c>
      <c r="Z32" s="444">
        <f t="shared" si="47"/>
        <v>-105602</v>
      </c>
      <c r="AA32" s="444">
        <f t="shared" si="47"/>
        <v>-14446</v>
      </c>
      <c r="AB32" s="444">
        <f t="shared" si="47"/>
        <v>0</v>
      </c>
      <c r="AC32" s="444">
        <f t="shared" si="47"/>
        <v>0</v>
      </c>
      <c r="AD32" s="444">
        <f t="shared" si="47"/>
        <v>0</v>
      </c>
      <c r="AE32" s="444">
        <f t="shared" si="47"/>
        <v>-74702</v>
      </c>
      <c r="AF32" s="444">
        <f t="shared" si="47"/>
        <v>-14446</v>
      </c>
      <c r="AG32" s="444">
        <f t="shared" si="47"/>
        <v>-89148</v>
      </c>
      <c r="AH32" s="444">
        <f t="shared" si="47"/>
        <v>0</v>
      </c>
      <c r="AI32" s="444">
        <f t="shared" si="47"/>
        <v>0</v>
      </c>
      <c r="AJ32" s="444">
        <f t="shared" si="47"/>
        <v>0</v>
      </c>
      <c r="AK32" s="444">
        <f t="shared" si="47"/>
        <v>0</v>
      </c>
      <c r="AL32" s="444">
        <f t="shared" si="47"/>
        <v>0</v>
      </c>
      <c r="AM32" s="444">
        <f t="shared" si="47"/>
        <v>0</v>
      </c>
      <c r="AN32" s="444">
        <f t="shared" si="47"/>
        <v>0</v>
      </c>
      <c r="AO32" s="444">
        <f t="shared" si="47"/>
        <v>0</v>
      </c>
      <c r="AP32" s="444">
        <f t="shared" si="47"/>
        <v>-74702</v>
      </c>
      <c r="AQ32" s="444">
        <f t="shared" si="47"/>
        <v>-14446</v>
      </c>
      <c r="AR32" s="444">
        <f t="shared" si="47"/>
        <v>-89148</v>
      </c>
      <c r="AS32" s="444">
        <f t="shared" si="47"/>
        <v>-30132</v>
      </c>
      <c r="AT32" s="444">
        <f t="shared" si="47"/>
        <v>-891</v>
      </c>
      <c r="AU32" s="444">
        <f t="shared" si="47"/>
        <v>0</v>
      </c>
      <c r="AV32" s="444">
        <f t="shared" si="47"/>
        <v>0</v>
      </c>
      <c r="AW32" s="444">
        <f t="shared" si="47"/>
        <v>0</v>
      </c>
      <c r="AX32" s="444">
        <f t="shared" si="47"/>
        <v>0</v>
      </c>
      <c r="AY32" s="444">
        <f t="shared" si="47"/>
        <v>-120171</v>
      </c>
      <c r="AZ32" s="445">
        <f t="shared" si="47"/>
        <v>0</v>
      </c>
      <c r="BA32" s="445">
        <f t="shared" si="47"/>
        <v>0</v>
      </c>
      <c r="BB32" s="445">
        <f t="shared" si="47"/>
        <v>0.08</v>
      </c>
      <c r="BC32" s="445">
        <f t="shared" si="47"/>
        <v>-0.16999999999999998</v>
      </c>
      <c r="BD32" s="445">
        <f t="shared" si="47"/>
        <v>-0.04</v>
      </c>
      <c r="BE32" s="445">
        <f t="shared" si="47"/>
        <v>0</v>
      </c>
      <c r="BF32" s="445">
        <f t="shared" si="47"/>
        <v>0</v>
      </c>
      <c r="BG32" s="445">
        <f t="shared" si="47"/>
        <v>0</v>
      </c>
      <c r="BH32" s="445">
        <f t="shared" si="47"/>
        <v>0</v>
      </c>
      <c r="BI32" s="445">
        <f t="shared" si="47"/>
        <v>-8.9999999999999969E-2</v>
      </c>
      <c r="BJ32" s="445">
        <f t="shared" si="47"/>
        <v>-0.04</v>
      </c>
      <c r="BK32" s="39">
        <f t="shared" si="47"/>
        <v>-0.12999999999999998</v>
      </c>
      <c r="BL32" s="451">
        <f t="shared" si="47"/>
        <v>27795589</v>
      </c>
      <c r="BM32" s="444">
        <f t="shared" si="47"/>
        <v>20340253</v>
      </c>
      <c r="BN32" s="444">
        <f t="shared" si="47"/>
        <v>17353005</v>
      </c>
      <c r="BO32" s="444">
        <f t="shared" si="47"/>
        <v>2987248</v>
      </c>
      <c r="BP32" s="444">
        <f t="shared" si="47"/>
        <v>13500</v>
      </c>
      <c r="BQ32" s="444">
        <f t="shared" si="47"/>
        <v>10500</v>
      </c>
      <c r="BR32" s="444">
        <f t="shared" si="47"/>
        <v>3000</v>
      </c>
      <c r="BS32" s="444">
        <f t="shared" si="47"/>
        <v>6879569</v>
      </c>
      <c r="BT32" s="444">
        <f t="shared" si="47"/>
        <v>203403</v>
      </c>
      <c r="BU32" s="444">
        <f t="shared" si="47"/>
        <v>358864</v>
      </c>
      <c r="BV32" s="445">
        <f t="shared" si="47"/>
        <v>36.5702</v>
      </c>
      <c r="BW32" s="445">
        <f t="shared" si="47"/>
        <v>27.741099999999999</v>
      </c>
      <c r="BX32" s="39">
        <f t="shared" si="47"/>
        <v>8.8290999999999986</v>
      </c>
      <c r="BY32" s="806">
        <f t="shared" si="47"/>
        <v>380136</v>
      </c>
      <c r="BZ32" s="709">
        <f t="shared" si="47"/>
        <v>282000</v>
      </c>
      <c r="CA32" s="709">
        <f t="shared" si="47"/>
        <v>0</v>
      </c>
      <c r="CB32" s="709">
        <f t="shared" si="47"/>
        <v>95316</v>
      </c>
      <c r="CC32" s="709">
        <f t="shared" si="47"/>
        <v>2820</v>
      </c>
      <c r="CD32" s="807">
        <f t="shared" si="47"/>
        <v>0.5</v>
      </c>
      <c r="CE32" s="919">
        <f t="shared" si="47"/>
        <v>808758</v>
      </c>
      <c r="CF32" s="920">
        <f t="shared" si="47"/>
        <v>539504</v>
      </c>
      <c r="CG32" s="920">
        <f t="shared" si="47"/>
        <v>182352</v>
      </c>
      <c r="CH32" s="920">
        <f t="shared" ref="CH32:CJ32" si="48">SUM(CH26:CH31)</f>
        <v>5395</v>
      </c>
      <c r="CI32" s="920">
        <f t="shared" si="48"/>
        <v>81507</v>
      </c>
      <c r="CJ32" s="921">
        <f t="shared" si="48"/>
        <v>1.5661</v>
      </c>
    </row>
    <row r="33" spans="1:88" ht="13.5" customHeight="1">
      <c r="A33" s="205">
        <v>6</v>
      </c>
      <c r="B33" s="206">
        <v>3446</v>
      </c>
      <c r="C33" s="206">
        <v>600078515</v>
      </c>
      <c r="D33" s="206">
        <v>70694974</v>
      </c>
      <c r="E33" s="204" t="s">
        <v>128</v>
      </c>
      <c r="F33" s="206">
        <v>3113</v>
      </c>
      <c r="G33" s="207" t="s">
        <v>293</v>
      </c>
      <c r="H33" s="607" t="s">
        <v>271</v>
      </c>
      <c r="I33" s="510">
        <v>26420214</v>
      </c>
      <c r="J33" s="414">
        <v>19251902</v>
      </c>
      <c r="K33" s="414">
        <v>17222913</v>
      </c>
      <c r="L33" s="414">
        <v>2028989</v>
      </c>
      <c r="M33" s="414">
        <v>5000</v>
      </c>
      <c r="N33" s="414">
        <v>5000</v>
      </c>
      <c r="O33" s="414">
        <v>0</v>
      </c>
      <c r="P33" s="68">
        <v>6508832</v>
      </c>
      <c r="Q33" s="68">
        <v>192520</v>
      </c>
      <c r="R33" s="414">
        <v>461960</v>
      </c>
      <c r="S33" s="415">
        <v>31.4375</v>
      </c>
      <c r="T33" s="416">
        <v>25.4785</v>
      </c>
      <c r="U33" s="422">
        <v>5.9589999999999996</v>
      </c>
      <c r="V33" s="423">
        <f t="shared" si="4"/>
        <v>-10500</v>
      </c>
      <c r="W33" s="417">
        <f t="shared" si="5"/>
        <v>-42000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6"/>
        <v>-10500</v>
      </c>
      <c r="AF33" s="417">
        <f t="shared" si="7"/>
        <v>-42000</v>
      </c>
      <c r="AG33" s="417">
        <f t="shared" si="8"/>
        <v>-52500</v>
      </c>
      <c r="AH33" s="417">
        <v>10500</v>
      </c>
      <c r="AI33" s="417">
        <v>42000</v>
      </c>
      <c r="AJ33" s="417">
        <v>0</v>
      </c>
      <c r="AK33" s="417">
        <v>0</v>
      </c>
      <c r="AL33" s="417">
        <v>0</v>
      </c>
      <c r="AM33" s="417">
        <f t="shared" si="9"/>
        <v>10500</v>
      </c>
      <c r="AN33" s="417">
        <f t="shared" si="10"/>
        <v>42000</v>
      </c>
      <c r="AO33" s="417">
        <f t="shared" si="11"/>
        <v>52500</v>
      </c>
      <c r="AP33" s="417">
        <f t="shared" si="12"/>
        <v>0</v>
      </c>
      <c r="AQ33" s="417">
        <f t="shared" si="13"/>
        <v>0</v>
      </c>
      <c r="AR33" s="417">
        <f t="shared" si="14"/>
        <v>0</v>
      </c>
      <c r="AS33" s="68">
        <f t="shared" si="15"/>
        <v>0</v>
      </c>
      <c r="AT33" s="68">
        <f t="shared" si="16"/>
        <v>-525</v>
      </c>
      <c r="AU33" s="417">
        <v>0</v>
      </c>
      <c r="AV33" s="417">
        <v>0</v>
      </c>
      <c r="AW33" s="417">
        <v>0</v>
      </c>
      <c r="AX33" s="417">
        <f t="shared" si="17"/>
        <v>0</v>
      </c>
      <c r="AY33" s="417">
        <f t="shared" si="18"/>
        <v>-525</v>
      </c>
      <c r="AZ33" s="418">
        <v>-0.02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9"/>
        <v>-0.02</v>
      </c>
      <c r="BJ33" s="418">
        <f t="shared" si="20"/>
        <v>0</v>
      </c>
      <c r="BK33" s="420">
        <f t="shared" si="21"/>
        <v>-0.02</v>
      </c>
      <c r="BL33" s="772">
        <f>I33+AY33</f>
        <v>26419689</v>
      </c>
      <c r="BM33" s="417">
        <f>J33+AG33</f>
        <v>19199402</v>
      </c>
      <c r="BN33" s="417">
        <f t="shared" ref="BN33:BO37" si="49">K33+AE33</f>
        <v>17212413</v>
      </c>
      <c r="BO33" s="417">
        <f t="shared" si="49"/>
        <v>1986989</v>
      </c>
      <c r="BP33" s="417">
        <f>M33+AO33</f>
        <v>57500</v>
      </c>
      <c r="BQ33" s="417">
        <f t="shared" ref="BQ33:BR37" si="50">N33+AM33</f>
        <v>15500</v>
      </c>
      <c r="BR33" s="417">
        <f t="shared" si="50"/>
        <v>42000</v>
      </c>
      <c r="BS33" s="417">
        <f t="shared" ref="BS33:BT37" si="51">P33+AS33</f>
        <v>6508832</v>
      </c>
      <c r="BT33" s="417">
        <f t="shared" si="51"/>
        <v>191995</v>
      </c>
      <c r="BU33" s="417">
        <f>R33+AX33</f>
        <v>461960</v>
      </c>
      <c r="BV33" s="418">
        <f>S33+BK33</f>
        <v>31.4175</v>
      </c>
      <c r="BW33" s="418">
        <f t="shared" ref="BW33:BX37" si="52">T33+BI33</f>
        <v>25.458500000000001</v>
      </c>
      <c r="BX33" s="420">
        <f t="shared" si="52"/>
        <v>5.9589999999999996</v>
      </c>
      <c r="BY33" s="419"/>
      <c r="BZ33" s="414"/>
      <c r="CA33" s="414"/>
      <c r="CB33" s="414"/>
      <c r="CC33" s="414"/>
      <c r="CD33" s="509"/>
      <c r="CE33" s="419">
        <v>984046</v>
      </c>
      <c r="CF33" s="414">
        <v>651270</v>
      </c>
      <c r="CG33" s="414">
        <v>220129</v>
      </c>
      <c r="CH33" s="414">
        <v>6513</v>
      </c>
      <c r="CI33" s="414">
        <v>106134</v>
      </c>
      <c r="CJ33" s="509">
        <v>1.9129</v>
      </c>
    </row>
    <row r="34" spans="1:88" ht="13.5" customHeight="1">
      <c r="A34" s="205">
        <v>6</v>
      </c>
      <c r="B34" s="206">
        <v>3446</v>
      </c>
      <c r="C34" s="206">
        <v>600078515</v>
      </c>
      <c r="D34" s="206">
        <v>70694974</v>
      </c>
      <c r="E34" s="204" t="s">
        <v>128</v>
      </c>
      <c r="F34" s="206">
        <v>3113</v>
      </c>
      <c r="G34" s="207" t="s">
        <v>291</v>
      </c>
      <c r="H34" s="607" t="s">
        <v>272</v>
      </c>
      <c r="I34" s="510">
        <v>1319029</v>
      </c>
      <c r="J34" s="414">
        <v>978508</v>
      </c>
      <c r="K34" s="414">
        <v>978508</v>
      </c>
      <c r="L34" s="414">
        <v>0</v>
      </c>
      <c r="M34" s="414">
        <v>0</v>
      </c>
      <c r="N34" s="414">
        <v>0</v>
      </c>
      <c r="O34" s="414">
        <v>0</v>
      </c>
      <c r="P34" s="68">
        <v>330736</v>
      </c>
      <c r="Q34" s="68">
        <v>9785</v>
      </c>
      <c r="R34" s="414">
        <v>0</v>
      </c>
      <c r="S34" s="415">
        <v>2.64</v>
      </c>
      <c r="T34" s="416">
        <v>2.64</v>
      </c>
      <c r="U34" s="422">
        <v>0</v>
      </c>
      <c r="V34" s="423">
        <f t="shared" si="4"/>
        <v>0</v>
      </c>
      <c r="W34" s="417">
        <f t="shared" si="5"/>
        <v>0</v>
      </c>
      <c r="X34" s="417">
        <f>46350+46350</f>
        <v>92700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6"/>
        <v>92700</v>
      </c>
      <c r="AF34" s="417">
        <f t="shared" si="7"/>
        <v>0</v>
      </c>
      <c r="AG34" s="417">
        <f t="shared" si="8"/>
        <v>92700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9"/>
        <v>0</v>
      </c>
      <c r="AN34" s="417">
        <f t="shared" si="10"/>
        <v>0</v>
      </c>
      <c r="AO34" s="417">
        <f t="shared" si="11"/>
        <v>0</v>
      </c>
      <c r="AP34" s="417">
        <f t="shared" si="12"/>
        <v>92700</v>
      </c>
      <c r="AQ34" s="417">
        <f t="shared" si="13"/>
        <v>0</v>
      </c>
      <c r="AR34" s="417">
        <f t="shared" si="14"/>
        <v>92700</v>
      </c>
      <c r="AS34" s="68">
        <f t="shared" si="15"/>
        <v>31333</v>
      </c>
      <c r="AT34" s="68">
        <f t="shared" si="16"/>
        <v>927</v>
      </c>
      <c r="AU34" s="417">
        <v>0</v>
      </c>
      <c r="AV34" s="417">
        <v>0</v>
      </c>
      <c r="AW34" s="417">
        <v>0</v>
      </c>
      <c r="AX34" s="417">
        <f t="shared" si="17"/>
        <v>0</v>
      </c>
      <c r="AY34" s="417">
        <f t="shared" si="18"/>
        <v>124960</v>
      </c>
      <c r="AZ34" s="418">
        <v>0</v>
      </c>
      <c r="BA34" s="418">
        <v>0</v>
      </c>
      <c r="BB34" s="418">
        <f>0.13+0.13</f>
        <v>0.26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9"/>
        <v>0.26</v>
      </c>
      <c r="BJ34" s="418">
        <f t="shared" si="20"/>
        <v>0</v>
      </c>
      <c r="BK34" s="420">
        <f t="shared" si="21"/>
        <v>0.26</v>
      </c>
      <c r="BL34" s="772">
        <f>I34+AY34</f>
        <v>1443989</v>
      </c>
      <c r="BM34" s="417">
        <f>J34+AG34</f>
        <v>1071208</v>
      </c>
      <c r="BN34" s="417">
        <f t="shared" si="49"/>
        <v>1071208</v>
      </c>
      <c r="BO34" s="417">
        <f t="shared" si="49"/>
        <v>0</v>
      </c>
      <c r="BP34" s="417">
        <f>M34+AO34</f>
        <v>0</v>
      </c>
      <c r="BQ34" s="417">
        <f t="shared" si="50"/>
        <v>0</v>
      </c>
      <c r="BR34" s="417">
        <f t="shared" si="50"/>
        <v>0</v>
      </c>
      <c r="BS34" s="417">
        <f t="shared" si="51"/>
        <v>362069</v>
      </c>
      <c r="BT34" s="417">
        <f t="shared" si="51"/>
        <v>10712</v>
      </c>
      <c r="BU34" s="417">
        <f>R34+AX34</f>
        <v>0</v>
      </c>
      <c r="BV34" s="418">
        <f>S34+BK34</f>
        <v>2.9000000000000004</v>
      </c>
      <c r="BW34" s="418">
        <f t="shared" si="52"/>
        <v>2.9000000000000004</v>
      </c>
      <c r="BX34" s="420">
        <f t="shared" si="52"/>
        <v>0</v>
      </c>
      <c r="BY34" s="419"/>
      <c r="BZ34" s="414"/>
      <c r="CA34" s="414"/>
      <c r="CB34" s="414"/>
      <c r="CC34" s="414"/>
      <c r="CD34" s="509"/>
      <c r="CE34" s="419"/>
      <c r="CF34" s="414"/>
      <c r="CG34" s="414"/>
      <c r="CH34" s="414"/>
      <c r="CI34" s="414"/>
      <c r="CJ34" s="509"/>
    </row>
    <row r="35" spans="1:88" ht="13.5" customHeight="1">
      <c r="A35" s="205">
        <v>6</v>
      </c>
      <c r="B35" s="206">
        <v>3446</v>
      </c>
      <c r="C35" s="206">
        <v>600078515</v>
      </c>
      <c r="D35" s="206">
        <v>70694974</v>
      </c>
      <c r="E35" s="204" t="s">
        <v>128</v>
      </c>
      <c r="F35" s="206">
        <v>3141</v>
      </c>
      <c r="G35" s="207" t="s">
        <v>294</v>
      </c>
      <c r="H35" s="607" t="s">
        <v>272</v>
      </c>
      <c r="I35" s="510">
        <v>2298132</v>
      </c>
      <c r="J35" s="414">
        <v>1682074</v>
      </c>
      <c r="K35" s="414">
        <v>0</v>
      </c>
      <c r="L35" s="414">
        <v>1682074</v>
      </c>
      <c r="M35" s="414">
        <v>10000</v>
      </c>
      <c r="N35" s="414">
        <v>0</v>
      </c>
      <c r="O35" s="414">
        <v>10000</v>
      </c>
      <c r="P35" s="68">
        <v>571921</v>
      </c>
      <c r="Q35" s="68">
        <v>16821</v>
      </c>
      <c r="R35" s="414">
        <v>17316</v>
      </c>
      <c r="S35" s="415">
        <v>5.07</v>
      </c>
      <c r="T35" s="416">
        <v>0</v>
      </c>
      <c r="U35" s="422">
        <v>5.07</v>
      </c>
      <c r="V35" s="423">
        <f t="shared" si="4"/>
        <v>0</v>
      </c>
      <c r="W35" s="417">
        <f t="shared" si="5"/>
        <v>4000</v>
      </c>
      <c r="X35" s="417">
        <v>0</v>
      </c>
      <c r="Y35" s="417">
        <v>0</v>
      </c>
      <c r="Z35" s="417">
        <v>0</v>
      </c>
      <c r="AA35" s="417">
        <v>5406</v>
      </c>
      <c r="AB35" s="417">
        <v>0</v>
      </c>
      <c r="AC35" s="417">
        <v>0</v>
      </c>
      <c r="AD35" s="417">
        <v>0</v>
      </c>
      <c r="AE35" s="417">
        <f t="shared" si="6"/>
        <v>0</v>
      </c>
      <c r="AF35" s="417">
        <f t="shared" si="7"/>
        <v>9406</v>
      </c>
      <c r="AG35" s="417">
        <f t="shared" si="8"/>
        <v>9406</v>
      </c>
      <c r="AH35" s="417">
        <v>0</v>
      </c>
      <c r="AI35" s="417">
        <v>-4000</v>
      </c>
      <c r="AJ35" s="417">
        <v>0</v>
      </c>
      <c r="AK35" s="417">
        <v>0</v>
      </c>
      <c r="AL35" s="417">
        <v>0</v>
      </c>
      <c r="AM35" s="417">
        <f t="shared" si="9"/>
        <v>0</v>
      </c>
      <c r="AN35" s="417">
        <f t="shared" si="10"/>
        <v>-4000</v>
      </c>
      <c r="AO35" s="417">
        <f t="shared" si="11"/>
        <v>-4000</v>
      </c>
      <c r="AP35" s="417">
        <f t="shared" si="12"/>
        <v>0</v>
      </c>
      <c r="AQ35" s="417">
        <f t="shared" si="13"/>
        <v>5406</v>
      </c>
      <c r="AR35" s="417">
        <f t="shared" si="14"/>
        <v>5406</v>
      </c>
      <c r="AS35" s="68">
        <f t="shared" si="15"/>
        <v>1827</v>
      </c>
      <c r="AT35" s="68">
        <f t="shared" si="16"/>
        <v>94</v>
      </c>
      <c r="AU35" s="417">
        <v>0</v>
      </c>
      <c r="AV35" s="417">
        <v>0</v>
      </c>
      <c r="AW35" s="417">
        <v>0</v>
      </c>
      <c r="AX35" s="417">
        <f t="shared" si="17"/>
        <v>0</v>
      </c>
      <c r="AY35" s="417">
        <f t="shared" si="18"/>
        <v>7327</v>
      </c>
      <c r="AZ35" s="418">
        <v>0</v>
      </c>
      <c r="BA35" s="418">
        <v>0</v>
      </c>
      <c r="BB35" s="418">
        <v>0</v>
      </c>
      <c r="BC35" s="418">
        <v>0</v>
      </c>
      <c r="BD35" s="418">
        <v>0.02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9"/>
        <v>0</v>
      </c>
      <c r="BJ35" s="418">
        <f t="shared" si="20"/>
        <v>0.02</v>
      </c>
      <c r="BK35" s="420">
        <f t="shared" si="21"/>
        <v>0.02</v>
      </c>
      <c r="BL35" s="772">
        <f>I35+AY35</f>
        <v>2305459</v>
      </c>
      <c r="BM35" s="417">
        <f>J35+AG35</f>
        <v>1691480</v>
      </c>
      <c r="BN35" s="417">
        <f t="shared" si="49"/>
        <v>0</v>
      </c>
      <c r="BO35" s="417">
        <f t="shared" si="49"/>
        <v>1691480</v>
      </c>
      <c r="BP35" s="417">
        <f>M35+AO35</f>
        <v>6000</v>
      </c>
      <c r="BQ35" s="417">
        <f t="shared" si="50"/>
        <v>0</v>
      </c>
      <c r="BR35" s="417">
        <f t="shared" si="50"/>
        <v>6000</v>
      </c>
      <c r="BS35" s="417">
        <f t="shared" si="51"/>
        <v>573748</v>
      </c>
      <c r="BT35" s="417">
        <f t="shared" si="51"/>
        <v>16915</v>
      </c>
      <c r="BU35" s="417">
        <f>R35+AX35</f>
        <v>17316</v>
      </c>
      <c r="BV35" s="418">
        <f>S35+BK35</f>
        <v>5.09</v>
      </c>
      <c r="BW35" s="418">
        <f t="shared" si="52"/>
        <v>0</v>
      </c>
      <c r="BX35" s="420">
        <f t="shared" si="52"/>
        <v>5.09</v>
      </c>
      <c r="BY35" s="419"/>
      <c r="BZ35" s="414"/>
      <c r="CA35" s="414"/>
      <c r="CB35" s="414"/>
      <c r="CC35" s="414"/>
      <c r="CD35" s="509"/>
      <c r="CE35" s="419"/>
      <c r="CF35" s="601"/>
      <c r="CG35" s="414"/>
      <c r="CH35" s="414"/>
      <c r="CI35" s="601"/>
      <c r="CJ35" s="603"/>
    </row>
    <row r="36" spans="1:88" ht="13.5" customHeight="1">
      <c r="A36" s="205">
        <v>6</v>
      </c>
      <c r="B36" s="206">
        <v>3446</v>
      </c>
      <c r="C36" s="206">
        <v>600078515</v>
      </c>
      <c r="D36" s="206">
        <v>70694974</v>
      </c>
      <c r="E36" s="204" t="s">
        <v>128</v>
      </c>
      <c r="F36" s="206">
        <v>3143</v>
      </c>
      <c r="G36" s="207" t="s">
        <v>595</v>
      </c>
      <c r="H36" s="609" t="s">
        <v>271</v>
      </c>
      <c r="I36" s="510">
        <v>1747589</v>
      </c>
      <c r="J36" s="414">
        <v>1296431</v>
      </c>
      <c r="K36" s="414">
        <v>1296431</v>
      </c>
      <c r="L36" s="414">
        <v>0</v>
      </c>
      <c r="M36" s="414">
        <v>0</v>
      </c>
      <c r="N36" s="414">
        <v>0</v>
      </c>
      <c r="O36" s="414">
        <v>0</v>
      </c>
      <c r="P36" s="68">
        <v>438194</v>
      </c>
      <c r="Q36" s="68">
        <v>12964</v>
      </c>
      <c r="R36" s="414">
        <v>0</v>
      </c>
      <c r="S36" s="415">
        <v>2.75</v>
      </c>
      <c r="T36" s="416">
        <v>2.75</v>
      </c>
      <c r="U36" s="422">
        <v>0</v>
      </c>
      <c r="V36" s="423">
        <f t="shared" si="4"/>
        <v>0</v>
      </c>
      <c r="W36" s="417">
        <f t="shared" si="5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6"/>
        <v>0</v>
      </c>
      <c r="AF36" s="417">
        <f t="shared" si="7"/>
        <v>0</v>
      </c>
      <c r="AG36" s="417">
        <f t="shared" si="8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9"/>
        <v>0</v>
      </c>
      <c r="AN36" s="417">
        <f t="shared" si="10"/>
        <v>0</v>
      </c>
      <c r="AO36" s="417">
        <f t="shared" si="11"/>
        <v>0</v>
      </c>
      <c r="AP36" s="417">
        <f t="shared" si="12"/>
        <v>0</v>
      </c>
      <c r="AQ36" s="417">
        <f t="shared" si="13"/>
        <v>0</v>
      </c>
      <c r="AR36" s="417">
        <f t="shared" si="14"/>
        <v>0</v>
      </c>
      <c r="AS36" s="68">
        <f t="shared" si="15"/>
        <v>0</v>
      </c>
      <c r="AT36" s="68">
        <f t="shared" si="16"/>
        <v>0</v>
      </c>
      <c r="AU36" s="417">
        <v>0</v>
      </c>
      <c r="AV36" s="417">
        <v>0</v>
      </c>
      <c r="AW36" s="417">
        <v>0</v>
      </c>
      <c r="AX36" s="417">
        <f t="shared" si="17"/>
        <v>0</v>
      </c>
      <c r="AY36" s="417">
        <f t="shared" si="18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9"/>
        <v>0</v>
      </c>
      <c r="BJ36" s="418">
        <f t="shared" si="20"/>
        <v>0</v>
      </c>
      <c r="BK36" s="420">
        <f t="shared" si="21"/>
        <v>0</v>
      </c>
      <c r="BL36" s="772">
        <f>I36+AY36</f>
        <v>1747589</v>
      </c>
      <c r="BM36" s="417">
        <f>J36+AG36</f>
        <v>1296431</v>
      </c>
      <c r="BN36" s="417">
        <f t="shared" si="49"/>
        <v>1296431</v>
      </c>
      <c r="BO36" s="417">
        <f t="shared" si="49"/>
        <v>0</v>
      </c>
      <c r="BP36" s="417">
        <f>M36+AO36</f>
        <v>0</v>
      </c>
      <c r="BQ36" s="417">
        <f t="shared" si="50"/>
        <v>0</v>
      </c>
      <c r="BR36" s="417">
        <f t="shared" si="50"/>
        <v>0</v>
      </c>
      <c r="BS36" s="417">
        <f t="shared" si="51"/>
        <v>438194</v>
      </c>
      <c r="BT36" s="417">
        <f t="shared" si="51"/>
        <v>12964</v>
      </c>
      <c r="BU36" s="417">
        <f>R36+AX36</f>
        <v>0</v>
      </c>
      <c r="BV36" s="418">
        <f>S36+BK36</f>
        <v>2.75</v>
      </c>
      <c r="BW36" s="418">
        <f t="shared" si="52"/>
        <v>2.75</v>
      </c>
      <c r="BX36" s="420">
        <f t="shared" si="52"/>
        <v>0</v>
      </c>
      <c r="BY36" s="419"/>
      <c r="BZ36" s="414"/>
      <c r="CA36" s="414"/>
      <c r="CB36" s="414"/>
      <c r="CC36" s="414"/>
      <c r="CD36" s="509"/>
      <c r="CE36" s="419"/>
      <c r="CF36" s="414"/>
      <c r="CG36" s="414"/>
      <c r="CH36" s="414"/>
      <c r="CI36" s="414"/>
      <c r="CJ36" s="509"/>
    </row>
    <row r="37" spans="1:88" ht="13.5" customHeight="1">
      <c r="A37" s="205">
        <v>6</v>
      </c>
      <c r="B37" s="206">
        <v>3446</v>
      </c>
      <c r="C37" s="206">
        <v>600078515</v>
      </c>
      <c r="D37" s="206">
        <v>70694974</v>
      </c>
      <c r="E37" s="204" t="s">
        <v>128</v>
      </c>
      <c r="F37" s="206">
        <v>3143</v>
      </c>
      <c r="G37" s="207" t="s">
        <v>596</v>
      </c>
      <c r="H37" s="609" t="s">
        <v>272</v>
      </c>
      <c r="I37" s="510">
        <v>67619</v>
      </c>
      <c r="J37" s="414">
        <v>48400</v>
      </c>
      <c r="K37" s="414">
        <v>0</v>
      </c>
      <c r="L37" s="414">
        <v>48400</v>
      </c>
      <c r="M37" s="414">
        <v>0</v>
      </c>
      <c r="N37" s="414">
        <v>0</v>
      </c>
      <c r="O37" s="414">
        <v>0</v>
      </c>
      <c r="P37" s="68">
        <v>16359</v>
      </c>
      <c r="Q37" s="68">
        <v>484</v>
      </c>
      <c r="R37" s="414">
        <v>2376</v>
      </c>
      <c r="S37" s="415">
        <v>0.18</v>
      </c>
      <c r="T37" s="416">
        <v>0</v>
      </c>
      <c r="U37" s="422">
        <v>0.18</v>
      </c>
      <c r="V37" s="423">
        <f t="shared" si="4"/>
        <v>0</v>
      </c>
      <c r="W37" s="417">
        <f t="shared" si="5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6"/>
        <v>0</v>
      </c>
      <c r="AF37" s="417">
        <f t="shared" si="7"/>
        <v>0</v>
      </c>
      <c r="AG37" s="417">
        <f t="shared" si="8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9"/>
        <v>0</v>
      </c>
      <c r="AN37" s="417">
        <f t="shared" si="10"/>
        <v>0</v>
      </c>
      <c r="AO37" s="417">
        <f t="shared" si="11"/>
        <v>0</v>
      </c>
      <c r="AP37" s="417">
        <f t="shared" si="12"/>
        <v>0</v>
      </c>
      <c r="AQ37" s="417">
        <f t="shared" si="13"/>
        <v>0</v>
      </c>
      <c r="AR37" s="417">
        <f t="shared" si="14"/>
        <v>0</v>
      </c>
      <c r="AS37" s="68">
        <f t="shared" si="15"/>
        <v>0</v>
      </c>
      <c r="AT37" s="68">
        <f t="shared" si="16"/>
        <v>0</v>
      </c>
      <c r="AU37" s="417">
        <v>0</v>
      </c>
      <c r="AV37" s="417">
        <v>0</v>
      </c>
      <c r="AW37" s="417">
        <v>0</v>
      </c>
      <c r="AX37" s="417">
        <f t="shared" si="17"/>
        <v>0</v>
      </c>
      <c r="AY37" s="417">
        <f t="shared" si="18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9"/>
        <v>0</v>
      </c>
      <c r="BJ37" s="418">
        <f t="shared" si="20"/>
        <v>0</v>
      </c>
      <c r="BK37" s="420">
        <f t="shared" si="21"/>
        <v>0</v>
      </c>
      <c r="BL37" s="772">
        <f>I37+AY37</f>
        <v>67619</v>
      </c>
      <c r="BM37" s="417">
        <f>J37+AG37</f>
        <v>48400</v>
      </c>
      <c r="BN37" s="417">
        <f t="shared" si="49"/>
        <v>0</v>
      </c>
      <c r="BO37" s="417">
        <f t="shared" si="49"/>
        <v>48400</v>
      </c>
      <c r="BP37" s="417">
        <f>M37+AO37</f>
        <v>0</v>
      </c>
      <c r="BQ37" s="417">
        <f t="shared" si="50"/>
        <v>0</v>
      </c>
      <c r="BR37" s="417">
        <f t="shared" si="50"/>
        <v>0</v>
      </c>
      <c r="BS37" s="417">
        <f t="shared" si="51"/>
        <v>16359</v>
      </c>
      <c r="BT37" s="417">
        <f t="shared" si="51"/>
        <v>484</v>
      </c>
      <c r="BU37" s="417">
        <f>R37+AX37</f>
        <v>2376</v>
      </c>
      <c r="BV37" s="418">
        <f>S37+BK37</f>
        <v>0.18</v>
      </c>
      <c r="BW37" s="418">
        <f t="shared" si="52"/>
        <v>0</v>
      </c>
      <c r="BX37" s="420">
        <f t="shared" si="52"/>
        <v>0.18</v>
      </c>
      <c r="BY37" s="419"/>
      <c r="BZ37" s="414"/>
      <c r="CA37" s="414"/>
      <c r="CB37" s="414"/>
      <c r="CC37" s="414"/>
      <c r="CD37" s="509"/>
      <c r="CE37" s="419"/>
      <c r="CF37" s="601"/>
      <c r="CG37" s="414"/>
      <c r="CH37" s="414"/>
      <c r="CI37" s="602"/>
      <c r="CJ37" s="603"/>
    </row>
    <row r="38" spans="1:88" ht="13.5" customHeight="1">
      <c r="A38" s="155">
        <v>6</v>
      </c>
      <c r="B38" s="18">
        <v>3446</v>
      </c>
      <c r="C38" s="18">
        <v>600078515</v>
      </c>
      <c r="D38" s="18">
        <v>70694974</v>
      </c>
      <c r="E38" s="164" t="s">
        <v>129</v>
      </c>
      <c r="F38" s="18"/>
      <c r="G38" s="154"/>
      <c r="H38" s="608"/>
      <c r="I38" s="451">
        <v>31852583</v>
      </c>
      <c r="J38" s="444">
        <v>23257315</v>
      </c>
      <c r="K38" s="444">
        <v>19497852</v>
      </c>
      <c r="L38" s="444">
        <v>3759463</v>
      </c>
      <c r="M38" s="444">
        <v>15000</v>
      </c>
      <c r="N38" s="444">
        <v>5000</v>
      </c>
      <c r="O38" s="444">
        <v>10000</v>
      </c>
      <c r="P38" s="444">
        <v>7866042</v>
      </c>
      <c r="Q38" s="444">
        <v>232574</v>
      </c>
      <c r="R38" s="444">
        <v>481652</v>
      </c>
      <c r="S38" s="445">
        <v>42.077500000000001</v>
      </c>
      <c r="T38" s="445">
        <v>30.868500000000001</v>
      </c>
      <c r="U38" s="449">
        <v>11.209</v>
      </c>
      <c r="V38" s="447">
        <f t="shared" ref="V38:CG38" si="53">SUM(V33:V37)</f>
        <v>-10500</v>
      </c>
      <c r="W38" s="444">
        <f t="shared" si="53"/>
        <v>-38000</v>
      </c>
      <c r="X38" s="444">
        <f t="shared" si="53"/>
        <v>92700</v>
      </c>
      <c r="Y38" s="444">
        <f t="shared" si="53"/>
        <v>0</v>
      </c>
      <c r="Z38" s="444">
        <f t="shared" si="53"/>
        <v>0</v>
      </c>
      <c r="AA38" s="444">
        <f t="shared" si="53"/>
        <v>5406</v>
      </c>
      <c r="AB38" s="444">
        <f t="shared" si="53"/>
        <v>0</v>
      </c>
      <c r="AC38" s="444">
        <f t="shared" si="53"/>
        <v>0</v>
      </c>
      <c r="AD38" s="444">
        <f t="shared" si="53"/>
        <v>0</v>
      </c>
      <c r="AE38" s="444">
        <f t="shared" si="53"/>
        <v>82200</v>
      </c>
      <c r="AF38" s="444">
        <f t="shared" si="53"/>
        <v>-32594</v>
      </c>
      <c r="AG38" s="444">
        <f t="shared" si="53"/>
        <v>49606</v>
      </c>
      <c r="AH38" s="444">
        <f t="shared" si="53"/>
        <v>10500</v>
      </c>
      <c r="AI38" s="444">
        <f t="shared" si="53"/>
        <v>38000</v>
      </c>
      <c r="AJ38" s="444">
        <f t="shared" si="53"/>
        <v>0</v>
      </c>
      <c r="AK38" s="444">
        <f t="shared" si="53"/>
        <v>0</v>
      </c>
      <c r="AL38" s="444">
        <f t="shared" si="53"/>
        <v>0</v>
      </c>
      <c r="AM38" s="444">
        <f t="shared" si="53"/>
        <v>10500</v>
      </c>
      <c r="AN38" s="444">
        <f t="shared" si="53"/>
        <v>38000</v>
      </c>
      <c r="AO38" s="444">
        <f t="shared" si="53"/>
        <v>48500</v>
      </c>
      <c r="AP38" s="444">
        <f t="shared" si="53"/>
        <v>92700</v>
      </c>
      <c r="AQ38" s="444">
        <f t="shared" si="53"/>
        <v>5406</v>
      </c>
      <c r="AR38" s="444">
        <f t="shared" si="53"/>
        <v>98106</v>
      </c>
      <c r="AS38" s="444">
        <f t="shared" si="53"/>
        <v>33160</v>
      </c>
      <c r="AT38" s="444">
        <f t="shared" si="53"/>
        <v>496</v>
      </c>
      <c r="AU38" s="444">
        <f t="shared" si="53"/>
        <v>0</v>
      </c>
      <c r="AV38" s="444">
        <f t="shared" si="53"/>
        <v>0</v>
      </c>
      <c r="AW38" s="444">
        <f t="shared" si="53"/>
        <v>0</v>
      </c>
      <c r="AX38" s="444">
        <f t="shared" si="53"/>
        <v>0</v>
      </c>
      <c r="AY38" s="444">
        <f t="shared" si="53"/>
        <v>131762</v>
      </c>
      <c r="AZ38" s="445">
        <f t="shared" si="53"/>
        <v>-0.02</v>
      </c>
      <c r="BA38" s="445">
        <f t="shared" si="53"/>
        <v>0</v>
      </c>
      <c r="BB38" s="445">
        <f t="shared" si="53"/>
        <v>0.26</v>
      </c>
      <c r="BC38" s="445">
        <f t="shared" si="53"/>
        <v>0</v>
      </c>
      <c r="BD38" s="445">
        <f t="shared" si="53"/>
        <v>0.02</v>
      </c>
      <c r="BE38" s="445">
        <f t="shared" si="53"/>
        <v>0</v>
      </c>
      <c r="BF38" s="445">
        <f t="shared" si="53"/>
        <v>0</v>
      </c>
      <c r="BG38" s="445">
        <f t="shared" si="53"/>
        <v>0</v>
      </c>
      <c r="BH38" s="445">
        <f t="shared" si="53"/>
        <v>0</v>
      </c>
      <c r="BI38" s="445">
        <f t="shared" si="53"/>
        <v>0.24000000000000002</v>
      </c>
      <c r="BJ38" s="445">
        <f t="shared" si="53"/>
        <v>0.02</v>
      </c>
      <c r="BK38" s="39">
        <f t="shared" si="53"/>
        <v>0.26</v>
      </c>
      <c r="BL38" s="451">
        <f t="shared" si="53"/>
        <v>31984345</v>
      </c>
      <c r="BM38" s="444">
        <f t="shared" si="53"/>
        <v>23306921</v>
      </c>
      <c r="BN38" s="444">
        <f t="shared" si="53"/>
        <v>19580052</v>
      </c>
      <c r="BO38" s="444">
        <f t="shared" si="53"/>
        <v>3726869</v>
      </c>
      <c r="BP38" s="444">
        <f t="shared" si="53"/>
        <v>63500</v>
      </c>
      <c r="BQ38" s="444">
        <f t="shared" si="53"/>
        <v>15500</v>
      </c>
      <c r="BR38" s="444">
        <f t="shared" si="53"/>
        <v>48000</v>
      </c>
      <c r="BS38" s="444">
        <f t="shared" si="53"/>
        <v>7899202</v>
      </c>
      <c r="BT38" s="444">
        <f t="shared" si="53"/>
        <v>233070</v>
      </c>
      <c r="BU38" s="444">
        <f t="shared" si="53"/>
        <v>481652</v>
      </c>
      <c r="BV38" s="445">
        <f t="shared" si="53"/>
        <v>42.337499999999999</v>
      </c>
      <c r="BW38" s="445">
        <f t="shared" si="53"/>
        <v>31.108499999999999</v>
      </c>
      <c r="BX38" s="39">
        <f t="shared" si="53"/>
        <v>11.228999999999999</v>
      </c>
      <c r="BY38" s="806">
        <f t="shared" si="53"/>
        <v>0</v>
      </c>
      <c r="BZ38" s="709">
        <f t="shared" si="53"/>
        <v>0</v>
      </c>
      <c r="CA38" s="709">
        <f t="shared" si="53"/>
        <v>0</v>
      </c>
      <c r="CB38" s="709">
        <f t="shared" si="53"/>
        <v>0</v>
      </c>
      <c r="CC38" s="709">
        <f t="shared" si="53"/>
        <v>0</v>
      </c>
      <c r="CD38" s="807">
        <f t="shared" si="53"/>
        <v>0</v>
      </c>
      <c r="CE38" s="919">
        <f t="shared" si="53"/>
        <v>984046</v>
      </c>
      <c r="CF38" s="920">
        <f t="shared" si="53"/>
        <v>651270</v>
      </c>
      <c r="CG38" s="920">
        <f t="shared" si="53"/>
        <v>220129</v>
      </c>
      <c r="CH38" s="920">
        <f t="shared" ref="CH38:CJ38" si="54">SUM(CH33:CH37)</f>
        <v>6513</v>
      </c>
      <c r="CI38" s="920">
        <f t="shared" si="54"/>
        <v>106134</v>
      </c>
      <c r="CJ38" s="921">
        <f t="shared" si="54"/>
        <v>1.9129</v>
      </c>
    </row>
    <row r="39" spans="1:88" ht="13.5" customHeight="1">
      <c r="A39" s="205">
        <v>7</v>
      </c>
      <c r="B39" s="206">
        <v>3457</v>
      </c>
      <c r="C39" s="206">
        <v>651040230</v>
      </c>
      <c r="D39" s="206">
        <v>75125412</v>
      </c>
      <c r="E39" s="204" t="s">
        <v>130</v>
      </c>
      <c r="F39" s="206">
        <v>3231</v>
      </c>
      <c r="G39" s="207" t="s">
        <v>295</v>
      </c>
      <c r="H39" s="607" t="s">
        <v>271</v>
      </c>
      <c r="I39" s="510">
        <v>12330844</v>
      </c>
      <c r="J39" s="414">
        <v>9091337</v>
      </c>
      <c r="K39" s="414">
        <v>8588349</v>
      </c>
      <c r="L39" s="414">
        <v>502988</v>
      </c>
      <c r="M39" s="414">
        <v>40500</v>
      </c>
      <c r="N39" s="414">
        <v>40500</v>
      </c>
      <c r="O39" s="414">
        <v>0</v>
      </c>
      <c r="P39" s="68">
        <v>3086561</v>
      </c>
      <c r="Q39" s="68">
        <v>90914</v>
      </c>
      <c r="R39" s="414">
        <v>21532</v>
      </c>
      <c r="S39" s="415">
        <v>15.0877</v>
      </c>
      <c r="T39" s="416">
        <v>13.676500000000001</v>
      </c>
      <c r="U39" s="422">
        <v>1.4112</v>
      </c>
      <c r="V39" s="423">
        <f t="shared" si="4"/>
        <v>-15150</v>
      </c>
      <c r="W39" s="417">
        <f t="shared" si="5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6"/>
        <v>-15150</v>
      </c>
      <c r="AF39" s="417">
        <f t="shared" si="7"/>
        <v>0</v>
      </c>
      <c r="AG39" s="417">
        <f t="shared" si="8"/>
        <v>-15150</v>
      </c>
      <c r="AH39" s="417">
        <v>15150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9"/>
        <v>15150</v>
      </c>
      <c r="AN39" s="417">
        <f t="shared" si="10"/>
        <v>0</v>
      </c>
      <c r="AO39" s="417">
        <f t="shared" si="11"/>
        <v>15150</v>
      </c>
      <c r="AP39" s="417">
        <f t="shared" si="12"/>
        <v>0</v>
      </c>
      <c r="AQ39" s="417">
        <f t="shared" si="13"/>
        <v>0</v>
      </c>
      <c r="AR39" s="417">
        <f t="shared" si="14"/>
        <v>0</v>
      </c>
      <c r="AS39" s="68">
        <f t="shared" si="15"/>
        <v>0</v>
      </c>
      <c r="AT39" s="68">
        <f t="shared" si="16"/>
        <v>-152</v>
      </c>
      <c r="AU39" s="417">
        <v>0</v>
      </c>
      <c r="AV39" s="417">
        <v>0</v>
      </c>
      <c r="AW39" s="417">
        <v>0</v>
      </c>
      <c r="AX39" s="417">
        <f t="shared" si="17"/>
        <v>0</v>
      </c>
      <c r="AY39" s="417">
        <f t="shared" si="18"/>
        <v>-152</v>
      </c>
      <c r="AZ39" s="418">
        <v>-0.03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9"/>
        <v>-0.03</v>
      </c>
      <c r="BJ39" s="418">
        <f t="shared" si="20"/>
        <v>0</v>
      </c>
      <c r="BK39" s="420">
        <f t="shared" si="21"/>
        <v>-0.03</v>
      </c>
      <c r="BL39" s="772">
        <f>I39+AY39</f>
        <v>12330692</v>
      </c>
      <c r="BM39" s="417">
        <f>J39+AG39</f>
        <v>9076187</v>
      </c>
      <c r="BN39" s="417">
        <f>K39+AE39</f>
        <v>8573199</v>
      </c>
      <c r="BO39" s="417">
        <f>L39+AF39</f>
        <v>502988</v>
      </c>
      <c r="BP39" s="417">
        <f>M39+AO39</f>
        <v>55650</v>
      </c>
      <c r="BQ39" s="417">
        <f>N39+AM39</f>
        <v>55650</v>
      </c>
      <c r="BR39" s="417">
        <f>O39+AN39</f>
        <v>0</v>
      </c>
      <c r="BS39" s="417">
        <f>P39+AS39</f>
        <v>3086561</v>
      </c>
      <c r="BT39" s="417">
        <f>Q39+AT39</f>
        <v>90762</v>
      </c>
      <c r="BU39" s="417">
        <f>R39+AX39</f>
        <v>21532</v>
      </c>
      <c r="BV39" s="418">
        <f>S39+BK39</f>
        <v>15.057700000000001</v>
      </c>
      <c r="BW39" s="418">
        <f>T39+BI39</f>
        <v>13.646500000000001</v>
      </c>
      <c r="BX39" s="420">
        <f>U39+BJ39</f>
        <v>1.4112</v>
      </c>
      <c r="BY39" s="419"/>
      <c r="BZ39" s="414"/>
      <c r="CA39" s="414"/>
      <c r="CB39" s="414"/>
      <c r="CC39" s="414"/>
      <c r="CD39" s="509"/>
      <c r="CE39" s="419">
        <v>229842</v>
      </c>
      <c r="CF39" s="414">
        <v>165280</v>
      </c>
      <c r="CG39" s="414">
        <v>55865</v>
      </c>
      <c r="CH39" s="414">
        <v>1653</v>
      </c>
      <c r="CI39" s="414">
        <v>7044</v>
      </c>
      <c r="CJ39" s="509">
        <v>0.46360000000000001</v>
      </c>
    </row>
    <row r="40" spans="1:88" ht="13.5" customHeight="1">
      <c r="A40" s="155">
        <v>7</v>
      </c>
      <c r="B40" s="18">
        <v>3457</v>
      </c>
      <c r="C40" s="18">
        <v>651040230</v>
      </c>
      <c r="D40" s="18">
        <v>75125412</v>
      </c>
      <c r="E40" s="164" t="s">
        <v>131</v>
      </c>
      <c r="F40" s="18"/>
      <c r="G40" s="154"/>
      <c r="H40" s="608"/>
      <c r="I40" s="450">
        <v>12330844</v>
      </c>
      <c r="J40" s="442">
        <v>9091337</v>
      </c>
      <c r="K40" s="442">
        <v>8588349</v>
      </c>
      <c r="L40" s="442">
        <v>502988</v>
      </c>
      <c r="M40" s="442">
        <v>40500</v>
      </c>
      <c r="N40" s="442">
        <v>40500</v>
      </c>
      <c r="O40" s="442">
        <v>0</v>
      </c>
      <c r="P40" s="442">
        <v>3086561</v>
      </c>
      <c r="Q40" s="442">
        <v>90914</v>
      </c>
      <c r="R40" s="442">
        <v>21532</v>
      </c>
      <c r="S40" s="443">
        <v>15.0877</v>
      </c>
      <c r="T40" s="443">
        <v>13.676500000000001</v>
      </c>
      <c r="U40" s="448">
        <v>1.4112</v>
      </c>
      <c r="V40" s="446">
        <f t="shared" ref="V40:CG40" si="55">SUM(V39)</f>
        <v>-15150</v>
      </c>
      <c r="W40" s="442">
        <f t="shared" si="55"/>
        <v>0</v>
      </c>
      <c r="X40" s="442">
        <f t="shared" si="55"/>
        <v>0</v>
      </c>
      <c r="Y40" s="442">
        <f t="shared" si="55"/>
        <v>0</v>
      </c>
      <c r="Z40" s="442">
        <f t="shared" si="55"/>
        <v>0</v>
      </c>
      <c r="AA40" s="442">
        <f t="shared" si="55"/>
        <v>0</v>
      </c>
      <c r="AB40" s="442">
        <f t="shared" si="55"/>
        <v>0</v>
      </c>
      <c r="AC40" s="442">
        <f t="shared" si="55"/>
        <v>0</v>
      </c>
      <c r="AD40" s="442">
        <f t="shared" si="55"/>
        <v>0</v>
      </c>
      <c r="AE40" s="442">
        <f t="shared" si="55"/>
        <v>-15150</v>
      </c>
      <c r="AF40" s="442">
        <f t="shared" si="55"/>
        <v>0</v>
      </c>
      <c r="AG40" s="442">
        <f t="shared" si="55"/>
        <v>-15150</v>
      </c>
      <c r="AH40" s="442">
        <f t="shared" si="55"/>
        <v>15150</v>
      </c>
      <c r="AI40" s="442">
        <f t="shared" si="55"/>
        <v>0</v>
      </c>
      <c r="AJ40" s="442">
        <f t="shared" si="55"/>
        <v>0</v>
      </c>
      <c r="AK40" s="442">
        <f t="shared" si="55"/>
        <v>0</v>
      </c>
      <c r="AL40" s="442">
        <f t="shared" si="55"/>
        <v>0</v>
      </c>
      <c r="AM40" s="442">
        <f t="shared" si="55"/>
        <v>15150</v>
      </c>
      <c r="AN40" s="442">
        <f t="shared" si="55"/>
        <v>0</v>
      </c>
      <c r="AO40" s="442">
        <f t="shared" si="55"/>
        <v>15150</v>
      </c>
      <c r="AP40" s="442">
        <f t="shared" si="55"/>
        <v>0</v>
      </c>
      <c r="AQ40" s="442">
        <f t="shared" si="55"/>
        <v>0</v>
      </c>
      <c r="AR40" s="442">
        <f t="shared" si="55"/>
        <v>0</v>
      </c>
      <c r="AS40" s="442">
        <f t="shared" si="55"/>
        <v>0</v>
      </c>
      <c r="AT40" s="442">
        <f t="shared" si="55"/>
        <v>-152</v>
      </c>
      <c r="AU40" s="442">
        <f t="shared" si="55"/>
        <v>0</v>
      </c>
      <c r="AV40" s="442">
        <f t="shared" si="55"/>
        <v>0</v>
      </c>
      <c r="AW40" s="442">
        <f t="shared" si="55"/>
        <v>0</v>
      </c>
      <c r="AX40" s="442">
        <f t="shared" si="55"/>
        <v>0</v>
      </c>
      <c r="AY40" s="442">
        <f t="shared" si="55"/>
        <v>-152</v>
      </c>
      <c r="AZ40" s="443">
        <f t="shared" si="55"/>
        <v>-0.03</v>
      </c>
      <c r="BA40" s="443">
        <f t="shared" si="55"/>
        <v>0</v>
      </c>
      <c r="BB40" s="443">
        <f t="shared" si="55"/>
        <v>0</v>
      </c>
      <c r="BC40" s="443">
        <f t="shared" si="55"/>
        <v>0</v>
      </c>
      <c r="BD40" s="443">
        <f t="shared" si="55"/>
        <v>0</v>
      </c>
      <c r="BE40" s="443">
        <f t="shared" si="55"/>
        <v>0</v>
      </c>
      <c r="BF40" s="443">
        <f t="shared" si="55"/>
        <v>0</v>
      </c>
      <c r="BG40" s="443">
        <f t="shared" si="55"/>
        <v>0</v>
      </c>
      <c r="BH40" s="443">
        <f t="shared" si="55"/>
        <v>0</v>
      </c>
      <c r="BI40" s="443">
        <f t="shared" si="55"/>
        <v>-0.03</v>
      </c>
      <c r="BJ40" s="443">
        <f t="shared" si="55"/>
        <v>0</v>
      </c>
      <c r="BK40" s="40">
        <f t="shared" si="55"/>
        <v>-0.03</v>
      </c>
      <c r="BL40" s="450">
        <f t="shared" si="55"/>
        <v>12330692</v>
      </c>
      <c r="BM40" s="442">
        <f t="shared" si="55"/>
        <v>9076187</v>
      </c>
      <c r="BN40" s="442">
        <f t="shared" si="55"/>
        <v>8573199</v>
      </c>
      <c r="BO40" s="442">
        <f t="shared" si="55"/>
        <v>502988</v>
      </c>
      <c r="BP40" s="442">
        <f t="shared" si="55"/>
        <v>55650</v>
      </c>
      <c r="BQ40" s="442">
        <f t="shared" si="55"/>
        <v>55650</v>
      </c>
      <c r="BR40" s="442">
        <f t="shared" si="55"/>
        <v>0</v>
      </c>
      <c r="BS40" s="442">
        <f t="shared" si="55"/>
        <v>3086561</v>
      </c>
      <c r="BT40" s="442">
        <f t="shared" si="55"/>
        <v>90762</v>
      </c>
      <c r="BU40" s="442">
        <f t="shared" si="55"/>
        <v>21532</v>
      </c>
      <c r="BV40" s="443">
        <f t="shared" si="55"/>
        <v>15.057700000000001</v>
      </c>
      <c r="BW40" s="443">
        <f t="shared" si="55"/>
        <v>13.646500000000001</v>
      </c>
      <c r="BX40" s="40">
        <f t="shared" si="55"/>
        <v>1.4112</v>
      </c>
      <c r="BY40" s="804">
        <f t="shared" si="55"/>
        <v>0</v>
      </c>
      <c r="BZ40" s="708">
        <f t="shared" si="55"/>
        <v>0</v>
      </c>
      <c r="CA40" s="708">
        <f t="shared" si="55"/>
        <v>0</v>
      </c>
      <c r="CB40" s="708">
        <f t="shared" si="55"/>
        <v>0</v>
      </c>
      <c r="CC40" s="708">
        <f t="shared" si="55"/>
        <v>0</v>
      </c>
      <c r="CD40" s="805">
        <f t="shared" si="55"/>
        <v>0</v>
      </c>
      <c r="CE40" s="916">
        <f t="shared" si="55"/>
        <v>229842</v>
      </c>
      <c r="CF40" s="917">
        <f t="shared" si="55"/>
        <v>165280</v>
      </c>
      <c r="CG40" s="917">
        <f t="shared" si="55"/>
        <v>55865</v>
      </c>
      <c r="CH40" s="917">
        <f t="shared" ref="CH40:CJ40" si="56">SUM(CH39)</f>
        <v>1653</v>
      </c>
      <c r="CI40" s="917">
        <f t="shared" si="56"/>
        <v>7044</v>
      </c>
      <c r="CJ40" s="918">
        <f t="shared" si="56"/>
        <v>0.46360000000000001</v>
      </c>
    </row>
    <row r="41" spans="1:88" ht="13.5" customHeight="1">
      <c r="A41" s="205">
        <v>8</v>
      </c>
      <c r="B41" s="206">
        <v>3423</v>
      </c>
      <c r="C41" s="206">
        <v>600078108</v>
      </c>
      <c r="D41" s="206">
        <v>70695059</v>
      </c>
      <c r="E41" s="204" t="s">
        <v>132</v>
      </c>
      <c r="F41" s="206">
        <v>3111</v>
      </c>
      <c r="G41" s="207" t="s">
        <v>290</v>
      </c>
      <c r="H41" s="607" t="s">
        <v>271</v>
      </c>
      <c r="I41" s="510">
        <v>3716074</v>
      </c>
      <c r="J41" s="414">
        <v>2722933</v>
      </c>
      <c r="K41" s="414">
        <v>2376732</v>
      </c>
      <c r="L41" s="414">
        <v>346201</v>
      </c>
      <c r="M41" s="414">
        <v>20000</v>
      </c>
      <c r="N41" s="414">
        <v>20000</v>
      </c>
      <c r="O41" s="414">
        <v>0</v>
      </c>
      <c r="P41" s="68">
        <v>927111</v>
      </c>
      <c r="Q41" s="68">
        <v>27230</v>
      </c>
      <c r="R41" s="414">
        <v>18800</v>
      </c>
      <c r="S41" s="415">
        <v>5.158100000000001</v>
      </c>
      <c r="T41" s="416">
        <v>3.9800000000000004</v>
      </c>
      <c r="U41" s="422">
        <v>1.1781000000000001</v>
      </c>
      <c r="V41" s="423">
        <f t="shared" si="4"/>
        <v>0</v>
      </c>
      <c r="W41" s="417">
        <f t="shared" si="5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6"/>
        <v>0</v>
      </c>
      <c r="AF41" s="417">
        <f t="shared" si="7"/>
        <v>0</v>
      </c>
      <c r="AG41" s="417">
        <f t="shared" si="8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9"/>
        <v>0</v>
      </c>
      <c r="AN41" s="417">
        <f t="shared" si="10"/>
        <v>0</v>
      </c>
      <c r="AO41" s="417">
        <f t="shared" si="11"/>
        <v>0</v>
      </c>
      <c r="AP41" s="417">
        <f t="shared" si="12"/>
        <v>0</v>
      </c>
      <c r="AQ41" s="417">
        <f t="shared" si="13"/>
        <v>0</v>
      </c>
      <c r="AR41" s="417">
        <f t="shared" si="14"/>
        <v>0</v>
      </c>
      <c r="AS41" s="68">
        <f t="shared" si="15"/>
        <v>0</v>
      </c>
      <c r="AT41" s="68">
        <f t="shared" si="16"/>
        <v>0</v>
      </c>
      <c r="AU41" s="417">
        <v>0</v>
      </c>
      <c r="AV41" s="417">
        <v>0</v>
      </c>
      <c r="AW41" s="417">
        <v>0</v>
      </c>
      <c r="AX41" s="417">
        <f t="shared" si="17"/>
        <v>0</v>
      </c>
      <c r="AY41" s="417">
        <f t="shared" si="18"/>
        <v>0</v>
      </c>
      <c r="AZ41" s="418">
        <v>2.3E-2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9"/>
        <v>2.3E-2</v>
      </c>
      <c r="BJ41" s="418">
        <f t="shared" si="20"/>
        <v>0</v>
      </c>
      <c r="BK41" s="420">
        <f t="shared" si="21"/>
        <v>2.3E-2</v>
      </c>
      <c r="BL41" s="772">
        <f>I41+AY41</f>
        <v>3716074</v>
      </c>
      <c r="BM41" s="417">
        <f>J41+AG41</f>
        <v>2722933</v>
      </c>
      <c r="BN41" s="417">
        <f>K41+AE41</f>
        <v>2376732</v>
      </c>
      <c r="BO41" s="417">
        <f>L41+AF41</f>
        <v>346201</v>
      </c>
      <c r="BP41" s="417">
        <f>M41+AO41</f>
        <v>20000</v>
      </c>
      <c r="BQ41" s="417">
        <f>N41+AM41</f>
        <v>20000</v>
      </c>
      <c r="BR41" s="417">
        <f>O41+AN41</f>
        <v>0</v>
      </c>
      <c r="BS41" s="417">
        <f>P41+AS41</f>
        <v>927111</v>
      </c>
      <c r="BT41" s="417">
        <f>Q41+AT41</f>
        <v>27230</v>
      </c>
      <c r="BU41" s="417">
        <f>R41+AX41</f>
        <v>18800</v>
      </c>
      <c r="BV41" s="418">
        <f>S41+BK41</f>
        <v>5.1811000000000007</v>
      </c>
      <c r="BW41" s="418">
        <f>T41+BI41</f>
        <v>4.0030000000000001</v>
      </c>
      <c r="BX41" s="420">
        <f>U41+BJ41</f>
        <v>1.1781000000000001</v>
      </c>
      <c r="BY41" s="419"/>
      <c r="BZ41" s="414"/>
      <c r="CA41" s="414"/>
      <c r="CB41" s="414"/>
      <c r="CC41" s="414"/>
      <c r="CD41" s="509"/>
      <c r="CE41" s="419">
        <v>155988</v>
      </c>
      <c r="CF41" s="414">
        <v>111081</v>
      </c>
      <c r="CG41" s="414">
        <v>37545</v>
      </c>
      <c r="CH41" s="414">
        <v>1111</v>
      </c>
      <c r="CI41" s="414">
        <v>6251</v>
      </c>
      <c r="CJ41" s="509">
        <v>0.378</v>
      </c>
    </row>
    <row r="42" spans="1:88" ht="13.5" customHeight="1">
      <c r="A42" s="205">
        <v>8</v>
      </c>
      <c r="B42" s="206">
        <v>3423</v>
      </c>
      <c r="C42" s="206">
        <v>600078108</v>
      </c>
      <c r="D42" s="206">
        <v>70695059</v>
      </c>
      <c r="E42" s="204" t="s">
        <v>132</v>
      </c>
      <c r="F42" s="206">
        <v>3141</v>
      </c>
      <c r="G42" s="207" t="s">
        <v>294</v>
      </c>
      <c r="H42" s="607" t="s">
        <v>272</v>
      </c>
      <c r="I42" s="510">
        <v>1302356</v>
      </c>
      <c r="J42" s="414">
        <v>955307</v>
      </c>
      <c r="K42" s="414">
        <v>0</v>
      </c>
      <c r="L42" s="414">
        <v>955307</v>
      </c>
      <c r="M42" s="414">
        <v>6600</v>
      </c>
      <c r="N42" s="414">
        <v>0</v>
      </c>
      <c r="O42" s="414">
        <v>6600</v>
      </c>
      <c r="P42" s="68">
        <v>325124</v>
      </c>
      <c r="Q42" s="68">
        <v>9553</v>
      </c>
      <c r="R42" s="15">
        <v>5772</v>
      </c>
      <c r="S42" s="415">
        <v>2.88</v>
      </c>
      <c r="T42" s="416">
        <v>0</v>
      </c>
      <c r="U42" s="422">
        <v>2.88</v>
      </c>
      <c r="V42" s="423">
        <f t="shared" si="4"/>
        <v>0</v>
      </c>
      <c r="W42" s="417">
        <f t="shared" si="5"/>
        <v>-3400</v>
      </c>
      <c r="X42" s="417">
        <v>0</v>
      </c>
      <c r="Y42" s="417">
        <v>0</v>
      </c>
      <c r="Z42" s="417">
        <v>0</v>
      </c>
      <c r="AA42" s="417">
        <v>-11232</v>
      </c>
      <c r="AB42" s="417">
        <v>0</v>
      </c>
      <c r="AC42" s="417">
        <v>0</v>
      </c>
      <c r="AD42" s="417">
        <v>0</v>
      </c>
      <c r="AE42" s="417">
        <f t="shared" si="6"/>
        <v>0</v>
      </c>
      <c r="AF42" s="417">
        <f t="shared" si="7"/>
        <v>-14632</v>
      </c>
      <c r="AG42" s="417">
        <f t="shared" si="8"/>
        <v>-14632</v>
      </c>
      <c r="AH42" s="417">
        <v>0</v>
      </c>
      <c r="AI42" s="417">
        <v>3400</v>
      </c>
      <c r="AJ42" s="417">
        <v>0</v>
      </c>
      <c r="AK42" s="417">
        <v>0</v>
      </c>
      <c r="AL42" s="417">
        <v>0</v>
      </c>
      <c r="AM42" s="417">
        <f t="shared" si="9"/>
        <v>0</v>
      </c>
      <c r="AN42" s="417">
        <f t="shared" si="10"/>
        <v>3400</v>
      </c>
      <c r="AO42" s="417">
        <f t="shared" si="11"/>
        <v>3400</v>
      </c>
      <c r="AP42" s="417">
        <f t="shared" si="12"/>
        <v>0</v>
      </c>
      <c r="AQ42" s="417">
        <f t="shared" si="13"/>
        <v>-11232</v>
      </c>
      <c r="AR42" s="417">
        <f t="shared" si="14"/>
        <v>-11232</v>
      </c>
      <c r="AS42" s="68">
        <f t="shared" si="15"/>
        <v>-3796</v>
      </c>
      <c r="AT42" s="68">
        <f t="shared" si="16"/>
        <v>-146</v>
      </c>
      <c r="AU42" s="417">
        <v>0</v>
      </c>
      <c r="AV42" s="417">
        <v>0</v>
      </c>
      <c r="AW42" s="417">
        <v>0</v>
      </c>
      <c r="AX42" s="417">
        <f t="shared" si="17"/>
        <v>0</v>
      </c>
      <c r="AY42" s="417">
        <f t="shared" si="18"/>
        <v>-15174</v>
      </c>
      <c r="AZ42" s="418">
        <v>0</v>
      </c>
      <c r="BA42" s="418">
        <v>0</v>
      </c>
      <c r="BB42" s="418">
        <v>0</v>
      </c>
      <c r="BC42" s="418">
        <v>0</v>
      </c>
      <c r="BD42" s="418">
        <v>-0.03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9"/>
        <v>0</v>
      </c>
      <c r="BJ42" s="418">
        <f t="shared" si="20"/>
        <v>-0.03</v>
      </c>
      <c r="BK42" s="420">
        <f t="shared" si="21"/>
        <v>-0.03</v>
      </c>
      <c r="BL42" s="772">
        <f>I42+AY42</f>
        <v>1287182</v>
      </c>
      <c r="BM42" s="417">
        <f>J42+AG42</f>
        <v>940675</v>
      </c>
      <c r="BN42" s="417">
        <f>K42+AE42</f>
        <v>0</v>
      </c>
      <c r="BO42" s="417">
        <f>L42+AF42</f>
        <v>940675</v>
      </c>
      <c r="BP42" s="417">
        <f>M42+AO42</f>
        <v>10000</v>
      </c>
      <c r="BQ42" s="417">
        <f>N42+AM42</f>
        <v>0</v>
      </c>
      <c r="BR42" s="417">
        <f>O42+AN42</f>
        <v>10000</v>
      </c>
      <c r="BS42" s="417">
        <f>P42+AS42</f>
        <v>321328</v>
      </c>
      <c r="BT42" s="417">
        <f>Q42+AT42</f>
        <v>9407</v>
      </c>
      <c r="BU42" s="417">
        <f>R42+AX42</f>
        <v>5772</v>
      </c>
      <c r="BV42" s="418">
        <f>S42+BK42</f>
        <v>2.85</v>
      </c>
      <c r="BW42" s="418">
        <f>T42+BI42</f>
        <v>0</v>
      </c>
      <c r="BX42" s="420">
        <f>U42+BJ42</f>
        <v>2.85</v>
      </c>
      <c r="BY42" s="419"/>
      <c r="BZ42" s="414"/>
      <c r="CA42" s="414"/>
      <c r="CB42" s="414"/>
      <c r="CC42" s="414"/>
      <c r="CD42" s="509"/>
      <c r="CE42" s="419"/>
      <c r="CF42" s="601"/>
      <c r="CG42" s="414"/>
      <c r="CH42" s="414"/>
      <c r="CI42" s="601"/>
      <c r="CJ42" s="603"/>
    </row>
    <row r="43" spans="1:88" ht="13.5" customHeight="1">
      <c r="A43" s="155">
        <v>8</v>
      </c>
      <c r="B43" s="18">
        <v>3423</v>
      </c>
      <c r="C43" s="18">
        <v>600078108</v>
      </c>
      <c r="D43" s="18">
        <v>70695059</v>
      </c>
      <c r="E43" s="164" t="s">
        <v>133</v>
      </c>
      <c r="F43" s="18"/>
      <c r="G43" s="154"/>
      <c r="H43" s="608"/>
      <c r="I43" s="451">
        <v>5018430</v>
      </c>
      <c r="J43" s="444">
        <v>3678240</v>
      </c>
      <c r="K43" s="444">
        <v>2376732</v>
      </c>
      <c r="L43" s="444">
        <v>1301508</v>
      </c>
      <c r="M43" s="444">
        <v>26600</v>
      </c>
      <c r="N43" s="444">
        <v>20000</v>
      </c>
      <c r="O43" s="444">
        <v>6600</v>
      </c>
      <c r="P43" s="444">
        <v>1252235</v>
      </c>
      <c r="Q43" s="444">
        <v>36783</v>
      </c>
      <c r="R43" s="444">
        <v>24572</v>
      </c>
      <c r="S43" s="445">
        <v>8.0381</v>
      </c>
      <c r="T43" s="445">
        <v>3.9800000000000004</v>
      </c>
      <c r="U43" s="449">
        <v>4.0580999999999996</v>
      </c>
      <c r="V43" s="447">
        <f t="shared" ref="V43:CG43" si="57">SUM(V41:V42)</f>
        <v>0</v>
      </c>
      <c r="W43" s="444">
        <f t="shared" si="57"/>
        <v>-3400</v>
      </c>
      <c r="X43" s="444">
        <f t="shared" si="57"/>
        <v>0</v>
      </c>
      <c r="Y43" s="444">
        <f t="shared" si="57"/>
        <v>0</v>
      </c>
      <c r="Z43" s="444">
        <f t="shared" si="57"/>
        <v>0</v>
      </c>
      <c r="AA43" s="444">
        <f t="shared" si="57"/>
        <v>-11232</v>
      </c>
      <c r="AB43" s="444">
        <f t="shared" si="57"/>
        <v>0</v>
      </c>
      <c r="AC43" s="444">
        <f t="shared" si="57"/>
        <v>0</v>
      </c>
      <c r="AD43" s="444">
        <f t="shared" si="57"/>
        <v>0</v>
      </c>
      <c r="AE43" s="444">
        <f t="shared" si="57"/>
        <v>0</v>
      </c>
      <c r="AF43" s="444">
        <f t="shared" si="57"/>
        <v>-14632</v>
      </c>
      <c r="AG43" s="444">
        <f t="shared" si="57"/>
        <v>-14632</v>
      </c>
      <c r="AH43" s="444">
        <f t="shared" si="57"/>
        <v>0</v>
      </c>
      <c r="AI43" s="444">
        <f t="shared" si="57"/>
        <v>3400</v>
      </c>
      <c r="AJ43" s="444">
        <f t="shared" si="57"/>
        <v>0</v>
      </c>
      <c r="AK43" s="444">
        <f t="shared" si="57"/>
        <v>0</v>
      </c>
      <c r="AL43" s="444">
        <f t="shared" si="57"/>
        <v>0</v>
      </c>
      <c r="AM43" s="444">
        <f t="shared" si="57"/>
        <v>0</v>
      </c>
      <c r="AN43" s="444">
        <f t="shared" si="57"/>
        <v>3400</v>
      </c>
      <c r="AO43" s="444">
        <f t="shared" si="57"/>
        <v>3400</v>
      </c>
      <c r="AP43" s="444">
        <f t="shared" si="57"/>
        <v>0</v>
      </c>
      <c r="AQ43" s="444">
        <f t="shared" si="57"/>
        <v>-11232</v>
      </c>
      <c r="AR43" s="444">
        <f t="shared" si="57"/>
        <v>-11232</v>
      </c>
      <c r="AS43" s="444">
        <f t="shared" si="57"/>
        <v>-3796</v>
      </c>
      <c r="AT43" s="444">
        <f t="shared" si="57"/>
        <v>-146</v>
      </c>
      <c r="AU43" s="444">
        <f t="shared" si="57"/>
        <v>0</v>
      </c>
      <c r="AV43" s="444">
        <f t="shared" si="57"/>
        <v>0</v>
      </c>
      <c r="AW43" s="444">
        <f t="shared" si="57"/>
        <v>0</v>
      </c>
      <c r="AX43" s="444">
        <f t="shared" si="57"/>
        <v>0</v>
      </c>
      <c r="AY43" s="444">
        <f t="shared" si="57"/>
        <v>-15174</v>
      </c>
      <c r="AZ43" s="445">
        <f t="shared" si="57"/>
        <v>2.3E-2</v>
      </c>
      <c r="BA43" s="445">
        <f t="shared" si="57"/>
        <v>0</v>
      </c>
      <c r="BB43" s="445">
        <f t="shared" si="57"/>
        <v>0</v>
      </c>
      <c r="BC43" s="445">
        <f t="shared" si="57"/>
        <v>0</v>
      </c>
      <c r="BD43" s="445">
        <f t="shared" si="57"/>
        <v>-0.03</v>
      </c>
      <c r="BE43" s="445">
        <f t="shared" si="57"/>
        <v>0</v>
      </c>
      <c r="BF43" s="445">
        <f t="shared" si="57"/>
        <v>0</v>
      </c>
      <c r="BG43" s="445">
        <f t="shared" si="57"/>
        <v>0</v>
      </c>
      <c r="BH43" s="445">
        <f t="shared" si="57"/>
        <v>0</v>
      </c>
      <c r="BI43" s="445">
        <f t="shared" si="57"/>
        <v>2.3E-2</v>
      </c>
      <c r="BJ43" s="445">
        <f t="shared" si="57"/>
        <v>-0.03</v>
      </c>
      <c r="BK43" s="39">
        <f t="shared" si="57"/>
        <v>-6.9999999999999993E-3</v>
      </c>
      <c r="BL43" s="451">
        <f t="shared" si="57"/>
        <v>5003256</v>
      </c>
      <c r="BM43" s="444">
        <f t="shared" si="57"/>
        <v>3663608</v>
      </c>
      <c r="BN43" s="444">
        <f t="shared" si="57"/>
        <v>2376732</v>
      </c>
      <c r="BO43" s="444">
        <f t="shared" si="57"/>
        <v>1286876</v>
      </c>
      <c r="BP43" s="444">
        <f t="shared" si="57"/>
        <v>30000</v>
      </c>
      <c r="BQ43" s="444">
        <f t="shared" si="57"/>
        <v>20000</v>
      </c>
      <c r="BR43" s="444">
        <f t="shared" si="57"/>
        <v>10000</v>
      </c>
      <c r="BS43" s="444">
        <f t="shared" si="57"/>
        <v>1248439</v>
      </c>
      <c r="BT43" s="444">
        <f t="shared" si="57"/>
        <v>36637</v>
      </c>
      <c r="BU43" s="444">
        <f t="shared" si="57"/>
        <v>24572</v>
      </c>
      <c r="BV43" s="445">
        <f t="shared" si="57"/>
        <v>8.0311000000000003</v>
      </c>
      <c r="BW43" s="445">
        <f t="shared" si="57"/>
        <v>4.0030000000000001</v>
      </c>
      <c r="BX43" s="39">
        <f t="shared" si="57"/>
        <v>4.0281000000000002</v>
      </c>
      <c r="BY43" s="806">
        <f t="shared" si="57"/>
        <v>0</v>
      </c>
      <c r="BZ43" s="709">
        <f t="shared" si="57"/>
        <v>0</v>
      </c>
      <c r="CA43" s="709">
        <f t="shared" si="57"/>
        <v>0</v>
      </c>
      <c r="CB43" s="709">
        <f t="shared" si="57"/>
        <v>0</v>
      </c>
      <c r="CC43" s="709">
        <f t="shared" si="57"/>
        <v>0</v>
      </c>
      <c r="CD43" s="807">
        <f t="shared" si="57"/>
        <v>0</v>
      </c>
      <c r="CE43" s="919">
        <f t="shared" si="57"/>
        <v>155988</v>
      </c>
      <c r="CF43" s="920">
        <f t="shared" si="57"/>
        <v>111081</v>
      </c>
      <c r="CG43" s="920">
        <f t="shared" si="57"/>
        <v>37545</v>
      </c>
      <c r="CH43" s="920">
        <f t="shared" ref="CH43:CJ43" si="58">SUM(CH41:CH42)</f>
        <v>1111</v>
      </c>
      <c r="CI43" s="920">
        <f t="shared" si="58"/>
        <v>6251</v>
      </c>
      <c r="CJ43" s="921">
        <f t="shared" si="58"/>
        <v>0.378</v>
      </c>
    </row>
    <row r="44" spans="1:88" ht="13.5" customHeight="1">
      <c r="A44" s="205">
        <v>9</v>
      </c>
      <c r="B44" s="206">
        <v>3448</v>
      </c>
      <c r="C44" s="206">
        <v>600078299</v>
      </c>
      <c r="D44" s="206">
        <v>70695041</v>
      </c>
      <c r="E44" s="204" t="s">
        <v>134</v>
      </c>
      <c r="F44" s="206">
        <v>3117</v>
      </c>
      <c r="G44" s="207" t="s">
        <v>293</v>
      </c>
      <c r="H44" s="607" t="s">
        <v>271</v>
      </c>
      <c r="I44" s="510">
        <v>5369305</v>
      </c>
      <c r="J44" s="414">
        <v>3885514</v>
      </c>
      <c r="K44" s="414">
        <v>3321679</v>
      </c>
      <c r="L44" s="414">
        <v>563835</v>
      </c>
      <c r="M44" s="414">
        <v>24520</v>
      </c>
      <c r="N44" s="414">
        <v>9520</v>
      </c>
      <c r="O44" s="414">
        <v>15000</v>
      </c>
      <c r="P44" s="68">
        <v>1321591</v>
      </c>
      <c r="Q44" s="68">
        <v>38855</v>
      </c>
      <c r="R44" s="414">
        <v>98825</v>
      </c>
      <c r="S44" s="415">
        <v>6.7511000000000001</v>
      </c>
      <c r="T44" s="416">
        <v>5.1018000000000008</v>
      </c>
      <c r="U44" s="422">
        <v>1.6492999999999998</v>
      </c>
      <c r="V44" s="423">
        <f t="shared" si="4"/>
        <v>0</v>
      </c>
      <c r="W44" s="417">
        <f t="shared" si="5"/>
        <v>-17250</v>
      </c>
      <c r="X44" s="417">
        <v>0</v>
      </c>
      <c r="Y44" s="417">
        <v>0</v>
      </c>
      <c r="Z44" s="417">
        <v>122614</v>
      </c>
      <c r="AA44" s="417">
        <v>0</v>
      </c>
      <c r="AB44" s="417">
        <v>0</v>
      </c>
      <c r="AC44" s="417">
        <v>0</v>
      </c>
      <c r="AD44" s="417">
        <v>0</v>
      </c>
      <c r="AE44" s="417">
        <f t="shared" si="6"/>
        <v>122614</v>
      </c>
      <c r="AF44" s="417">
        <f t="shared" si="7"/>
        <v>-17250</v>
      </c>
      <c r="AG44" s="417">
        <f t="shared" si="8"/>
        <v>105364</v>
      </c>
      <c r="AH44" s="417">
        <v>0</v>
      </c>
      <c r="AI44" s="417">
        <v>17250</v>
      </c>
      <c r="AJ44" s="417">
        <v>0</v>
      </c>
      <c r="AK44" s="417">
        <v>0</v>
      </c>
      <c r="AL44" s="417">
        <v>0</v>
      </c>
      <c r="AM44" s="417">
        <f t="shared" si="9"/>
        <v>0</v>
      </c>
      <c r="AN44" s="417">
        <f t="shared" si="10"/>
        <v>17250</v>
      </c>
      <c r="AO44" s="417">
        <f t="shared" si="11"/>
        <v>17250</v>
      </c>
      <c r="AP44" s="417">
        <f t="shared" si="12"/>
        <v>122614</v>
      </c>
      <c r="AQ44" s="417">
        <f t="shared" si="13"/>
        <v>0</v>
      </c>
      <c r="AR44" s="417">
        <f t="shared" si="14"/>
        <v>122614</v>
      </c>
      <c r="AS44" s="68">
        <f t="shared" si="15"/>
        <v>41444</v>
      </c>
      <c r="AT44" s="68">
        <f t="shared" si="16"/>
        <v>1054</v>
      </c>
      <c r="AU44" s="417">
        <v>0</v>
      </c>
      <c r="AV44" s="417">
        <v>0</v>
      </c>
      <c r="AW44" s="417">
        <v>0</v>
      </c>
      <c r="AX44" s="417">
        <f t="shared" si="17"/>
        <v>0</v>
      </c>
      <c r="AY44" s="417">
        <f t="shared" si="18"/>
        <v>165112</v>
      </c>
      <c r="AZ44" s="418">
        <v>0</v>
      </c>
      <c r="BA44" s="418">
        <v>0</v>
      </c>
      <c r="BB44" s="418">
        <v>0</v>
      </c>
      <c r="BC44" s="418">
        <v>0.25</v>
      </c>
      <c r="BD44" s="418">
        <v>0</v>
      </c>
      <c r="BE44" s="418">
        <v>0</v>
      </c>
      <c r="BF44" s="418">
        <v>0</v>
      </c>
      <c r="BG44" s="418">
        <v>0</v>
      </c>
      <c r="BH44" s="418">
        <v>0</v>
      </c>
      <c r="BI44" s="418">
        <f t="shared" si="19"/>
        <v>0.25</v>
      </c>
      <c r="BJ44" s="418">
        <f t="shared" si="20"/>
        <v>0</v>
      </c>
      <c r="BK44" s="420">
        <f t="shared" si="21"/>
        <v>0.25</v>
      </c>
      <c r="BL44" s="772">
        <f>I44+AY44</f>
        <v>5534417</v>
      </c>
      <c r="BM44" s="417">
        <f>J44+AG44</f>
        <v>3990878</v>
      </c>
      <c r="BN44" s="417">
        <f t="shared" ref="BN44:BO47" si="59">K44+AE44</f>
        <v>3444293</v>
      </c>
      <c r="BO44" s="417">
        <f t="shared" si="59"/>
        <v>546585</v>
      </c>
      <c r="BP44" s="417">
        <f>M44+AO44</f>
        <v>41770</v>
      </c>
      <c r="BQ44" s="417">
        <f t="shared" ref="BQ44:BR47" si="60">N44+AM44</f>
        <v>9520</v>
      </c>
      <c r="BR44" s="417">
        <f t="shared" si="60"/>
        <v>32250</v>
      </c>
      <c r="BS44" s="417">
        <f t="shared" ref="BS44:BT47" si="61">P44+AS44</f>
        <v>1363035</v>
      </c>
      <c r="BT44" s="417">
        <f t="shared" si="61"/>
        <v>39909</v>
      </c>
      <c r="BU44" s="417">
        <f>R44+AX44</f>
        <v>98825</v>
      </c>
      <c r="BV44" s="418">
        <f>S44+BK44</f>
        <v>7.0011000000000001</v>
      </c>
      <c r="BW44" s="418">
        <f t="shared" ref="BW44:BX47" si="62">T44+BI44</f>
        <v>5.3518000000000008</v>
      </c>
      <c r="BX44" s="420">
        <f t="shared" si="62"/>
        <v>1.6492999999999998</v>
      </c>
      <c r="BY44" s="419"/>
      <c r="BZ44" s="414"/>
      <c r="CA44" s="414"/>
      <c r="CB44" s="414"/>
      <c r="CC44" s="414"/>
      <c r="CD44" s="509"/>
      <c r="CE44" s="419">
        <v>267719</v>
      </c>
      <c r="CF44" s="414">
        <v>185781</v>
      </c>
      <c r="CG44" s="414">
        <v>62794</v>
      </c>
      <c r="CH44" s="414">
        <v>1858</v>
      </c>
      <c r="CI44" s="414">
        <v>17286</v>
      </c>
      <c r="CJ44" s="509">
        <v>0.52939999999999998</v>
      </c>
    </row>
    <row r="45" spans="1:88" ht="13.5" customHeight="1">
      <c r="A45" s="205">
        <v>9</v>
      </c>
      <c r="B45" s="206">
        <v>3448</v>
      </c>
      <c r="C45" s="206">
        <v>600078299</v>
      </c>
      <c r="D45" s="206">
        <v>70695041</v>
      </c>
      <c r="E45" s="204" t="s">
        <v>134</v>
      </c>
      <c r="F45" s="206">
        <v>3117</v>
      </c>
      <c r="G45" s="207" t="s">
        <v>291</v>
      </c>
      <c r="H45" s="607" t="s">
        <v>272</v>
      </c>
      <c r="I45" s="510">
        <v>500541</v>
      </c>
      <c r="J45" s="414">
        <v>370802</v>
      </c>
      <c r="K45" s="414">
        <v>370802</v>
      </c>
      <c r="L45" s="414">
        <v>0</v>
      </c>
      <c r="M45" s="414">
        <v>0</v>
      </c>
      <c r="N45" s="414">
        <v>0</v>
      </c>
      <c r="O45" s="414">
        <v>0</v>
      </c>
      <c r="P45" s="68">
        <v>125331</v>
      </c>
      <c r="Q45" s="68">
        <v>3708</v>
      </c>
      <c r="R45" s="414">
        <v>700</v>
      </c>
      <c r="S45" s="415">
        <v>1</v>
      </c>
      <c r="T45" s="416">
        <v>1</v>
      </c>
      <c r="U45" s="422">
        <v>0</v>
      </c>
      <c r="V45" s="423">
        <f t="shared" si="4"/>
        <v>0</v>
      </c>
      <c r="W45" s="417">
        <f t="shared" si="5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6"/>
        <v>0</v>
      </c>
      <c r="AF45" s="417">
        <f t="shared" si="7"/>
        <v>0</v>
      </c>
      <c r="AG45" s="417">
        <f t="shared" si="8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9"/>
        <v>0</v>
      </c>
      <c r="AN45" s="417">
        <f t="shared" si="10"/>
        <v>0</v>
      </c>
      <c r="AO45" s="417">
        <f t="shared" si="11"/>
        <v>0</v>
      </c>
      <c r="AP45" s="417">
        <f t="shared" si="12"/>
        <v>0</v>
      </c>
      <c r="AQ45" s="417">
        <f t="shared" si="13"/>
        <v>0</v>
      </c>
      <c r="AR45" s="417">
        <f t="shared" si="14"/>
        <v>0</v>
      </c>
      <c r="AS45" s="68">
        <f t="shared" si="15"/>
        <v>0</v>
      </c>
      <c r="AT45" s="68">
        <f t="shared" si="16"/>
        <v>0</v>
      </c>
      <c r="AU45" s="417">
        <v>0</v>
      </c>
      <c r="AV45" s="417">
        <v>0</v>
      </c>
      <c r="AW45" s="417">
        <v>0</v>
      </c>
      <c r="AX45" s="417">
        <f t="shared" si="17"/>
        <v>0</v>
      </c>
      <c r="AY45" s="417">
        <f t="shared" si="18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9"/>
        <v>0</v>
      </c>
      <c r="BJ45" s="418">
        <f t="shared" si="20"/>
        <v>0</v>
      </c>
      <c r="BK45" s="420">
        <f t="shared" si="21"/>
        <v>0</v>
      </c>
      <c r="BL45" s="772">
        <f>I45+AY45</f>
        <v>500541</v>
      </c>
      <c r="BM45" s="417">
        <f>J45+AG45</f>
        <v>370802</v>
      </c>
      <c r="BN45" s="417">
        <f t="shared" si="59"/>
        <v>370802</v>
      </c>
      <c r="BO45" s="417">
        <f t="shared" si="59"/>
        <v>0</v>
      </c>
      <c r="BP45" s="417">
        <f>M45+AO45</f>
        <v>0</v>
      </c>
      <c r="BQ45" s="417">
        <f t="shared" si="60"/>
        <v>0</v>
      </c>
      <c r="BR45" s="417">
        <f t="shared" si="60"/>
        <v>0</v>
      </c>
      <c r="BS45" s="417">
        <f t="shared" si="61"/>
        <v>125331</v>
      </c>
      <c r="BT45" s="417">
        <f t="shared" si="61"/>
        <v>3708</v>
      </c>
      <c r="BU45" s="417">
        <f>R45+AX45</f>
        <v>700</v>
      </c>
      <c r="BV45" s="418">
        <f>S45+BK45</f>
        <v>1</v>
      </c>
      <c r="BW45" s="418">
        <f t="shared" si="62"/>
        <v>1</v>
      </c>
      <c r="BX45" s="420">
        <f t="shared" si="62"/>
        <v>0</v>
      </c>
      <c r="BY45" s="419"/>
      <c r="BZ45" s="414"/>
      <c r="CA45" s="414"/>
      <c r="CB45" s="414"/>
      <c r="CC45" s="414"/>
      <c r="CD45" s="509"/>
      <c r="CE45" s="419"/>
      <c r="CF45" s="414"/>
      <c r="CG45" s="414"/>
      <c r="CH45" s="414"/>
      <c r="CI45" s="414"/>
      <c r="CJ45" s="509"/>
    </row>
    <row r="46" spans="1:88" ht="13.5" customHeight="1">
      <c r="A46" s="205">
        <v>9</v>
      </c>
      <c r="B46" s="206">
        <v>3448</v>
      </c>
      <c r="C46" s="206">
        <v>600078299</v>
      </c>
      <c r="D46" s="206">
        <v>70695041</v>
      </c>
      <c r="E46" s="204" t="s">
        <v>134</v>
      </c>
      <c r="F46" s="206">
        <v>3143</v>
      </c>
      <c r="G46" s="207" t="s">
        <v>595</v>
      </c>
      <c r="H46" s="609" t="s">
        <v>271</v>
      </c>
      <c r="I46" s="510">
        <v>1010801</v>
      </c>
      <c r="J46" s="414">
        <v>749852</v>
      </c>
      <c r="K46" s="414">
        <v>749852</v>
      </c>
      <c r="L46" s="414">
        <v>0</v>
      </c>
      <c r="M46" s="414">
        <v>0</v>
      </c>
      <c r="N46" s="414">
        <v>0</v>
      </c>
      <c r="O46" s="414">
        <v>0</v>
      </c>
      <c r="P46" s="68">
        <v>253450</v>
      </c>
      <c r="Q46" s="68">
        <v>7499</v>
      </c>
      <c r="R46" s="414">
        <v>0</v>
      </c>
      <c r="S46" s="415">
        <v>1.5</v>
      </c>
      <c r="T46" s="416">
        <v>1.5</v>
      </c>
      <c r="U46" s="422">
        <v>0</v>
      </c>
      <c r="V46" s="423">
        <f t="shared" si="4"/>
        <v>0</v>
      </c>
      <c r="W46" s="417">
        <f t="shared" si="5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6"/>
        <v>0</v>
      </c>
      <c r="AF46" s="417">
        <f t="shared" si="7"/>
        <v>0</v>
      </c>
      <c r="AG46" s="417">
        <f t="shared" si="8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9"/>
        <v>0</v>
      </c>
      <c r="AN46" s="417">
        <f t="shared" si="10"/>
        <v>0</v>
      </c>
      <c r="AO46" s="417">
        <f t="shared" si="11"/>
        <v>0</v>
      </c>
      <c r="AP46" s="417">
        <f t="shared" si="12"/>
        <v>0</v>
      </c>
      <c r="AQ46" s="417">
        <f t="shared" si="13"/>
        <v>0</v>
      </c>
      <c r="AR46" s="417">
        <f t="shared" si="14"/>
        <v>0</v>
      </c>
      <c r="AS46" s="68">
        <f t="shared" si="15"/>
        <v>0</v>
      </c>
      <c r="AT46" s="68">
        <f t="shared" si="16"/>
        <v>0</v>
      </c>
      <c r="AU46" s="417">
        <v>0</v>
      </c>
      <c r="AV46" s="417">
        <v>0</v>
      </c>
      <c r="AW46" s="417">
        <v>0</v>
      </c>
      <c r="AX46" s="417">
        <f t="shared" si="17"/>
        <v>0</v>
      </c>
      <c r="AY46" s="417">
        <f t="shared" si="18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9"/>
        <v>0</v>
      </c>
      <c r="BJ46" s="418">
        <f t="shared" si="20"/>
        <v>0</v>
      </c>
      <c r="BK46" s="420">
        <f t="shared" si="21"/>
        <v>0</v>
      </c>
      <c r="BL46" s="772">
        <f>I46+AY46</f>
        <v>1010801</v>
      </c>
      <c r="BM46" s="417">
        <f>J46+AG46</f>
        <v>749852</v>
      </c>
      <c r="BN46" s="417">
        <f t="shared" si="59"/>
        <v>749852</v>
      </c>
      <c r="BO46" s="417">
        <f t="shared" si="59"/>
        <v>0</v>
      </c>
      <c r="BP46" s="417">
        <f>M46+AO46</f>
        <v>0</v>
      </c>
      <c r="BQ46" s="417">
        <f t="shared" si="60"/>
        <v>0</v>
      </c>
      <c r="BR46" s="417">
        <f t="shared" si="60"/>
        <v>0</v>
      </c>
      <c r="BS46" s="417">
        <f t="shared" si="61"/>
        <v>253450</v>
      </c>
      <c r="BT46" s="417">
        <f t="shared" si="61"/>
        <v>7499</v>
      </c>
      <c r="BU46" s="417">
        <f>R46+AX46</f>
        <v>0</v>
      </c>
      <c r="BV46" s="418">
        <f>S46+BK46</f>
        <v>1.5</v>
      </c>
      <c r="BW46" s="418">
        <f t="shared" si="62"/>
        <v>1.5</v>
      </c>
      <c r="BX46" s="420">
        <f t="shared" si="62"/>
        <v>0</v>
      </c>
      <c r="BY46" s="419"/>
      <c r="BZ46" s="414"/>
      <c r="CA46" s="414"/>
      <c r="CB46" s="414"/>
      <c r="CC46" s="414"/>
      <c r="CD46" s="509"/>
      <c r="CE46" s="419"/>
      <c r="CF46" s="414"/>
      <c r="CG46" s="414"/>
      <c r="CH46" s="414"/>
      <c r="CI46" s="414"/>
      <c r="CJ46" s="509"/>
    </row>
    <row r="47" spans="1:88" ht="13.5" customHeight="1">
      <c r="A47" s="205">
        <v>9</v>
      </c>
      <c r="B47" s="206">
        <v>3448</v>
      </c>
      <c r="C47" s="206">
        <v>600078299</v>
      </c>
      <c r="D47" s="206">
        <v>70695041</v>
      </c>
      <c r="E47" s="204" t="s">
        <v>134</v>
      </c>
      <c r="F47" s="206">
        <v>3143</v>
      </c>
      <c r="G47" s="207" t="s">
        <v>596</v>
      </c>
      <c r="H47" s="609" t="s">
        <v>272</v>
      </c>
      <c r="I47" s="510">
        <v>46104</v>
      </c>
      <c r="J47" s="414">
        <v>33000</v>
      </c>
      <c r="K47" s="414">
        <v>0</v>
      </c>
      <c r="L47" s="414">
        <v>33000</v>
      </c>
      <c r="M47" s="414">
        <v>0</v>
      </c>
      <c r="N47" s="414">
        <v>0</v>
      </c>
      <c r="O47" s="414">
        <v>0</v>
      </c>
      <c r="P47" s="68">
        <v>11154</v>
      </c>
      <c r="Q47" s="68">
        <v>330</v>
      </c>
      <c r="R47" s="414">
        <v>1620</v>
      </c>
      <c r="S47" s="415">
        <v>0.12</v>
      </c>
      <c r="T47" s="416">
        <v>0</v>
      </c>
      <c r="U47" s="422">
        <v>0.12</v>
      </c>
      <c r="V47" s="423">
        <f t="shared" si="4"/>
        <v>0</v>
      </c>
      <c r="W47" s="417">
        <f t="shared" si="5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6"/>
        <v>0</v>
      </c>
      <c r="AF47" s="417">
        <f t="shared" si="7"/>
        <v>0</v>
      </c>
      <c r="AG47" s="417">
        <f t="shared" si="8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9"/>
        <v>0</v>
      </c>
      <c r="AN47" s="417">
        <f t="shared" si="10"/>
        <v>0</v>
      </c>
      <c r="AO47" s="417">
        <f t="shared" si="11"/>
        <v>0</v>
      </c>
      <c r="AP47" s="417">
        <f t="shared" si="12"/>
        <v>0</v>
      </c>
      <c r="AQ47" s="417">
        <f t="shared" si="13"/>
        <v>0</v>
      </c>
      <c r="AR47" s="417">
        <f t="shared" si="14"/>
        <v>0</v>
      </c>
      <c r="AS47" s="68">
        <f t="shared" si="15"/>
        <v>0</v>
      </c>
      <c r="AT47" s="68">
        <f t="shared" si="16"/>
        <v>0</v>
      </c>
      <c r="AU47" s="417">
        <v>0</v>
      </c>
      <c r="AV47" s="417">
        <v>0</v>
      </c>
      <c r="AW47" s="417">
        <v>0</v>
      </c>
      <c r="AX47" s="417">
        <f t="shared" si="17"/>
        <v>0</v>
      </c>
      <c r="AY47" s="417">
        <f t="shared" si="18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9"/>
        <v>0</v>
      </c>
      <c r="BJ47" s="418">
        <f t="shared" si="20"/>
        <v>0</v>
      </c>
      <c r="BK47" s="420">
        <f t="shared" si="21"/>
        <v>0</v>
      </c>
      <c r="BL47" s="772">
        <f>I47+AY47</f>
        <v>46104</v>
      </c>
      <c r="BM47" s="417">
        <f>J47+AG47</f>
        <v>33000</v>
      </c>
      <c r="BN47" s="417">
        <f t="shared" si="59"/>
        <v>0</v>
      </c>
      <c r="BO47" s="417">
        <f t="shared" si="59"/>
        <v>33000</v>
      </c>
      <c r="BP47" s="417">
        <f>M47+AO47</f>
        <v>0</v>
      </c>
      <c r="BQ47" s="417">
        <f t="shared" si="60"/>
        <v>0</v>
      </c>
      <c r="BR47" s="417">
        <f t="shared" si="60"/>
        <v>0</v>
      </c>
      <c r="BS47" s="417">
        <f t="shared" si="61"/>
        <v>11154</v>
      </c>
      <c r="BT47" s="417">
        <f t="shared" si="61"/>
        <v>330</v>
      </c>
      <c r="BU47" s="417">
        <f>R47+AX47</f>
        <v>1620</v>
      </c>
      <c r="BV47" s="418">
        <f>S47+BK47</f>
        <v>0.12</v>
      </c>
      <c r="BW47" s="418">
        <f t="shared" si="62"/>
        <v>0</v>
      </c>
      <c r="BX47" s="420">
        <f t="shared" si="62"/>
        <v>0.12</v>
      </c>
      <c r="BY47" s="419"/>
      <c r="BZ47" s="414"/>
      <c r="CA47" s="414"/>
      <c r="CB47" s="414"/>
      <c r="CC47" s="414"/>
      <c r="CD47" s="509"/>
      <c r="CE47" s="419"/>
      <c r="CF47" s="414"/>
      <c r="CG47" s="414"/>
      <c r="CH47" s="414"/>
      <c r="CI47" s="414"/>
      <c r="CJ47" s="509"/>
    </row>
    <row r="48" spans="1:88" ht="13.5" customHeight="1">
      <c r="A48" s="155">
        <v>9</v>
      </c>
      <c r="B48" s="18">
        <v>3448</v>
      </c>
      <c r="C48" s="18">
        <v>600078299</v>
      </c>
      <c r="D48" s="18">
        <v>70695041</v>
      </c>
      <c r="E48" s="164" t="s">
        <v>135</v>
      </c>
      <c r="F48" s="18"/>
      <c r="G48" s="154"/>
      <c r="H48" s="608"/>
      <c r="I48" s="451">
        <v>6926751</v>
      </c>
      <c r="J48" s="444">
        <v>5039168</v>
      </c>
      <c r="K48" s="444">
        <v>4442333</v>
      </c>
      <c r="L48" s="444">
        <v>596835</v>
      </c>
      <c r="M48" s="444">
        <v>24520</v>
      </c>
      <c r="N48" s="444">
        <v>9520</v>
      </c>
      <c r="O48" s="444">
        <v>15000</v>
      </c>
      <c r="P48" s="444">
        <v>1711526</v>
      </c>
      <c r="Q48" s="444">
        <v>50392</v>
      </c>
      <c r="R48" s="444">
        <v>101145</v>
      </c>
      <c r="S48" s="445">
        <v>9.3711000000000002</v>
      </c>
      <c r="T48" s="445">
        <v>7.6018000000000008</v>
      </c>
      <c r="U48" s="449">
        <v>1.7692999999999999</v>
      </c>
      <c r="V48" s="447">
        <f t="shared" ref="V48:CG48" si="63">SUM(V44:V47)</f>
        <v>0</v>
      </c>
      <c r="W48" s="444">
        <f t="shared" si="63"/>
        <v>-17250</v>
      </c>
      <c r="X48" s="444">
        <f t="shared" si="63"/>
        <v>0</v>
      </c>
      <c r="Y48" s="444">
        <f t="shared" si="63"/>
        <v>0</v>
      </c>
      <c r="Z48" s="444">
        <f t="shared" si="63"/>
        <v>122614</v>
      </c>
      <c r="AA48" s="444">
        <f t="shared" si="63"/>
        <v>0</v>
      </c>
      <c r="AB48" s="444">
        <f t="shared" si="63"/>
        <v>0</v>
      </c>
      <c r="AC48" s="444">
        <f t="shared" si="63"/>
        <v>0</v>
      </c>
      <c r="AD48" s="444">
        <f t="shared" si="63"/>
        <v>0</v>
      </c>
      <c r="AE48" s="444">
        <f t="shared" si="63"/>
        <v>122614</v>
      </c>
      <c r="AF48" s="444">
        <f t="shared" si="63"/>
        <v>-17250</v>
      </c>
      <c r="AG48" s="444">
        <f t="shared" si="63"/>
        <v>105364</v>
      </c>
      <c r="AH48" s="444">
        <f t="shared" si="63"/>
        <v>0</v>
      </c>
      <c r="AI48" s="444">
        <f t="shared" si="63"/>
        <v>17250</v>
      </c>
      <c r="AJ48" s="444">
        <f t="shared" si="63"/>
        <v>0</v>
      </c>
      <c r="AK48" s="444">
        <f t="shared" si="63"/>
        <v>0</v>
      </c>
      <c r="AL48" s="444">
        <f t="shared" si="63"/>
        <v>0</v>
      </c>
      <c r="AM48" s="444">
        <f t="shared" si="63"/>
        <v>0</v>
      </c>
      <c r="AN48" s="444">
        <f t="shared" si="63"/>
        <v>17250</v>
      </c>
      <c r="AO48" s="444">
        <f t="shared" si="63"/>
        <v>17250</v>
      </c>
      <c r="AP48" s="444">
        <f t="shared" si="63"/>
        <v>122614</v>
      </c>
      <c r="AQ48" s="444">
        <f t="shared" si="63"/>
        <v>0</v>
      </c>
      <c r="AR48" s="444">
        <f t="shared" si="63"/>
        <v>122614</v>
      </c>
      <c r="AS48" s="444">
        <f t="shared" si="63"/>
        <v>41444</v>
      </c>
      <c r="AT48" s="444">
        <f t="shared" si="63"/>
        <v>1054</v>
      </c>
      <c r="AU48" s="444">
        <f t="shared" si="63"/>
        <v>0</v>
      </c>
      <c r="AV48" s="444">
        <f t="shared" si="63"/>
        <v>0</v>
      </c>
      <c r="AW48" s="444">
        <f t="shared" si="63"/>
        <v>0</v>
      </c>
      <c r="AX48" s="444">
        <f t="shared" si="63"/>
        <v>0</v>
      </c>
      <c r="AY48" s="444">
        <f t="shared" si="63"/>
        <v>165112</v>
      </c>
      <c r="AZ48" s="445">
        <f t="shared" si="63"/>
        <v>0</v>
      </c>
      <c r="BA48" s="445">
        <f t="shared" si="63"/>
        <v>0</v>
      </c>
      <c r="BB48" s="445">
        <f t="shared" si="63"/>
        <v>0</v>
      </c>
      <c r="BC48" s="445">
        <f t="shared" si="63"/>
        <v>0.25</v>
      </c>
      <c r="BD48" s="445">
        <f t="shared" si="63"/>
        <v>0</v>
      </c>
      <c r="BE48" s="445">
        <f t="shared" si="63"/>
        <v>0</v>
      </c>
      <c r="BF48" s="445">
        <f t="shared" si="63"/>
        <v>0</v>
      </c>
      <c r="BG48" s="445">
        <f t="shared" si="63"/>
        <v>0</v>
      </c>
      <c r="BH48" s="445">
        <f t="shared" si="63"/>
        <v>0</v>
      </c>
      <c r="BI48" s="445">
        <f t="shared" si="63"/>
        <v>0.25</v>
      </c>
      <c r="BJ48" s="445">
        <f t="shared" si="63"/>
        <v>0</v>
      </c>
      <c r="BK48" s="39">
        <f t="shared" si="63"/>
        <v>0.25</v>
      </c>
      <c r="BL48" s="451">
        <f t="shared" si="63"/>
        <v>7091863</v>
      </c>
      <c r="BM48" s="444">
        <f t="shared" si="63"/>
        <v>5144532</v>
      </c>
      <c r="BN48" s="444">
        <f t="shared" si="63"/>
        <v>4564947</v>
      </c>
      <c r="BO48" s="444">
        <f t="shared" si="63"/>
        <v>579585</v>
      </c>
      <c r="BP48" s="444">
        <f t="shared" si="63"/>
        <v>41770</v>
      </c>
      <c r="BQ48" s="444">
        <f t="shared" si="63"/>
        <v>9520</v>
      </c>
      <c r="BR48" s="444">
        <f t="shared" si="63"/>
        <v>32250</v>
      </c>
      <c r="BS48" s="444">
        <f t="shared" si="63"/>
        <v>1752970</v>
      </c>
      <c r="BT48" s="444">
        <f t="shared" si="63"/>
        <v>51446</v>
      </c>
      <c r="BU48" s="444">
        <f t="shared" si="63"/>
        <v>101145</v>
      </c>
      <c r="BV48" s="445">
        <f t="shared" si="63"/>
        <v>9.6211000000000002</v>
      </c>
      <c r="BW48" s="445">
        <f t="shared" si="63"/>
        <v>7.8518000000000008</v>
      </c>
      <c r="BX48" s="39">
        <f t="shared" si="63"/>
        <v>1.7692999999999999</v>
      </c>
      <c r="BY48" s="806">
        <f t="shared" si="63"/>
        <v>0</v>
      </c>
      <c r="BZ48" s="709">
        <f t="shared" si="63"/>
        <v>0</v>
      </c>
      <c r="CA48" s="709">
        <f t="shared" si="63"/>
        <v>0</v>
      </c>
      <c r="CB48" s="709">
        <f t="shared" si="63"/>
        <v>0</v>
      </c>
      <c r="CC48" s="709">
        <f t="shared" si="63"/>
        <v>0</v>
      </c>
      <c r="CD48" s="807">
        <f t="shared" si="63"/>
        <v>0</v>
      </c>
      <c r="CE48" s="919">
        <f t="shared" si="63"/>
        <v>267719</v>
      </c>
      <c r="CF48" s="920">
        <f t="shared" si="63"/>
        <v>185781</v>
      </c>
      <c r="CG48" s="920">
        <f t="shared" si="63"/>
        <v>62794</v>
      </c>
      <c r="CH48" s="920">
        <f t="shared" ref="CH48:CJ48" si="64">SUM(CH44:CH47)</f>
        <v>1858</v>
      </c>
      <c r="CI48" s="920">
        <f t="shared" si="64"/>
        <v>17286</v>
      </c>
      <c r="CJ48" s="921">
        <f t="shared" si="64"/>
        <v>0.52939999999999998</v>
      </c>
    </row>
    <row r="49" spans="1:88" ht="13.5" customHeight="1">
      <c r="A49" s="205">
        <v>10</v>
      </c>
      <c r="B49" s="206">
        <v>3402</v>
      </c>
      <c r="C49" s="206">
        <v>600078124</v>
      </c>
      <c r="D49" s="206">
        <v>70982643</v>
      </c>
      <c r="E49" s="204" t="s">
        <v>136</v>
      </c>
      <c r="F49" s="206">
        <v>3111</v>
      </c>
      <c r="G49" s="207" t="s">
        <v>290</v>
      </c>
      <c r="H49" s="607" t="s">
        <v>271</v>
      </c>
      <c r="I49" s="510">
        <v>5466704</v>
      </c>
      <c r="J49" s="414">
        <v>4036131</v>
      </c>
      <c r="K49" s="414">
        <v>3516848</v>
      </c>
      <c r="L49" s="414">
        <v>519283</v>
      </c>
      <c r="M49" s="414">
        <v>0</v>
      </c>
      <c r="N49" s="414">
        <v>0</v>
      </c>
      <c r="O49" s="414">
        <v>0</v>
      </c>
      <c r="P49" s="68">
        <v>1364212</v>
      </c>
      <c r="Q49" s="68">
        <v>40361</v>
      </c>
      <c r="R49" s="414">
        <v>26000</v>
      </c>
      <c r="S49" s="415">
        <v>7.8670999999999998</v>
      </c>
      <c r="T49" s="416">
        <v>6.1</v>
      </c>
      <c r="U49" s="422">
        <v>1.7670999999999999</v>
      </c>
      <c r="V49" s="423">
        <f t="shared" si="4"/>
        <v>-5000</v>
      </c>
      <c r="W49" s="417">
        <f t="shared" si="5"/>
        <v>-10000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6"/>
        <v>-5000</v>
      </c>
      <c r="AF49" s="417">
        <f t="shared" si="7"/>
        <v>-10000</v>
      </c>
      <c r="AG49" s="417">
        <f t="shared" si="8"/>
        <v>-15000</v>
      </c>
      <c r="AH49" s="417">
        <v>5000</v>
      </c>
      <c r="AI49" s="417">
        <v>10000</v>
      </c>
      <c r="AJ49" s="417">
        <v>0</v>
      </c>
      <c r="AK49" s="417">
        <v>0</v>
      </c>
      <c r="AL49" s="417">
        <v>0</v>
      </c>
      <c r="AM49" s="417">
        <f t="shared" si="9"/>
        <v>5000</v>
      </c>
      <c r="AN49" s="417">
        <f t="shared" si="10"/>
        <v>10000</v>
      </c>
      <c r="AO49" s="417">
        <f t="shared" si="11"/>
        <v>15000</v>
      </c>
      <c r="AP49" s="417">
        <f t="shared" si="12"/>
        <v>0</v>
      </c>
      <c r="AQ49" s="417">
        <f t="shared" si="13"/>
        <v>0</v>
      </c>
      <c r="AR49" s="417">
        <f t="shared" si="14"/>
        <v>0</v>
      </c>
      <c r="AS49" s="68">
        <f t="shared" si="15"/>
        <v>0</v>
      </c>
      <c r="AT49" s="68">
        <f t="shared" si="16"/>
        <v>-150</v>
      </c>
      <c r="AU49" s="417">
        <v>0</v>
      </c>
      <c r="AV49" s="417">
        <v>0</v>
      </c>
      <c r="AW49" s="417">
        <v>0</v>
      </c>
      <c r="AX49" s="417">
        <f t="shared" si="17"/>
        <v>0</v>
      </c>
      <c r="AY49" s="417">
        <f t="shared" si="18"/>
        <v>-150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9"/>
        <v>0</v>
      </c>
      <c r="BJ49" s="418">
        <f t="shared" si="20"/>
        <v>0</v>
      </c>
      <c r="BK49" s="420">
        <f t="shared" si="21"/>
        <v>0</v>
      </c>
      <c r="BL49" s="772">
        <f>I49+AY49</f>
        <v>5466554</v>
      </c>
      <c r="BM49" s="417">
        <f>J49+AG49</f>
        <v>4021131</v>
      </c>
      <c r="BN49" s="417">
        <f t="shared" ref="BN49:BO51" si="65">K49+AE49</f>
        <v>3511848</v>
      </c>
      <c r="BO49" s="417">
        <f t="shared" si="65"/>
        <v>509283</v>
      </c>
      <c r="BP49" s="417">
        <f>M49+AO49</f>
        <v>15000</v>
      </c>
      <c r="BQ49" s="417">
        <f t="shared" ref="BQ49:BR51" si="66">N49+AM49</f>
        <v>5000</v>
      </c>
      <c r="BR49" s="417">
        <f t="shared" si="66"/>
        <v>10000</v>
      </c>
      <c r="BS49" s="417">
        <f t="shared" ref="BS49:BT51" si="67">P49+AS49</f>
        <v>1364212</v>
      </c>
      <c r="BT49" s="417">
        <f t="shared" si="67"/>
        <v>40211</v>
      </c>
      <c r="BU49" s="417">
        <f>R49+AX49</f>
        <v>26000</v>
      </c>
      <c r="BV49" s="418">
        <f>S49+BK49</f>
        <v>7.8670999999999998</v>
      </c>
      <c r="BW49" s="418">
        <f t="shared" ref="BW49:BX51" si="68">T49+BI49</f>
        <v>6.1</v>
      </c>
      <c r="BX49" s="420">
        <f t="shared" si="68"/>
        <v>1.7670999999999999</v>
      </c>
      <c r="BY49" s="419"/>
      <c r="BZ49" s="414"/>
      <c r="CA49" s="414"/>
      <c r="CB49" s="414"/>
      <c r="CC49" s="414"/>
      <c r="CD49" s="509"/>
      <c r="CE49" s="419">
        <v>233251</v>
      </c>
      <c r="CF49" s="414">
        <v>166622</v>
      </c>
      <c r="CG49" s="414">
        <v>56318</v>
      </c>
      <c r="CH49" s="414">
        <v>1666</v>
      </c>
      <c r="CI49" s="414">
        <v>8645</v>
      </c>
      <c r="CJ49" s="509">
        <v>0.56699999999999995</v>
      </c>
    </row>
    <row r="50" spans="1:88" ht="13.5" customHeight="1">
      <c r="A50" s="205">
        <v>10</v>
      </c>
      <c r="B50" s="206">
        <v>3402</v>
      </c>
      <c r="C50" s="206">
        <v>600078124</v>
      </c>
      <c r="D50" s="206">
        <v>70982643</v>
      </c>
      <c r="E50" s="204" t="s">
        <v>136</v>
      </c>
      <c r="F50" s="206">
        <v>3111</v>
      </c>
      <c r="G50" s="207" t="s">
        <v>291</v>
      </c>
      <c r="H50" s="607" t="s">
        <v>272</v>
      </c>
      <c r="I50" s="510">
        <v>583147</v>
      </c>
      <c r="J50" s="414">
        <v>432602</v>
      </c>
      <c r="K50" s="414">
        <v>432602</v>
      </c>
      <c r="L50" s="414">
        <v>0</v>
      </c>
      <c r="M50" s="414">
        <v>0</v>
      </c>
      <c r="N50" s="414">
        <v>0</v>
      </c>
      <c r="O50" s="414">
        <v>0</v>
      </c>
      <c r="P50" s="68">
        <v>146219</v>
      </c>
      <c r="Q50" s="68">
        <v>4326</v>
      </c>
      <c r="R50" s="414">
        <v>0</v>
      </c>
      <c r="S50" s="415">
        <v>1.17</v>
      </c>
      <c r="T50" s="416">
        <v>1.17</v>
      </c>
      <c r="U50" s="422">
        <v>0</v>
      </c>
      <c r="V50" s="423">
        <f t="shared" si="4"/>
        <v>0</v>
      </c>
      <c r="W50" s="417">
        <f t="shared" si="5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6"/>
        <v>0</v>
      </c>
      <c r="AF50" s="417">
        <v>0</v>
      </c>
      <c r="AG50" s="417">
        <f t="shared" si="8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9"/>
        <v>0</v>
      </c>
      <c r="AN50" s="417">
        <f t="shared" si="10"/>
        <v>0</v>
      </c>
      <c r="AO50" s="417">
        <f t="shared" si="11"/>
        <v>0</v>
      </c>
      <c r="AP50" s="417">
        <f t="shared" si="12"/>
        <v>0</v>
      </c>
      <c r="AQ50" s="417">
        <f t="shared" si="13"/>
        <v>0</v>
      </c>
      <c r="AR50" s="417">
        <f t="shared" si="14"/>
        <v>0</v>
      </c>
      <c r="AS50" s="68">
        <f t="shared" si="15"/>
        <v>0</v>
      </c>
      <c r="AT50" s="68">
        <f t="shared" si="16"/>
        <v>0</v>
      </c>
      <c r="AU50" s="417">
        <v>0</v>
      </c>
      <c r="AV50" s="417">
        <v>0</v>
      </c>
      <c r="AW50" s="417">
        <v>0</v>
      </c>
      <c r="AX50" s="417">
        <f t="shared" si="17"/>
        <v>0</v>
      </c>
      <c r="AY50" s="417">
        <f t="shared" si="18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9"/>
        <v>0</v>
      </c>
      <c r="BJ50" s="418">
        <f t="shared" si="20"/>
        <v>0</v>
      </c>
      <c r="BK50" s="420">
        <f t="shared" si="21"/>
        <v>0</v>
      </c>
      <c r="BL50" s="772">
        <f>I50+AY50</f>
        <v>583147</v>
      </c>
      <c r="BM50" s="417">
        <f>J50+AG50</f>
        <v>432602</v>
      </c>
      <c r="BN50" s="417">
        <f t="shared" si="65"/>
        <v>432602</v>
      </c>
      <c r="BO50" s="417">
        <f t="shared" si="65"/>
        <v>0</v>
      </c>
      <c r="BP50" s="417">
        <f>M50+AO50</f>
        <v>0</v>
      </c>
      <c r="BQ50" s="417">
        <f t="shared" si="66"/>
        <v>0</v>
      </c>
      <c r="BR50" s="417">
        <f t="shared" si="66"/>
        <v>0</v>
      </c>
      <c r="BS50" s="417">
        <f t="shared" si="67"/>
        <v>146219</v>
      </c>
      <c r="BT50" s="417">
        <f t="shared" si="67"/>
        <v>4326</v>
      </c>
      <c r="BU50" s="417">
        <f>R50+AX50</f>
        <v>0</v>
      </c>
      <c r="BV50" s="418">
        <f>S50+BK50</f>
        <v>1.17</v>
      </c>
      <c r="BW50" s="418">
        <f t="shared" si="68"/>
        <v>1.17</v>
      </c>
      <c r="BX50" s="420">
        <f t="shared" si="68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>
      <c r="A51" s="205">
        <v>10</v>
      </c>
      <c r="B51" s="206">
        <v>3402</v>
      </c>
      <c r="C51" s="206">
        <v>600078124</v>
      </c>
      <c r="D51" s="206">
        <v>70982643</v>
      </c>
      <c r="E51" s="204" t="s">
        <v>136</v>
      </c>
      <c r="F51" s="206">
        <v>3141</v>
      </c>
      <c r="G51" s="207" t="s">
        <v>294</v>
      </c>
      <c r="H51" s="607" t="s">
        <v>272</v>
      </c>
      <c r="I51" s="510">
        <v>2482776</v>
      </c>
      <c r="J51" s="414">
        <v>1830828</v>
      </c>
      <c r="K51" s="414">
        <v>0</v>
      </c>
      <c r="L51" s="414">
        <v>1830828</v>
      </c>
      <c r="M51" s="414">
        <v>0</v>
      </c>
      <c r="N51" s="414">
        <v>0</v>
      </c>
      <c r="O51" s="414">
        <v>0</v>
      </c>
      <c r="P51" s="68">
        <v>618820</v>
      </c>
      <c r="Q51" s="68">
        <v>18308</v>
      </c>
      <c r="R51" s="414">
        <v>14820</v>
      </c>
      <c r="S51" s="415">
        <v>5.49</v>
      </c>
      <c r="T51" s="416">
        <v>0</v>
      </c>
      <c r="U51" s="422">
        <v>5.49</v>
      </c>
      <c r="V51" s="423">
        <f t="shared" si="4"/>
        <v>0</v>
      </c>
      <c r="W51" s="417">
        <f t="shared" si="5"/>
        <v>-5000</v>
      </c>
      <c r="X51" s="417">
        <v>0</v>
      </c>
      <c r="Y51" s="417">
        <v>0</v>
      </c>
      <c r="Z51" s="417">
        <v>0</v>
      </c>
      <c r="AA51" s="417">
        <v>-15703</v>
      </c>
      <c r="AB51" s="417">
        <v>0</v>
      </c>
      <c r="AC51" s="417">
        <v>0</v>
      </c>
      <c r="AD51" s="417">
        <v>0</v>
      </c>
      <c r="AE51" s="417">
        <f t="shared" si="6"/>
        <v>0</v>
      </c>
      <c r="AF51" s="417">
        <v>-5000</v>
      </c>
      <c r="AG51" s="417">
        <f t="shared" si="8"/>
        <v>-5000</v>
      </c>
      <c r="AH51" s="417">
        <v>0</v>
      </c>
      <c r="AI51" s="417">
        <v>5000</v>
      </c>
      <c r="AJ51" s="417">
        <v>0</v>
      </c>
      <c r="AK51" s="417">
        <v>0</v>
      </c>
      <c r="AL51" s="417">
        <v>0</v>
      </c>
      <c r="AM51" s="417">
        <f t="shared" si="9"/>
        <v>0</v>
      </c>
      <c r="AN51" s="417">
        <f t="shared" si="10"/>
        <v>5000</v>
      </c>
      <c r="AO51" s="417">
        <f t="shared" si="11"/>
        <v>5000</v>
      </c>
      <c r="AP51" s="417">
        <f t="shared" si="12"/>
        <v>0</v>
      </c>
      <c r="AQ51" s="417">
        <f t="shared" si="13"/>
        <v>0</v>
      </c>
      <c r="AR51" s="417">
        <f t="shared" si="14"/>
        <v>0</v>
      </c>
      <c r="AS51" s="68">
        <f t="shared" si="15"/>
        <v>0</v>
      </c>
      <c r="AT51" s="68">
        <f t="shared" si="16"/>
        <v>-50</v>
      </c>
      <c r="AU51" s="417">
        <v>0</v>
      </c>
      <c r="AV51" s="417">
        <v>0</v>
      </c>
      <c r="AW51" s="417">
        <v>0</v>
      </c>
      <c r="AX51" s="417">
        <f t="shared" si="17"/>
        <v>0</v>
      </c>
      <c r="AY51" s="417">
        <f t="shared" si="18"/>
        <v>-50</v>
      </c>
      <c r="AZ51" s="418">
        <v>0</v>
      </c>
      <c r="BA51" s="418">
        <v>0</v>
      </c>
      <c r="BB51" s="418">
        <v>0</v>
      </c>
      <c r="BC51" s="418">
        <v>0</v>
      </c>
      <c r="BD51" s="418">
        <v>-0.05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9"/>
        <v>0</v>
      </c>
      <c r="BJ51" s="418">
        <f t="shared" si="20"/>
        <v>-0.05</v>
      </c>
      <c r="BK51" s="420">
        <f t="shared" si="21"/>
        <v>-0.05</v>
      </c>
      <c r="BL51" s="772">
        <f>I51+AY51</f>
        <v>2482726</v>
      </c>
      <c r="BM51" s="417">
        <f>J51+AG51</f>
        <v>1825828</v>
      </c>
      <c r="BN51" s="417">
        <f t="shared" si="65"/>
        <v>0</v>
      </c>
      <c r="BO51" s="417">
        <f t="shared" si="65"/>
        <v>1825828</v>
      </c>
      <c r="BP51" s="417">
        <f>M51+AO51</f>
        <v>5000</v>
      </c>
      <c r="BQ51" s="417">
        <f t="shared" si="66"/>
        <v>0</v>
      </c>
      <c r="BR51" s="417">
        <f t="shared" si="66"/>
        <v>5000</v>
      </c>
      <c r="BS51" s="417">
        <f t="shared" si="67"/>
        <v>618820</v>
      </c>
      <c r="BT51" s="417">
        <f t="shared" si="67"/>
        <v>18258</v>
      </c>
      <c r="BU51" s="417">
        <f>R51+AX51</f>
        <v>14820</v>
      </c>
      <c r="BV51" s="418">
        <f>S51+BK51</f>
        <v>5.44</v>
      </c>
      <c r="BW51" s="418">
        <f t="shared" si="68"/>
        <v>0</v>
      </c>
      <c r="BX51" s="420">
        <f t="shared" si="68"/>
        <v>5.44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1"/>
      <c r="CJ51" s="603"/>
    </row>
    <row r="52" spans="1:88">
      <c r="A52" s="155">
        <v>10</v>
      </c>
      <c r="B52" s="18">
        <v>3402</v>
      </c>
      <c r="C52" s="18">
        <v>600078124</v>
      </c>
      <c r="D52" s="18">
        <v>70982643</v>
      </c>
      <c r="E52" s="164" t="s">
        <v>137</v>
      </c>
      <c r="F52" s="18"/>
      <c r="G52" s="154"/>
      <c r="H52" s="608"/>
      <c r="I52" s="451">
        <v>8532627</v>
      </c>
      <c r="J52" s="444">
        <v>6299561</v>
      </c>
      <c r="K52" s="444">
        <v>3949450</v>
      </c>
      <c r="L52" s="444">
        <v>2350111</v>
      </c>
      <c r="M52" s="444">
        <v>0</v>
      </c>
      <c r="N52" s="444">
        <v>0</v>
      </c>
      <c r="O52" s="444">
        <v>0</v>
      </c>
      <c r="P52" s="444">
        <v>2129251</v>
      </c>
      <c r="Q52" s="444">
        <v>62995</v>
      </c>
      <c r="R52" s="444">
        <v>40820</v>
      </c>
      <c r="S52" s="445">
        <v>14.527099999999999</v>
      </c>
      <c r="T52" s="445">
        <v>7.27</v>
      </c>
      <c r="U52" s="449">
        <v>7.2571000000000003</v>
      </c>
      <c r="V52" s="447">
        <f t="shared" ref="V52:CG52" si="69">SUM(V49:V51)</f>
        <v>-5000</v>
      </c>
      <c r="W52" s="444">
        <f t="shared" si="69"/>
        <v>-15000</v>
      </c>
      <c r="X52" s="444">
        <f t="shared" si="69"/>
        <v>0</v>
      </c>
      <c r="Y52" s="444">
        <f t="shared" si="69"/>
        <v>0</v>
      </c>
      <c r="Z52" s="444">
        <f t="shared" si="69"/>
        <v>0</v>
      </c>
      <c r="AA52" s="444">
        <f t="shared" si="69"/>
        <v>-15703</v>
      </c>
      <c r="AB52" s="444">
        <f t="shared" si="69"/>
        <v>0</v>
      </c>
      <c r="AC52" s="444">
        <f t="shared" si="69"/>
        <v>0</v>
      </c>
      <c r="AD52" s="444">
        <f t="shared" si="69"/>
        <v>0</v>
      </c>
      <c r="AE52" s="444">
        <f t="shared" si="69"/>
        <v>-5000</v>
      </c>
      <c r="AF52" s="444">
        <f t="shared" si="69"/>
        <v>-15000</v>
      </c>
      <c r="AG52" s="444">
        <f t="shared" si="69"/>
        <v>-20000</v>
      </c>
      <c r="AH52" s="444">
        <f t="shared" si="69"/>
        <v>5000</v>
      </c>
      <c r="AI52" s="444">
        <f t="shared" si="69"/>
        <v>15000</v>
      </c>
      <c r="AJ52" s="444">
        <f t="shared" si="69"/>
        <v>0</v>
      </c>
      <c r="AK52" s="444">
        <f t="shared" si="69"/>
        <v>0</v>
      </c>
      <c r="AL52" s="444">
        <f t="shared" si="69"/>
        <v>0</v>
      </c>
      <c r="AM52" s="444">
        <f t="shared" si="69"/>
        <v>5000</v>
      </c>
      <c r="AN52" s="444">
        <f t="shared" si="69"/>
        <v>15000</v>
      </c>
      <c r="AO52" s="444">
        <f t="shared" si="69"/>
        <v>20000</v>
      </c>
      <c r="AP52" s="444">
        <f t="shared" si="69"/>
        <v>0</v>
      </c>
      <c r="AQ52" s="444">
        <f t="shared" si="69"/>
        <v>0</v>
      </c>
      <c r="AR52" s="444">
        <f t="shared" si="69"/>
        <v>0</v>
      </c>
      <c r="AS52" s="444">
        <f t="shared" si="69"/>
        <v>0</v>
      </c>
      <c r="AT52" s="444">
        <f t="shared" si="69"/>
        <v>-200</v>
      </c>
      <c r="AU52" s="444">
        <f t="shared" si="69"/>
        <v>0</v>
      </c>
      <c r="AV52" s="444">
        <f t="shared" si="69"/>
        <v>0</v>
      </c>
      <c r="AW52" s="444">
        <f t="shared" si="69"/>
        <v>0</v>
      </c>
      <c r="AX52" s="444">
        <f t="shared" si="69"/>
        <v>0</v>
      </c>
      <c r="AY52" s="444">
        <f t="shared" si="69"/>
        <v>-200</v>
      </c>
      <c r="AZ52" s="445">
        <f t="shared" si="69"/>
        <v>0</v>
      </c>
      <c r="BA52" s="445">
        <f t="shared" si="69"/>
        <v>0</v>
      </c>
      <c r="BB52" s="445">
        <f t="shared" si="69"/>
        <v>0</v>
      </c>
      <c r="BC52" s="445">
        <f t="shared" si="69"/>
        <v>0</v>
      </c>
      <c r="BD52" s="445">
        <f t="shared" si="69"/>
        <v>-0.05</v>
      </c>
      <c r="BE52" s="445">
        <f t="shared" si="69"/>
        <v>0</v>
      </c>
      <c r="BF52" s="445">
        <f t="shared" si="69"/>
        <v>0</v>
      </c>
      <c r="BG52" s="445">
        <f t="shared" si="69"/>
        <v>0</v>
      </c>
      <c r="BH52" s="445">
        <f t="shared" si="69"/>
        <v>0</v>
      </c>
      <c r="BI52" s="445">
        <f t="shared" si="69"/>
        <v>0</v>
      </c>
      <c r="BJ52" s="445">
        <f t="shared" si="69"/>
        <v>-0.05</v>
      </c>
      <c r="BK52" s="39">
        <f t="shared" si="69"/>
        <v>-0.05</v>
      </c>
      <c r="BL52" s="451">
        <f t="shared" si="69"/>
        <v>8532427</v>
      </c>
      <c r="BM52" s="444">
        <f t="shared" si="69"/>
        <v>6279561</v>
      </c>
      <c r="BN52" s="444">
        <f t="shared" si="69"/>
        <v>3944450</v>
      </c>
      <c r="BO52" s="444">
        <f t="shared" si="69"/>
        <v>2335111</v>
      </c>
      <c r="BP52" s="444">
        <f t="shared" si="69"/>
        <v>20000</v>
      </c>
      <c r="BQ52" s="444">
        <f t="shared" si="69"/>
        <v>5000</v>
      </c>
      <c r="BR52" s="444">
        <f t="shared" si="69"/>
        <v>15000</v>
      </c>
      <c r="BS52" s="444">
        <f t="shared" si="69"/>
        <v>2129251</v>
      </c>
      <c r="BT52" s="444">
        <f t="shared" si="69"/>
        <v>62795</v>
      </c>
      <c r="BU52" s="444">
        <f t="shared" si="69"/>
        <v>40820</v>
      </c>
      <c r="BV52" s="445">
        <f t="shared" si="69"/>
        <v>14.4771</v>
      </c>
      <c r="BW52" s="445">
        <f t="shared" si="69"/>
        <v>7.27</v>
      </c>
      <c r="BX52" s="39">
        <f t="shared" si="69"/>
        <v>7.2071000000000005</v>
      </c>
      <c r="BY52" s="806">
        <f t="shared" si="69"/>
        <v>0</v>
      </c>
      <c r="BZ52" s="709">
        <f t="shared" si="69"/>
        <v>0</v>
      </c>
      <c r="CA52" s="709">
        <f t="shared" si="69"/>
        <v>0</v>
      </c>
      <c r="CB52" s="709">
        <f t="shared" si="69"/>
        <v>0</v>
      </c>
      <c r="CC52" s="709">
        <f t="shared" si="69"/>
        <v>0</v>
      </c>
      <c r="CD52" s="807">
        <f t="shared" si="69"/>
        <v>0</v>
      </c>
      <c r="CE52" s="919">
        <f t="shared" si="69"/>
        <v>233251</v>
      </c>
      <c r="CF52" s="920">
        <f t="shared" si="69"/>
        <v>166622</v>
      </c>
      <c r="CG52" s="920">
        <f t="shared" si="69"/>
        <v>56318</v>
      </c>
      <c r="CH52" s="920">
        <f t="shared" ref="CH52:CJ52" si="70">SUM(CH49:CH51)</f>
        <v>1666</v>
      </c>
      <c r="CI52" s="920">
        <f t="shared" si="70"/>
        <v>8645</v>
      </c>
      <c r="CJ52" s="921">
        <f t="shared" si="70"/>
        <v>0.56699999999999995</v>
      </c>
    </row>
    <row r="53" spans="1:88">
      <c r="A53" s="205">
        <v>11</v>
      </c>
      <c r="B53" s="206">
        <v>3429</v>
      </c>
      <c r="C53" s="206">
        <v>600078256</v>
      </c>
      <c r="D53" s="206">
        <v>43257151</v>
      </c>
      <c r="E53" s="204" t="s">
        <v>138</v>
      </c>
      <c r="F53" s="206">
        <v>3113</v>
      </c>
      <c r="G53" s="207" t="s">
        <v>293</v>
      </c>
      <c r="H53" s="607" t="s">
        <v>271</v>
      </c>
      <c r="I53" s="510">
        <v>17920404</v>
      </c>
      <c r="J53" s="414">
        <v>12907781</v>
      </c>
      <c r="K53" s="414">
        <v>11680394</v>
      </c>
      <c r="L53" s="414">
        <v>1227387</v>
      </c>
      <c r="M53" s="414">
        <v>170000</v>
      </c>
      <c r="N53" s="414">
        <v>30000</v>
      </c>
      <c r="O53" s="414">
        <v>140000</v>
      </c>
      <c r="P53" s="68">
        <v>4420290</v>
      </c>
      <c r="Q53" s="68">
        <v>129078</v>
      </c>
      <c r="R53" s="414">
        <v>293255</v>
      </c>
      <c r="S53" s="415">
        <v>18.900099999999998</v>
      </c>
      <c r="T53" s="416">
        <v>15.404300000000001</v>
      </c>
      <c r="U53" s="422">
        <v>3.4958</v>
      </c>
      <c r="V53" s="423">
        <f t="shared" si="4"/>
        <v>30000</v>
      </c>
      <c r="W53" s="417">
        <f t="shared" si="5"/>
        <v>-260000</v>
      </c>
      <c r="X53" s="417">
        <v>0</v>
      </c>
      <c r="Y53" s="417">
        <v>0</v>
      </c>
      <c r="Z53" s="417">
        <v>-116125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6"/>
        <v>-86125</v>
      </c>
      <c r="AF53" s="417">
        <f t="shared" si="7"/>
        <v>-260000</v>
      </c>
      <c r="AG53" s="417">
        <f t="shared" si="8"/>
        <v>-346125</v>
      </c>
      <c r="AH53" s="417">
        <v>-30000</v>
      </c>
      <c r="AI53" s="417">
        <v>260000</v>
      </c>
      <c r="AJ53" s="417">
        <v>0</v>
      </c>
      <c r="AK53" s="417">
        <v>0</v>
      </c>
      <c r="AL53" s="417">
        <v>0</v>
      </c>
      <c r="AM53" s="417">
        <f t="shared" si="9"/>
        <v>-30000</v>
      </c>
      <c r="AN53" s="417">
        <f t="shared" si="10"/>
        <v>260000</v>
      </c>
      <c r="AO53" s="417">
        <f t="shared" si="11"/>
        <v>230000</v>
      </c>
      <c r="AP53" s="417">
        <f t="shared" si="12"/>
        <v>-116125</v>
      </c>
      <c r="AQ53" s="417">
        <f t="shared" si="13"/>
        <v>0</v>
      </c>
      <c r="AR53" s="417">
        <f t="shared" si="14"/>
        <v>-116125</v>
      </c>
      <c r="AS53" s="68">
        <f t="shared" si="15"/>
        <v>-39250</v>
      </c>
      <c r="AT53" s="68">
        <f t="shared" si="16"/>
        <v>-3461</v>
      </c>
      <c r="AU53" s="417">
        <v>0</v>
      </c>
      <c r="AV53" s="417">
        <v>0</v>
      </c>
      <c r="AW53" s="417">
        <v>0</v>
      </c>
      <c r="AX53" s="417">
        <f t="shared" si="17"/>
        <v>0</v>
      </c>
      <c r="AY53" s="417">
        <f t="shared" si="18"/>
        <v>-158836</v>
      </c>
      <c r="AZ53" s="418">
        <v>0.05</v>
      </c>
      <c r="BA53" s="418">
        <v>-0.94</v>
      </c>
      <c r="BB53" s="418">
        <v>0</v>
      </c>
      <c r="BC53" s="418">
        <v>-0.23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9"/>
        <v>-0.18</v>
      </c>
      <c r="BJ53" s="418">
        <f t="shared" si="20"/>
        <v>-0.94</v>
      </c>
      <c r="BK53" s="420">
        <f t="shared" si="21"/>
        <v>-1.1199999999999999</v>
      </c>
      <c r="BL53" s="772">
        <f>I53+AY53</f>
        <v>17761568</v>
      </c>
      <c r="BM53" s="417">
        <f>J53+AG53</f>
        <v>12561656</v>
      </c>
      <c r="BN53" s="417">
        <f t="shared" ref="BN53:BO56" si="71">K53+AE53</f>
        <v>11594269</v>
      </c>
      <c r="BO53" s="417">
        <f t="shared" si="71"/>
        <v>967387</v>
      </c>
      <c r="BP53" s="417">
        <f>M53+AO53</f>
        <v>400000</v>
      </c>
      <c r="BQ53" s="417">
        <f t="shared" ref="BQ53:BR56" si="72">N53+AM53</f>
        <v>0</v>
      </c>
      <c r="BR53" s="417">
        <f t="shared" si="72"/>
        <v>400000</v>
      </c>
      <c r="BS53" s="417">
        <f t="shared" ref="BS53:BT56" si="73">P53+AS53</f>
        <v>4381040</v>
      </c>
      <c r="BT53" s="417">
        <f t="shared" si="73"/>
        <v>125617</v>
      </c>
      <c r="BU53" s="417">
        <f>R53+AX53</f>
        <v>293255</v>
      </c>
      <c r="BV53" s="418">
        <f>S53+BK53</f>
        <v>17.780099999999997</v>
      </c>
      <c r="BW53" s="418">
        <f t="shared" ref="BW53:BX56" si="74">T53+BI53</f>
        <v>15.224300000000001</v>
      </c>
      <c r="BX53" s="420">
        <f t="shared" si="74"/>
        <v>2.5558000000000001</v>
      </c>
      <c r="BY53" s="419"/>
      <c r="BZ53" s="414"/>
      <c r="CA53" s="414"/>
      <c r="CB53" s="414"/>
      <c r="CC53" s="414"/>
      <c r="CD53" s="509"/>
      <c r="CE53" s="419">
        <v>660627</v>
      </c>
      <c r="CF53" s="414">
        <v>438858</v>
      </c>
      <c r="CG53" s="414">
        <v>148334</v>
      </c>
      <c r="CH53" s="414">
        <v>4389</v>
      </c>
      <c r="CI53" s="414">
        <v>69046</v>
      </c>
      <c r="CJ53" s="509">
        <v>1.2825</v>
      </c>
    </row>
    <row r="54" spans="1:88">
      <c r="A54" s="205">
        <v>11</v>
      </c>
      <c r="B54" s="206">
        <v>3429</v>
      </c>
      <c r="C54" s="206">
        <v>600078256</v>
      </c>
      <c r="D54" s="206">
        <v>43257151</v>
      </c>
      <c r="E54" s="204" t="s">
        <v>138</v>
      </c>
      <c r="F54" s="206">
        <v>3113</v>
      </c>
      <c r="G54" s="207" t="s">
        <v>291</v>
      </c>
      <c r="H54" s="607" t="s">
        <v>272</v>
      </c>
      <c r="I54" s="510">
        <v>2051261</v>
      </c>
      <c r="J54" s="414">
        <v>1521707</v>
      </c>
      <c r="K54" s="414">
        <v>1521707</v>
      </c>
      <c r="L54" s="414">
        <v>0</v>
      </c>
      <c r="M54" s="414">
        <v>0</v>
      </c>
      <c r="N54" s="414">
        <v>0</v>
      </c>
      <c r="O54" s="414">
        <v>0</v>
      </c>
      <c r="P54" s="68">
        <v>514337</v>
      </c>
      <c r="Q54" s="68">
        <v>15217</v>
      </c>
      <c r="R54" s="414">
        <v>0</v>
      </c>
      <c r="S54" s="415">
        <v>4.09</v>
      </c>
      <c r="T54" s="416">
        <v>4.09</v>
      </c>
      <c r="U54" s="422">
        <v>0</v>
      </c>
      <c r="V54" s="423">
        <f t="shared" si="4"/>
        <v>0</v>
      </c>
      <c r="W54" s="417">
        <f t="shared" si="5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6"/>
        <v>0</v>
      </c>
      <c r="AF54" s="417">
        <f t="shared" si="7"/>
        <v>0</v>
      </c>
      <c r="AG54" s="417">
        <f t="shared" si="8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9"/>
        <v>0</v>
      </c>
      <c r="AN54" s="417">
        <f t="shared" si="10"/>
        <v>0</v>
      </c>
      <c r="AO54" s="417">
        <f t="shared" si="11"/>
        <v>0</v>
      </c>
      <c r="AP54" s="417">
        <f t="shared" si="12"/>
        <v>0</v>
      </c>
      <c r="AQ54" s="417">
        <f t="shared" si="13"/>
        <v>0</v>
      </c>
      <c r="AR54" s="417">
        <f t="shared" si="14"/>
        <v>0</v>
      </c>
      <c r="AS54" s="68">
        <f t="shared" si="15"/>
        <v>0</v>
      </c>
      <c r="AT54" s="68">
        <f t="shared" si="16"/>
        <v>0</v>
      </c>
      <c r="AU54" s="417">
        <v>0</v>
      </c>
      <c r="AV54" s="417">
        <v>0</v>
      </c>
      <c r="AW54" s="417">
        <v>0</v>
      </c>
      <c r="AX54" s="417">
        <f t="shared" si="17"/>
        <v>0</v>
      </c>
      <c r="AY54" s="417">
        <f t="shared" si="18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9"/>
        <v>0</v>
      </c>
      <c r="BJ54" s="418">
        <f t="shared" si="20"/>
        <v>0</v>
      </c>
      <c r="BK54" s="420">
        <f t="shared" si="21"/>
        <v>0</v>
      </c>
      <c r="BL54" s="772">
        <f>I54+AY54</f>
        <v>2051261</v>
      </c>
      <c r="BM54" s="417">
        <f>J54+AG54</f>
        <v>1521707</v>
      </c>
      <c r="BN54" s="417">
        <f t="shared" si="71"/>
        <v>1521707</v>
      </c>
      <c r="BO54" s="417">
        <f t="shared" si="71"/>
        <v>0</v>
      </c>
      <c r="BP54" s="417">
        <f>M54+AO54</f>
        <v>0</v>
      </c>
      <c r="BQ54" s="417">
        <f t="shared" si="72"/>
        <v>0</v>
      </c>
      <c r="BR54" s="417">
        <f t="shared" si="72"/>
        <v>0</v>
      </c>
      <c r="BS54" s="417">
        <f t="shared" si="73"/>
        <v>514337</v>
      </c>
      <c r="BT54" s="417">
        <f t="shared" si="73"/>
        <v>15217</v>
      </c>
      <c r="BU54" s="417">
        <f>R54+AX54</f>
        <v>0</v>
      </c>
      <c r="BV54" s="418">
        <f>S54+BK54</f>
        <v>4.09</v>
      </c>
      <c r="BW54" s="418">
        <f t="shared" si="74"/>
        <v>4.09</v>
      </c>
      <c r="BX54" s="420">
        <f t="shared" si="74"/>
        <v>0</v>
      </c>
      <c r="BY54" s="419"/>
      <c r="BZ54" s="414"/>
      <c r="CA54" s="414"/>
      <c r="CB54" s="414"/>
      <c r="CC54" s="414"/>
      <c r="CD54" s="509"/>
      <c r="CE54" s="419"/>
      <c r="CF54" s="414"/>
      <c r="CG54" s="414"/>
      <c r="CH54" s="414"/>
      <c r="CI54" s="414"/>
      <c r="CJ54" s="509"/>
    </row>
    <row r="55" spans="1:88" s="3" customFormat="1">
      <c r="A55" s="205">
        <v>11</v>
      </c>
      <c r="B55" s="206">
        <v>3429</v>
      </c>
      <c r="C55" s="206">
        <v>600078256</v>
      </c>
      <c r="D55" s="206">
        <v>43257151</v>
      </c>
      <c r="E55" s="204" t="s">
        <v>138</v>
      </c>
      <c r="F55" s="206">
        <v>3143</v>
      </c>
      <c r="G55" s="207" t="s">
        <v>595</v>
      </c>
      <c r="H55" s="609" t="s">
        <v>271</v>
      </c>
      <c r="I55" s="510">
        <v>1633741</v>
      </c>
      <c r="J55" s="414">
        <v>1211974</v>
      </c>
      <c r="K55" s="414">
        <v>1211974</v>
      </c>
      <c r="L55" s="414">
        <v>0</v>
      </c>
      <c r="M55" s="414">
        <v>0</v>
      </c>
      <c r="N55" s="414">
        <v>0</v>
      </c>
      <c r="O55" s="414">
        <v>0</v>
      </c>
      <c r="P55" s="68">
        <v>409647</v>
      </c>
      <c r="Q55" s="68">
        <v>12120</v>
      </c>
      <c r="R55" s="414">
        <v>0</v>
      </c>
      <c r="S55" s="415">
        <v>2.4293</v>
      </c>
      <c r="T55" s="416">
        <v>2.4293</v>
      </c>
      <c r="U55" s="422">
        <v>0</v>
      </c>
      <c r="V55" s="423">
        <f t="shared" si="4"/>
        <v>0</v>
      </c>
      <c r="W55" s="417">
        <f t="shared" si="5"/>
        <v>0</v>
      </c>
      <c r="X55" s="417">
        <v>0</v>
      </c>
      <c r="Y55" s="417">
        <v>0</v>
      </c>
      <c r="Z55" s="417">
        <v>23486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6"/>
        <v>23486</v>
      </c>
      <c r="AF55" s="417">
        <f t="shared" si="7"/>
        <v>0</v>
      </c>
      <c r="AG55" s="417">
        <f t="shared" si="8"/>
        <v>23486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9"/>
        <v>0</v>
      </c>
      <c r="AN55" s="417">
        <f t="shared" si="10"/>
        <v>0</v>
      </c>
      <c r="AO55" s="417">
        <f t="shared" si="11"/>
        <v>0</v>
      </c>
      <c r="AP55" s="417">
        <f t="shared" si="12"/>
        <v>23486</v>
      </c>
      <c r="AQ55" s="417">
        <f t="shared" si="13"/>
        <v>0</v>
      </c>
      <c r="AR55" s="417">
        <f t="shared" si="14"/>
        <v>23486</v>
      </c>
      <c r="AS55" s="68">
        <f t="shared" si="15"/>
        <v>7938</v>
      </c>
      <c r="AT55" s="68">
        <f t="shared" si="16"/>
        <v>235</v>
      </c>
      <c r="AU55" s="417">
        <v>0</v>
      </c>
      <c r="AV55" s="417">
        <v>0</v>
      </c>
      <c r="AW55" s="417">
        <v>0</v>
      </c>
      <c r="AX55" s="417">
        <f t="shared" si="17"/>
        <v>0</v>
      </c>
      <c r="AY55" s="417">
        <f t="shared" si="18"/>
        <v>31659</v>
      </c>
      <c r="AZ55" s="418">
        <v>0</v>
      </c>
      <c r="BA55" s="418">
        <v>0</v>
      </c>
      <c r="BB55" s="418">
        <v>0</v>
      </c>
      <c r="BC55" s="418">
        <v>0.05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9"/>
        <v>0.05</v>
      </c>
      <c r="BJ55" s="418">
        <f t="shared" si="20"/>
        <v>0</v>
      </c>
      <c r="BK55" s="420">
        <f t="shared" si="21"/>
        <v>0.05</v>
      </c>
      <c r="BL55" s="772">
        <f>I55+AY55</f>
        <v>1665400</v>
      </c>
      <c r="BM55" s="417">
        <f>J55+AG55</f>
        <v>1235460</v>
      </c>
      <c r="BN55" s="417">
        <f t="shared" si="71"/>
        <v>1235460</v>
      </c>
      <c r="BO55" s="417">
        <f t="shared" si="71"/>
        <v>0</v>
      </c>
      <c r="BP55" s="417">
        <f>M55+AO55</f>
        <v>0</v>
      </c>
      <c r="BQ55" s="417">
        <f t="shared" si="72"/>
        <v>0</v>
      </c>
      <c r="BR55" s="417">
        <f t="shared" si="72"/>
        <v>0</v>
      </c>
      <c r="BS55" s="417">
        <f t="shared" si="73"/>
        <v>417585</v>
      </c>
      <c r="BT55" s="417">
        <f t="shared" si="73"/>
        <v>12355</v>
      </c>
      <c r="BU55" s="417">
        <f>R55+AX55</f>
        <v>0</v>
      </c>
      <c r="BV55" s="418">
        <f>S55+BK55</f>
        <v>2.4792999999999998</v>
      </c>
      <c r="BW55" s="418">
        <f t="shared" si="74"/>
        <v>2.4792999999999998</v>
      </c>
      <c r="BX55" s="420">
        <f t="shared" si="74"/>
        <v>0</v>
      </c>
      <c r="BY55" s="419"/>
      <c r="BZ55" s="414"/>
      <c r="CA55" s="414"/>
      <c r="CB55" s="414"/>
      <c r="CC55" s="414"/>
      <c r="CD55" s="509"/>
      <c r="CE55" s="419"/>
      <c r="CF55" s="414"/>
      <c r="CG55" s="414"/>
      <c r="CH55" s="414"/>
      <c r="CI55" s="414"/>
      <c r="CJ55" s="509"/>
    </row>
    <row r="56" spans="1:88" s="3" customFormat="1">
      <c r="A56" s="205">
        <v>11</v>
      </c>
      <c r="B56" s="206">
        <v>3429</v>
      </c>
      <c r="C56" s="206">
        <v>600078256</v>
      </c>
      <c r="D56" s="206">
        <v>43257151</v>
      </c>
      <c r="E56" s="204" t="s">
        <v>138</v>
      </c>
      <c r="F56" s="206">
        <v>3143</v>
      </c>
      <c r="G56" s="207" t="s">
        <v>596</v>
      </c>
      <c r="H56" s="609" t="s">
        <v>272</v>
      </c>
      <c r="I56" s="510">
        <v>54556</v>
      </c>
      <c r="J56" s="414">
        <v>39050</v>
      </c>
      <c r="K56" s="414">
        <v>0</v>
      </c>
      <c r="L56" s="414">
        <v>39050</v>
      </c>
      <c r="M56" s="414">
        <v>0</v>
      </c>
      <c r="N56" s="414">
        <v>0</v>
      </c>
      <c r="O56" s="414">
        <v>0</v>
      </c>
      <c r="P56" s="68">
        <v>13199</v>
      </c>
      <c r="Q56" s="68">
        <v>390</v>
      </c>
      <c r="R56" s="414">
        <v>1917</v>
      </c>
      <c r="S56" s="415">
        <v>0.15000000000000002</v>
      </c>
      <c r="T56" s="416">
        <v>0</v>
      </c>
      <c r="U56" s="422">
        <v>0.15000000000000002</v>
      </c>
      <c r="V56" s="423">
        <f t="shared" si="4"/>
        <v>0</v>
      </c>
      <c r="W56" s="417">
        <f t="shared" si="5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6"/>
        <v>0</v>
      </c>
      <c r="AF56" s="417">
        <f t="shared" si="7"/>
        <v>0</v>
      </c>
      <c r="AG56" s="417">
        <f t="shared" si="8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9"/>
        <v>0</v>
      </c>
      <c r="AN56" s="417">
        <f t="shared" si="10"/>
        <v>0</v>
      </c>
      <c r="AO56" s="417">
        <f t="shared" si="11"/>
        <v>0</v>
      </c>
      <c r="AP56" s="417">
        <f t="shared" si="12"/>
        <v>0</v>
      </c>
      <c r="AQ56" s="417">
        <f t="shared" si="13"/>
        <v>0</v>
      </c>
      <c r="AR56" s="417">
        <f t="shared" si="14"/>
        <v>0</v>
      </c>
      <c r="AS56" s="68">
        <f t="shared" si="15"/>
        <v>0</v>
      </c>
      <c r="AT56" s="68">
        <f t="shared" si="16"/>
        <v>0</v>
      </c>
      <c r="AU56" s="417">
        <v>0</v>
      </c>
      <c r="AV56" s="417">
        <v>0</v>
      </c>
      <c r="AW56" s="417">
        <v>0</v>
      </c>
      <c r="AX56" s="417">
        <f t="shared" si="17"/>
        <v>0</v>
      </c>
      <c r="AY56" s="417">
        <f t="shared" si="18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19"/>
        <v>0</v>
      </c>
      <c r="BJ56" s="418">
        <f t="shared" si="20"/>
        <v>0</v>
      </c>
      <c r="BK56" s="420">
        <f t="shared" si="21"/>
        <v>0</v>
      </c>
      <c r="BL56" s="772">
        <f>I56+AY56</f>
        <v>54556</v>
      </c>
      <c r="BM56" s="417">
        <f>J56+AG56</f>
        <v>39050</v>
      </c>
      <c r="BN56" s="417">
        <f t="shared" si="71"/>
        <v>0</v>
      </c>
      <c r="BO56" s="417">
        <f t="shared" si="71"/>
        <v>39050</v>
      </c>
      <c r="BP56" s="417">
        <f>M56+AO56</f>
        <v>0</v>
      </c>
      <c r="BQ56" s="417">
        <f t="shared" si="72"/>
        <v>0</v>
      </c>
      <c r="BR56" s="417">
        <f t="shared" si="72"/>
        <v>0</v>
      </c>
      <c r="BS56" s="417">
        <f t="shared" si="73"/>
        <v>13199</v>
      </c>
      <c r="BT56" s="417">
        <f t="shared" si="73"/>
        <v>390</v>
      </c>
      <c r="BU56" s="417">
        <f>R56+AX56</f>
        <v>1917</v>
      </c>
      <c r="BV56" s="418">
        <f>S56+BK56</f>
        <v>0.15000000000000002</v>
      </c>
      <c r="BW56" s="418">
        <f t="shared" si="74"/>
        <v>0</v>
      </c>
      <c r="BX56" s="420">
        <f t="shared" si="74"/>
        <v>0.15000000000000002</v>
      </c>
      <c r="BY56" s="419"/>
      <c r="BZ56" s="414"/>
      <c r="CA56" s="414"/>
      <c r="CB56" s="414"/>
      <c r="CC56" s="414"/>
      <c r="CD56" s="509"/>
      <c r="CE56" s="419"/>
      <c r="CF56" s="601"/>
      <c r="CG56" s="414"/>
      <c r="CH56" s="414"/>
      <c r="CI56" s="602"/>
      <c r="CJ56" s="603"/>
    </row>
    <row r="57" spans="1:88">
      <c r="A57" s="155">
        <v>11</v>
      </c>
      <c r="B57" s="18">
        <v>3429</v>
      </c>
      <c r="C57" s="18">
        <v>600078256</v>
      </c>
      <c r="D57" s="18">
        <v>43257151</v>
      </c>
      <c r="E57" s="164" t="s">
        <v>139</v>
      </c>
      <c r="F57" s="18"/>
      <c r="G57" s="154"/>
      <c r="H57" s="608"/>
      <c r="I57" s="451">
        <v>21659962</v>
      </c>
      <c r="J57" s="444">
        <v>15680512</v>
      </c>
      <c r="K57" s="444">
        <v>14414075</v>
      </c>
      <c r="L57" s="444">
        <v>1266437</v>
      </c>
      <c r="M57" s="444">
        <v>170000</v>
      </c>
      <c r="N57" s="444">
        <v>30000</v>
      </c>
      <c r="O57" s="444">
        <v>140000</v>
      </c>
      <c r="P57" s="444">
        <v>5357473</v>
      </c>
      <c r="Q57" s="444">
        <v>156805</v>
      </c>
      <c r="R57" s="444">
        <v>295172</v>
      </c>
      <c r="S57" s="445">
        <v>25.569399999999998</v>
      </c>
      <c r="T57" s="445">
        <v>21.923600000000004</v>
      </c>
      <c r="U57" s="449">
        <v>3.6457999999999999</v>
      </c>
      <c r="V57" s="447">
        <f t="shared" ref="V57:CG57" si="75">SUM(V53:V56)</f>
        <v>30000</v>
      </c>
      <c r="W57" s="444">
        <f t="shared" si="75"/>
        <v>-260000</v>
      </c>
      <c r="X57" s="444">
        <f t="shared" si="75"/>
        <v>0</v>
      </c>
      <c r="Y57" s="444">
        <f t="shared" si="75"/>
        <v>0</v>
      </c>
      <c r="Z57" s="444">
        <f t="shared" si="75"/>
        <v>-92639</v>
      </c>
      <c r="AA57" s="444">
        <f t="shared" si="75"/>
        <v>0</v>
      </c>
      <c r="AB57" s="444">
        <f t="shared" si="75"/>
        <v>0</v>
      </c>
      <c r="AC57" s="444">
        <f t="shared" si="75"/>
        <v>0</v>
      </c>
      <c r="AD57" s="444">
        <f t="shared" si="75"/>
        <v>0</v>
      </c>
      <c r="AE57" s="444">
        <f t="shared" si="75"/>
        <v>-62639</v>
      </c>
      <c r="AF57" s="444">
        <f t="shared" si="75"/>
        <v>-260000</v>
      </c>
      <c r="AG57" s="444">
        <f t="shared" si="75"/>
        <v>-322639</v>
      </c>
      <c r="AH57" s="444">
        <f t="shared" si="75"/>
        <v>-30000</v>
      </c>
      <c r="AI57" s="444">
        <f t="shared" si="75"/>
        <v>260000</v>
      </c>
      <c r="AJ57" s="444">
        <f t="shared" si="75"/>
        <v>0</v>
      </c>
      <c r="AK57" s="444">
        <f t="shared" si="75"/>
        <v>0</v>
      </c>
      <c r="AL57" s="444">
        <f t="shared" si="75"/>
        <v>0</v>
      </c>
      <c r="AM57" s="444">
        <f t="shared" si="75"/>
        <v>-30000</v>
      </c>
      <c r="AN57" s="444">
        <f t="shared" si="75"/>
        <v>260000</v>
      </c>
      <c r="AO57" s="444">
        <f t="shared" si="75"/>
        <v>230000</v>
      </c>
      <c r="AP57" s="444">
        <f t="shared" si="75"/>
        <v>-92639</v>
      </c>
      <c r="AQ57" s="444">
        <f t="shared" si="75"/>
        <v>0</v>
      </c>
      <c r="AR57" s="444">
        <f t="shared" si="75"/>
        <v>-92639</v>
      </c>
      <c r="AS57" s="444">
        <f t="shared" si="75"/>
        <v>-31312</v>
      </c>
      <c r="AT57" s="444">
        <f t="shared" si="75"/>
        <v>-3226</v>
      </c>
      <c r="AU57" s="444">
        <f t="shared" si="75"/>
        <v>0</v>
      </c>
      <c r="AV57" s="444">
        <f t="shared" si="75"/>
        <v>0</v>
      </c>
      <c r="AW57" s="444">
        <f t="shared" si="75"/>
        <v>0</v>
      </c>
      <c r="AX57" s="444">
        <f t="shared" si="75"/>
        <v>0</v>
      </c>
      <c r="AY57" s="444">
        <f t="shared" si="75"/>
        <v>-127177</v>
      </c>
      <c r="AZ57" s="445">
        <f t="shared" si="75"/>
        <v>0.05</v>
      </c>
      <c r="BA57" s="445">
        <f t="shared" si="75"/>
        <v>-0.94</v>
      </c>
      <c r="BB57" s="445">
        <f t="shared" si="75"/>
        <v>0</v>
      </c>
      <c r="BC57" s="445">
        <f t="shared" si="75"/>
        <v>-0.18</v>
      </c>
      <c r="BD57" s="445">
        <f t="shared" si="75"/>
        <v>0</v>
      </c>
      <c r="BE57" s="445">
        <f t="shared" si="75"/>
        <v>0</v>
      </c>
      <c r="BF57" s="445">
        <f t="shared" si="75"/>
        <v>0</v>
      </c>
      <c r="BG57" s="445">
        <f t="shared" si="75"/>
        <v>0</v>
      </c>
      <c r="BH57" s="445">
        <f t="shared" si="75"/>
        <v>0</v>
      </c>
      <c r="BI57" s="445">
        <f t="shared" si="75"/>
        <v>-0.13</v>
      </c>
      <c r="BJ57" s="445">
        <f t="shared" si="75"/>
        <v>-0.94</v>
      </c>
      <c r="BK57" s="39">
        <f t="shared" si="75"/>
        <v>-1.0699999999999998</v>
      </c>
      <c r="BL57" s="451">
        <f t="shared" si="75"/>
        <v>21532785</v>
      </c>
      <c r="BM57" s="444">
        <f t="shared" si="75"/>
        <v>15357873</v>
      </c>
      <c r="BN57" s="444">
        <f t="shared" si="75"/>
        <v>14351436</v>
      </c>
      <c r="BO57" s="444">
        <f t="shared" si="75"/>
        <v>1006437</v>
      </c>
      <c r="BP57" s="444">
        <f t="shared" si="75"/>
        <v>400000</v>
      </c>
      <c r="BQ57" s="444">
        <f t="shared" si="75"/>
        <v>0</v>
      </c>
      <c r="BR57" s="444">
        <f t="shared" si="75"/>
        <v>400000</v>
      </c>
      <c r="BS57" s="444">
        <f t="shared" si="75"/>
        <v>5326161</v>
      </c>
      <c r="BT57" s="444">
        <f t="shared" si="75"/>
        <v>153579</v>
      </c>
      <c r="BU57" s="444">
        <f t="shared" si="75"/>
        <v>295172</v>
      </c>
      <c r="BV57" s="445">
        <f t="shared" si="75"/>
        <v>24.499399999999994</v>
      </c>
      <c r="BW57" s="445">
        <f t="shared" si="75"/>
        <v>21.793600000000001</v>
      </c>
      <c r="BX57" s="39">
        <f t="shared" si="75"/>
        <v>2.7058</v>
      </c>
      <c r="BY57" s="806">
        <f t="shared" si="75"/>
        <v>0</v>
      </c>
      <c r="BZ57" s="709">
        <f t="shared" si="75"/>
        <v>0</v>
      </c>
      <c r="CA57" s="709">
        <f t="shared" si="75"/>
        <v>0</v>
      </c>
      <c r="CB57" s="709">
        <f t="shared" si="75"/>
        <v>0</v>
      </c>
      <c r="CC57" s="709">
        <f t="shared" si="75"/>
        <v>0</v>
      </c>
      <c r="CD57" s="807">
        <f t="shared" si="75"/>
        <v>0</v>
      </c>
      <c r="CE57" s="919">
        <f t="shared" si="75"/>
        <v>660627</v>
      </c>
      <c r="CF57" s="920">
        <f t="shared" si="75"/>
        <v>438858</v>
      </c>
      <c r="CG57" s="920">
        <f t="shared" si="75"/>
        <v>148334</v>
      </c>
      <c r="CH57" s="920">
        <f t="shared" ref="CH57:CJ57" si="76">SUM(CH53:CH56)</f>
        <v>4389</v>
      </c>
      <c r="CI57" s="920">
        <f t="shared" si="76"/>
        <v>69046</v>
      </c>
      <c r="CJ57" s="921">
        <f t="shared" si="76"/>
        <v>1.2825</v>
      </c>
    </row>
    <row r="58" spans="1:88">
      <c r="A58" s="205">
        <v>12</v>
      </c>
      <c r="B58" s="206">
        <v>3405</v>
      </c>
      <c r="C58" s="206">
        <v>600078337</v>
      </c>
      <c r="D58" s="206">
        <v>70698325</v>
      </c>
      <c r="E58" s="204" t="s">
        <v>140</v>
      </c>
      <c r="F58" s="206">
        <v>3111</v>
      </c>
      <c r="G58" s="207" t="s">
        <v>290</v>
      </c>
      <c r="H58" s="607" t="s">
        <v>271</v>
      </c>
      <c r="I58" s="510">
        <v>1626425</v>
      </c>
      <c r="J58" s="414">
        <v>1200612</v>
      </c>
      <c r="K58" s="414">
        <v>1112403</v>
      </c>
      <c r="L58" s="414">
        <v>88209</v>
      </c>
      <c r="M58" s="414">
        <v>0</v>
      </c>
      <c r="N58" s="414">
        <v>0</v>
      </c>
      <c r="O58" s="414">
        <v>0</v>
      </c>
      <c r="P58" s="68">
        <v>405807</v>
      </c>
      <c r="Q58" s="68">
        <v>12006</v>
      </c>
      <c r="R58" s="414">
        <v>8000</v>
      </c>
      <c r="S58" s="415">
        <v>2.2807999999999997</v>
      </c>
      <c r="T58" s="416">
        <v>1.9274</v>
      </c>
      <c r="U58" s="422">
        <v>0.35339999999999999</v>
      </c>
      <c r="V58" s="423">
        <f t="shared" si="4"/>
        <v>0</v>
      </c>
      <c r="W58" s="417">
        <f t="shared" si="5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6"/>
        <v>0</v>
      </c>
      <c r="AF58" s="417">
        <f t="shared" si="7"/>
        <v>0</v>
      </c>
      <c r="AG58" s="417">
        <f t="shared" si="8"/>
        <v>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9"/>
        <v>0</v>
      </c>
      <c r="AN58" s="417">
        <f t="shared" si="10"/>
        <v>0</v>
      </c>
      <c r="AO58" s="417">
        <f t="shared" si="11"/>
        <v>0</v>
      </c>
      <c r="AP58" s="417">
        <f t="shared" si="12"/>
        <v>0</v>
      </c>
      <c r="AQ58" s="417">
        <f t="shared" si="13"/>
        <v>0</v>
      </c>
      <c r="AR58" s="417">
        <f t="shared" si="14"/>
        <v>0</v>
      </c>
      <c r="AS58" s="68">
        <f t="shared" si="15"/>
        <v>0</v>
      </c>
      <c r="AT58" s="68">
        <f t="shared" si="16"/>
        <v>0</v>
      </c>
      <c r="AU58" s="417">
        <v>0</v>
      </c>
      <c r="AV58" s="417">
        <v>0</v>
      </c>
      <c r="AW58" s="417">
        <v>0</v>
      </c>
      <c r="AX58" s="417">
        <f t="shared" si="17"/>
        <v>0</v>
      </c>
      <c r="AY58" s="417">
        <f t="shared" si="18"/>
        <v>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9"/>
        <v>0</v>
      </c>
      <c r="BJ58" s="418">
        <f t="shared" si="20"/>
        <v>0</v>
      </c>
      <c r="BK58" s="420">
        <f t="shared" si="21"/>
        <v>0</v>
      </c>
      <c r="BL58" s="772">
        <f t="shared" ref="BL58:BL63" si="77">I58+AY58</f>
        <v>1626425</v>
      </c>
      <c r="BM58" s="417">
        <f t="shared" ref="BM58:BM63" si="78">J58+AG58</f>
        <v>1200612</v>
      </c>
      <c r="BN58" s="417">
        <f t="shared" ref="BN58:BO63" si="79">K58+AE58</f>
        <v>1112403</v>
      </c>
      <c r="BO58" s="417">
        <f t="shared" si="79"/>
        <v>88209</v>
      </c>
      <c r="BP58" s="417">
        <f t="shared" ref="BP58:BP63" si="80">M58+AO58</f>
        <v>0</v>
      </c>
      <c r="BQ58" s="417">
        <f t="shared" ref="BQ58:BR63" si="81">N58+AM58</f>
        <v>0</v>
      </c>
      <c r="BR58" s="417">
        <f t="shared" si="81"/>
        <v>0</v>
      </c>
      <c r="BS58" s="417">
        <f t="shared" ref="BS58:BT63" si="82">P58+AS58</f>
        <v>405807</v>
      </c>
      <c r="BT58" s="417">
        <f t="shared" si="82"/>
        <v>12006</v>
      </c>
      <c r="BU58" s="417">
        <f t="shared" ref="BU58:BU63" si="83">R58+AX58</f>
        <v>8000</v>
      </c>
      <c r="BV58" s="418">
        <f t="shared" ref="BV58:BV63" si="84">S58+BK58</f>
        <v>2.2807999999999997</v>
      </c>
      <c r="BW58" s="418">
        <f t="shared" ref="BW58:BX63" si="85">T58+BI58</f>
        <v>1.9274</v>
      </c>
      <c r="BX58" s="420">
        <f t="shared" si="85"/>
        <v>0.35339999999999999</v>
      </c>
      <c r="BY58" s="419"/>
      <c r="BZ58" s="414"/>
      <c r="CA58" s="414"/>
      <c r="CB58" s="414"/>
      <c r="CC58" s="414"/>
      <c r="CD58" s="509"/>
      <c r="CE58" s="419">
        <v>40815</v>
      </c>
      <c r="CF58" s="414">
        <v>28305</v>
      </c>
      <c r="CG58" s="414">
        <v>9567</v>
      </c>
      <c r="CH58" s="414">
        <v>283</v>
      </c>
      <c r="CI58" s="414">
        <v>2660</v>
      </c>
      <c r="CJ58" s="509">
        <v>0.1134</v>
      </c>
    </row>
    <row r="59" spans="1:88">
      <c r="A59" s="205">
        <v>12</v>
      </c>
      <c r="B59" s="206">
        <v>3405</v>
      </c>
      <c r="C59" s="206">
        <v>600078337</v>
      </c>
      <c r="D59" s="206">
        <v>70698325</v>
      </c>
      <c r="E59" s="204" t="s">
        <v>140</v>
      </c>
      <c r="F59" s="206">
        <v>3117</v>
      </c>
      <c r="G59" s="207" t="s">
        <v>293</v>
      </c>
      <c r="H59" s="607" t="s">
        <v>271</v>
      </c>
      <c r="I59" s="510">
        <v>1979350</v>
      </c>
      <c r="J59" s="414">
        <v>1446475</v>
      </c>
      <c r="K59" s="414">
        <v>1226634</v>
      </c>
      <c r="L59" s="414">
        <v>219841</v>
      </c>
      <c r="M59" s="414">
        <v>0</v>
      </c>
      <c r="N59" s="414">
        <v>0</v>
      </c>
      <c r="O59" s="414">
        <v>0</v>
      </c>
      <c r="P59" s="68">
        <v>488909</v>
      </c>
      <c r="Q59" s="68">
        <v>14466</v>
      </c>
      <c r="R59" s="414">
        <v>29500</v>
      </c>
      <c r="S59" s="415">
        <v>2.427</v>
      </c>
      <c r="T59" s="416">
        <v>1.8182</v>
      </c>
      <c r="U59" s="422">
        <v>0.60880000000000001</v>
      </c>
      <c r="V59" s="423">
        <f t="shared" si="4"/>
        <v>0</v>
      </c>
      <c r="W59" s="417">
        <f t="shared" si="5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6"/>
        <v>0</v>
      </c>
      <c r="AF59" s="417">
        <f t="shared" si="7"/>
        <v>0</v>
      </c>
      <c r="AG59" s="417">
        <f t="shared" si="8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9"/>
        <v>0</v>
      </c>
      <c r="AN59" s="417">
        <f t="shared" si="10"/>
        <v>0</v>
      </c>
      <c r="AO59" s="417">
        <f t="shared" si="11"/>
        <v>0</v>
      </c>
      <c r="AP59" s="417">
        <f t="shared" si="12"/>
        <v>0</v>
      </c>
      <c r="AQ59" s="417">
        <f t="shared" si="13"/>
        <v>0</v>
      </c>
      <c r="AR59" s="417">
        <f t="shared" si="14"/>
        <v>0</v>
      </c>
      <c r="AS59" s="68">
        <f t="shared" si="15"/>
        <v>0</v>
      </c>
      <c r="AT59" s="68">
        <f t="shared" si="16"/>
        <v>0</v>
      </c>
      <c r="AU59" s="417">
        <v>0</v>
      </c>
      <c r="AV59" s="417">
        <v>0</v>
      </c>
      <c r="AW59" s="417">
        <v>0</v>
      </c>
      <c r="AX59" s="417">
        <f t="shared" si="17"/>
        <v>0</v>
      </c>
      <c r="AY59" s="417">
        <f t="shared" si="18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9"/>
        <v>0</v>
      </c>
      <c r="BJ59" s="418">
        <f t="shared" si="20"/>
        <v>0</v>
      </c>
      <c r="BK59" s="420">
        <f t="shared" si="21"/>
        <v>0</v>
      </c>
      <c r="BL59" s="772">
        <f t="shared" si="77"/>
        <v>1979350</v>
      </c>
      <c r="BM59" s="417">
        <f t="shared" si="78"/>
        <v>1446475</v>
      </c>
      <c r="BN59" s="417">
        <f t="shared" si="79"/>
        <v>1226634</v>
      </c>
      <c r="BO59" s="417">
        <f t="shared" si="79"/>
        <v>219841</v>
      </c>
      <c r="BP59" s="417">
        <f t="shared" si="80"/>
        <v>0</v>
      </c>
      <c r="BQ59" s="417">
        <f t="shared" si="81"/>
        <v>0</v>
      </c>
      <c r="BR59" s="417">
        <f t="shared" si="81"/>
        <v>0</v>
      </c>
      <c r="BS59" s="417">
        <f t="shared" si="82"/>
        <v>488909</v>
      </c>
      <c r="BT59" s="417">
        <f t="shared" si="82"/>
        <v>14466</v>
      </c>
      <c r="BU59" s="417">
        <f t="shared" si="83"/>
        <v>29500</v>
      </c>
      <c r="BV59" s="418">
        <f t="shared" si="84"/>
        <v>2.427</v>
      </c>
      <c r="BW59" s="418">
        <f t="shared" si="85"/>
        <v>1.8182</v>
      </c>
      <c r="BX59" s="420">
        <f t="shared" si="85"/>
        <v>0.60880000000000001</v>
      </c>
      <c r="BY59" s="419"/>
      <c r="BZ59" s="414"/>
      <c r="CA59" s="414"/>
      <c r="CB59" s="414"/>
      <c r="CC59" s="414"/>
      <c r="CD59" s="509"/>
      <c r="CE59" s="414">
        <v>100270</v>
      </c>
      <c r="CF59" s="414">
        <v>70556</v>
      </c>
      <c r="CG59" s="414">
        <v>23848</v>
      </c>
      <c r="CH59" s="414">
        <v>706</v>
      </c>
      <c r="CI59" s="414">
        <v>5160</v>
      </c>
      <c r="CJ59" s="509">
        <v>0.19539999999999996</v>
      </c>
    </row>
    <row r="60" spans="1:88">
      <c r="A60" s="205">
        <v>12</v>
      </c>
      <c r="B60" s="206">
        <v>3405</v>
      </c>
      <c r="C60" s="206">
        <v>600078337</v>
      </c>
      <c r="D60" s="206">
        <v>70698325</v>
      </c>
      <c r="E60" s="204" t="s">
        <v>140</v>
      </c>
      <c r="F60" s="206">
        <v>3117</v>
      </c>
      <c r="G60" s="207" t="s">
        <v>291</v>
      </c>
      <c r="H60" s="607" t="s">
        <v>272</v>
      </c>
      <c r="I60" s="510">
        <v>321848</v>
      </c>
      <c r="J60" s="414">
        <v>236905</v>
      </c>
      <c r="K60" s="414">
        <v>236905</v>
      </c>
      <c r="L60" s="414">
        <v>0</v>
      </c>
      <c r="M60" s="414">
        <v>0</v>
      </c>
      <c r="N60" s="414">
        <v>0</v>
      </c>
      <c r="O60" s="414">
        <v>0</v>
      </c>
      <c r="P60" s="68">
        <v>80074</v>
      </c>
      <c r="Q60" s="68">
        <v>2369</v>
      </c>
      <c r="R60" s="414">
        <v>2500</v>
      </c>
      <c r="S60" s="415">
        <v>0.64</v>
      </c>
      <c r="T60" s="416">
        <v>0.64</v>
      </c>
      <c r="U60" s="422">
        <v>0</v>
      </c>
      <c r="V60" s="423">
        <f t="shared" si="4"/>
        <v>0</v>
      </c>
      <c r="W60" s="417">
        <f t="shared" si="5"/>
        <v>0</v>
      </c>
      <c r="X60" s="417">
        <f>10299+46350</f>
        <v>56649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6"/>
        <v>56649</v>
      </c>
      <c r="AF60" s="417">
        <f t="shared" si="7"/>
        <v>0</v>
      </c>
      <c r="AG60" s="417">
        <f t="shared" si="8"/>
        <v>56649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9"/>
        <v>0</v>
      </c>
      <c r="AN60" s="417">
        <f t="shared" si="10"/>
        <v>0</v>
      </c>
      <c r="AO60" s="417">
        <f t="shared" si="11"/>
        <v>0</v>
      </c>
      <c r="AP60" s="417">
        <f t="shared" si="12"/>
        <v>56649</v>
      </c>
      <c r="AQ60" s="417">
        <f t="shared" si="13"/>
        <v>0</v>
      </c>
      <c r="AR60" s="417">
        <f t="shared" si="14"/>
        <v>56649</v>
      </c>
      <c r="AS60" s="68">
        <f t="shared" si="15"/>
        <v>19147</v>
      </c>
      <c r="AT60" s="68">
        <f t="shared" si="16"/>
        <v>566</v>
      </c>
      <c r="AU60" s="417">
        <v>0</v>
      </c>
      <c r="AV60" s="417">
        <v>0</v>
      </c>
      <c r="AW60" s="417">
        <v>0</v>
      </c>
      <c r="AX60" s="417">
        <f t="shared" si="17"/>
        <v>0</v>
      </c>
      <c r="AY60" s="417">
        <f t="shared" si="18"/>
        <v>76362</v>
      </c>
      <c r="AZ60" s="418">
        <v>0</v>
      </c>
      <c r="BA60" s="418">
        <v>0</v>
      </c>
      <c r="BB60" s="418">
        <f>0.03+0.13</f>
        <v>0.16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9"/>
        <v>0.16</v>
      </c>
      <c r="BJ60" s="418">
        <f t="shared" si="20"/>
        <v>0</v>
      </c>
      <c r="BK60" s="420">
        <f t="shared" si="21"/>
        <v>0.16</v>
      </c>
      <c r="BL60" s="772">
        <f t="shared" si="77"/>
        <v>398210</v>
      </c>
      <c r="BM60" s="417">
        <f t="shared" si="78"/>
        <v>293554</v>
      </c>
      <c r="BN60" s="417">
        <f t="shared" si="79"/>
        <v>293554</v>
      </c>
      <c r="BO60" s="417">
        <f t="shared" si="79"/>
        <v>0</v>
      </c>
      <c r="BP60" s="417">
        <f t="shared" si="80"/>
        <v>0</v>
      </c>
      <c r="BQ60" s="417">
        <f t="shared" si="81"/>
        <v>0</v>
      </c>
      <c r="BR60" s="417">
        <f t="shared" si="81"/>
        <v>0</v>
      </c>
      <c r="BS60" s="417">
        <f t="shared" si="82"/>
        <v>99221</v>
      </c>
      <c r="BT60" s="417">
        <f t="shared" si="82"/>
        <v>2935</v>
      </c>
      <c r="BU60" s="417">
        <f t="shared" si="83"/>
        <v>2500</v>
      </c>
      <c r="BV60" s="418">
        <f t="shared" si="84"/>
        <v>0.8</v>
      </c>
      <c r="BW60" s="418">
        <f t="shared" si="85"/>
        <v>0.8</v>
      </c>
      <c r="BX60" s="420">
        <f t="shared" si="85"/>
        <v>0</v>
      </c>
      <c r="BY60" s="419"/>
      <c r="BZ60" s="414"/>
      <c r="CA60" s="414"/>
      <c r="CB60" s="414"/>
      <c r="CC60" s="414"/>
      <c r="CD60" s="509"/>
      <c r="CE60" s="419"/>
      <c r="CF60" s="414"/>
      <c r="CG60" s="414"/>
      <c r="CH60" s="414"/>
      <c r="CI60" s="414"/>
      <c r="CJ60" s="509"/>
    </row>
    <row r="61" spans="1:88">
      <c r="A61" s="205">
        <v>12</v>
      </c>
      <c r="B61" s="206">
        <v>3405</v>
      </c>
      <c r="C61" s="206">
        <v>600078337</v>
      </c>
      <c r="D61" s="206">
        <v>70698325</v>
      </c>
      <c r="E61" s="204" t="s">
        <v>140</v>
      </c>
      <c r="F61" s="206">
        <v>3141</v>
      </c>
      <c r="G61" s="207" t="s">
        <v>294</v>
      </c>
      <c r="H61" s="607" t="s">
        <v>272</v>
      </c>
      <c r="I61" s="510">
        <v>585903</v>
      </c>
      <c r="J61" s="414">
        <v>433142</v>
      </c>
      <c r="K61" s="414">
        <v>0</v>
      </c>
      <c r="L61" s="414">
        <v>433142</v>
      </c>
      <c r="M61" s="414">
        <v>0</v>
      </c>
      <c r="N61" s="414">
        <v>0</v>
      </c>
      <c r="O61" s="414">
        <v>0</v>
      </c>
      <c r="P61" s="68">
        <v>146402</v>
      </c>
      <c r="Q61" s="68">
        <v>4331</v>
      </c>
      <c r="R61" s="414">
        <v>2028</v>
      </c>
      <c r="S61" s="415">
        <v>1.3</v>
      </c>
      <c r="T61" s="416">
        <v>0</v>
      </c>
      <c r="U61" s="422">
        <v>1.3</v>
      </c>
      <c r="V61" s="423">
        <f t="shared" si="4"/>
        <v>0</v>
      </c>
      <c r="W61" s="417">
        <f t="shared" si="5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6"/>
        <v>0</v>
      </c>
      <c r="AF61" s="417">
        <f t="shared" si="7"/>
        <v>0</v>
      </c>
      <c r="AG61" s="417">
        <f t="shared" si="8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9"/>
        <v>0</v>
      </c>
      <c r="AN61" s="417">
        <f t="shared" si="10"/>
        <v>0</v>
      </c>
      <c r="AO61" s="417">
        <f t="shared" si="11"/>
        <v>0</v>
      </c>
      <c r="AP61" s="417">
        <f t="shared" si="12"/>
        <v>0</v>
      </c>
      <c r="AQ61" s="417">
        <f t="shared" si="13"/>
        <v>0</v>
      </c>
      <c r="AR61" s="417">
        <f t="shared" si="14"/>
        <v>0</v>
      </c>
      <c r="AS61" s="68">
        <f t="shared" si="15"/>
        <v>0</v>
      </c>
      <c r="AT61" s="68">
        <f t="shared" si="16"/>
        <v>0</v>
      </c>
      <c r="AU61" s="417">
        <v>0</v>
      </c>
      <c r="AV61" s="417">
        <v>0</v>
      </c>
      <c r="AW61" s="417">
        <v>0</v>
      </c>
      <c r="AX61" s="417">
        <f t="shared" si="17"/>
        <v>0</v>
      </c>
      <c r="AY61" s="417">
        <f t="shared" si="18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9"/>
        <v>0</v>
      </c>
      <c r="BJ61" s="418">
        <f t="shared" si="20"/>
        <v>0</v>
      </c>
      <c r="BK61" s="420">
        <f t="shared" si="21"/>
        <v>0</v>
      </c>
      <c r="BL61" s="772">
        <f t="shared" si="77"/>
        <v>585903</v>
      </c>
      <c r="BM61" s="417">
        <f t="shared" si="78"/>
        <v>433142</v>
      </c>
      <c r="BN61" s="417">
        <f t="shared" si="79"/>
        <v>0</v>
      </c>
      <c r="BO61" s="417">
        <f t="shared" si="79"/>
        <v>433142</v>
      </c>
      <c r="BP61" s="417">
        <f t="shared" si="80"/>
        <v>0</v>
      </c>
      <c r="BQ61" s="417">
        <f t="shared" si="81"/>
        <v>0</v>
      </c>
      <c r="BR61" s="417">
        <f t="shared" si="81"/>
        <v>0</v>
      </c>
      <c r="BS61" s="417">
        <f t="shared" si="82"/>
        <v>146402</v>
      </c>
      <c r="BT61" s="417">
        <f t="shared" si="82"/>
        <v>4331</v>
      </c>
      <c r="BU61" s="417">
        <f t="shared" si="83"/>
        <v>2028</v>
      </c>
      <c r="BV61" s="418">
        <f t="shared" si="84"/>
        <v>1.3</v>
      </c>
      <c r="BW61" s="418">
        <f t="shared" si="85"/>
        <v>0</v>
      </c>
      <c r="BX61" s="420">
        <f t="shared" si="85"/>
        <v>1.3</v>
      </c>
      <c r="BY61" s="419"/>
      <c r="BZ61" s="414"/>
      <c r="CA61" s="414"/>
      <c r="CB61" s="414"/>
      <c r="CC61" s="414"/>
      <c r="CD61" s="509"/>
      <c r="CE61" s="419"/>
      <c r="CF61" s="601"/>
      <c r="CG61" s="414"/>
      <c r="CH61" s="414"/>
      <c r="CI61" s="601"/>
      <c r="CJ61" s="603"/>
    </row>
    <row r="62" spans="1:88">
      <c r="A62" s="205">
        <v>12</v>
      </c>
      <c r="B62" s="206">
        <v>3405</v>
      </c>
      <c r="C62" s="206">
        <v>600078337</v>
      </c>
      <c r="D62" s="206">
        <v>70698325</v>
      </c>
      <c r="E62" s="204" t="s">
        <v>140</v>
      </c>
      <c r="F62" s="206">
        <v>3143</v>
      </c>
      <c r="G62" s="207" t="s">
        <v>595</v>
      </c>
      <c r="H62" s="609" t="s">
        <v>271</v>
      </c>
      <c r="I62" s="510">
        <v>379630</v>
      </c>
      <c r="J62" s="414">
        <v>281625</v>
      </c>
      <c r="K62" s="414">
        <v>281625</v>
      </c>
      <c r="L62" s="414">
        <v>0</v>
      </c>
      <c r="M62" s="414">
        <v>0</v>
      </c>
      <c r="N62" s="414">
        <v>0</v>
      </c>
      <c r="O62" s="414">
        <v>0</v>
      </c>
      <c r="P62" s="68">
        <v>95189</v>
      </c>
      <c r="Q62" s="68">
        <v>2816</v>
      </c>
      <c r="R62" s="414">
        <v>0</v>
      </c>
      <c r="S62" s="415">
        <v>0.55820000000000003</v>
      </c>
      <c r="T62" s="416">
        <v>0.55820000000000003</v>
      </c>
      <c r="U62" s="422">
        <v>0</v>
      </c>
      <c r="V62" s="423">
        <f t="shared" si="4"/>
        <v>0</v>
      </c>
      <c r="W62" s="417">
        <f t="shared" si="5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6"/>
        <v>0</v>
      </c>
      <c r="AF62" s="417">
        <f t="shared" si="7"/>
        <v>0</v>
      </c>
      <c r="AG62" s="417">
        <f t="shared" si="8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9"/>
        <v>0</v>
      </c>
      <c r="AN62" s="417">
        <f t="shared" si="10"/>
        <v>0</v>
      </c>
      <c r="AO62" s="417">
        <f t="shared" si="11"/>
        <v>0</v>
      </c>
      <c r="AP62" s="417">
        <f t="shared" si="12"/>
        <v>0</v>
      </c>
      <c r="AQ62" s="417">
        <f t="shared" si="13"/>
        <v>0</v>
      </c>
      <c r="AR62" s="417">
        <f t="shared" si="14"/>
        <v>0</v>
      </c>
      <c r="AS62" s="68">
        <f t="shared" si="15"/>
        <v>0</v>
      </c>
      <c r="AT62" s="68">
        <f t="shared" si="16"/>
        <v>0</v>
      </c>
      <c r="AU62" s="417">
        <v>0</v>
      </c>
      <c r="AV62" s="417">
        <v>0</v>
      </c>
      <c r="AW62" s="417">
        <v>0</v>
      </c>
      <c r="AX62" s="417">
        <f t="shared" si="17"/>
        <v>0</v>
      </c>
      <c r="AY62" s="417">
        <f t="shared" si="18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9"/>
        <v>0</v>
      </c>
      <c r="BJ62" s="418">
        <f t="shared" si="20"/>
        <v>0</v>
      </c>
      <c r="BK62" s="420">
        <f t="shared" si="21"/>
        <v>0</v>
      </c>
      <c r="BL62" s="772">
        <f t="shared" si="77"/>
        <v>379630</v>
      </c>
      <c r="BM62" s="417">
        <f t="shared" si="78"/>
        <v>281625</v>
      </c>
      <c r="BN62" s="417">
        <f t="shared" si="79"/>
        <v>281625</v>
      </c>
      <c r="BO62" s="417">
        <f t="shared" si="79"/>
        <v>0</v>
      </c>
      <c r="BP62" s="417">
        <f t="shared" si="80"/>
        <v>0</v>
      </c>
      <c r="BQ62" s="417">
        <f t="shared" si="81"/>
        <v>0</v>
      </c>
      <c r="BR62" s="417">
        <f t="shared" si="81"/>
        <v>0</v>
      </c>
      <c r="BS62" s="417">
        <f t="shared" si="82"/>
        <v>95189</v>
      </c>
      <c r="BT62" s="417">
        <f t="shared" si="82"/>
        <v>2816</v>
      </c>
      <c r="BU62" s="417">
        <f t="shared" si="83"/>
        <v>0</v>
      </c>
      <c r="BV62" s="418">
        <f t="shared" si="84"/>
        <v>0.55820000000000003</v>
      </c>
      <c r="BW62" s="418">
        <f t="shared" si="85"/>
        <v>0.55820000000000003</v>
      </c>
      <c r="BX62" s="420">
        <f t="shared" si="85"/>
        <v>0</v>
      </c>
      <c r="BY62" s="419"/>
      <c r="BZ62" s="414"/>
      <c r="CA62" s="414"/>
      <c r="CB62" s="414"/>
      <c r="CC62" s="414"/>
      <c r="CD62" s="509"/>
      <c r="CE62" s="419"/>
      <c r="CF62" s="414"/>
      <c r="CG62" s="414"/>
      <c r="CH62" s="414"/>
      <c r="CI62" s="414"/>
      <c r="CJ62" s="509"/>
    </row>
    <row r="63" spans="1:88">
      <c r="A63" s="205">
        <v>12</v>
      </c>
      <c r="B63" s="206">
        <v>3405</v>
      </c>
      <c r="C63" s="206">
        <v>600078337</v>
      </c>
      <c r="D63" s="206">
        <v>70698325</v>
      </c>
      <c r="E63" s="204" t="s">
        <v>140</v>
      </c>
      <c r="F63" s="206">
        <v>3143</v>
      </c>
      <c r="G63" s="207" t="s">
        <v>596</v>
      </c>
      <c r="H63" s="609" t="s">
        <v>272</v>
      </c>
      <c r="I63" s="510">
        <v>15368</v>
      </c>
      <c r="J63" s="414">
        <v>11000</v>
      </c>
      <c r="K63" s="414">
        <v>0</v>
      </c>
      <c r="L63" s="414">
        <v>11000</v>
      </c>
      <c r="M63" s="414">
        <v>0</v>
      </c>
      <c r="N63" s="414">
        <v>0</v>
      </c>
      <c r="O63" s="414">
        <v>0</v>
      </c>
      <c r="P63" s="68">
        <v>3718</v>
      </c>
      <c r="Q63" s="68">
        <v>110</v>
      </c>
      <c r="R63" s="414">
        <v>540</v>
      </c>
      <c r="S63" s="415">
        <v>0.04</v>
      </c>
      <c r="T63" s="416">
        <v>0</v>
      </c>
      <c r="U63" s="422">
        <v>0.04</v>
      </c>
      <c r="V63" s="423">
        <f t="shared" si="4"/>
        <v>0</v>
      </c>
      <c r="W63" s="417">
        <f t="shared" si="5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6"/>
        <v>0</v>
      </c>
      <c r="AF63" s="417">
        <f t="shared" si="7"/>
        <v>0</v>
      </c>
      <c r="AG63" s="417">
        <f t="shared" si="8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9"/>
        <v>0</v>
      </c>
      <c r="AN63" s="417">
        <f t="shared" si="10"/>
        <v>0</v>
      </c>
      <c r="AO63" s="417">
        <f t="shared" si="11"/>
        <v>0</v>
      </c>
      <c r="AP63" s="417">
        <f t="shared" si="12"/>
        <v>0</v>
      </c>
      <c r="AQ63" s="417">
        <f t="shared" si="13"/>
        <v>0</v>
      </c>
      <c r="AR63" s="417">
        <f t="shared" si="14"/>
        <v>0</v>
      </c>
      <c r="AS63" s="68">
        <f t="shared" si="15"/>
        <v>0</v>
      </c>
      <c r="AT63" s="68">
        <f t="shared" si="16"/>
        <v>0</v>
      </c>
      <c r="AU63" s="417">
        <v>0</v>
      </c>
      <c r="AV63" s="417">
        <v>0</v>
      </c>
      <c r="AW63" s="417">
        <v>0</v>
      </c>
      <c r="AX63" s="417">
        <f t="shared" si="17"/>
        <v>0</v>
      </c>
      <c r="AY63" s="417">
        <f t="shared" si="18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9"/>
        <v>0</v>
      </c>
      <c r="BJ63" s="418">
        <f t="shared" si="20"/>
        <v>0</v>
      </c>
      <c r="BK63" s="420">
        <f t="shared" si="21"/>
        <v>0</v>
      </c>
      <c r="BL63" s="772">
        <f t="shared" si="77"/>
        <v>15368</v>
      </c>
      <c r="BM63" s="417">
        <f t="shared" si="78"/>
        <v>11000</v>
      </c>
      <c r="BN63" s="417">
        <f t="shared" si="79"/>
        <v>0</v>
      </c>
      <c r="BO63" s="417">
        <f t="shared" si="79"/>
        <v>11000</v>
      </c>
      <c r="BP63" s="417">
        <f t="shared" si="80"/>
        <v>0</v>
      </c>
      <c r="BQ63" s="417">
        <f t="shared" si="81"/>
        <v>0</v>
      </c>
      <c r="BR63" s="417">
        <f t="shared" si="81"/>
        <v>0</v>
      </c>
      <c r="BS63" s="417">
        <f t="shared" si="82"/>
        <v>3718</v>
      </c>
      <c r="BT63" s="417">
        <f t="shared" si="82"/>
        <v>110</v>
      </c>
      <c r="BU63" s="417">
        <f t="shared" si="83"/>
        <v>540</v>
      </c>
      <c r="BV63" s="418">
        <f t="shared" si="84"/>
        <v>0.04</v>
      </c>
      <c r="BW63" s="418">
        <f t="shared" si="85"/>
        <v>0</v>
      </c>
      <c r="BX63" s="420">
        <f t="shared" si="85"/>
        <v>0.04</v>
      </c>
      <c r="BY63" s="419"/>
      <c r="BZ63" s="414"/>
      <c r="CA63" s="414"/>
      <c r="CB63" s="414"/>
      <c r="CC63" s="414"/>
      <c r="CD63" s="509"/>
      <c r="CE63" s="419"/>
      <c r="CF63" s="601"/>
      <c r="CG63" s="414"/>
      <c r="CH63" s="414"/>
      <c r="CI63" s="602"/>
      <c r="CJ63" s="603"/>
    </row>
    <row r="64" spans="1:88">
      <c r="A64" s="155">
        <v>12</v>
      </c>
      <c r="B64" s="18">
        <v>3405</v>
      </c>
      <c r="C64" s="18">
        <v>600078337</v>
      </c>
      <c r="D64" s="18">
        <v>70698325</v>
      </c>
      <c r="E64" s="164" t="s">
        <v>141</v>
      </c>
      <c r="F64" s="18"/>
      <c r="G64" s="154"/>
      <c r="H64" s="608"/>
      <c r="I64" s="451">
        <v>4908524</v>
      </c>
      <c r="J64" s="444">
        <v>3609759</v>
      </c>
      <c r="K64" s="444">
        <v>2857567</v>
      </c>
      <c r="L64" s="444">
        <v>752192</v>
      </c>
      <c r="M64" s="444">
        <v>0</v>
      </c>
      <c r="N64" s="444">
        <v>0</v>
      </c>
      <c r="O64" s="444">
        <v>0</v>
      </c>
      <c r="P64" s="444">
        <v>1220099</v>
      </c>
      <c r="Q64" s="444">
        <v>36098</v>
      </c>
      <c r="R64" s="444">
        <v>42568</v>
      </c>
      <c r="S64" s="445">
        <v>7.2459999999999996</v>
      </c>
      <c r="T64" s="445">
        <v>4.9438000000000004</v>
      </c>
      <c r="U64" s="449">
        <v>2.3022</v>
      </c>
      <c r="V64" s="447">
        <f t="shared" ref="V64:CG64" si="86">SUM(V58:V63)</f>
        <v>0</v>
      </c>
      <c r="W64" s="444">
        <f t="shared" si="86"/>
        <v>0</v>
      </c>
      <c r="X64" s="444">
        <f t="shared" si="86"/>
        <v>56649</v>
      </c>
      <c r="Y64" s="444">
        <f t="shared" si="86"/>
        <v>0</v>
      </c>
      <c r="Z64" s="444">
        <f t="shared" si="86"/>
        <v>0</v>
      </c>
      <c r="AA64" s="444">
        <f t="shared" si="86"/>
        <v>0</v>
      </c>
      <c r="AB64" s="444">
        <f t="shared" si="86"/>
        <v>0</v>
      </c>
      <c r="AC64" s="444">
        <f t="shared" si="86"/>
        <v>0</v>
      </c>
      <c r="AD64" s="444">
        <f t="shared" si="86"/>
        <v>0</v>
      </c>
      <c r="AE64" s="444">
        <f t="shared" si="86"/>
        <v>56649</v>
      </c>
      <c r="AF64" s="444">
        <f t="shared" si="86"/>
        <v>0</v>
      </c>
      <c r="AG64" s="444">
        <f t="shared" si="86"/>
        <v>56649</v>
      </c>
      <c r="AH64" s="444">
        <f t="shared" si="86"/>
        <v>0</v>
      </c>
      <c r="AI64" s="444">
        <f t="shared" si="86"/>
        <v>0</v>
      </c>
      <c r="AJ64" s="444">
        <f t="shared" si="86"/>
        <v>0</v>
      </c>
      <c r="AK64" s="444">
        <f t="shared" si="86"/>
        <v>0</v>
      </c>
      <c r="AL64" s="444">
        <f t="shared" si="86"/>
        <v>0</v>
      </c>
      <c r="AM64" s="444">
        <f t="shared" si="86"/>
        <v>0</v>
      </c>
      <c r="AN64" s="444">
        <f t="shared" si="86"/>
        <v>0</v>
      </c>
      <c r="AO64" s="444">
        <f t="shared" si="86"/>
        <v>0</v>
      </c>
      <c r="AP64" s="444">
        <f t="shared" si="86"/>
        <v>56649</v>
      </c>
      <c r="AQ64" s="444">
        <f t="shared" si="86"/>
        <v>0</v>
      </c>
      <c r="AR64" s="444">
        <f t="shared" si="86"/>
        <v>56649</v>
      </c>
      <c r="AS64" s="444">
        <f t="shared" si="86"/>
        <v>19147</v>
      </c>
      <c r="AT64" s="444">
        <f t="shared" si="86"/>
        <v>566</v>
      </c>
      <c r="AU64" s="444">
        <f t="shared" si="86"/>
        <v>0</v>
      </c>
      <c r="AV64" s="444">
        <f t="shared" si="86"/>
        <v>0</v>
      </c>
      <c r="AW64" s="444">
        <f t="shared" si="86"/>
        <v>0</v>
      </c>
      <c r="AX64" s="444">
        <f t="shared" si="86"/>
        <v>0</v>
      </c>
      <c r="AY64" s="444">
        <f t="shared" si="86"/>
        <v>76362</v>
      </c>
      <c r="AZ64" s="445">
        <f t="shared" si="86"/>
        <v>0</v>
      </c>
      <c r="BA64" s="445">
        <f t="shared" si="86"/>
        <v>0</v>
      </c>
      <c r="BB64" s="445">
        <f t="shared" si="86"/>
        <v>0.16</v>
      </c>
      <c r="BC64" s="445">
        <f t="shared" si="86"/>
        <v>0</v>
      </c>
      <c r="BD64" s="445">
        <f t="shared" si="86"/>
        <v>0</v>
      </c>
      <c r="BE64" s="445">
        <f t="shared" si="86"/>
        <v>0</v>
      </c>
      <c r="BF64" s="445">
        <f t="shared" si="86"/>
        <v>0</v>
      </c>
      <c r="BG64" s="445">
        <f t="shared" si="86"/>
        <v>0</v>
      </c>
      <c r="BH64" s="445">
        <f t="shared" si="86"/>
        <v>0</v>
      </c>
      <c r="BI64" s="445">
        <f t="shared" si="86"/>
        <v>0.16</v>
      </c>
      <c r="BJ64" s="445">
        <f t="shared" si="86"/>
        <v>0</v>
      </c>
      <c r="BK64" s="39">
        <f t="shared" si="86"/>
        <v>0.16</v>
      </c>
      <c r="BL64" s="451">
        <f t="shared" si="86"/>
        <v>4984886</v>
      </c>
      <c r="BM64" s="444">
        <f t="shared" si="86"/>
        <v>3666408</v>
      </c>
      <c r="BN64" s="444">
        <f t="shared" si="86"/>
        <v>2914216</v>
      </c>
      <c r="BO64" s="444">
        <f t="shared" si="86"/>
        <v>752192</v>
      </c>
      <c r="BP64" s="444">
        <f t="shared" si="86"/>
        <v>0</v>
      </c>
      <c r="BQ64" s="444">
        <f t="shared" si="86"/>
        <v>0</v>
      </c>
      <c r="BR64" s="444">
        <f t="shared" si="86"/>
        <v>0</v>
      </c>
      <c r="BS64" s="444">
        <f t="shared" si="86"/>
        <v>1239246</v>
      </c>
      <c r="BT64" s="444">
        <f t="shared" si="86"/>
        <v>36664</v>
      </c>
      <c r="BU64" s="444">
        <f t="shared" si="86"/>
        <v>42568</v>
      </c>
      <c r="BV64" s="445">
        <f t="shared" si="86"/>
        <v>7.4059999999999997</v>
      </c>
      <c r="BW64" s="445">
        <f t="shared" si="86"/>
        <v>5.1038000000000006</v>
      </c>
      <c r="BX64" s="39">
        <f t="shared" si="86"/>
        <v>2.3022</v>
      </c>
      <c r="BY64" s="806">
        <f t="shared" si="86"/>
        <v>0</v>
      </c>
      <c r="BZ64" s="709">
        <f t="shared" si="86"/>
        <v>0</v>
      </c>
      <c r="CA64" s="709">
        <f t="shared" si="86"/>
        <v>0</v>
      </c>
      <c r="CB64" s="709">
        <f t="shared" si="86"/>
        <v>0</v>
      </c>
      <c r="CC64" s="709">
        <f t="shared" si="86"/>
        <v>0</v>
      </c>
      <c r="CD64" s="807">
        <f t="shared" si="86"/>
        <v>0</v>
      </c>
      <c r="CE64" s="919">
        <f t="shared" si="86"/>
        <v>141085</v>
      </c>
      <c r="CF64" s="920">
        <f t="shared" si="86"/>
        <v>98861</v>
      </c>
      <c r="CG64" s="920">
        <f t="shared" si="86"/>
        <v>33415</v>
      </c>
      <c r="CH64" s="920">
        <f t="shared" ref="CH64:CJ64" si="87">SUM(CH58:CH63)</f>
        <v>989</v>
      </c>
      <c r="CI64" s="920">
        <f t="shared" si="87"/>
        <v>7820</v>
      </c>
      <c r="CJ64" s="921">
        <f t="shared" si="87"/>
        <v>0.30879999999999996</v>
      </c>
    </row>
    <row r="65" spans="1:88">
      <c r="A65" s="205">
        <v>13</v>
      </c>
      <c r="B65" s="206">
        <v>3444</v>
      </c>
      <c r="C65" s="206">
        <v>600078086</v>
      </c>
      <c r="D65" s="206">
        <v>16389573</v>
      </c>
      <c r="E65" s="204" t="s">
        <v>142</v>
      </c>
      <c r="F65" s="206">
        <v>3111</v>
      </c>
      <c r="G65" s="207" t="s">
        <v>290</v>
      </c>
      <c r="H65" s="607" t="s">
        <v>271</v>
      </c>
      <c r="I65" s="510">
        <v>3812828</v>
      </c>
      <c r="J65" s="414">
        <v>2802353</v>
      </c>
      <c r="K65" s="414">
        <v>2468152</v>
      </c>
      <c r="L65" s="414">
        <v>334201</v>
      </c>
      <c r="M65" s="414">
        <v>12000</v>
      </c>
      <c r="N65" s="414">
        <v>0</v>
      </c>
      <c r="O65" s="414">
        <v>12000</v>
      </c>
      <c r="P65" s="68">
        <v>951251</v>
      </c>
      <c r="Q65" s="68">
        <v>28024</v>
      </c>
      <c r="R65" s="414">
        <v>19200</v>
      </c>
      <c r="S65" s="415">
        <v>5.1481000000000012</v>
      </c>
      <c r="T65" s="416">
        <v>4</v>
      </c>
      <c r="U65" s="422">
        <v>1.1480999999999999</v>
      </c>
      <c r="V65" s="423">
        <f t="shared" si="4"/>
        <v>0</v>
      </c>
      <c r="W65" s="417">
        <f t="shared" si="5"/>
        <v>2000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6"/>
        <v>0</v>
      </c>
      <c r="AF65" s="417">
        <f t="shared" si="7"/>
        <v>2000</v>
      </c>
      <c r="AG65" s="417">
        <f t="shared" si="8"/>
        <v>2000</v>
      </c>
      <c r="AH65" s="417">
        <v>0</v>
      </c>
      <c r="AI65" s="417">
        <v>-2000</v>
      </c>
      <c r="AJ65" s="417">
        <v>0</v>
      </c>
      <c r="AK65" s="417">
        <v>0</v>
      </c>
      <c r="AL65" s="417">
        <v>0</v>
      </c>
      <c r="AM65" s="417">
        <f t="shared" si="9"/>
        <v>0</v>
      </c>
      <c r="AN65" s="417">
        <f t="shared" si="10"/>
        <v>-2000</v>
      </c>
      <c r="AO65" s="417">
        <f t="shared" si="11"/>
        <v>-2000</v>
      </c>
      <c r="AP65" s="417">
        <f t="shared" si="12"/>
        <v>0</v>
      </c>
      <c r="AQ65" s="417">
        <f t="shared" si="13"/>
        <v>0</v>
      </c>
      <c r="AR65" s="417">
        <f t="shared" si="14"/>
        <v>0</v>
      </c>
      <c r="AS65" s="68">
        <f t="shared" si="15"/>
        <v>0</v>
      </c>
      <c r="AT65" s="68">
        <f t="shared" si="16"/>
        <v>20</v>
      </c>
      <c r="AU65" s="417">
        <v>0</v>
      </c>
      <c r="AV65" s="417">
        <v>0</v>
      </c>
      <c r="AW65" s="417">
        <v>0</v>
      </c>
      <c r="AX65" s="417">
        <f t="shared" si="17"/>
        <v>0</v>
      </c>
      <c r="AY65" s="417">
        <f t="shared" si="18"/>
        <v>20</v>
      </c>
      <c r="AZ65" s="418">
        <v>0</v>
      </c>
      <c r="BA65" s="418">
        <v>0.02</v>
      </c>
      <c r="BB65" s="418">
        <v>0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9"/>
        <v>0</v>
      </c>
      <c r="BJ65" s="418">
        <f t="shared" si="20"/>
        <v>0.02</v>
      </c>
      <c r="BK65" s="420">
        <f t="shared" si="21"/>
        <v>0.02</v>
      </c>
      <c r="BL65" s="772">
        <f>I65+AY65</f>
        <v>3812848</v>
      </c>
      <c r="BM65" s="417">
        <f>J65+AG65</f>
        <v>2804353</v>
      </c>
      <c r="BN65" s="417">
        <f>K65+AE65</f>
        <v>2468152</v>
      </c>
      <c r="BO65" s="417">
        <f>L65+AF65</f>
        <v>336201</v>
      </c>
      <c r="BP65" s="417">
        <f>M65+AO65</f>
        <v>10000</v>
      </c>
      <c r="BQ65" s="417">
        <f>N65+AM65</f>
        <v>0</v>
      </c>
      <c r="BR65" s="417">
        <f>O65+AN65</f>
        <v>10000</v>
      </c>
      <c r="BS65" s="417">
        <f>P65+AS65</f>
        <v>951251</v>
      </c>
      <c r="BT65" s="417">
        <f>Q65+AT65</f>
        <v>28044</v>
      </c>
      <c r="BU65" s="417">
        <f>R65+AX65</f>
        <v>19200</v>
      </c>
      <c r="BV65" s="418">
        <f>S65+BK65</f>
        <v>5.1681000000000008</v>
      </c>
      <c r="BW65" s="418">
        <f>T65+BI65</f>
        <v>4</v>
      </c>
      <c r="BX65" s="420">
        <f>U65+BJ65</f>
        <v>1.1680999999999999</v>
      </c>
      <c r="BY65" s="419"/>
      <c r="BZ65" s="414"/>
      <c r="CA65" s="414"/>
      <c r="CB65" s="414"/>
      <c r="CC65" s="414"/>
      <c r="CD65" s="509"/>
      <c r="CE65" s="419">
        <v>156121</v>
      </c>
      <c r="CF65" s="414">
        <v>111081</v>
      </c>
      <c r="CG65" s="414">
        <v>37545</v>
      </c>
      <c r="CH65" s="414">
        <v>1111</v>
      </c>
      <c r="CI65" s="414">
        <v>6384</v>
      </c>
      <c r="CJ65" s="509">
        <v>0.378</v>
      </c>
    </row>
    <row r="66" spans="1:88">
      <c r="A66" s="205">
        <v>13</v>
      </c>
      <c r="B66" s="206">
        <v>3444</v>
      </c>
      <c r="C66" s="206">
        <v>600078086</v>
      </c>
      <c r="D66" s="206">
        <v>16389573</v>
      </c>
      <c r="E66" s="204" t="s">
        <v>142</v>
      </c>
      <c r="F66" s="206">
        <v>3141</v>
      </c>
      <c r="G66" s="207" t="s">
        <v>294</v>
      </c>
      <c r="H66" s="607" t="s">
        <v>272</v>
      </c>
      <c r="I66" s="510">
        <v>676492</v>
      </c>
      <c r="J66" s="414">
        <v>492056</v>
      </c>
      <c r="K66" s="414">
        <v>0</v>
      </c>
      <c r="L66" s="414">
        <v>492056</v>
      </c>
      <c r="M66" s="414">
        <v>8000</v>
      </c>
      <c r="N66" s="414">
        <v>0</v>
      </c>
      <c r="O66" s="414">
        <v>8000</v>
      </c>
      <c r="P66" s="68">
        <v>169019</v>
      </c>
      <c r="Q66" s="68">
        <v>4921</v>
      </c>
      <c r="R66" s="414">
        <v>2496</v>
      </c>
      <c r="S66" s="415">
        <v>1.5</v>
      </c>
      <c r="T66" s="416">
        <v>0</v>
      </c>
      <c r="U66" s="422">
        <v>1.5</v>
      </c>
      <c r="V66" s="423">
        <f t="shared" si="4"/>
        <v>0</v>
      </c>
      <c r="W66" s="417">
        <f t="shared" si="5"/>
        <v>-2000</v>
      </c>
      <c r="X66" s="417">
        <v>0</v>
      </c>
      <c r="Y66" s="417">
        <v>0</v>
      </c>
      <c r="Z66" s="417">
        <v>0</v>
      </c>
      <c r="AA66" s="417">
        <v>-30358</v>
      </c>
      <c r="AB66" s="417">
        <v>0</v>
      </c>
      <c r="AC66" s="417">
        <v>0</v>
      </c>
      <c r="AD66" s="417">
        <v>0</v>
      </c>
      <c r="AE66" s="417">
        <f t="shared" si="6"/>
        <v>0</v>
      </c>
      <c r="AF66" s="417">
        <f t="shared" si="7"/>
        <v>-32358</v>
      </c>
      <c r="AG66" s="417">
        <f t="shared" si="8"/>
        <v>-32358</v>
      </c>
      <c r="AH66" s="417">
        <v>0</v>
      </c>
      <c r="AI66" s="417">
        <v>2000</v>
      </c>
      <c r="AJ66" s="417">
        <v>0</v>
      </c>
      <c r="AK66" s="417">
        <v>0</v>
      </c>
      <c r="AL66" s="417">
        <v>0</v>
      </c>
      <c r="AM66" s="417">
        <f t="shared" si="9"/>
        <v>0</v>
      </c>
      <c r="AN66" s="417">
        <f t="shared" si="10"/>
        <v>2000</v>
      </c>
      <c r="AO66" s="417">
        <f t="shared" si="11"/>
        <v>2000</v>
      </c>
      <c r="AP66" s="417">
        <f t="shared" si="12"/>
        <v>0</v>
      </c>
      <c r="AQ66" s="417">
        <f t="shared" si="13"/>
        <v>-30358</v>
      </c>
      <c r="AR66" s="417">
        <f t="shared" si="14"/>
        <v>-30358</v>
      </c>
      <c r="AS66" s="68">
        <f t="shared" si="15"/>
        <v>-10261</v>
      </c>
      <c r="AT66" s="68">
        <f t="shared" si="16"/>
        <v>-324</v>
      </c>
      <c r="AU66" s="417">
        <v>0</v>
      </c>
      <c r="AV66" s="417">
        <v>0</v>
      </c>
      <c r="AW66" s="417">
        <v>0</v>
      </c>
      <c r="AX66" s="417">
        <f t="shared" si="17"/>
        <v>0</v>
      </c>
      <c r="AY66" s="417">
        <f t="shared" si="18"/>
        <v>-40943</v>
      </c>
      <c r="AZ66" s="418">
        <v>0</v>
      </c>
      <c r="BA66" s="418">
        <v>0</v>
      </c>
      <c r="BB66" s="418">
        <v>0</v>
      </c>
      <c r="BC66" s="418">
        <v>0</v>
      </c>
      <c r="BD66" s="418">
        <v>-0.09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9"/>
        <v>0</v>
      </c>
      <c r="BJ66" s="418">
        <f t="shared" si="20"/>
        <v>-0.09</v>
      </c>
      <c r="BK66" s="420">
        <f t="shared" si="21"/>
        <v>-0.09</v>
      </c>
      <c r="BL66" s="772">
        <f>I66+AY66</f>
        <v>635549</v>
      </c>
      <c r="BM66" s="417">
        <f>J66+AG66</f>
        <v>459698</v>
      </c>
      <c r="BN66" s="417">
        <f>K66+AE66</f>
        <v>0</v>
      </c>
      <c r="BO66" s="417">
        <f>L66+AF66</f>
        <v>459698</v>
      </c>
      <c r="BP66" s="417">
        <f>M66+AO66</f>
        <v>10000</v>
      </c>
      <c r="BQ66" s="417">
        <f>N66+AM66</f>
        <v>0</v>
      </c>
      <c r="BR66" s="417">
        <f>O66+AN66</f>
        <v>10000</v>
      </c>
      <c r="BS66" s="417">
        <f>P66+AS66</f>
        <v>158758</v>
      </c>
      <c r="BT66" s="417">
        <f>Q66+AT66</f>
        <v>4597</v>
      </c>
      <c r="BU66" s="417">
        <f>R66+AX66</f>
        <v>2496</v>
      </c>
      <c r="BV66" s="418">
        <f>S66+BK66</f>
        <v>1.41</v>
      </c>
      <c r="BW66" s="418">
        <f>T66+BI66</f>
        <v>0</v>
      </c>
      <c r="BX66" s="420">
        <f>U66+BJ66</f>
        <v>1.41</v>
      </c>
      <c r="BY66" s="419"/>
      <c r="BZ66" s="414"/>
      <c r="CA66" s="414"/>
      <c r="CB66" s="414"/>
      <c r="CC66" s="414"/>
      <c r="CD66" s="509"/>
      <c r="CE66" s="419"/>
      <c r="CF66" s="601"/>
      <c r="CG66" s="414"/>
      <c r="CH66" s="414"/>
      <c r="CI66" s="601"/>
      <c r="CJ66" s="603"/>
    </row>
    <row r="67" spans="1:88">
      <c r="A67" s="155">
        <v>13</v>
      </c>
      <c r="B67" s="18">
        <v>3444</v>
      </c>
      <c r="C67" s="18">
        <v>600078086</v>
      </c>
      <c r="D67" s="18">
        <v>16389573</v>
      </c>
      <c r="E67" s="164" t="s">
        <v>143</v>
      </c>
      <c r="F67" s="18"/>
      <c r="G67" s="154"/>
      <c r="H67" s="608"/>
      <c r="I67" s="451">
        <v>4489320</v>
      </c>
      <c r="J67" s="444">
        <v>3294409</v>
      </c>
      <c r="K67" s="444">
        <v>2468152</v>
      </c>
      <c r="L67" s="444">
        <v>826257</v>
      </c>
      <c r="M67" s="444">
        <v>20000</v>
      </c>
      <c r="N67" s="444">
        <v>0</v>
      </c>
      <c r="O67" s="444">
        <v>20000</v>
      </c>
      <c r="P67" s="444">
        <v>1120270</v>
      </c>
      <c r="Q67" s="444">
        <v>32945</v>
      </c>
      <c r="R67" s="444">
        <v>21696</v>
      </c>
      <c r="S67" s="445">
        <v>6.6481000000000012</v>
      </c>
      <c r="T67" s="445">
        <v>4</v>
      </c>
      <c r="U67" s="449">
        <v>2.6480999999999999</v>
      </c>
      <c r="V67" s="447">
        <f t="shared" ref="V67:CG67" si="88">SUM(V65:V66)</f>
        <v>0</v>
      </c>
      <c r="W67" s="444">
        <f t="shared" si="88"/>
        <v>0</v>
      </c>
      <c r="X67" s="444">
        <f t="shared" si="88"/>
        <v>0</v>
      </c>
      <c r="Y67" s="444">
        <f t="shared" si="88"/>
        <v>0</v>
      </c>
      <c r="Z67" s="444">
        <f t="shared" si="88"/>
        <v>0</v>
      </c>
      <c r="AA67" s="444">
        <f t="shared" si="88"/>
        <v>-30358</v>
      </c>
      <c r="AB67" s="444">
        <f t="shared" si="88"/>
        <v>0</v>
      </c>
      <c r="AC67" s="444">
        <f t="shared" si="88"/>
        <v>0</v>
      </c>
      <c r="AD67" s="444">
        <f t="shared" si="88"/>
        <v>0</v>
      </c>
      <c r="AE67" s="444">
        <f t="shared" si="88"/>
        <v>0</v>
      </c>
      <c r="AF67" s="444">
        <f t="shared" si="88"/>
        <v>-30358</v>
      </c>
      <c r="AG67" s="444">
        <f t="shared" si="88"/>
        <v>-30358</v>
      </c>
      <c r="AH67" s="444">
        <f t="shared" si="88"/>
        <v>0</v>
      </c>
      <c r="AI67" s="444">
        <f t="shared" si="88"/>
        <v>0</v>
      </c>
      <c r="AJ67" s="444">
        <f t="shared" si="88"/>
        <v>0</v>
      </c>
      <c r="AK67" s="444">
        <f t="shared" si="88"/>
        <v>0</v>
      </c>
      <c r="AL67" s="444">
        <f t="shared" si="88"/>
        <v>0</v>
      </c>
      <c r="AM67" s="444">
        <f t="shared" si="88"/>
        <v>0</v>
      </c>
      <c r="AN67" s="444">
        <f t="shared" si="88"/>
        <v>0</v>
      </c>
      <c r="AO67" s="444">
        <f t="shared" si="88"/>
        <v>0</v>
      </c>
      <c r="AP67" s="444">
        <f t="shared" si="88"/>
        <v>0</v>
      </c>
      <c r="AQ67" s="444">
        <f t="shared" si="88"/>
        <v>-30358</v>
      </c>
      <c r="AR67" s="444">
        <f t="shared" si="88"/>
        <v>-30358</v>
      </c>
      <c r="AS67" s="444">
        <f t="shared" si="88"/>
        <v>-10261</v>
      </c>
      <c r="AT67" s="444">
        <f t="shared" si="88"/>
        <v>-304</v>
      </c>
      <c r="AU67" s="444">
        <f t="shared" si="88"/>
        <v>0</v>
      </c>
      <c r="AV67" s="444">
        <f t="shared" si="88"/>
        <v>0</v>
      </c>
      <c r="AW67" s="444">
        <f t="shared" si="88"/>
        <v>0</v>
      </c>
      <c r="AX67" s="444">
        <f t="shared" si="88"/>
        <v>0</v>
      </c>
      <c r="AY67" s="444">
        <f t="shared" si="88"/>
        <v>-40923</v>
      </c>
      <c r="AZ67" s="445">
        <f t="shared" si="88"/>
        <v>0</v>
      </c>
      <c r="BA67" s="445">
        <f t="shared" si="88"/>
        <v>0.02</v>
      </c>
      <c r="BB67" s="445">
        <f t="shared" si="88"/>
        <v>0</v>
      </c>
      <c r="BC67" s="445">
        <f t="shared" si="88"/>
        <v>0</v>
      </c>
      <c r="BD67" s="445">
        <f t="shared" si="88"/>
        <v>-0.09</v>
      </c>
      <c r="BE67" s="445">
        <f t="shared" si="88"/>
        <v>0</v>
      </c>
      <c r="BF67" s="445">
        <f t="shared" si="88"/>
        <v>0</v>
      </c>
      <c r="BG67" s="445">
        <f t="shared" si="88"/>
        <v>0</v>
      </c>
      <c r="BH67" s="445">
        <f t="shared" si="88"/>
        <v>0</v>
      </c>
      <c r="BI67" s="445">
        <f t="shared" si="88"/>
        <v>0</v>
      </c>
      <c r="BJ67" s="445">
        <f t="shared" si="88"/>
        <v>-6.9999999999999993E-2</v>
      </c>
      <c r="BK67" s="39">
        <f t="shared" si="88"/>
        <v>-6.9999999999999993E-2</v>
      </c>
      <c r="BL67" s="451">
        <f t="shared" si="88"/>
        <v>4448397</v>
      </c>
      <c r="BM67" s="444">
        <f t="shared" si="88"/>
        <v>3264051</v>
      </c>
      <c r="BN67" s="444">
        <f t="shared" si="88"/>
        <v>2468152</v>
      </c>
      <c r="BO67" s="444">
        <f t="shared" si="88"/>
        <v>795899</v>
      </c>
      <c r="BP67" s="444">
        <f t="shared" si="88"/>
        <v>20000</v>
      </c>
      <c r="BQ67" s="444">
        <f t="shared" si="88"/>
        <v>0</v>
      </c>
      <c r="BR67" s="444">
        <f t="shared" si="88"/>
        <v>20000</v>
      </c>
      <c r="BS67" s="444">
        <f t="shared" si="88"/>
        <v>1110009</v>
      </c>
      <c r="BT67" s="444">
        <f t="shared" si="88"/>
        <v>32641</v>
      </c>
      <c r="BU67" s="444">
        <f t="shared" si="88"/>
        <v>21696</v>
      </c>
      <c r="BV67" s="445">
        <f t="shared" si="88"/>
        <v>6.5781000000000009</v>
      </c>
      <c r="BW67" s="445">
        <f t="shared" si="88"/>
        <v>4</v>
      </c>
      <c r="BX67" s="39">
        <f t="shared" si="88"/>
        <v>2.5781000000000001</v>
      </c>
      <c r="BY67" s="806">
        <f t="shared" si="88"/>
        <v>0</v>
      </c>
      <c r="BZ67" s="709">
        <f t="shared" si="88"/>
        <v>0</v>
      </c>
      <c r="CA67" s="709">
        <f t="shared" si="88"/>
        <v>0</v>
      </c>
      <c r="CB67" s="709">
        <f t="shared" si="88"/>
        <v>0</v>
      </c>
      <c r="CC67" s="709">
        <f t="shared" si="88"/>
        <v>0</v>
      </c>
      <c r="CD67" s="807">
        <f t="shared" si="88"/>
        <v>0</v>
      </c>
      <c r="CE67" s="919">
        <f t="shared" si="88"/>
        <v>156121</v>
      </c>
      <c r="CF67" s="920">
        <f t="shared" si="88"/>
        <v>111081</v>
      </c>
      <c r="CG67" s="920">
        <f t="shared" si="88"/>
        <v>37545</v>
      </c>
      <c r="CH67" s="920">
        <f t="shared" ref="CH67:CJ67" si="89">SUM(CH65:CH66)</f>
        <v>1111</v>
      </c>
      <c r="CI67" s="920">
        <f t="shared" si="89"/>
        <v>6384</v>
      </c>
      <c r="CJ67" s="921">
        <f t="shared" si="89"/>
        <v>0.378</v>
      </c>
    </row>
    <row r="68" spans="1:88">
      <c r="A68" s="205">
        <v>14</v>
      </c>
      <c r="B68" s="206">
        <v>3443</v>
      </c>
      <c r="C68" s="206">
        <v>600078582</v>
      </c>
      <c r="D68" s="206">
        <v>16389581</v>
      </c>
      <c r="E68" s="204" t="s">
        <v>144</v>
      </c>
      <c r="F68" s="206">
        <v>3113</v>
      </c>
      <c r="G68" s="207" t="s">
        <v>293</v>
      </c>
      <c r="H68" s="607" t="s">
        <v>271</v>
      </c>
      <c r="I68" s="510">
        <v>13938219</v>
      </c>
      <c r="J68" s="414">
        <v>10118192</v>
      </c>
      <c r="K68" s="414">
        <v>8844054</v>
      </c>
      <c r="L68" s="414">
        <v>1274138</v>
      </c>
      <c r="M68" s="414">
        <v>60000</v>
      </c>
      <c r="N68" s="414">
        <v>60000</v>
      </c>
      <c r="O68" s="414">
        <v>0</v>
      </c>
      <c r="P68" s="68">
        <v>3440229</v>
      </c>
      <c r="Q68" s="68">
        <v>101183</v>
      </c>
      <c r="R68" s="414">
        <v>218615</v>
      </c>
      <c r="S68" s="415">
        <v>16.5321</v>
      </c>
      <c r="T68" s="416">
        <v>12.89</v>
      </c>
      <c r="U68" s="422">
        <v>3.6421000000000001</v>
      </c>
      <c r="V68" s="423">
        <f t="shared" si="4"/>
        <v>0</v>
      </c>
      <c r="W68" s="417">
        <f t="shared" si="5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6"/>
        <v>0</v>
      </c>
      <c r="AF68" s="417">
        <f t="shared" si="7"/>
        <v>0</v>
      </c>
      <c r="AG68" s="417">
        <f t="shared" si="8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9"/>
        <v>0</v>
      </c>
      <c r="AN68" s="417">
        <f t="shared" si="10"/>
        <v>0</v>
      </c>
      <c r="AO68" s="417">
        <f t="shared" si="11"/>
        <v>0</v>
      </c>
      <c r="AP68" s="417">
        <f t="shared" si="12"/>
        <v>0</v>
      </c>
      <c r="AQ68" s="417">
        <f t="shared" si="13"/>
        <v>0</v>
      </c>
      <c r="AR68" s="417">
        <f t="shared" si="14"/>
        <v>0</v>
      </c>
      <c r="AS68" s="68">
        <f t="shared" si="15"/>
        <v>0</v>
      </c>
      <c r="AT68" s="68">
        <f t="shared" si="16"/>
        <v>0</v>
      </c>
      <c r="AU68" s="417">
        <v>0</v>
      </c>
      <c r="AV68" s="417">
        <v>0</v>
      </c>
      <c r="AW68" s="417">
        <v>0</v>
      </c>
      <c r="AX68" s="417">
        <f t="shared" si="17"/>
        <v>0</v>
      </c>
      <c r="AY68" s="417">
        <f t="shared" si="18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9"/>
        <v>0</v>
      </c>
      <c r="BJ68" s="418">
        <f t="shared" si="20"/>
        <v>0</v>
      </c>
      <c r="BK68" s="420">
        <f t="shared" si="21"/>
        <v>0</v>
      </c>
      <c r="BL68" s="772">
        <f>I68+AY68</f>
        <v>13938219</v>
      </c>
      <c r="BM68" s="417">
        <f>J68+AG68</f>
        <v>10118192</v>
      </c>
      <c r="BN68" s="417">
        <f t="shared" ref="BN68:BO72" si="90">K68+AE68</f>
        <v>8844054</v>
      </c>
      <c r="BO68" s="417">
        <f t="shared" si="90"/>
        <v>1274138</v>
      </c>
      <c r="BP68" s="417">
        <f>M68+AO68</f>
        <v>60000</v>
      </c>
      <c r="BQ68" s="417">
        <f t="shared" ref="BQ68:BR72" si="91">N68+AM68</f>
        <v>60000</v>
      </c>
      <c r="BR68" s="417">
        <f t="shared" si="91"/>
        <v>0</v>
      </c>
      <c r="BS68" s="417">
        <f t="shared" ref="BS68:BT72" si="92">P68+AS68</f>
        <v>3440229</v>
      </c>
      <c r="BT68" s="417">
        <f t="shared" si="92"/>
        <v>101183</v>
      </c>
      <c r="BU68" s="417">
        <f>R68+AX68</f>
        <v>218615</v>
      </c>
      <c r="BV68" s="418">
        <f>S68+BK68</f>
        <v>16.5321</v>
      </c>
      <c r="BW68" s="418">
        <f t="shared" ref="BW68:BX72" si="93">T68+BI68</f>
        <v>12.89</v>
      </c>
      <c r="BX68" s="420">
        <f t="shared" si="93"/>
        <v>3.6421000000000001</v>
      </c>
      <c r="BY68" s="419"/>
      <c r="BZ68" s="414"/>
      <c r="CA68" s="414"/>
      <c r="CB68" s="414"/>
      <c r="CC68" s="414"/>
      <c r="CD68" s="509"/>
      <c r="CE68" s="419">
        <v>601742</v>
      </c>
      <c r="CF68" s="414">
        <v>408960</v>
      </c>
      <c r="CG68" s="414">
        <v>138228</v>
      </c>
      <c r="CH68" s="414">
        <v>4090</v>
      </c>
      <c r="CI68" s="414">
        <v>50464</v>
      </c>
      <c r="CJ68" s="509">
        <v>1.1691</v>
      </c>
    </row>
    <row r="69" spans="1:88">
      <c r="A69" s="205">
        <v>14</v>
      </c>
      <c r="B69" s="206">
        <v>3443</v>
      </c>
      <c r="C69" s="206">
        <v>600078582</v>
      </c>
      <c r="D69" s="206">
        <v>16389581</v>
      </c>
      <c r="E69" s="204" t="s">
        <v>144</v>
      </c>
      <c r="F69" s="206">
        <v>3113</v>
      </c>
      <c r="G69" s="207" t="s">
        <v>291</v>
      </c>
      <c r="H69" s="607" t="s">
        <v>272</v>
      </c>
      <c r="I69" s="510">
        <v>1129986</v>
      </c>
      <c r="J69" s="414">
        <v>836413</v>
      </c>
      <c r="K69" s="414">
        <v>836413</v>
      </c>
      <c r="L69" s="414">
        <v>0</v>
      </c>
      <c r="M69" s="414">
        <v>0</v>
      </c>
      <c r="N69" s="414">
        <v>0</v>
      </c>
      <c r="O69" s="414">
        <v>0</v>
      </c>
      <c r="P69" s="68">
        <v>282708</v>
      </c>
      <c r="Q69" s="68">
        <v>8365</v>
      </c>
      <c r="R69" s="414">
        <v>2500</v>
      </c>
      <c r="S69" s="415">
        <v>2.2399999999999998</v>
      </c>
      <c r="T69" s="416">
        <v>2.2399999999999998</v>
      </c>
      <c r="U69" s="422">
        <v>0</v>
      </c>
      <c r="V69" s="423">
        <f t="shared" si="4"/>
        <v>0</v>
      </c>
      <c r="W69" s="417">
        <f t="shared" si="5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6"/>
        <v>0</v>
      </c>
      <c r="AF69" s="417">
        <f t="shared" si="7"/>
        <v>0</v>
      </c>
      <c r="AG69" s="417">
        <f t="shared" si="8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9"/>
        <v>0</v>
      </c>
      <c r="AN69" s="417">
        <f t="shared" si="10"/>
        <v>0</v>
      </c>
      <c r="AO69" s="417">
        <f t="shared" si="11"/>
        <v>0</v>
      </c>
      <c r="AP69" s="417">
        <f t="shared" si="12"/>
        <v>0</v>
      </c>
      <c r="AQ69" s="417">
        <f t="shared" si="13"/>
        <v>0</v>
      </c>
      <c r="AR69" s="417">
        <f t="shared" si="14"/>
        <v>0</v>
      </c>
      <c r="AS69" s="68">
        <f t="shared" si="15"/>
        <v>0</v>
      </c>
      <c r="AT69" s="68">
        <f t="shared" si="16"/>
        <v>0</v>
      </c>
      <c r="AU69" s="417">
        <v>0</v>
      </c>
      <c r="AV69" s="417">
        <v>0</v>
      </c>
      <c r="AW69" s="417">
        <v>0</v>
      </c>
      <c r="AX69" s="417">
        <f t="shared" si="17"/>
        <v>0</v>
      </c>
      <c r="AY69" s="417">
        <f t="shared" si="18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9"/>
        <v>0</v>
      </c>
      <c r="BJ69" s="418">
        <f t="shared" si="20"/>
        <v>0</v>
      </c>
      <c r="BK69" s="420">
        <f t="shared" si="21"/>
        <v>0</v>
      </c>
      <c r="BL69" s="772">
        <f>I69+AY69</f>
        <v>1129986</v>
      </c>
      <c r="BM69" s="417">
        <f>J69+AG69</f>
        <v>836413</v>
      </c>
      <c r="BN69" s="417">
        <f t="shared" si="90"/>
        <v>836413</v>
      </c>
      <c r="BO69" s="417">
        <f t="shared" si="90"/>
        <v>0</v>
      </c>
      <c r="BP69" s="417">
        <f>M69+AO69</f>
        <v>0</v>
      </c>
      <c r="BQ69" s="417">
        <f t="shared" si="91"/>
        <v>0</v>
      </c>
      <c r="BR69" s="417">
        <f t="shared" si="91"/>
        <v>0</v>
      </c>
      <c r="BS69" s="417">
        <f t="shared" si="92"/>
        <v>282708</v>
      </c>
      <c r="BT69" s="417">
        <f t="shared" si="92"/>
        <v>8365</v>
      </c>
      <c r="BU69" s="417">
        <f>R69+AX69</f>
        <v>2500</v>
      </c>
      <c r="BV69" s="418">
        <f>S69+BK69</f>
        <v>2.2399999999999998</v>
      </c>
      <c r="BW69" s="418">
        <f t="shared" si="93"/>
        <v>2.2399999999999998</v>
      </c>
      <c r="BX69" s="420">
        <f t="shared" si="93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>
      <c r="A70" s="205">
        <v>14</v>
      </c>
      <c r="B70" s="206">
        <v>3443</v>
      </c>
      <c r="C70" s="206">
        <v>600078582</v>
      </c>
      <c r="D70" s="206">
        <v>16389581</v>
      </c>
      <c r="E70" s="204" t="s">
        <v>144</v>
      </c>
      <c r="F70" s="206">
        <v>3141</v>
      </c>
      <c r="G70" s="207" t="s">
        <v>294</v>
      </c>
      <c r="H70" s="607" t="s">
        <v>272</v>
      </c>
      <c r="I70" s="510">
        <v>1221728</v>
      </c>
      <c r="J70" s="414">
        <v>876718</v>
      </c>
      <c r="K70" s="414">
        <v>0</v>
      </c>
      <c r="L70" s="414">
        <v>876718</v>
      </c>
      <c r="M70" s="414">
        <v>24000</v>
      </c>
      <c r="N70" s="414">
        <v>0</v>
      </c>
      <c r="O70" s="414">
        <v>24000</v>
      </c>
      <c r="P70" s="68">
        <v>304442</v>
      </c>
      <c r="Q70" s="68">
        <v>8768</v>
      </c>
      <c r="R70" s="414">
        <v>7800</v>
      </c>
      <c r="S70" s="415">
        <v>2.7</v>
      </c>
      <c r="T70" s="416">
        <v>0</v>
      </c>
      <c r="U70" s="422">
        <v>2.7</v>
      </c>
      <c r="V70" s="423">
        <f t="shared" si="4"/>
        <v>0</v>
      </c>
      <c r="W70" s="417">
        <f t="shared" si="5"/>
        <v>0</v>
      </c>
      <c r="X70" s="417">
        <v>0</v>
      </c>
      <c r="Y70" s="417">
        <v>0</v>
      </c>
      <c r="Z70" s="417">
        <v>0</v>
      </c>
      <c r="AA70" s="417">
        <v>6228</v>
      </c>
      <c r="AB70" s="417">
        <v>0</v>
      </c>
      <c r="AC70" s="417">
        <v>0</v>
      </c>
      <c r="AD70" s="417">
        <v>0</v>
      </c>
      <c r="AE70" s="417">
        <f t="shared" si="6"/>
        <v>0</v>
      </c>
      <c r="AF70" s="417">
        <f t="shared" si="7"/>
        <v>6228</v>
      </c>
      <c r="AG70" s="417">
        <f t="shared" si="8"/>
        <v>6228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9"/>
        <v>0</v>
      </c>
      <c r="AN70" s="417">
        <f t="shared" si="10"/>
        <v>0</v>
      </c>
      <c r="AO70" s="417">
        <f t="shared" si="11"/>
        <v>0</v>
      </c>
      <c r="AP70" s="417">
        <f t="shared" si="12"/>
        <v>0</v>
      </c>
      <c r="AQ70" s="417">
        <f t="shared" si="13"/>
        <v>6228</v>
      </c>
      <c r="AR70" s="417">
        <f t="shared" si="14"/>
        <v>6228</v>
      </c>
      <c r="AS70" s="68">
        <f t="shared" si="15"/>
        <v>2105</v>
      </c>
      <c r="AT70" s="68">
        <f t="shared" si="16"/>
        <v>62</v>
      </c>
      <c r="AU70" s="417">
        <v>0</v>
      </c>
      <c r="AV70" s="417">
        <v>0</v>
      </c>
      <c r="AW70" s="417">
        <v>0</v>
      </c>
      <c r="AX70" s="417">
        <f t="shared" si="17"/>
        <v>0</v>
      </c>
      <c r="AY70" s="417">
        <f t="shared" si="18"/>
        <v>8395</v>
      </c>
      <c r="AZ70" s="418">
        <v>0</v>
      </c>
      <c r="BA70" s="418">
        <v>0</v>
      </c>
      <c r="BB70" s="418">
        <v>0</v>
      </c>
      <c r="BC70" s="418">
        <v>0</v>
      </c>
      <c r="BD70" s="418">
        <v>0.02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9"/>
        <v>0</v>
      </c>
      <c r="BJ70" s="418">
        <f t="shared" si="20"/>
        <v>0.02</v>
      </c>
      <c r="BK70" s="420">
        <f t="shared" si="21"/>
        <v>0.02</v>
      </c>
      <c r="BL70" s="772">
        <f>I70+AY70</f>
        <v>1230123</v>
      </c>
      <c r="BM70" s="417">
        <f>J70+AG70</f>
        <v>882946</v>
      </c>
      <c r="BN70" s="417">
        <f t="shared" si="90"/>
        <v>0</v>
      </c>
      <c r="BO70" s="417">
        <f t="shared" si="90"/>
        <v>882946</v>
      </c>
      <c r="BP70" s="417">
        <f>M70+AO70</f>
        <v>24000</v>
      </c>
      <c r="BQ70" s="417">
        <f t="shared" si="91"/>
        <v>0</v>
      </c>
      <c r="BR70" s="417">
        <f t="shared" si="91"/>
        <v>24000</v>
      </c>
      <c r="BS70" s="417">
        <f t="shared" si="92"/>
        <v>306547</v>
      </c>
      <c r="BT70" s="417">
        <f t="shared" si="92"/>
        <v>8830</v>
      </c>
      <c r="BU70" s="417">
        <f>R70+AX70</f>
        <v>7800</v>
      </c>
      <c r="BV70" s="418">
        <f>S70+BK70</f>
        <v>2.72</v>
      </c>
      <c r="BW70" s="418">
        <f t="shared" si="93"/>
        <v>0</v>
      </c>
      <c r="BX70" s="420">
        <f t="shared" si="93"/>
        <v>2.72</v>
      </c>
      <c r="BY70" s="419"/>
      <c r="BZ70" s="414"/>
      <c r="CA70" s="414"/>
      <c r="CB70" s="414"/>
      <c r="CC70" s="414"/>
      <c r="CD70" s="509"/>
      <c r="CE70" s="419"/>
      <c r="CF70" s="601"/>
      <c r="CG70" s="414"/>
      <c r="CH70" s="414"/>
      <c r="CI70" s="601"/>
      <c r="CJ70" s="603"/>
    </row>
    <row r="71" spans="1:88">
      <c r="A71" s="205">
        <v>14</v>
      </c>
      <c r="B71" s="206">
        <v>3443</v>
      </c>
      <c r="C71" s="206">
        <v>600078582</v>
      </c>
      <c r="D71" s="206">
        <v>16389581</v>
      </c>
      <c r="E71" s="204" t="s">
        <v>144</v>
      </c>
      <c r="F71" s="206">
        <v>3143</v>
      </c>
      <c r="G71" s="207" t="s">
        <v>595</v>
      </c>
      <c r="H71" s="609" t="s">
        <v>271</v>
      </c>
      <c r="I71" s="510">
        <v>880711</v>
      </c>
      <c r="J71" s="414">
        <v>643421</v>
      </c>
      <c r="K71" s="414">
        <v>643421</v>
      </c>
      <c r="L71" s="414">
        <v>0</v>
      </c>
      <c r="M71" s="414">
        <v>10000</v>
      </c>
      <c r="N71" s="414">
        <v>10000</v>
      </c>
      <c r="O71" s="414">
        <v>0</v>
      </c>
      <c r="P71" s="68">
        <v>220856</v>
      </c>
      <c r="Q71" s="68">
        <v>6434</v>
      </c>
      <c r="R71" s="414">
        <v>0</v>
      </c>
      <c r="S71" s="415">
        <v>1.5</v>
      </c>
      <c r="T71" s="416">
        <v>1.5</v>
      </c>
      <c r="U71" s="422">
        <v>0</v>
      </c>
      <c r="V71" s="423">
        <f t="shared" si="4"/>
        <v>0</v>
      </c>
      <c r="W71" s="417">
        <f t="shared" si="5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6"/>
        <v>0</v>
      </c>
      <c r="AF71" s="417">
        <f t="shared" si="7"/>
        <v>0</v>
      </c>
      <c r="AG71" s="417">
        <f t="shared" si="8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9"/>
        <v>0</v>
      </c>
      <c r="AN71" s="417">
        <f t="shared" si="10"/>
        <v>0</v>
      </c>
      <c r="AO71" s="417">
        <f t="shared" si="11"/>
        <v>0</v>
      </c>
      <c r="AP71" s="417">
        <f t="shared" si="12"/>
        <v>0</v>
      </c>
      <c r="AQ71" s="417">
        <f t="shared" si="13"/>
        <v>0</v>
      </c>
      <c r="AR71" s="417">
        <f t="shared" si="14"/>
        <v>0</v>
      </c>
      <c r="AS71" s="68">
        <f t="shared" si="15"/>
        <v>0</v>
      </c>
      <c r="AT71" s="68">
        <f t="shared" si="16"/>
        <v>0</v>
      </c>
      <c r="AU71" s="417">
        <v>0</v>
      </c>
      <c r="AV71" s="417">
        <v>0</v>
      </c>
      <c r="AW71" s="417">
        <v>0</v>
      </c>
      <c r="AX71" s="417">
        <f t="shared" si="17"/>
        <v>0</v>
      </c>
      <c r="AY71" s="417">
        <f t="shared" si="18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9"/>
        <v>0</v>
      </c>
      <c r="BJ71" s="418">
        <f t="shared" si="20"/>
        <v>0</v>
      </c>
      <c r="BK71" s="420">
        <f t="shared" si="21"/>
        <v>0</v>
      </c>
      <c r="BL71" s="772">
        <f>I71+AY71</f>
        <v>880711</v>
      </c>
      <c r="BM71" s="417">
        <f>J71+AG71</f>
        <v>643421</v>
      </c>
      <c r="BN71" s="417">
        <f t="shared" si="90"/>
        <v>643421</v>
      </c>
      <c r="BO71" s="417">
        <f t="shared" si="90"/>
        <v>0</v>
      </c>
      <c r="BP71" s="417">
        <f>M71+AO71</f>
        <v>10000</v>
      </c>
      <c r="BQ71" s="417">
        <f t="shared" si="91"/>
        <v>10000</v>
      </c>
      <c r="BR71" s="417">
        <f t="shared" si="91"/>
        <v>0</v>
      </c>
      <c r="BS71" s="417">
        <f t="shared" si="92"/>
        <v>220856</v>
      </c>
      <c r="BT71" s="417">
        <f t="shared" si="92"/>
        <v>6434</v>
      </c>
      <c r="BU71" s="417">
        <f>R71+AX71</f>
        <v>0</v>
      </c>
      <c r="BV71" s="418">
        <f>S71+BK71</f>
        <v>1.5</v>
      </c>
      <c r="BW71" s="418">
        <f t="shared" si="93"/>
        <v>1.5</v>
      </c>
      <c r="BX71" s="420">
        <f t="shared" si="93"/>
        <v>0</v>
      </c>
      <c r="BY71" s="419"/>
      <c r="BZ71" s="414"/>
      <c r="CA71" s="414"/>
      <c r="CB71" s="414"/>
      <c r="CC71" s="414"/>
      <c r="CD71" s="509"/>
      <c r="CE71" s="419"/>
      <c r="CF71" s="414"/>
      <c r="CG71" s="414"/>
      <c r="CH71" s="414"/>
      <c r="CI71" s="414"/>
      <c r="CJ71" s="509"/>
    </row>
    <row r="72" spans="1:88">
      <c r="A72" s="205">
        <v>14</v>
      </c>
      <c r="B72" s="206">
        <v>3443</v>
      </c>
      <c r="C72" s="206">
        <v>600078582</v>
      </c>
      <c r="D72" s="206">
        <v>16389581</v>
      </c>
      <c r="E72" s="204" t="s">
        <v>144</v>
      </c>
      <c r="F72" s="206">
        <v>3143</v>
      </c>
      <c r="G72" s="207" t="s">
        <v>596</v>
      </c>
      <c r="H72" s="609" t="s">
        <v>272</v>
      </c>
      <c r="I72" s="510">
        <v>36883</v>
      </c>
      <c r="J72" s="414">
        <v>26400</v>
      </c>
      <c r="K72" s="414">
        <v>0</v>
      </c>
      <c r="L72" s="414">
        <v>26400</v>
      </c>
      <c r="M72" s="414">
        <v>0</v>
      </c>
      <c r="N72" s="414">
        <v>0</v>
      </c>
      <c r="O72" s="414">
        <v>0</v>
      </c>
      <c r="P72" s="68">
        <v>8923</v>
      </c>
      <c r="Q72" s="68">
        <v>264</v>
      </c>
      <c r="R72" s="414">
        <v>1296</v>
      </c>
      <c r="S72" s="415">
        <v>0.1</v>
      </c>
      <c r="T72" s="416">
        <v>0</v>
      </c>
      <c r="U72" s="422">
        <v>0.1</v>
      </c>
      <c r="V72" s="423">
        <f t="shared" si="4"/>
        <v>0</v>
      </c>
      <c r="W72" s="417">
        <f t="shared" si="5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6"/>
        <v>0</v>
      </c>
      <c r="AF72" s="417">
        <f t="shared" si="7"/>
        <v>0</v>
      </c>
      <c r="AG72" s="417">
        <f t="shared" si="8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9"/>
        <v>0</v>
      </c>
      <c r="AN72" s="417">
        <f t="shared" si="10"/>
        <v>0</v>
      </c>
      <c r="AO72" s="417">
        <f t="shared" si="11"/>
        <v>0</v>
      </c>
      <c r="AP72" s="417">
        <f t="shared" si="12"/>
        <v>0</v>
      </c>
      <c r="AQ72" s="417">
        <f t="shared" si="13"/>
        <v>0</v>
      </c>
      <c r="AR72" s="417">
        <f t="shared" si="14"/>
        <v>0</v>
      </c>
      <c r="AS72" s="68">
        <f t="shared" si="15"/>
        <v>0</v>
      </c>
      <c r="AT72" s="68">
        <f t="shared" si="16"/>
        <v>0</v>
      </c>
      <c r="AU72" s="417">
        <v>0</v>
      </c>
      <c r="AV72" s="417">
        <v>0</v>
      </c>
      <c r="AW72" s="417">
        <v>0</v>
      </c>
      <c r="AX72" s="417">
        <f t="shared" si="17"/>
        <v>0</v>
      </c>
      <c r="AY72" s="417">
        <f t="shared" si="18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9"/>
        <v>0</v>
      </c>
      <c r="BJ72" s="418">
        <f t="shared" si="20"/>
        <v>0</v>
      </c>
      <c r="BK72" s="420">
        <f t="shared" si="21"/>
        <v>0</v>
      </c>
      <c r="BL72" s="772">
        <f>I72+AY72</f>
        <v>36883</v>
      </c>
      <c r="BM72" s="417">
        <f>J72+AG72</f>
        <v>26400</v>
      </c>
      <c r="BN72" s="417">
        <f t="shared" si="90"/>
        <v>0</v>
      </c>
      <c r="BO72" s="417">
        <f t="shared" si="90"/>
        <v>26400</v>
      </c>
      <c r="BP72" s="417">
        <f>M72+AO72</f>
        <v>0</v>
      </c>
      <c r="BQ72" s="417">
        <f t="shared" si="91"/>
        <v>0</v>
      </c>
      <c r="BR72" s="417">
        <f t="shared" si="91"/>
        <v>0</v>
      </c>
      <c r="BS72" s="417">
        <f t="shared" si="92"/>
        <v>8923</v>
      </c>
      <c r="BT72" s="417">
        <f t="shared" si="92"/>
        <v>264</v>
      </c>
      <c r="BU72" s="417">
        <f>R72+AX72</f>
        <v>1296</v>
      </c>
      <c r="BV72" s="418">
        <f>S72+BK72</f>
        <v>0.1</v>
      </c>
      <c r="BW72" s="418">
        <f t="shared" si="93"/>
        <v>0</v>
      </c>
      <c r="BX72" s="420">
        <f t="shared" si="93"/>
        <v>0.1</v>
      </c>
      <c r="BY72" s="419"/>
      <c r="BZ72" s="414"/>
      <c r="CA72" s="414"/>
      <c r="CB72" s="414"/>
      <c r="CC72" s="414"/>
      <c r="CD72" s="509"/>
      <c r="CE72" s="419"/>
      <c r="CF72" s="601"/>
      <c r="CG72" s="414"/>
      <c r="CH72" s="414"/>
      <c r="CI72" s="602"/>
      <c r="CJ72" s="603"/>
    </row>
    <row r="73" spans="1:88" ht="13.5" thickBot="1">
      <c r="A73" s="159">
        <v>14</v>
      </c>
      <c r="B73" s="33">
        <v>3443</v>
      </c>
      <c r="C73" s="33">
        <v>600078582</v>
      </c>
      <c r="D73" s="33">
        <v>16389581</v>
      </c>
      <c r="E73" s="234" t="s">
        <v>145</v>
      </c>
      <c r="F73" s="33"/>
      <c r="G73" s="160"/>
      <c r="H73" s="610"/>
      <c r="I73" s="852">
        <v>17207527</v>
      </c>
      <c r="J73" s="853">
        <v>12501144</v>
      </c>
      <c r="K73" s="853">
        <v>10323888</v>
      </c>
      <c r="L73" s="853">
        <v>2177256</v>
      </c>
      <c r="M73" s="853">
        <v>94000</v>
      </c>
      <c r="N73" s="853">
        <v>70000</v>
      </c>
      <c r="O73" s="853">
        <v>24000</v>
      </c>
      <c r="P73" s="853">
        <v>4257158</v>
      </c>
      <c r="Q73" s="853">
        <v>125014</v>
      </c>
      <c r="R73" s="853">
        <v>230211</v>
      </c>
      <c r="S73" s="854">
        <v>23.072099999999999</v>
      </c>
      <c r="T73" s="854">
        <v>16.630000000000003</v>
      </c>
      <c r="U73" s="855">
        <v>6.4420999999999999</v>
      </c>
      <c r="V73" s="907">
        <f t="shared" ref="V73:CG73" si="94">SUM(V68:V72)</f>
        <v>0</v>
      </c>
      <c r="W73" s="908">
        <f t="shared" si="94"/>
        <v>0</v>
      </c>
      <c r="X73" s="908">
        <f t="shared" si="94"/>
        <v>0</v>
      </c>
      <c r="Y73" s="908">
        <f t="shared" si="94"/>
        <v>0</v>
      </c>
      <c r="Z73" s="908">
        <f t="shared" si="94"/>
        <v>0</v>
      </c>
      <c r="AA73" s="908">
        <f t="shared" si="94"/>
        <v>6228</v>
      </c>
      <c r="AB73" s="908">
        <f t="shared" si="94"/>
        <v>0</v>
      </c>
      <c r="AC73" s="908">
        <f t="shared" si="94"/>
        <v>0</v>
      </c>
      <c r="AD73" s="908">
        <f t="shared" si="94"/>
        <v>0</v>
      </c>
      <c r="AE73" s="908">
        <f t="shared" si="94"/>
        <v>0</v>
      </c>
      <c r="AF73" s="908">
        <f t="shared" si="94"/>
        <v>6228</v>
      </c>
      <c r="AG73" s="908">
        <f t="shared" si="94"/>
        <v>6228</v>
      </c>
      <c r="AH73" s="908">
        <f t="shared" si="94"/>
        <v>0</v>
      </c>
      <c r="AI73" s="908">
        <f t="shared" si="94"/>
        <v>0</v>
      </c>
      <c r="AJ73" s="908">
        <f t="shared" si="94"/>
        <v>0</v>
      </c>
      <c r="AK73" s="908">
        <f t="shared" si="94"/>
        <v>0</v>
      </c>
      <c r="AL73" s="908">
        <f t="shared" si="94"/>
        <v>0</v>
      </c>
      <c r="AM73" s="908">
        <f t="shared" si="94"/>
        <v>0</v>
      </c>
      <c r="AN73" s="908">
        <f t="shared" si="94"/>
        <v>0</v>
      </c>
      <c r="AO73" s="908">
        <f t="shared" si="94"/>
        <v>0</v>
      </c>
      <c r="AP73" s="908">
        <f t="shared" si="94"/>
        <v>0</v>
      </c>
      <c r="AQ73" s="908">
        <f t="shared" si="94"/>
        <v>6228</v>
      </c>
      <c r="AR73" s="908">
        <f t="shared" si="94"/>
        <v>6228</v>
      </c>
      <c r="AS73" s="908">
        <f t="shared" si="94"/>
        <v>2105</v>
      </c>
      <c r="AT73" s="908">
        <f t="shared" si="94"/>
        <v>62</v>
      </c>
      <c r="AU73" s="908">
        <f t="shared" si="94"/>
        <v>0</v>
      </c>
      <c r="AV73" s="908">
        <f t="shared" si="94"/>
        <v>0</v>
      </c>
      <c r="AW73" s="908">
        <f t="shared" si="94"/>
        <v>0</v>
      </c>
      <c r="AX73" s="908">
        <f t="shared" si="94"/>
        <v>0</v>
      </c>
      <c r="AY73" s="908">
        <f t="shared" si="94"/>
        <v>8395</v>
      </c>
      <c r="AZ73" s="912">
        <f t="shared" si="94"/>
        <v>0</v>
      </c>
      <c r="BA73" s="912">
        <f t="shared" si="94"/>
        <v>0</v>
      </c>
      <c r="BB73" s="912">
        <f t="shared" si="94"/>
        <v>0</v>
      </c>
      <c r="BC73" s="912">
        <f t="shared" si="94"/>
        <v>0</v>
      </c>
      <c r="BD73" s="912">
        <f t="shared" si="94"/>
        <v>0.02</v>
      </c>
      <c r="BE73" s="912">
        <f t="shared" si="94"/>
        <v>0</v>
      </c>
      <c r="BF73" s="912">
        <f t="shared" si="94"/>
        <v>0</v>
      </c>
      <c r="BG73" s="912">
        <f t="shared" si="94"/>
        <v>0</v>
      </c>
      <c r="BH73" s="912">
        <f t="shared" si="94"/>
        <v>0</v>
      </c>
      <c r="BI73" s="912">
        <f t="shared" si="94"/>
        <v>0</v>
      </c>
      <c r="BJ73" s="912">
        <f t="shared" si="94"/>
        <v>0.02</v>
      </c>
      <c r="BK73" s="913">
        <f t="shared" si="94"/>
        <v>0.02</v>
      </c>
      <c r="BL73" s="852">
        <f t="shared" si="94"/>
        <v>17215922</v>
      </c>
      <c r="BM73" s="853">
        <f t="shared" si="94"/>
        <v>12507372</v>
      </c>
      <c r="BN73" s="853">
        <f t="shared" si="94"/>
        <v>10323888</v>
      </c>
      <c r="BO73" s="853">
        <f t="shared" si="94"/>
        <v>2183484</v>
      </c>
      <c r="BP73" s="853">
        <f t="shared" si="94"/>
        <v>94000</v>
      </c>
      <c r="BQ73" s="853">
        <f t="shared" si="94"/>
        <v>70000</v>
      </c>
      <c r="BR73" s="853">
        <f t="shared" si="94"/>
        <v>24000</v>
      </c>
      <c r="BS73" s="853">
        <f t="shared" si="94"/>
        <v>4259263</v>
      </c>
      <c r="BT73" s="853">
        <f t="shared" si="94"/>
        <v>125076</v>
      </c>
      <c r="BU73" s="853">
        <f t="shared" si="94"/>
        <v>230211</v>
      </c>
      <c r="BV73" s="854">
        <f t="shared" si="94"/>
        <v>23.092099999999999</v>
      </c>
      <c r="BW73" s="854">
        <f t="shared" si="94"/>
        <v>16.630000000000003</v>
      </c>
      <c r="BX73" s="856">
        <f t="shared" si="94"/>
        <v>6.4620999999999995</v>
      </c>
      <c r="BY73" s="811">
        <f t="shared" si="94"/>
        <v>0</v>
      </c>
      <c r="BZ73" s="713">
        <f t="shared" si="94"/>
        <v>0</v>
      </c>
      <c r="CA73" s="713">
        <f t="shared" si="94"/>
        <v>0</v>
      </c>
      <c r="CB73" s="713">
        <f t="shared" si="94"/>
        <v>0</v>
      </c>
      <c r="CC73" s="713">
        <f t="shared" si="94"/>
        <v>0</v>
      </c>
      <c r="CD73" s="812">
        <f t="shared" si="94"/>
        <v>0</v>
      </c>
      <c r="CE73" s="928">
        <f t="shared" si="94"/>
        <v>601742</v>
      </c>
      <c r="CF73" s="929">
        <f t="shared" si="94"/>
        <v>408960</v>
      </c>
      <c r="CG73" s="929">
        <f t="shared" si="94"/>
        <v>138228</v>
      </c>
      <c r="CH73" s="929">
        <f t="shared" ref="CH73:CJ73" si="95">SUM(CH68:CH72)</f>
        <v>4090</v>
      </c>
      <c r="CI73" s="929">
        <f t="shared" si="95"/>
        <v>50464</v>
      </c>
      <c r="CJ73" s="1071">
        <f t="shared" si="95"/>
        <v>1.1691</v>
      </c>
    </row>
    <row r="74" spans="1:88" ht="13.5" thickBot="1">
      <c r="A74" s="161"/>
      <c r="B74" s="30"/>
      <c r="C74" s="30"/>
      <c r="D74" s="30"/>
      <c r="E74" s="85" t="s">
        <v>752</v>
      </c>
      <c r="F74" s="30"/>
      <c r="G74" s="162"/>
      <c r="H74" s="611"/>
      <c r="I74" s="455">
        <f t="shared" ref="I74:BW74" si="96">I15+I19+I23+I25+I32+I38+I40+I43+I48+I52+I57+I64+I67+I73</f>
        <v>163008023</v>
      </c>
      <c r="J74" s="459">
        <f t="shared" si="96"/>
        <v>118944131</v>
      </c>
      <c r="K74" s="459">
        <f t="shared" si="96"/>
        <v>99066423</v>
      </c>
      <c r="L74" s="459">
        <f t="shared" si="96"/>
        <v>19877708</v>
      </c>
      <c r="M74" s="459">
        <f t="shared" si="96"/>
        <v>714120</v>
      </c>
      <c r="N74" s="459">
        <f t="shared" si="96"/>
        <v>405520</v>
      </c>
      <c r="O74" s="459">
        <f t="shared" si="96"/>
        <v>308600</v>
      </c>
      <c r="P74" s="459">
        <f t="shared" si="96"/>
        <v>40444485</v>
      </c>
      <c r="Q74" s="459">
        <f t="shared" si="96"/>
        <v>1189446</v>
      </c>
      <c r="R74" s="459">
        <f t="shared" si="96"/>
        <v>1715841</v>
      </c>
      <c r="S74" s="581">
        <f t="shared" si="96"/>
        <v>223.2747</v>
      </c>
      <c r="T74" s="581">
        <f t="shared" si="96"/>
        <v>162.9898</v>
      </c>
      <c r="U74" s="582">
        <f t="shared" si="96"/>
        <v>60.284899999999993</v>
      </c>
      <c r="V74" s="902">
        <f t="shared" si="96"/>
        <v>-650</v>
      </c>
      <c r="W74" s="902">
        <f t="shared" si="96"/>
        <v>-369650</v>
      </c>
      <c r="X74" s="902">
        <f t="shared" si="96"/>
        <v>180249</v>
      </c>
      <c r="Y74" s="902">
        <f t="shared" si="96"/>
        <v>0</v>
      </c>
      <c r="Z74" s="902">
        <f t="shared" si="96"/>
        <v>-75627</v>
      </c>
      <c r="AA74" s="902">
        <f t="shared" si="96"/>
        <v>-58958</v>
      </c>
      <c r="AB74" s="902">
        <f t="shared" si="96"/>
        <v>0</v>
      </c>
      <c r="AC74" s="902">
        <f t="shared" si="96"/>
        <v>0</v>
      </c>
      <c r="AD74" s="902">
        <f t="shared" si="96"/>
        <v>0</v>
      </c>
      <c r="AE74" s="902">
        <f t="shared" si="96"/>
        <v>103972</v>
      </c>
      <c r="AF74" s="902">
        <f t="shared" si="96"/>
        <v>-412905</v>
      </c>
      <c r="AG74" s="902">
        <f t="shared" si="96"/>
        <v>-308933</v>
      </c>
      <c r="AH74" s="902">
        <f t="shared" si="96"/>
        <v>650</v>
      </c>
      <c r="AI74" s="902">
        <f t="shared" si="96"/>
        <v>369650</v>
      </c>
      <c r="AJ74" s="902">
        <f t="shared" si="96"/>
        <v>0</v>
      </c>
      <c r="AK74" s="902">
        <f t="shared" si="96"/>
        <v>0</v>
      </c>
      <c r="AL74" s="902">
        <f t="shared" si="96"/>
        <v>0</v>
      </c>
      <c r="AM74" s="902">
        <f t="shared" si="96"/>
        <v>650</v>
      </c>
      <c r="AN74" s="902">
        <f t="shared" si="96"/>
        <v>369650</v>
      </c>
      <c r="AO74" s="902">
        <f t="shared" si="96"/>
        <v>370300</v>
      </c>
      <c r="AP74" s="902">
        <f t="shared" si="96"/>
        <v>104622</v>
      </c>
      <c r="AQ74" s="902">
        <f t="shared" si="96"/>
        <v>-43255</v>
      </c>
      <c r="AR74" s="902">
        <f t="shared" si="96"/>
        <v>61367</v>
      </c>
      <c r="AS74" s="902">
        <f t="shared" si="96"/>
        <v>20743</v>
      </c>
      <c r="AT74" s="902">
        <f t="shared" si="96"/>
        <v>-3090</v>
      </c>
      <c r="AU74" s="902">
        <f t="shared" si="96"/>
        <v>0</v>
      </c>
      <c r="AV74" s="902">
        <f t="shared" si="96"/>
        <v>0</v>
      </c>
      <c r="AW74" s="902">
        <f t="shared" si="96"/>
        <v>0</v>
      </c>
      <c r="AX74" s="902">
        <f t="shared" si="96"/>
        <v>0</v>
      </c>
      <c r="AY74" s="902">
        <f t="shared" si="96"/>
        <v>79020</v>
      </c>
      <c r="AZ74" s="903">
        <f t="shared" si="96"/>
        <v>2.3E-2</v>
      </c>
      <c r="BA74" s="903">
        <f t="shared" si="96"/>
        <v>-1.0499999999999998</v>
      </c>
      <c r="BB74" s="903">
        <f t="shared" si="96"/>
        <v>0.5</v>
      </c>
      <c r="BC74" s="903">
        <f t="shared" si="96"/>
        <v>-9.9999999999999978E-2</v>
      </c>
      <c r="BD74" s="903">
        <f t="shared" si="96"/>
        <v>-0.16</v>
      </c>
      <c r="BE74" s="903">
        <f t="shared" si="96"/>
        <v>0</v>
      </c>
      <c r="BF74" s="903">
        <f t="shared" si="96"/>
        <v>0</v>
      </c>
      <c r="BG74" s="903">
        <f t="shared" si="96"/>
        <v>0</v>
      </c>
      <c r="BH74" s="903">
        <f t="shared" si="96"/>
        <v>0</v>
      </c>
      <c r="BI74" s="903">
        <f t="shared" si="96"/>
        <v>0.42300000000000004</v>
      </c>
      <c r="BJ74" s="903">
        <f t="shared" si="96"/>
        <v>-1.21</v>
      </c>
      <c r="BK74" s="904">
        <f t="shared" si="96"/>
        <v>-0.7869999999999997</v>
      </c>
      <c r="BL74" s="455">
        <f t="shared" si="96"/>
        <v>163087043</v>
      </c>
      <c r="BM74" s="459">
        <f t="shared" si="96"/>
        <v>118635198</v>
      </c>
      <c r="BN74" s="459">
        <f t="shared" si="96"/>
        <v>99170395</v>
      </c>
      <c r="BO74" s="459">
        <f t="shared" si="96"/>
        <v>19464803</v>
      </c>
      <c r="BP74" s="459">
        <f t="shared" si="96"/>
        <v>1084420</v>
      </c>
      <c r="BQ74" s="459">
        <f t="shared" si="96"/>
        <v>406170</v>
      </c>
      <c r="BR74" s="459">
        <f t="shared" si="96"/>
        <v>678250</v>
      </c>
      <c r="BS74" s="459">
        <f t="shared" si="96"/>
        <v>40465228</v>
      </c>
      <c r="BT74" s="459">
        <f t="shared" si="96"/>
        <v>1186356</v>
      </c>
      <c r="BU74" s="459">
        <f t="shared" si="96"/>
        <v>1715841</v>
      </c>
      <c r="BV74" s="581">
        <f t="shared" si="96"/>
        <v>222.48770000000005</v>
      </c>
      <c r="BW74" s="581">
        <f t="shared" si="96"/>
        <v>163.4128</v>
      </c>
      <c r="BX74" s="582">
        <f t="shared" ref="BX74:CJ74" si="97">BX15+BX19+BX23+BX25+BX32+BX38+BX40+BX43+BX48+BX52+BX57+BX64+BX67+BX73</f>
        <v>59.0749</v>
      </c>
      <c r="BY74" s="711">
        <f t="shared" si="97"/>
        <v>380136</v>
      </c>
      <c r="BZ74" s="712">
        <f t="shared" si="97"/>
        <v>282000</v>
      </c>
      <c r="CA74" s="712">
        <f t="shared" si="97"/>
        <v>0</v>
      </c>
      <c r="CB74" s="712">
        <f t="shared" si="97"/>
        <v>95316</v>
      </c>
      <c r="CC74" s="712">
        <f t="shared" si="97"/>
        <v>2820</v>
      </c>
      <c r="CD74" s="810">
        <f t="shared" si="97"/>
        <v>0.5</v>
      </c>
      <c r="CE74" s="925">
        <f t="shared" si="97"/>
        <v>4862427</v>
      </c>
      <c r="CF74" s="926">
        <f t="shared" si="97"/>
        <v>3318478</v>
      </c>
      <c r="CG74" s="926">
        <f t="shared" si="97"/>
        <v>1121643</v>
      </c>
      <c r="CH74" s="926">
        <f t="shared" si="97"/>
        <v>33187</v>
      </c>
      <c r="CI74" s="926">
        <f t="shared" si="97"/>
        <v>389119</v>
      </c>
      <c r="CJ74" s="927">
        <f t="shared" si="97"/>
        <v>10.0548</v>
      </c>
    </row>
    <row r="75" spans="1:88">
      <c r="D75" s="9"/>
      <c r="E75" s="5"/>
      <c r="F75" s="9"/>
      <c r="G75" s="20"/>
      <c r="H75" s="5"/>
      <c r="I75" s="427">
        <f>J74+M74+P74+Q74+R74</f>
        <v>163008023</v>
      </c>
      <c r="J75" s="427">
        <f>SUM(K74:L74)</f>
        <v>118944131</v>
      </c>
      <c r="K75" s="427"/>
      <c r="L75" s="427"/>
      <c r="M75" s="427">
        <f>SUM(N74:O74)</f>
        <v>714120</v>
      </c>
      <c r="N75" s="427"/>
      <c r="O75" s="427"/>
      <c r="P75" s="427"/>
      <c r="Q75" s="427"/>
      <c r="R75" s="427"/>
      <c r="S75" s="428">
        <f>SUM(T74:U74)</f>
        <v>223.2747</v>
      </c>
      <c r="T75" s="428"/>
      <c r="U75" s="428"/>
      <c r="V75" s="427">
        <f>AH74</f>
        <v>650</v>
      </c>
      <c r="W75" s="427">
        <f>AI74</f>
        <v>369650</v>
      </c>
      <c r="X75" s="428"/>
      <c r="Y75" s="428"/>
      <c r="Z75" s="428"/>
      <c r="AA75" s="428"/>
      <c r="AB75" s="427"/>
      <c r="AC75" s="428"/>
      <c r="AD75" s="428"/>
      <c r="AE75" s="429"/>
      <c r="AF75" s="429"/>
      <c r="AG75" s="429">
        <f>SUM(AE74:AF74)</f>
        <v>-308933</v>
      </c>
      <c r="AH75" s="429">
        <f>V74</f>
        <v>-650</v>
      </c>
      <c r="AI75" s="429">
        <f>W74</f>
        <v>-369650</v>
      </c>
      <c r="AJ75" s="430"/>
      <c r="AK75" s="430"/>
      <c r="AL75" s="430"/>
      <c r="AM75" s="429"/>
      <c r="AN75" s="429"/>
      <c r="AO75" s="429">
        <f>SUM(AM74:AN74)</f>
        <v>370300</v>
      </c>
      <c r="AP75" s="429"/>
      <c r="AQ75" s="429"/>
      <c r="AR75" s="429">
        <f>SUM(AP74:AQ74)</f>
        <v>61367</v>
      </c>
      <c r="AS75" s="431"/>
      <c r="AT75" s="431"/>
      <c r="AU75" s="430"/>
      <c r="AV75" s="430"/>
      <c r="AW75" s="429"/>
      <c r="AX75" s="429">
        <f>SUM(AU74:AW74)</f>
        <v>0</v>
      </c>
      <c r="AY75" s="429">
        <f>AG74+AO74+AS74+AT74+AX74</f>
        <v>79020</v>
      </c>
      <c r="AZ75" s="432"/>
      <c r="BA75" s="432"/>
      <c r="BB75" s="432"/>
      <c r="BC75" s="432"/>
      <c r="BD75" s="432"/>
      <c r="BE75" s="432"/>
      <c r="BF75" s="507"/>
      <c r="BG75" s="432"/>
      <c r="BH75" s="432"/>
      <c r="BI75" s="507">
        <f>AZ74+BB74+BC74+BE74+BG74</f>
        <v>0.42300000000000004</v>
      </c>
      <c r="BJ75" s="507">
        <f>BA74+BD74+BF74+BH74</f>
        <v>-1.2099999999999997</v>
      </c>
      <c r="BK75" s="507">
        <f>SUM(BI74:BJ74)</f>
        <v>-0.78699999999999992</v>
      </c>
      <c r="BL75" s="427">
        <f>BM74+BP74+BS74+BT74+BU74</f>
        <v>163087043</v>
      </c>
      <c r="BM75" s="427">
        <f>SUM(BN74:BO74)</f>
        <v>118635198</v>
      </c>
      <c r="BN75" s="429">
        <f>K74+AE74</f>
        <v>99170395</v>
      </c>
      <c r="BO75" s="429">
        <f>L74+AF74</f>
        <v>19464803</v>
      </c>
      <c r="BP75" s="86">
        <f>SUM(BQ74:BR74)</f>
        <v>1084420</v>
      </c>
      <c r="BQ75" s="429">
        <f>N74+AM74</f>
        <v>406170</v>
      </c>
      <c r="BR75" s="429">
        <f>O74+AN74</f>
        <v>678250</v>
      </c>
      <c r="BS75" s="429">
        <f>P74+AS74</f>
        <v>40465228</v>
      </c>
      <c r="BT75" s="429">
        <f>Q74+AT74</f>
        <v>1186356</v>
      </c>
      <c r="BU75" s="429">
        <f>R74+AX74</f>
        <v>1715841</v>
      </c>
      <c r="BV75" s="428">
        <f>SUM(BW74:BX74)</f>
        <v>222.48770000000002</v>
      </c>
      <c r="BW75" s="507">
        <f>T74+BI74</f>
        <v>163.4128</v>
      </c>
      <c r="BX75" s="507">
        <f>U74+BJ74</f>
        <v>59.074899999999992</v>
      </c>
      <c r="BY75" s="235">
        <f>SUM(BZ74:CC74)</f>
        <v>380136</v>
      </c>
      <c r="CE75" s="235">
        <f>SUM(CF74:CI74)</f>
        <v>4862427</v>
      </c>
      <c r="CF75" s="8"/>
      <c r="CG75" s="8"/>
      <c r="CH75" s="8"/>
      <c r="CI75" s="8"/>
    </row>
    <row r="76" spans="1:88" ht="13.5" thickBot="1">
      <c r="D76" s="9"/>
      <c r="E76" s="5"/>
      <c r="F76" s="9"/>
      <c r="G76" s="20"/>
      <c r="H76" s="5"/>
      <c r="I76" s="427">
        <f>J77+M77+P77+Q77+R77</f>
        <v>163008023</v>
      </c>
      <c r="J76" s="427">
        <f>SUM(K77:L77)</f>
        <v>118944131</v>
      </c>
      <c r="K76" s="427"/>
      <c r="L76" s="427"/>
      <c r="M76" s="427">
        <f>SUM(N77:O77)</f>
        <v>714120</v>
      </c>
      <c r="N76" s="427"/>
      <c r="O76" s="427"/>
      <c r="P76" s="427"/>
      <c r="Q76" s="427"/>
      <c r="R76" s="427"/>
      <c r="S76" s="428">
        <f>SUM(T77:U77)</f>
        <v>223.27470000000002</v>
      </c>
      <c r="T76" s="428"/>
      <c r="U76" s="428"/>
      <c r="V76" s="427">
        <f>AH77</f>
        <v>650</v>
      </c>
      <c r="W76" s="427">
        <f>AI77</f>
        <v>369650</v>
      </c>
      <c r="X76" s="428"/>
      <c r="Y76" s="428"/>
      <c r="Z76" s="428"/>
      <c r="AA76" s="428"/>
      <c r="AB76" s="427"/>
      <c r="AC76" s="428"/>
      <c r="AD76" s="428"/>
      <c r="AE76" s="429"/>
      <c r="AF76" s="429"/>
      <c r="AG76" s="429">
        <f>SUM(AE77:AF77)</f>
        <v>-308933</v>
      </c>
      <c r="AH76" s="429"/>
      <c r="AI76" s="429"/>
      <c r="AJ76" s="430"/>
      <c r="AK76" s="430"/>
      <c r="AL76" s="430"/>
      <c r="AM76" s="429"/>
      <c r="AN76" s="429"/>
      <c r="AO76" s="429">
        <f>SUM(AM77:AN77)</f>
        <v>370300</v>
      </c>
      <c r="AP76" s="429"/>
      <c r="AQ76" s="429"/>
      <c r="AR76" s="429">
        <f>SUM(AP77:AQ77)</f>
        <v>61367</v>
      </c>
      <c r="AS76" s="431"/>
      <c r="AT76" s="431"/>
      <c r="AU76" s="430"/>
      <c r="AV76" s="430"/>
      <c r="AW76" s="429"/>
      <c r="AX76" s="429">
        <f>SUM(AU77:AW77)</f>
        <v>0</v>
      </c>
      <c r="AY76" s="429">
        <f>AG77+AO77+AS77+AT77+AX77</f>
        <v>79020</v>
      </c>
      <c r="AZ76" s="432"/>
      <c r="BA76" s="432"/>
      <c r="BB76" s="432"/>
      <c r="BC76" s="432"/>
      <c r="BD76" s="432"/>
      <c r="BE76" s="432"/>
      <c r="BF76" s="507"/>
      <c r="BG76" s="432"/>
      <c r="BH76" s="432"/>
      <c r="BI76" s="507">
        <f>AZ77+BB77+BC77+BE77+BG77</f>
        <v>0.42300000000000004</v>
      </c>
      <c r="BJ76" s="507">
        <f>BA77+BD77+BF77+BH77</f>
        <v>-1.2099999999999997</v>
      </c>
      <c r="BK76" s="507">
        <f>SUM(BI77:BJ77)</f>
        <v>-0.78699999999999992</v>
      </c>
      <c r="BL76" s="427">
        <f>BM77+BP77+BS77+BT77+BU77</f>
        <v>163087043</v>
      </c>
      <c r="BM76" s="427">
        <f>SUM(BN77:BO77)</f>
        <v>118635198</v>
      </c>
      <c r="BN76" s="53"/>
      <c r="BO76" s="53"/>
      <c r="BP76" s="86">
        <f>SUM(BQ77:BR77)</f>
        <v>1084420</v>
      </c>
      <c r="BQ76" s="53"/>
      <c r="BR76" s="53"/>
      <c r="BS76" s="53"/>
      <c r="BT76" s="53"/>
      <c r="BU76" s="53"/>
      <c r="BV76" s="428">
        <f>SUM(BW77:BX77)</f>
        <v>222.48770000000002</v>
      </c>
      <c r="BW76" s="87"/>
      <c r="BX76" s="87"/>
      <c r="BY76" s="235">
        <f>SUM(BZ77:CC77)</f>
        <v>380136</v>
      </c>
      <c r="CE76" s="235">
        <f>SUM(CF77:CI77)</f>
        <v>4862427</v>
      </c>
      <c r="CF76" s="8"/>
      <c r="CG76" s="8"/>
      <c r="CH76" s="8"/>
      <c r="CI76" s="8"/>
    </row>
    <row r="77" spans="1:88" ht="13.5" thickBot="1">
      <c r="D77" s="9"/>
      <c r="E77" s="5"/>
      <c r="F77" s="9"/>
      <c r="G77" s="20"/>
      <c r="H77" s="474" t="s">
        <v>0</v>
      </c>
      <c r="I77" s="139">
        <f t="shared" ref="I77:BW77" si="98">SUM(I78:I87)</f>
        <v>163008023</v>
      </c>
      <c r="J77" s="34">
        <f t="shared" si="98"/>
        <v>118944131</v>
      </c>
      <c r="K77" s="34">
        <f t="shared" si="98"/>
        <v>99066423</v>
      </c>
      <c r="L77" s="34">
        <f t="shared" si="98"/>
        <v>19877708</v>
      </c>
      <c r="M77" s="34">
        <f t="shared" si="98"/>
        <v>714120</v>
      </c>
      <c r="N77" s="34">
        <f t="shared" si="98"/>
        <v>405520</v>
      </c>
      <c r="O77" s="34">
        <f t="shared" si="98"/>
        <v>308600</v>
      </c>
      <c r="P77" s="34">
        <f t="shared" si="98"/>
        <v>40444485</v>
      </c>
      <c r="Q77" s="34">
        <f t="shared" si="98"/>
        <v>1189446</v>
      </c>
      <c r="R77" s="34">
        <f t="shared" si="98"/>
        <v>1715841</v>
      </c>
      <c r="S77" s="35">
        <f t="shared" si="98"/>
        <v>223.27470000000002</v>
      </c>
      <c r="T77" s="35">
        <f t="shared" si="98"/>
        <v>162.98980000000003</v>
      </c>
      <c r="U77" s="36">
        <f t="shared" si="98"/>
        <v>60.284899999999993</v>
      </c>
      <c r="V77" s="149">
        <f t="shared" si="98"/>
        <v>-650</v>
      </c>
      <c r="W77" s="34">
        <f t="shared" si="98"/>
        <v>-369650</v>
      </c>
      <c r="X77" s="34">
        <f t="shared" si="98"/>
        <v>180249</v>
      </c>
      <c r="Y77" s="34">
        <f t="shared" si="98"/>
        <v>0</v>
      </c>
      <c r="Z77" s="34">
        <f t="shared" si="98"/>
        <v>-75627</v>
      </c>
      <c r="AA77" s="34">
        <f t="shared" si="98"/>
        <v>-58958</v>
      </c>
      <c r="AB77" s="34">
        <f t="shared" si="98"/>
        <v>0</v>
      </c>
      <c r="AC77" s="34">
        <f t="shared" si="98"/>
        <v>0</v>
      </c>
      <c r="AD77" s="34">
        <f t="shared" si="98"/>
        <v>0</v>
      </c>
      <c r="AE77" s="34">
        <f t="shared" si="98"/>
        <v>103972</v>
      </c>
      <c r="AF77" s="34">
        <f t="shared" si="98"/>
        <v>-412905</v>
      </c>
      <c r="AG77" s="34">
        <f t="shared" si="98"/>
        <v>-308933</v>
      </c>
      <c r="AH77" s="34">
        <f t="shared" si="98"/>
        <v>650</v>
      </c>
      <c r="AI77" s="34">
        <f t="shared" si="98"/>
        <v>369650</v>
      </c>
      <c r="AJ77" s="34">
        <f t="shared" si="98"/>
        <v>0</v>
      </c>
      <c r="AK77" s="34">
        <f t="shared" si="98"/>
        <v>0</v>
      </c>
      <c r="AL77" s="34">
        <f t="shared" si="98"/>
        <v>0</v>
      </c>
      <c r="AM77" s="34">
        <f t="shared" si="98"/>
        <v>650</v>
      </c>
      <c r="AN77" s="34">
        <f t="shared" si="98"/>
        <v>369650</v>
      </c>
      <c r="AO77" s="34">
        <f t="shared" si="98"/>
        <v>370300</v>
      </c>
      <c r="AP77" s="34">
        <f t="shared" si="98"/>
        <v>104622</v>
      </c>
      <c r="AQ77" s="34">
        <f t="shared" si="98"/>
        <v>-43255</v>
      </c>
      <c r="AR77" s="34">
        <f t="shared" si="98"/>
        <v>61367</v>
      </c>
      <c r="AS77" s="34">
        <f t="shared" si="98"/>
        <v>20743</v>
      </c>
      <c r="AT77" s="34">
        <f t="shared" si="98"/>
        <v>-3090</v>
      </c>
      <c r="AU77" s="34">
        <f t="shared" si="98"/>
        <v>0</v>
      </c>
      <c r="AV77" s="34">
        <f t="shared" si="98"/>
        <v>0</v>
      </c>
      <c r="AW77" s="34">
        <f t="shared" si="98"/>
        <v>0</v>
      </c>
      <c r="AX77" s="34">
        <f t="shared" si="98"/>
        <v>0</v>
      </c>
      <c r="AY77" s="34">
        <f t="shared" si="98"/>
        <v>79020</v>
      </c>
      <c r="AZ77" s="35">
        <f t="shared" si="98"/>
        <v>2.3000000000000007E-2</v>
      </c>
      <c r="BA77" s="35">
        <f t="shared" si="98"/>
        <v>-1.0499999999999998</v>
      </c>
      <c r="BB77" s="35">
        <f t="shared" si="98"/>
        <v>0.5</v>
      </c>
      <c r="BC77" s="35">
        <f t="shared" si="98"/>
        <v>-9.9999999999999964E-2</v>
      </c>
      <c r="BD77" s="35">
        <f t="shared" si="98"/>
        <v>-0.16</v>
      </c>
      <c r="BE77" s="35">
        <f t="shared" si="98"/>
        <v>0</v>
      </c>
      <c r="BF77" s="35">
        <f t="shared" si="98"/>
        <v>0</v>
      </c>
      <c r="BG77" s="35">
        <f t="shared" si="98"/>
        <v>0</v>
      </c>
      <c r="BH77" s="35">
        <f t="shared" si="98"/>
        <v>0</v>
      </c>
      <c r="BI77" s="35">
        <f t="shared" si="98"/>
        <v>0.42300000000000004</v>
      </c>
      <c r="BJ77" s="35">
        <f t="shared" si="98"/>
        <v>-1.21</v>
      </c>
      <c r="BK77" s="148">
        <f t="shared" si="98"/>
        <v>-0.78699999999999981</v>
      </c>
      <c r="BL77" s="139">
        <f t="shared" si="98"/>
        <v>163087043</v>
      </c>
      <c r="BM77" s="34">
        <f t="shared" si="98"/>
        <v>118635198</v>
      </c>
      <c r="BN77" s="34">
        <f t="shared" si="98"/>
        <v>99170395</v>
      </c>
      <c r="BO77" s="34">
        <f t="shared" si="98"/>
        <v>19464803</v>
      </c>
      <c r="BP77" s="34">
        <f t="shared" si="98"/>
        <v>1084420</v>
      </c>
      <c r="BQ77" s="34">
        <f t="shared" si="98"/>
        <v>406170</v>
      </c>
      <c r="BR77" s="34">
        <f t="shared" si="98"/>
        <v>678250</v>
      </c>
      <c r="BS77" s="34">
        <f t="shared" si="98"/>
        <v>40465228</v>
      </c>
      <c r="BT77" s="34">
        <f t="shared" si="98"/>
        <v>1186356</v>
      </c>
      <c r="BU77" s="34">
        <f t="shared" si="98"/>
        <v>1715841</v>
      </c>
      <c r="BV77" s="35">
        <f t="shared" si="98"/>
        <v>222.48770000000005</v>
      </c>
      <c r="BW77" s="35">
        <f t="shared" si="98"/>
        <v>163.4128</v>
      </c>
      <c r="BX77" s="148">
        <f t="shared" ref="BX77:CJ77" si="99">SUM(BX78:BX87)</f>
        <v>59.0749</v>
      </c>
      <c r="BY77" s="671">
        <f t="shared" si="99"/>
        <v>380136</v>
      </c>
      <c r="BZ77" s="667">
        <f t="shared" si="99"/>
        <v>282000</v>
      </c>
      <c r="CA77" s="667">
        <f t="shared" si="99"/>
        <v>0</v>
      </c>
      <c r="CB77" s="667">
        <f t="shared" si="99"/>
        <v>95316</v>
      </c>
      <c r="CC77" s="667">
        <f t="shared" si="99"/>
        <v>2820</v>
      </c>
      <c r="CD77" s="672">
        <f t="shared" si="99"/>
        <v>0.5</v>
      </c>
      <c r="CE77" s="893">
        <f t="shared" si="99"/>
        <v>4862427</v>
      </c>
      <c r="CF77" s="894">
        <f t="shared" si="99"/>
        <v>3318478</v>
      </c>
      <c r="CG77" s="894">
        <f t="shared" si="99"/>
        <v>1121643</v>
      </c>
      <c r="CH77" s="894">
        <f t="shared" si="99"/>
        <v>33187</v>
      </c>
      <c r="CI77" s="894">
        <f t="shared" si="99"/>
        <v>389119</v>
      </c>
      <c r="CJ77" s="885">
        <f t="shared" si="99"/>
        <v>10.0548</v>
      </c>
    </row>
    <row r="78" spans="1:88">
      <c r="D78" s="9"/>
      <c r="E78" s="5"/>
      <c r="F78" s="9"/>
      <c r="G78" s="20"/>
      <c r="H78" s="473">
        <v>3111</v>
      </c>
      <c r="I78" s="488">
        <f t="shared" ref="I78:BY78" si="100">SUMIF($F$12:$F$463,"=3111",I$12:I$463)</f>
        <v>32418505</v>
      </c>
      <c r="J78" s="489">
        <f t="shared" si="100"/>
        <v>23831061</v>
      </c>
      <c r="K78" s="489">
        <f t="shared" si="100"/>
        <v>21178233</v>
      </c>
      <c r="L78" s="489">
        <f t="shared" si="100"/>
        <v>2652828</v>
      </c>
      <c r="M78" s="489">
        <f t="shared" si="100"/>
        <v>102000</v>
      </c>
      <c r="N78" s="489">
        <f t="shared" si="100"/>
        <v>80000</v>
      </c>
      <c r="O78" s="489">
        <f t="shared" si="100"/>
        <v>22000</v>
      </c>
      <c r="P78" s="489">
        <f t="shared" si="100"/>
        <v>8089372</v>
      </c>
      <c r="Q78" s="489">
        <f t="shared" si="100"/>
        <v>238312</v>
      </c>
      <c r="R78" s="489">
        <f t="shared" si="100"/>
        <v>157760</v>
      </c>
      <c r="S78" s="492">
        <f t="shared" si="100"/>
        <v>47.941499999999998</v>
      </c>
      <c r="T78" s="492">
        <f t="shared" si="100"/>
        <v>38.821899999999999</v>
      </c>
      <c r="U78" s="495">
        <f t="shared" si="100"/>
        <v>9.1196000000000002</v>
      </c>
      <c r="V78" s="490">
        <f t="shared" si="100"/>
        <v>-5000</v>
      </c>
      <c r="W78" s="489">
        <f t="shared" si="100"/>
        <v>-8000</v>
      </c>
      <c r="X78" s="489">
        <f t="shared" si="100"/>
        <v>0</v>
      </c>
      <c r="Y78" s="489">
        <f t="shared" si="100"/>
        <v>0</v>
      </c>
      <c r="Z78" s="489">
        <f t="shared" si="100"/>
        <v>0</v>
      </c>
      <c r="AA78" s="489">
        <f t="shared" si="100"/>
        <v>0</v>
      </c>
      <c r="AB78" s="489">
        <f t="shared" si="100"/>
        <v>0</v>
      </c>
      <c r="AC78" s="489">
        <f t="shared" si="100"/>
        <v>0</v>
      </c>
      <c r="AD78" s="489">
        <f t="shared" si="100"/>
        <v>0</v>
      </c>
      <c r="AE78" s="489">
        <f t="shared" si="100"/>
        <v>-5000</v>
      </c>
      <c r="AF78" s="489">
        <f t="shared" si="100"/>
        <v>-8000</v>
      </c>
      <c r="AG78" s="489">
        <f t="shared" si="100"/>
        <v>-13000</v>
      </c>
      <c r="AH78" s="489">
        <f t="shared" si="100"/>
        <v>5000</v>
      </c>
      <c r="AI78" s="489">
        <f t="shared" si="100"/>
        <v>8000</v>
      </c>
      <c r="AJ78" s="489">
        <f t="shared" si="100"/>
        <v>0</v>
      </c>
      <c r="AK78" s="489">
        <f t="shared" si="100"/>
        <v>0</v>
      </c>
      <c r="AL78" s="489">
        <f t="shared" si="100"/>
        <v>0</v>
      </c>
      <c r="AM78" s="489">
        <f t="shared" si="100"/>
        <v>5000</v>
      </c>
      <c r="AN78" s="489">
        <f t="shared" si="100"/>
        <v>8000</v>
      </c>
      <c r="AO78" s="489">
        <f t="shared" si="100"/>
        <v>13000</v>
      </c>
      <c r="AP78" s="489">
        <f t="shared" si="100"/>
        <v>0</v>
      </c>
      <c r="AQ78" s="489">
        <f t="shared" si="100"/>
        <v>0</v>
      </c>
      <c r="AR78" s="489">
        <f t="shared" si="100"/>
        <v>0</v>
      </c>
      <c r="AS78" s="489">
        <f t="shared" si="100"/>
        <v>0</v>
      </c>
      <c r="AT78" s="489">
        <f t="shared" si="100"/>
        <v>-130</v>
      </c>
      <c r="AU78" s="489">
        <f t="shared" si="100"/>
        <v>0</v>
      </c>
      <c r="AV78" s="489">
        <f t="shared" si="100"/>
        <v>0</v>
      </c>
      <c r="AW78" s="489">
        <f t="shared" si="100"/>
        <v>0</v>
      </c>
      <c r="AX78" s="489">
        <f t="shared" si="100"/>
        <v>0</v>
      </c>
      <c r="AY78" s="489">
        <f t="shared" si="100"/>
        <v>-130</v>
      </c>
      <c r="AZ78" s="492">
        <f t="shared" si="100"/>
        <v>2.3E-2</v>
      </c>
      <c r="BA78" s="492">
        <f t="shared" si="100"/>
        <v>0.02</v>
      </c>
      <c r="BB78" s="492">
        <f t="shared" si="100"/>
        <v>0</v>
      </c>
      <c r="BC78" s="492">
        <f t="shared" si="100"/>
        <v>0</v>
      </c>
      <c r="BD78" s="492">
        <f t="shared" si="100"/>
        <v>0</v>
      </c>
      <c r="BE78" s="492">
        <f t="shared" si="100"/>
        <v>0</v>
      </c>
      <c r="BF78" s="492">
        <f t="shared" si="100"/>
        <v>0</v>
      </c>
      <c r="BG78" s="492">
        <f t="shared" si="100"/>
        <v>0</v>
      </c>
      <c r="BH78" s="492">
        <f t="shared" si="100"/>
        <v>0</v>
      </c>
      <c r="BI78" s="492">
        <f t="shared" si="100"/>
        <v>2.3E-2</v>
      </c>
      <c r="BJ78" s="492">
        <f t="shared" si="100"/>
        <v>0.02</v>
      </c>
      <c r="BK78" s="493">
        <f t="shared" si="100"/>
        <v>4.2999999999999997E-2</v>
      </c>
      <c r="BL78" s="488">
        <f t="shared" si="100"/>
        <v>32418375</v>
      </c>
      <c r="BM78" s="489">
        <f t="shared" si="100"/>
        <v>23818061</v>
      </c>
      <c r="BN78" s="489">
        <f t="shared" si="100"/>
        <v>21173233</v>
      </c>
      <c r="BO78" s="489">
        <f t="shared" si="100"/>
        <v>2644828</v>
      </c>
      <c r="BP78" s="489">
        <f t="shared" si="100"/>
        <v>115000</v>
      </c>
      <c r="BQ78" s="489">
        <f t="shared" si="100"/>
        <v>85000</v>
      </c>
      <c r="BR78" s="489">
        <f t="shared" si="100"/>
        <v>30000</v>
      </c>
      <c r="BS78" s="489">
        <f t="shared" si="100"/>
        <v>8089372</v>
      </c>
      <c r="BT78" s="489">
        <f t="shared" si="100"/>
        <v>238182</v>
      </c>
      <c r="BU78" s="489">
        <f t="shared" si="100"/>
        <v>157760</v>
      </c>
      <c r="BV78" s="492">
        <f t="shared" si="100"/>
        <v>47.984500000000004</v>
      </c>
      <c r="BW78" s="492">
        <f t="shared" si="100"/>
        <v>38.844900000000003</v>
      </c>
      <c r="BX78" s="493">
        <f t="shared" si="100"/>
        <v>9.1396000000000015</v>
      </c>
      <c r="BY78" s="488">
        <f t="shared" si="100"/>
        <v>0</v>
      </c>
      <c r="BZ78" s="489">
        <f t="shared" ref="BZ78:CJ78" si="101">SUMIF($F$12:$F$463,"=3111",BZ$12:BZ$463)</f>
        <v>0</v>
      </c>
      <c r="CA78" s="489">
        <f t="shared" si="101"/>
        <v>0</v>
      </c>
      <c r="CB78" s="489">
        <f t="shared" si="101"/>
        <v>0</v>
      </c>
      <c r="CC78" s="489">
        <f t="shared" si="101"/>
        <v>0</v>
      </c>
      <c r="CD78" s="495">
        <f t="shared" si="101"/>
        <v>0</v>
      </c>
      <c r="CE78" s="488">
        <f t="shared" si="101"/>
        <v>1209423</v>
      </c>
      <c r="CF78" s="489">
        <f t="shared" si="101"/>
        <v>858269</v>
      </c>
      <c r="CG78" s="489">
        <f t="shared" si="101"/>
        <v>290093</v>
      </c>
      <c r="CH78" s="489">
        <f t="shared" si="101"/>
        <v>8583</v>
      </c>
      <c r="CI78" s="489">
        <f t="shared" si="101"/>
        <v>52478</v>
      </c>
      <c r="CJ78" s="495">
        <f t="shared" si="101"/>
        <v>2.9358</v>
      </c>
    </row>
    <row r="79" spans="1:88">
      <c r="D79" s="9"/>
      <c r="E79" s="5"/>
      <c r="F79" s="9"/>
      <c r="G79" s="20"/>
      <c r="H79" s="19">
        <v>3113</v>
      </c>
      <c r="I79" s="167">
        <f t="shared" ref="I79:BY79" si="102">SUMIF($F$12:$F$463,"=3113",I$12:I$463)</f>
        <v>87101854</v>
      </c>
      <c r="J79" s="16">
        <f t="shared" si="102"/>
        <v>63402204</v>
      </c>
      <c r="K79" s="16">
        <f t="shared" si="102"/>
        <v>57190772</v>
      </c>
      <c r="L79" s="16">
        <f t="shared" si="102"/>
        <v>6211432</v>
      </c>
      <c r="M79" s="16">
        <f t="shared" si="102"/>
        <v>235000</v>
      </c>
      <c r="N79" s="16">
        <f t="shared" si="102"/>
        <v>95000</v>
      </c>
      <c r="O79" s="16">
        <f t="shared" si="102"/>
        <v>140000</v>
      </c>
      <c r="P79" s="16">
        <f t="shared" si="102"/>
        <v>21509375</v>
      </c>
      <c r="Q79" s="16">
        <f t="shared" si="102"/>
        <v>634025</v>
      </c>
      <c r="R79" s="16">
        <f t="shared" si="102"/>
        <v>1321250</v>
      </c>
      <c r="S79" s="13">
        <f t="shared" si="102"/>
        <v>105.79989999999999</v>
      </c>
      <c r="T79" s="13">
        <f t="shared" si="102"/>
        <v>87.823900000000009</v>
      </c>
      <c r="U79" s="17">
        <f t="shared" si="102"/>
        <v>17.975999999999999</v>
      </c>
      <c r="V79" s="168">
        <f t="shared" si="102"/>
        <v>19500</v>
      </c>
      <c r="W79" s="16">
        <f t="shared" si="102"/>
        <v>-302000</v>
      </c>
      <c r="X79" s="16">
        <f t="shared" si="102"/>
        <v>123600</v>
      </c>
      <c r="Y79" s="16">
        <f t="shared" si="102"/>
        <v>0</v>
      </c>
      <c r="Z79" s="16">
        <f t="shared" si="102"/>
        <v>-251715</v>
      </c>
      <c r="AA79" s="16">
        <f t="shared" si="102"/>
        <v>0</v>
      </c>
      <c r="AB79" s="16">
        <f t="shared" si="102"/>
        <v>0</v>
      </c>
      <c r="AC79" s="16">
        <f t="shared" si="102"/>
        <v>0</v>
      </c>
      <c r="AD79" s="16">
        <f t="shared" si="102"/>
        <v>0</v>
      </c>
      <c r="AE79" s="16">
        <f t="shared" si="102"/>
        <v>-108615</v>
      </c>
      <c r="AF79" s="16">
        <f t="shared" si="102"/>
        <v>-302000</v>
      </c>
      <c r="AG79" s="16">
        <f t="shared" si="102"/>
        <v>-410615</v>
      </c>
      <c r="AH79" s="16">
        <f t="shared" si="102"/>
        <v>-19500</v>
      </c>
      <c r="AI79" s="16">
        <f t="shared" si="102"/>
        <v>302000</v>
      </c>
      <c r="AJ79" s="16">
        <f t="shared" si="102"/>
        <v>0</v>
      </c>
      <c r="AK79" s="16">
        <f t="shared" si="102"/>
        <v>0</v>
      </c>
      <c r="AL79" s="16">
        <f t="shared" si="102"/>
        <v>0</v>
      </c>
      <c r="AM79" s="16">
        <f t="shared" si="102"/>
        <v>-19500</v>
      </c>
      <c r="AN79" s="16">
        <f t="shared" si="102"/>
        <v>302000</v>
      </c>
      <c r="AO79" s="16">
        <f t="shared" si="102"/>
        <v>282500</v>
      </c>
      <c r="AP79" s="16">
        <f t="shared" si="102"/>
        <v>-128115</v>
      </c>
      <c r="AQ79" s="16">
        <f t="shared" si="102"/>
        <v>0</v>
      </c>
      <c r="AR79" s="16">
        <f t="shared" si="102"/>
        <v>-128115</v>
      </c>
      <c r="AS79" s="16">
        <f t="shared" si="102"/>
        <v>-43302</v>
      </c>
      <c r="AT79" s="16">
        <f t="shared" si="102"/>
        <v>-4106</v>
      </c>
      <c r="AU79" s="16">
        <f t="shared" si="102"/>
        <v>0</v>
      </c>
      <c r="AV79" s="16">
        <f t="shared" si="102"/>
        <v>0</v>
      </c>
      <c r="AW79" s="16">
        <f t="shared" si="102"/>
        <v>0</v>
      </c>
      <c r="AX79" s="16">
        <f t="shared" si="102"/>
        <v>0</v>
      </c>
      <c r="AY79" s="16">
        <f t="shared" si="102"/>
        <v>-175523</v>
      </c>
      <c r="AZ79" s="13">
        <f t="shared" si="102"/>
        <v>3.0000000000000002E-2</v>
      </c>
      <c r="BA79" s="13">
        <f t="shared" si="102"/>
        <v>-0.94</v>
      </c>
      <c r="BB79" s="13">
        <f t="shared" si="102"/>
        <v>0.34</v>
      </c>
      <c r="BC79" s="13">
        <f t="shared" si="102"/>
        <v>-0.45999999999999996</v>
      </c>
      <c r="BD79" s="13">
        <f t="shared" si="102"/>
        <v>0</v>
      </c>
      <c r="BE79" s="13">
        <f t="shared" si="102"/>
        <v>0</v>
      </c>
      <c r="BF79" s="13">
        <f t="shared" si="102"/>
        <v>0</v>
      </c>
      <c r="BG79" s="13">
        <f t="shared" si="102"/>
        <v>0</v>
      </c>
      <c r="BH79" s="13">
        <f t="shared" si="102"/>
        <v>0</v>
      </c>
      <c r="BI79" s="13">
        <f t="shared" si="102"/>
        <v>-8.9999999999999941E-2</v>
      </c>
      <c r="BJ79" s="13">
        <f t="shared" si="102"/>
        <v>-0.94</v>
      </c>
      <c r="BK79" s="169">
        <f t="shared" si="102"/>
        <v>-1.0299999999999998</v>
      </c>
      <c r="BL79" s="167">
        <f t="shared" si="102"/>
        <v>86926331</v>
      </c>
      <c r="BM79" s="16">
        <f t="shared" si="102"/>
        <v>62991589</v>
      </c>
      <c r="BN79" s="16">
        <f t="shared" si="102"/>
        <v>57082157</v>
      </c>
      <c r="BO79" s="16">
        <f t="shared" si="102"/>
        <v>5909432</v>
      </c>
      <c r="BP79" s="16">
        <f t="shared" si="102"/>
        <v>517500</v>
      </c>
      <c r="BQ79" s="16">
        <f t="shared" si="102"/>
        <v>75500</v>
      </c>
      <c r="BR79" s="16">
        <f t="shared" si="102"/>
        <v>442000</v>
      </c>
      <c r="BS79" s="16">
        <f t="shared" si="102"/>
        <v>21466073</v>
      </c>
      <c r="BT79" s="16">
        <f t="shared" si="102"/>
        <v>629919</v>
      </c>
      <c r="BU79" s="16">
        <f t="shared" si="102"/>
        <v>1321250</v>
      </c>
      <c r="BV79" s="13">
        <f t="shared" si="102"/>
        <v>104.76990000000001</v>
      </c>
      <c r="BW79" s="13">
        <f t="shared" si="102"/>
        <v>87.733900000000006</v>
      </c>
      <c r="BX79" s="169">
        <f t="shared" si="102"/>
        <v>17.035999999999998</v>
      </c>
      <c r="BY79" s="167">
        <f t="shared" si="102"/>
        <v>380136</v>
      </c>
      <c r="BZ79" s="16">
        <f t="shared" ref="BZ79:CJ79" si="103">SUMIF($F$12:$F$463,"=3113",BZ$12:BZ$463)</f>
        <v>282000</v>
      </c>
      <c r="CA79" s="16">
        <f t="shared" si="103"/>
        <v>0</v>
      </c>
      <c r="CB79" s="16">
        <f t="shared" si="103"/>
        <v>95316</v>
      </c>
      <c r="CC79" s="16">
        <f t="shared" si="103"/>
        <v>2820</v>
      </c>
      <c r="CD79" s="17">
        <f t="shared" si="103"/>
        <v>0.5</v>
      </c>
      <c r="CE79" s="167">
        <f t="shared" si="103"/>
        <v>3055173</v>
      </c>
      <c r="CF79" s="16">
        <f t="shared" si="103"/>
        <v>2038592</v>
      </c>
      <c r="CG79" s="16">
        <f t="shared" si="103"/>
        <v>689043</v>
      </c>
      <c r="CH79" s="16">
        <f t="shared" si="103"/>
        <v>20387</v>
      </c>
      <c r="CI79" s="16">
        <f t="shared" si="103"/>
        <v>307151</v>
      </c>
      <c r="CJ79" s="17">
        <f t="shared" si="103"/>
        <v>5.9306000000000001</v>
      </c>
    </row>
    <row r="80" spans="1:88">
      <c r="D80" s="9"/>
      <c r="E80" s="5"/>
      <c r="F80" s="9"/>
      <c r="G80" s="20"/>
      <c r="H80" s="19">
        <v>3114</v>
      </c>
      <c r="I80" s="167">
        <f t="shared" ref="I80:BY80" si="104">SUMIF($F$12:$F$463,"=3114",I$12:I$463)</f>
        <v>0</v>
      </c>
      <c r="J80" s="16">
        <f t="shared" si="104"/>
        <v>0</v>
      </c>
      <c r="K80" s="16">
        <f t="shared" si="104"/>
        <v>0</v>
      </c>
      <c r="L80" s="16">
        <f t="shared" si="104"/>
        <v>0</v>
      </c>
      <c r="M80" s="16">
        <f t="shared" si="104"/>
        <v>0</v>
      </c>
      <c r="N80" s="16">
        <f t="shared" si="104"/>
        <v>0</v>
      </c>
      <c r="O80" s="16">
        <f t="shared" si="104"/>
        <v>0</v>
      </c>
      <c r="P80" s="16">
        <f t="shared" si="104"/>
        <v>0</v>
      </c>
      <c r="Q80" s="16">
        <f t="shared" si="104"/>
        <v>0</v>
      </c>
      <c r="R80" s="16">
        <f t="shared" si="104"/>
        <v>0</v>
      </c>
      <c r="S80" s="13">
        <f t="shared" si="104"/>
        <v>0</v>
      </c>
      <c r="T80" s="13">
        <f t="shared" si="104"/>
        <v>0</v>
      </c>
      <c r="U80" s="17">
        <f t="shared" si="104"/>
        <v>0</v>
      </c>
      <c r="V80" s="168">
        <f t="shared" si="104"/>
        <v>0</v>
      </c>
      <c r="W80" s="16">
        <f t="shared" si="104"/>
        <v>0</v>
      </c>
      <c r="X80" s="16">
        <f t="shared" si="104"/>
        <v>0</v>
      </c>
      <c r="Y80" s="16">
        <f t="shared" si="104"/>
        <v>0</v>
      </c>
      <c r="Z80" s="16">
        <f t="shared" si="104"/>
        <v>0</v>
      </c>
      <c r="AA80" s="16">
        <f t="shared" si="104"/>
        <v>0</v>
      </c>
      <c r="AB80" s="16">
        <f t="shared" si="104"/>
        <v>0</v>
      </c>
      <c r="AC80" s="16">
        <f t="shared" si="104"/>
        <v>0</v>
      </c>
      <c r="AD80" s="16">
        <f t="shared" si="104"/>
        <v>0</v>
      </c>
      <c r="AE80" s="16">
        <f t="shared" si="104"/>
        <v>0</v>
      </c>
      <c r="AF80" s="16">
        <f t="shared" si="104"/>
        <v>0</v>
      </c>
      <c r="AG80" s="16">
        <f t="shared" si="104"/>
        <v>0</v>
      </c>
      <c r="AH80" s="16">
        <f t="shared" si="104"/>
        <v>0</v>
      </c>
      <c r="AI80" s="16">
        <f t="shared" si="104"/>
        <v>0</v>
      </c>
      <c r="AJ80" s="16">
        <f t="shared" si="104"/>
        <v>0</v>
      </c>
      <c r="AK80" s="16">
        <f t="shared" si="104"/>
        <v>0</v>
      </c>
      <c r="AL80" s="16">
        <f t="shared" si="104"/>
        <v>0</v>
      </c>
      <c r="AM80" s="16">
        <f t="shared" si="104"/>
        <v>0</v>
      </c>
      <c r="AN80" s="16">
        <f t="shared" si="104"/>
        <v>0</v>
      </c>
      <c r="AO80" s="16">
        <f t="shared" si="104"/>
        <v>0</v>
      </c>
      <c r="AP80" s="16">
        <f t="shared" si="104"/>
        <v>0</v>
      </c>
      <c r="AQ80" s="16">
        <f t="shared" si="104"/>
        <v>0</v>
      </c>
      <c r="AR80" s="16">
        <f t="shared" si="104"/>
        <v>0</v>
      </c>
      <c r="AS80" s="16">
        <f t="shared" si="104"/>
        <v>0</v>
      </c>
      <c r="AT80" s="16">
        <f t="shared" si="104"/>
        <v>0</v>
      </c>
      <c r="AU80" s="16">
        <f t="shared" si="104"/>
        <v>0</v>
      </c>
      <c r="AV80" s="16">
        <f t="shared" si="104"/>
        <v>0</v>
      </c>
      <c r="AW80" s="16">
        <f t="shared" si="104"/>
        <v>0</v>
      </c>
      <c r="AX80" s="16">
        <f t="shared" si="104"/>
        <v>0</v>
      </c>
      <c r="AY80" s="16">
        <f t="shared" si="104"/>
        <v>0</v>
      </c>
      <c r="AZ80" s="13">
        <f t="shared" si="104"/>
        <v>0</v>
      </c>
      <c r="BA80" s="13">
        <f t="shared" si="104"/>
        <v>0</v>
      </c>
      <c r="BB80" s="13">
        <f t="shared" si="104"/>
        <v>0</v>
      </c>
      <c r="BC80" s="13">
        <f t="shared" si="104"/>
        <v>0</v>
      </c>
      <c r="BD80" s="13">
        <f t="shared" si="104"/>
        <v>0</v>
      </c>
      <c r="BE80" s="13">
        <f t="shared" si="104"/>
        <v>0</v>
      </c>
      <c r="BF80" s="13">
        <f t="shared" si="104"/>
        <v>0</v>
      </c>
      <c r="BG80" s="13">
        <f t="shared" si="104"/>
        <v>0</v>
      </c>
      <c r="BH80" s="13">
        <f t="shared" si="104"/>
        <v>0</v>
      </c>
      <c r="BI80" s="13">
        <f t="shared" si="104"/>
        <v>0</v>
      </c>
      <c r="BJ80" s="13">
        <f t="shared" si="104"/>
        <v>0</v>
      </c>
      <c r="BK80" s="169">
        <f t="shared" si="104"/>
        <v>0</v>
      </c>
      <c r="BL80" s="167">
        <f t="shared" si="104"/>
        <v>0</v>
      </c>
      <c r="BM80" s="16">
        <f t="shared" si="104"/>
        <v>0</v>
      </c>
      <c r="BN80" s="16">
        <f t="shared" si="104"/>
        <v>0</v>
      </c>
      <c r="BO80" s="16">
        <f t="shared" si="104"/>
        <v>0</v>
      </c>
      <c r="BP80" s="16">
        <f t="shared" si="104"/>
        <v>0</v>
      </c>
      <c r="BQ80" s="16">
        <f t="shared" si="104"/>
        <v>0</v>
      </c>
      <c r="BR80" s="16">
        <f t="shared" si="104"/>
        <v>0</v>
      </c>
      <c r="BS80" s="16">
        <f t="shared" si="104"/>
        <v>0</v>
      </c>
      <c r="BT80" s="16">
        <f t="shared" si="104"/>
        <v>0</v>
      </c>
      <c r="BU80" s="16">
        <f t="shared" si="104"/>
        <v>0</v>
      </c>
      <c r="BV80" s="13">
        <f t="shared" si="104"/>
        <v>0</v>
      </c>
      <c r="BW80" s="13">
        <f t="shared" si="104"/>
        <v>0</v>
      </c>
      <c r="BX80" s="169">
        <f t="shared" si="104"/>
        <v>0</v>
      </c>
      <c r="BY80" s="167">
        <f t="shared" si="104"/>
        <v>0</v>
      </c>
      <c r="BZ80" s="16">
        <f t="shared" ref="BZ80:CJ80" si="105">SUMIF($F$12:$F$463,"=3114",BZ$12:BZ$463)</f>
        <v>0</v>
      </c>
      <c r="CA80" s="16">
        <f t="shared" si="105"/>
        <v>0</v>
      </c>
      <c r="CB80" s="16">
        <f t="shared" si="105"/>
        <v>0</v>
      </c>
      <c r="CC80" s="16">
        <f t="shared" si="105"/>
        <v>0</v>
      </c>
      <c r="CD80" s="17">
        <f t="shared" si="105"/>
        <v>0</v>
      </c>
      <c r="CE80" s="167">
        <f t="shared" si="105"/>
        <v>0</v>
      </c>
      <c r="CF80" s="16">
        <f t="shared" si="105"/>
        <v>0</v>
      </c>
      <c r="CG80" s="16">
        <f t="shared" si="105"/>
        <v>0</v>
      </c>
      <c r="CH80" s="16">
        <f t="shared" si="105"/>
        <v>0</v>
      </c>
      <c r="CI80" s="16">
        <f t="shared" si="105"/>
        <v>0</v>
      </c>
      <c r="CJ80" s="17">
        <f t="shared" si="105"/>
        <v>0</v>
      </c>
    </row>
    <row r="81" spans="4:88">
      <c r="D81" s="9"/>
      <c r="E81" s="5"/>
      <c r="F81" s="9"/>
      <c r="G81" s="20"/>
      <c r="H81" s="19">
        <v>3117</v>
      </c>
      <c r="I81" s="167">
        <f t="shared" ref="I81:BY81" si="106">SUMIF($F$12:$F$463,"=3117",I$12:I$463)</f>
        <v>8171044</v>
      </c>
      <c r="J81" s="16">
        <f t="shared" si="106"/>
        <v>5939696</v>
      </c>
      <c r="K81" s="16">
        <f t="shared" si="106"/>
        <v>5156020</v>
      </c>
      <c r="L81" s="16">
        <f t="shared" si="106"/>
        <v>783676</v>
      </c>
      <c r="M81" s="16">
        <f t="shared" si="106"/>
        <v>24520</v>
      </c>
      <c r="N81" s="16">
        <f t="shared" si="106"/>
        <v>9520</v>
      </c>
      <c r="O81" s="16">
        <f t="shared" si="106"/>
        <v>15000</v>
      </c>
      <c r="P81" s="16">
        <f t="shared" si="106"/>
        <v>2015905</v>
      </c>
      <c r="Q81" s="16">
        <f t="shared" si="106"/>
        <v>59398</v>
      </c>
      <c r="R81" s="16">
        <f t="shared" si="106"/>
        <v>131525</v>
      </c>
      <c r="S81" s="13">
        <f t="shared" si="106"/>
        <v>10.818100000000001</v>
      </c>
      <c r="T81" s="13">
        <f t="shared" si="106"/>
        <v>8.56</v>
      </c>
      <c r="U81" s="17">
        <f t="shared" si="106"/>
        <v>2.2580999999999998</v>
      </c>
      <c r="V81" s="168">
        <f t="shared" si="106"/>
        <v>0</v>
      </c>
      <c r="W81" s="16">
        <f t="shared" si="106"/>
        <v>-17250</v>
      </c>
      <c r="X81" s="16">
        <f t="shared" si="106"/>
        <v>56649</v>
      </c>
      <c r="Y81" s="16">
        <f t="shared" si="106"/>
        <v>0</v>
      </c>
      <c r="Z81" s="16">
        <f t="shared" si="106"/>
        <v>122614</v>
      </c>
      <c r="AA81" s="16">
        <f t="shared" si="106"/>
        <v>0</v>
      </c>
      <c r="AB81" s="16">
        <f t="shared" si="106"/>
        <v>0</v>
      </c>
      <c r="AC81" s="16">
        <f t="shared" si="106"/>
        <v>0</v>
      </c>
      <c r="AD81" s="16">
        <f t="shared" si="106"/>
        <v>0</v>
      </c>
      <c r="AE81" s="16">
        <f t="shared" si="106"/>
        <v>179263</v>
      </c>
      <c r="AF81" s="16">
        <f t="shared" si="106"/>
        <v>-17250</v>
      </c>
      <c r="AG81" s="16">
        <f t="shared" si="106"/>
        <v>162013</v>
      </c>
      <c r="AH81" s="16">
        <f t="shared" si="106"/>
        <v>0</v>
      </c>
      <c r="AI81" s="16">
        <f t="shared" si="106"/>
        <v>17250</v>
      </c>
      <c r="AJ81" s="16">
        <f t="shared" si="106"/>
        <v>0</v>
      </c>
      <c r="AK81" s="16">
        <f t="shared" si="106"/>
        <v>0</v>
      </c>
      <c r="AL81" s="16">
        <f t="shared" si="106"/>
        <v>0</v>
      </c>
      <c r="AM81" s="16">
        <f t="shared" si="106"/>
        <v>0</v>
      </c>
      <c r="AN81" s="16">
        <f t="shared" si="106"/>
        <v>17250</v>
      </c>
      <c r="AO81" s="16">
        <f t="shared" si="106"/>
        <v>17250</v>
      </c>
      <c r="AP81" s="16">
        <f t="shared" si="106"/>
        <v>179263</v>
      </c>
      <c r="AQ81" s="16">
        <f t="shared" si="106"/>
        <v>0</v>
      </c>
      <c r="AR81" s="16">
        <f t="shared" si="106"/>
        <v>179263</v>
      </c>
      <c r="AS81" s="16">
        <f t="shared" si="106"/>
        <v>60591</v>
      </c>
      <c r="AT81" s="16">
        <f t="shared" si="106"/>
        <v>1620</v>
      </c>
      <c r="AU81" s="16">
        <f t="shared" si="106"/>
        <v>0</v>
      </c>
      <c r="AV81" s="16">
        <f t="shared" si="106"/>
        <v>0</v>
      </c>
      <c r="AW81" s="16">
        <f t="shared" si="106"/>
        <v>0</v>
      </c>
      <c r="AX81" s="16">
        <f t="shared" si="106"/>
        <v>0</v>
      </c>
      <c r="AY81" s="16">
        <f t="shared" si="106"/>
        <v>241474</v>
      </c>
      <c r="AZ81" s="13">
        <f t="shared" si="106"/>
        <v>0</v>
      </c>
      <c r="BA81" s="13">
        <f t="shared" si="106"/>
        <v>0</v>
      </c>
      <c r="BB81" s="13">
        <f t="shared" si="106"/>
        <v>0.16</v>
      </c>
      <c r="BC81" s="13">
        <f t="shared" si="106"/>
        <v>0.25</v>
      </c>
      <c r="BD81" s="13">
        <f t="shared" si="106"/>
        <v>0</v>
      </c>
      <c r="BE81" s="13">
        <f t="shared" si="106"/>
        <v>0</v>
      </c>
      <c r="BF81" s="13">
        <f t="shared" si="106"/>
        <v>0</v>
      </c>
      <c r="BG81" s="13">
        <f t="shared" si="106"/>
        <v>0</v>
      </c>
      <c r="BH81" s="13">
        <f t="shared" si="106"/>
        <v>0</v>
      </c>
      <c r="BI81" s="13">
        <f t="shared" si="106"/>
        <v>0.41000000000000003</v>
      </c>
      <c r="BJ81" s="13">
        <f t="shared" si="106"/>
        <v>0</v>
      </c>
      <c r="BK81" s="169">
        <f t="shared" si="106"/>
        <v>0.41000000000000003</v>
      </c>
      <c r="BL81" s="167">
        <f t="shared" si="106"/>
        <v>8412518</v>
      </c>
      <c r="BM81" s="16">
        <f t="shared" si="106"/>
        <v>6101709</v>
      </c>
      <c r="BN81" s="16">
        <f t="shared" si="106"/>
        <v>5335283</v>
      </c>
      <c r="BO81" s="16">
        <f t="shared" si="106"/>
        <v>766426</v>
      </c>
      <c r="BP81" s="16">
        <f t="shared" si="106"/>
        <v>41770</v>
      </c>
      <c r="BQ81" s="16">
        <f t="shared" si="106"/>
        <v>9520</v>
      </c>
      <c r="BR81" s="16">
        <f t="shared" si="106"/>
        <v>32250</v>
      </c>
      <c r="BS81" s="16">
        <f t="shared" si="106"/>
        <v>2076496</v>
      </c>
      <c r="BT81" s="16">
        <f t="shared" si="106"/>
        <v>61018</v>
      </c>
      <c r="BU81" s="16">
        <f t="shared" si="106"/>
        <v>131525</v>
      </c>
      <c r="BV81" s="13">
        <f t="shared" si="106"/>
        <v>11.228100000000001</v>
      </c>
      <c r="BW81" s="13">
        <f t="shared" si="106"/>
        <v>8.9700000000000024</v>
      </c>
      <c r="BX81" s="169">
        <f t="shared" si="106"/>
        <v>2.2580999999999998</v>
      </c>
      <c r="BY81" s="167">
        <f t="shared" si="106"/>
        <v>0</v>
      </c>
      <c r="BZ81" s="16">
        <f t="shared" ref="BZ81:CJ81" si="107">SUMIF($F$12:$F$463,"=3117",BZ$12:BZ$463)</f>
        <v>0</v>
      </c>
      <c r="CA81" s="16">
        <f t="shared" si="107"/>
        <v>0</v>
      </c>
      <c r="CB81" s="16">
        <f t="shared" si="107"/>
        <v>0</v>
      </c>
      <c r="CC81" s="16">
        <f t="shared" si="107"/>
        <v>0</v>
      </c>
      <c r="CD81" s="17">
        <f t="shared" si="107"/>
        <v>0</v>
      </c>
      <c r="CE81" s="167">
        <f t="shared" si="107"/>
        <v>367989</v>
      </c>
      <c r="CF81" s="16">
        <f t="shared" si="107"/>
        <v>256337</v>
      </c>
      <c r="CG81" s="16">
        <f t="shared" si="107"/>
        <v>86642</v>
      </c>
      <c r="CH81" s="16">
        <f t="shared" si="107"/>
        <v>2564</v>
      </c>
      <c r="CI81" s="16">
        <f t="shared" si="107"/>
        <v>22446</v>
      </c>
      <c r="CJ81" s="17">
        <f t="shared" si="107"/>
        <v>0.72479999999999989</v>
      </c>
    </row>
    <row r="82" spans="4:88">
      <c r="D82" s="9"/>
      <c r="E82" s="5"/>
      <c r="F82" s="9"/>
      <c r="G82" s="20"/>
      <c r="H82" s="19">
        <v>3122</v>
      </c>
      <c r="I82" s="167">
        <f t="shared" ref="I82:BY82" si="108">SUMIF($F$12:$F$463,"=3122",I$12:I$463)</f>
        <v>0</v>
      </c>
      <c r="J82" s="16">
        <f t="shared" si="108"/>
        <v>0</v>
      </c>
      <c r="K82" s="16">
        <f t="shared" si="108"/>
        <v>0</v>
      </c>
      <c r="L82" s="16">
        <f t="shared" si="108"/>
        <v>0</v>
      </c>
      <c r="M82" s="16">
        <f t="shared" si="108"/>
        <v>0</v>
      </c>
      <c r="N82" s="16">
        <f t="shared" si="108"/>
        <v>0</v>
      </c>
      <c r="O82" s="16">
        <f t="shared" si="108"/>
        <v>0</v>
      </c>
      <c r="P82" s="16">
        <f t="shared" si="108"/>
        <v>0</v>
      </c>
      <c r="Q82" s="16">
        <f t="shared" si="108"/>
        <v>0</v>
      </c>
      <c r="R82" s="16">
        <f t="shared" si="108"/>
        <v>0</v>
      </c>
      <c r="S82" s="13">
        <f t="shared" si="108"/>
        <v>0</v>
      </c>
      <c r="T82" s="13">
        <f t="shared" si="108"/>
        <v>0</v>
      </c>
      <c r="U82" s="17">
        <f t="shared" si="108"/>
        <v>0</v>
      </c>
      <c r="V82" s="168">
        <f t="shared" si="108"/>
        <v>0</v>
      </c>
      <c r="W82" s="16">
        <f t="shared" si="108"/>
        <v>0</v>
      </c>
      <c r="X82" s="16">
        <f t="shared" si="108"/>
        <v>0</v>
      </c>
      <c r="Y82" s="16">
        <f t="shared" si="108"/>
        <v>0</v>
      </c>
      <c r="Z82" s="16">
        <f t="shared" si="108"/>
        <v>0</v>
      </c>
      <c r="AA82" s="16">
        <f t="shared" si="108"/>
        <v>0</v>
      </c>
      <c r="AB82" s="16">
        <f t="shared" si="108"/>
        <v>0</v>
      </c>
      <c r="AC82" s="16">
        <f t="shared" si="108"/>
        <v>0</v>
      </c>
      <c r="AD82" s="16">
        <f t="shared" si="108"/>
        <v>0</v>
      </c>
      <c r="AE82" s="16">
        <f t="shared" si="108"/>
        <v>0</v>
      </c>
      <c r="AF82" s="16">
        <f t="shared" si="108"/>
        <v>0</v>
      </c>
      <c r="AG82" s="16">
        <f t="shared" si="108"/>
        <v>0</v>
      </c>
      <c r="AH82" s="16">
        <f t="shared" si="108"/>
        <v>0</v>
      </c>
      <c r="AI82" s="16">
        <f t="shared" si="108"/>
        <v>0</v>
      </c>
      <c r="AJ82" s="16">
        <f t="shared" si="108"/>
        <v>0</v>
      </c>
      <c r="AK82" s="16">
        <f t="shared" si="108"/>
        <v>0</v>
      </c>
      <c r="AL82" s="16">
        <f t="shared" si="108"/>
        <v>0</v>
      </c>
      <c r="AM82" s="16">
        <f t="shared" si="108"/>
        <v>0</v>
      </c>
      <c r="AN82" s="16">
        <f t="shared" si="108"/>
        <v>0</v>
      </c>
      <c r="AO82" s="16">
        <f t="shared" si="108"/>
        <v>0</v>
      </c>
      <c r="AP82" s="16">
        <f t="shared" si="108"/>
        <v>0</v>
      </c>
      <c r="AQ82" s="16">
        <f t="shared" si="108"/>
        <v>0</v>
      </c>
      <c r="AR82" s="16">
        <f t="shared" si="108"/>
        <v>0</v>
      </c>
      <c r="AS82" s="16">
        <f t="shared" si="108"/>
        <v>0</v>
      </c>
      <c r="AT82" s="16">
        <f t="shared" si="108"/>
        <v>0</v>
      </c>
      <c r="AU82" s="16">
        <f t="shared" si="108"/>
        <v>0</v>
      </c>
      <c r="AV82" s="16">
        <f t="shared" si="108"/>
        <v>0</v>
      </c>
      <c r="AW82" s="16">
        <f t="shared" si="108"/>
        <v>0</v>
      </c>
      <c r="AX82" s="16">
        <f t="shared" si="108"/>
        <v>0</v>
      </c>
      <c r="AY82" s="16">
        <f t="shared" si="108"/>
        <v>0</v>
      </c>
      <c r="AZ82" s="13">
        <f t="shared" si="108"/>
        <v>0</v>
      </c>
      <c r="BA82" s="13">
        <f t="shared" si="108"/>
        <v>0</v>
      </c>
      <c r="BB82" s="13">
        <f t="shared" si="108"/>
        <v>0</v>
      </c>
      <c r="BC82" s="13">
        <f t="shared" si="108"/>
        <v>0</v>
      </c>
      <c r="BD82" s="13">
        <f t="shared" si="108"/>
        <v>0</v>
      </c>
      <c r="BE82" s="13">
        <f t="shared" si="108"/>
        <v>0</v>
      </c>
      <c r="BF82" s="13">
        <f t="shared" si="108"/>
        <v>0</v>
      </c>
      <c r="BG82" s="13">
        <f t="shared" si="108"/>
        <v>0</v>
      </c>
      <c r="BH82" s="13">
        <f t="shared" si="108"/>
        <v>0</v>
      </c>
      <c r="BI82" s="13">
        <f t="shared" si="108"/>
        <v>0</v>
      </c>
      <c r="BJ82" s="13">
        <f t="shared" si="108"/>
        <v>0</v>
      </c>
      <c r="BK82" s="169">
        <f t="shared" si="108"/>
        <v>0</v>
      </c>
      <c r="BL82" s="167">
        <f t="shared" si="108"/>
        <v>0</v>
      </c>
      <c r="BM82" s="16">
        <f t="shared" si="108"/>
        <v>0</v>
      </c>
      <c r="BN82" s="16">
        <f t="shared" si="108"/>
        <v>0</v>
      </c>
      <c r="BO82" s="16">
        <f t="shared" si="108"/>
        <v>0</v>
      </c>
      <c r="BP82" s="16">
        <f t="shared" si="108"/>
        <v>0</v>
      </c>
      <c r="BQ82" s="16">
        <f t="shared" si="108"/>
        <v>0</v>
      </c>
      <c r="BR82" s="16">
        <f t="shared" si="108"/>
        <v>0</v>
      </c>
      <c r="BS82" s="16">
        <f t="shared" si="108"/>
        <v>0</v>
      </c>
      <c r="BT82" s="16">
        <f t="shared" si="108"/>
        <v>0</v>
      </c>
      <c r="BU82" s="16">
        <f t="shared" si="108"/>
        <v>0</v>
      </c>
      <c r="BV82" s="13">
        <f t="shared" si="108"/>
        <v>0</v>
      </c>
      <c r="BW82" s="13">
        <f t="shared" si="108"/>
        <v>0</v>
      </c>
      <c r="BX82" s="169">
        <f t="shared" si="108"/>
        <v>0</v>
      </c>
      <c r="BY82" s="167">
        <f t="shared" si="108"/>
        <v>0</v>
      </c>
      <c r="BZ82" s="16">
        <f t="shared" ref="BZ82:CJ82" si="109">SUMIF($F$12:$F$463,"=3122",BZ$12:BZ$463)</f>
        <v>0</v>
      </c>
      <c r="CA82" s="16">
        <f t="shared" si="109"/>
        <v>0</v>
      </c>
      <c r="CB82" s="16">
        <f t="shared" si="109"/>
        <v>0</v>
      </c>
      <c r="CC82" s="16">
        <f t="shared" si="109"/>
        <v>0</v>
      </c>
      <c r="CD82" s="17">
        <f t="shared" si="109"/>
        <v>0</v>
      </c>
      <c r="CE82" s="167">
        <f t="shared" si="109"/>
        <v>0</v>
      </c>
      <c r="CF82" s="16">
        <f t="shared" si="109"/>
        <v>0</v>
      </c>
      <c r="CG82" s="16">
        <f t="shared" si="109"/>
        <v>0</v>
      </c>
      <c r="CH82" s="16">
        <f t="shared" si="109"/>
        <v>0</v>
      </c>
      <c r="CI82" s="16">
        <f t="shared" si="109"/>
        <v>0</v>
      </c>
      <c r="CJ82" s="17">
        <f t="shared" si="109"/>
        <v>0</v>
      </c>
    </row>
    <row r="83" spans="4:88">
      <c r="D83" s="9"/>
      <c r="E83" s="5"/>
      <c r="F83" s="9"/>
      <c r="G83" s="20"/>
      <c r="H83" s="19">
        <v>3124</v>
      </c>
      <c r="I83" s="167">
        <f t="shared" ref="I83:BY83" si="110">SUMIF($F$12:$F$463,"=3124",I$12:I$463)</f>
        <v>0</v>
      </c>
      <c r="J83" s="16">
        <f t="shared" si="110"/>
        <v>0</v>
      </c>
      <c r="K83" s="16">
        <f t="shared" si="110"/>
        <v>0</v>
      </c>
      <c r="L83" s="16">
        <f t="shared" si="110"/>
        <v>0</v>
      </c>
      <c r="M83" s="16">
        <f t="shared" si="110"/>
        <v>0</v>
      </c>
      <c r="N83" s="16">
        <f t="shared" si="110"/>
        <v>0</v>
      </c>
      <c r="O83" s="16">
        <f t="shared" si="110"/>
        <v>0</v>
      </c>
      <c r="P83" s="16">
        <f t="shared" si="110"/>
        <v>0</v>
      </c>
      <c r="Q83" s="16">
        <f t="shared" si="110"/>
        <v>0</v>
      </c>
      <c r="R83" s="16">
        <f t="shared" si="110"/>
        <v>0</v>
      </c>
      <c r="S83" s="13">
        <f t="shared" si="110"/>
        <v>0</v>
      </c>
      <c r="T83" s="13">
        <f t="shared" si="110"/>
        <v>0</v>
      </c>
      <c r="U83" s="17">
        <f t="shared" si="110"/>
        <v>0</v>
      </c>
      <c r="V83" s="168">
        <f t="shared" si="110"/>
        <v>0</v>
      </c>
      <c r="W83" s="16">
        <f t="shared" si="110"/>
        <v>0</v>
      </c>
      <c r="X83" s="16">
        <f t="shared" si="110"/>
        <v>0</v>
      </c>
      <c r="Y83" s="16">
        <f t="shared" si="110"/>
        <v>0</v>
      </c>
      <c r="Z83" s="16">
        <f t="shared" si="110"/>
        <v>0</v>
      </c>
      <c r="AA83" s="16">
        <f t="shared" si="110"/>
        <v>0</v>
      </c>
      <c r="AB83" s="16">
        <f t="shared" si="110"/>
        <v>0</v>
      </c>
      <c r="AC83" s="16">
        <f t="shared" si="110"/>
        <v>0</v>
      </c>
      <c r="AD83" s="16">
        <f t="shared" si="110"/>
        <v>0</v>
      </c>
      <c r="AE83" s="16">
        <f t="shared" si="110"/>
        <v>0</v>
      </c>
      <c r="AF83" s="16">
        <f t="shared" si="110"/>
        <v>0</v>
      </c>
      <c r="AG83" s="16">
        <f t="shared" si="110"/>
        <v>0</v>
      </c>
      <c r="AH83" s="16">
        <f t="shared" si="110"/>
        <v>0</v>
      </c>
      <c r="AI83" s="16">
        <f t="shared" si="110"/>
        <v>0</v>
      </c>
      <c r="AJ83" s="16">
        <f t="shared" si="110"/>
        <v>0</v>
      </c>
      <c r="AK83" s="16">
        <f t="shared" si="110"/>
        <v>0</v>
      </c>
      <c r="AL83" s="16">
        <f t="shared" si="110"/>
        <v>0</v>
      </c>
      <c r="AM83" s="16">
        <f t="shared" si="110"/>
        <v>0</v>
      </c>
      <c r="AN83" s="16">
        <f t="shared" si="110"/>
        <v>0</v>
      </c>
      <c r="AO83" s="16">
        <f t="shared" si="110"/>
        <v>0</v>
      </c>
      <c r="AP83" s="16">
        <f t="shared" si="110"/>
        <v>0</v>
      </c>
      <c r="AQ83" s="16">
        <f t="shared" si="110"/>
        <v>0</v>
      </c>
      <c r="AR83" s="16">
        <f t="shared" si="110"/>
        <v>0</v>
      </c>
      <c r="AS83" s="16">
        <f t="shared" si="110"/>
        <v>0</v>
      </c>
      <c r="AT83" s="16">
        <f t="shared" si="110"/>
        <v>0</v>
      </c>
      <c r="AU83" s="16">
        <f t="shared" si="110"/>
        <v>0</v>
      </c>
      <c r="AV83" s="16">
        <f t="shared" si="110"/>
        <v>0</v>
      </c>
      <c r="AW83" s="16">
        <f t="shared" si="110"/>
        <v>0</v>
      </c>
      <c r="AX83" s="16">
        <f t="shared" si="110"/>
        <v>0</v>
      </c>
      <c r="AY83" s="16">
        <f t="shared" si="110"/>
        <v>0</v>
      </c>
      <c r="AZ83" s="13">
        <f t="shared" si="110"/>
        <v>0</v>
      </c>
      <c r="BA83" s="13">
        <f t="shared" si="110"/>
        <v>0</v>
      </c>
      <c r="BB83" s="13">
        <f t="shared" si="110"/>
        <v>0</v>
      </c>
      <c r="BC83" s="13">
        <f t="shared" si="110"/>
        <v>0</v>
      </c>
      <c r="BD83" s="13">
        <f t="shared" si="110"/>
        <v>0</v>
      </c>
      <c r="BE83" s="13">
        <f t="shared" si="110"/>
        <v>0</v>
      </c>
      <c r="BF83" s="13">
        <f t="shared" si="110"/>
        <v>0</v>
      </c>
      <c r="BG83" s="13">
        <f t="shared" si="110"/>
        <v>0</v>
      </c>
      <c r="BH83" s="13">
        <f t="shared" si="110"/>
        <v>0</v>
      </c>
      <c r="BI83" s="13">
        <f t="shared" si="110"/>
        <v>0</v>
      </c>
      <c r="BJ83" s="13">
        <f t="shared" si="110"/>
        <v>0</v>
      </c>
      <c r="BK83" s="169">
        <f t="shared" si="110"/>
        <v>0</v>
      </c>
      <c r="BL83" s="167">
        <f t="shared" si="110"/>
        <v>0</v>
      </c>
      <c r="BM83" s="16">
        <f t="shared" si="110"/>
        <v>0</v>
      </c>
      <c r="BN83" s="16">
        <f t="shared" si="110"/>
        <v>0</v>
      </c>
      <c r="BO83" s="16">
        <f t="shared" si="110"/>
        <v>0</v>
      </c>
      <c r="BP83" s="16">
        <f t="shared" si="110"/>
        <v>0</v>
      </c>
      <c r="BQ83" s="16">
        <f t="shared" si="110"/>
        <v>0</v>
      </c>
      <c r="BR83" s="16">
        <f t="shared" si="110"/>
        <v>0</v>
      </c>
      <c r="BS83" s="16">
        <f t="shared" si="110"/>
        <v>0</v>
      </c>
      <c r="BT83" s="16">
        <f t="shared" si="110"/>
        <v>0</v>
      </c>
      <c r="BU83" s="16">
        <f t="shared" si="110"/>
        <v>0</v>
      </c>
      <c r="BV83" s="13">
        <f t="shared" si="110"/>
        <v>0</v>
      </c>
      <c r="BW83" s="13">
        <f t="shared" si="110"/>
        <v>0</v>
      </c>
      <c r="BX83" s="169">
        <f t="shared" si="110"/>
        <v>0</v>
      </c>
      <c r="BY83" s="167">
        <f t="shared" si="110"/>
        <v>0</v>
      </c>
      <c r="BZ83" s="16">
        <f t="shared" ref="BZ83:CJ83" si="111">SUMIF($F$12:$F$463,"=3124",BZ$12:BZ$463)</f>
        <v>0</v>
      </c>
      <c r="CA83" s="16">
        <f t="shared" si="111"/>
        <v>0</v>
      </c>
      <c r="CB83" s="16">
        <f t="shared" si="111"/>
        <v>0</v>
      </c>
      <c r="CC83" s="16">
        <f t="shared" si="111"/>
        <v>0</v>
      </c>
      <c r="CD83" s="17">
        <f t="shared" si="111"/>
        <v>0</v>
      </c>
      <c r="CE83" s="167">
        <f t="shared" si="111"/>
        <v>0</v>
      </c>
      <c r="CF83" s="16">
        <f t="shared" si="111"/>
        <v>0</v>
      </c>
      <c r="CG83" s="16">
        <f t="shared" si="111"/>
        <v>0</v>
      </c>
      <c r="CH83" s="16">
        <f t="shared" si="111"/>
        <v>0</v>
      </c>
      <c r="CI83" s="16">
        <f t="shared" si="111"/>
        <v>0</v>
      </c>
      <c r="CJ83" s="17">
        <f t="shared" si="111"/>
        <v>0</v>
      </c>
    </row>
    <row r="84" spans="4:88">
      <c r="D84" s="9"/>
      <c r="E84" s="5"/>
      <c r="F84" s="9"/>
      <c r="G84" s="20"/>
      <c r="H84" s="19">
        <v>3141</v>
      </c>
      <c r="I84" s="167">
        <f t="shared" ref="I84:BY84" si="112">SUMIF($F$12:$F$463,"=3141",I$12:I$463)</f>
        <v>12473403</v>
      </c>
      <c r="J84" s="16">
        <f t="shared" si="112"/>
        <v>9089993</v>
      </c>
      <c r="K84" s="16">
        <f t="shared" si="112"/>
        <v>0</v>
      </c>
      <c r="L84" s="16">
        <f t="shared" si="112"/>
        <v>9089993</v>
      </c>
      <c r="M84" s="16">
        <f t="shared" si="112"/>
        <v>111600</v>
      </c>
      <c r="N84" s="16">
        <f t="shared" si="112"/>
        <v>0</v>
      </c>
      <c r="O84" s="16">
        <f t="shared" si="112"/>
        <v>111600</v>
      </c>
      <c r="P84" s="16">
        <f t="shared" si="112"/>
        <v>3110138</v>
      </c>
      <c r="Q84" s="16">
        <f t="shared" si="112"/>
        <v>90900</v>
      </c>
      <c r="R84" s="16">
        <f t="shared" si="112"/>
        <v>70772</v>
      </c>
      <c r="S84" s="13">
        <f t="shared" si="112"/>
        <v>27.369999999999997</v>
      </c>
      <c r="T84" s="13">
        <f t="shared" si="112"/>
        <v>0</v>
      </c>
      <c r="U84" s="17">
        <f t="shared" si="112"/>
        <v>27.369999999999997</v>
      </c>
      <c r="V84" s="168">
        <f t="shared" si="112"/>
        <v>0</v>
      </c>
      <c r="W84" s="16">
        <f t="shared" si="112"/>
        <v>-42400</v>
      </c>
      <c r="X84" s="16">
        <f t="shared" si="112"/>
        <v>0</v>
      </c>
      <c r="Y84" s="16">
        <f t="shared" si="112"/>
        <v>0</v>
      </c>
      <c r="Z84" s="16">
        <f t="shared" si="112"/>
        <v>0</v>
      </c>
      <c r="AA84" s="16">
        <f t="shared" si="112"/>
        <v>-58958</v>
      </c>
      <c r="AB84" s="16">
        <f t="shared" si="112"/>
        <v>0</v>
      </c>
      <c r="AC84" s="16">
        <f t="shared" si="112"/>
        <v>0</v>
      </c>
      <c r="AD84" s="16">
        <f t="shared" si="112"/>
        <v>0</v>
      </c>
      <c r="AE84" s="16">
        <f t="shared" si="112"/>
        <v>0</v>
      </c>
      <c r="AF84" s="16">
        <f t="shared" si="112"/>
        <v>-85655</v>
      </c>
      <c r="AG84" s="16">
        <f t="shared" si="112"/>
        <v>-85655</v>
      </c>
      <c r="AH84" s="16">
        <f t="shared" si="112"/>
        <v>0</v>
      </c>
      <c r="AI84" s="16">
        <f t="shared" si="112"/>
        <v>42400</v>
      </c>
      <c r="AJ84" s="16">
        <f t="shared" si="112"/>
        <v>0</v>
      </c>
      <c r="AK84" s="16">
        <f t="shared" si="112"/>
        <v>0</v>
      </c>
      <c r="AL84" s="16">
        <f t="shared" si="112"/>
        <v>0</v>
      </c>
      <c r="AM84" s="16">
        <f t="shared" si="112"/>
        <v>0</v>
      </c>
      <c r="AN84" s="16">
        <f t="shared" si="112"/>
        <v>42400</v>
      </c>
      <c r="AO84" s="16">
        <f t="shared" si="112"/>
        <v>42400</v>
      </c>
      <c r="AP84" s="16">
        <f t="shared" si="112"/>
        <v>0</v>
      </c>
      <c r="AQ84" s="16">
        <f t="shared" si="112"/>
        <v>-43255</v>
      </c>
      <c r="AR84" s="16">
        <f t="shared" si="112"/>
        <v>-43255</v>
      </c>
      <c r="AS84" s="16">
        <f t="shared" si="112"/>
        <v>-14620</v>
      </c>
      <c r="AT84" s="16">
        <f t="shared" si="112"/>
        <v>-857</v>
      </c>
      <c r="AU84" s="16">
        <f t="shared" si="112"/>
        <v>0</v>
      </c>
      <c r="AV84" s="16">
        <f t="shared" si="112"/>
        <v>0</v>
      </c>
      <c r="AW84" s="16">
        <f t="shared" si="112"/>
        <v>0</v>
      </c>
      <c r="AX84" s="16">
        <f t="shared" si="112"/>
        <v>0</v>
      </c>
      <c r="AY84" s="16">
        <f t="shared" si="112"/>
        <v>-58732</v>
      </c>
      <c r="AZ84" s="13">
        <f t="shared" si="112"/>
        <v>0</v>
      </c>
      <c r="BA84" s="13">
        <f t="shared" si="112"/>
        <v>-0.13</v>
      </c>
      <c r="BB84" s="13">
        <f t="shared" si="112"/>
        <v>0</v>
      </c>
      <c r="BC84" s="13">
        <f t="shared" si="112"/>
        <v>0</v>
      </c>
      <c r="BD84" s="13">
        <f t="shared" si="112"/>
        <v>-0.16</v>
      </c>
      <c r="BE84" s="13">
        <f t="shared" si="112"/>
        <v>0</v>
      </c>
      <c r="BF84" s="13">
        <f t="shared" si="112"/>
        <v>0</v>
      </c>
      <c r="BG84" s="13">
        <f t="shared" si="112"/>
        <v>0</v>
      </c>
      <c r="BH84" s="13">
        <f t="shared" si="112"/>
        <v>0</v>
      </c>
      <c r="BI84" s="13">
        <f t="shared" si="112"/>
        <v>0</v>
      </c>
      <c r="BJ84" s="13">
        <f t="shared" si="112"/>
        <v>-0.29000000000000004</v>
      </c>
      <c r="BK84" s="169">
        <f t="shared" si="112"/>
        <v>-0.29000000000000004</v>
      </c>
      <c r="BL84" s="167">
        <f t="shared" si="112"/>
        <v>12414671</v>
      </c>
      <c r="BM84" s="16">
        <f t="shared" si="112"/>
        <v>9004338</v>
      </c>
      <c r="BN84" s="16">
        <f t="shared" si="112"/>
        <v>0</v>
      </c>
      <c r="BO84" s="16">
        <f t="shared" si="112"/>
        <v>9004338</v>
      </c>
      <c r="BP84" s="16">
        <f t="shared" si="112"/>
        <v>154000</v>
      </c>
      <c r="BQ84" s="16">
        <f t="shared" si="112"/>
        <v>0</v>
      </c>
      <c r="BR84" s="16">
        <f t="shared" si="112"/>
        <v>154000</v>
      </c>
      <c r="BS84" s="16">
        <f t="shared" si="112"/>
        <v>3095518</v>
      </c>
      <c r="BT84" s="16">
        <f t="shared" si="112"/>
        <v>90043</v>
      </c>
      <c r="BU84" s="16">
        <f t="shared" si="112"/>
        <v>70772</v>
      </c>
      <c r="BV84" s="13">
        <f t="shared" si="112"/>
        <v>27.080000000000002</v>
      </c>
      <c r="BW84" s="13">
        <f t="shared" si="112"/>
        <v>0</v>
      </c>
      <c r="BX84" s="169">
        <f t="shared" si="112"/>
        <v>27.080000000000002</v>
      </c>
      <c r="BY84" s="167">
        <f t="shared" si="112"/>
        <v>0</v>
      </c>
      <c r="BZ84" s="16">
        <f t="shared" ref="BZ84:CJ84" si="113">SUMIF($F$12:$F$463,"=3141",BZ$12:BZ$463)</f>
        <v>0</v>
      </c>
      <c r="CA84" s="16">
        <f t="shared" si="113"/>
        <v>0</v>
      </c>
      <c r="CB84" s="16">
        <f t="shared" si="113"/>
        <v>0</v>
      </c>
      <c r="CC84" s="16">
        <f t="shared" si="113"/>
        <v>0</v>
      </c>
      <c r="CD84" s="17">
        <f t="shared" si="113"/>
        <v>0</v>
      </c>
      <c r="CE84" s="167">
        <f t="shared" si="113"/>
        <v>0</v>
      </c>
      <c r="CF84" s="16">
        <f t="shared" si="113"/>
        <v>0</v>
      </c>
      <c r="CG84" s="16">
        <f t="shared" si="113"/>
        <v>0</v>
      </c>
      <c r="CH84" s="16">
        <f t="shared" si="113"/>
        <v>0</v>
      </c>
      <c r="CI84" s="16">
        <f t="shared" si="113"/>
        <v>0</v>
      </c>
      <c r="CJ84" s="17">
        <f t="shared" si="113"/>
        <v>0</v>
      </c>
    </row>
    <row r="85" spans="4:88">
      <c r="D85" s="9"/>
      <c r="E85" s="5"/>
      <c r="F85" s="9"/>
      <c r="G85" s="20"/>
      <c r="H85" s="19">
        <v>3143</v>
      </c>
      <c r="I85" s="167">
        <f t="shared" ref="I85:BY85" si="114">SUMIF($F$12:$F$463,"=3143",I$12:I$463)</f>
        <v>7713760</v>
      </c>
      <c r="J85" s="16">
        <f t="shared" si="114"/>
        <v>5695077</v>
      </c>
      <c r="K85" s="16">
        <f t="shared" si="114"/>
        <v>5504227</v>
      </c>
      <c r="L85" s="16">
        <f t="shared" si="114"/>
        <v>190850</v>
      </c>
      <c r="M85" s="16">
        <f t="shared" si="114"/>
        <v>20500</v>
      </c>
      <c r="N85" s="16">
        <f t="shared" si="114"/>
        <v>20500</v>
      </c>
      <c r="O85" s="16">
        <f t="shared" si="114"/>
        <v>0</v>
      </c>
      <c r="P85" s="16">
        <f t="shared" si="114"/>
        <v>1931864</v>
      </c>
      <c r="Q85" s="16">
        <f t="shared" si="114"/>
        <v>56950</v>
      </c>
      <c r="R85" s="16">
        <f t="shared" si="114"/>
        <v>9369</v>
      </c>
      <c r="S85" s="13">
        <f t="shared" si="114"/>
        <v>12.197499999999998</v>
      </c>
      <c r="T85" s="13">
        <f t="shared" si="114"/>
        <v>11.487499999999999</v>
      </c>
      <c r="U85" s="17">
        <f t="shared" si="114"/>
        <v>0.71000000000000008</v>
      </c>
      <c r="V85" s="168">
        <f t="shared" si="114"/>
        <v>0</v>
      </c>
      <c r="W85" s="16">
        <f t="shared" si="114"/>
        <v>0</v>
      </c>
      <c r="X85" s="16">
        <f t="shared" si="114"/>
        <v>0</v>
      </c>
      <c r="Y85" s="16">
        <f t="shared" si="114"/>
        <v>0</v>
      </c>
      <c r="Z85" s="16">
        <f t="shared" si="114"/>
        <v>53474</v>
      </c>
      <c r="AA85" s="16">
        <f t="shared" si="114"/>
        <v>0</v>
      </c>
      <c r="AB85" s="16">
        <f t="shared" si="114"/>
        <v>0</v>
      </c>
      <c r="AC85" s="16">
        <f t="shared" si="114"/>
        <v>0</v>
      </c>
      <c r="AD85" s="16">
        <f t="shared" si="114"/>
        <v>0</v>
      </c>
      <c r="AE85" s="16">
        <f t="shared" si="114"/>
        <v>53474</v>
      </c>
      <c r="AF85" s="16">
        <f t="shared" si="114"/>
        <v>0</v>
      </c>
      <c r="AG85" s="16">
        <f t="shared" si="114"/>
        <v>53474</v>
      </c>
      <c r="AH85" s="16">
        <f t="shared" si="114"/>
        <v>0</v>
      </c>
      <c r="AI85" s="16">
        <f t="shared" si="114"/>
        <v>0</v>
      </c>
      <c r="AJ85" s="16">
        <f t="shared" si="114"/>
        <v>0</v>
      </c>
      <c r="AK85" s="16">
        <f t="shared" si="114"/>
        <v>0</v>
      </c>
      <c r="AL85" s="16">
        <f t="shared" si="114"/>
        <v>0</v>
      </c>
      <c r="AM85" s="16">
        <f t="shared" si="114"/>
        <v>0</v>
      </c>
      <c r="AN85" s="16">
        <f t="shared" si="114"/>
        <v>0</v>
      </c>
      <c r="AO85" s="16">
        <f t="shared" si="114"/>
        <v>0</v>
      </c>
      <c r="AP85" s="16">
        <f t="shared" si="114"/>
        <v>53474</v>
      </c>
      <c r="AQ85" s="16">
        <f t="shared" si="114"/>
        <v>0</v>
      </c>
      <c r="AR85" s="16">
        <f t="shared" si="114"/>
        <v>53474</v>
      </c>
      <c r="AS85" s="16">
        <f t="shared" si="114"/>
        <v>18074</v>
      </c>
      <c r="AT85" s="16">
        <f t="shared" si="114"/>
        <v>535</v>
      </c>
      <c r="AU85" s="16">
        <f t="shared" si="114"/>
        <v>0</v>
      </c>
      <c r="AV85" s="16">
        <f t="shared" si="114"/>
        <v>0</v>
      </c>
      <c r="AW85" s="16">
        <f t="shared" si="114"/>
        <v>0</v>
      </c>
      <c r="AX85" s="16">
        <f t="shared" si="114"/>
        <v>0</v>
      </c>
      <c r="AY85" s="16">
        <f t="shared" si="114"/>
        <v>72083</v>
      </c>
      <c r="AZ85" s="13">
        <f t="shared" si="114"/>
        <v>0</v>
      </c>
      <c r="BA85" s="13">
        <f t="shared" si="114"/>
        <v>0</v>
      </c>
      <c r="BB85" s="13">
        <f t="shared" si="114"/>
        <v>0</v>
      </c>
      <c r="BC85" s="13">
        <f t="shared" si="114"/>
        <v>0.11</v>
      </c>
      <c r="BD85" s="13">
        <f t="shared" si="114"/>
        <v>0</v>
      </c>
      <c r="BE85" s="13">
        <f t="shared" si="114"/>
        <v>0</v>
      </c>
      <c r="BF85" s="13">
        <f t="shared" si="114"/>
        <v>0</v>
      </c>
      <c r="BG85" s="13">
        <f t="shared" si="114"/>
        <v>0</v>
      </c>
      <c r="BH85" s="13">
        <f t="shared" si="114"/>
        <v>0</v>
      </c>
      <c r="BI85" s="13">
        <f t="shared" si="114"/>
        <v>0.11</v>
      </c>
      <c r="BJ85" s="13">
        <f t="shared" si="114"/>
        <v>0</v>
      </c>
      <c r="BK85" s="169">
        <f t="shared" si="114"/>
        <v>0.11</v>
      </c>
      <c r="BL85" s="167">
        <f t="shared" si="114"/>
        <v>7785843</v>
      </c>
      <c r="BM85" s="16">
        <f t="shared" si="114"/>
        <v>5748551</v>
      </c>
      <c r="BN85" s="16">
        <f t="shared" si="114"/>
        <v>5557701</v>
      </c>
      <c r="BO85" s="16">
        <f t="shared" si="114"/>
        <v>190850</v>
      </c>
      <c r="BP85" s="16">
        <f t="shared" si="114"/>
        <v>20500</v>
      </c>
      <c r="BQ85" s="16">
        <f t="shared" si="114"/>
        <v>20500</v>
      </c>
      <c r="BR85" s="16">
        <f t="shared" si="114"/>
        <v>0</v>
      </c>
      <c r="BS85" s="16">
        <f t="shared" si="114"/>
        <v>1949938</v>
      </c>
      <c r="BT85" s="16">
        <f t="shared" si="114"/>
        <v>57485</v>
      </c>
      <c r="BU85" s="16">
        <f t="shared" si="114"/>
        <v>9369</v>
      </c>
      <c r="BV85" s="13">
        <f t="shared" si="114"/>
        <v>12.307499999999997</v>
      </c>
      <c r="BW85" s="13">
        <f t="shared" si="114"/>
        <v>11.5975</v>
      </c>
      <c r="BX85" s="169">
        <f t="shared" si="114"/>
        <v>0.71000000000000008</v>
      </c>
      <c r="BY85" s="167">
        <f t="shared" si="114"/>
        <v>0</v>
      </c>
      <c r="BZ85" s="16">
        <f t="shared" ref="BZ85:CJ85" si="115">SUMIF($F$12:$F$463,"=3143",BZ$12:BZ$463)</f>
        <v>0</v>
      </c>
      <c r="CA85" s="16">
        <f t="shared" si="115"/>
        <v>0</v>
      </c>
      <c r="CB85" s="16">
        <f t="shared" si="115"/>
        <v>0</v>
      </c>
      <c r="CC85" s="16">
        <f t="shared" si="115"/>
        <v>0</v>
      </c>
      <c r="CD85" s="17">
        <f t="shared" si="115"/>
        <v>0</v>
      </c>
      <c r="CE85" s="167">
        <f t="shared" si="115"/>
        <v>0</v>
      </c>
      <c r="CF85" s="16">
        <f t="shared" si="115"/>
        <v>0</v>
      </c>
      <c r="CG85" s="16">
        <f t="shared" si="115"/>
        <v>0</v>
      </c>
      <c r="CH85" s="16">
        <f t="shared" si="115"/>
        <v>0</v>
      </c>
      <c r="CI85" s="16">
        <f t="shared" si="115"/>
        <v>0</v>
      </c>
      <c r="CJ85" s="17">
        <f t="shared" si="115"/>
        <v>0</v>
      </c>
    </row>
    <row r="86" spans="4:88">
      <c r="D86" s="9"/>
      <c r="E86" s="5"/>
      <c r="F86" s="9"/>
      <c r="G86" s="20"/>
      <c r="H86" s="19">
        <v>3231</v>
      </c>
      <c r="I86" s="167">
        <f t="shared" ref="I86:BY86" si="116">SUMIF($F$12:$F$463,"=3231",I$12:I$463)</f>
        <v>12330844</v>
      </c>
      <c r="J86" s="16">
        <f t="shared" si="116"/>
        <v>9091337</v>
      </c>
      <c r="K86" s="16">
        <f t="shared" si="116"/>
        <v>8588349</v>
      </c>
      <c r="L86" s="16">
        <f t="shared" si="116"/>
        <v>502988</v>
      </c>
      <c r="M86" s="16">
        <f t="shared" si="116"/>
        <v>40500</v>
      </c>
      <c r="N86" s="16">
        <f t="shared" si="116"/>
        <v>40500</v>
      </c>
      <c r="O86" s="16">
        <f t="shared" si="116"/>
        <v>0</v>
      </c>
      <c r="P86" s="16">
        <f t="shared" si="116"/>
        <v>3086561</v>
      </c>
      <c r="Q86" s="16">
        <f t="shared" si="116"/>
        <v>90914</v>
      </c>
      <c r="R86" s="16">
        <f t="shared" si="116"/>
        <v>21532</v>
      </c>
      <c r="S86" s="13">
        <f t="shared" si="116"/>
        <v>15.0877</v>
      </c>
      <c r="T86" s="13">
        <f t="shared" si="116"/>
        <v>13.676500000000001</v>
      </c>
      <c r="U86" s="17">
        <f t="shared" si="116"/>
        <v>1.4112</v>
      </c>
      <c r="V86" s="168">
        <f t="shared" si="116"/>
        <v>-15150</v>
      </c>
      <c r="W86" s="16">
        <f t="shared" si="116"/>
        <v>0</v>
      </c>
      <c r="X86" s="16">
        <f t="shared" si="116"/>
        <v>0</v>
      </c>
      <c r="Y86" s="16">
        <f t="shared" si="116"/>
        <v>0</v>
      </c>
      <c r="Z86" s="16">
        <f t="shared" si="116"/>
        <v>0</v>
      </c>
      <c r="AA86" s="16">
        <f t="shared" si="116"/>
        <v>0</v>
      </c>
      <c r="AB86" s="16">
        <f t="shared" si="116"/>
        <v>0</v>
      </c>
      <c r="AC86" s="16">
        <f t="shared" si="116"/>
        <v>0</v>
      </c>
      <c r="AD86" s="16">
        <f t="shared" si="116"/>
        <v>0</v>
      </c>
      <c r="AE86" s="16">
        <f t="shared" si="116"/>
        <v>-15150</v>
      </c>
      <c r="AF86" s="16">
        <f t="shared" si="116"/>
        <v>0</v>
      </c>
      <c r="AG86" s="16">
        <f t="shared" si="116"/>
        <v>-15150</v>
      </c>
      <c r="AH86" s="16">
        <f t="shared" si="116"/>
        <v>15150</v>
      </c>
      <c r="AI86" s="16">
        <f t="shared" si="116"/>
        <v>0</v>
      </c>
      <c r="AJ86" s="16">
        <f t="shared" si="116"/>
        <v>0</v>
      </c>
      <c r="AK86" s="16">
        <f t="shared" si="116"/>
        <v>0</v>
      </c>
      <c r="AL86" s="16">
        <f t="shared" si="116"/>
        <v>0</v>
      </c>
      <c r="AM86" s="16">
        <f t="shared" si="116"/>
        <v>15150</v>
      </c>
      <c r="AN86" s="16">
        <f t="shared" si="116"/>
        <v>0</v>
      </c>
      <c r="AO86" s="16">
        <f t="shared" si="116"/>
        <v>15150</v>
      </c>
      <c r="AP86" s="16">
        <f t="shared" si="116"/>
        <v>0</v>
      </c>
      <c r="AQ86" s="16">
        <f t="shared" si="116"/>
        <v>0</v>
      </c>
      <c r="AR86" s="16">
        <f t="shared" si="116"/>
        <v>0</v>
      </c>
      <c r="AS86" s="16">
        <f t="shared" si="116"/>
        <v>0</v>
      </c>
      <c r="AT86" s="16">
        <f t="shared" si="116"/>
        <v>-152</v>
      </c>
      <c r="AU86" s="16">
        <f t="shared" si="116"/>
        <v>0</v>
      </c>
      <c r="AV86" s="16">
        <f t="shared" si="116"/>
        <v>0</v>
      </c>
      <c r="AW86" s="16">
        <f t="shared" si="116"/>
        <v>0</v>
      </c>
      <c r="AX86" s="16">
        <f t="shared" si="116"/>
        <v>0</v>
      </c>
      <c r="AY86" s="16">
        <f t="shared" si="116"/>
        <v>-152</v>
      </c>
      <c r="AZ86" s="13">
        <f t="shared" si="116"/>
        <v>-0.03</v>
      </c>
      <c r="BA86" s="13">
        <f t="shared" si="116"/>
        <v>0</v>
      </c>
      <c r="BB86" s="13">
        <f t="shared" si="116"/>
        <v>0</v>
      </c>
      <c r="BC86" s="13">
        <f t="shared" si="116"/>
        <v>0</v>
      </c>
      <c r="BD86" s="13">
        <f t="shared" si="116"/>
        <v>0</v>
      </c>
      <c r="BE86" s="13">
        <f t="shared" si="116"/>
        <v>0</v>
      </c>
      <c r="BF86" s="13">
        <f t="shared" si="116"/>
        <v>0</v>
      </c>
      <c r="BG86" s="13">
        <f t="shared" si="116"/>
        <v>0</v>
      </c>
      <c r="BH86" s="13">
        <f t="shared" si="116"/>
        <v>0</v>
      </c>
      <c r="BI86" s="13">
        <f t="shared" si="116"/>
        <v>-0.03</v>
      </c>
      <c r="BJ86" s="13">
        <f t="shared" si="116"/>
        <v>0</v>
      </c>
      <c r="BK86" s="169">
        <f t="shared" si="116"/>
        <v>-0.03</v>
      </c>
      <c r="BL86" s="167">
        <f t="shared" si="116"/>
        <v>12330692</v>
      </c>
      <c r="BM86" s="16">
        <f t="shared" si="116"/>
        <v>9076187</v>
      </c>
      <c r="BN86" s="16">
        <f t="shared" si="116"/>
        <v>8573199</v>
      </c>
      <c r="BO86" s="16">
        <f t="shared" si="116"/>
        <v>502988</v>
      </c>
      <c r="BP86" s="16">
        <f t="shared" si="116"/>
        <v>55650</v>
      </c>
      <c r="BQ86" s="16">
        <f t="shared" si="116"/>
        <v>55650</v>
      </c>
      <c r="BR86" s="16">
        <f t="shared" si="116"/>
        <v>0</v>
      </c>
      <c r="BS86" s="16">
        <f t="shared" si="116"/>
        <v>3086561</v>
      </c>
      <c r="BT86" s="16">
        <f t="shared" si="116"/>
        <v>90762</v>
      </c>
      <c r="BU86" s="16">
        <f t="shared" si="116"/>
        <v>21532</v>
      </c>
      <c r="BV86" s="13">
        <f t="shared" si="116"/>
        <v>15.057700000000001</v>
      </c>
      <c r="BW86" s="13">
        <f t="shared" si="116"/>
        <v>13.646500000000001</v>
      </c>
      <c r="BX86" s="169">
        <f t="shared" si="116"/>
        <v>1.4112</v>
      </c>
      <c r="BY86" s="167">
        <f t="shared" si="116"/>
        <v>0</v>
      </c>
      <c r="BZ86" s="16">
        <f t="shared" ref="BZ86:CJ86" si="117">SUMIF($F$12:$F$463,"=3231",BZ$12:BZ$463)</f>
        <v>0</v>
      </c>
      <c r="CA86" s="16">
        <f t="shared" si="117"/>
        <v>0</v>
      </c>
      <c r="CB86" s="16">
        <f t="shared" si="117"/>
        <v>0</v>
      </c>
      <c r="CC86" s="16">
        <f t="shared" si="117"/>
        <v>0</v>
      </c>
      <c r="CD86" s="17">
        <f t="shared" si="117"/>
        <v>0</v>
      </c>
      <c r="CE86" s="167">
        <f t="shared" si="117"/>
        <v>229842</v>
      </c>
      <c r="CF86" s="16">
        <f t="shared" si="117"/>
        <v>165280</v>
      </c>
      <c r="CG86" s="16">
        <f t="shared" si="117"/>
        <v>55865</v>
      </c>
      <c r="CH86" s="16">
        <f t="shared" si="117"/>
        <v>1653</v>
      </c>
      <c r="CI86" s="16">
        <f t="shared" si="117"/>
        <v>7044</v>
      </c>
      <c r="CJ86" s="17">
        <f t="shared" si="117"/>
        <v>0.46360000000000001</v>
      </c>
    </row>
    <row r="87" spans="4:88" ht="13.5" thickBot="1">
      <c r="D87" s="9"/>
      <c r="E87" s="5"/>
      <c r="F87" s="9"/>
      <c r="G87" s="20"/>
      <c r="H87" s="138">
        <v>3233</v>
      </c>
      <c r="I87" s="170">
        <f t="shared" ref="I87:BY87" si="118">SUMIF($F$12:$F$463,"=3233",I$12:I$463)</f>
        <v>2798613</v>
      </c>
      <c r="J87" s="171">
        <f t="shared" si="118"/>
        <v>1894763</v>
      </c>
      <c r="K87" s="171">
        <f t="shared" si="118"/>
        <v>1448822</v>
      </c>
      <c r="L87" s="171">
        <f t="shared" si="118"/>
        <v>445941</v>
      </c>
      <c r="M87" s="171">
        <f t="shared" si="118"/>
        <v>180000</v>
      </c>
      <c r="N87" s="171">
        <f t="shared" si="118"/>
        <v>160000</v>
      </c>
      <c r="O87" s="171">
        <f t="shared" si="118"/>
        <v>20000</v>
      </c>
      <c r="P87" s="171">
        <f t="shared" si="118"/>
        <v>701270</v>
      </c>
      <c r="Q87" s="171">
        <f t="shared" si="118"/>
        <v>18947</v>
      </c>
      <c r="R87" s="171">
        <f t="shared" si="118"/>
        <v>3633</v>
      </c>
      <c r="S87" s="172">
        <f t="shared" si="118"/>
        <v>4.0600000000000005</v>
      </c>
      <c r="T87" s="172">
        <f t="shared" si="118"/>
        <v>2.62</v>
      </c>
      <c r="U87" s="173">
        <f t="shared" si="118"/>
        <v>1.44</v>
      </c>
      <c r="V87" s="174">
        <f t="shared" si="118"/>
        <v>0</v>
      </c>
      <c r="W87" s="171">
        <f t="shared" si="118"/>
        <v>0</v>
      </c>
      <c r="X87" s="171">
        <f t="shared" si="118"/>
        <v>0</v>
      </c>
      <c r="Y87" s="171">
        <f t="shared" si="118"/>
        <v>0</v>
      </c>
      <c r="Z87" s="171">
        <f t="shared" si="118"/>
        <v>0</v>
      </c>
      <c r="AA87" s="171">
        <f t="shared" si="118"/>
        <v>0</v>
      </c>
      <c r="AB87" s="171">
        <f t="shared" si="118"/>
        <v>0</v>
      </c>
      <c r="AC87" s="171">
        <f t="shared" si="118"/>
        <v>0</v>
      </c>
      <c r="AD87" s="171">
        <f t="shared" si="118"/>
        <v>0</v>
      </c>
      <c r="AE87" s="171">
        <f t="shared" si="118"/>
        <v>0</v>
      </c>
      <c r="AF87" s="171">
        <f t="shared" si="118"/>
        <v>0</v>
      </c>
      <c r="AG87" s="171">
        <f t="shared" si="118"/>
        <v>0</v>
      </c>
      <c r="AH87" s="171">
        <f t="shared" si="118"/>
        <v>0</v>
      </c>
      <c r="AI87" s="171">
        <f t="shared" si="118"/>
        <v>0</v>
      </c>
      <c r="AJ87" s="171">
        <f t="shared" si="118"/>
        <v>0</v>
      </c>
      <c r="AK87" s="171">
        <f t="shared" si="118"/>
        <v>0</v>
      </c>
      <c r="AL87" s="171">
        <f t="shared" si="118"/>
        <v>0</v>
      </c>
      <c r="AM87" s="171">
        <f t="shared" si="118"/>
        <v>0</v>
      </c>
      <c r="AN87" s="171">
        <f t="shared" si="118"/>
        <v>0</v>
      </c>
      <c r="AO87" s="171">
        <f t="shared" si="118"/>
        <v>0</v>
      </c>
      <c r="AP87" s="171">
        <f t="shared" si="118"/>
        <v>0</v>
      </c>
      <c r="AQ87" s="171">
        <f t="shared" si="118"/>
        <v>0</v>
      </c>
      <c r="AR87" s="171">
        <f t="shared" si="118"/>
        <v>0</v>
      </c>
      <c r="AS87" s="171">
        <f t="shared" si="118"/>
        <v>0</v>
      </c>
      <c r="AT87" s="171">
        <f t="shared" si="118"/>
        <v>0</v>
      </c>
      <c r="AU87" s="171">
        <f t="shared" si="118"/>
        <v>0</v>
      </c>
      <c r="AV87" s="171">
        <f t="shared" si="118"/>
        <v>0</v>
      </c>
      <c r="AW87" s="171">
        <f t="shared" si="118"/>
        <v>0</v>
      </c>
      <c r="AX87" s="171">
        <f t="shared" si="118"/>
        <v>0</v>
      </c>
      <c r="AY87" s="171">
        <f t="shared" si="118"/>
        <v>0</v>
      </c>
      <c r="AZ87" s="172">
        <f t="shared" si="118"/>
        <v>0</v>
      </c>
      <c r="BA87" s="172">
        <f t="shared" si="118"/>
        <v>0</v>
      </c>
      <c r="BB87" s="172">
        <f t="shared" si="118"/>
        <v>0</v>
      </c>
      <c r="BC87" s="172">
        <f t="shared" si="118"/>
        <v>0</v>
      </c>
      <c r="BD87" s="172">
        <f t="shared" si="118"/>
        <v>0</v>
      </c>
      <c r="BE87" s="172">
        <f t="shared" si="118"/>
        <v>0</v>
      </c>
      <c r="BF87" s="172">
        <f t="shared" si="118"/>
        <v>0</v>
      </c>
      <c r="BG87" s="172">
        <f t="shared" si="118"/>
        <v>0</v>
      </c>
      <c r="BH87" s="172">
        <f t="shared" si="118"/>
        <v>0</v>
      </c>
      <c r="BI87" s="172">
        <f t="shared" si="118"/>
        <v>0</v>
      </c>
      <c r="BJ87" s="172">
        <f t="shared" si="118"/>
        <v>0</v>
      </c>
      <c r="BK87" s="175">
        <f t="shared" si="118"/>
        <v>0</v>
      </c>
      <c r="BL87" s="170">
        <f t="shared" si="118"/>
        <v>2798613</v>
      </c>
      <c r="BM87" s="171">
        <f t="shared" si="118"/>
        <v>1894763</v>
      </c>
      <c r="BN87" s="171">
        <f t="shared" si="118"/>
        <v>1448822</v>
      </c>
      <c r="BO87" s="171">
        <f t="shared" si="118"/>
        <v>445941</v>
      </c>
      <c r="BP87" s="171">
        <f t="shared" si="118"/>
        <v>180000</v>
      </c>
      <c r="BQ87" s="171">
        <f t="shared" si="118"/>
        <v>160000</v>
      </c>
      <c r="BR87" s="171">
        <f t="shared" si="118"/>
        <v>20000</v>
      </c>
      <c r="BS87" s="171">
        <f t="shared" si="118"/>
        <v>701270</v>
      </c>
      <c r="BT87" s="171">
        <f t="shared" si="118"/>
        <v>18947</v>
      </c>
      <c r="BU87" s="171">
        <f t="shared" si="118"/>
        <v>3633</v>
      </c>
      <c r="BV87" s="172">
        <f t="shared" si="118"/>
        <v>4.0600000000000005</v>
      </c>
      <c r="BW87" s="172">
        <f t="shared" si="118"/>
        <v>2.62</v>
      </c>
      <c r="BX87" s="175">
        <f t="shared" si="118"/>
        <v>1.44</v>
      </c>
      <c r="BY87" s="170">
        <f t="shared" si="118"/>
        <v>0</v>
      </c>
      <c r="BZ87" s="171">
        <f t="shared" ref="BZ87:CJ87" si="119">SUMIF($F$12:$F$463,"=3233",BZ$12:BZ$463)</f>
        <v>0</v>
      </c>
      <c r="CA87" s="171">
        <f t="shared" si="119"/>
        <v>0</v>
      </c>
      <c r="CB87" s="171">
        <f t="shared" si="119"/>
        <v>0</v>
      </c>
      <c r="CC87" s="171">
        <f t="shared" si="119"/>
        <v>0</v>
      </c>
      <c r="CD87" s="173">
        <f t="shared" si="119"/>
        <v>0</v>
      </c>
      <c r="CE87" s="170">
        <f t="shared" si="119"/>
        <v>0</v>
      </c>
      <c r="CF87" s="171">
        <f t="shared" si="119"/>
        <v>0</v>
      </c>
      <c r="CG87" s="171">
        <f t="shared" si="119"/>
        <v>0</v>
      </c>
      <c r="CH87" s="171">
        <f t="shared" si="119"/>
        <v>0</v>
      </c>
      <c r="CI87" s="171">
        <f t="shared" si="119"/>
        <v>0</v>
      </c>
      <c r="CJ87" s="173">
        <f t="shared" si="119"/>
        <v>0</v>
      </c>
    </row>
    <row r="88" spans="4:88">
      <c r="D88" s="5"/>
      <c r="E88" s="5"/>
      <c r="F88" s="5"/>
      <c r="G88" s="20"/>
      <c r="H88" s="5"/>
    </row>
    <row r="130" spans="77:77">
      <c r="BY130" s="235">
        <f>SUM(BZ129:CC129)</f>
        <v>0</v>
      </c>
    </row>
    <row r="131" spans="77:77">
      <c r="BY131" s="235">
        <f>SUM(BZ132:CC132)</f>
        <v>0</v>
      </c>
    </row>
  </sheetData>
  <mergeCells count="58">
    <mergeCell ref="CE6:CJ7"/>
    <mergeCell ref="CE8:CJ9"/>
    <mergeCell ref="AB9:AB10"/>
    <mergeCell ref="BF8:BF9"/>
    <mergeCell ref="BC8:BD9"/>
    <mergeCell ref="BY6:CD7"/>
    <mergeCell ref="BY8:CD9"/>
    <mergeCell ref="BN9:BO9"/>
    <mergeCell ref="BP9:BP10"/>
    <mergeCell ref="AJ9:AJ10"/>
    <mergeCell ref="AK9:AL9"/>
    <mergeCell ref="AM9:AN9"/>
    <mergeCell ref="AU7:AX9"/>
    <mergeCell ref="AY7:AY10"/>
    <mergeCell ref="AT7:AT10"/>
    <mergeCell ref="AP7:AR9"/>
    <mergeCell ref="AH7:AO8"/>
    <mergeCell ref="BI8:BK9"/>
    <mergeCell ref="BT9:BT10"/>
    <mergeCell ref="AZ7:BK7"/>
    <mergeCell ref="BB8:BB9"/>
    <mergeCell ref="BE8:BE9"/>
    <mergeCell ref="BG8:BH9"/>
    <mergeCell ref="BL6:BX7"/>
    <mergeCell ref="BV8:BV10"/>
    <mergeCell ref="BW8:BX9"/>
    <mergeCell ref="BU9:BU10"/>
    <mergeCell ref="BL8:BL10"/>
    <mergeCell ref="BM8:BU8"/>
    <mergeCell ref="BM9:BM10"/>
    <mergeCell ref="BQ9:BR9"/>
    <mergeCell ref="BS9:BS10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Z9:AA9"/>
    <mergeCell ref="A3:E3"/>
    <mergeCell ref="I8:I10"/>
    <mergeCell ref="I6:U7"/>
    <mergeCell ref="AS7:AS10"/>
    <mergeCell ref="AO9:AO10"/>
    <mergeCell ref="V6:BK6"/>
    <mergeCell ref="AC9:AD9"/>
    <mergeCell ref="AE9:AF9"/>
    <mergeCell ref="V9:W9"/>
    <mergeCell ref="X9:X10"/>
    <mergeCell ref="Y9:Y10"/>
    <mergeCell ref="AZ8:BA9"/>
    <mergeCell ref="AG9:AG10"/>
    <mergeCell ref="AH9:AI9"/>
    <mergeCell ref="V7:AG8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CJ308"/>
  <sheetViews>
    <sheetView zoomScaleNormal="100" workbookViewId="0">
      <pane xSplit="8" ySplit="11" topLeftCell="BI278" activePane="bottomRight" state="frozen"/>
      <selection activeCell="V6" sqref="V6:BK10"/>
      <selection pane="topRight" activeCell="V6" sqref="V6:BK10"/>
      <selection pane="bottomLeft" activeCell="V6" sqref="V6:BK10"/>
      <selection pane="bottomRight" activeCell="BL6" sqref="BL6:BX7"/>
    </sheetView>
  </sheetViews>
  <sheetFormatPr defaultRowHeight="12.75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5.42578125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customWidth="1"/>
    <col min="29" max="42" width="10.28515625" style="8" customWidth="1"/>
    <col min="43" max="43" width="10.28515625" style="7" customWidth="1"/>
    <col min="44" max="45" width="9.28515625" style="7" customWidth="1"/>
    <col min="46" max="46" width="9.140625" style="8" customWidth="1"/>
    <col min="47" max="48" width="9.7109375" style="8" customWidth="1"/>
    <col min="49" max="49" width="12" style="8" customWidth="1"/>
    <col min="50" max="50" width="9.140625" style="8" customWidth="1"/>
    <col min="51" max="51" width="9.7109375" style="8" customWidth="1"/>
    <col min="52" max="54" width="9.140625" style="7" customWidth="1"/>
    <col min="55" max="55" width="10.140625" style="7" customWidth="1"/>
    <col min="56" max="57" width="9.28515625" style="7" customWidth="1"/>
    <col min="58" max="58" width="10.5703125" style="7" customWidth="1"/>
    <col min="59" max="63" width="9.28515625" style="7" customWidth="1"/>
    <col min="64" max="73" width="10.85546875" style="7" customWidth="1"/>
    <col min="74" max="76" width="9.28515625" style="7" customWidth="1"/>
    <col min="77" max="81" width="9.7109375" style="8" customWidth="1"/>
    <col min="82" max="82" width="9.7109375" style="7" customWidth="1"/>
    <col min="88" max="88" width="9.140625" style="7"/>
    <col min="185" max="185" width="6.85546875" customWidth="1"/>
    <col min="186" max="186" width="29.85546875" customWidth="1"/>
    <col min="187" max="187" width="6.7109375" customWidth="1"/>
    <col min="188" max="188" width="32.28515625" customWidth="1"/>
    <col min="189" max="189" width="10.85546875" customWidth="1"/>
    <col min="190" max="190" width="11.7109375" customWidth="1"/>
    <col min="191" max="191" width="10.85546875" customWidth="1"/>
    <col min="192" max="192" width="10.5703125" customWidth="1"/>
    <col min="194" max="194" width="10.85546875" customWidth="1"/>
    <col min="197" max="197" width="12" customWidth="1"/>
    <col min="441" max="441" width="6.85546875" customWidth="1"/>
    <col min="442" max="442" width="29.85546875" customWidth="1"/>
    <col min="443" max="443" width="6.7109375" customWidth="1"/>
    <col min="444" max="444" width="32.28515625" customWidth="1"/>
    <col min="445" max="445" width="10.85546875" customWidth="1"/>
    <col min="446" max="446" width="11.7109375" customWidth="1"/>
    <col min="447" max="447" width="10.85546875" customWidth="1"/>
    <col min="448" max="448" width="10.5703125" customWidth="1"/>
    <col min="450" max="450" width="10.85546875" customWidth="1"/>
    <col min="453" max="453" width="12" customWidth="1"/>
    <col min="697" max="697" width="6.85546875" customWidth="1"/>
    <col min="698" max="698" width="29.85546875" customWidth="1"/>
    <col min="699" max="699" width="6.7109375" customWidth="1"/>
    <col min="700" max="700" width="32.28515625" customWidth="1"/>
    <col min="701" max="701" width="10.85546875" customWidth="1"/>
    <col min="702" max="702" width="11.7109375" customWidth="1"/>
    <col min="703" max="703" width="10.85546875" customWidth="1"/>
    <col min="704" max="704" width="10.5703125" customWidth="1"/>
    <col min="706" max="706" width="10.85546875" customWidth="1"/>
    <col min="709" max="709" width="12" customWidth="1"/>
    <col min="953" max="953" width="6.85546875" customWidth="1"/>
    <col min="954" max="954" width="29.85546875" customWidth="1"/>
    <col min="955" max="955" width="6.7109375" customWidth="1"/>
    <col min="956" max="956" width="32.28515625" customWidth="1"/>
    <col min="957" max="957" width="10.85546875" customWidth="1"/>
    <col min="958" max="958" width="11.7109375" customWidth="1"/>
    <col min="959" max="959" width="10.85546875" customWidth="1"/>
    <col min="960" max="960" width="10.5703125" customWidth="1"/>
    <col min="962" max="962" width="10.85546875" customWidth="1"/>
    <col min="965" max="965" width="12" customWidth="1"/>
    <col min="1209" max="1209" width="6.85546875" customWidth="1"/>
    <col min="1210" max="1210" width="29.85546875" customWidth="1"/>
    <col min="1211" max="1211" width="6.7109375" customWidth="1"/>
    <col min="1212" max="1212" width="32.28515625" customWidth="1"/>
    <col min="1213" max="1213" width="10.85546875" customWidth="1"/>
    <col min="1214" max="1214" width="11.7109375" customWidth="1"/>
    <col min="1215" max="1215" width="10.85546875" customWidth="1"/>
    <col min="1216" max="1216" width="10.5703125" customWidth="1"/>
    <col min="1218" max="1218" width="10.85546875" customWidth="1"/>
    <col min="1221" max="1221" width="12" customWidth="1"/>
    <col min="1465" max="1465" width="6.85546875" customWidth="1"/>
    <col min="1466" max="1466" width="29.85546875" customWidth="1"/>
    <col min="1467" max="1467" width="6.7109375" customWidth="1"/>
    <col min="1468" max="1468" width="32.28515625" customWidth="1"/>
    <col min="1469" max="1469" width="10.85546875" customWidth="1"/>
    <col min="1470" max="1470" width="11.7109375" customWidth="1"/>
    <col min="1471" max="1471" width="10.85546875" customWidth="1"/>
    <col min="1472" max="1472" width="10.5703125" customWidth="1"/>
    <col min="1474" max="1474" width="10.85546875" customWidth="1"/>
    <col min="1477" max="1477" width="12" customWidth="1"/>
    <col min="1721" max="1721" width="6.85546875" customWidth="1"/>
    <col min="1722" max="1722" width="29.85546875" customWidth="1"/>
    <col min="1723" max="1723" width="6.7109375" customWidth="1"/>
    <col min="1724" max="1724" width="32.28515625" customWidth="1"/>
    <col min="1725" max="1725" width="10.85546875" customWidth="1"/>
    <col min="1726" max="1726" width="11.7109375" customWidth="1"/>
    <col min="1727" max="1727" width="10.85546875" customWidth="1"/>
    <col min="1728" max="1728" width="10.5703125" customWidth="1"/>
    <col min="1730" max="1730" width="10.85546875" customWidth="1"/>
    <col min="1733" max="1733" width="12" customWidth="1"/>
    <col min="1977" max="1977" width="6.85546875" customWidth="1"/>
    <col min="1978" max="1978" width="29.85546875" customWidth="1"/>
    <col min="1979" max="1979" width="6.7109375" customWidth="1"/>
    <col min="1980" max="1980" width="32.28515625" customWidth="1"/>
    <col min="1981" max="1981" width="10.85546875" customWidth="1"/>
    <col min="1982" max="1982" width="11.7109375" customWidth="1"/>
    <col min="1983" max="1983" width="10.85546875" customWidth="1"/>
    <col min="1984" max="1984" width="10.5703125" customWidth="1"/>
    <col min="1986" max="1986" width="10.85546875" customWidth="1"/>
    <col min="1989" max="1989" width="12" customWidth="1"/>
    <col min="2233" max="2233" width="6.85546875" customWidth="1"/>
    <col min="2234" max="2234" width="29.85546875" customWidth="1"/>
    <col min="2235" max="2235" width="6.7109375" customWidth="1"/>
    <col min="2236" max="2236" width="32.28515625" customWidth="1"/>
    <col min="2237" max="2237" width="10.85546875" customWidth="1"/>
    <col min="2238" max="2238" width="11.7109375" customWidth="1"/>
    <col min="2239" max="2239" width="10.85546875" customWidth="1"/>
    <col min="2240" max="2240" width="10.5703125" customWidth="1"/>
    <col min="2242" max="2242" width="10.85546875" customWidth="1"/>
    <col min="2245" max="2245" width="12" customWidth="1"/>
    <col min="2489" max="2489" width="6.85546875" customWidth="1"/>
    <col min="2490" max="2490" width="29.85546875" customWidth="1"/>
    <col min="2491" max="2491" width="6.7109375" customWidth="1"/>
    <col min="2492" max="2492" width="32.28515625" customWidth="1"/>
    <col min="2493" max="2493" width="10.85546875" customWidth="1"/>
    <col min="2494" max="2494" width="11.7109375" customWidth="1"/>
    <col min="2495" max="2495" width="10.85546875" customWidth="1"/>
    <col min="2496" max="2496" width="10.5703125" customWidth="1"/>
    <col min="2498" max="2498" width="10.85546875" customWidth="1"/>
    <col min="2501" max="2501" width="12" customWidth="1"/>
    <col min="2745" max="2745" width="6.85546875" customWidth="1"/>
    <col min="2746" max="2746" width="29.85546875" customWidth="1"/>
    <col min="2747" max="2747" width="6.7109375" customWidth="1"/>
    <col min="2748" max="2748" width="32.28515625" customWidth="1"/>
    <col min="2749" max="2749" width="10.85546875" customWidth="1"/>
    <col min="2750" max="2750" width="11.7109375" customWidth="1"/>
    <col min="2751" max="2751" width="10.85546875" customWidth="1"/>
    <col min="2752" max="2752" width="10.5703125" customWidth="1"/>
    <col min="2754" max="2754" width="10.85546875" customWidth="1"/>
    <col min="2757" max="2757" width="12" customWidth="1"/>
    <col min="3001" max="3001" width="6.85546875" customWidth="1"/>
    <col min="3002" max="3002" width="29.85546875" customWidth="1"/>
    <col min="3003" max="3003" width="6.7109375" customWidth="1"/>
    <col min="3004" max="3004" width="32.28515625" customWidth="1"/>
    <col min="3005" max="3005" width="10.85546875" customWidth="1"/>
    <col min="3006" max="3006" width="11.7109375" customWidth="1"/>
    <col min="3007" max="3007" width="10.85546875" customWidth="1"/>
    <col min="3008" max="3008" width="10.5703125" customWidth="1"/>
    <col min="3010" max="3010" width="10.85546875" customWidth="1"/>
    <col min="3013" max="3013" width="12" customWidth="1"/>
    <col min="3257" max="3257" width="6.85546875" customWidth="1"/>
    <col min="3258" max="3258" width="29.85546875" customWidth="1"/>
    <col min="3259" max="3259" width="6.7109375" customWidth="1"/>
    <col min="3260" max="3260" width="32.28515625" customWidth="1"/>
    <col min="3261" max="3261" width="10.85546875" customWidth="1"/>
    <col min="3262" max="3262" width="11.7109375" customWidth="1"/>
    <col min="3263" max="3263" width="10.85546875" customWidth="1"/>
    <col min="3264" max="3264" width="10.5703125" customWidth="1"/>
    <col min="3266" max="3266" width="10.85546875" customWidth="1"/>
    <col min="3269" max="3269" width="12" customWidth="1"/>
    <col min="3513" max="3513" width="6.85546875" customWidth="1"/>
    <col min="3514" max="3514" width="29.85546875" customWidth="1"/>
    <col min="3515" max="3515" width="6.7109375" customWidth="1"/>
    <col min="3516" max="3516" width="32.28515625" customWidth="1"/>
    <col min="3517" max="3517" width="10.85546875" customWidth="1"/>
    <col min="3518" max="3518" width="11.7109375" customWidth="1"/>
    <col min="3519" max="3519" width="10.85546875" customWidth="1"/>
    <col min="3520" max="3520" width="10.5703125" customWidth="1"/>
    <col min="3522" max="3522" width="10.85546875" customWidth="1"/>
    <col min="3525" max="3525" width="12" customWidth="1"/>
    <col min="3769" max="3769" width="6.85546875" customWidth="1"/>
    <col min="3770" max="3770" width="29.85546875" customWidth="1"/>
    <col min="3771" max="3771" width="6.7109375" customWidth="1"/>
    <col min="3772" max="3772" width="32.28515625" customWidth="1"/>
    <col min="3773" max="3773" width="10.85546875" customWidth="1"/>
    <col min="3774" max="3774" width="11.7109375" customWidth="1"/>
    <col min="3775" max="3775" width="10.85546875" customWidth="1"/>
    <col min="3776" max="3776" width="10.5703125" customWidth="1"/>
    <col min="3778" max="3778" width="10.85546875" customWidth="1"/>
    <col min="3781" max="3781" width="12" customWidth="1"/>
    <col min="4025" max="4025" width="6.85546875" customWidth="1"/>
    <col min="4026" max="4026" width="29.85546875" customWidth="1"/>
    <col min="4027" max="4027" width="6.7109375" customWidth="1"/>
    <col min="4028" max="4028" width="32.28515625" customWidth="1"/>
    <col min="4029" max="4029" width="10.85546875" customWidth="1"/>
    <col min="4030" max="4030" width="11.7109375" customWidth="1"/>
    <col min="4031" max="4031" width="10.85546875" customWidth="1"/>
    <col min="4032" max="4032" width="10.5703125" customWidth="1"/>
    <col min="4034" max="4034" width="10.85546875" customWidth="1"/>
    <col min="4037" max="4037" width="12" customWidth="1"/>
    <col min="4281" max="4281" width="6.85546875" customWidth="1"/>
    <col min="4282" max="4282" width="29.85546875" customWidth="1"/>
    <col min="4283" max="4283" width="6.7109375" customWidth="1"/>
    <col min="4284" max="4284" width="32.28515625" customWidth="1"/>
    <col min="4285" max="4285" width="10.85546875" customWidth="1"/>
    <col min="4286" max="4286" width="11.7109375" customWidth="1"/>
    <col min="4287" max="4287" width="10.85546875" customWidth="1"/>
    <col min="4288" max="4288" width="10.5703125" customWidth="1"/>
    <col min="4290" max="4290" width="10.85546875" customWidth="1"/>
    <col min="4293" max="4293" width="12" customWidth="1"/>
    <col min="4537" max="4537" width="6.85546875" customWidth="1"/>
    <col min="4538" max="4538" width="29.85546875" customWidth="1"/>
    <col min="4539" max="4539" width="6.7109375" customWidth="1"/>
    <col min="4540" max="4540" width="32.28515625" customWidth="1"/>
    <col min="4541" max="4541" width="10.85546875" customWidth="1"/>
    <col min="4542" max="4542" width="11.7109375" customWidth="1"/>
    <col min="4543" max="4543" width="10.85546875" customWidth="1"/>
    <col min="4544" max="4544" width="10.5703125" customWidth="1"/>
    <col min="4546" max="4546" width="10.85546875" customWidth="1"/>
    <col min="4549" max="4549" width="12" customWidth="1"/>
    <col min="4793" max="4793" width="6.85546875" customWidth="1"/>
    <col min="4794" max="4794" width="29.85546875" customWidth="1"/>
    <col min="4795" max="4795" width="6.7109375" customWidth="1"/>
    <col min="4796" max="4796" width="32.28515625" customWidth="1"/>
    <col min="4797" max="4797" width="10.85546875" customWidth="1"/>
    <col min="4798" max="4798" width="11.7109375" customWidth="1"/>
    <col min="4799" max="4799" width="10.85546875" customWidth="1"/>
    <col min="4800" max="4800" width="10.5703125" customWidth="1"/>
    <col min="4802" max="4802" width="10.85546875" customWidth="1"/>
    <col min="4805" max="4805" width="12" customWidth="1"/>
    <col min="5049" max="5049" width="6.85546875" customWidth="1"/>
    <col min="5050" max="5050" width="29.85546875" customWidth="1"/>
    <col min="5051" max="5051" width="6.7109375" customWidth="1"/>
    <col min="5052" max="5052" width="32.28515625" customWidth="1"/>
    <col min="5053" max="5053" width="10.85546875" customWidth="1"/>
    <col min="5054" max="5054" width="11.7109375" customWidth="1"/>
    <col min="5055" max="5055" width="10.85546875" customWidth="1"/>
    <col min="5056" max="5056" width="10.5703125" customWidth="1"/>
    <col min="5058" max="5058" width="10.85546875" customWidth="1"/>
    <col min="5061" max="5061" width="12" customWidth="1"/>
    <col min="5305" max="5305" width="6.85546875" customWidth="1"/>
    <col min="5306" max="5306" width="29.85546875" customWidth="1"/>
    <col min="5307" max="5307" width="6.7109375" customWidth="1"/>
    <col min="5308" max="5308" width="32.28515625" customWidth="1"/>
    <col min="5309" max="5309" width="10.85546875" customWidth="1"/>
    <col min="5310" max="5310" width="11.7109375" customWidth="1"/>
    <col min="5311" max="5311" width="10.85546875" customWidth="1"/>
    <col min="5312" max="5312" width="10.5703125" customWidth="1"/>
    <col min="5314" max="5314" width="10.85546875" customWidth="1"/>
    <col min="5317" max="5317" width="12" customWidth="1"/>
    <col min="5561" max="5561" width="6.85546875" customWidth="1"/>
    <col min="5562" max="5562" width="29.85546875" customWidth="1"/>
    <col min="5563" max="5563" width="6.7109375" customWidth="1"/>
    <col min="5564" max="5564" width="32.28515625" customWidth="1"/>
    <col min="5565" max="5565" width="10.85546875" customWidth="1"/>
    <col min="5566" max="5566" width="11.7109375" customWidth="1"/>
    <col min="5567" max="5567" width="10.85546875" customWidth="1"/>
    <col min="5568" max="5568" width="10.5703125" customWidth="1"/>
    <col min="5570" max="5570" width="10.85546875" customWidth="1"/>
    <col min="5573" max="5573" width="12" customWidth="1"/>
    <col min="5817" max="5817" width="6.85546875" customWidth="1"/>
    <col min="5818" max="5818" width="29.85546875" customWidth="1"/>
    <col min="5819" max="5819" width="6.7109375" customWidth="1"/>
    <col min="5820" max="5820" width="32.28515625" customWidth="1"/>
    <col min="5821" max="5821" width="10.85546875" customWidth="1"/>
    <col min="5822" max="5822" width="11.7109375" customWidth="1"/>
    <col min="5823" max="5823" width="10.85546875" customWidth="1"/>
    <col min="5824" max="5824" width="10.5703125" customWidth="1"/>
    <col min="5826" max="5826" width="10.85546875" customWidth="1"/>
    <col min="5829" max="5829" width="12" customWidth="1"/>
    <col min="6073" max="6073" width="6.85546875" customWidth="1"/>
    <col min="6074" max="6074" width="29.85546875" customWidth="1"/>
    <col min="6075" max="6075" width="6.7109375" customWidth="1"/>
    <col min="6076" max="6076" width="32.28515625" customWidth="1"/>
    <col min="6077" max="6077" width="10.85546875" customWidth="1"/>
    <col min="6078" max="6078" width="11.7109375" customWidth="1"/>
    <col min="6079" max="6079" width="10.85546875" customWidth="1"/>
    <col min="6080" max="6080" width="10.5703125" customWidth="1"/>
    <col min="6082" max="6082" width="10.85546875" customWidth="1"/>
    <col min="6085" max="6085" width="12" customWidth="1"/>
    <col min="6329" max="6329" width="6.85546875" customWidth="1"/>
    <col min="6330" max="6330" width="29.85546875" customWidth="1"/>
    <col min="6331" max="6331" width="6.7109375" customWidth="1"/>
    <col min="6332" max="6332" width="32.28515625" customWidth="1"/>
    <col min="6333" max="6333" width="10.85546875" customWidth="1"/>
    <col min="6334" max="6334" width="11.7109375" customWidth="1"/>
    <col min="6335" max="6335" width="10.85546875" customWidth="1"/>
    <col min="6336" max="6336" width="10.5703125" customWidth="1"/>
    <col min="6338" max="6338" width="10.85546875" customWidth="1"/>
    <col min="6341" max="6341" width="12" customWidth="1"/>
    <col min="6585" max="6585" width="6.85546875" customWidth="1"/>
    <col min="6586" max="6586" width="29.85546875" customWidth="1"/>
    <col min="6587" max="6587" width="6.7109375" customWidth="1"/>
    <col min="6588" max="6588" width="32.28515625" customWidth="1"/>
    <col min="6589" max="6589" width="10.85546875" customWidth="1"/>
    <col min="6590" max="6590" width="11.7109375" customWidth="1"/>
    <col min="6591" max="6591" width="10.85546875" customWidth="1"/>
    <col min="6592" max="6592" width="10.5703125" customWidth="1"/>
    <col min="6594" max="6594" width="10.85546875" customWidth="1"/>
    <col min="6597" max="6597" width="12" customWidth="1"/>
    <col min="6841" max="6841" width="6.85546875" customWidth="1"/>
    <col min="6842" max="6842" width="29.85546875" customWidth="1"/>
    <col min="6843" max="6843" width="6.7109375" customWidth="1"/>
    <col min="6844" max="6844" width="32.28515625" customWidth="1"/>
    <col min="6845" max="6845" width="10.85546875" customWidth="1"/>
    <col min="6846" max="6846" width="11.7109375" customWidth="1"/>
    <col min="6847" max="6847" width="10.85546875" customWidth="1"/>
    <col min="6848" max="6848" width="10.5703125" customWidth="1"/>
    <col min="6850" max="6850" width="10.85546875" customWidth="1"/>
    <col min="6853" max="6853" width="12" customWidth="1"/>
    <col min="7097" max="7097" width="6.85546875" customWidth="1"/>
    <col min="7098" max="7098" width="29.85546875" customWidth="1"/>
    <col min="7099" max="7099" width="6.7109375" customWidth="1"/>
    <col min="7100" max="7100" width="32.28515625" customWidth="1"/>
    <col min="7101" max="7101" width="10.85546875" customWidth="1"/>
    <col min="7102" max="7102" width="11.7109375" customWidth="1"/>
    <col min="7103" max="7103" width="10.85546875" customWidth="1"/>
    <col min="7104" max="7104" width="10.5703125" customWidth="1"/>
    <col min="7106" max="7106" width="10.85546875" customWidth="1"/>
    <col min="7109" max="7109" width="12" customWidth="1"/>
    <col min="7353" max="7353" width="6.85546875" customWidth="1"/>
    <col min="7354" max="7354" width="29.85546875" customWidth="1"/>
    <col min="7355" max="7355" width="6.7109375" customWidth="1"/>
    <col min="7356" max="7356" width="32.28515625" customWidth="1"/>
    <col min="7357" max="7357" width="10.85546875" customWidth="1"/>
    <col min="7358" max="7358" width="11.7109375" customWidth="1"/>
    <col min="7359" max="7359" width="10.85546875" customWidth="1"/>
    <col min="7360" max="7360" width="10.5703125" customWidth="1"/>
    <col min="7362" max="7362" width="10.85546875" customWidth="1"/>
    <col min="7365" max="7365" width="12" customWidth="1"/>
    <col min="7609" max="7609" width="6.85546875" customWidth="1"/>
    <col min="7610" max="7610" width="29.85546875" customWidth="1"/>
    <col min="7611" max="7611" width="6.7109375" customWidth="1"/>
    <col min="7612" max="7612" width="32.28515625" customWidth="1"/>
    <col min="7613" max="7613" width="10.85546875" customWidth="1"/>
    <col min="7614" max="7614" width="11.7109375" customWidth="1"/>
    <col min="7615" max="7615" width="10.85546875" customWidth="1"/>
    <col min="7616" max="7616" width="10.5703125" customWidth="1"/>
    <col min="7618" max="7618" width="10.85546875" customWidth="1"/>
    <col min="7621" max="7621" width="12" customWidth="1"/>
    <col min="7865" max="7865" width="6.85546875" customWidth="1"/>
    <col min="7866" max="7866" width="29.85546875" customWidth="1"/>
    <col min="7867" max="7867" width="6.7109375" customWidth="1"/>
    <col min="7868" max="7868" width="32.28515625" customWidth="1"/>
    <col min="7869" max="7869" width="10.85546875" customWidth="1"/>
    <col min="7870" max="7870" width="11.7109375" customWidth="1"/>
    <col min="7871" max="7871" width="10.85546875" customWidth="1"/>
    <col min="7872" max="7872" width="10.5703125" customWidth="1"/>
    <col min="7874" max="7874" width="10.85546875" customWidth="1"/>
    <col min="7877" max="7877" width="12" customWidth="1"/>
    <col min="8121" max="8121" width="6.85546875" customWidth="1"/>
    <col min="8122" max="8122" width="29.85546875" customWidth="1"/>
    <col min="8123" max="8123" width="6.7109375" customWidth="1"/>
    <col min="8124" max="8124" width="32.28515625" customWidth="1"/>
    <col min="8125" max="8125" width="10.85546875" customWidth="1"/>
    <col min="8126" max="8126" width="11.7109375" customWidth="1"/>
    <col min="8127" max="8127" width="10.85546875" customWidth="1"/>
    <col min="8128" max="8128" width="10.5703125" customWidth="1"/>
    <col min="8130" max="8130" width="10.85546875" customWidth="1"/>
    <col min="8133" max="8133" width="12" customWidth="1"/>
    <col min="8377" max="8377" width="6.85546875" customWidth="1"/>
    <col min="8378" max="8378" width="29.85546875" customWidth="1"/>
    <col min="8379" max="8379" width="6.7109375" customWidth="1"/>
    <col min="8380" max="8380" width="32.28515625" customWidth="1"/>
    <col min="8381" max="8381" width="10.85546875" customWidth="1"/>
    <col min="8382" max="8382" width="11.7109375" customWidth="1"/>
    <col min="8383" max="8383" width="10.85546875" customWidth="1"/>
    <col min="8384" max="8384" width="10.5703125" customWidth="1"/>
    <col min="8386" max="8386" width="10.85546875" customWidth="1"/>
    <col min="8389" max="8389" width="12" customWidth="1"/>
    <col min="8633" max="8633" width="6.85546875" customWidth="1"/>
    <col min="8634" max="8634" width="29.85546875" customWidth="1"/>
    <col min="8635" max="8635" width="6.7109375" customWidth="1"/>
    <col min="8636" max="8636" width="32.28515625" customWidth="1"/>
    <col min="8637" max="8637" width="10.85546875" customWidth="1"/>
    <col min="8638" max="8638" width="11.7109375" customWidth="1"/>
    <col min="8639" max="8639" width="10.85546875" customWidth="1"/>
    <col min="8640" max="8640" width="10.5703125" customWidth="1"/>
    <col min="8642" max="8642" width="10.85546875" customWidth="1"/>
    <col min="8645" max="8645" width="12" customWidth="1"/>
    <col min="8889" max="8889" width="6.85546875" customWidth="1"/>
    <col min="8890" max="8890" width="29.85546875" customWidth="1"/>
    <col min="8891" max="8891" width="6.7109375" customWidth="1"/>
    <col min="8892" max="8892" width="32.28515625" customWidth="1"/>
    <col min="8893" max="8893" width="10.85546875" customWidth="1"/>
    <col min="8894" max="8894" width="11.7109375" customWidth="1"/>
    <col min="8895" max="8895" width="10.85546875" customWidth="1"/>
    <col min="8896" max="8896" width="10.5703125" customWidth="1"/>
    <col min="8898" max="8898" width="10.85546875" customWidth="1"/>
    <col min="8901" max="8901" width="12" customWidth="1"/>
    <col min="9145" max="9145" width="6.85546875" customWidth="1"/>
    <col min="9146" max="9146" width="29.85546875" customWidth="1"/>
    <col min="9147" max="9147" width="6.7109375" customWidth="1"/>
    <col min="9148" max="9148" width="32.28515625" customWidth="1"/>
    <col min="9149" max="9149" width="10.85546875" customWidth="1"/>
    <col min="9150" max="9150" width="11.7109375" customWidth="1"/>
    <col min="9151" max="9151" width="10.85546875" customWidth="1"/>
    <col min="9152" max="9152" width="10.5703125" customWidth="1"/>
    <col min="9154" max="9154" width="10.85546875" customWidth="1"/>
    <col min="9157" max="9157" width="12" customWidth="1"/>
    <col min="9401" max="9401" width="6.85546875" customWidth="1"/>
    <col min="9402" max="9402" width="29.85546875" customWidth="1"/>
    <col min="9403" max="9403" width="6.7109375" customWidth="1"/>
    <col min="9404" max="9404" width="32.28515625" customWidth="1"/>
    <col min="9405" max="9405" width="10.85546875" customWidth="1"/>
    <col min="9406" max="9406" width="11.7109375" customWidth="1"/>
    <col min="9407" max="9407" width="10.85546875" customWidth="1"/>
    <col min="9408" max="9408" width="10.5703125" customWidth="1"/>
    <col min="9410" max="9410" width="10.85546875" customWidth="1"/>
    <col min="9413" max="9413" width="12" customWidth="1"/>
    <col min="9657" max="9657" width="6.85546875" customWidth="1"/>
    <col min="9658" max="9658" width="29.85546875" customWidth="1"/>
    <col min="9659" max="9659" width="6.7109375" customWidth="1"/>
    <col min="9660" max="9660" width="32.28515625" customWidth="1"/>
    <col min="9661" max="9661" width="10.85546875" customWidth="1"/>
    <col min="9662" max="9662" width="11.7109375" customWidth="1"/>
    <col min="9663" max="9663" width="10.85546875" customWidth="1"/>
    <col min="9664" max="9664" width="10.5703125" customWidth="1"/>
    <col min="9666" max="9666" width="10.85546875" customWidth="1"/>
    <col min="9669" max="9669" width="12" customWidth="1"/>
    <col min="9913" max="9913" width="6.85546875" customWidth="1"/>
    <col min="9914" max="9914" width="29.85546875" customWidth="1"/>
    <col min="9915" max="9915" width="6.7109375" customWidth="1"/>
    <col min="9916" max="9916" width="32.28515625" customWidth="1"/>
    <col min="9917" max="9917" width="10.85546875" customWidth="1"/>
    <col min="9918" max="9918" width="11.7109375" customWidth="1"/>
    <col min="9919" max="9919" width="10.85546875" customWidth="1"/>
    <col min="9920" max="9920" width="10.5703125" customWidth="1"/>
    <col min="9922" max="9922" width="10.85546875" customWidth="1"/>
    <col min="9925" max="9925" width="12" customWidth="1"/>
    <col min="10169" max="10169" width="6.85546875" customWidth="1"/>
    <col min="10170" max="10170" width="29.85546875" customWidth="1"/>
    <col min="10171" max="10171" width="6.7109375" customWidth="1"/>
    <col min="10172" max="10172" width="32.28515625" customWidth="1"/>
    <col min="10173" max="10173" width="10.85546875" customWidth="1"/>
    <col min="10174" max="10174" width="11.7109375" customWidth="1"/>
    <col min="10175" max="10175" width="10.85546875" customWidth="1"/>
    <col min="10176" max="10176" width="10.5703125" customWidth="1"/>
    <col min="10178" max="10178" width="10.85546875" customWidth="1"/>
    <col min="10181" max="10181" width="12" customWidth="1"/>
    <col min="10425" max="10425" width="6.85546875" customWidth="1"/>
    <col min="10426" max="10426" width="29.85546875" customWidth="1"/>
    <col min="10427" max="10427" width="6.7109375" customWidth="1"/>
    <col min="10428" max="10428" width="32.28515625" customWidth="1"/>
    <col min="10429" max="10429" width="10.85546875" customWidth="1"/>
    <col min="10430" max="10430" width="11.7109375" customWidth="1"/>
    <col min="10431" max="10431" width="10.85546875" customWidth="1"/>
    <col min="10432" max="10432" width="10.5703125" customWidth="1"/>
    <col min="10434" max="10434" width="10.85546875" customWidth="1"/>
    <col min="10437" max="10437" width="12" customWidth="1"/>
    <col min="10681" max="10681" width="6.85546875" customWidth="1"/>
    <col min="10682" max="10682" width="29.85546875" customWidth="1"/>
    <col min="10683" max="10683" width="6.7109375" customWidth="1"/>
    <col min="10684" max="10684" width="32.28515625" customWidth="1"/>
    <col min="10685" max="10685" width="10.85546875" customWidth="1"/>
    <col min="10686" max="10686" width="11.7109375" customWidth="1"/>
    <col min="10687" max="10687" width="10.85546875" customWidth="1"/>
    <col min="10688" max="10688" width="10.5703125" customWidth="1"/>
    <col min="10690" max="10690" width="10.85546875" customWidth="1"/>
    <col min="10693" max="10693" width="12" customWidth="1"/>
    <col min="10937" max="10937" width="6.85546875" customWidth="1"/>
    <col min="10938" max="10938" width="29.85546875" customWidth="1"/>
    <col min="10939" max="10939" width="6.7109375" customWidth="1"/>
    <col min="10940" max="10940" width="32.28515625" customWidth="1"/>
    <col min="10941" max="10941" width="10.85546875" customWidth="1"/>
    <col min="10942" max="10942" width="11.7109375" customWidth="1"/>
    <col min="10943" max="10943" width="10.85546875" customWidth="1"/>
    <col min="10944" max="10944" width="10.5703125" customWidth="1"/>
    <col min="10946" max="10946" width="10.85546875" customWidth="1"/>
    <col min="10949" max="10949" width="12" customWidth="1"/>
    <col min="11193" max="11193" width="6.85546875" customWidth="1"/>
    <col min="11194" max="11194" width="29.85546875" customWidth="1"/>
    <col min="11195" max="11195" width="6.7109375" customWidth="1"/>
    <col min="11196" max="11196" width="32.28515625" customWidth="1"/>
    <col min="11197" max="11197" width="10.85546875" customWidth="1"/>
    <col min="11198" max="11198" width="11.7109375" customWidth="1"/>
    <col min="11199" max="11199" width="10.85546875" customWidth="1"/>
    <col min="11200" max="11200" width="10.5703125" customWidth="1"/>
    <col min="11202" max="11202" width="10.85546875" customWidth="1"/>
    <col min="11205" max="11205" width="12" customWidth="1"/>
    <col min="11449" max="11449" width="6.85546875" customWidth="1"/>
    <col min="11450" max="11450" width="29.85546875" customWidth="1"/>
    <col min="11451" max="11451" width="6.7109375" customWidth="1"/>
    <col min="11452" max="11452" width="32.28515625" customWidth="1"/>
    <col min="11453" max="11453" width="10.85546875" customWidth="1"/>
    <col min="11454" max="11454" width="11.7109375" customWidth="1"/>
    <col min="11455" max="11455" width="10.85546875" customWidth="1"/>
    <col min="11456" max="11456" width="10.5703125" customWidth="1"/>
    <col min="11458" max="11458" width="10.85546875" customWidth="1"/>
    <col min="11461" max="11461" width="12" customWidth="1"/>
    <col min="11705" max="11705" width="6.85546875" customWidth="1"/>
    <col min="11706" max="11706" width="29.85546875" customWidth="1"/>
    <col min="11707" max="11707" width="6.7109375" customWidth="1"/>
    <col min="11708" max="11708" width="32.28515625" customWidth="1"/>
    <col min="11709" max="11709" width="10.85546875" customWidth="1"/>
    <col min="11710" max="11710" width="11.7109375" customWidth="1"/>
    <col min="11711" max="11711" width="10.85546875" customWidth="1"/>
    <col min="11712" max="11712" width="10.5703125" customWidth="1"/>
    <col min="11714" max="11714" width="10.85546875" customWidth="1"/>
    <col min="11717" max="11717" width="12" customWidth="1"/>
    <col min="11961" max="11961" width="6.85546875" customWidth="1"/>
    <col min="11962" max="11962" width="29.85546875" customWidth="1"/>
    <col min="11963" max="11963" width="6.7109375" customWidth="1"/>
    <col min="11964" max="11964" width="32.28515625" customWidth="1"/>
    <col min="11965" max="11965" width="10.85546875" customWidth="1"/>
    <col min="11966" max="11966" width="11.7109375" customWidth="1"/>
    <col min="11967" max="11967" width="10.85546875" customWidth="1"/>
    <col min="11968" max="11968" width="10.5703125" customWidth="1"/>
    <col min="11970" max="11970" width="10.85546875" customWidth="1"/>
    <col min="11973" max="11973" width="12" customWidth="1"/>
    <col min="12217" max="12217" width="6.85546875" customWidth="1"/>
    <col min="12218" max="12218" width="29.85546875" customWidth="1"/>
    <col min="12219" max="12219" width="6.7109375" customWidth="1"/>
    <col min="12220" max="12220" width="32.28515625" customWidth="1"/>
    <col min="12221" max="12221" width="10.85546875" customWidth="1"/>
    <col min="12222" max="12222" width="11.7109375" customWidth="1"/>
    <col min="12223" max="12223" width="10.85546875" customWidth="1"/>
    <col min="12224" max="12224" width="10.5703125" customWidth="1"/>
    <col min="12226" max="12226" width="10.85546875" customWidth="1"/>
    <col min="12229" max="12229" width="12" customWidth="1"/>
    <col min="12473" max="12473" width="6.85546875" customWidth="1"/>
    <col min="12474" max="12474" width="29.85546875" customWidth="1"/>
    <col min="12475" max="12475" width="6.7109375" customWidth="1"/>
    <col min="12476" max="12476" width="32.28515625" customWidth="1"/>
    <col min="12477" max="12477" width="10.85546875" customWidth="1"/>
    <col min="12478" max="12478" width="11.7109375" customWidth="1"/>
    <col min="12479" max="12479" width="10.85546875" customWidth="1"/>
    <col min="12480" max="12480" width="10.5703125" customWidth="1"/>
    <col min="12482" max="12482" width="10.85546875" customWidth="1"/>
    <col min="12485" max="12485" width="12" customWidth="1"/>
    <col min="12729" max="12729" width="6.85546875" customWidth="1"/>
    <col min="12730" max="12730" width="29.85546875" customWidth="1"/>
    <col min="12731" max="12731" width="6.7109375" customWidth="1"/>
    <col min="12732" max="12732" width="32.28515625" customWidth="1"/>
    <col min="12733" max="12733" width="10.85546875" customWidth="1"/>
    <col min="12734" max="12734" width="11.7109375" customWidth="1"/>
    <col min="12735" max="12735" width="10.85546875" customWidth="1"/>
    <col min="12736" max="12736" width="10.5703125" customWidth="1"/>
    <col min="12738" max="12738" width="10.85546875" customWidth="1"/>
    <col min="12741" max="12741" width="12" customWidth="1"/>
    <col min="12985" max="12985" width="6.85546875" customWidth="1"/>
    <col min="12986" max="12986" width="29.85546875" customWidth="1"/>
    <col min="12987" max="12987" width="6.7109375" customWidth="1"/>
    <col min="12988" max="12988" width="32.28515625" customWidth="1"/>
    <col min="12989" max="12989" width="10.85546875" customWidth="1"/>
    <col min="12990" max="12990" width="11.7109375" customWidth="1"/>
    <col min="12991" max="12991" width="10.85546875" customWidth="1"/>
    <col min="12992" max="12992" width="10.5703125" customWidth="1"/>
    <col min="12994" max="12994" width="10.85546875" customWidth="1"/>
    <col min="12997" max="12997" width="12" customWidth="1"/>
    <col min="13241" max="13241" width="6.85546875" customWidth="1"/>
    <col min="13242" max="13242" width="29.85546875" customWidth="1"/>
    <col min="13243" max="13243" width="6.7109375" customWidth="1"/>
    <col min="13244" max="13244" width="32.28515625" customWidth="1"/>
    <col min="13245" max="13245" width="10.85546875" customWidth="1"/>
    <col min="13246" max="13246" width="11.7109375" customWidth="1"/>
    <col min="13247" max="13247" width="10.85546875" customWidth="1"/>
    <col min="13248" max="13248" width="10.5703125" customWidth="1"/>
    <col min="13250" max="13250" width="10.85546875" customWidth="1"/>
    <col min="13253" max="13253" width="12" customWidth="1"/>
    <col min="13497" max="13497" width="6.85546875" customWidth="1"/>
    <col min="13498" max="13498" width="29.85546875" customWidth="1"/>
    <col min="13499" max="13499" width="6.7109375" customWidth="1"/>
    <col min="13500" max="13500" width="32.28515625" customWidth="1"/>
    <col min="13501" max="13501" width="10.85546875" customWidth="1"/>
    <col min="13502" max="13502" width="11.7109375" customWidth="1"/>
    <col min="13503" max="13503" width="10.85546875" customWidth="1"/>
    <col min="13504" max="13504" width="10.5703125" customWidth="1"/>
    <col min="13506" max="13506" width="10.85546875" customWidth="1"/>
    <col min="13509" max="13509" width="12" customWidth="1"/>
    <col min="13753" max="13753" width="6.85546875" customWidth="1"/>
    <col min="13754" max="13754" width="29.85546875" customWidth="1"/>
    <col min="13755" max="13755" width="6.7109375" customWidth="1"/>
    <col min="13756" max="13756" width="32.28515625" customWidth="1"/>
    <col min="13757" max="13757" width="10.85546875" customWidth="1"/>
    <col min="13758" max="13758" width="11.7109375" customWidth="1"/>
    <col min="13759" max="13759" width="10.85546875" customWidth="1"/>
    <col min="13760" max="13760" width="10.5703125" customWidth="1"/>
    <col min="13762" max="13762" width="10.85546875" customWidth="1"/>
    <col min="13765" max="13765" width="12" customWidth="1"/>
    <col min="14009" max="14009" width="6.85546875" customWidth="1"/>
    <col min="14010" max="14010" width="29.85546875" customWidth="1"/>
    <col min="14011" max="14011" width="6.7109375" customWidth="1"/>
    <col min="14012" max="14012" width="32.28515625" customWidth="1"/>
    <col min="14013" max="14013" width="10.85546875" customWidth="1"/>
    <col min="14014" max="14014" width="11.7109375" customWidth="1"/>
    <col min="14015" max="14015" width="10.85546875" customWidth="1"/>
    <col min="14016" max="14016" width="10.5703125" customWidth="1"/>
    <col min="14018" max="14018" width="10.85546875" customWidth="1"/>
    <col min="14021" max="14021" width="12" customWidth="1"/>
    <col min="14265" max="14265" width="6.85546875" customWidth="1"/>
    <col min="14266" max="14266" width="29.85546875" customWidth="1"/>
    <col min="14267" max="14267" width="6.7109375" customWidth="1"/>
    <col min="14268" max="14268" width="32.28515625" customWidth="1"/>
    <col min="14269" max="14269" width="10.85546875" customWidth="1"/>
    <col min="14270" max="14270" width="11.7109375" customWidth="1"/>
    <col min="14271" max="14271" width="10.85546875" customWidth="1"/>
    <col min="14272" max="14272" width="10.5703125" customWidth="1"/>
    <col min="14274" max="14274" width="10.85546875" customWidth="1"/>
    <col min="14277" max="14277" width="12" customWidth="1"/>
    <col min="14521" max="14521" width="6.85546875" customWidth="1"/>
    <col min="14522" max="14522" width="29.85546875" customWidth="1"/>
    <col min="14523" max="14523" width="6.7109375" customWidth="1"/>
    <col min="14524" max="14524" width="32.28515625" customWidth="1"/>
    <col min="14525" max="14525" width="10.85546875" customWidth="1"/>
    <col min="14526" max="14526" width="11.7109375" customWidth="1"/>
    <col min="14527" max="14527" width="10.85546875" customWidth="1"/>
    <col min="14528" max="14528" width="10.5703125" customWidth="1"/>
    <col min="14530" max="14530" width="10.85546875" customWidth="1"/>
    <col min="14533" max="14533" width="12" customWidth="1"/>
    <col min="14777" max="14777" width="6.85546875" customWidth="1"/>
    <col min="14778" max="14778" width="29.85546875" customWidth="1"/>
    <col min="14779" max="14779" width="6.7109375" customWidth="1"/>
    <col min="14780" max="14780" width="32.28515625" customWidth="1"/>
    <col min="14781" max="14781" width="10.85546875" customWidth="1"/>
    <col min="14782" max="14782" width="11.7109375" customWidth="1"/>
    <col min="14783" max="14783" width="10.85546875" customWidth="1"/>
    <col min="14784" max="14784" width="10.5703125" customWidth="1"/>
    <col min="14786" max="14786" width="10.85546875" customWidth="1"/>
    <col min="14789" max="14789" width="12" customWidth="1"/>
    <col min="15033" max="15033" width="6.85546875" customWidth="1"/>
    <col min="15034" max="15034" width="29.85546875" customWidth="1"/>
    <col min="15035" max="15035" width="6.7109375" customWidth="1"/>
    <col min="15036" max="15036" width="32.28515625" customWidth="1"/>
    <col min="15037" max="15037" width="10.85546875" customWidth="1"/>
    <col min="15038" max="15038" width="11.7109375" customWidth="1"/>
    <col min="15039" max="15039" width="10.85546875" customWidth="1"/>
    <col min="15040" max="15040" width="10.5703125" customWidth="1"/>
    <col min="15042" max="15042" width="10.85546875" customWidth="1"/>
    <col min="15045" max="15045" width="12" customWidth="1"/>
    <col min="15289" max="15289" width="6.85546875" customWidth="1"/>
    <col min="15290" max="15290" width="29.85546875" customWidth="1"/>
    <col min="15291" max="15291" width="6.7109375" customWidth="1"/>
    <col min="15292" max="15292" width="32.28515625" customWidth="1"/>
    <col min="15293" max="15293" width="10.85546875" customWidth="1"/>
    <col min="15294" max="15294" width="11.7109375" customWidth="1"/>
    <col min="15295" max="15295" width="10.85546875" customWidth="1"/>
    <col min="15296" max="15296" width="10.5703125" customWidth="1"/>
    <col min="15298" max="15298" width="10.85546875" customWidth="1"/>
    <col min="15301" max="15301" width="12" customWidth="1"/>
    <col min="15545" max="15545" width="6.85546875" customWidth="1"/>
    <col min="15546" max="15546" width="29.85546875" customWidth="1"/>
    <col min="15547" max="15547" width="6.7109375" customWidth="1"/>
    <col min="15548" max="15548" width="32.28515625" customWidth="1"/>
    <col min="15549" max="15549" width="10.85546875" customWidth="1"/>
    <col min="15550" max="15550" width="11.7109375" customWidth="1"/>
    <col min="15551" max="15551" width="10.85546875" customWidth="1"/>
    <col min="15552" max="15552" width="10.5703125" customWidth="1"/>
    <col min="15554" max="15554" width="10.85546875" customWidth="1"/>
    <col min="15557" max="15557" width="12" customWidth="1"/>
    <col min="15801" max="15801" width="6.85546875" customWidth="1"/>
    <col min="15802" max="15802" width="29.85546875" customWidth="1"/>
    <col min="15803" max="15803" width="6.7109375" customWidth="1"/>
    <col min="15804" max="15804" width="32.28515625" customWidth="1"/>
    <col min="15805" max="15805" width="10.85546875" customWidth="1"/>
    <col min="15806" max="15806" width="11.7109375" customWidth="1"/>
    <col min="15807" max="15807" width="10.85546875" customWidth="1"/>
    <col min="15808" max="15808" width="10.5703125" customWidth="1"/>
    <col min="15810" max="15810" width="10.85546875" customWidth="1"/>
    <col min="15813" max="15813" width="12" customWidth="1"/>
    <col min="16057" max="16057" width="6.85546875" customWidth="1"/>
    <col min="16058" max="16058" width="29.85546875" customWidth="1"/>
    <col min="16059" max="16059" width="6.7109375" customWidth="1"/>
    <col min="16060" max="16060" width="32.28515625" customWidth="1"/>
    <col min="16061" max="16061" width="10.85546875" customWidth="1"/>
    <col min="16062" max="16062" width="11.7109375" customWidth="1"/>
    <col min="16063" max="16063" width="10.85546875" customWidth="1"/>
    <col min="16064" max="16064" width="10.5703125" customWidth="1"/>
    <col min="16066" max="16066" width="10.85546875" customWidth="1"/>
    <col min="16069" max="16069" width="12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90"/>
      <c r="H1" s="90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5">
      <c r="A2" s="50" t="s">
        <v>3</v>
      </c>
      <c r="B2" s="50"/>
      <c r="C2" s="42"/>
      <c r="D2" s="50"/>
      <c r="E2" s="50"/>
      <c r="F2" s="90"/>
      <c r="G2" s="90"/>
      <c r="H2" s="90"/>
    </row>
    <row r="3" spans="1:88" ht="12.75" customHeight="1">
      <c r="A3" s="1215" t="s">
        <v>4</v>
      </c>
      <c r="B3" s="1215"/>
      <c r="C3" s="1215"/>
      <c r="D3" s="1215"/>
      <c r="E3" s="1215"/>
      <c r="F3" s="90"/>
      <c r="G3" s="90"/>
      <c r="H3" s="90"/>
      <c r="AW3" s="506"/>
      <c r="AX3" s="506"/>
    </row>
    <row r="4" spans="1:88" ht="15">
      <c r="A4" s="89"/>
      <c r="B4" s="50"/>
      <c r="C4" s="50"/>
      <c r="D4" s="50"/>
      <c r="E4" s="50"/>
      <c r="F4" s="90"/>
      <c r="G4" s="90"/>
      <c r="H4" s="90"/>
      <c r="AW4" s="505"/>
      <c r="AX4" s="505"/>
    </row>
    <row r="5" spans="1:88" ht="16.5" thickBot="1">
      <c r="A5" s="181" t="s">
        <v>890</v>
      </c>
      <c r="B5" s="51"/>
      <c r="C5" s="51"/>
      <c r="D5" s="51"/>
      <c r="E5" s="52"/>
      <c r="F5" s="252"/>
      <c r="G5" s="252"/>
      <c r="H5" s="52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116" t="s">
        <v>877</v>
      </c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8"/>
      <c r="V6" s="1122" t="s">
        <v>888</v>
      </c>
      <c r="W6" s="1122"/>
      <c r="X6" s="1122"/>
      <c r="Y6" s="1122"/>
      <c r="Z6" s="1122"/>
      <c r="AA6" s="1122"/>
      <c r="AB6" s="1122"/>
      <c r="AC6" s="1122"/>
      <c r="AD6" s="1122"/>
      <c r="AE6" s="1122"/>
      <c r="AF6" s="1122"/>
      <c r="AG6" s="1122"/>
      <c r="AH6" s="1122"/>
      <c r="AI6" s="1122"/>
      <c r="AJ6" s="1122"/>
      <c r="AK6" s="1122"/>
      <c r="AL6" s="1122"/>
      <c r="AM6" s="1122"/>
      <c r="AN6" s="1122"/>
      <c r="AO6" s="1122"/>
      <c r="AP6" s="1122"/>
      <c r="AQ6" s="1122"/>
      <c r="AR6" s="1122"/>
      <c r="AS6" s="1122"/>
      <c r="AT6" s="1122"/>
      <c r="AU6" s="1122"/>
      <c r="AV6" s="1122"/>
      <c r="AW6" s="1122"/>
      <c r="AX6" s="1122"/>
      <c r="AY6" s="1122"/>
      <c r="AZ6" s="1122"/>
      <c r="BA6" s="1122"/>
      <c r="BB6" s="1122"/>
      <c r="BC6" s="1122"/>
      <c r="BD6" s="1122"/>
      <c r="BE6" s="1122"/>
      <c r="BF6" s="1122"/>
      <c r="BG6" s="1122"/>
      <c r="BH6" s="1122"/>
      <c r="BI6" s="1122"/>
      <c r="BJ6" s="1122"/>
      <c r="BK6" s="1123"/>
      <c r="BL6" s="1116" t="s">
        <v>889</v>
      </c>
      <c r="BM6" s="1117"/>
      <c r="BN6" s="1117"/>
      <c r="BO6" s="1117"/>
      <c r="BP6" s="1117"/>
      <c r="BQ6" s="1117"/>
      <c r="BR6" s="1117"/>
      <c r="BS6" s="1117"/>
      <c r="BT6" s="1117"/>
      <c r="BU6" s="1117"/>
      <c r="BV6" s="1117"/>
      <c r="BW6" s="1117"/>
      <c r="BX6" s="1118"/>
      <c r="BY6" s="1209" t="s">
        <v>847</v>
      </c>
      <c r="BZ6" s="1210"/>
      <c r="CA6" s="1210"/>
      <c r="CB6" s="1210"/>
      <c r="CC6" s="1210"/>
      <c r="CD6" s="1211"/>
      <c r="CE6" s="1168" t="s">
        <v>847</v>
      </c>
      <c r="CF6" s="1169"/>
      <c r="CG6" s="1169"/>
      <c r="CH6" s="1169"/>
      <c r="CI6" s="1170"/>
      <c r="CJ6" s="1171"/>
    </row>
    <row r="7" spans="1:88" ht="16.5" customHeight="1" thickBot="1">
      <c r="A7" s="89"/>
      <c r="B7" s="6"/>
      <c r="D7" s="10"/>
      <c r="E7" s="6"/>
      <c r="F7" s="90"/>
      <c r="G7" s="90"/>
      <c r="H7" s="90"/>
      <c r="I7" s="1119"/>
      <c r="J7" s="1120"/>
      <c r="K7" s="1120"/>
      <c r="L7" s="1120"/>
      <c r="M7" s="1120"/>
      <c r="N7" s="1120"/>
      <c r="O7" s="1120"/>
      <c r="P7" s="1120"/>
      <c r="Q7" s="1120"/>
      <c r="R7" s="1120"/>
      <c r="S7" s="1120"/>
      <c r="T7" s="1120"/>
      <c r="U7" s="1121"/>
      <c r="V7" s="1140" t="s">
        <v>807</v>
      </c>
      <c r="W7" s="1140"/>
      <c r="X7" s="1140"/>
      <c r="Y7" s="1140"/>
      <c r="Z7" s="1140"/>
      <c r="AA7" s="1140"/>
      <c r="AB7" s="1140"/>
      <c r="AC7" s="1140"/>
      <c r="AD7" s="1140"/>
      <c r="AE7" s="1140"/>
      <c r="AF7" s="1140"/>
      <c r="AG7" s="1141"/>
      <c r="AH7" s="1139" t="s">
        <v>808</v>
      </c>
      <c r="AI7" s="1140"/>
      <c r="AJ7" s="1140"/>
      <c r="AK7" s="1140"/>
      <c r="AL7" s="1140"/>
      <c r="AM7" s="1140"/>
      <c r="AN7" s="1140"/>
      <c r="AO7" s="1141"/>
      <c r="AP7" s="1190" t="s">
        <v>822</v>
      </c>
      <c r="AQ7" s="1190"/>
      <c r="AR7" s="1190"/>
      <c r="AS7" s="1113" t="s">
        <v>5</v>
      </c>
      <c r="AT7" s="1113" t="s">
        <v>275</v>
      </c>
      <c r="AU7" s="1197" t="s">
        <v>796</v>
      </c>
      <c r="AV7" s="1197"/>
      <c r="AW7" s="1197"/>
      <c r="AX7" s="1198"/>
      <c r="AY7" s="1203" t="s">
        <v>288</v>
      </c>
      <c r="AZ7" s="1206" t="s">
        <v>809</v>
      </c>
      <c r="BA7" s="1207"/>
      <c r="BB7" s="1207"/>
      <c r="BC7" s="1207"/>
      <c r="BD7" s="1207"/>
      <c r="BE7" s="1207"/>
      <c r="BF7" s="1207"/>
      <c r="BG7" s="1207"/>
      <c r="BH7" s="1207"/>
      <c r="BI7" s="1207"/>
      <c r="BJ7" s="1207"/>
      <c r="BK7" s="1208"/>
      <c r="BL7" s="1119"/>
      <c r="BM7" s="1120"/>
      <c r="BN7" s="1120"/>
      <c r="BO7" s="1120"/>
      <c r="BP7" s="1120"/>
      <c r="BQ7" s="1120"/>
      <c r="BR7" s="1120"/>
      <c r="BS7" s="1120"/>
      <c r="BT7" s="1120"/>
      <c r="BU7" s="1120"/>
      <c r="BV7" s="1120"/>
      <c r="BW7" s="1120"/>
      <c r="BX7" s="1121"/>
      <c r="BY7" s="1212"/>
      <c r="BZ7" s="1213"/>
      <c r="CA7" s="1213"/>
      <c r="CB7" s="1213"/>
      <c r="CC7" s="1213"/>
      <c r="CD7" s="1214"/>
      <c r="CE7" s="1172"/>
      <c r="CF7" s="1173"/>
      <c r="CG7" s="1173"/>
      <c r="CH7" s="1173"/>
      <c r="CI7" s="1174"/>
      <c r="CJ7" s="1175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127" t="s">
        <v>6</v>
      </c>
      <c r="J8" s="1124" t="s">
        <v>777</v>
      </c>
      <c r="K8" s="1125"/>
      <c r="L8" s="1125"/>
      <c r="M8" s="1125"/>
      <c r="N8" s="1125"/>
      <c r="O8" s="1125"/>
      <c r="P8" s="1125"/>
      <c r="Q8" s="1125"/>
      <c r="R8" s="1126"/>
      <c r="S8" s="1130" t="s">
        <v>813</v>
      </c>
      <c r="T8" s="1133" t="s">
        <v>814</v>
      </c>
      <c r="U8" s="1134"/>
      <c r="V8" s="1143"/>
      <c r="W8" s="1143"/>
      <c r="X8" s="1143"/>
      <c r="Y8" s="1143"/>
      <c r="Z8" s="1143"/>
      <c r="AA8" s="1143"/>
      <c r="AB8" s="1143"/>
      <c r="AC8" s="1143"/>
      <c r="AD8" s="1143"/>
      <c r="AE8" s="1143"/>
      <c r="AF8" s="1143"/>
      <c r="AG8" s="1144"/>
      <c r="AH8" s="1142"/>
      <c r="AI8" s="1143"/>
      <c r="AJ8" s="1143"/>
      <c r="AK8" s="1143"/>
      <c r="AL8" s="1143"/>
      <c r="AM8" s="1143"/>
      <c r="AN8" s="1143"/>
      <c r="AO8" s="1144"/>
      <c r="AP8" s="1190"/>
      <c r="AQ8" s="1190"/>
      <c r="AR8" s="1190"/>
      <c r="AS8" s="1114"/>
      <c r="AT8" s="1114"/>
      <c r="AU8" s="1199"/>
      <c r="AV8" s="1199"/>
      <c r="AW8" s="1199"/>
      <c r="AX8" s="1200"/>
      <c r="AY8" s="1204"/>
      <c r="AZ8" s="1145" t="s">
        <v>276</v>
      </c>
      <c r="BA8" s="1195"/>
      <c r="BB8" s="1184" t="s">
        <v>277</v>
      </c>
      <c r="BC8" s="1186" t="s">
        <v>860</v>
      </c>
      <c r="BD8" s="1187"/>
      <c r="BE8" s="1184" t="s">
        <v>787</v>
      </c>
      <c r="BF8" s="1184"/>
      <c r="BG8" s="1145" t="s">
        <v>278</v>
      </c>
      <c r="BH8" s="1195"/>
      <c r="BI8" s="1145" t="s">
        <v>823</v>
      </c>
      <c r="BJ8" s="1146"/>
      <c r="BK8" s="1147"/>
      <c r="BL8" s="1165" t="s">
        <v>6</v>
      </c>
      <c r="BM8" s="1161" t="s">
        <v>777</v>
      </c>
      <c r="BN8" s="1161"/>
      <c r="BO8" s="1161"/>
      <c r="BP8" s="1161"/>
      <c r="BQ8" s="1161"/>
      <c r="BR8" s="1161"/>
      <c r="BS8" s="1161"/>
      <c r="BT8" s="1161"/>
      <c r="BU8" s="1161"/>
      <c r="BV8" s="1130" t="s">
        <v>813</v>
      </c>
      <c r="BW8" s="1191" t="s">
        <v>778</v>
      </c>
      <c r="BX8" s="1192"/>
      <c r="BY8" s="1151" t="s">
        <v>846</v>
      </c>
      <c r="BZ8" s="1152"/>
      <c r="CA8" s="1152"/>
      <c r="CB8" s="1152"/>
      <c r="CC8" s="1152"/>
      <c r="CD8" s="1153"/>
      <c r="CE8" s="1176" t="s">
        <v>861</v>
      </c>
      <c r="CF8" s="1177"/>
      <c r="CG8" s="1177"/>
      <c r="CH8" s="1177"/>
      <c r="CI8" s="1177"/>
      <c r="CJ8" s="1178"/>
    </row>
    <row r="9" spans="1:88" ht="19.5" customHeight="1" thickBot="1">
      <c r="A9" s="12" t="s">
        <v>772</v>
      </c>
      <c r="D9" s="12"/>
      <c r="F9" s="59"/>
      <c r="G9" s="60"/>
      <c r="H9" s="60"/>
      <c r="I9" s="1128"/>
      <c r="J9" s="1137" t="s">
        <v>268</v>
      </c>
      <c r="K9" s="1108" t="s">
        <v>827</v>
      </c>
      <c r="L9" s="1109"/>
      <c r="M9" s="1111" t="s">
        <v>274</v>
      </c>
      <c r="N9" s="1108" t="s">
        <v>834</v>
      </c>
      <c r="O9" s="1109"/>
      <c r="P9" s="1111" t="s">
        <v>5</v>
      </c>
      <c r="Q9" s="1111" t="s">
        <v>1</v>
      </c>
      <c r="R9" s="1111" t="s">
        <v>7</v>
      </c>
      <c r="S9" s="1131"/>
      <c r="T9" s="1135"/>
      <c r="U9" s="1136"/>
      <c r="V9" s="1110" t="s">
        <v>279</v>
      </c>
      <c r="W9" s="1104"/>
      <c r="X9" s="1100" t="s">
        <v>812</v>
      </c>
      <c r="Y9" s="1100" t="s">
        <v>811</v>
      </c>
      <c r="Z9" s="1105" t="s">
        <v>860</v>
      </c>
      <c r="AA9" s="1105"/>
      <c r="AB9" s="1182"/>
      <c r="AC9" s="1105" t="s">
        <v>278</v>
      </c>
      <c r="AD9" s="1105"/>
      <c r="AE9" s="1103" t="s">
        <v>788</v>
      </c>
      <c r="AF9" s="1104"/>
      <c r="AG9" s="1106" t="s">
        <v>788</v>
      </c>
      <c r="AH9" s="1103" t="s">
        <v>280</v>
      </c>
      <c r="AI9" s="1104"/>
      <c r="AJ9" s="1101" t="s">
        <v>810</v>
      </c>
      <c r="AK9" s="1103" t="s">
        <v>281</v>
      </c>
      <c r="AL9" s="1104"/>
      <c r="AM9" s="1103" t="s">
        <v>745</v>
      </c>
      <c r="AN9" s="1104"/>
      <c r="AO9" s="1106" t="s">
        <v>745</v>
      </c>
      <c r="AP9" s="1190"/>
      <c r="AQ9" s="1190"/>
      <c r="AR9" s="1190"/>
      <c r="AS9" s="1114"/>
      <c r="AT9" s="1114"/>
      <c r="AU9" s="1201"/>
      <c r="AV9" s="1201"/>
      <c r="AW9" s="1201"/>
      <c r="AX9" s="1202"/>
      <c r="AY9" s="1204"/>
      <c r="AZ9" s="1148"/>
      <c r="BA9" s="1196"/>
      <c r="BB9" s="1185"/>
      <c r="BC9" s="1188"/>
      <c r="BD9" s="1189"/>
      <c r="BE9" s="1185"/>
      <c r="BF9" s="1185"/>
      <c r="BG9" s="1148"/>
      <c r="BH9" s="1196"/>
      <c r="BI9" s="1148"/>
      <c r="BJ9" s="1149"/>
      <c r="BK9" s="1150"/>
      <c r="BL9" s="1166"/>
      <c r="BM9" s="1157" t="s">
        <v>268</v>
      </c>
      <c r="BN9" s="1108" t="s">
        <v>827</v>
      </c>
      <c r="BO9" s="1109"/>
      <c r="BP9" s="1159" t="s">
        <v>274</v>
      </c>
      <c r="BQ9" s="1162" t="s">
        <v>834</v>
      </c>
      <c r="BR9" s="1162"/>
      <c r="BS9" s="1163" t="s">
        <v>5</v>
      </c>
      <c r="BT9" s="1163" t="s">
        <v>1</v>
      </c>
      <c r="BU9" s="1163" t="s">
        <v>7</v>
      </c>
      <c r="BV9" s="1131"/>
      <c r="BW9" s="1193"/>
      <c r="BX9" s="1194"/>
      <c r="BY9" s="1154"/>
      <c r="BZ9" s="1155"/>
      <c r="CA9" s="1155"/>
      <c r="CB9" s="1155"/>
      <c r="CC9" s="1155"/>
      <c r="CD9" s="1156"/>
      <c r="CE9" s="1179"/>
      <c r="CF9" s="1180"/>
      <c r="CG9" s="1180"/>
      <c r="CH9" s="1180"/>
      <c r="CI9" s="1180"/>
      <c r="CJ9" s="1181"/>
    </row>
    <row r="10" spans="1:88" ht="34.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129"/>
      <c r="J10" s="1138"/>
      <c r="K10" s="587" t="s">
        <v>805</v>
      </c>
      <c r="L10" s="587" t="s">
        <v>806</v>
      </c>
      <c r="M10" s="1112"/>
      <c r="N10" s="587" t="s">
        <v>805</v>
      </c>
      <c r="O10" s="587" t="s">
        <v>806</v>
      </c>
      <c r="P10" s="1112"/>
      <c r="Q10" s="1112"/>
      <c r="R10" s="1112"/>
      <c r="S10" s="1132"/>
      <c r="T10" s="588" t="s">
        <v>805</v>
      </c>
      <c r="U10" s="604" t="s">
        <v>806</v>
      </c>
      <c r="V10" s="562" t="s">
        <v>805</v>
      </c>
      <c r="W10" s="556" t="s">
        <v>806</v>
      </c>
      <c r="X10" s="1100"/>
      <c r="Y10" s="1100"/>
      <c r="Z10" s="556" t="s">
        <v>805</v>
      </c>
      <c r="AA10" s="561" t="s">
        <v>806</v>
      </c>
      <c r="AB10" s="1183"/>
      <c r="AC10" s="556" t="s">
        <v>805</v>
      </c>
      <c r="AD10" s="561" t="s">
        <v>806</v>
      </c>
      <c r="AE10" s="556" t="s">
        <v>805</v>
      </c>
      <c r="AF10" s="561" t="s">
        <v>806</v>
      </c>
      <c r="AG10" s="1107"/>
      <c r="AH10" s="557" t="s">
        <v>805</v>
      </c>
      <c r="AI10" s="557" t="s">
        <v>806</v>
      </c>
      <c r="AJ10" s="1102"/>
      <c r="AK10" s="556" t="s">
        <v>805</v>
      </c>
      <c r="AL10" s="556" t="s">
        <v>806</v>
      </c>
      <c r="AM10" s="556" t="s">
        <v>805</v>
      </c>
      <c r="AN10" s="556" t="s">
        <v>806</v>
      </c>
      <c r="AO10" s="1107"/>
      <c r="AP10" s="556" t="s">
        <v>805</v>
      </c>
      <c r="AQ10" s="556" t="s">
        <v>806</v>
      </c>
      <c r="AR10" s="556" t="s">
        <v>256</v>
      </c>
      <c r="AS10" s="1115"/>
      <c r="AT10" s="1115"/>
      <c r="AU10" s="403" t="s">
        <v>277</v>
      </c>
      <c r="AV10" s="403" t="s">
        <v>278</v>
      </c>
      <c r="AW10" s="403"/>
      <c r="AX10" s="403" t="s">
        <v>746</v>
      </c>
      <c r="AY10" s="1205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67"/>
      <c r="BM10" s="1158"/>
      <c r="BN10" s="557" t="s">
        <v>805</v>
      </c>
      <c r="BO10" s="557" t="s">
        <v>806</v>
      </c>
      <c r="BP10" s="1160"/>
      <c r="BQ10" s="557" t="s">
        <v>805</v>
      </c>
      <c r="BR10" s="557" t="s">
        <v>806</v>
      </c>
      <c r="BS10" s="1164"/>
      <c r="BT10" s="1164"/>
      <c r="BU10" s="1164"/>
      <c r="BV10" s="1132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0" t="s">
        <v>841</v>
      </c>
      <c r="CF10" s="871" t="s">
        <v>268</v>
      </c>
      <c r="CG10" s="871" t="s">
        <v>840</v>
      </c>
      <c r="CH10" s="871" t="s">
        <v>1</v>
      </c>
      <c r="CI10" s="876" t="s">
        <v>796</v>
      </c>
      <c r="CJ10" s="872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81" t="s">
        <v>857</v>
      </c>
      <c r="CF11" s="882" t="s">
        <v>802</v>
      </c>
      <c r="CG11" s="882" t="s">
        <v>858</v>
      </c>
      <c r="CH11" s="882" t="s">
        <v>859</v>
      </c>
      <c r="CI11" s="882" t="s">
        <v>796</v>
      </c>
      <c r="CJ11" s="883" t="s">
        <v>533</v>
      </c>
    </row>
    <row r="12" spans="1:88" s="221" customFormat="1" ht="14.1" customHeight="1">
      <c r="A12" s="617">
        <v>1</v>
      </c>
      <c r="B12" s="618">
        <v>4476</v>
      </c>
      <c r="C12" s="618">
        <v>600075184</v>
      </c>
      <c r="D12" s="618">
        <v>70200815</v>
      </c>
      <c r="E12" s="614" t="s">
        <v>146</v>
      </c>
      <c r="F12" s="618">
        <v>3233</v>
      </c>
      <c r="G12" s="619" t="s">
        <v>297</v>
      </c>
      <c r="H12" s="620" t="s">
        <v>272</v>
      </c>
      <c r="I12" s="857">
        <v>7051490</v>
      </c>
      <c r="J12" s="564">
        <v>4618050</v>
      </c>
      <c r="K12" s="564">
        <v>3338193</v>
      </c>
      <c r="L12" s="564">
        <v>1279857</v>
      </c>
      <c r="M12" s="564">
        <v>610000</v>
      </c>
      <c r="N12" s="564">
        <v>470000</v>
      </c>
      <c r="O12" s="564">
        <v>140000</v>
      </c>
      <c r="P12" s="622">
        <v>1767081</v>
      </c>
      <c r="Q12" s="622">
        <v>46181</v>
      </c>
      <c r="R12" s="564">
        <v>10178</v>
      </c>
      <c r="S12" s="541">
        <v>10.169999999999998</v>
      </c>
      <c r="T12" s="544">
        <v>6.0500000000000007</v>
      </c>
      <c r="U12" s="757">
        <v>4.1199999999999992</v>
      </c>
      <c r="V12" s="411">
        <f>AH12*-1</f>
        <v>-50000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-50000</v>
      </c>
      <c r="AF12" s="409">
        <f>W12+AA12+AD12+AB12</f>
        <v>0</v>
      </c>
      <c r="AG12" s="409">
        <f>SUM(AE12:AF12)</f>
        <v>-50000</v>
      </c>
      <c r="AH12" s="409">
        <v>50000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50000</v>
      </c>
      <c r="AN12" s="409">
        <f>AI12+AL12</f>
        <v>0</v>
      </c>
      <c r="AO12" s="409">
        <f>SUM(AM12:AN12)</f>
        <v>50000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-500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-500</v>
      </c>
      <c r="AZ12" s="410">
        <v>-0.09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-0.09</v>
      </c>
      <c r="BJ12" s="410">
        <f>BA12+BD12+BH12+BF12</f>
        <v>0</v>
      </c>
      <c r="BK12" s="412">
        <f>SUM(BI12:BJ12)</f>
        <v>-0.09</v>
      </c>
      <c r="BL12" s="836">
        <f>I12+AY12</f>
        <v>7050990</v>
      </c>
      <c r="BM12" s="835">
        <f>J12+AG12</f>
        <v>4568050</v>
      </c>
      <c r="BN12" s="835">
        <f>K12+AE12</f>
        <v>3288193</v>
      </c>
      <c r="BO12" s="835">
        <f>L12+AF12</f>
        <v>1279857</v>
      </c>
      <c r="BP12" s="835">
        <f>M12+AO12</f>
        <v>660000</v>
      </c>
      <c r="BQ12" s="835">
        <f>N12+AM12</f>
        <v>520000</v>
      </c>
      <c r="BR12" s="835">
        <f>O12+AN12</f>
        <v>140000</v>
      </c>
      <c r="BS12" s="835">
        <f>P12+AS12</f>
        <v>1767081</v>
      </c>
      <c r="BT12" s="835">
        <f>Q12+AT12</f>
        <v>45681</v>
      </c>
      <c r="BU12" s="835">
        <f>R12+AX12</f>
        <v>10178</v>
      </c>
      <c r="BV12" s="837">
        <f>S12+BK12</f>
        <v>10.079999999999998</v>
      </c>
      <c r="BW12" s="837">
        <f>T12+BI12</f>
        <v>5.9600000000000009</v>
      </c>
      <c r="BX12" s="846">
        <f>U12+BJ12</f>
        <v>4.1199999999999992</v>
      </c>
      <c r="BY12" s="405"/>
      <c r="BZ12" s="406"/>
      <c r="CA12" s="406"/>
      <c r="CB12" s="406"/>
      <c r="CC12" s="406"/>
      <c r="CD12" s="494"/>
      <c r="CE12" s="405"/>
      <c r="CF12" s="602"/>
      <c r="CG12" s="406"/>
      <c r="CH12" s="406"/>
      <c r="CI12" s="1035"/>
      <c r="CJ12" s="605"/>
    </row>
    <row r="13" spans="1:88" s="221" customFormat="1">
      <c r="A13" s="155">
        <v>1</v>
      </c>
      <c r="B13" s="18">
        <v>4476</v>
      </c>
      <c r="C13" s="18">
        <v>600075184</v>
      </c>
      <c r="D13" s="18">
        <v>70200815</v>
      </c>
      <c r="E13" s="164" t="s">
        <v>147</v>
      </c>
      <c r="F13" s="18"/>
      <c r="G13" s="154"/>
      <c r="H13" s="608"/>
      <c r="I13" s="451">
        <v>7051490</v>
      </c>
      <c r="J13" s="579">
        <v>4618050</v>
      </c>
      <c r="K13" s="579">
        <v>3338193</v>
      </c>
      <c r="L13" s="579">
        <v>1279857</v>
      </c>
      <c r="M13" s="579">
        <v>610000</v>
      </c>
      <c r="N13" s="579">
        <v>470000</v>
      </c>
      <c r="O13" s="579">
        <v>140000</v>
      </c>
      <c r="P13" s="579">
        <v>1767081</v>
      </c>
      <c r="Q13" s="579">
        <v>46181</v>
      </c>
      <c r="R13" s="579">
        <v>10178</v>
      </c>
      <c r="S13" s="580">
        <v>10.169999999999998</v>
      </c>
      <c r="T13" s="580">
        <v>6.0500000000000007</v>
      </c>
      <c r="U13" s="759">
        <v>4.1199999999999992</v>
      </c>
      <c r="V13" s="447">
        <f t="shared" ref="V13:CG13" si="0">SUM(V12)</f>
        <v>-50000</v>
      </c>
      <c r="W13" s="444">
        <f t="shared" si="0"/>
        <v>0</v>
      </c>
      <c r="X13" s="444">
        <f t="shared" si="0"/>
        <v>0</v>
      </c>
      <c r="Y13" s="444">
        <f t="shared" si="0"/>
        <v>0</v>
      </c>
      <c r="Z13" s="444">
        <f t="shared" si="0"/>
        <v>0</v>
      </c>
      <c r="AA13" s="444">
        <f t="shared" si="0"/>
        <v>0</v>
      </c>
      <c r="AB13" s="444">
        <f t="shared" si="0"/>
        <v>0</v>
      </c>
      <c r="AC13" s="444">
        <f t="shared" si="0"/>
        <v>0</v>
      </c>
      <c r="AD13" s="444">
        <f t="shared" si="0"/>
        <v>0</v>
      </c>
      <c r="AE13" s="444">
        <f t="shared" si="0"/>
        <v>-50000</v>
      </c>
      <c r="AF13" s="444">
        <f t="shared" si="0"/>
        <v>0</v>
      </c>
      <c r="AG13" s="444">
        <f t="shared" si="0"/>
        <v>-50000</v>
      </c>
      <c r="AH13" s="444">
        <f t="shared" si="0"/>
        <v>50000</v>
      </c>
      <c r="AI13" s="444">
        <f t="shared" si="0"/>
        <v>0</v>
      </c>
      <c r="AJ13" s="444">
        <f t="shared" si="0"/>
        <v>0</v>
      </c>
      <c r="AK13" s="444">
        <f t="shared" si="0"/>
        <v>0</v>
      </c>
      <c r="AL13" s="444">
        <f t="shared" si="0"/>
        <v>0</v>
      </c>
      <c r="AM13" s="444">
        <f t="shared" si="0"/>
        <v>50000</v>
      </c>
      <c r="AN13" s="444">
        <f t="shared" si="0"/>
        <v>0</v>
      </c>
      <c r="AO13" s="444">
        <f t="shared" si="0"/>
        <v>50000</v>
      </c>
      <c r="AP13" s="444">
        <f t="shared" si="0"/>
        <v>0</v>
      </c>
      <c r="AQ13" s="444">
        <f t="shared" si="0"/>
        <v>0</v>
      </c>
      <c r="AR13" s="444">
        <f t="shared" si="0"/>
        <v>0</v>
      </c>
      <c r="AS13" s="444">
        <f t="shared" si="0"/>
        <v>0</v>
      </c>
      <c r="AT13" s="444">
        <f t="shared" si="0"/>
        <v>-500</v>
      </c>
      <c r="AU13" s="444">
        <f t="shared" si="0"/>
        <v>0</v>
      </c>
      <c r="AV13" s="444">
        <f t="shared" si="0"/>
        <v>0</v>
      </c>
      <c r="AW13" s="444">
        <f t="shared" si="0"/>
        <v>0</v>
      </c>
      <c r="AX13" s="444">
        <f t="shared" si="0"/>
        <v>0</v>
      </c>
      <c r="AY13" s="444">
        <f t="shared" si="0"/>
        <v>-500</v>
      </c>
      <c r="AZ13" s="445">
        <f t="shared" si="0"/>
        <v>-0.09</v>
      </c>
      <c r="BA13" s="445">
        <f t="shared" si="0"/>
        <v>0</v>
      </c>
      <c r="BB13" s="445">
        <f t="shared" si="0"/>
        <v>0</v>
      </c>
      <c r="BC13" s="445">
        <f t="shared" si="0"/>
        <v>0</v>
      </c>
      <c r="BD13" s="445">
        <f t="shared" si="0"/>
        <v>0</v>
      </c>
      <c r="BE13" s="445">
        <f t="shared" si="0"/>
        <v>0</v>
      </c>
      <c r="BF13" s="445">
        <f t="shared" si="0"/>
        <v>0</v>
      </c>
      <c r="BG13" s="445">
        <f t="shared" si="0"/>
        <v>0</v>
      </c>
      <c r="BH13" s="445">
        <f t="shared" si="0"/>
        <v>0</v>
      </c>
      <c r="BI13" s="445">
        <f t="shared" si="0"/>
        <v>-0.09</v>
      </c>
      <c r="BJ13" s="445">
        <f t="shared" si="0"/>
        <v>0</v>
      </c>
      <c r="BK13" s="39">
        <f t="shared" si="0"/>
        <v>-0.09</v>
      </c>
      <c r="BL13" s="451">
        <f t="shared" si="0"/>
        <v>7050990</v>
      </c>
      <c r="BM13" s="444">
        <f t="shared" si="0"/>
        <v>4568050</v>
      </c>
      <c r="BN13" s="444">
        <f t="shared" si="0"/>
        <v>3288193</v>
      </c>
      <c r="BO13" s="444">
        <f t="shared" si="0"/>
        <v>1279857</v>
      </c>
      <c r="BP13" s="444">
        <f t="shared" si="0"/>
        <v>660000</v>
      </c>
      <c r="BQ13" s="444">
        <f t="shared" si="0"/>
        <v>520000</v>
      </c>
      <c r="BR13" s="444">
        <f t="shared" si="0"/>
        <v>140000</v>
      </c>
      <c r="BS13" s="444">
        <f t="shared" si="0"/>
        <v>1767081</v>
      </c>
      <c r="BT13" s="444">
        <f t="shared" si="0"/>
        <v>45681</v>
      </c>
      <c r="BU13" s="444">
        <f t="shared" si="0"/>
        <v>10178</v>
      </c>
      <c r="BV13" s="445">
        <f t="shared" si="0"/>
        <v>10.079999999999998</v>
      </c>
      <c r="BW13" s="445">
        <f t="shared" si="0"/>
        <v>5.9600000000000009</v>
      </c>
      <c r="BX13" s="39">
        <f t="shared" si="0"/>
        <v>4.1199999999999992</v>
      </c>
      <c r="BY13" s="806">
        <f t="shared" si="0"/>
        <v>0</v>
      </c>
      <c r="BZ13" s="709">
        <f t="shared" si="0"/>
        <v>0</v>
      </c>
      <c r="CA13" s="709">
        <f t="shared" si="0"/>
        <v>0</v>
      </c>
      <c r="CB13" s="709">
        <f t="shared" si="0"/>
        <v>0</v>
      </c>
      <c r="CC13" s="709">
        <f t="shared" si="0"/>
        <v>0</v>
      </c>
      <c r="CD13" s="807">
        <f t="shared" si="0"/>
        <v>0</v>
      </c>
      <c r="CE13" s="919">
        <f t="shared" si="0"/>
        <v>0</v>
      </c>
      <c r="CF13" s="920">
        <f t="shared" si="0"/>
        <v>0</v>
      </c>
      <c r="CG13" s="920">
        <f t="shared" si="0"/>
        <v>0</v>
      </c>
      <c r="CH13" s="920">
        <f t="shared" ref="CH13:CJ13" si="1">SUM(CH12)</f>
        <v>0</v>
      </c>
      <c r="CI13" s="920">
        <f t="shared" si="1"/>
        <v>0</v>
      </c>
      <c r="CJ13" s="921">
        <f t="shared" si="1"/>
        <v>0</v>
      </c>
    </row>
    <row r="14" spans="1:88" s="221" customFormat="1">
      <c r="A14" s="209">
        <v>2</v>
      </c>
      <c r="B14" s="210">
        <v>4411</v>
      </c>
      <c r="C14" s="210">
        <v>600074340</v>
      </c>
      <c r="D14" s="210">
        <v>70982121</v>
      </c>
      <c r="E14" s="208" t="s">
        <v>148</v>
      </c>
      <c r="F14" s="210">
        <v>3111</v>
      </c>
      <c r="G14" s="165" t="s">
        <v>290</v>
      </c>
      <c r="H14" s="621" t="s">
        <v>271</v>
      </c>
      <c r="I14" s="510">
        <v>9050579</v>
      </c>
      <c r="J14" s="414">
        <v>6479136</v>
      </c>
      <c r="K14" s="414">
        <v>5762444</v>
      </c>
      <c r="L14" s="414">
        <v>716692</v>
      </c>
      <c r="M14" s="414">
        <v>208000</v>
      </c>
      <c r="N14" s="414">
        <v>112000</v>
      </c>
      <c r="O14" s="414">
        <v>96000</v>
      </c>
      <c r="P14" s="68">
        <v>2260252</v>
      </c>
      <c r="Q14" s="68">
        <v>64791</v>
      </c>
      <c r="R14" s="414">
        <v>38400</v>
      </c>
      <c r="S14" s="415">
        <v>12.118899999999998</v>
      </c>
      <c r="T14" s="416">
        <v>9.77</v>
      </c>
      <c r="U14" s="422">
        <v>2.3488999999999995</v>
      </c>
      <c r="V14" s="423">
        <f t="shared" ref="V14:V76" si="2">AH14*-1</f>
        <v>0</v>
      </c>
      <c r="W14" s="417">
        <f t="shared" ref="W14:W76" si="3">AI14*-1</f>
        <v>-12000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ref="AE14:AE76" si="4">V14+X14+Y14+Z14+AC14</f>
        <v>0</v>
      </c>
      <c r="AF14" s="417">
        <f t="shared" ref="AF14:AF76" si="5">W14+AA14+AD14+AB14</f>
        <v>-12000</v>
      </c>
      <c r="AG14" s="417">
        <f t="shared" ref="AG14:AG76" si="6">SUM(AE14:AF14)</f>
        <v>-12000</v>
      </c>
      <c r="AH14" s="417">
        <v>0</v>
      </c>
      <c r="AI14" s="417">
        <v>12000</v>
      </c>
      <c r="AJ14" s="417">
        <v>0</v>
      </c>
      <c r="AK14" s="417">
        <v>0</v>
      </c>
      <c r="AL14" s="417">
        <v>0</v>
      </c>
      <c r="AM14" s="417">
        <f t="shared" ref="AM14:AM76" si="7">AH14+AJ14+AK14</f>
        <v>0</v>
      </c>
      <c r="AN14" s="417">
        <f t="shared" ref="AN14:AN76" si="8">AI14+AL14</f>
        <v>12000</v>
      </c>
      <c r="AO14" s="417">
        <f t="shared" ref="AO14:AO76" si="9">SUM(AM14:AN14)</f>
        <v>12000</v>
      </c>
      <c r="AP14" s="417">
        <f t="shared" ref="AP14:AP76" si="10">AE14+AM14</f>
        <v>0</v>
      </c>
      <c r="AQ14" s="417">
        <f t="shared" ref="AQ14:AQ76" si="11">AF14+AN14</f>
        <v>0</v>
      </c>
      <c r="AR14" s="417">
        <f t="shared" ref="AR14:AR76" si="12">SUM(AP14:AQ14)</f>
        <v>0</v>
      </c>
      <c r="AS14" s="68">
        <f t="shared" ref="AS14:AS76" si="13">ROUND((AG14+AH14+AI14+AJ14)*33.8%,0)</f>
        <v>0</v>
      </c>
      <c r="AT14" s="68">
        <f t="shared" ref="AT14:AT76" si="14">ROUND(AG14*1%,0)</f>
        <v>-120</v>
      </c>
      <c r="AU14" s="417">
        <v>0</v>
      </c>
      <c r="AV14" s="417">
        <v>0</v>
      </c>
      <c r="AW14" s="417">
        <v>0</v>
      </c>
      <c r="AX14" s="417">
        <f t="shared" ref="AX14:AX76" si="15">SUM(AU14:AW14)</f>
        <v>0</v>
      </c>
      <c r="AY14" s="417">
        <f t="shared" ref="AY14:AY76" si="16">AR14+AS14+AT14+AX14</f>
        <v>-120</v>
      </c>
      <c r="AZ14" s="418">
        <v>0</v>
      </c>
      <c r="BA14" s="418">
        <v>-0.05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ref="BI14:BI76" si="17">AZ14+BB14+BC14+BE14+BG14</f>
        <v>0</v>
      </c>
      <c r="BJ14" s="418">
        <f t="shared" ref="BJ14:BJ76" si="18">BA14+BD14+BH14+BF14</f>
        <v>-0.05</v>
      </c>
      <c r="BK14" s="420">
        <f t="shared" ref="BK14:BK76" si="19">SUM(BI14:BJ14)</f>
        <v>-0.05</v>
      </c>
      <c r="BL14" s="772">
        <f>I14+AY14</f>
        <v>9050459</v>
      </c>
      <c r="BM14" s="417">
        <f>J14+AG14</f>
        <v>6467136</v>
      </c>
      <c r="BN14" s="417">
        <f t="shared" ref="BN14:BO16" si="20">K14+AE14</f>
        <v>5762444</v>
      </c>
      <c r="BO14" s="417">
        <f t="shared" si="20"/>
        <v>704692</v>
      </c>
      <c r="BP14" s="417">
        <f>M14+AO14</f>
        <v>220000</v>
      </c>
      <c r="BQ14" s="417">
        <f t="shared" ref="BQ14:BR16" si="21">N14+AM14</f>
        <v>112000</v>
      </c>
      <c r="BR14" s="417">
        <f t="shared" si="21"/>
        <v>108000</v>
      </c>
      <c r="BS14" s="417">
        <f t="shared" ref="BS14:BT16" si="22">P14+AS14</f>
        <v>2260252</v>
      </c>
      <c r="BT14" s="417">
        <f t="shared" si="22"/>
        <v>64671</v>
      </c>
      <c r="BU14" s="417">
        <f>R14+AX14</f>
        <v>38400</v>
      </c>
      <c r="BV14" s="418">
        <f>S14+BK14</f>
        <v>12.068899999999998</v>
      </c>
      <c r="BW14" s="418">
        <f t="shared" ref="BW14:BX16" si="23">T14+BI14</f>
        <v>9.77</v>
      </c>
      <c r="BX14" s="420">
        <f t="shared" si="23"/>
        <v>2.2988999999999997</v>
      </c>
      <c r="BY14" s="419"/>
      <c r="BZ14" s="414"/>
      <c r="CA14" s="414"/>
      <c r="CB14" s="414"/>
      <c r="CC14" s="414"/>
      <c r="CD14" s="509"/>
      <c r="CE14" s="419">
        <v>364317</v>
      </c>
      <c r="CF14" s="414">
        <v>260793</v>
      </c>
      <c r="CG14" s="414">
        <v>88148</v>
      </c>
      <c r="CH14" s="414">
        <v>2608</v>
      </c>
      <c r="CI14" s="414">
        <v>12768</v>
      </c>
      <c r="CJ14" s="509">
        <v>0.87890000000000001</v>
      </c>
    </row>
    <row r="15" spans="1:88" s="221" customFormat="1">
      <c r="A15" s="209">
        <v>2</v>
      </c>
      <c r="B15" s="210">
        <v>4411</v>
      </c>
      <c r="C15" s="210">
        <v>600074340</v>
      </c>
      <c r="D15" s="210">
        <v>70982121</v>
      </c>
      <c r="E15" s="208" t="s">
        <v>148</v>
      </c>
      <c r="F15" s="210">
        <v>3111</v>
      </c>
      <c r="G15" s="165" t="s">
        <v>291</v>
      </c>
      <c r="H15" s="621" t="s">
        <v>272</v>
      </c>
      <c r="I15" s="510">
        <v>1166292</v>
      </c>
      <c r="J15" s="414">
        <v>865202</v>
      </c>
      <c r="K15" s="414">
        <v>865202</v>
      </c>
      <c r="L15" s="414">
        <v>0</v>
      </c>
      <c r="M15" s="414">
        <v>0</v>
      </c>
      <c r="N15" s="414">
        <v>0</v>
      </c>
      <c r="O15" s="414">
        <v>0</v>
      </c>
      <c r="P15" s="68">
        <v>292438</v>
      </c>
      <c r="Q15" s="68">
        <v>8652</v>
      </c>
      <c r="R15" s="414">
        <v>0</v>
      </c>
      <c r="S15" s="415">
        <v>2.33</v>
      </c>
      <c r="T15" s="416">
        <v>2.33</v>
      </c>
      <c r="U15" s="422">
        <v>0</v>
      </c>
      <c r="V15" s="423">
        <f t="shared" si="2"/>
        <v>0</v>
      </c>
      <c r="W15" s="417">
        <f t="shared" si="3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4"/>
        <v>0</v>
      </c>
      <c r="AF15" s="417">
        <f t="shared" si="5"/>
        <v>0</v>
      </c>
      <c r="AG15" s="417">
        <f t="shared" si="6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7"/>
        <v>0</v>
      </c>
      <c r="AN15" s="417">
        <f t="shared" si="8"/>
        <v>0</v>
      </c>
      <c r="AO15" s="417">
        <f t="shared" si="9"/>
        <v>0</v>
      </c>
      <c r="AP15" s="417">
        <f t="shared" si="10"/>
        <v>0</v>
      </c>
      <c r="AQ15" s="417">
        <f t="shared" si="11"/>
        <v>0</v>
      </c>
      <c r="AR15" s="417">
        <f t="shared" si="12"/>
        <v>0</v>
      </c>
      <c r="AS15" s="68">
        <f t="shared" si="13"/>
        <v>0</v>
      </c>
      <c r="AT15" s="68">
        <f t="shared" si="14"/>
        <v>0</v>
      </c>
      <c r="AU15" s="417">
        <v>0</v>
      </c>
      <c r="AV15" s="417">
        <v>0</v>
      </c>
      <c r="AW15" s="417">
        <v>0</v>
      </c>
      <c r="AX15" s="417">
        <f t="shared" si="15"/>
        <v>0</v>
      </c>
      <c r="AY15" s="417">
        <f t="shared" si="16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7"/>
        <v>0</v>
      </c>
      <c r="BJ15" s="418">
        <f t="shared" si="18"/>
        <v>0</v>
      </c>
      <c r="BK15" s="420">
        <f t="shared" si="19"/>
        <v>0</v>
      </c>
      <c r="BL15" s="772">
        <f>I15+AY15</f>
        <v>1166292</v>
      </c>
      <c r="BM15" s="417">
        <f>J15+AG15</f>
        <v>865202</v>
      </c>
      <c r="BN15" s="417">
        <f t="shared" si="20"/>
        <v>865202</v>
      </c>
      <c r="BO15" s="417">
        <f t="shared" si="20"/>
        <v>0</v>
      </c>
      <c r="BP15" s="417">
        <f>M15+AO15</f>
        <v>0</v>
      </c>
      <c r="BQ15" s="417">
        <f t="shared" si="21"/>
        <v>0</v>
      </c>
      <c r="BR15" s="417">
        <f t="shared" si="21"/>
        <v>0</v>
      </c>
      <c r="BS15" s="417">
        <f t="shared" si="22"/>
        <v>292438</v>
      </c>
      <c r="BT15" s="417">
        <f t="shared" si="22"/>
        <v>8652</v>
      </c>
      <c r="BU15" s="417">
        <f>R15+AX15</f>
        <v>0</v>
      </c>
      <c r="BV15" s="418">
        <f>S15+BK15</f>
        <v>2.33</v>
      </c>
      <c r="BW15" s="418">
        <f t="shared" si="23"/>
        <v>2.33</v>
      </c>
      <c r="BX15" s="420">
        <f t="shared" si="23"/>
        <v>0</v>
      </c>
      <c r="BY15" s="419"/>
      <c r="BZ15" s="414"/>
      <c r="CA15" s="414"/>
      <c r="CB15" s="414"/>
      <c r="CC15" s="414"/>
      <c r="CD15" s="509"/>
      <c r="CE15" s="419"/>
      <c r="CF15" s="414"/>
      <c r="CG15" s="414"/>
      <c r="CH15" s="414"/>
      <c r="CI15" s="414"/>
      <c r="CJ15" s="509"/>
    </row>
    <row r="16" spans="1:88" s="221" customFormat="1">
      <c r="A16" s="209">
        <v>2</v>
      </c>
      <c r="B16" s="210">
        <v>4411</v>
      </c>
      <c r="C16" s="210">
        <v>600074340</v>
      </c>
      <c r="D16" s="210">
        <v>70982121</v>
      </c>
      <c r="E16" s="208" t="s">
        <v>148</v>
      </c>
      <c r="F16" s="210">
        <v>3141</v>
      </c>
      <c r="G16" s="165" t="s">
        <v>294</v>
      </c>
      <c r="H16" s="621" t="s">
        <v>272</v>
      </c>
      <c r="I16" s="510">
        <v>545369</v>
      </c>
      <c r="J16" s="414">
        <v>402130</v>
      </c>
      <c r="K16" s="414">
        <v>0</v>
      </c>
      <c r="L16" s="414">
        <v>402130</v>
      </c>
      <c r="M16" s="414">
        <v>0</v>
      </c>
      <c r="N16" s="414">
        <v>0</v>
      </c>
      <c r="O16" s="414">
        <v>0</v>
      </c>
      <c r="P16" s="68">
        <v>135920</v>
      </c>
      <c r="Q16" s="68">
        <v>4021</v>
      </c>
      <c r="R16" s="414">
        <v>3298</v>
      </c>
      <c r="S16" s="415">
        <v>1.21</v>
      </c>
      <c r="T16" s="416">
        <v>0</v>
      </c>
      <c r="U16" s="422">
        <v>1.21</v>
      </c>
      <c r="V16" s="423">
        <f t="shared" si="2"/>
        <v>0</v>
      </c>
      <c r="W16" s="417">
        <f t="shared" si="3"/>
        <v>0</v>
      </c>
      <c r="X16" s="417">
        <v>0</v>
      </c>
      <c r="Y16" s="417">
        <v>0</v>
      </c>
      <c r="Z16" s="417">
        <v>0</v>
      </c>
      <c r="AA16" s="417">
        <v>-4870</v>
      </c>
      <c r="AB16" s="417">
        <v>0</v>
      </c>
      <c r="AC16" s="417">
        <v>0</v>
      </c>
      <c r="AD16" s="417">
        <v>0</v>
      </c>
      <c r="AE16" s="417">
        <f t="shared" si="4"/>
        <v>0</v>
      </c>
      <c r="AF16" s="417">
        <f t="shared" si="5"/>
        <v>-4870</v>
      </c>
      <c r="AG16" s="417">
        <f t="shared" si="6"/>
        <v>-4870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7"/>
        <v>0</v>
      </c>
      <c r="AN16" s="417">
        <f t="shared" si="8"/>
        <v>0</v>
      </c>
      <c r="AO16" s="417">
        <f t="shared" si="9"/>
        <v>0</v>
      </c>
      <c r="AP16" s="417">
        <f t="shared" si="10"/>
        <v>0</v>
      </c>
      <c r="AQ16" s="417">
        <f t="shared" si="11"/>
        <v>-4870</v>
      </c>
      <c r="AR16" s="417">
        <f t="shared" si="12"/>
        <v>-4870</v>
      </c>
      <c r="AS16" s="68">
        <f t="shared" si="13"/>
        <v>-1646</v>
      </c>
      <c r="AT16" s="68">
        <f t="shared" si="14"/>
        <v>-49</v>
      </c>
      <c r="AU16" s="417">
        <v>0</v>
      </c>
      <c r="AV16" s="417">
        <v>0</v>
      </c>
      <c r="AW16" s="417">
        <v>0</v>
      </c>
      <c r="AX16" s="417">
        <f t="shared" si="15"/>
        <v>0</v>
      </c>
      <c r="AY16" s="417">
        <f t="shared" si="16"/>
        <v>-6565</v>
      </c>
      <c r="AZ16" s="418">
        <v>0</v>
      </c>
      <c r="BA16" s="418">
        <v>0</v>
      </c>
      <c r="BB16" s="418">
        <v>0</v>
      </c>
      <c r="BC16" s="418">
        <v>0</v>
      </c>
      <c r="BD16" s="418">
        <v>-0.02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-0.02</v>
      </c>
      <c r="BK16" s="420">
        <f t="shared" si="19"/>
        <v>-0.02</v>
      </c>
      <c r="BL16" s="772">
        <f>I16+AY16</f>
        <v>538804</v>
      </c>
      <c r="BM16" s="417">
        <f>J16+AG16</f>
        <v>397260</v>
      </c>
      <c r="BN16" s="417">
        <f t="shared" si="20"/>
        <v>0</v>
      </c>
      <c r="BO16" s="417">
        <f t="shared" si="20"/>
        <v>397260</v>
      </c>
      <c r="BP16" s="417">
        <f>M16+AO16</f>
        <v>0</v>
      </c>
      <c r="BQ16" s="417">
        <f t="shared" si="21"/>
        <v>0</v>
      </c>
      <c r="BR16" s="417">
        <f t="shared" si="21"/>
        <v>0</v>
      </c>
      <c r="BS16" s="417">
        <f t="shared" si="22"/>
        <v>134274</v>
      </c>
      <c r="BT16" s="417">
        <f t="shared" si="22"/>
        <v>3972</v>
      </c>
      <c r="BU16" s="417">
        <f>R16+AX16</f>
        <v>3298</v>
      </c>
      <c r="BV16" s="418">
        <f>S16+BK16</f>
        <v>1.19</v>
      </c>
      <c r="BW16" s="418">
        <f t="shared" si="23"/>
        <v>0</v>
      </c>
      <c r="BX16" s="420">
        <f t="shared" si="23"/>
        <v>1.19</v>
      </c>
      <c r="BY16" s="419"/>
      <c r="BZ16" s="414"/>
      <c r="CA16" s="414"/>
      <c r="CB16" s="414"/>
      <c r="CC16" s="414"/>
      <c r="CD16" s="509"/>
      <c r="CE16" s="419"/>
      <c r="CF16" s="414"/>
      <c r="CG16" s="414"/>
      <c r="CH16" s="414"/>
      <c r="CI16" s="414"/>
      <c r="CJ16" s="509"/>
    </row>
    <row r="17" spans="1:88" s="221" customFormat="1">
      <c r="A17" s="155">
        <v>2</v>
      </c>
      <c r="B17" s="18">
        <v>4411</v>
      </c>
      <c r="C17" s="18">
        <v>600074340</v>
      </c>
      <c r="D17" s="18">
        <v>70982121</v>
      </c>
      <c r="E17" s="164" t="s">
        <v>149</v>
      </c>
      <c r="F17" s="18"/>
      <c r="G17" s="154"/>
      <c r="H17" s="608"/>
      <c r="I17" s="451">
        <v>10762240</v>
      </c>
      <c r="J17" s="444">
        <v>7746468</v>
      </c>
      <c r="K17" s="444">
        <v>6627646</v>
      </c>
      <c r="L17" s="444">
        <v>1118822</v>
      </c>
      <c r="M17" s="444">
        <v>208000</v>
      </c>
      <c r="N17" s="444">
        <v>112000</v>
      </c>
      <c r="O17" s="444">
        <v>96000</v>
      </c>
      <c r="P17" s="444">
        <v>2688610</v>
      </c>
      <c r="Q17" s="444">
        <v>77464</v>
      </c>
      <c r="R17" s="444">
        <v>41698</v>
      </c>
      <c r="S17" s="445">
        <v>15.658899999999999</v>
      </c>
      <c r="T17" s="445">
        <v>12.1</v>
      </c>
      <c r="U17" s="449">
        <v>3.5588999999999995</v>
      </c>
      <c r="V17" s="447">
        <f t="shared" ref="V17:CG17" si="24">SUM(V14:V16)</f>
        <v>0</v>
      </c>
      <c r="W17" s="444">
        <f t="shared" si="24"/>
        <v>-12000</v>
      </c>
      <c r="X17" s="444">
        <f t="shared" si="24"/>
        <v>0</v>
      </c>
      <c r="Y17" s="444">
        <f t="shared" si="24"/>
        <v>0</v>
      </c>
      <c r="Z17" s="444">
        <f t="shared" si="24"/>
        <v>0</v>
      </c>
      <c r="AA17" s="444">
        <f t="shared" si="24"/>
        <v>-4870</v>
      </c>
      <c r="AB17" s="444">
        <f t="shared" si="24"/>
        <v>0</v>
      </c>
      <c r="AC17" s="444">
        <f t="shared" si="24"/>
        <v>0</v>
      </c>
      <c r="AD17" s="444">
        <f t="shared" si="24"/>
        <v>0</v>
      </c>
      <c r="AE17" s="444">
        <f t="shared" si="24"/>
        <v>0</v>
      </c>
      <c r="AF17" s="444">
        <f t="shared" si="24"/>
        <v>-16870</v>
      </c>
      <c r="AG17" s="444">
        <f t="shared" si="24"/>
        <v>-16870</v>
      </c>
      <c r="AH17" s="444">
        <f t="shared" si="24"/>
        <v>0</v>
      </c>
      <c r="AI17" s="444">
        <f t="shared" si="24"/>
        <v>12000</v>
      </c>
      <c r="AJ17" s="444">
        <f t="shared" si="24"/>
        <v>0</v>
      </c>
      <c r="AK17" s="444">
        <f t="shared" si="24"/>
        <v>0</v>
      </c>
      <c r="AL17" s="444">
        <f t="shared" si="24"/>
        <v>0</v>
      </c>
      <c r="AM17" s="444">
        <f t="shared" si="24"/>
        <v>0</v>
      </c>
      <c r="AN17" s="444">
        <f t="shared" si="24"/>
        <v>12000</v>
      </c>
      <c r="AO17" s="444">
        <f t="shared" si="24"/>
        <v>12000</v>
      </c>
      <c r="AP17" s="444">
        <f t="shared" si="24"/>
        <v>0</v>
      </c>
      <c r="AQ17" s="444">
        <f t="shared" si="24"/>
        <v>-4870</v>
      </c>
      <c r="AR17" s="444">
        <f t="shared" si="24"/>
        <v>-4870</v>
      </c>
      <c r="AS17" s="444">
        <f t="shared" si="24"/>
        <v>-1646</v>
      </c>
      <c r="AT17" s="444">
        <f t="shared" si="24"/>
        <v>-169</v>
      </c>
      <c r="AU17" s="444">
        <f t="shared" si="24"/>
        <v>0</v>
      </c>
      <c r="AV17" s="444">
        <f t="shared" si="24"/>
        <v>0</v>
      </c>
      <c r="AW17" s="444">
        <f t="shared" si="24"/>
        <v>0</v>
      </c>
      <c r="AX17" s="444">
        <f t="shared" si="24"/>
        <v>0</v>
      </c>
      <c r="AY17" s="444">
        <f t="shared" si="24"/>
        <v>-6685</v>
      </c>
      <c r="AZ17" s="445">
        <f t="shared" si="24"/>
        <v>0</v>
      </c>
      <c r="BA17" s="445">
        <f t="shared" si="24"/>
        <v>-0.05</v>
      </c>
      <c r="BB17" s="445">
        <f t="shared" si="24"/>
        <v>0</v>
      </c>
      <c r="BC17" s="445">
        <f t="shared" si="24"/>
        <v>0</v>
      </c>
      <c r="BD17" s="445">
        <f t="shared" si="24"/>
        <v>-0.02</v>
      </c>
      <c r="BE17" s="445">
        <f t="shared" si="24"/>
        <v>0</v>
      </c>
      <c r="BF17" s="445">
        <f t="shared" si="24"/>
        <v>0</v>
      </c>
      <c r="BG17" s="445">
        <f t="shared" si="24"/>
        <v>0</v>
      </c>
      <c r="BH17" s="445">
        <f t="shared" si="24"/>
        <v>0</v>
      </c>
      <c r="BI17" s="445">
        <f t="shared" si="24"/>
        <v>0</v>
      </c>
      <c r="BJ17" s="445">
        <f t="shared" si="24"/>
        <v>-7.0000000000000007E-2</v>
      </c>
      <c r="BK17" s="39">
        <f t="shared" si="24"/>
        <v>-7.0000000000000007E-2</v>
      </c>
      <c r="BL17" s="451">
        <f t="shared" si="24"/>
        <v>10755555</v>
      </c>
      <c r="BM17" s="444">
        <f t="shared" si="24"/>
        <v>7729598</v>
      </c>
      <c r="BN17" s="444">
        <f t="shared" si="24"/>
        <v>6627646</v>
      </c>
      <c r="BO17" s="444">
        <f t="shared" si="24"/>
        <v>1101952</v>
      </c>
      <c r="BP17" s="444">
        <f t="shared" si="24"/>
        <v>220000</v>
      </c>
      <c r="BQ17" s="444">
        <f t="shared" si="24"/>
        <v>112000</v>
      </c>
      <c r="BR17" s="444">
        <f t="shared" si="24"/>
        <v>108000</v>
      </c>
      <c r="BS17" s="444">
        <f t="shared" si="24"/>
        <v>2686964</v>
      </c>
      <c r="BT17" s="444">
        <f t="shared" si="24"/>
        <v>77295</v>
      </c>
      <c r="BU17" s="444">
        <f t="shared" si="24"/>
        <v>41698</v>
      </c>
      <c r="BV17" s="445">
        <f t="shared" si="24"/>
        <v>15.588899999999997</v>
      </c>
      <c r="BW17" s="445">
        <f t="shared" si="24"/>
        <v>12.1</v>
      </c>
      <c r="BX17" s="39">
        <f t="shared" si="24"/>
        <v>3.4888999999999997</v>
      </c>
      <c r="BY17" s="806">
        <f t="shared" si="24"/>
        <v>0</v>
      </c>
      <c r="BZ17" s="709">
        <f t="shared" si="24"/>
        <v>0</v>
      </c>
      <c r="CA17" s="709">
        <f t="shared" si="24"/>
        <v>0</v>
      </c>
      <c r="CB17" s="709">
        <f t="shared" si="24"/>
        <v>0</v>
      </c>
      <c r="CC17" s="709">
        <f t="shared" si="24"/>
        <v>0</v>
      </c>
      <c r="CD17" s="807">
        <f t="shared" si="24"/>
        <v>0</v>
      </c>
      <c r="CE17" s="919">
        <f t="shared" si="24"/>
        <v>364317</v>
      </c>
      <c r="CF17" s="920">
        <f t="shared" si="24"/>
        <v>260793</v>
      </c>
      <c r="CG17" s="920">
        <f t="shared" si="24"/>
        <v>88148</v>
      </c>
      <c r="CH17" s="920">
        <f t="shared" ref="CH17:CJ17" si="25">SUM(CH14:CH16)</f>
        <v>2608</v>
      </c>
      <c r="CI17" s="920">
        <f t="shared" si="25"/>
        <v>12768</v>
      </c>
      <c r="CJ17" s="921">
        <f t="shared" si="25"/>
        <v>0.87890000000000001</v>
      </c>
    </row>
    <row r="18" spans="1:88" s="221" customFormat="1">
      <c r="A18" s="209">
        <v>3</v>
      </c>
      <c r="B18" s="210">
        <v>4409</v>
      </c>
      <c r="C18" s="210">
        <v>600074358</v>
      </c>
      <c r="D18" s="210">
        <v>70982104</v>
      </c>
      <c r="E18" s="204" t="s">
        <v>150</v>
      </c>
      <c r="F18" s="210">
        <v>3111</v>
      </c>
      <c r="G18" s="165" t="s">
        <v>290</v>
      </c>
      <c r="H18" s="621" t="s">
        <v>271</v>
      </c>
      <c r="I18" s="510">
        <v>18173286</v>
      </c>
      <c r="J18" s="414">
        <v>13375621</v>
      </c>
      <c r="K18" s="414">
        <v>11605427</v>
      </c>
      <c r="L18" s="414">
        <v>1770194</v>
      </c>
      <c r="M18" s="414">
        <v>30000</v>
      </c>
      <c r="N18" s="414">
        <v>20000</v>
      </c>
      <c r="O18" s="414">
        <v>10000</v>
      </c>
      <c r="P18" s="68">
        <v>4531099</v>
      </c>
      <c r="Q18" s="68">
        <v>133756</v>
      </c>
      <c r="R18" s="414">
        <v>102810</v>
      </c>
      <c r="S18" s="415">
        <v>26.456900000000001</v>
      </c>
      <c r="T18" s="416">
        <v>20.252999999999997</v>
      </c>
      <c r="U18" s="422">
        <v>6.2038999999999991</v>
      </c>
      <c r="V18" s="423">
        <f t="shared" si="2"/>
        <v>0</v>
      </c>
      <c r="W18" s="417">
        <f t="shared" si="3"/>
        <v>0</v>
      </c>
      <c r="X18" s="417">
        <v>0</v>
      </c>
      <c r="Y18" s="417">
        <v>0</v>
      </c>
      <c r="Z18" s="417">
        <v>88376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4"/>
        <v>88376</v>
      </c>
      <c r="AF18" s="417">
        <f t="shared" si="5"/>
        <v>0</v>
      </c>
      <c r="AG18" s="417">
        <f t="shared" si="6"/>
        <v>88376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7"/>
        <v>0</v>
      </c>
      <c r="AN18" s="417">
        <f t="shared" si="8"/>
        <v>0</v>
      </c>
      <c r="AO18" s="417">
        <f t="shared" si="9"/>
        <v>0</v>
      </c>
      <c r="AP18" s="417">
        <f t="shared" si="10"/>
        <v>88376</v>
      </c>
      <c r="AQ18" s="417">
        <f t="shared" si="11"/>
        <v>0</v>
      </c>
      <c r="AR18" s="417">
        <f t="shared" si="12"/>
        <v>88376</v>
      </c>
      <c r="AS18" s="68">
        <f t="shared" si="13"/>
        <v>29871</v>
      </c>
      <c r="AT18" s="68">
        <f t="shared" si="14"/>
        <v>884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119131</v>
      </c>
      <c r="AZ18" s="418">
        <v>0</v>
      </c>
      <c r="BA18" s="418">
        <v>0</v>
      </c>
      <c r="BB18" s="418">
        <v>0</v>
      </c>
      <c r="BC18" s="418">
        <v>0.21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0.21</v>
      </c>
      <c r="BJ18" s="418">
        <f t="shared" si="18"/>
        <v>0</v>
      </c>
      <c r="BK18" s="420">
        <f t="shared" si="19"/>
        <v>0.21</v>
      </c>
      <c r="BL18" s="772">
        <f>I18+AY18</f>
        <v>18292417</v>
      </c>
      <c r="BM18" s="417">
        <f>J18+AG18</f>
        <v>13463997</v>
      </c>
      <c r="BN18" s="417">
        <f t="shared" ref="BN18:BO21" si="26">K18+AE18</f>
        <v>11693803</v>
      </c>
      <c r="BO18" s="417">
        <f t="shared" si="26"/>
        <v>1770194</v>
      </c>
      <c r="BP18" s="417">
        <f>M18+AO18</f>
        <v>30000</v>
      </c>
      <c r="BQ18" s="417">
        <f t="shared" ref="BQ18:BR21" si="27">N18+AM18</f>
        <v>20000</v>
      </c>
      <c r="BR18" s="417">
        <f t="shared" si="27"/>
        <v>10000</v>
      </c>
      <c r="BS18" s="417">
        <f t="shared" ref="BS18:BT21" si="28">P18+AS18</f>
        <v>4560970</v>
      </c>
      <c r="BT18" s="417">
        <f t="shared" si="28"/>
        <v>134640</v>
      </c>
      <c r="BU18" s="417">
        <f>R18+AX18</f>
        <v>102810</v>
      </c>
      <c r="BV18" s="418">
        <f>S18+BK18</f>
        <v>26.666900000000002</v>
      </c>
      <c r="BW18" s="418">
        <f t="shared" ref="BW18:BX21" si="29">T18+BI18</f>
        <v>20.462999999999997</v>
      </c>
      <c r="BX18" s="420">
        <f t="shared" si="29"/>
        <v>6.2038999999999991</v>
      </c>
      <c r="BY18" s="419"/>
      <c r="BZ18" s="414"/>
      <c r="CA18" s="414"/>
      <c r="CB18" s="414"/>
      <c r="CC18" s="414"/>
      <c r="CD18" s="509"/>
      <c r="CE18" s="419">
        <v>804215</v>
      </c>
      <c r="CF18" s="414">
        <v>571226</v>
      </c>
      <c r="CG18" s="414">
        <v>193074</v>
      </c>
      <c r="CH18" s="414">
        <v>5712</v>
      </c>
      <c r="CI18" s="414">
        <v>34203</v>
      </c>
      <c r="CJ18" s="509">
        <v>2.0034999999999998</v>
      </c>
    </row>
    <row r="19" spans="1:88" s="221" customFormat="1">
      <c r="A19" s="209">
        <v>3</v>
      </c>
      <c r="B19" s="210">
        <v>4409</v>
      </c>
      <c r="C19" s="210">
        <v>600074358</v>
      </c>
      <c r="D19" s="210">
        <v>70982104</v>
      </c>
      <c r="E19" s="204" t="s">
        <v>150</v>
      </c>
      <c r="F19" s="210">
        <v>3111</v>
      </c>
      <c r="G19" s="165" t="s">
        <v>292</v>
      </c>
      <c r="H19" s="621" t="s">
        <v>271</v>
      </c>
      <c r="I19" s="510">
        <v>523941</v>
      </c>
      <c r="J19" s="414">
        <v>388680</v>
      </c>
      <c r="K19" s="414">
        <v>388680</v>
      </c>
      <c r="L19" s="414">
        <v>0</v>
      </c>
      <c r="M19" s="414">
        <v>0</v>
      </c>
      <c r="N19" s="414">
        <v>0</v>
      </c>
      <c r="O19" s="414">
        <v>0</v>
      </c>
      <c r="P19" s="68">
        <v>131374</v>
      </c>
      <c r="Q19" s="68">
        <v>3887</v>
      </c>
      <c r="R19" s="414">
        <v>0</v>
      </c>
      <c r="S19" s="415">
        <v>1</v>
      </c>
      <c r="T19" s="416">
        <v>1</v>
      </c>
      <c r="U19" s="422">
        <v>0</v>
      </c>
      <c r="V19" s="423">
        <f t="shared" si="2"/>
        <v>0</v>
      </c>
      <c r="W19" s="417">
        <f t="shared" si="3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4"/>
        <v>0</v>
      </c>
      <c r="AF19" s="417">
        <f t="shared" si="5"/>
        <v>0</v>
      </c>
      <c r="AG19" s="417">
        <f t="shared" si="6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7"/>
        <v>0</v>
      </c>
      <c r="AN19" s="417">
        <f t="shared" si="8"/>
        <v>0</v>
      </c>
      <c r="AO19" s="417">
        <f t="shared" si="9"/>
        <v>0</v>
      </c>
      <c r="AP19" s="417">
        <f t="shared" si="10"/>
        <v>0</v>
      </c>
      <c r="AQ19" s="417">
        <f t="shared" si="11"/>
        <v>0</v>
      </c>
      <c r="AR19" s="417">
        <f t="shared" si="12"/>
        <v>0</v>
      </c>
      <c r="AS19" s="68">
        <f t="shared" si="13"/>
        <v>0</v>
      </c>
      <c r="AT19" s="68">
        <f t="shared" si="14"/>
        <v>0</v>
      </c>
      <c r="AU19" s="417">
        <v>0</v>
      </c>
      <c r="AV19" s="417">
        <v>0</v>
      </c>
      <c r="AW19" s="417">
        <v>0</v>
      </c>
      <c r="AX19" s="417">
        <f t="shared" si="15"/>
        <v>0</v>
      </c>
      <c r="AY19" s="417">
        <f t="shared" si="16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7"/>
        <v>0</v>
      </c>
      <c r="BJ19" s="418">
        <f t="shared" si="18"/>
        <v>0</v>
      </c>
      <c r="BK19" s="420">
        <f t="shared" si="19"/>
        <v>0</v>
      </c>
      <c r="BL19" s="772">
        <f>I19+AY19</f>
        <v>523941</v>
      </c>
      <c r="BM19" s="417">
        <f>J19+AG19</f>
        <v>388680</v>
      </c>
      <c r="BN19" s="417">
        <f t="shared" si="26"/>
        <v>388680</v>
      </c>
      <c r="BO19" s="417">
        <f t="shared" si="26"/>
        <v>0</v>
      </c>
      <c r="BP19" s="417">
        <f>M19+AO19</f>
        <v>0</v>
      </c>
      <c r="BQ19" s="417">
        <f t="shared" si="27"/>
        <v>0</v>
      </c>
      <c r="BR19" s="417">
        <f t="shared" si="27"/>
        <v>0</v>
      </c>
      <c r="BS19" s="417">
        <f t="shared" si="28"/>
        <v>131374</v>
      </c>
      <c r="BT19" s="417">
        <f t="shared" si="28"/>
        <v>3887</v>
      </c>
      <c r="BU19" s="417">
        <f>R19+AX19</f>
        <v>0</v>
      </c>
      <c r="BV19" s="418">
        <f>S19+BK19</f>
        <v>1</v>
      </c>
      <c r="BW19" s="418">
        <f t="shared" si="29"/>
        <v>1</v>
      </c>
      <c r="BX19" s="420">
        <f t="shared" si="29"/>
        <v>0</v>
      </c>
      <c r="BY19" s="419"/>
      <c r="BZ19" s="414"/>
      <c r="CA19" s="414"/>
      <c r="CB19" s="414"/>
      <c r="CC19" s="414"/>
      <c r="CD19" s="509"/>
      <c r="CE19" s="419"/>
      <c r="CF19" s="414"/>
      <c r="CG19" s="414"/>
      <c r="CH19" s="414"/>
      <c r="CI19" s="414"/>
      <c r="CJ19" s="509"/>
    </row>
    <row r="20" spans="1:88" s="221" customFormat="1">
      <c r="A20" s="209">
        <v>3</v>
      </c>
      <c r="B20" s="210">
        <v>4409</v>
      </c>
      <c r="C20" s="210">
        <v>600074358</v>
      </c>
      <c r="D20" s="210">
        <v>70982104</v>
      </c>
      <c r="E20" s="204" t="s">
        <v>150</v>
      </c>
      <c r="F20" s="210">
        <v>3111</v>
      </c>
      <c r="G20" s="165" t="s">
        <v>291</v>
      </c>
      <c r="H20" s="621" t="s">
        <v>272</v>
      </c>
      <c r="I20" s="510">
        <v>2754858</v>
      </c>
      <c r="J20" s="414">
        <v>2037357</v>
      </c>
      <c r="K20" s="414">
        <v>2037357</v>
      </c>
      <c r="L20" s="414">
        <v>0</v>
      </c>
      <c r="M20" s="414">
        <v>0</v>
      </c>
      <c r="N20" s="414">
        <v>0</v>
      </c>
      <c r="O20" s="414">
        <v>0</v>
      </c>
      <c r="P20" s="68">
        <v>688627</v>
      </c>
      <c r="Q20" s="68">
        <v>20374</v>
      </c>
      <c r="R20" s="414">
        <v>8500</v>
      </c>
      <c r="S20" s="415">
        <v>5.6</v>
      </c>
      <c r="T20" s="416">
        <v>5.6</v>
      </c>
      <c r="U20" s="422">
        <v>0</v>
      </c>
      <c r="V20" s="423">
        <f t="shared" si="2"/>
        <v>0</v>
      </c>
      <c r="W20" s="417">
        <f t="shared" si="3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4"/>
        <v>0</v>
      </c>
      <c r="AF20" s="417">
        <f t="shared" si="5"/>
        <v>0</v>
      </c>
      <c r="AG20" s="417">
        <f t="shared" si="6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7"/>
        <v>0</v>
      </c>
      <c r="AN20" s="417">
        <f t="shared" si="8"/>
        <v>0</v>
      </c>
      <c r="AO20" s="417">
        <f t="shared" si="9"/>
        <v>0</v>
      </c>
      <c r="AP20" s="417">
        <f t="shared" si="10"/>
        <v>0</v>
      </c>
      <c r="AQ20" s="417">
        <f t="shared" si="11"/>
        <v>0</v>
      </c>
      <c r="AR20" s="417">
        <f t="shared" si="12"/>
        <v>0</v>
      </c>
      <c r="AS20" s="68">
        <f t="shared" si="13"/>
        <v>0</v>
      </c>
      <c r="AT20" s="68">
        <f t="shared" si="14"/>
        <v>0</v>
      </c>
      <c r="AU20" s="417">
        <v>-500</v>
      </c>
      <c r="AV20" s="417">
        <v>0</v>
      </c>
      <c r="AW20" s="417">
        <v>0</v>
      </c>
      <c r="AX20" s="417">
        <f t="shared" si="15"/>
        <v>-500</v>
      </c>
      <c r="AY20" s="417">
        <f t="shared" si="16"/>
        <v>-500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0</v>
      </c>
      <c r="BK20" s="420">
        <f t="shared" si="19"/>
        <v>0</v>
      </c>
      <c r="BL20" s="772">
        <f>I20+AY20</f>
        <v>2754358</v>
      </c>
      <c r="BM20" s="417">
        <f>J20+AG20</f>
        <v>2037357</v>
      </c>
      <c r="BN20" s="417">
        <f t="shared" si="26"/>
        <v>2037357</v>
      </c>
      <c r="BO20" s="417">
        <f t="shared" si="26"/>
        <v>0</v>
      </c>
      <c r="BP20" s="417">
        <f>M20+AO20</f>
        <v>0</v>
      </c>
      <c r="BQ20" s="417">
        <f t="shared" si="27"/>
        <v>0</v>
      </c>
      <c r="BR20" s="417">
        <f t="shared" si="27"/>
        <v>0</v>
      </c>
      <c r="BS20" s="417">
        <f t="shared" si="28"/>
        <v>688627</v>
      </c>
      <c r="BT20" s="417">
        <f t="shared" si="28"/>
        <v>20374</v>
      </c>
      <c r="BU20" s="417">
        <f>R20+AX20</f>
        <v>8000</v>
      </c>
      <c r="BV20" s="418">
        <f>S20+BK20</f>
        <v>5.6</v>
      </c>
      <c r="BW20" s="418">
        <f t="shared" si="29"/>
        <v>5.6</v>
      </c>
      <c r="BX20" s="420">
        <f t="shared" si="29"/>
        <v>0</v>
      </c>
      <c r="BY20" s="419"/>
      <c r="BZ20" s="414"/>
      <c r="CA20" s="414"/>
      <c r="CB20" s="414"/>
      <c r="CC20" s="414"/>
      <c r="CD20" s="509"/>
      <c r="CE20" s="419"/>
      <c r="CF20" s="414"/>
      <c r="CG20" s="414"/>
      <c r="CH20" s="414"/>
      <c r="CI20" s="414"/>
      <c r="CJ20" s="509"/>
    </row>
    <row r="21" spans="1:88" s="221" customFormat="1">
      <c r="A21" s="209">
        <v>3</v>
      </c>
      <c r="B21" s="210">
        <v>4409</v>
      </c>
      <c r="C21" s="210">
        <v>600074358</v>
      </c>
      <c r="D21" s="210">
        <v>70982104</v>
      </c>
      <c r="E21" s="208" t="s">
        <v>150</v>
      </c>
      <c r="F21" s="210">
        <v>3141</v>
      </c>
      <c r="G21" s="165" t="s">
        <v>294</v>
      </c>
      <c r="H21" s="621" t="s">
        <v>272</v>
      </c>
      <c r="I21" s="510">
        <v>2495396</v>
      </c>
      <c r="J21" s="414">
        <v>1843161</v>
      </c>
      <c r="K21" s="414">
        <v>0</v>
      </c>
      <c r="L21" s="414">
        <v>1843161</v>
      </c>
      <c r="M21" s="414">
        <v>0</v>
      </c>
      <c r="N21" s="414">
        <v>0</v>
      </c>
      <c r="O21" s="414">
        <v>0</v>
      </c>
      <c r="P21" s="68">
        <v>622988</v>
      </c>
      <c r="Q21" s="68">
        <v>18431</v>
      </c>
      <c r="R21" s="414">
        <v>10816</v>
      </c>
      <c r="S21" s="415">
        <v>5.53</v>
      </c>
      <c r="T21" s="416">
        <v>0</v>
      </c>
      <c r="U21" s="422">
        <v>5.53</v>
      </c>
      <c r="V21" s="423">
        <f t="shared" si="2"/>
        <v>0</v>
      </c>
      <c r="W21" s="417">
        <f t="shared" si="3"/>
        <v>0</v>
      </c>
      <c r="X21" s="417">
        <v>0</v>
      </c>
      <c r="Y21" s="417">
        <v>0</v>
      </c>
      <c r="Z21" s="417">
        <v>0</v>
      </c>
      <c r="AA21" s="417">
        <v>-1420</v>
      </c>
      <c r="AB21" s="417">
        <v>0</v>
      </c>
      <c r="AC21" s="417">
        <v>0</v>
      </c>
      <c r="AD21" s="417">
        <v>0</v>
      </c>
      <c r="AE21" s="417">
        <f t="shared" si="4"/>
        <v>0</v>
      </c>
      <c r="AF21" s="417">
        <f t="shared" si="5"/>
        <v>-1420</v>
      </c>
      <c r="AG21" s="417">
        <f t="shared" si="6"/>
        <v>-1420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7"/>
        <v>0</v>
      </c>
      <c r="AN21" s="417">
        <f t="shared" si="8"/>
        <v>0</v>
      </c>
      <c r="AO21" s="417">
        <f t="shared" si="9"/>
        <v>0</v>
      </c>
      <c r="AP21" s="417">
        <f t="shared" si="10"/>
        <v>0</v>
      </c>
      <c r="AQ21" s="417">
        <f t="shared" si="11"/>
        <v>-1420</v>
      </c>
      <c r="AR21" s="417">
        <f t="shared" si="12"/>
        <v>-1420</v>
      </c>
      <c r="AS21" s="68">
        <f t="shared" si="13"/>
        <v>-480</v>
      </c>
      <c r="AT21" s="68">
        <f t="shared" si="14"/>
        <v>-14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-1914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0</v>
      </c>
      <c r="BJ21" s="418">
        <f t="shared" si="18"/>
        <v>0</v>
      </c>
      <c r="BK21" s="420">
        <f t="shared" si="19"/>
        <v>0</v>
      </c>
      <c r="BL21" s="772">
        <f>I21+AY21</f>
        <v>2493482</v>
      </c>
      <c r="BM21" s="417">
        <f>J21+AG21</f>
        <v>1841741</v>
      </c>
      <c r="BN21" s="417">
        <f t="shared" si="26"/>
        <v>0</v>
      </c>
      <c r="BO21" s="417">
        <f t="shared" si="26"/>
        <v>1841741</v>
      </c>
      <c r="BP21" s="417">
        <f>M21+AO21</f>
        <v>0</v>
      </c>
      <c r="BQ21" s="417">
        <f t="shared" si="27"/>
        <v>0</v>
      </c>
      <c r="BR21" s="417">
        <f t="shared" si="27"/>
        <v>0</v>
      </c>
      <c r="BS21" s="417">
        <f t="shared" si="28"/>
        <v>622508</v>
      </c>
      <c r="BT21" s="417">
        <f t="shared" si="28"/>
        <v>18417</v>
      </c>
      <c r="BU21" s="417">
        <f>R21+AX21</f>
        <v>10816</v>
      </c>
      <c r="BV21" s="418">
        <f>S21+BK21</f>
        <v>5.53</v>
      </c>
      <c r="BW21" s="418">
        <f t="shared" si="29"/>
        <v>0</v>
      </c>
      <c r="BX21" s="420">
        <f t="shared" si="29"/>
        <v>5.53</v>
      </c>
      <c r="BY21" s="419"/>
      <c r="BZ21" s="414"/>
      <c r="CA21" s="414"/>
      <c r="CB21" s="414"/>
      <c r="CC21" s="414"/>
      <c r="CD21" s="509"/>
      <c r="CE21" s="419"/>
      <c r="CF21" s="414"/>
      <c r="CG21" s="414"/>
      <c r="CH21" s="414"/>
      <c r="CI21" s="414"/>
      <c r="CJ21" s="509"/>
    </row>
    <row r="22" spans="1:88" s="221" customFormat="1">
      <c r="A22" s="155">
        <v>3</v>
      </c>
      <c r="B22" s="18">
        <v>4409</v>
      </c>
      <c r="C22" s="18">
        <v>600074358</v>
      </c>
      <c r="D22" s="18">
        <v>70982104</v>
      </c>
      <c r="E22" s="164" t="s">
        <v>151</v>
      </c>
      <c r="F22" s="18"/>
      <c r="G22" s="154"/>
      <c r="H22" s="608"/>
      <c r="I22" s="451">
        <v>23947481</v>
      </c>
      <c r="J22" s="444">
        <v>17644819</v>
      </c>
      <c r="K22" s="444">
        <v>14031464</v>
      </c>
      <c r="L22" s="444">
        <v>3613355</v>
      </c>
      <c r="M22" s="444">
        <v>30000</v>
      </c>
      <c r="N22" s="444">
        <v>20000</v>
      </c>
      <c r="O22" s="444">
        <v>10000</v>
      </c>
      <c r="P22" s="444">
        <v>5974088</v>
      </c>
      <c r="Q22" s="444">
        <v>176448</v>
      </c>
      <c r="R22" s="444">
        <v>122126</v>
      </c>
      <c r="S22" s="445">
        <v>38.5869</v>
      </c>
      <c r="T22" s="445">
        <v>26.852999999999994</v>
      </c>
      <c r="U22" s="449">
        <v>11.733899999999998</v>
      </c>
      <c r="V22" s="447">
        <f t="shared" ref="V22:CG22" si="30">SUM(V18:V21)</f>
        <v>0</v>
      </c>
      <c r="W22" s="444">
        <f t="shared" si="30"/>
        <v>0</v>
      </c>
      <c r="X22" s="444">
        <f t="shared" si="30"/>
        <v>0</v>
      </c>
      <c r="Y22" s="444">
        <f t="shared" si="30"/>
        <v>0</v>
      </c>
      <c r="Z22" s="444">
        <f t="shared" si="30"/>
        <v>88376</v>
      </c>
      <c r="AA22" s="444">
        <f t="shared" si="30"/>
        <v>-1420</v>
      </c>
      <c r="AB22" s="444">
        <f t="shared" si="30"/>
        <v>0</v>
      </c>
      <c r="AC22" s="444">
        <f t="shared" si="30"/>
        <v>0</v>
      </c>
      <c r="AD22" s="444">
        <f t="shared" si="30"/>
        <v>0</v>
      </c>
      <c r="AE22" s="444">
        <f t="shared" si="30"/>
        <v>88376</v>
      </c>
      <c r="AF22" s="444">
        <f t="shared" si="30"/>
        <v>-1420</v>
      </c>
      <c r="AG22" s="444">
        <f t="shared" si="30"/>
        <v>86956</v>
      </c>
      <c r="AH22" s="444">
        <f t="shared" si="30"/>
        <v>0</v>
      </c>
      <c r="AI22" s="444">
        <f t="shared" si="30"/>
        <v>0</v>
      </c>
      <c r="AJ22" s="444">
        <f t="shared" si="30"/>
        <v>0</v>
      </c>
      <c r="AK22" s="444">
        <f t="shared" si="30"/>
        <v>0</v>
      </c>
      <c r="AL22" s="444">
        <f t="shared" si="30"/>
        <v>0</v>
      </c>
      <c r="AM22" s="444">
        <f t="shared" si="30"/>
        <v>0</v>
      </c>
      <c r="AN22" s="444">
        <f t="shared" si="30"/>
        <v>0</v>
      </c>
      <c r="AO22" s="444">
        <f t="shared" si="30"/>
        <v>0</v>
      </c>
      <c r="AP22" s="444">
        <f t="shared" si="30"/>
        <v>88376</v>
      </c>
      <c r="AQ22" s="444">
        <f t="shared" si="30"/>
        <v>-1420</v>
      </c>
      <c r="AR22" s="444">
        <f t="shared" si="30"/>
        <v>86956</v>
      </c>
      <c r="AS22" s="444">
        <f t="shared" si="30"/>
        <v>29391</v>
      </c>
      <c r="AT22" s="444">
        <f t="shared" si="30"/>
        <v>870</v>
      </c>
      <c r="AU22" s="444">
        <f t="shared" si="30"/>
        <v>-500</v>
      </c>
      <c r="AV22" s="444">
        <f t="shared" si="30"/>
        <v>0</v>
      </c>
      <c r="AW22" s="444">
        <f t="shared" si="30"/>
        <v>0</v>
      </c>
      <c r="AX22" s="444">
        <f t="shared" si="30"/>
        <v>-500</v>
      </c>
      <c r="AY22" s="444">
        <f t="shared" si="30"/>
        <v>116717</v>
      </c>
      <c r="AZ22" s="445">
        <f t="shared" si="30"/>
        <v>0</v>
      </c>
      <c r="BA22" s="445">
        <f t="shared" si="30"/>
        <v>0</v>
      </c>
      <c r="BB22" s="445">
        <f t="shared" si="30"/>
        <v>0</v>
      </c>
      <c r="BC22" s="445">
        <f t="shared" si="30"/>
        <v>0.21</v>
      </c>
      <c r="BD22" s="445">
        <f t="shared" si="30"/>
        <v>0</v>
      </c>
      <c r="BE22" s="445">
        <f t="shared" si="30"/>
        <v>0</v>
      </c>
      <c r="BF22" s="445">
        <f t="shared" si="30"/>
        <v>0</v>
      </c>
      <c r="BG22" s="445">
        <f t="shared" si="30"/>
        <v>0</v>
      </c>
      <c r="BH22" s="445">
        <f t="shared" si="30"/>
        <v>0</v>
      </c>
      <c r="BI22" s="445">
        <f t="shared" si="30"/>
        <v>0.21</v>
      </c>
      <c r="BJ22" s="445">
        <f t="shared" si="30"/>
        <v>0</v>
      </c>
      <c r="BK22" s="39">
        <f t="shared" si="30"/>
        <v>0.21</v>
      </c>
      <c r="BL22" s="451">
        <f t="shared" si="30"/>
        <v>24064198</v>
      </c>
      <c r="BM22" s="444">
        <f t="shared" si="30"/>
        <v>17731775</v>
      </c>
      <c r="BN22" s="444">
        <f t="shared" si="30"/>
        <v>14119840</v>
      </c>
      <c r="BO22" s="444">
        <f t="shared" si="30"/>
        <v>3611935</v>
      </c>
      <c r="BP22" s="444">
        <f t="shared" si="30"/>
        <v>30000</v>
      </c>
      <c r="BQ22" s="444">
        <f t="shared" si="30"/>
        <v>20000</v>
      </c>
      <c r="BR22" s="444">
        <f t="shared" si="30"/>
        <v>10000</v>
      </c>
      <c r="BS22" s="444">
        <f t="shared" si="30"/>
        <v>6003479</v>
      </c>
      <c r="BT22" s="444">
        <f t="shared" si="30"/>
        <v>177318</v>
      </c>
      <c r="BU22" s="444">
        <f t="shared" si="30"/>
        <v>121626</v>
      </c>
      <c r="BV22" s="445">
        <f t="shared" si="30"/>
        <v>38.796900000000001</v>
      </c>
      <c r="BW22" s="445">
        <f t="shared" si="30"/>
        <v>27.062999999999995</v>
      </c>
      <c r="BX22" s="39">
        <f t="shared" si="30"/>
        <v>11.733899999999998</v>
      </c>
      <c r="BY22" s="806">
        <f t="shared" si="30"/>
        <v>0</v>
      </c>
      <c r="BZ22" s="709">
        <f t="shared" si="30"/>
        <v>0</v>
      </c>
      <c r="CA22" s="709">
        <f t="shared" si="30"/>
        <v>0</v>
      </c>
      <c r="CB22" s="709">
        <f t="shared" si="30"/>
        <v>0</v>
      </c>
      <c r="CC22" s="709">
        <f t="shared" si="30"/>
        <v>0</v>
      </c>
      <c r="CD22" s="807">
        <f t="shared" si="30"/>
        <v>0</v>
      </c>
      <c r="CE22" s="919">
        <f t="shared" si="30"/>
        <v>804215</v>
      </c>
      <c r="CF22" s="920">
        <f t="shared" si="30"/>
        <v>571226</v>
      </c>
      <c r="CG22" s="920">
        <f t="shared" si="30"/>
        <v>193074</v>
      </c>
      <c r="CH22" s="920">
        <f t="shared" ref="CH22:CJ22" si="31">SUM(CH18:CH21)</f>
        <v>5712</v>
      </c>
      <c r="CI22" s="920">
        <f t="shared" si="31"/>
        <v>34203</v>
      </c>
      <c r="CJ22" s="921">
        <f t="shared" si="31"/>
        <v>2.0034999999999998</v>
      </c>
    </row>
    <row r="23" spans="1:88" s="221" customFormat="1">
      <c r="A23" s="209">
        <v>4</v>
      </c>
      <c r="B23" s="210">
        <v>4407</v>
      </c>
      <c r="C23" s="210">
        <v>600074552</v>
      </c>
      <c r="D23" s="210">
        <v>70982201</v>
      </c>
      <c r="E23" s="208" t="s">
        <v>152</v>
      </c>
      <c r="F23" s="210">
        <v>3111</v>
      </c>
      <c r="G23" s="165" t="s">
        <v>290</v>
      </c>
      <c r="H23" s="621" t="s">
        <v>271</v>
      </c>
      <c r="I23" s="510">
        <v>8040468</v>
      </c>
      <c r="J23" s="414">
        <v>5936312</v>
      </c>
      <c r="K23" s="414">
        <v>5236584</v>
      </c>
      <c r="L23" s="414">
        <v>699728</v>
      </c>
      <c r="M23" s="414">
        <v>0</v>
      </c>
      <c r="N23" s="414">
        <v>0</v>
      </c>
      <c r="O23" s="414">
        <v>0</v>
      </c>
      <c r="P23" s="68">
        <v>2006473</v>
      </c>
      <c r="Q23" s="68">
        <v>59363</v>
      </c>
      <c r="R23" s="414">
        <v>38320</v>
      </c>
      <c r="S23" s="415">
        <v>10.805</v>
      </c>
      <c r="T23" s="416">
        <v>8.4193999999999996</v>
      </c>
      <c r="U23" s="422">
        <v>2.3855999999999997</v>
      </c>
      <c r="V23" s="423">
        <f t="shared" si="2"/>
        <v>0</v>
      </c>
      <c r="W23" s="417">
        <f t="shared" si="3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4"/>
        <v>0</v>
      </c>
      <c r="AF23" s="417">
        <f t="shared" si="5"/>
        <v>0</v>
      </c>
      <c r="AG23" s="417">
        <f t="shared" si="6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7"/>
        <v>0</v>
      </c>
      <c r="AN23" s="417">
        <f t="shared" si="8"/>
        <v>0</v>
      </c>
      <c r="AO23" s="417">
        <f t="shared" si="9"/>
        <v>0</v>
      </c>
      <c r="AP23" s="417">
        <f t="shared" si="10"/>
        <v>0</v>
      </c>
      <c r="AQ23" s="417">
        <f t="shared" si="11"/>
        <v>0</v>
      </c>
      <c r="AR23" s="417">
        <f t="shared" si="12"/>
        <v>0</v>
      </c>
      <c r="AS23" s="68">
        <f t="shared" si="13"/>
        <v>0</v>
      </c>
      <c r="AT23" s="68">
        <f t="shared" si="14"/>
        <v>0</v>
      </c>
      <c r="AU23" s="417">
        <v>0</v>
      </c>
      <c r="AV23" s="417">
        <v>0</v>
      </c>
      <c r="AW23" s="417">
        <v>0</v>
      </c>
      <c r="AX23" s="417">
        <f t="shared" si="15"/>
        <v>0</v>
      </c>
      <c r="AY23" s="417">
        <f t="shared" si="16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7"/>
        <v>0</v>
      </c>
      <c r="BJ23" s="418">
        <f t="shared" si="18"/>
        <v>0</v>
      </c>
      <c r="BK23" s="420">
        <f t="shared" si="19"/>
        <v>0</v>
      </c>
      <c r="BL23" s="772">
        <f>I23+AY23</f>
        <v>8040468</v>
      </c>
      <c r="BM23" s="417">
        <f>J23+AG23</f>
        <v>5936312</v>
      </c>
      <c r="BN23" s="417">
        <f t="shared" ref="BN23:BO26" si="32">K23+AE23</f>
        <v>5236584</v>
      </c>
      <c r="BO23" s="417">
        <f t="shared" si="32"/>
        <v>699728</v>
      </c>
      <c r="BP23" s="417">
        <f>M23+AO23</f>
        <v>0</v>
      </c>
      <c r="BQ23" s="417">
        <f t="shared" ref="BQ23:BR26" si="33">N23+AM23</f>
        <v>0</v>
      </c>
      <c r="BR23" s="417">
        <f t="shared" si="33"/>
        <v>0</v>
      </c>
      <c r="BS23" s="417">
        <f t="shared" ref="BS23:BT26" si="34">P23+AS23</f>
        <v>2006473</v>
      </c>
      <c r="BT23" s="417">
        <f t="shared" si="34"/>
        <v>59363</v>
      </c>
      <c r="BU23" s="417">
        <f>R23+AX23</f>
        <v>38320</v>
      </c>
      <c r="BV23" s="418">
        <f>S23+BK23</f>
        <v>10.805</v>
      </c>
      <c r="BW23" s="418">
        <f t="shared" ref="BW23:BX26" si="35">T23+BI23</f>
        <v>8.4193999999999996</v>
      </c>
      <c r="BX23" s="420">
        <f t="shared" si="35"/>
        <v>2.3855999999999997</v>
      </c>
      <c r="BY23" s="419"/>
      <c r="BZ23" s="414"/>
      <c r="CA23" s="414"/>
      <c r="CB23" s="414"/>
      <c r="CC23" s="414"/>
      <c r="CD23" s="509"/>
      <c r="CE23" s="419">
        <v>315419</v>
      </c>
      <c r="CF23" s="414">
        <v>224534</v>
      </c>
      <c r="CG23" s="414">
        <v>75892</v>
      </c>
      <c r="CH23" s="414">
        <v>2245</v>
      </c>
      <c r="CI23" s="414">
        <v>12748</v>
      </c>
      <c r="CJ23" s="509">
        <v>0.76549999999999996</v>
      </c>
    </row>
    <row r="24" spans="1:88" s="221" customFormat="1">
      <c r="A24" s="209">
        <v>4</v>
      </c>
      <c r="B24" s="210">
        <v>4407</v>
      </c>
      <c r="C24" s="210">
        <v>600074552</v>
      </c>
      <c r="D24" s="210">
        <v>70982201</v>
      </c>
      <c r="E24" s="208" t="s">
        <v>152</v>
      </c>
      <c r="F24" s="210">
        <v>3111</v>
      </c>
      <c r="G24" s="165" t="s">
        <v>292</v>
      </c>
      <c r="H24" s="621" t="s">
        <v>271</v>
      </c>
      <c r="I24" s="510">
        <v>601586</v>
      </c>
      <c r="J24" s="414">
        <v>446280</v>
      </c>
      <c r="K24" s="414">
        <v>446280</v>
      </c>
      <c r="L24" s="414">
        <v>0</v>
      </c>
      <c r="M24" s="414">
        <v>0</v>
      </c>
      <c r="N24" s="414">
        <v>0</v>
      </c>
      <c r="O24" s="414">
        <v>0</v>
      </c>
      <c r="P24" s="68">
        <v>150843</v>
      </c>
      <c r="Q24" s="68">
        <v>4463</v>
      </c>
      <c r="R24" s="414">
        <v>0</v>
      </c>
      <c r="S24" s="415">
        <v>1</v>
      </c>
      <c r="T24" s="416">
        <v>1</v>
      </c>
      <c r="U24" s="422">
        <v>0</v>
      </c>
      <c r="V24" s="423">
        <f t="shared" si="2"/>
        <v>0</v>
      </c>
      <c r="W24" s="417">
        <f t="shared" si="3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4"/>
        <v>0</v>
      </c>
      <c r="AF24" s="417">
        <f t="shared" si="5"/>
        <v>0</v>
      </c>
      <c r="AG24" s="417">
        <f t="shared" si="6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7"/>
        <v>0</v>
      </c>
      <c r="AN24" s="417">
        <f t="shared" si="8"/>
        <v>0</v>
      </c>
      <c r="AO24" s="417">
        <f t="shared" si="9"/>
        <v>0</v>
      </c>
      <c r="AP24" s="417">
        <f t="shared" si="10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>I24+AY24</f>
        <v>601586</v>
      </c>
      <c r="BM24" s="417">
        <f>J24+AG24</f>
        <v>446280</v>
      </c>
      <c r="BN24" s="417">
        <f t="shared" si="32"/>
        <v>446280</v>
      </c>
      <c r="BO24" s="417">
        <f t="shared" si="32"/>
        <v>0</v>
      </c>
      <c r="BP24" s="417">
        <f>M24+AO24</f>
        <v>0</v>
      </c>
      <c r="BQ24" s="417">
        <f t="shared" si="33"/>
        <v>0</v>
      </c>
      <c r="BR24" s="417">
        <f t="shared" si="33"/>
        <v>0</v>
      </c>
      <c r="BS24" s="417">
        <f t="shared" si="34"/>
        <v>150843</v>
      </c>
      <c r="BT24" s="417">
        <f t="shared" si="34"/>
        <v>4463</v>
      </c>
      <c r="BU24" s="417">
        <f>R24+AX24</f>
        <v>0</v>
      </c>
      <c r="BV24" s="418">
        <f>S24+BK24</f>
        <v>1</v>
      </c>
      <c r="BW24" s="418">
        <f t="shared" si="35"/>
        <v>1</v>
      </c>
      <c r="BX24" s="420">
        <f t="shared" si="35"/>
        <v>0</v>
      </c>
      <c r="BY24" s="419"/>
      <c r="BZ24" s="414"/>
      <c r="CA24" s="414"/>
      <c r="CB24" s="414"/>
      <c r="CC24" s="414"/>
      <c r="CD24" s="509"/>
      <c r="CE24" s="419"/>
      <c r="CF24" s="414"/>
      <c r="CG24" s="414"/>
      <c r="CH24" s="414"/>
      <c r="CI24" s="414"/>
      <c r="CJ24" s="509"/>
    </row>
    <row r="25" spans="1:88" s="221" customFormat="1">
      <c r="A25" s="209">
        <v>4</v>
      </c>
      <c r="B25" s="210">
        <v>4407</v>
      </c>
      <c r="C25" s="210">
        <v>600074552</v>
      </c>
      <c r="D25" s="210">
        <v>70982201</v>
      </c>
      <c r="E25" s="208" t="s">
        <v>152</v>
      </c>
      <c r="F25" s="210">
        <v>3111</v>
      </c>
      <c r="G25" s="165" t="s">
        <v>291</v>
      </c>
      <c r="H25" s="621" t="s">
        <v>272</v>
      </c>
      <c r="I25" s="510">
        <v>776009</v>
      </c>
      <c r="J25" s="414">
        <v>572707</v>
      </c>
      <c r="K25" s="414">
        <v>572707</v>
      </c>
      <c r="L25" s="414">
        <v>0</v>
      </c>
      <c r="M25" s="414">
        <v>0</v>
      </c>
      <c r="N25" s="414">
        <v>0</v>
      </c>
      <c r="O25" s="414">
        <v>0</v>
      </c>
      <c r="P25" s="68">
        <v>193575</v>
      </c>
      <c r="Q25" s="68">
        <v>5727</v>
      </c>
      <c r="R25" s="414">
        <v>4000</v>
      </c>
      <c r="S25" s="415">
        <v>1.53</v>
      </c>
      <c r="T25" s="416">
        <v>1.53</v>
      </c>
      <c r="U25" s="422">
        <v>0</v>
      </c>
      <c r="V25" s="423">
        <f t="shared" si="2"/>
        <v>0</v>
      </c>
      <c r="W25" s="417">
        <f t="shared" si="3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4"/>
        <v>0</v>
      </c>
      <c r="AF25" s="417">
        <f t="shared" si="5"/>
        <v>0</v>
      </c>
      <c r="AG25" s="417">
        <f t="shared" si="6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7"/>
        <v>0</v>
      </c>
      <c r="AN25" s="417">
        <f t="shared" si="8"/>
        <v>0</v>
      </c>
      <c r="AO25" s="417">
        <f t="shared" si="9"/>
        <v>0</v>
      </c>
      <c r="AP25" s="417">
        <f t="shared" si="10"/>
        <v>0</v>
      </c>
      <c r="AQ25" s="417">
        <f t="shared" si="11"/>
        <v>0</v>
      </c>
      <c r="AR25" s="417">
        <f t="shared" si="12"/>
        <v>0</v>
      </c>
      <c r="AS25" s="68">
        <f t="shared" si="13"/>
        <v>0</v>
      </c>
      <c r="AT25" s="68">
        <f t="shared" si="14"/>
        <v>0</v>
      </c>
      <c r="AU25" s="417">
        <v>0</v>
      </c>
      <c r="AV25" s="417">
        <v>0</v>
      </c>
      <c r="AW25" s="417">
        <v>0</v>
      </c>
      <c r="AX25" s="417">
        <f t="shared" si="15"/>
        <v>0</v>
      </c>
      <c r="AY25" s="417">
        <f t="shared" si="16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7"/>
        <v>0</v>
      </c>
      <c r="BJ25" s="418">
        <f t="shared" si="18"/>
        <v>0</v>
      </c>
      <c r="BK25" s="420">
        <f t="shared" si="19"/>
        <v>0</v>
      </c>
      <c r="BL25" s="772">
        <f>I25+AY25</f>
        <v>776009</v>
      </c>
      <c r="BM25" s="417">
        <f>J25+AG25</f>
        <v>572707</v>
      </c>
      <c r="BN25" s="417">
        <f t="shared" si="32"/>
        <v>572707</v>
      </c>
      <c r="BO25" s="417">
        <f t="shared" si="32"/>
        <v>0</v>
      </c>
      <c r="BP25" s="417">
        <f>M25+AO25</f>
        <v>0</v>
      </c>
      <c r="BQ25" s="417">
        <f t="shared" si="33"/>
        <v>0</v>
      </c>
      <c r="BR25" s="417">
        <f t="shared" si="33"/>
        <v>0</v>
      </c>
      <c r="BS25" s="417">
        <f t="shared" si="34"/>
        <v>193575</v>
      </c>
      <c r="BT25" s="417">
        <f t="shared" si="34"/>
        <v>5727</v>
      </c>
      <c r="BU25" s="417">
        <f>R25+AX25</f>
        <v>4000</v>
      </c>
      <c r="BV25" s="418">
        <f>S25+BK25</f>
        <v>1.53</v>
      </c>
      <c r="BW25" s="418">
        <f t="shared" si="35"/>
        <v>1.53</v>
      </c>
      <c r="BX25" s="420">
        <f t="shared" si="35"/>
        <v>0</v>
      </c>
      <c r="BY25" s="419"/>
      <c r="BZ25" s="414"/>
      <c r="CA25" s="414"/>
      <c r="CB25" s="414"/>
      <c r="CC25" s="414"/>
      <c r="CD25" s="509"/>
      <c r="CE25" s="419"/>
      <c r="CF25" s="414"/>
      <c r="CG25" s="414"/>
      <c r="CH25" s="414"/>
      <c r="CI25" s="414"/>
      <c r="CJ25" s="509"/>
    </row>
    <row r="26" spans="1:88" s="221" customFormat="1">
      <c r="A26" s="209">
        <v>4</v>
      </c>
      <c r="B26" s="210">
        <v>4407</v>
      </c>
      <c r="C26" s="210">
        <v>600074552</v>
      </c>
      <c r="D26" s="210">
        <v>70982201</v>
      </c>
      <c r="E26" s="208" t="s">
        <v>152</v>
      </c>
      <c r="F26" s="210">
        <v>3141</v>
      </c>
      <c r="G26" s="165" t="s">
        <v>294</v>
      </c>
      <c r="H26" s="621" t="s">
        <v>272</v>
      </c>
      <c r="I26" s="510">
        <v>997236</v>
      </c>
      <c r="J26" s="414">
        <v>736510</v>
      </c>
      <c r="K26" s="414">
        <v>0</v>
      </c>
      <c r="L26" s="414">
        <v>736510</v>
      </c>
      <c r="M26" s="414">
        <v>0</v>
      </c>
      <c r="N26" s="414">
        <v>0</v>
      </c>
      <c r="O26" s="414">
        <v>0</v>
      </c>
      <c r="P26" s="68">
        <v>248941</v>
      </c>
      <c r="Q26" s="68">
        <v>7365</v>
      </c>
      <c r="R26" s="414">
        <v>4420</v>
      </c>
      <c r="S26" s="415">
        <v>2.21</v>
      </c>
      <c r="T26" s="416">
        <v>0</v>
      </c>
      <c r="U26" s="422">
        <v>2.21</v>
      </c>
      <c r="V26" s="423">
        <f t="shared" si="2"/>
        <v>0</v>
      </c>
      <c r="W26" s="417">
        <f t="shared" si="3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4"/>
        <v>0</v>
      </c>
      <c r="AF26" s="417">
        <f t="shared" si="5"/>
        <v>0</v>
      </c>
      <c r="AG26" s="417">
        <f t="shared" si="6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7"/>
        <v>0</v>
      </c>
      <c r="AN26" s="417">
        <f t="shared" si="8"/>
        <v>0</v>
      </c>
      <c r="AO26" s="417">
        <f t="shared" si="9"/>
        <v>0</v>
      </c>
      <c r="AP26" s="417">
        <f t="shared" si="10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0</v>
      </c>
      <c r="BK26" s="420">
        <f t="shared" si="19"/>
        <v>0</v>
      </c>
      <c r="BL26" s="772">
        <f>I26+AY26</f>
        <v>997236</v>
      </c>
      <c r="BM26" s="417">
        <f>J26+AG26</f>
        <v>736510</v>
      </c>
      <c r="BN26" s="417">
        <f t="shared" si="32"/>
        <v>0</v>
      </c>
      <c r="BO26" s="417">
        <f t="shared" si="32"/>
        <v>736510</v>
      </c>
      <c r="BP26" s="417">
        <f>M26+AO26</f>
        <v>0</v>
      </c>
      <c r="BQ26" s="417">
        <f t="shared" si="33"/>
        <v>0</v>
      </c>
      <c r="BR26" s="417">
        <f t="shared" si="33"/>
        <v>0</v>
      </c>
      <c r="BS26" s="417">
        <f t="shared" si="34"/>
        <v>248941</v>
      </c>
      <c r="BT26" s="417">
        <f t="shared" si="34"/>
        <v>7365</v>
      </c>
      <c r="BU26" s="417">
        <f>R26+AX26</f>
        <v>4420</v>
      </c>
      <c r="BV26" s="418">
        <f>S26+BK26</f>
        <v>2.21</v>
      </c>
      <c r="BW26" s="418">
        <f t="shared" si="35"/>
        <v>0</v>
      </c>
      <c r="BX26" s="420">
        <f t="shared" si="35"/>
        <v>2.21</v>
      </c>
      <c r="BY26" s="419"/>
      <c r="BZ26" s="414"/>
      <c r="CA26" s="414"/>
      <c r="CB26" s="414"/>
      <c r="CC26" s="414"/>
      <c r="CD26" s="509"/>
      <c r="CE26" s="419"/>
      <c r="CF26" s="601"/>
      <c r="CG26" s="414"/>
      <c r="CH26" s="414"/>
      <c r="CI26" s="601"/>
      <c r="CJ26" s="603"/>
    </row>
    <row r="27" spans="1:88" s="221" customFormat="1">
      <c r="A27" s="155">
        <v>4</v>
      </c>
      <c r="B27" s="18">
        <v>4407</v>
      </c>
      <c r="C27" s="18">
        <v>600074552</v>
      </c>
      <c r="D27" s="18">
        <v>70982201</v>
      </c>
      <c r="E27" s="164" t="s">
        <v>153</v>
      </c>
      <c r="F27" s="18"/>
      <c r="G27" s="154"/>
      <c r="H27" s="608"/>
      <c r="I27" s="451">
        <v>10415299</v>
      </c>
      <c r="J27" s="444">
        <v>7691809</v>
      </c>
      <c r="K27" s="444">
        <v>6255571</v>
      </c>
      <c r="L27" s="444">
        <v>1436238</v>
      </c>
      <c r="M27" s="444">
        <v>0</v>
      </c>
      <c r="N27" s="444">
        <v>0</v>
      </c>
      <c r="O27" s="444">
        <v>0</v>
      </c>
      <c r="P27" s="444">
        <v>2599832</v>
      </c>
      <c r="Q27" s="444">
        <v>76918</v>
      </c>
      <c r="R27" s="444">
        <v>46740</v>
      </c>
      <c r="S27" s="445">
        <v>15.544999999999998</v>
      </c>
      <c r="T27" s="445">
        <v>10.949399999999999</v>
      </c>
      <c r="U27" s="449">
        <v>4.5955999999999992</v>
      </c>
      <c r="V27" s="447">
        <f t="shared" ref="V27:CG27" si="36">SUM(V23:V26)</f>
        <v>0</v>
      </c>
      <c r="W27" s="444">
        <f t="shared" si="36"/>
        <v>0</v>
      </c>
      <c r="X27" s="444">
        <f t="shared" si="36"/>
        <v>0</v>
      </c>
      <c r="Y27" s="444">
        <f t="shared" si="36"/>
        <v>0</v>
      </c>
      <c r="Z27" s="444">
        <f t="shared" si="36"/>
        <v>0</v>
      </c>
      <c r="AA27" s="444">
        <f t="shared" si="36"/>
        <v>0</v>
      </c>
      <c r="AB27" s="444">
        <f t="shared" si="36"/>
        <v>0</v>
      </c>
      <c r="AC27" s="444">
        <f t="shared" si="36"/>
        <v>0</v>
      </c>
      <c r="AD27" s="444">
        <f t="shared" si="36"/>
        <v>0</v>
      </c>
      <c r="AE27" s="444">
        <f t="shared" si="36"/>
        <v>0</v>
      </c>
      <c r="AF27" s="444">
        <f t="shared" si="36"/>
        <v>0</v>
      </c>
      <c r="AG27" s="444">
        <f t="shared" si="36"/>
        <v>0</v>
      </c>
      <c r="AH27" s="444">
        <f t="shared" si="36"/>
        <v>0</v>
      </c>
      <c r="AI27" s="444">
        <f t="shared" si="36"/>
        <v>0</v>
      </c>
      <c r="AJ27" s="444">
        <f t="shared" si="36"/>
        <v>0</v>
      </c>
      <c r="AK27" s="444">
        <f t="shared" si="36"/>
        <v>0</v>
      </c>
      <c r="AL27" s="444">
        <f t="shared" si="36"/>
        <v>0</v>
      </c>
      <c r="AM27" s="444">
        <f t="shared" si="36"/>
        <v>0</v>
      </c>
      <c r="AN27" s="444">
        <f t="shared" si="36"/>
        <v>0</v>
      </c>
      <c r="AO27" s="444">
        <f t="shared" si="36"/>
        <v>0</v>
      </c>
      <c r="AP27" s="444">
        <f t="shared" si="36"/>
        <v>0</v>
      </c>
      <c r="AQ27" s="444">
        <f t="shared" si="36"/>
        <v>0</v>
      </c>
      <c r="AR27" s="444">
        <f t="shared" si="36"/>
        <v>0</v>
      </c>
      <c r="AS27" s="444">
        <f t="shared" si="36"/>
        <v>0</v>
      </c>
      <c r="AT27" s="444">
        <f t="shared" si="36"/>
        <v>0</v>
      </c>
      <c r="AU27" s="444">
        <f t="shared" si="36"/>
        <v>0</v>
      </c>
      <c r="AV27" s="444">
        <f t="shared" si="36"/>
        <v>0</v>
      </c>
      <c r="AW27" s="444">
        <f t="shared" si="36"/>
        <v>0</v>
      </c>
      <c r="AX27" s="444">
        <f t="shared" si="36"/>
        <v>0</v>
      </c>
      <c r="AY27" s="444">
        <f t="shared" si="36"/>
        <v>0</v>
      </c>
      <c r="AZ27" s="445">
        <f t="shared" si="36"/>
        <v>0</v>
      </c>
      <c r="BA27" s="445">
        <f t="shared" si="36"/>
        <v>0</v>
      </c>
      <c r="BB27" s="445">
        <f t="shared" si="36"/>
        <v>0</v>
      </c>
      <c r="BC27" s="445">
        <f t="shared" si="36"/>
        <v>0</v>
      </c>
      <c r="BD27" s="445">
        <f t="shared" si="36"/>
        <v>0</v>
      </c>
      <c r="BE27" s="445">
        <f t="shared" si="36"/>
        <v>0</v>
      </c>
      <c r="BF27" s="445">
        <f t="shared" si="36"/>
        <v>0</v>
      </c>
      <c r="BG27" s="445">
        <f t="shared" si="36"/>
        <v>0</v>
      </c>
      <c r="BH27" s="445">
        <f t="shared" si="36"/>
        <v>0</v>
      </c>
      <c r="BI27" s="445">
        <f t="shared" si="36"/>
        <v>0</v>
      </c>
      <c r="BJ27" s="445">
        <f t="shared" si="36"/>
        <v>0</v>
      </c>
      <c r="BK27" s="39">
        <f t="shared" si="36"/>
        <v>0</v>
      </c>
      <c r="BL27" s="451">
        <f t="shared" si="36"/>
        <v>10415299</v>
      </c>
      <c r="BM27" s="444">
        <f t="shared" si="36"/>
        <v>7691809</v>
      </c>
      <c r="BN27" s="444">
        <f t="shared" si="36"/>
        <v>6255571</v>
      </c>
      <c r="BO27" s="444">
        <f t="shared" si="36"/>
        <v>1436238</v>
      </c>
      <c r="BP27" s="444">
        <f t="shared" si="36"/>
        <v>0</v>
      </c>
      <c r="BQ27" s="444">
        <f t="shared" si="36"/>
        <v>0</v>
      </c>
      <c r="BR27" s="444">
        <f t="shared" si="36"/>
        <v>0</v>
      </c>
      <c r="BS27" s="444">
        <f t="shared" si="36"/>
        <v>2599832</v>
      </c>
      <c r="BT27" s="444">
        <f t="shared" si="36"/>
        <v>76918</v>
      </c>
      <c r="BU27" s="444">
        <f t="shared" si="36"/>
        <v>46740</v>
      </c>
      <c r="BV27" s="445">
        <f t="shared" si="36"/>
        <v>15.544999999999998</v>
      </c>
      <c r="BW27" s="445">
        <f t="shared" si="36"/>
        <v>10.949399999999999</v>
      </c>
      <c r="BX27" s="39">
        <f t="shared" si="36"/>
        <v>4.5955999999999992</v>
      </c>
      <c r="BY27" s="806">
        <f t="shared" si="36"/>
        <v>0</v>
      </c>
      <c r="BZ27" s="709">
        <f t="shared" si="36"/>
        <v>0</v>
      </c>
      <c r="CA27" s="709">
        <f t="shared" si="36"/>
        <v>0</v>
      </c>
      <c r="CB27" s="709">
        <f t="shared" si="36"/>
        <v>0</v>
      </c>
      <c r="CC27" s="709">
        <f t="shared" si="36"/>
        <v>0</v>
      </c>
      <c r="CD27" s="807">
        <f t="shared" si="36"/>
        <v>0</v>
      </c>
      <c r="CE27" s="919">
        <f t="shared" si="36"/>
        <v>315419</v>
      </c>
      <c r="CF27" s="920">
        <f t="shared" si="36"/>
        <v>224534</v>
      </c>
      <c r="CG27" s="920">
        <f t="shared" si="36"/>
        <v>75892</v>
      </c>
      <c r="CH27" s="920">
        <f t="shared" ref="CH27:CJ27" si="37">SUM(CH23:CH26)</f>
        <v>2245</v>
      </c>
      <c r="CI27" s="920">
        <f t="shared" si="37"/>
        <v>12748</v>
      </c>
      <c r="CJ27" s="921">
        <f t="shared" si="37"/>
        <v>0.76549999999999996</v>
      </c>
    </row>
    <row r="28" spans="1:88" s="221" customFormat="1">
      <c r="A28" s="209">
        <v>5</v>
      </c>
      <c r="B28" s="210">
        <v>4492</v>
      </c>
      <c r="C28" s="210">
        <v>650065221</v>
      </c>
      <c r="D28" s="210">
        <v>71173838</v>
      </c>
      <c r="E28" s="208" t="s">
        <v>154</v>
      </c>
      <c r="F28" s="210">
        <v>3111</v>
      </c>
      <c r="G28" s="165" t="s">
        <v>290</v>
      </c>
      <c r="H28" s="621" t="s">
        <v>271</v>
      </c>
      <c r="I28" s="510">
        <v>8644646</v>
      </c>
      <c r="J28" s="414">
        <v>6383269</v>
      </c>
      <c r="K28" s="414">
        <v>5500592</v>
      </c>
      <c r="L28" s="414">
        <v>882677</v>
      </c>
      <c r="M28" s="414">
        <v>0</v>
      </c>
      <c r="N28" s="414">
        <v>0</v>
      </c>
      <c r="O28" s="414">
        <v>0</v>
      </c>
      <c r="P28" s="68">
        <v>2157545</v>
      </c>
      <c r="Q28" s="68">
        <v>63832</v>
      </c>
      <c r="R28" s="414">
        <v>40000</v>
      </c>
      <c r="S28" s="415">
        <v>11.974699999999999</v>
      </c>
      <c r="T28" s="416">
        <v>9</v>
      </c>
      <c r="U28" s="422">
        <v>2.9746999999999999</v>
      </c>
      <c r="V28" s="423">
        <f t="shared" si="2"/>
        <v>0</v>
      </c>
      <c r="W28" s="417">
        <f t="shared" si="3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4"/>
        <v>0</v>
      </c>
      <c r="AF28" s="417">
        <f t="shared" si="5"/>
        <v>0</v>
      </c>
      <c r="AG28" s="417">
        <f t="shared" si="6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7"/>
        <v>0</v>
      </c>
      <c r="AN28" s="417">
        <f t="shared" si="8"/>
        <v>0</v>
      </c>
      <c r="AO28" s="417">
        <f t="shared" si="9"/>
        <v>0</v>
      </c>
      <c r="AP28" s="417">
        <f t="shared" si="10"/>
        <v>0</v>
      </c>
      <c r="AQ28" s="417">
        <f t="shared" si="11"/>
        <v>0</v>
      </c>
      <c r="AR28" s="417">
        <f t="shared" si="12"/>
        <v>0</v>
      </c>
      <c r="AS28" s="68">
        <f t="shared" si="13"/>
        <v>0</v>
      </c>
      <c r="AT28" s="68">
        <f t="shared" si="14"/>
        <v>0</v>
      </c>
      <c r="AU28" s="417">
        <v>0</v>
      </c>
      <c r="AV28" s="417">
        <v>0</v>
      </c>
      <c r="AW28" s="417">
        <v>0</v>
      </c>
      <c r="AX28" s="417">
        <f t="shared" si="15"/>
        <v>0</v>
      </c>
      <c r="AY28" s="417">
        <f t="shared" si="16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7"/>
        <v>0</v>
      </c>
      <c r="BJ28" s="418">
        <f t="shared" si="18"/>
        <v>0</v>
      </c>
      <c r="BK28" s="420">
        <f t="shared" si="19"/>
        <v>0</v>
      </c>
      <c r="BL28" s="772">
        <f>I28+AY28</f>
        <v>8644646</v>
      </c>
      <c r="BM28" s="417">
        <f>J28+AG28</f>
        <v>6383269</v>
      </c>
      <c r="BN28" s="417">
        <f t="shared" ref="BN28:BO30" si="38">K28+AE28</f>
        <v>5500592</v>
      </c>
      <c r="BO28" s="417">
        <f t="shared" si="38"/>
        <v>882677</v>
      </c>
      <c r="BP28" s="417">
        <f>M28+AO28</f>
        <v>0</v>
      </c>
      <c r="BQ28" s="417">
        <f t="shared" ref="BQ28:BR30" si="39">N28+AM28</f>
        <v>0</v>
      </c>
      <c r="BR28" s="417">
        <f t="shared" si="39"/>
        <v>0</v>
      </c>
      <c r="BS28" s="417">
        <f t="shared" ref="BS28:BT30" si="40">P28+AS28</f>
        <v>2157545</v>
      </c>
      <c r="BT28" s="417">
        <f t="shared" si="40"/>
        <v>63832</v>
      </c>
      <c r="BU28" s="417">
        <f>R28+AX28</f>
        <v>40000</v>
      </c>
      <c r="BV28" s="418">
        <f>S28+BK28</f>
        <v>11.974699999999999</v>
      </c>
      <c r="BW28" s="418">
        <f t="shared" ref="BW28:BX30" si="41">T28+BI28</f>
        <v>9</v>
      </c>
      <c r="BX28" s="420">
        <f t="shared" si="41"/>
        <v>2.9746999999999999</v>
      </c>
      <c r="BY28" s="419"/>
      <c r="BZ28" s="414"/>
      <c r="CA28" s="414"/>
      <c r="CB28" s="414"/>
      <c r="CC28" s="414"/>
      <c r="CD28" s="509"/>
      <c r="CE28" s="419">
        <v>395099</v>
      </c>
      <c r="CF28" s="414">
        <v>283234</v>
      </c>
      <c r="CG28" s="414">
        <v>95733</v>
      </c>
      <c r="CH28" s="414">
        <v>2832</v>
      </c>
      <c r="CI28" s="414">
        <v>13300</v>
      </c>
      <c r="CJ28" s="509">
        <v>0.9544999999999999</v>
      </c>
    </row>
    <row r="29" spans="1:88" s="221" customFormat="1">
      <c r="A29" s="209">
        <v>5</v>
      </c>
      <c r="B29" s="210">
        <v>4492</v>
      </c>
      <c r="C29" s="210">
        <v>650065221</v>
      </c>
      <c r="D29" s="210">
        <v>71173838</v>
      </c>
      <c r="E29" s="208" t="s">
        <v>154</v>
      </c>
      <c r="F29" s="210">
        <v>3111</v>
      </c>
      <c r="G29" s="165" t="s">
        <v>291</v>
      </c>
      <c r="H29" s="621" t="s">
        <v>272</v>
      </c>
      <c r="I29" s="510">
        <v>1124640</v>
      </c>
      <c r="J29" s="414">
        <v>834303</v>
      </c>
      <c r="K29" s="414">
        <v>834303</v>
      </c>
      <c r="L29" s="414">
        <v>0</v>
      </c>
      <c r="M29" s="414">
        <v>0</v>
      </c>
      <c r="N29" s="414">
        <v>0</v>
      </c>
      <c r="O29" s="414">
        <v>0</v>
      </c>
      <c r="P29" s="68">
        <v>281994</v>
      </c>
      <c r="Q29" s="68">
        <v>8343</v>
      </c>
      <c r="R29" s="414">
        <v>0</v>
      </c>
      <c r="S29" s="415">
        <v>2.25</v>
      </c>
      <c r="T29" s="416">
        <v>2.25</v>
      </c>
      <c r="U29" s="422">
        <v>0</v>
      </c>
      <c r="V29" s="423">
        <f t="shared" si="2"/>
        <v>0</v>
      </c>
      <c r="W29" s="417">
        <f t="shared" si="3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4"/>
        <v>0</v>
      </c>
      <c r="AF29" s="417">
        <f t="shared" si="5"/>
        <v>0</v>
      </c>
      <c r="AG29" s="417">
        <f t="shared" si="6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7"/>
        <v>0</v>
      </c>
      <c r="AN29" s="417">
        <f t="shared" si="8"/>
        <v>0</v>
      </c>
      <c r="AO29" s="417">
        <f t="shared" si="9"/>
        <v>0</v>
      </c>
      <c r="AP29" s="417">
        <f t="shared" si="10"/>
        <v>0</v>
      </c>
      <c r="AQ29" s="417">
        <f t="shared" si="11"/>
        <v>0</v>
      </c>
      <c r="AR29" s="417">
        <f t="shared" si="12"/>
        <v>0</v>
      </c>
      <c r="AS29" s="68">
        <f t="shared" si="13"/>
        <v>0</v>
      </c>
      <c r="AT29" s="68">
        <f t="shared" si="14"/>
        <v>0</v>
      </c>
      <c r="AU29" s="417">
        <v>0</v>
      </c>
      <c r="AV29" s="417">
        <v>0</v>
      </c>
      <c r="AW29" s="417">
        <v>0</v>
      </c>
      <c r="AX29" s="417">
        <f t="shared" si="15"/>
        <v>0</v>
      </c>
      <c r="AY29" s="417">
        <f t="shared" si="16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0</v>
      </c>
      <c r="BK29" s="420">
        <f t="shared" si="19"/>
        <v>0</v>
      </c>
      <c r="BL29" s="772">
        <f>I29+AY29</f>
        <v>1124640</v>
      </c>
      <c r="BM29" s="417">
        <f>J29+AG29</f>
        <v>834303</v>
      </c>
      <c r="BN29" s="417">
        <f t="shared" si="38"/>
        <v>834303</v>
      </c>
      <c r="BO29" s="417">
        <f t="shared" si="38"/>
        <v>0</v>
      </c>
      <c r="BP29" s="417">
        <f>M29+AO29</f>
        <v>0</v>
      </c>
      <c r="BQ29" s="417">
        <f t="shared" si="39"/>
        <v>0</v>
      </c>
      <c r="BR29" s="417">
        <f t="shared" si="39"/>
        <v>0</v>
      </c>
      <c r="BS29" s="417">
        <f t="shared" si="40"/>
        <v>281994</v>
      </c>
      <c r="BT29" s="417">
        <f t="shared" si="40"/>
        <v>8343</v>
      </c>
      <c r="BU29" s="417">
        <f>R29+AX29</f>
        <v>0</v>
      </c>
      <c r="BV29" s="418">
        <f>S29+BK29</f>
        <v>2.25</v>
      </c>
      <c r="BW29" s="418">
        <f t="shared" si="41"/>
        <v>2.25</v>
      </c>
      <c r="BX29" s="420">
        <f t="shared" si="41"/>
        <v>0</v>
      </c>
      <c r="BY29" s="419"/>
      <c r="BZ29" s="414"/>
      <c r="CA29" s="414"/>
      <c r="CB29" s="414"/>
      <c r="CC29" s="414"/>
      <c r="CD29" s="509"/>
      <c r="CE29" s="419"/>
      <c r="CF29" s="414"/>
      <c r="CG29" s="414"/>
      <c r="CH29" s="414"/>
      <c r="CI29" s="414"/>
      <c r="CJ29" s="509"/>
    </row>
    <row r="30" spans="1:88" s="221" customFormat="1">
      <c r="A30" s="209">
        <v>5</v>
      </c>
      <c r="B30" s="210">
        <v>4492</v>
      </c>
      <c r="C30" s="210">
        <v>650065221</v>
      </c>
      <c r="D30" s="210">
        <v>71173838</v>
      </c>
      <c r="E30" s="208" t="s">
        <v>154</v>
      </c>
      <c r="F30" s="210">
        <v>3141</v>
      </c>
      <c r="G30" s="165" t="s">
        <v>294</v>
      </c>
      <c r="H30" s="621" t="s">
        <v>272</v>
      </c>
      <c r="I30" s="510">
        <v>1037736</v>
      </c>
      <c r="J30" s="414">
        <v>766362</v>
      </c>
      <c r="K30" s="414">
        <v>0</v>
      </c>
      <c r="L30" s="414">
        <v>766362</v>
      </c>
      <c r="M30" s="414">
        <v>0</v>
      </c>
      <c r="N30" s="414">
        <v>0</v>
      </c>
      <c r="O30" s="414">
        <v>0</v>
      </c>
      <c r="P30" s="68">
        <v>259031</v>
      </c>
      <c r="Q30" s="68">
        <v>7663</v>
      </c>
      <c r="R30" s="414">
        <v>4680</v>
      </c>
      <c r="S30" s="415">
        <v>2.2999999999999998</v>
      </c>
      <c r="T30" s="416">
        <v>0</v>
      </c>
      <c r="U30" s="422">
        <v>2.2999999999999998</v>
      </c>
      <c r="V30" s="423">
        <f t="shared" si="2"/>
        <v>0</v>
      </c>
      <c r="W30" s="417">
        <f t="shared" si="3"/>
        <v>0</v>
      </c>
      <c r="X30" s="417">
        <v>0</v>
      </c>
      <c r="Y30" s="417">
        <v>0</v>
      </c>
      <c r="Z30" s="417">
        <v>0</v>
      </c>
      <c r="AA30" s="417">
        <v>-1987</v>
      </c>
      <c r="AB30" s="417">
        <v>0</v>
      </c>
      <c r="AC30" s="417">
        <v>0</v>
      </c>
      <c r="AD30" s="417">
        <v>0</v>
      </c>
      <c r="AE30" s="417">
        <f t="shared" si="4"/>
        <v>0</v>
      </c>
      <c r="AF30" s="417">
        <f t="shared" si="5"/>
        <v>-1987</v>
      </c>
      <c r="AG30" s="417">
        <f t="shared" si="6"/>
        <v>-1987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7"/>
        <v>0</v>
      </c>
      <c r="AN30" s="417">
        <f t="shared" si="8"/>
        <v>0</v>
      </c>
      <c r="AO30" s="417">
        <f t="shared" si="9"/>
        <v>0</v>
      </c>
      <c r="AP30" s="417">
        <f t="shared" si="10"/>
        <v>0</v>
      </c>
      <c r="AQ30" s="417">
        <f t="shared" si="11"/>
        <v>-1987</v>
      </c>
      <c r="AR30" s="417">
        <f t="shared" si="12"/>
        <v>-1987</v>
      </c>
      <c r="AS30" s="68">
        <f t="shared" si="13"/>
        <v>-672</v>
      </c>
      <c r="AT30" s="68">
        <f t="shared" si="14"/>
        <v>-20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-2679</v>
      </c>
      <c r="AZ30" s="418">
        <v>0</v>
      </c>
      <c r="BA30" s="418">
        <v>0</v>
      </c>
      <c r="BB30" s="418">
        <v>0</v>
      </c>
      <c r="BC30" s="418">
        <v>0</v>
      </c>
      <c r="BD30" s="418">
        <v>-0.01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-0.01</v>
      </c>
      <c r="BK30" s="420">
        <f t="shared" si="19"/>
        <v>-0.01</v>
      </c>
      <c r="BL30" s="772">
        <f>I30+AY30</f>
        <v>1035057</v>
      </c>
      <c r="BM30" s="417">
        <f>J30+AG30</f>
        <v>764375</v>
      </c>
      <c r="BN30" s="417">
        <f t="shared" si="38"/>
        <v>0</v>
      </c>
      <c r="BO30" s="417">
        <f t="shared" si="38"/>
        <v>764375</v>
      </c>
      <c r="BP30" s="417">
        <f>M30+AO30</f>
        <v>0</v>
      </c>
      <c r="BQ30" s="417">
        <f t="shared" si="39"/>
        <v>0</v>
      </c>
      <c r="BR30" s="417">
        <f t="shared" si="39"/>
        <v>0</v>
      </c>
      <c r="BS30" s="417">
        <f t="shared" si="40"/>
        <v>258359</v>
      </c>
      <c r="BT30" s="417">
        <f t="shared" si="40"/>
        <v>7643</v>
      </c>
      <c r="BU30" s="417">
        <f>R30+AX30</f>
        <v>4680</v>
      </c>
      <c r="BV30" s="418">
        <f>S30+BK30</f>
        <v>2.29</v>
      </c>
      <c r="BW30" s="418">
        <f t="shared" si="41"/>
        <v>0</v>
      </c>
      <c r="BX30" s="420">
        <f t="shared" si="41"/>
        <v>2.29</v>
      </c>
      <c r="BY30" s="419"/>
      <c r="BZ30" s="414"/>
      <c r="CA30" s="414"/>
      <c r="CB30" s="414"/>
      <c r="CC30" s="414"/>
      <c r="CD30" s="509"/>
      <c r="CE30" s="419"/>
      <c r="CF30" s="601"/>
      <c r="CG30" s="414"/>
      <c r="CH30" s="414"/>
      <c r="CI30" s="601"/>
      <c r="CJ30" s="603"/>
    </row>
    <row r="31" spans="1:88" s="221" customFormat="1">
      <c r="A31" s="155">
        <v>5</v>
      </c>
      <c r="B31" s="18">
        <v>4492</v>
      </c>
      <c r="C31" s="18">
        <v>650065221</v>
      </c>
      <c r="D31" s="18">
        <v>71173838</v>
      </c>
      <c r="E31" s="164" t="s">
        <v>155</v>
      </c>
      <c r="F31" s="18"/>
      <c r="G31" s="154"/>
      <c r="H31" s="608"/>
      <c r="I31" s="451">
        <v>10807022</v>
      </c>
      <c r="J31" s="444">
        <v>7983934</v>
      </c>
      <c r="K31" s="444">
        <v>6334895</v>
      </c>
      <c r="L31" s="444">
        <v>1649039</v>
      </c>
      <c r="M31" s="444">
        <v>0</v>
      </c>
      <c r="N31" s="444">
        <v>0</v>
      </c>
      <c r="O31" s="444">
        <v>0</v>
      </c>
      <c r="P31" s="444">
        <v>2698570</v>
      </c>
      <c r="Q31" s="444">
        <v>79838</v>
      </c>
      <c r="R31" s="444">
        <v>44680</v>
      </c>
      <c r="S31" s="445">
        <v>16.524699999999999</v>
      </c>
      <c r="T31" s="445">
        <v>11.25</v>
      </c>
      <c r="U31" s="449">
        <v>5.2746999999999993</v>
      </c>
      <c r="V31" s="447">
        <f t="shared" ref="V31:CG31" si="42">SUM(V28:V30)</f>
        <v>0</v>
      </c>
      <c r="W31" s="444">
        <f t="shared" si="42"/>
        <v>0</v>
      </c>
      <c r="X31" s="444">
        <f t="shared" si="42"/>
        <v>0</v>
      </c>
      <c r="Y31" s="444">
        <f t="shared" si="42"/>
        <v>0</v>
      </c>
      <c r="Z31" s="444">
        <f t="shared" si="42"/>
        <v>0</v>
      </c>
      <c r="AA31" s="444">
        <f t="shared" si="42"/>
        <v>-1987</v>
      </c>
      <c r="AB31" s="444">
        <f t="shared" si="42"/>
        <v>0</v>
      </c>
      <c r="AC31" s="444">
        <f t="shared" si="42"/>
        <v>0</v>
      </c>
      <c r="AD31" s="444">
        <f t="shared" si="42"/>
        <v>0</v>
      </c>
      <c r="AE31" s="444">
        <f t="shared" si="42"/>
        <v>0</v>
      </c>
      <c r="AF31" s="444">
        <f t="shared" si="42"/>
        <v>-1987</v>
      </c>
      <c r="AG31" s="444">
        <f t="shared" si="42"/>
        <v>-1987</v>
      </c>
      <c r="AH31" s="444">
        <f t="shared" si="42"/>
        <v>0</v>
      </c>
      <c r="AI31" s="444">
        <f t="shared" si="42"/>
        <v>0</v>
      </c>
      <c r="AJ31" s="444">
        <f t="shared" si="42"/>
        <v>0</v>
      </c>
      <c r="AK31" s="444">
        <f t="shared" si="42"/>
        <v>0</v>
      </c>
      <c r="AL31" s="444">
        <f t="shared" si="42"/>
        <v>0</v>
      </c>
      <c r="AM31" s="444">
        <f t="shared" si="42"/>
        <v>0</v>
      </c>
      <c r="AN31" s="444">
        <f t="shared" si="42"/>
        <v>0</v>
      </c>
      <c r="AO31" s="444">
        <f t="shared" si="42"/>
        <v>0</v>
      </c>
      <c r="AP31" s="444">
        <f t="shared" si="42"/>
        <v>0</v>
      </c>
      <c r="AQ31" s="444">
        <f t="shared" si="42"/>
        <v>-1987</v>
      </c>
      <c r="AR31" s="444">
        <f t="shared" si="42"/>
        <v>-1987</v>
      </c>
      <c r="AS31" s="444">
        <f t="shared" si="42"/>
        <v>-672</v>
      </c>
      <c r="AT31" s="444">
        <f t="shared" si="42"/>
        <v>-20</v>
      </c>
      <c r="AU31" s="444">
        <f t="shared" si="42"/>
        <v>0</v>
      </c>
      <c r="AV31" s="444">
        <f t="shared" si="42"/>
        <v>0</v>
      </c>
      <c r="AW31" s="444">
        <f t="shared" si="42"/>
        <v>0</v>
      </c>
      <c r="AX31" s="444">
        <f t="shared" si="42"/>
        <v>0</v>
      </c>
      <c r="AY31" s="444">
        <f t="shared" si="42"/>
        <v>-2679</v>
      </c>
      <c r="AZ31" s="445">
        <f t="shared" si="42"/>
        <v>0</v>
      </c>
      <c r="BA31" s="445">
        <f t="shared" si="42"/>
        <v>0</v>
      </c>
      <c r="BB31" s="445">
        <f t="shared" si="42"/>
        <v>0</v>
      </c>
      <c r="BC31" s="445">
        <f t="shared" si="42"/>
        <v>0</v>
      </c>
      <c r="BD31" s="445">
        <f t="shared" si="42"/>
        <v>-0.01</v>
      </c>
      <c r="BE31" s="445">
        <f t="shared" si="42"/>
        <v>0</v>
      </c>
      <c r="BF31" s="445">
        <f t="shared" si="42"/>
        <v>0</v>
      </c>
      <c r="BG31" s="445">
        <f t="shared" si="42"/>
        <v>0</v>
      </c>
      <c r="BH31" s="445">
        <f t="shared" si="42"/>
        <v>0</v>
      </c>
      <c r="BI31" s="445">
        <f t="shared" si="42"/>
        <v>0</v>
      </c>
      <c r="BJ31" s="445">
        <f t="shared" si="42"/>
        <v>-0.01</v>
      </c>
      <c r="BK31" s="39">
        <f t="shared" si="42"/>
        <v>-0.01</v>
      </c>
      <c r="BL31" s="451">
        <f t="shared" si="42"/>
        <v>10804343</v>
      </c>
      <c r="BM31" s="444">
        <f t="shared" si="42"/>
        <v>7981947</v>
      </c>
      <c r="BN31" s="444">
        <f t="shared" si="42"/>
        <v>6334895</v>
      </c>
      <c r="BO31" s="444">
        <f t="shared" si="42"/>
        <v>1647052</v>
      </c>
      <c r="BP31" s="444">
        <f t="shared" si="42"/>
        <v>0</v>
      </c>
      <c r="BQ31" s="444">
        <f t="shared" si="42"/>
        <v>0</v>
      </c>
      <c r="BR31" s="444">
        <f t="shared" si="42"/>
        <v>0</v>
      </c>
      <c r="BS31" s="444">
        <f t="shared" si="42"/>
        <v>2697898</v>
      </c>
      <c r="BT31" s="444">
        <f t="shared" si="42"/>
        <v>79818</v>
      </c>
      <c r="BU31" s="444">
        <f t="shared" si="42"/>
        <v>44680</v>
      </c>
      <c r="BV31" s="445">
        <f t="shared" si="42"/>
        <v>16.514699999999998</v>
      </c>
      <c r="BW31" s="445">
        <f t="shared" si="42"/>
        <v>11.25</v>
      </c>
      <c r="BX31" s="39">
        <f t="shared" si="42"/>
        <v>5.2646999999999995</v>
      </c>
      <c r="BY31" s="806">
        <f t="shared" si="42"/>
        <v>0</v>
      </c>
      <c r="BZ31" s="709">
        <f t="shared" si="42"/>
        <v>0</v>
      </c>
      <c r="CA31" s="709">
        <f t="shared" si="42"/>
        <v>0</v>
      </c>
      <c r="CB31" s="709">
        <f t="shared" si="42"/>
        <v>0</v>
      </c>
      <c r="CC31" s="709">
        <f t="shared" si="42"/>
        <v>0</v>
      </c>
      <c r="CD31" s="807">
        <f t="shared" si="42"/>
        <v>0</v>
      </c>
      <c r="CE31" s="919">
        <f t="shared" si="42"/>
        <v>395099</v>
      </c>
      <c r="CF31" s="920">
        <f t="shared" si="42"/>
        <v>283234</v>
      </c>
      <c r="CG31" s="920">
        <f t="shared" si="42"/>
        <v>95733</v>
      </c>
      <c r="CH31" s="920">
        <f t="shared" ref="CH31:CJ31" si="43">SUM(CH28:CH30)</f>
        <v>2832</v>
      </c>
      <c r="CI31" s="920">
        <f t="shared" si="43"/>
        <v>13300</v>
      </c>
      <c r="CJ31" s="921">
        <f t="shared" si="43"/>
        <v>0.9544999999999999</v>
      </c>
    </row>
    <row r="32" spans="1:88" s="221" customFormat="1">
      <c r="A32" s="209">
        <v>6</v>
      </c>
      <c r="B32" s="210">
        <v>4408</v>
      </c>
      <c r="C32" s="210">
        <v>600074528</v>
      </c>
      <c r="D32" s="210">
        <v>70982163</v>
      </c>
      <c r="E32" s="208" t="s">
        <v>156</v>
      </c>
      <c r="F32" s="210">
        <v>3111</v>
      </c>
      <c r="G32" s="165" t="s">
        <v>290</v>
      </c>
      <c r="H32" s="621" t="s">
        <v>271</v>
      </c>
      <c r="I32" s="510">
        <v>11624578</v>
      </c>
      <c r="J32" s="414">
        <v>8564554</v>
      </c>
      <c r="K32" s="414">
        <v>7562258</v>
      </c>
      <c r="L32" s="414">
        <v>1002296</v>
      </c>
      <c r="M32" s="414">
        <v>20000</v>
      </c>
      <c r="N32" s="414">
        <v>10000</v>
      </c>
      <c r="O32" s="414">
        <v>10000</v>
      </c>
      <c r="P32" s="68">
        <v>2901579</v>
      </c>
      <c r="Q32" s="68">
        <v>85645</v>
      </c>
      <c r="R32" s="414">
        <v>52800</v>
      </c>
      <c r="S32" s="415">
        <v>16.205500000000001</v>
      </c>
      <c r="T32" s="416">
        <v>12.74</v>
      </c>
      <c r="U32" s="422">
        <v>3.4655</v>
      </c>
      <c r="V32" s="423">
        <f t="shared" si="2"/>
        <v>10000</v>
      </c>
      <c r="W32" s="417">
        <f t="shared" si="3"/>
        <v>10000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4"/>
        <v>10000</v>
      </c>
      <c r="AF32" s="417">
        <f t="shared" si="5"/>
        <v>10000</v>
      </c>
      <c r="AG32" s="417">
        <f t="shared" si="6"/>
        <v>20000</v>
      </c>
      <c r="AH32" s="417">
        <v>-10000</v>
      </c>
      <c r="AI32" s="417">
        <v>-10000</v>
      </c>
      <c r="AJ32" s="417">
        <v>0</v>
      </c>
      <c r="AK32" s="417">
        <v>0</v>
      </c>
      <c r="AL32" s="417">
        <v>0</v>
      </c>
      <c r="AM32" s="417">
        <f t="shared" si="7"/>
        <v>-10000</v>
      </c>
      <c r="AN32" s="417">
        <f t="shared" si="8"/>
        <v>-10000</v>
      </c>
      <c r="AO32" s="417">
        <f t="shared" si="9"/>
        <v>-20000</v>
      </c>
      <c r="AP32" s="417">
        <f t="shared" si="10"/>
        <v>0</v>
      </c>
      <c r="AQ32" s="417">
        <f t="shared" si="11"/>
        <v>0</v>
      </c>
      <c r="AR32" s="417">
        <f t="shared" si="12"/>
        <v>0</v>
      </c>
      <c r="AS32" s="68">
        <f t="shared" si="13"/>
        <v>0</v>
      </c>
      <c r="AT32" s="68">
        <f t="shared" si="14"/>
        <v>200</v>
      </c>
      <c r="AU32" s="417">
        <v>0</v>
      </c>
      <c r="AV32" s="417">
        <v>0</v>
      </c>
      <c r="AW32" s="417">
        <v>0</v>
      </c>
      <c r="AX32" s="417">
        <f t="shared" si="15"/>
        <v>0</v>
      </c>
      <c r="AY32" s="417">
        <f t="shared" si="16"/>
        <v>200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7"/>
        <v>0</v>
      </c>
      <c r="BJ32" s="418">
        <f t="shared" si="18"/>
        <v>0</v>
      </c>
      <c r="BK32" s="420">
        <f t="shared" si="19"/>
        <v>0</v>
      </c>
      <c r="BL32" s="772">
        <f>I32+AY32</f>
        <v>11624778</v>
      </c>
      <c r="BM32" s="417">
        <f>J32+AG32</f>
        <v>8584554</v>
      </c>
      <c r="BN32" s="417">
        <f t="shared" ref="BN32:BO34" si="44">K32+AE32</f>
        <v>7572258</v>
      </c>
      <c r="BO32" s="417">
        <f t="shared" si="44"/>
        <v>1012296</v>
      </c>
      <c r="BP32" s="417">
        <f>M32+AO32</f>
        <v>0</v>
      </c>
      <c r="BQ32" s="417">
        <f t="shared" ref="BQ32:BR34" si="45">N32+AM32</f>
        <v>0</v>
      </c>
      <c r="BR32" s="417">
        <f t="shared" si="45"/>
        <v>0</v>
      </c>
      <c r="BS32" s="417">
        <f t="shared" ref="BS32:BT34" si="46">P32+AS32</f>
        <v>2901579</v>
      </c>
      <c r="BT32" s="417">
        <f t="shared" si="46"/>
        <v>85845</v>
      </c>
      <c r="BU32" s="417">
        <f>R32+AX32</f>
        <v>52800</v>
      </c>
      <c r="BV32" s="418">
        <f>S32+BK32</f>
        <v>16.205500000000001</v>
      </c>
      <c r="BW32" s="418">
        <f t="shared" ref="BW32:BX34" si="47">T32+BI32</f>
        <v>12.74</v>
      </c>
      <c r="BX32" s="420">
        <f t="shared" si="47"/>
        <v>3.4655</v>
      </c>
      <c r="BY32" s="419"/>
      <c r="BZ32" s="414"/>
      <c r="CA32" s="414"/>
      <c r="CB32" s="414"/>
      <c r="CC32" s="414"/>
      <c r="CD32" s="509"/>
      <c r="CE32" s="419">
        <v>455429</v>
      </c>
      <c r="CF32" s="414">
        <v>324832</v>
      </c>
      <c r="CG32" s="414">
        <v>109793</v>
      </c>
      <c r="CH32" s="414">
        <v>3248</v>
      </c>
      <c r="CI32" s="414">
        <v>17556</v>
      </c>
      <c r="CJ32" s="509">
        <v>1.1120000000000001</v>
      </c>
    </row>
    <row r="33" spans="1:88" s="221" customFormat="1">
      <c r="A33" s="209">
        <v>6</v>
      </c>
      <c r="B33" s="210">
        <v>4408</v>
      </c>
      <c r="C33" s="210">
        <v>600074528</v>
      </c>
      <c r="D33" s="210">
        <v>70982163</v>
      </c>
      <c r="E33" s="208" t="s">
        <v>156</v>
      </c>
      <c r="F33" s="210">
        <v>3111</v>
      </c>
      <c r="G33" s="165" t="s">
        <v>291</v>
      </c>
      <c r="H33" s="621" t="s">
        <v>272</v>
      </c>
      <c r="I33" s="510">
        <v>805298</v>
      </c>
      <c r="J33" s="414">
        <v>597402</v>
      </c>
      <c r="K33" s="414">
        <v>597402</v>
      </c>
      <c r="L33" s="414">
        <v>0</v>
      </c>
      <c r="M33" s="414">
        <v>0</v>
      </c>
      <c r="N33" s="414">
        <v>0</v>
      </c>
      <c r="O33" s="414">
        <v>0</v>
      </c>
      <c r="P33" s="68">
        <v>201922</v>
      </c>
      <c r="Q33" s="68">
        <v>5974</v>
      </c>
      <c r="R33" s="414">
        <v>0</v>
      </c>
      <c r="S33" s="415">
        <v>1.83</v>
      </c>
      <c r="T33" s="416">
        <v>1.83</v>
      </c>
      <c r="U33" s="422">
        <v>0</v>
      </c>
      <c r="V33" s="423">
        <f t="shared" si="2"/>
        <v>0</v>
      </c>
      <c r="W33" s="417">
        <f t="shared" si="3"/>
        <v>0</v>
      </c>
      <c r="X33" s="417">
        <v>30900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4"/>
        <v>30900</v>
      </c>
      <c r="AF33" s="417">
        <f t="shared" si="5"/>
        <v>0</v>
      </c>
      <c r="AG33" s="417">
        <f t="shared" si="6"/>
        <v>30900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7"/>
        <v>0</v>
      </c>
      <c r="AN33" s="417">
        <f t="shared" si="8"/>
        <v>0</v>
      </c>
      <c r="AO33" s="417">
        <f t="shared" si="9"/>
        <v>0</v>
      </c>
      <c r="AP33" s="417">
        <f t="shared" si="10"/>
        <v>30900</v>
      </c>
      <c r="AQ33" s="417">
        <f t="shared" si="11"/>
        <v>0</v>
      </c>
      <c r="AR33" s="417">
        <f t="shared" si="12"/>
        <v>30900</v>
      </c>
      <c r="AS33" s="68">
        <f t="shared" si="13"/>
        <v>10444</v>
      </c>
      <c r="AT33" s="68">
        <f t="shared" si="14"/>
        <v>309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41653</v>
      </c>
      <c r="AZ33" s="418">
        <v>0</v>
      </c>
      <c r="BA33" s="418">
        <v>0</v>
      </c>
      <c r="BB33" s="418">
        <v>0.08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0.08</v>
      </c>
      <c r="BJ33" s="418">
        <f t="shared" si="18"/>
        <v>0</v>
      </c>
      <c r="BK33" s="420">
        <f t="shared" si="19"/>
        <v>0.08</v>
      </c>
      <c r="BL33" s="772">
        <f>I33+AY33</f>
        <v>846951</v>
      </c>
      <c r="BM33" s="417">
        <f>J33+AG33</f>
        <v>628302</v>
      </c>
      <c r="BN33" s="417">
        <f t="shared" si="44"/>
        <v>628302</v>
      </c>
      <c r="BO33" s="417">
        <f t="shared" si="44"/>
        <v>0</v>
      </c>
      <c r="BP33" s="417">
        <f>M33+AO33</f>
        <v>0</v>
      </c>
      <c r="BQ33" s="417">
        <f t="shared" si="45"/>
        <v>0</v>
      </c>
      <c r="BR33" s="417">
        <f t="shared" si="45"/>
        <v>0</v>
      </c>
      <c r="BS33" s="417">
        <f t="shared" si="46"/>
        <v>212366</v>
      </c>
      <c r="BT33" s="417">
        <f t="shared" si="46"/>
        <v>6283</v>
      </c>
      <c r="BU33" s="417">
        <f>R33+AX33</f>
        <v>0</v>
      </c>
      <c r="BV33" s="418">
        <f>S33+BK33</f>
        <v>1.9100000000000001</v>
      </c>
      <c r="BW33" s="418">
        <f t="shared" si="47"/>
        <v>1.9100000000000001</v>
      </c>
      <c r="BX33" s="420">
        <f t="shared" si="47"/>
        <v>0</v>
      </c>
      <c r="BY33" s="419"/>
      <c r="BZ33" s="414"/>
      <c r="CA33" s="414"/>
      <c r="CB33" s="414"/>
      <c r="CC33" s="414"/>
      <c r="CD33" s="509"/>
      <c r="CE33" s="419"/>
      <c r="CF33" s="414"/>
      <c r="CG33" s="414"/>
      <c r="CH33" s="414"/>
      <c r="CI33" s="414"/>
      <c r="CJ33" s="509"/>
    </row>
    <row r="34" spans="1:88" s="221" customFormat="1">
      <c r="A34" s="209">
        <v>6</v>
      </c>
      <c r="B34" s="210">
        <v>4408</v>
      </c>
      <c r="C34" s="210">
        <v>600074528</v>
      </c>
      <c r="D34" s="210">
        <v>70982163</v>
      </c>
      <c r="E34" s="208" t="s">
        <v>156</v>
      </c>
      <c r="F34" s="210">
        <v>3141</v>
      </c>
      <c r="G34" s="165" t="s">
        <v>294</v>
      </c>
      <c r="H34" s="621" t="s">
        <v>272</v>
      </c>
      <c r="I34" s="510">
        <v>1378514</v>
      </c>
      <c r="J34" s="414">
        <v>1007657</v>
      </c>
      <c r="K34" s="414">
        <v>0</v>
      </c>
      <c r="L34" s="414">
        <v>1007657</v>
      </c>
      <c r="M34" s="414">
        <v>10000</v>
      </c>
      <c r="N34" s="414">
        <v>0</v>
      </c>
      <c r="O34" s="414">
        <v>10000</v>
      </c>
      <c r="P34" s="68">
        <v>343968</v>
      </c>
      <c r="Q34" s="68">
        <v>10077</v>
      </c>
      <c r="R34" s="414">
        <v>6812</v>
      </c>
      <c r="S34" s="415">
        <v>3.05</v>
      </c>
      <c r="T34" s="416">
        <v>0</v>
      </c>
      <c r="U34" s="422">
        <v>3.05</v>
      </c>
      <c r="V34" s="423">
        <f t="shared" si="2"/>
        <v>0</v>
      </c>
      <c r="W34" s="417">
        <f t="shared" si="3"/>
        <v>10000</v>
      </c>
      <c r="X34" s="417">
        <v>0</v>
      </c>
      <c r="Y34" s="417">
        <v>0</v>
      </c>
      <c r="Z34" s="417">
        <v>0</v>
      </c>
      <c r="AA34" s="417">
        <v>-23348</v>
      </c>
      <c r="AB34" s="417">
        <v>0</v>
      </c>
      <c r="AC34" s="417">
        <v>0</v>
      </c>
      <c r="AD34" s="417">
        <v>0</v>
      </c>
      <c r="AE34" s="417">
        <f t="shared" si="4"/>
        <v>0</v>
      </c>
      <c r="AF34" s="417">
        <f t="shared" si="5"/>
        <v>-13348</v>
      </c>
      <c r="AG34" s="417">
        <f t="shared" si="6"/>
        <v>-13348</v>
      </c>
      <c r="AH34" s="417">
        <v>0</v>
      </c>
      <c r="AI34" s="417">
        <v>-10000</v>
      </c>
      <c r="AJ34" s="417">
        <v>0</v>
      </c>
      <c r="AK34" s="417">
        <v>0</v>
      </c>
      <c r="AL34" s="417">
        <v>0</v>
      </c>
      <c r="AM34" s="417">
        <f t="shared" si="7"/>
        <v>0</v>
      </c>
      <c r="AN34" s="417">
        <f t="shared" si="8"/>
        <v>-10000</v>
      </c>
      <c r="AO34" s="417">
        <f t="shared" si="9"/>
        <v>-10000</v>
      </c>
      <c r="AP34" s="417">
        <f t="shared" si="10"/>
        <v>0</v>
      </c>
      <c r="AQ34" s="417">
        <f t="shared" si="11"/>
        <v>-23348</v>
      </c>
      <c r="AR34" s="417">
        <f t="shared" si="12"/>
        <v>-23348</v>
      </c>
      <c r="AS34" s="68">
        <f t="shared" si="13"/>
        <v>-7892</v>
      </c>
      <c r="AT34" s="68">
        <f t="shared" si="14"/>
        <v>-133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-31373</v>
      </c>
      <c r="AZ34" s="418">
        <v>0</v>
      </c>
      <c r="BA34" s="418">
        <v>0</v>
      </c>
      <c r="BB34" s="418">
        <v>0</v>
      </c>
      <c r="BC34" s="418">
        <v>0</v>
      </c>
      <c r="BD34" s="418">
        <v>-7.0000000000000007E-2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-7.0000000000000007E-2</v>
      </c>
      <c r="BK34" s="420">
        <f t="shared" si="19"/>
        <v>-7.0000000000000007E-2</v>
      </c>
      <c r="BL34" s="772">
        <f>I34+AY34</f>
        <v>1347141</v>
      </c>
      <c r="BM34" s="417">
        <f>J34+AG34</f>
        <v>994309</v>
      </c>
      <c r="BN34" s="417">
        <f t="shared" si="44"/>
        <v>0</v>
      </c>
      <c r="BO34" s="417">
        <f t="shared" si="44"/>
        <v>994309</v>
      </c>
      <c r="BP34" s="417">
        <f>M34+AO34</f>
        <v>0</v>
      </c>
      <c r="BQ34" s="417">
        <f t="shared" si="45"/>
        <v>0</v>
      </c>
      <c r="BR34" s="417">
        <f t="shared" si="45"/>
        <v>0</v>
      </c>
      <c r="BS34" s="417">
        <f t="shared" si="46"/>
        <v>336076</v>
      </c>
      <c r="BT34" s="417">
        <f t="shared" si="46"/>
        <v>9944</v>
      </c>
      <c r="BU34" s="417">
        <f>R34+AX34</f>
        <v>6812</v>
      </c>
      <c r="BV34" s="418">
        <f>S34+BK34</f>
        <v>2.98</v>
      </c>
      <c r="BW34" s="418">
        <f t="shared" si="47"/>
        <v>0</v>
      </c>
      <c r="BX34" s="420">
        <f t="shared" si="47"/>
        <v>2.98</v>
      </c>
      <c r="BY34" s="419"/>
      <c r="BZ34" s="414"/>
      <c r="CA34" s="414"/>
      <c r="CB34" s="414"/>
      <c r="CC34" s="414"/>
      <c r="CD34" s="509"/>
      <c r="CE34" s="419"/>
      <c r="CF34" s="601"/>
      <c r="CG34" s="414"/>
      <c r="CH34" s="414"/>
      <c r="CI34" s="601"/>
      <c r="CJ34" s="603"/>
    </row>
    <row r="35" spans="1:88" s="221" customFormat="1">
      <c r="A35" s="155">
        <v>6</v>
      </c>
      <c r="B35" s="18">
        <v>4408</v>
      </c>
      <c r="C35" s="18">
        <v>600074528</v>
      </c>
      <c r="D35" s="18">
        <v>70982163</v>
      </c>
      <c r="E35" s="164" t="s">
        <v>157</v>
      </c>
      <c r="F35" s="18"/>
      <c r="G35" s="154"/>
      <c r="H35" s="608"/>
      <c r="I35" s="451">
        <v>13808390</v>
      </c>
      <c r="J35" s="444">
        <v>10169613</v>
      </c>
      <c r="K35" s="444">
        <v>8159660</v>
      </c>
      <c r="L35" s="444">
        <v>2009953</v>
      </c>
      <c r="M35" s="444">
        <v>30000</v>
      </c>
      <c r="N35" s="444">
        <v>10000</v>
      </c>
      <c r="O35" s="444">
        <v>20000</v>
      </c>
      <c r="P35" s="444">
        <v>3447469</v>
      </c>
      <c r="Q35" s="444">
        <v>101696</v>
      </c>
      <c r="R35" s="444">
        <v>59612</v>
      </c>
      <c r="S35" s="445">
        <v>21.0855</v>
      </c>
      <c r="T35" s="445">
        <v>14.57</v>
      </c>
      <c r="U35" s="449">
        <v>6.5154999999999994</v>
      </c>
      <c r="V35" s="447">
        <f t="shared" ref="V35:CG35" si="48">SUM(V32:V34)</f>
        <v>10000</v>
      </c>
      <c r="W35" s="444">
        <f t="shared" si="48"/>
        <v>20000</v>
      </c>
      <c r="X35" s="444">
        <f t="shared" si="48"/>
        <v>30900</v>
      </c>
      <c r="Y35" s="444">
        <f t="shared" si="48"/>
        <v>0</v>
      </c>
      <c r="Z35" s="444">
        <f t="shared" si="48"/>
        <v>0</v>
      </c>
      <c r="AA35" s="444">
        <f t="shared" si="48"/>
        <v>-23348</v>
      </c>
      <c r="AB35" s="444">
        <f t="shared" si="48"/>
        <v>0</v>
      </c>
      <c r="AC35" s="444">
        <f t="shared" si="48"/>
        <v>0</v>
      </c>
      <c r="AD35" s="444">
        <f t="shared" si="48"/>
        <v>0</v>
      </c>
      <c r="AE35" s="444">
        <f t="shared" si="48"/>
        <v>40900</v>
      </c>
      <c r="AF35" s="444">
        <f t="shared" si="48"/>
        <v>-3348</v>
      </c>
      <c r="AG35" s="444">
        <f t="shared" si="48"/>
        <v>37552</v>
      </c>
      <c r="AH35" s="444">
        <f t="shared" si="48"/>
        <v>-10000</v>
      </c>
      <c r="AI35" s="444">
        <f t="shared" si="48"/>
        <v>-20000</v>
      </c>
      <c r="AJ35" s="444">
        <f t="shared" si="48"/>
        <v>0</v>
      </c>
      <c r="AK35" s="444">
        <f t="shared" si="48"/>
        <v>0</v>
      </c>
      <c r="AL35" s="444">
        <f t="shared" si="48"/>
        <v>0</v>
      </c>
      <c r="AM35" s="444">
        <f t="shared" si="48"/>
        <v>-10000</v>
      </c>
      <c r="AN35" s="444">
        <f t="shared" si="48"/>
        <v>-20000</v>
      </c>
      <c r="AO35" s="444">
        <f t="shared" si="48"/>
        <v>-30000</v>
      </c>
      <c r="AP35" s="444">
        <f t="shared" si="48"/>
        <v>30900</v>
      </c>
      <c r="AQ35" s="444">
        <f t="shared" si="48"/>
        <v>-23348</v>
      </c>
      <c r="AR35" s="444">
        <f t="shared" si="48"/>
        <v>7552</v>
      </c>
      <c r="AS35" s="444">
        <f t="shared" si="48"/>
        <v>2552</v>
      </c>
      <c r="AT35" s="444">
        <f t="shared" si="48"/>
        <v>376</v>
      </c>
      <c r="AU35" s="444">
        <f t="shared" si="48"/>
        <v>0</v>
      </c>
      <c r="AV35" s="444">
        <f t="shared" si="48"/>
        <v>0</v>
      </c>
      <c r="AW35" s="444">
        <f t="shared" si="48"/>
        <v>0</v>
      </c>
      <c r="AX35" s="444">
        <f t="shared" si="48"/>
        <v>0</v>
      </c>
      <c r="AY35" s="444">
        <f t="shared" si="48"/>
        <v>10480</v>
      </c>
      <c r="AZ35" s="445">
        <f t="shared" si="48"/>
        <v>0</v>
      </c>
      <c r="BA35" s="445">
        <f t="shared" si="48"/>
        <v>0</v>
      </c>
      <c r="BB35" s="445">
        <f t="shared" si="48"/>
        <v>0.08</v>
      </c>
      <c r="BC35" s="445">
        <f t="shared" si="48"/>
        <v>0</v>
      </c>
      <c r="BD35" s="445">
        <f t="shared" si="48"/>
        <v>-7.0000000000000007E-2</v>
      </c>
      <c r="BE35" s="445">
        <f t="shared" si="48"/>
        <v>0</v>
      </c>
      <c r="BF35" s="445">
        <f t="shared" si="48"/>
        <v>0</v>
      </c>
      <c r="BG35" s="445">
        <f t="shared" si="48"/>
        <v>0</v>
      </c>
      <c r="BH35" s="445">
        <f t="shared" si="48"/>
        <v>0</v>
      </c>
      <c r="BI35" s="445">
        <f t="shared" si="48"/>
        <v>0.08</v>
      </c>
      <c r="BJ35" s="445">
        <f t="shared" si="48"/>
        <v>-7.0000000000000007E-2</v>
      </c>
      <c r="BK35" s="39">
        <f t="shared" si="48"/>
        <v>9.999999999999995E-3</v>
      </c>
      <c r="BL35" s="451">
        <f t="shared" si="48"/>
        <v>13818870</v>
      </c>
      <c r="BM35" s="444">
        <f t="shared" si="48"/>
        <v>10207165</v>
      </c>
      <c r="BN35" s="444">
        <f t="shared" si="48"/>
        <v>8200560</v>
      </c>
      <c r="BO35" s="444">
        <f t="shared" si="48"/>
        <v>2006605</v>
      </c>
      <c r="BP35" s="444">
        <f t="shared" si="48"/>
        <v>0</v>
      </c>
      <c r="BQ35" s="444">
        <f t="shared" si="48"/>
        <v>0</v>
      </c>
      <c r="BR35" s="444">
        <f t="shared" si="48"/>
        <v>0</v>
      </c>
      <c r="BS35" s="444">
        <f t="shared" si="48"/>
        <v>3450021</v>
      </c>
      <c r="BT35" s="444">
        <f t="shared" si="48"/>
        <v>102072</v>
      </c>
      <c r="BU35" s="444">
        <f t="shared" si="48"/>
        <v>59612</v>
      </c>
      <c r="BV35" s="445">
        <f t="shared" si="48"/>
        <v>21.095500000000001</v>
      </c>
      <c r="BW35" s="445">
        <f t="shared" si="48"/>
        <v>14.65</v>
      </c>
      <c r="BX35" s="39">
        <f t="shared" si="48"/>
        <v>6.4455</v>
      </c>
      <c r="BY35" s="806">
        <f t="shared" si="48"/>
        <v>0</v>
      </c>
      <c r="BZ35" s="709">
        <f t="shared" si="48"/>
        <v>0</v>
      </c>
      <c r="CA35" s="709">
        <f t="shared" si="48"/>
        <v>0</v>
      </c>
      <c r="CB35" s="709">
        <f t="shared" si="48"/>
        <v>0</v>
      </c>
      <c r="CC35" s="709">
        <f t="shared" si="48"/>
        <v>0</v>
      </c>
      <c r="CD35" s="807">
        <f t="shared" si="48"/>
        <v>0</v>
      </c>
      <c r="CE35" s="919">
        <f t="shared" si="48"/>
        <v>455429</v>
      </c>
      <c r="CF35" s="920">
        <f t="shared" si="48"/>
        <v>324832</v>
      </c>
      <c r="CG35" s="920">
        <f t="shared" si="48"/>
        <v>109793</v>
      </c>
      <c r="CH35" s="920">
        <f t="shared" ref="CH35:CJ35" si="49">SUM(CH32:CH34)</f>
        <v>3248</v>
      </c>
      <c r="CI35" s="920">
        <f t="shared" si="49"/>
        <v>17556</v>
      </c>
      <c r="CJ35" s="921">
        <f t="shared" si="49"/>
        <v>1.1120000000000001</v>
      </c>
    </row>
    <row r="36" spans="1:88" s="221" customFormat="1">
      <c r="A36" s="209">
        <v>7</v>
      </c>
      <c r="B36" s="210">
        <v>4423</v>
      </c>
      <c r="C36" s="210">
        <v>600074439</v>
      </c>
      <c r="D36" s="210">
        <v>70982155</v>
      </c>
      <c r="E36" s="208" t="s">
        <v>158</v>
      </c>
      <c r="F36" s="210">
        <v>3111</v>
      </c>
      <c r="G36" s="165" t="s">
        <v>290</v>
      </c>
      <c r="H36" s="621" t="s">
        <v>271</v>
      </c>
      <c r="I36" s="510">
        <v>7612730</v>
      </c>
      <c r="J36" s="414">
        <v>5570497</v>
      </c>
      <c r="K36" s="414">
        <v>4818983</v>
      </c>
      <c r="L36" s="414">
        <v>751514</v>
      </c>
      <c r="M36" s="414">
        <v>50000</v>
      </c>
      <c r="N36" s="414">
        <v>0</v>
      </c>
      <c r="O36" s="414">
        <v>50000</v>
      </c>
      <c r="P36" s="68">
        <v>1899728</v>
      </c>
      <c r="Q36" s="68">
        <v>55705</v>
      </c>
      <c r="R36" s="414">
        <v>36800</v>
      </c>
      <c r="S36" s="415">
        <v>10.548799999999998</v>
      </c>
      <c r="T36" s="416">
        <v>8</v>
      </c>
      <c r="U36" s="422">
        <v>2.5488</v>
      </c>
      <c r="V36" s="423">
        <f t="shared" si="2"/>
        <v>0</v>
      </c>
      <c r="W36" s="417">
        <f t="shared" si="3"/>
        <v>-24000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4"/>
        <v>0</v>
      </c>
      <c r="AF36" s="417">
        <f t="shared" si="5"/>
        <v>-24000</v>
      </c>
      <c r="AG36" s="417">
        <f t="shared" si="6"/>
        <v>-24000</v>
      </c>
      <c r="AH36" s="417">
        <v>0</v>
      </c>
      <c r="AI36" s="417">
        <v>24000</v>
      </c>
      <c r="AJ36" s="417">
        <v>0</v>
      </c>
      <c r="AK36" s="417">
        <v>0</v>
      </c>
      <c r="AL36" s="417">
        <v>0</v>
      </c>
      <c r="AM36" s="417">
        <f t="shared" si="7"/>
        <v>0</v>
      </c>
      <c r="AN36" s="417">
        <f t="shared" si="8"/>
        <v>24000</v>
      </c>
      <c r="AO36" s="417">
        <f t="shared" si="9"/>
        <v>24000</v>
      </c>
      <c r="AP36" s="417">
        <f t="shared" si="10"/>
        <v>0</v>
      </c>
      <c r="AQ36" s="417">
        <f t="shared" si="11"/>
        <v>0</v>
      </c>
      <c r="AR36" s="417">
        <f t="shared" si="12"/>
        <v>0</v>
      </c>
      <c r="AS36" s="68">
        <f t="shared" si="13"/>
        <v>0</v>
      </c>
      <c r="AT36" s="68">
        <f t="shared" si="14"/>
        <v>-240</v>
      </c>
      <c r="AU36" s="417">
        <v>0</v>
      </c>
      <c r="AV36" s="417">
        <v>0</v>
      </c>
      <c r="AW36" s="417">
        <v>0</v>
      </c>
      <c r="AX36" s="417">
        <f t="shared" si="15"/>
        <v>0</v>
      </c>
      <c r="AY36" s="417">
        <f t="shared" si="16"/>
        <v>-240</v>
      </c>
      <c r="AZ36" s="418">
        <v>0</v>
      </c>
      <c r="BA36" s="418">
        <v>-0.1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-0.1</v>
      </c>
      <c r="BK36" s="420">
        <f t="shared" si="19"/>
        <v>-0.1</v>
      </c>
      <c r="BL36" s="772">
        <f>I36+AY36</f>
        <v>7612490</v>
      </c>
      <c r="BM36" s="417">
        <f>J36+AG36</f>
        <v>5546497</v>
      </c>
      <c r="BN36" s="417">
        <f t="shared" ref="BN36:BO38" si="50">K36+AE36</f>
        <v>4818983</v>
      </c>
      <c r="BO36" s="417">
        <f t="shared" si="50"/>
        <v>727514</v>
      </c>
      <c r="BP36" s="417">
        <f>M36+AO36</f>
        <v>74000</v>
      </c>
      <c r="BQ36" s="417">
        <f t="shared" ref="BQ36:BR38" si="51">N36+AM36</f>
        <v>0</v>
      </c>
      <c r="BR36" s="417">
        <f t="shared" si="51"/>
        <v>74000</v>
      </c>
      <c r="BS36" s="417">
        <f t="shared" ref="BS36:BT38" si="52">P36+AS36</f>
        <v>1899728</v>
      </c>
      <c r="BT36" s="417">
        <f t="shared" si="52"/>
        <v>55465</v>
      </c>
      <c r="BU36" s="417">
        <f>R36+AX36</f>
        <v>36800</v>
      </c>
      <c r="BV36" s="418">
        <f>S36+BK36</f>
        <v>10.448799999999999</v>
      </c>
      <c r="BW36" s="418">
        <f t="shared" ref="BW36:BX38" si="53">T36+BI36</f>
        <v>8</v>
      </c>
      <c r="BX36" s="420">
        <f t="shared" si="53"/>
        <v>2.4487999999999999</v>
      </c>
      <c r="BY36" s="419"/>
      <c r="BZ36" s="414"/>
      <c r="CA36" s="414"/>
      <c r="CB36" s="414"/>
      <c r="CC36" s="414"/>
      <c r="CD36" s="509"/>
      <c r="CE36" s="419">
        <v>358920</v>
      </c>
      <c r="CF36" s="414">
        <v>257184</v>
      </c>
      <c r="CG36" s="414">
        <v>86928</v>
      </c>
      <c r="CH36" s="414">
        <v>2572</v>
      </c>
      <c r="CI36" s="414">
        <v>12236</v>
      </c>
      <c r="CJ36" s="509">
        <v>0.88200000000000001</v>
      </c>
    </row>
    <row r="37" spans="1:88" s="221" customFormat="1">
      <c r="A37" s="209">
        <v>7</v>
      </c>
      <c r="B37" s="210">
        <v>4423</v>
      </c>
      <c r="C37" s="210">
        <v>600074439</v>
      </c>
      <c r="D37" s="210">
        <v>70982155</v>
      </c>
      <c r="E37" s="208" t="s">
        <v>158</v>
      </c>
      <c r="F37" s="210">
        <v>3111</v>
      </c>
      <c r="G37" s="165" t="s">
        <v>291</v>
      </c>
      <c r="H37" s="621" t="s">
        <v>272</v>
      </c>
      <c r="I37" s="510">
        <v>374880</v>
      </c>
      <c r="J37" s="414">
        <v>278101</v>
      </c>
      <c r="K37" s="414">
        <v>278101</v>
      </c>
      <c r="L37" s="414">
        <v>0</v>
      </c>
      <c r="M37" s="414">
        <v>0</v>
      </c>
      <c r="N37" s="414">
        <v>0</v>
      </c>
      <c r="O37" s="414">
        <v>0</v>
      </c>
      <c r="P37" s="68">
        <v>93998</v>
      </c>
      <c r="Q37" s="68">
        <v>2781</v>
      </c>
      <c r="R37" s="414">
        <v>0</v>
      </c>
      <c r="S37" s="415">
        <v>0.75</v>
      </c>
      <c r="T37" s="416">
        <v>0.75</v>
      </c>
      <c r="U37" s="422">
        <v>0</v>
      </c>
      <c r="V37" s="423">
        <f t="shared" si="2"/>
        <v>0</v>
      </c>
      <c r="W37" s="417">
        <f t="shared" si="3"/>
        <v>0</v>
      </c>
      <c r="X37" s="417">
        <v>-92700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4"/>
        <v>-92700</v>
      </c>
      <c r="AF37" s="417">
        <f t="shared" si="5"/>
        <v>0</v>
      </c>
      <c r="AG37" s="417">
        <f t="shared" si="6"/>
        <v>-92700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7"/>
        <v>0</v>
      </c>
      <c r="AN37" s="417">
        <f t="shared" si="8"/>
        <v>0</v>
      </c>
      <c r="AO37" s="417">
        <f t="shared" si="9"/>
        <v>0</v>
      </c>
      <c r="AP37" s="417">
        <f t="shared" si="10"/>
        <v>-92700</v>
      </c>
      <c r="AQ37" s="417">
        <f t="shared" si="11"/>
        <v>0</v>
      </c>
      <c r="AR37" s="417">
        <f t="shared" si="12"/>
        <v>-92700</v>
      </c>
      <c r="AS37" s="68">
        <f t="shared" si="13"/>
        <v>-31333</v>
      </c>
      <c r="AT37" s="68">
        <f t="shared" si="14"/>
        <v>-927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-124960</v>
      </c>
      <c r="AZ37" s="418">
        <v>0</v>
      </c>
      <c r="BA37" s="418">
        <v>0</v>
      </c>
      <c r="BB37" s="418">
        <v>-0.25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-0.25</v>
      </c>
      <c r="BJ37" s="418">
        <f t="shared" si="18"/>
        <v>0</v>
      </c>
      <c r="BK37" s="420">
        <f t="shared" si="19"/>
        <v>-0.25</v>
      </c>
      <c r="BL37" s="772">
        <f>I37+AY37</f>
        <v>249920</v>
      </c>
      <c r="BM37" s="417">
        <f>J37+AG37</f>
        <v>185401</v>
      </c>
      <c r="BN37" s="417">
        <f t="shared" si="50"/>
        <v>185401</v>
      </c>
      <c r="BO37" s="417">
        <f t="shared" si="50"/>
        <v>0</v>
      </c>
      <c r="BP37" s="417">
        <f>M37+AO37</f>
        <v>0</v>
      </c>
      <c r="BQ37" s="417">
        <f t="shared" si="51"/>
        <v>0</v>
      </c>
      <c r="BR37" s="417">
        <f t="shared" si="51"/>
        <v>0</v>
      </c>
      <c r="BS37" s="417">
        <f t="shared" si="52"/>
        <v>62665</v>
      </c>
      <c r="BT37" s="417">
        <f t="shared" si="52"/>
        <v>1854</v>
      </c>
      <c r="BU37" s="417">
        <f>R37+AX37</f>
        <v>0</v>
      </c>
      <c r="BV37" s="418">
        <f>S37+BK37</f>
        <v>0.5</v>
      </c>
      <c r="BW37" s="418">
        <f t="shared" si="53"/>
        <v>0.5</v>
      </c>
      <c r="BX37" s="420">
        <f t="shared" si="53"/>
        <v>0</v>
      </c>
      <c r="BY37" s="419"/>
      <c r="BZ37" s="414"/>
      <c r="CA37" s="414"/>
      <c r="CB37" s="414"/>
      <c r="CC37" s="414"/>
      <c r="CD37" s="509"/>
      <c r="CE37" s="419"/>
      <c r="CF37" s="414"/>
      <c r="CG37" s="414"/>
      <c r="CH37" s="414"/>
      <c r="CI37" s="414"/>
      <c r="CJ37" s="509"/>
    </row>
    <row r="38" spans="1:88" s="221" customFormat="1">
      <c r="A38" s="209">
        <v>7</v>
      </c>
      <c r="B38" s="210">
        <v>4423</v>
      </c>
      <c r="C38" s="210">
        <v>600074439</v>
      </c>
      <c r="D38" s="210">
        <v>70982155</v>
      </c>
      <c r="E38" s="208" t="s">
        <v>158</v>
      </c>
      <c r="F38" s="210">
        <v>3141</v>
      </c>
      <c r="G38" s="165" t="s">
        <v>294</v>
      </c>
      <c r="H38" s="621" t="s">
        <v>272</v>
      </c>
      <c r="I38" s="510">
        <v>1272921</v>
      </c>
      <c r="J38" s="414">
        <v>916856</v>
      </c>
      <c r="K38" s="414">
        <v>0</v>
      </c>
      <c r="L38" s="414">
        <v>916856</v>
      </c>
      <c r="M38" s="414">
        <v>24000</v>
      </c>
      <c r="N38" s="414">
        <v>0</v>
      </c>
      <c r="O38" s="414">
        <v>24000</v>
      </c>
      <c r="P38" s="68">
        <v>318009</v>
      </c>
      <c r="Q38" s="68">
        <v>9168</v>
      </c>
      <c r="R38" s="414">
        <v>4888</v>
      </c>
      <c r="S38" s="415">
        <v>2.73</v>
      </c>
      <c r="T38" s="416">
        <v>0</v>
      </c>
      <c r="U38" s="422">
        <v>2.73</v>
      </c>
      <c r="V38" s="423">
        <f t="shared" si="2"/>
        <v>0</v>
      </c>
      <c r="W38" s="417">
        <f t="shared" si="3"/>
        <v>-12000</v>
      </c>
      <c r="X38" s="417">
        <v>0</v>
      </c>
      <c r="Y38" s="417">
        <v>0</v>
      </c>
      <c r="Z38" s="417">
        <v>0</v>
      </c>
      <c r="AA38" s="417">
        <v>-9580</v>
      </c>
      <c r="AB38" s="417">
        <v>0</v>
      </c>
      <c r="AC38" s="417">
        <v>0</v>
      </c>
      <c r="AD38" s="417">
        <v>0</v>
      </c>
      <c r="AE38" s="417">
        <f t="shared" si="4"/>
        <v>0</v>
      </c>
      <c r="AF38" s="417">
        <f t="shared" si="5"/>
        <v>-21580</v>
      </c>
      <c r="AG38" s="417">
        <f t="shared" si="6"/>
        <v>-21580</v>
      </c>
      <c r="AH38" s="417">
        <v>0</v>
      </c>
      <c r="AI38" s="417">
        <v>12000</v>
      </c>
      <c r="AJ38" s="417">
        <v>0</v>
      </c>
      <c r="AK38" s="417">
        <v>0</v>
      </c>
      <c r="AL38" s="417">
        <v>0</v>
      </c>
      <c r="AM38" s="417">
        <f t="shared" si="7"/>
        <v>0</v>
      </c>
      <c r="AN38" s="417">
        <f t="shared" si="8"/>
        <v>12000</v>
      </c>
      <c r="AO38" s="417">
        <f t="shared" si="9"/>
        <v>12000</v>
      </c>
      <c r="AP38" s="417">
        <f t="shared" si="10"/>
        <v>0</v>
      </c>
      <c r="AQ38" s="417">
        <f t="shared" si="11"/>
        <v>-9580</v>
      </c>
      <c r="AR38" s="417">
        <f t="shared" si="12"/>
        <v>-9580</v>
      </c>
      <c r="AS38" s="68">
        <f t="shared" si="13"/>
        <v>-3238</v>
      </c>
      <c r="AT38" s="68">
        <f t="shared" si="14"/>
        <v>-216</v>
      </c>
      <c r="AU38" s="417">
        <v>0</v>
      </c>
      <c r="AV38" s="417">
        <v>0</v>
      </c>
      <c r="AW38" s="417">
        <v>0</v>
      </c>
      <c r="AX38" s="417">
        <f t="shared" si="15"/>
        <v>0</v>
      </c>
      <c r="AY38" s="417">
        <f t="shared" si="16"/>
        <v>-13034</v>
      </c>
      <c r="AZ38" s="418">
        <v>0</v>
      </c>
      <c r="BA38" s="418">
        <v>-0.04</v>
      </c>
      <c r="BB38" s="418">
        <v>0</v>
      </c>
      <c r="BC38" s="418">
        <v>0</v>
      </c>
      <c r="BD38" s="418">
        <v>-0.03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7"/>
        <v>0</v>
      </c>
      <c r="BJ38" s="418">
        <f t="shared" si="18"/>
        <v>-7.0000000000000007E-2</v>
      </c>
      <c r="BK38" s="420">
        <f t="shared" si="19"/>
        <v>-7.0000000000000007E-2</v>
      </c>
      <c r="BL38" s="772">
        <f>I38+AY38</f>
        <v>1259887</v>
      </c>
      <c r="BM38" s="417">
        <f>J38+AG38</f>
        <v>895276</v>
      </c>
      <c r="BN38" s="417">
        <f t="shared" si="50"/>
        <v>0</v>
      </c>
      <c r="BO38" s="417">
        <f t="shared" si="50"/>
        <v>895276</v>
      </c>
      <c r="BP38" s="417">
        <f>M38+AO38</f>
        <v>36000</v>
      </c>
      <c r="BQ38" s="417">
        <f t="shared" si="51"/>
        <v>0</v>
      </c>
      <c r="BR38" s="417">
        <f t="shared" si="51"/>
        <v>36000</v>
      </c>
      <c r="BS38" s="417">
        <f t="shared" si="52"/>
        <v>314771</v>
      </c>
      <c r="BT38" s="417">
        <f t="shared" si="52"/>
        <v>8952</v>
      </c>
      <c r="BU38" s="417">
        <f>R38+AX38</f>
        <v>4888</v>
      </c>
      <c r="BV38" s="418">
        <f>S38+BK38</f>
        <v>2.66</v>
      </c>
      <c r="BW38" s="418">
        <f t="shared" si="53"/>
        <v>0</v>
      </c>
      <c r="BX38" s="420">
        <f t="shared" si="53"/>
        <v>2.66</v>
      </c>
      <c r="BY38" s="419"/>
      <c r="BZ38" s="414"/>
      <c r="CA38" s="414"/>
      <c r="CB38" s="414"/>
      <c r="CC38" s="414"/>
      <c r="CD38" s="509"/>
      <c r="CE38" s="419"/>
      <c r="CF38" s="414"/>
      <c r="CG38" s="414"/>
      <c r="CH38" s="414"/>
      <c r="CI38" s="414"/>
      <c r="CJ38" s="509"/>
    </row>
    <row r="39" spans="1:88" s="221" customFormat="1">
      <c r="A39" s="155">
        <v>7</v>
      </c>
      <c r="B39" s="18">
        <v>4423</v>
      </c>
      <c r="C39" s="18">
        <v>600074439</v>
      </c>
      <c r="D39" s="18">
        <v>70982155</v>
      </c>
      <c r="E39" s="164" t="s">
        <v>159</v>
      </c>
      <c r="F39" s="18"/>
      <c r="G39" s="154"/>
      <c r="H39" s="608"/>
      <c r="I39" s="451">
        <v>9260531</v>
      </c>
      <c r="J39" s="444">
        <v>6765454</v>
      </c>
      <c r="K39" s="444">
        <v>5097084</v>
      </c>
      <c r="L39" s="444">
        <v>1668370</v>
      </c>
      <c r="M39" s="444">
        <v>74000</v>
      </c>
      <c r="N39" s="444">
        <v>0</v>
      </c>
      <c r="O39" s="444">
        <v>74000</v>
      </c>
      <c r="P39" s="444">
        <v>2311735</v>
      </c>
      <c r="Q39" s="444">
        <v>67654</v>
      </c>
      <c r="R39" s="444">
        <v>41688</v>
      </c>
      <c r="S39" s="445">
        <v>14.028799999999999</v>
      </c>
      <c r="T39" s="445">
        <v>8.75</v>
      </c>
      <c r="U39" s="449">
        <v>5.2788000000000004</v>
      </c>
      <c r="V39" s="447">
        <f t="shared" ref="V39:CG39" si="54">SUM(V36:V38)</f>
        <v>0</v>
      </c>
      <c r="W39" s="444">
        <f t="shared" si="54"/>
        <v>-36000</v>
      </c>
      <c r="X39" s="444">
        <f t="shared" si="54"/>
        <v>-92700</v>
      </c>
      <c r="Y39" s="444">
        <f t="shared" si="54"/>
        <v>0</v>
      </c>
      <c r="Z39" s="444">
        <f t="shared" si="54"/>
        <v>0</v>
      </c>
      <c r="AA39" s="444">
        <f t="shared" si="54"/>
        <v>-9580</v>
      </c>
      <c r="AB39" s="444">
        <f t="shared" si="54"/>
        <v>0</v>
      </c>
      <c r="AC39" s="444">
        <f t="shared" si="54"/>
        <v>0</v>
      </c>
      <c r="AD39" s="444">
        <f t="shared" si="54"/>
        <v>0</v>
      </c>
      <c r="AE39" s="444">
        <f t="shared" si="54"/>
        <v>-92700</v>
      </c>
      <c r="AF39" s="444">
        <f t="shared" si="54"/>
        <v>-45580</v>
      </c>
      <c r="AG39" s="444">
        <f t="shared" si="54"/>
        <v>-138280</v>
      </c>
      <c r="AH39" s="444">
        <f t="shared" si="54"/>
        <v>0</v>
      </c>
      <c r="AI39" s="444">
        <f t="shared" si="54"/>
        <v>36000</v>
      </c>
      <c r="AJ39" s="444">
        <f t="shared" si="54"/>
        <v>0</v>
      </c>
      <c r="AK39" s="444">
        <f t="shared" si="54"/>
        <v>0</v>
      </c>
      <c r="AL39" s="444">
        <f t="shared" si="54"/>
        <v>0</v>
      </c>
      <c r="AM39" s="444">
        <f t="shared" si="54"/>
        <v>0</v>
      </c>
      <c r="AN39" s="444">
        <f t="shared" si="54"/>
        <v>36000</v>
      </c>
      <c r="AO39" s="444">
        <f t="shared" si="54"/>
        <v>36000</v>
      </c>
      <c r="AP39" s="444">
        <f t="shared" si="54"/>
        <v>-92700</v>
      </c>
      <c r="AQ39" s="444">
        <f t="shared" si="54"/>
        <v>-9580</v>
      </c>
      <c r="AR39" s="444">
        <f t="shared" si="54"/>
        <v>-102280</v>
      </c>
      <c r="AS39" s="444">
        <f t="shared" si="54"/>
        <v>-34571</v>
      </c>
      <c r="AT39" s="444">
        <f t="shared" si="54"/>
        <v>-1383</v>
      </c>
      <c r="AU39" s="444">
        <f t="shared" si="54"/>
        <v>0</v>
      </c>
      <c r="AV39" s="444">
        <f t="shared" si="54"/>
        <v>0</v>
      </c>
      <c r="AW39" s="444">
        <f t="shared" si="54"/>
        <v>0</v>
      </c>
      <c r="AX39" s="444">
        <f t="shared" si="54"/>
        <v>0</v>
      </c>
      <c r="AY39" s="444">
        <f t="shared" si="54"/>
        <v>-138234</v>
      </c>
      <c r="AZ39" s="445">
        <f t="shared" si="54"/>
        <v>0</v>
      </c>
      <c r="BA39" s="445">
        <f t="shared" si="54"/>
        <v>-0.14000000000000001</v>
      </c>
      <c r="BB39" s="445">
        <f t="shared" si="54"/>
        <v>-0.25</v>
      </c>
      <c r="BC39" s="445">
        <f t="shared" si="54"/>
        <v>0</v>
      </c>
      <c r="BD39" s="445">
        <f t="shared" si="54"/>
        <v>-0.03</v>
      </c>
      <c r="BE39" s="445">
        <f t="shared" si="54"/>
        <v>0</v>
      </c>
      <c r="BF39" s="445">
        <f t="shared" si="54"/>
        <v>0</v>
      </c>
      <c r="BG39" s="445">
        <f t="shared" si="54"/>
        <v>0</v>
      </c>
      <c r="BH39" s="445">
        <f t="shared" si="54"/>
        <v>0</v>
      </c>
      <c r="BI39" s="445">
        <f t="shared" si="54"/>
        <v>-0.25</v>
      </c>
      <c r="BJ39" s="445">
        <f t="shared" si="54"/>
        <v>-0.17</v>
      </c>
      <c r="BK39" s="39">
        <f t="shared" si="54"/>
        <v>-0.42</v>
      </c>
      <c r="BL39" s="451">
        <f t="shared" si="54"/>
        <v>9122297</v>
      </c>
      <c r="BM39" s="444">
        <f t="shared" si="54"/>
        <v>6627174</v>
      </c>
      <c r="BN39" s="444">
        <f t="shared" si="54"/>
        <v>5004384</v>
      </c>
      <c r="BO39" s="444">
        <f t="shared" si="54"/>
        <v>1622790</v>
      </c>
      <c r="BP39" s="444">
        <f t="shared" si="54"/>
        <v>110000</v>
      </c>
      <c r="BQ39" s="444">
        <f t="shared" si="54"/>
        <v>0</v>
      </c>
      <c r="BR39" s="444">
        <f t="shared" si="54"/>
        <v>110000</v>
      </c>
      <c r="BS39" s="444">
        <f t="shared" si="54"/>
        <v>2277164</v>
      </c>
      <c r="BT39" s="444">
        <f t="shared" si="54"/>
        <v>66271</v>
      </c>
      <c r="BU39" s="444">
        <f t="shared" si="54"/>
        <v>41688</v>
      </c>
      <c r="BV39" s="445">
        <f t="shared" si="54"/>
        <v>13.608799999999999</v>
      </c>
      <c r="BW39" s="445">
        <f t="shared" si="54"/>
        <v>8.5</v>
      </c>
      <c r="BX39" s="39">
        <f t="shared" si="54"/>
        <v>5.1088000000000005</v>
      </c>
      <c r="BY39" s="806">
        <f t="shared" si="54"/>
        <v>0</v>
      </c>
      <c r="BZ39" s="709">
        <f t="shared" si="54"/>
        <v>0</v>
      </c>
      <c r="CA39" s="709">
        <f t="shared" si="54"/>
        <v>0</v>
      </c>
      <c r="CB39" s="709">
        <f t="shared" si="54"/>
        <v>0</v>
      </c>
      <c r="CC39" s="709">
        <f t="shared" si="54"/>
        <v>0</v>
      </c>
      <c r="CD39" s="807">
        <f t="shared" si="54"/>
        <v>0</v>
      </c>
      <c r="CE39" s="919">
        <f t="shared" si="54"/>
        <v>358920</v>
      </c>
      <c r="CF39" s="920">
        <f t="shared" si="54"/>
        <v>257184</v>
      </c>
      <c r="CG39" s="920">
        <f t="shared" si="54"/>
        <v>86928</v>
      </c>
      <c r="CH39" s="920">
        <f t="shared" ref="CH39:CJ39" si="55">SUM(CH36:CH38)</f>
        <v>2572</v>
      </c>
      <c r="CI39" s="920">
        <f t="shared" si="55"/>
        <v>12236</v>
      </c>
      <c r="CJ39" s="921">
        <f t="shared" si="55"/>
        <v>0.88200000000000001</v>
      </c>
    </row>
    <row r="40" spans="1:88" s="221" customFormat="1">
      <c r="A40" s="209">
        <v>8</v>
      </c>
      <c r="B40" s="210">
        <v>4404</v>
      </c>
      <c r="C40" s="210">
        <v>600074331</v>
      </c>
      <c r="D40" s="210">
        <v>831298</v>
      </c>
      <c r="E40" s="208" t="s">
        <v>160</v>
      </c>
      <c r="F40" s="210">
        <v>3111</v>
      </c>
      <c r="G40" s="165" t="s">
        <v>290</v>
      </c>
      <c r="H40" s="621" t="s">
        <v>271</v>
      </c>
      <c r="I40" s="510">
        <v>22840960</v>
      </c>
      <c r="J40" s="414">
        <v>16862953</v>
      </c>
      <c r="K40" s="414">
        <v>14739372</v>
      </c>
      <c r="L40" s="414">
        <v>2123581</v>
      </c>
      <c r="M40" s="414">
        <v>0</v>
      </c>
      <c r="N40" s="414">
        <v>0</v>
      </c>
      <c r="O40" s="414">
        <v>0</v>
      </c>
      <c r="P40" s="68">
        <v>5699678</v>
      </c>
      <c r="Q40" s="68">
        <v>168629</v>
      </c>
      <c r="R40" s="414">
        <v>109700</v>
      </c>
      <c r="S40" s="415">
        <v>33.470599999999997</v>
      </c>
      <c r="T40" s="416">
        <v>26</v>
      </c>
      <c r="U40" s="422">
        <v>7.470600000000001</v>
      </c>
      <c r="V40" s="423">
        <f t="shared" si="2"/>
        <v>0</v>
      </c>
      <c r="W40" s="417">
        <f t="shared" si="3"/>
        <v>0</v>
      </c>
      <c r="X40" s="417">
        <v>0</v>
      </c>
      <c r="Y40" s="417">
        <v>0</v>
      </c>
      <c r="Z40" s="417">
        <v>128902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4"/>
        <v>128902</v>
      </c>
      <c r="AF40" s="417">
        <f t="shared" si="5"/>
        <v>0</v>
      </c>
      <c r="AG40" s="417">
        <f t="shared" si="6"/>
        <v>128902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7"/>
        <v>0</v>
      </c>
      <c r="AN40" s="417">
        <f t="shared" si="8"/>
        <v>0</v>
      </c>
      <c r="AO40" s="417">
        <f t="shared" si="9"/>
        <v>0</v>
      </c>
      <c r="AP40" s="417">
        <f t="shared" si="10"/>
        <v>128902</v>
      </c>
      <c r="AQ40" s="417">
        <f t="shared" si="11"/>
        <v>0</v>
      </c>
      <c r="AR40" s="417">
        <f t="shared" si="12"/>
        <v>128902</v>
      </c>
      <c r="AS40" s="68">
        <f t="shared" si="13"/>
        <v>43569</v>
      </c>
      <c r="AT40" s="68">
        <f t="shared" si="14"/>
        <v>1289</v>
      </c>
      <c r="AU40" s="417">
        <v>0</v>
      </c>
      <c r="AV40" s="417">
        <v>0</v>
      </c>
      <c r="AW40" s="417">
        <v>0</v>
      </c>
      <c r="AX40" s="417">
        <f t="shared" si="15"/>
        <v>0</v>
      </c>
      <c r="AY40" s="417">
        <f t="shared" si="16"/>
        <v>173760</v>
      </c>
      <c r="AZ40" s="418">
        <v>0</v>
      </c>
      <c r="BA40" s="418">
        <v>0</v>
      </c>
      <c r="BB40" s="418">
        <v>0</v>
      </c>
      <c r="BC40" s="418">
        <v>0.3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0.3</v>
      </c>
      <c r="BJ40" s="418">
        <f t="shared" si="18"/>
        <v>0</v>
      </c>
      <c r="BK40" s="420">
        <f t="shared" si="19"/>
        <v>0.3</v>
      </c>
      <c r="BL40" s="772">
        <f>I40+AY40</f>
        <v>23014720</v>
      </c>
      <c r="BM40" s="417">
        <f>J40+AG40</f>
        <v>16991855</v>
      </c>
      <c r="BN40" s="417">
        <f t="shared" ref="BN40:BO42" si="56">K40+AE40</f>
        <v>14868274</v>
      </c>
      <c r="BO40" s="417">
        <f t="shared" si="56"/>
        <v>2123581</v>
      </c>
      <c r="BP40" s="417">
        <f>M40+AO40</f>
        <v>0</v>
      </c>
      <c r="BQ40" s="417">
        <f t="shared" ref="BQ40:BR42" si="57">N40+AM40</f>
        <v>0</v>
      </c>
      <c r="BR40" s="417">
        <f t="shared" si="57"/>
        <v>0</v>
      </c>
      <c r="BS40" s="417">
        <f t="shared" ref="BS40:BT42" si="58">P40+AS40</f>
        <v>5743247</v>
      </c>
      <c r="BT40" s="417">
        <f t="shared" si="58"/>
        <v>169918</v>
      </c>
      <c r="BU40" s="417">
        <f>R40+AX40</f>
        <v>109700</v>
      </c>
      <c r="BV40" s="418">
        <f>S40+BK40</f>
        <v>33.770599999999995</v>
      </c>
      <c r="BW40" s="418">
        <f t="shared" ref="BW40:BX42" si="59">T40+BI40</f>
        <v>26.3</v>
      </c>
      <c r="BX40" s="420">
        <f t="shared" si="59"/>
        <v>7.470600000000001</v>
      </c>
      <c r="BY40" s="419"/>
      <c r="BZ40" s="414"/>
      <c r="CA40" s="414"/>
      <c r="CB40" s="414"/>
      <c r="CC40" s="414"/>
      <c r="CD40" s="509"/>
      <c r="CE40" s="419">
        <v>955049</v>
      </c>
      <c r="CF40" s="414">
        <v>681432</v>
      </c>
      <c r="CG40" s="414">
        <v>230324</v>
      </c>
      <c r="CH40" s="414">
        <v>6814</v>
      </c>
      <c r="CI40" s="414">
        <v>36479</v>
      </c>
      <c r="CJ40" s="509">
        <v>2.3971999999999998</v>
      </c>
    </row>
    <row r="41" spans="1:88" s="221" customFormat="1">
      <c r="A41" s="209">
        <v>8</v>
      </c>
      <c r="B41" s="210">
        <v>4404</v>
      </c>
      <c r="C41" s="210">
        <v>600074331</v>
      </c>
      <c r="D41" s="210">
        <v>831298</v>
      </c>
      <c r="E41" s="208" t="s">
        <v>160</v>
      </c>
      <c r="F41" s="210">
        <v>3111</v>
      </c>
      <c r="G41" s="165" t="s">
        <v>291</v>
      </c>
      <c r="H41" s="621" t="s">
        <v>272</v>
      </c>
      <c r="I41" s="510">
        <v>1585366</v>
      </c>
      <c r="J41" s="414">
        <v>1169077</v>
      </c>
      <c r="K41" s="414">
        <v>1169077</v>
      </c>
      <c r="L41" s="414">
        <v>0</v>
      </c>
      <c r="M41" s="414">
        <v>0</v>
      </c>
      <c r="N41" s="414">
        <v>0</v>
      </c>
      <c r="O41" s="414">
        <v>0</v>
      </c>
      <c r="P41" s="68">
        <v>395148</v>
      </c>
      <c r="Q41" s="68">
        <v>11691</v>
      </c>
      <c r="R41" s="414">
        <v>9450</v>
      </c>
      <c r="S41" s="415">
        <v>3.48</v>
      </c>
      <c r="T41" s="416">
        <v>3.48</v>
      </c>
      <c r="U41" s="422">
        <v>0</v>
      </c>
      <c r="V41" s="423">
        <f t="shared" si="2"/>
        <v>0</v>
      </c>
      <c r="W41" s="417">
        <f t="shared" si="3"/>
        <v>0</v>
      </c>
      <c r="X41" s="417">
        <v>67980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4"/>
        <v>67980</v>
      </c>
      <c r="AF41" s="417">
        <f t="shared" si="5"/>
        <v>0</v>
      </c>
      <c r="AG41" s="417">
        <f t="shared" si="6"/>
        <v>67980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7"/>
        <v>0</v>
      </c>
      <c r="AN41" s="417">
        <f t="shared" si="8"/>
        <v>0</v>
      </c>
      <c r="AO41" s="417">
        <f t="shared" si="9"/>
        <v>0</v>
      </c>
      <c r="AP41" s="417">
        <f t="shared" si="10"/>
        <v>67980</v>
      </c>
      <c r="AQ41" s="417">
        <f t="shared" si="11"/>
        <v>0</v>
      </c>
      <c r="AR41" s="417">
        <f t="shared" si="12"/>
        <v>67980</v>
      </c>
      <c r="AS41" s="68">
        <f t="shared" si="13"/>
        <v>22977</v>
      </c>
      <c r="AT41" s="68">
        <f t="shared" si="14"/>
        <v>680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91637</v>
      </c>
      <c r="AZ41" s="418">
        <v>0</v>
      </c>
      <c r="BA41" s="418">
        <v>0</v>
      </c>
      <c r="BB41" s="418">
        <v>0.25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0.25</v>
      </c>
      <c r="BJ41" s="418">
        <f t="shared" si="18"/>
        <v>0</v>
      </c>
      <c r="BK41" s="420">
        <f t="shared" si="19"/>
        <v>0.25</v>
      </c>
      <c r="BL41" s="772">
        <f>I41+AY41</f>
        <v>1677003</v>
      </c>
      <c r="BM41" s="417">
        <f>J41+AG41</f>
        <v>1237057</v>
      </c>
      <c r="BN41" s="417">
        <f t="shared" si="56"/>
        <v>1237057</v>
      </c>
      <c r="BO41" s="417">
        <f t="shared" si="56"/>
        <v>0</v>
      </c>
      <c r="BP41" s="417">
        <f>M41+AO41</f>
        <v>0</v>
      </c>
      <c r="BQ41" s="417">
        <f t="shared" si="57"/>
        <v>0</v>
      </c>
      <c r="BR41" s="417">
        <f t="shared" si="57"/>
        <v>0</v>
      </c>
      <c r="BS41" s="417">
        <f t="shared" si="58"/>
        <v>418125</v>
      </c>
      <c r="BT41" s="417">
        <f t="shared" si="58"/>
        <v>12371</v>
      </c>
      <c r="BU41" s="417">
        <f>R41+AX41</f>
        <v>9450</v>
      </c>
      <c r="BV41" s="418">
        <f>S41+BK41</f>
        <v>3.73</v>
      </c>
      <c r="BW41" s="418">
        <f t="shared" si="59"/>
        <v>3.73</v>
      </c>
      <c r="BX41" s="420">
        <f t="shared" si="59"/>
        <v>0</v>
      </c>
      <c r="BY41" s="419"/>
      <c r="BZ41" s="414"/>
      <c r="CA41" s="414"/>
      <c r="CB41" s="414"/>
      <c r="CC41" s="414"/>
      <c r="CD41" s="509"/>
      <c r="CE41" s="419"/>
      <c r="CF41" s="414"/>
      <c r="CG41" s="414"/>
      <c r="CH41" s="414"/>
      <c r="CI41" s="414"/>
      <c r="CJ41" s="509"/>
    </row>
    <row r="42" spans="1:88" s="221" customFormat="1">
      <c r="A42" s="209">
        <v>8</v>
      </c>
      <c r="B42" s="210">
        <v>4404</v>
      </c>
      <c r="C42" s="210">
        <v>600074331</v>
      </c>
      <c r="D42" s="210">
        <v>831298</v>
      </c>
      <c r="E42" s="208" t="s">
        <v>160</v>
      </c>
      <c r="F42" s="210">
        <v>3141</v>
      </c>
      <c r="G42" s="165" t="s">
        <v>294</v>
      </c>
      <c r="H42" s="621" t="s">
        <v>272</v>
      </c>
      <c r="I42" s="510">
        <v>3298753</v>
      </c>
      <c r="J42" s="414">
        <v>2437040</v>
      </c>
      <c r="K42" s="414">
        <v>0</v>
      </c>
      <c r="L42" s="414">
        <v>2437040</v>
      </c>
      <c r="M42" s="414">
        <v>0</v>
      </c>
      <c r="N42" s="414">
        <v>0</v>
      </c>
      <c r="O42" s="414">
        <v>0</v>
      </c>
      <c r="P42" s="68">
        <v>823719</v>
      </c>
      <c r="Q42" s="68">
        <v>24370</v>
      </c>
      <c r="R42" s="414">
        <v>13624</v>
      </c>
      <c r="S42" s="415">
        <v>7.3000000000000007</v>
      </c>
      <c r="T42" s="416">
        <v>0</v>
      </c>
      <c r="U42" s="422">
        <v>7.3000000000000007</v>
      </c>
      <c r="V42" s="423">
        <f t="shared" si="2"/>
        <v>0</v>
      </c>
      <c r="W42" s="417">
        <f t="shared" si="3"/>
        <v>0</v>
      </c>
      <c r="X42" s="417">
        <v>0</v>
      </c>
      <c r="Y42" s="417">
        <v>0</v>
      </c>
      <c r="Z42" s="417">
        <v>0</v>
      </c>
      <c r="AA42" s="417">
        <v>-28976</v>
      </c>
      <c r="AB42" s="417">
        <v>0</v>
      </c>
      <c r="AC42" s="417">
        <v>0</v>
      </c>
      <c r="AD42" s="417">
        <v>0</v>
      </c>
      <c r="AE42" s="417">
        <f t="shared" si="4"/>
        <v>0</v>
      </c>
      <c r="AF42" s="417">
        <f t="shared" si="5"/>
        <v>-28976</v>
      </c>
      <c r="AG42" s="417">
        <f t="shared" si="6"/>
        <v>-28976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7"/>
        <v>0</v>
      </c>
      <c r="AN42" s="417">
        <f t="shared" si="8"/>
        <v>0</v>
      </c>
      <c r="AO42" s="417">
        <f t="shared" si="9"/>
        <v>0</v>
      </c>
      <c r="AP42" s="417">
        <f t="shared" si="10"/>
        <v>0</v>
      </c>
      <c r="AQ42" s="417">
        <f t="shared" si="11"/>
        <v>-28976</v>
      </c>
      <c r="AR42" s="417">
        <f t="shared" si="12"/>
        <v>-28976</v>
      </c>
      <c r="AS42" s="68">
        <f t="shared" si="13"/>
        <v>-9794</v>
      </c>
      <c r="AT42" s="68">
        <f t="shared" si="14"/>
        <v>-290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-39060</v>
      </c>
      <c r="AZ42" s="418">
        <v>0</v>
      </c>
      <c r="BA42" s="418">
        <v>0</v>
      </c>
      <c r="BB42" s="418">
        <v>0</v>
      </c>
      <c r="BC42" s="418">
        <v>0</v>
      </c>
      <c r="BD42" s="418">
        <v>-0.08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-0.08</v>
      </c>
      <c r="BK42" s="420">
        <f t="shared" si="19"/>
        <v>-0.08</v>
      </c>
      <c r="BL42" s="772">
        <f>I42+AY42</f>
        <v>3259693</v>
      </c>
      <c r="BM42" s="417">
        <f>J42+AG42</f>
        <v>2408064</v>
      </c>
      <c r="BN42" s="417">
        <f t="shared" si="56"/>
        <v>0</v>
      </c>
      <c r="BO42" s="417">
        <f t="shared" si="56"/>
        <v>2408064</v>
      </c>
      <c r="BP42" s="417">
        <f>M42+AO42</f>
        <v>0</v>
      </c>
      <c r="BQ42" s="417">
        <f t="shared" si="57"/>
        <v>0</v>
      </c>
      <c r="BR42" s="417">
        <f t="shared" si="57"/>
        <v>0</v>
      </c>
      <c r="BS42" s="417">
        <f t="shared" si="58"/>
        <v>813925</v>
      </c>
      <c r="BT42" s="417">
        <f t="shared" si="58"/>
        <v>24080</v>
      </c>
      <c r="BU42" s="417">
        <f>R42+AX42</f>
        <v>13624</v>
      </c>
      <c r="BV42" s="418">
        <f>S42+BK42</f>
        <v>7.2200000000000006</v>
      </c>
      <c r="BW42" s="418">
        <f t="shared" si="59"/>
        <v>0</v>
      </c>
      <c r="BX42" s="420">
        <f t="shared" si="59"/>
        <v>7.2200000000000006</v>
      </c>
      <c r="BY42" s="419"/>
      <c r="BZ42" s="414"/>
      <c r="CA42" s="414"/>
      <c r="CB42" s="414"/>
      <c r="CC42" s="414"/>
      <c r="CD42" s="509"/>
      <c r="CE42" s="419"/>
      <c r="CF42" s="414"/>
      <c r="CG42" s="414"/>
      <c r="CH42" s="414"/>
      <c r="CI42" s="414"/>
      <c r="CJ42" s="509"/>
    </row>
    <row r="43" spans="1:88" s="221" customFormat="1">
      <c r="A43" s="155">
        <v>8</v>
      </c>
      <c r="B43" s="18">
        <v>4404</v>
      </c>
      <c r="C43" s="18">
        <v>600074331</v>
      </c>
      <c r="D43" s="18">
        <v>831298</v>
      </c>
      <c r="E43" s="164" t="s">
        <v>161</v>
      </c>
      <c r="F43" s="18"/>
      <c r="G43" s="154"/>
      <c r="H43" s="608"/>
      <c r="I43" s="451">
        <v>27725079</v>
      </c>
      <c r="J43" s="444">
        <v>20469070</v>
      </c>
      <c r="K43" s="444">
        <v>15908449</v>
      </c>
      <c r="L43" s="444">
        <v>4560621</v>
      </c>
      <c r="M43" s="444">
        <v>0</v>
      </c>
      <c r="N43" s="444">
        <v>0</v>
      </c>
      <c r="O43" s="444">
        <v>0</v>
      </c>
      <c r="P43" s="444">
        <v>6918545</v>
      </c>
      <c r="Q43" s="444">
        <v>204690</v>
      </c>
      <c r="R43" s="444">
        <v>132774</v>
      </c>
      <c r="S43" s="445">
        <v>44.250599999999991</v>
      </c>
      <c r="T43" s="445">
        <v>29.48</v>
      </c>
      <c r="U43" s="449">
        <v>14.770600000000002</v>
      </c>
      <c r="V43" s="447">
        <f t="shared" ref="V43:CG43" si="60">SUM(V40:V42)</f>
        <v>0</v>
      </c>
      <c r="W43" s="444">
        <f t="shared" si="60"/>
        <v>0</v>
      </c>
      <c r="X43" s="444">
        <f t="shared" si="60"/>
        <v>67980</v>
      </c>
      <c r="Y43" s="444">
        <f t="shared" si="60"/>
        <v>0</v>
      </c>
      <c r="Z43" s="444">
        <f t="shared" si="60"/>
        <v>128902</v>
      </c>
      <c r="AA43" s="444">
        <f t="shared" si="60"/>
        <v>-28976</v>
      </c>
      <c r="AB43" s="444">
        <f t="shared" si="60"/>
        <v>0</v>
      </c>
      <c r="AC43" s="444">
        <f t="shared" si="60"/>
        <v>0</v>
      </c>
      <c r="AD43" s="444">
        <f t="shared" si="60"/>
        <v>0</v>
      </c>
      <c r="AE43" s="444">
        <f t="shared" si="60"/>
        <v>196882</v>
      </c>
      <c r="AF43" s="444">
        <f t="shared" si="60"/>
        <v>-28976</v>
      </c>
      <c r="AG43" s="444">
        <f t="shared" si="60"/>
        <v>167906</v>
      </c>
      <c r="AH43" s="444">
        <f t="shared" si="60"/>
        <v>0</v>
      </c>
      <c r="AI43" s="444">
        <f t="shared" si="60"/>
        <v>0</v>
      </c>
      <c r="AJ43" s="444">
        <f t="shared" si="60"/>
        <v>0</v>
      </c>
      <c r="AK43" s="444">
        <f t="shared" si="60"/>
        <v>0</v>
      </c>
      <c r="AL43" s="444">
        <f t="shared" si="60"/>
        <v>0</v>
      </c>
      <c r="AM43" s="444">
        <f t="shared" si="60"/>
        <v>0</v>
      </c>
      <c r="AN43" s="444">
        <f t="shared" si="60"/>
        <v>0</v>
      </c>
      <c r="AO43" s="444">
        <f t="shared" si="60"/>
        <v>0</v>
      </c>
      <c r="AP43" s="444">
        <f t="shared" si="60"/>
        <v>196882</v>
      </c>
      <c r="AQ43" s="444">
        <f t="shared" si="60"/>
        <v>-28976</v>
      </c>
      <c r="AR43" s="444">
        <f t="shared" si="60"/>
        <v>167906</v>
      </c>
      <c r="AS43" s="444">
        <f t="shared" si="60"/>
        <v>56752</v>
      </c>
      <c r="AT43" s="444">
        <f t="shared" si="60"/>
        <v>1679</v>
      </c>
      <c r="AU43" s="444">
        <f t="shared" si="60"/>
        <v>0</v>
      </c>
      <c r="AV43" s="444">
        <f t="shared" si="60"/>
        <v>0</v>
      </c>
      <c r="AW43" s="444">
        <f t="shared" si="60"/>
        <v>0</v>
      </c>
      <c r="AX43" s="444">
        <f t="shared" si="60"/>
        <v>0</v>
      </c>
      <c r="AY43" s="444">
        <f t="shared" si="60"/>
        <v>226337</v>
      </c>
      <c r="AZ43" s="445">
        <f t="shared" si="60"/>
        <v>0</v>
      </c>
      <c r="BA43" s="445">
        <f t="shared" si="60"/>
        <v>0</v>
      </c>
      <c r="BB43" s="445">
        <f t="shared" si="60"/>
        <v>0.25</v>
      </c>
      <c r="BC43" s="445">
        <f t="shared" si="60"/>
        <v>0.3</v>
      </c>
      <c r="BD43" s="445">
        <f t="shared" si="60"/>
        <v>-0.08</v>
      </c>
      <c r="BE43" s="445">
        <f t="shared" si="60"/>
        <v>0</v>
      </c>
      <c r="BF43" s="445">
        <f t="shared" si="60"/>
        <v>0</v>
      </c>
      <c r="BG43" s="445">
        <f t="shared" si="60"/>
        <v>0</v>
      </c>
      <c r="BH43" s="445">
        <f t="shared" si="60"/>
        <v>0</v>
      </c>
      <c r="BI43" s="445">
        <f t="shared" si="60"/>
        <v>0.55000000000000004</v>
      </c>
      <c r="BJ43" s="445">
        <f t="shared" si="60"/>
        <v>-0.08</v>
      </c>
      <c r="BK43" s="39">
        <f t="shared" si="60"/>
        <v>0.47000000000000003</v>
      </c>
      <c r="BL43" s="451">
        <f t="shared" si="60"/>
        <v>27951416</v>
      </c>
      <c r="BM43" s="444">
        <f t="shared" si="60"/>
        <v>20636976</v>
      </c>
      <c r="BN43" s="444">
        <f t="shared" si="60"/>
        <v>16105331</v>
      </c>
      <c r="BO43" s="444">
        <f t="shared" si="60"/>
        <v>4531645</v>
      </c>
      <c r="BP43" s="444">
        <f t="shared" si="60"/>
        <v>0</v>
      </c>
      <c r="BQ43" s="444">
        <f t="shared" si="60"/>
        <v>0</v>
      </c>
      <c r="BR43" s="444">
        <f t="shared" si="60"/>
        <v>0</v>
      </c>
      <c r="BS43" s="444">
        <f t="shared" si="60"/>
        <v>6975297</v>
      </c>
      <c r="BT43" s="444">
        <f t="shared" si="60"/>
        <v>206369</v>
      </c>
      <c r="BU43" s="444">
        <f t="shared" si="60"/>
        <v>132774</v>
      </c>
      <c r="BV43" s="445">
        <f t="shared" si="60"/>
        <v>44.72059999999999</v>
      </c>
      <c r="BW43" s="445">
        <f t="shared" si="60"/>
        <v>30.03</v>
      </c>
      <c r="BX43" s="39">
        <f t="shared" si="60"/>
        <v>14.690600000000002</v>
      </c>
      <c r="BY43" s="806">
        <f t="shared" si="60"/>
        <v>0</v>
      </c>
      <c r="BZ43" s="709">
        <f t="shared" si="60"/>
        <v>0</v>
      </c>
      <c r="CA43" s="709">
        <f t="shared" si="60"/>
        <v>0</v>
      </c>
      <c r="CB43" s="709">
        <f t="shared" si="60"/>
        <v>0</v>
      </c>
      <c r="CC43" s="709">
        <f t="shared" si="60"/>
        <v>0</v>
      </c>
      <c r="CD43" s="807">
        <f t="shared" si="60"/>
        <v>0</v>
      </c>
      <c r="CE43" s="919">
        <f t="shared" si="60"/>
        <v>955049</v>
      </c>
      <c r="CF43" s="920">
        <f t="shared" si="60"/>
        <v>681432</v>
      </c>
      <c r="CG43" s="920">
        <f t="shared" si="60"/>
        <v>230324</v>
      </c>
      <c r="CH43" s="920">
        <f t="shared" ref="CH43:CJ43" si="61">SUM(CH40:CH42)</f>
        <v>6814</v>
      </c>
      <c r="CI43" s="920">
        <f t="shared" si="61"/>
        <v>36479</v>
      </c>
      <c r="CJ43" s="921">
        <f t="shared" si="61"/>
        <v>2.3971999999999998</v>
      </c>
    </row>
    <row r="44" spans="1:88" s="221" customFormat="1">
      <c r="A44" s="209">
        <v>9</v>
      </c>
      <c r="B44" s="210">
        <v>4480</v>
      </c>
      <c r="C44" s="210">
        <v>600075249</v>
      </c>
      <c r="D44" s="210">
        <v>49864548</v>
      </c>
      <c r="E44" s="208" t="s">
        <v>162</v>
      </c>
      <c r="F44" s="210">
        <v>3141</v>
      </c>
      <c r="G44" s="165" t="s">
        <v>294</v>
      </c>
      <c r="H44" s="621" t="s">
        <v>272</v>
      </c>
      <c r="I44" s="510">
        <v>4209444</v>
      </c>
      <c r="J44" s="414">
        <v>3100097</v>
      </c>
      <c r="K44" s="414">
        <v>0</v>
      </c>
      <c r="L44" s="414">
        <v>3100097</v>
      </c>
      <c r="M44" s="414">
        <v>0</v>
      </c>
      <c r="N44" s="414">
        <v>0</v>
      </c>
      <c r="O44" s="414">
        <v>0</v>
      </c>
      <c r="P44" s="68">
        <v>1047832</v>
      </c>
      <c r="Q44" s="68">
        <v>31001</v>
      </c>
      <c r="R44" s="414">
        <v>30514</v>
      </c>
      <c r="S44" s="415">
        <v>9.2999999999999989</v>
      </c>
      <c r="T44" s="416">
        <v>0</v>
      </c>
      <c r="U44" s="422">
        <v>9.2999999999999989</v>
      </c>
      <c r="V44" s="423">
        <f t="shared" si="2"/>
        <v>0</v>
      </c>
      <c r="W44" s="417">
        <f t="shared" si="3"/>
        <v>0</v>
      </c>
      <c r="X44" s="417">
        <v>0</v>
      </c>
      <c r="Y44" s="417">
        <v>0</v>
      </c>
      <c r="Z44" s="417">
        <v>0</v>
      </c>
      <c r="AA44" s="417">
        <v>8343</v>
      </c>
      <c r="AB44" s="417">
        <v>0</v>
      </c>
      <c r="AC44" s="417">
        <v>0</v>
      </c>
      <c r="AD44" s="417">
        <v>0</v>
      </c>
      <c r="AE44" s="417">
        <f t="shared" si="4"/>
        <v>0</v>
      </c>
      <c r="AF44" s="417">
        <f t="shared" si="5"/>
        <v>8343</v>
      </c>
      <c r="AG44" s="417">
        <f t="shared" si="6"/>
        <v>8343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7"/>
        <v>0</v>
      </c>
      <c r="AN44" s="417">
        <f t="shared" si="8"/>
        <v>0</v>
      </c>
      <c r="AO44" s="417">
        <f t="shared" si="9"/>
        <v>0</v>
      </c>
      <c r="AP44" s="417">
        <f t="shared" si="10"/>
        <v>0</v>
      </c>
      <c r="AQ44" s="417">
        <f t="shared" si="11"/>
        <v>8343</v>
      </c>
      <c r="AR44" s="417">
        <f t="shared" si="12"/>
        <v>8343</v>
      </c>
      <c r="AS44" s="68">
        <f t="shared" si="13"/>
        <v>2820</v>
      </c>
      <c r="AT44" s="68">
        <f t="shared" si="14"/>
        <v>83</v>
      </c>
      <c r="AU44" s="417">
        <v>0</v>
      </c>
      <c r="AV44" s="417">
        <v>0</v>
      </c>
      <c r="AW44" s="417">
        <v>0</v>
      </c>
      <c r="AX44" s="417">
        <f t="shared" si="15"/>
        <v>0</v>
      </c>
      <c r="AY44" s="417">
        <f t="shared" si="16"/>
        <v>11246</v>
      </c>
      <c r="AZ44" s="418">
        <v>0</v>
      </c>
      <c r="BA44" s="418">
        <v>0</v>
      </c>
      <c r="BB44" s="418">
        <v>0</v>
      </c>
      <c r="BC44" s="418">
        <v>0</v>
      </c>
      <c r="BD44" s="418">
        <v>0.03</v>
      </c>
      <c r="BE44" s="418">
        <v>0</v>
      </c>
      <c r="BF44" s="418">
        <v>0</v>
      </c>
      <c r="BG44" s="418">
        <v>0</v>
      </c>
      <c r="BH44" s="418">
        <v>0</v>
      </c>
      <c r="BI44" s="418">
        <f t="shared" si="17"/>
        <v>0</v>
      </c>
      <c r="BJ44" s="418">
        <f t="shared" si="18"/>
        <v>0.03</v>
      </c>
      <c r="BK44" s="420">
        <f t="shared" si="19"/>
        <v>0.03</v>
      </c>
      <c r="BL44" s="772">
        <f>I44+AY44</f>
        <v>4220690</v>
      </c>
      <c r="BM44" s="417">
        <f>J44+AG44</f>
        <v>3108440</v>
      </c>
      <c r="BN44" s="417">
        <f>K44+AE44</f>
        <v>0</v>
      </c>
      <c r="BO44" s="417">
        <f>L44+AF44</f>
        <v>3108440</v>
      </c>
      <c r="BP44" s="417">
        <f>M44+AO44</f>
        <v>0</v>
      </c>
      <c r="BQ44" s="417">
        <f>N44+AM44</f>
        <v>0</v>
      </c>
      <c r="BR44" s="417">
        <f>O44+AN44</f>
        <v>0</v>
      </c>
      <c r="BS44" s="417">
        <f>P44+AS44</f>
        <v>1050652</v>
      </c>
      <c r="BT44" s="417">
        <f>Q44+AT44</f>
        <v>31084</v>
      </c>
      <c r="BU44" s="417">
        <f>R44+AX44</f>
        <v>30514</v>
      </c>
      <c r="BV44" s="418">
        <f>S44+BK44</f>
        <v>9.3299999999999983</v>
      </c>
      <c r="BW44" s="418">
        <f>T44+BI44</f>
        <v>0</v>
      </c>
      <c r="BX44" s="420">
        <f>U44+BJ44</f>
        <v>9.3299999999999983</v>
      </c>
      <c r="BY44" s="419"/>
      <c r="BZ44" s="414"/>
      <c r="CA44" s="414"/>
      <c r="CB44" s="414"/>
      <c r="CC44" s="414"/>
      <c r="CD44" s="509"/>
      <c r="CE44" s="419"/>
      <c r="CF44" s="601"/>
      <c r="CG44" s="414"/>
      <c r="CH44" s="414"/>
      <c r="CI44" s="601"/>
      <c r="CJ44" s="603"/>
    </row>
    <row r="45" spans="1:88" s="221" customFormat="1">
      <c r="A45" s="155">
        <v>9</v>
      </c>
      <c r="B45" s="18">
        <v>4480</v>
      </c>
      <c r="C45" s="18">
        <v>600075249</v>
      </c>
      <c r="D45" s="18">
        <v>49864548</v>
      </c>
      <c r="E45" s="164" t="s">
        <v>163</v>
      </c>
      <c r="F45" s="18"/>
      <c r="G45" s="154"/>
      <c r="H45" s="608"/>
      <c r="I45" s="451">
        <v>4209444</v>
      </c>
      <c r="J45" s="444">
        <v>3100097</v>
      </c>
      <c r="K45" s="444">
        <v>0</v>
      </c>
      <c r="L45" s="444">
        <v>3100097</v>
      </c>
      <c r="M45" s="444">
        <v>0</v>
      </c>
      <c r="N45" s="444">
        <v>0</v>
      </c>
      <c r="O45" s="444">
        <v>0</v>
      </c>
      <c r="P45" s="444">
        <v>1047832</v>
      </c>
      <c r="Q45" s="444">
        <v>31001</v>
      </c>
      <c r="R45" s="444">
        <v>30514</v>
      </c>
      <c r="S45" s="445">
        <v>9.2999999999999989</v>
      </c>
      <c r="T45" s="445">
        <v>0</v>
      </c>
      <c r="U45" s="449">
        <v>9.2999999999999989</v>
      </c>
      <c r="V45" s="447">
        <f t="shared" ref="V45:CG45" si="62">SUM(V44)</f>
        <v>0</v>
      </c>
      <c r="W45" s="444">
        <f t="shared" si="62"/>
        <v>0</v>
      </c>
      <c r="X45" s="444">
        <f t="shared" si="62"/>
        <v>0</v>
      </c>
      <c r="Y45" s="444">
        <f t="shared" si="62"/>
        <v>0</v>
      </c>
      <c r="Z45" s="444">
        <f t="shared" si="62"/>
        <v>0</v>
      </c>
      <c r="AA45" s="444">
        <f t="shared" si="62"/>
        <v>8343</v>
      </c>
      <c r="AB45" s="444">
        <f t="shared" si="62"/>
        <v>0</v>
      </c>
      <c r="AC45" s="444">
        <f t="shared" si="62"/>
        <v>0</v>
      </c>
      <c r="AD45" s="444">
        <f t="shared" si="62"/>
        <v>0</v>
      </c>
      <c r="AE45" s="444">
        <f t="shared" si="62"/>
        <v>0</v>
      </c>
      <c r="AF45" s="444">
        <f t="shared" si="62"/>
        <v>8343</v>
      </c>
      <c r="AG45" s="444">
        <f t="shared" si="62"/>
        <v>8343</v>
      </c>
      <c r="AH45" s="444">
        <f t="shared" si="62"/>
        <v>0</v>
      </c>
      <c r="AI45" s="444">
        <f t="shared" si="62"/>
        <v>0</v>
      </c>
      <c r="AJ45" s="444">
        <f t="shared" si="62"/>
        <v>0</v>
      </c>
      <c r="AK45" s="444">
        <f t="shared" si="62"/>
        <v>0</v>
      </c>
      <c r="AL45" s="444">
        <f t="shared" si="62"/>
        <v>0</v>
      </c>
      <c r="AM45" s="444">
        <f t="shared" si="62"/>
        <v>0</v>
      </c>
      <c r="AN45" s="444">
        <f t="shared" si="62"/>
        <v>0</v>
      </c>
      <c r="AO45" s="444">
        <f t="shared" si="62"/>
        <v>0</v>
      </c>
      <c r="AP45" s="444">
        <f t="shared" si="62"/>
        <v>0</v>
      </c>
      <c r="AQ45" s="444">
        <f t="shared" si="62"/>
        <v>8343</v>
      </c>
      <c r="AR45" s="444">
        <f t="shared" si="62"/>
        <v>8343</v>
      </c>
      <c r="AS45" s="444">
        <f t="shared" si="62"/>
        <v>2820</v>
      </c>
      <c r="AT45" s="444">
        <f t="shared" si="62"/>
        <v>83</v>
      </c>
      <c r="AU45" s="444">
        <f t="shared" si="62"/>
        <v>0</v>
      </c>
      <c r="AV45" s="444">
        <f t="shared" si="62"/>
        <v>0</v>
      </c>
      <c r="AW45" s="444">
        <f t="shared" si="62"/>
        <v>0</v>
      </c>
      <c r="AX45" s="444">
        <f t="shared" si="62"/>
        <v>0</v>
      </c>
      <c r="AY45" s="444">
        <f t="shared" si="62"/>
        <v>11246</v>
      </c>
      <c r="AZ45" s="445">
        <f t="shared" si="62"/>
        <v>0</v>
      </c>
      <c r="BA45" s="445">
        <f t="shared" si="62"/>
        <v>0</v>
      </c>
      <c r="BB45" s="445">
        <f t="shared" si="62"/>
        <v>0</v>
      </c>
      <c r="BC45" s="445">
        <f t="shared" si="62"/>
        <v>0</v>
      </c>
      <c r="BD45" s="445">
        <f t="shared" si="62"/>
        <v>0.03</v>
      </c>
      <c r="BE45" s="445">
        <f t="shared" si="62"/>
        <v>0</v>
      </c>
      <c r="BF45" s="445">
        <f t="shared" si="62"/>
        <v>0</v>
      </c>
      <c r="BG45" s="445">
        <f t="shared" si="62"/>
        <v>0</v>
      </c>
      <c r="BH45" s="445">
        <f t="shared" si="62"/>
        <v>0</v>
      </c>
      <c r="BI45" s="445">
        <f t="shared" si="62"/>
        <v>0</v>
      </c>
      <c r="BJ45" s="445">
        <f t="shared" si="62"/>
        <v>0.03</v>
      </c>
      <c r="BK45" s="39">
        <f t="shared" si="62"/>
        <v>0.03</v>
      </c>
      <c r="BL45" s="451">
        <f t="shared" si="62"/>
        <v>4220690</v>
      </c>
      <c r="BM45" s="444">
        <f t="shared" si="62"/>
        <v>3108440</v>
      </c>
      <c r="BN45" s="444">
        <f t="shared" si="62"/>
        <v>0</v>
      </c>
      <c r="BO45" s="444">
        <f t="shared" si="62"/>
        <v>3108440</v>
      </c>
      <c r="BP45" s="444">
        <f t="shared" si="62"/>
        <v>0</v>
      </c>
      <c r="BQ45" s="444">
        <f t="shared" si="62"/>
        <v>0</v>
      </c>
      <c r="BR45" s="444">
        <f t="shared" si="62"/>
        <v>0</v>
      </c>
      <c r="BS45" s="444">
        <f t="shared" si="62"/>
        <v>1050652</v>
      </c>
      <c r="BT45" s="444">
        <f t="shared" si="62"/>
        <v>31084</v>
      </c>
      <c r="BU45" s="444">
        <f t="shared" si="62"/>
        <v>30514</v>
      </c>
      <c r="BV45" s="445">
        <f t="shared" si="62"/>
        <v>9.3299999999999983</v>
      </c>
      <c r="BW45" s="445">
        <f t="shared" si="62"/>
        <v>0</v>
      </c>
      <c r="BX45" s="39">
        <f t="shared" si="62"/>
        <v>9.3299999999999983</v>
      </c>
      <c r="BY45" s="806">
        <f t="shared" si="62"/>
        <v>0</v>
      </c>
      <c r="BZ45" s="709">
        <f t="shared" si="62"/>
        <v>0</v>
      </c>
      <c r="CA45" s="709">
        <f t="shared" si="62"/>
        <v>0</v>
      </c>
      <c r="CB45" s="709">
        <f t="shared" si="62"/>
        <v>0</v>
      </c>
      <c r="CC45" s="709">
        <f t="shared" si="62"/>
        <v>0</v>
      </c>
      <c r="CD45" s="807">
        <f t="shared" si="62"/>
        <v>0</v>
      </c>
      <c r="CE45" s="919">
        <f t="shared" si="62"/>
        <v>0</v>
      </c>
      <c r="CF45" s="920">
        <f t="shared" si="62"/>
        <v>0</v>
      </c>
      <c r="CG45" s="920">
        <f t="shared" si="62"/>
        <v>0</v>
      </c>
      <c r="CH45" s="920">
        <f t="shared" ref="CH45:CJ45" si="63">SUM(CH44)</f>
        <v>0</v>
      </c>
      <c r="CI45" s="920">
        <f t="shared" si="63"/>
        <v>0</v>
      </c>
      <c r="CJ45" s="921">
        <f t="shared" si="63"/>
        <v>0</v>
      </c>
    </row>
    <row r="46" spans="1:88" s="221" customFormat="1">
      <c r="A46" s="209">
        <v>10</v>
      </c>
      <c r="B46" s="210">
        <v>4439</v>
      </c>
      <c r="C46" s="210">
        <v>600074951</v>
      </c>
      <c r="D46" s="210">
        <v>48283088</v>
      </c>
      <c r="E46" s="208" t="s">
        <v>164</v>
      </c>
      <c r="F46" s="210">
        <v>3111</v>
      </c>
      <c r="G46" s="165" t="s">
        <v>290</v>
      </c>
      <c r="H46" s="621" t="s">
        <v>271</v>
      </c>
      <c r="I46" s="510">
        <v>5080664</v>
      </c>
      <c r="J46" s="414">
        <v>3749157</v>
      </c>
      <c r="K46" s="414">
        <v>3455103</v>
      </c>
      <c r="L46" s="414">
        <v>294054</v>
      </c>
      <c r="M46" s="414">
        <v>0</v>
      </c>
      <c r="N46" s="414">
        <v>0</v>
      </c>
      <c r="O46" s="414">
        <v>0</v>
      </c>
      <c r="P46" s="68">
        <v>1267215</v>
      </c>
      <c r="Q46" s="68">
        <v>37492</v>
      </c>
      <c r="R46" s="414">
        <v>26800</v>
      </c>
      <c r="S46" s="415">
        <v>7.1781000000000006</v>
      </c>
      <c r="T46" s="416">
        <v>6</v>
      </c>
      <c r="U46" s="422">
        <v>1.1781000000000001</v>
      </c>
      <c r="V46" s="423">
        <f t="shared" si="2"/>
        <v>0</v>
      </c>
      <c r="W46" s="417">
        <f t="shared" si="3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4"/>
        <v>0</v>
      </c>
      <c r="AF46" s="417">
        <f t="shared" si="5"/>
        <v>0</v>
      </c>
      <c r="AG46" s="417">
        <f t="shared" si="6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7"/>
        <v>0</v>
      </c>
      <c r="AN46" s="417">
        <f t="shared" si="8"/>
        <v>0</v>
      </c>
      <c r="AO46" s="417">
        <f t="shared" si="9"/>
        <v>0</v>
      </c>
      <c r="AP46" s="417">
        <f t="shared" si="10"/>
        <v>0</v>
      </c>
      <c r="AQ46" s="417">
        <f t="shared" si="11"/>
        <v>0</v>
      </c>
      <c r="AR46" s="417">
        <f t="shared" si="12"/>
        <v>0</v>
      </c>
      <c r="AS46" s="68">
        <f t="shared" si="13"/>
        <v>0</v>
      </c>
      <c r="AT46" s="68">
        <f t="shared" si="14"/>
        <v>0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0</v>
      </c>
      <c r="BK46" s="420">
        <f t="shared" si="19"/>
        <v>0</v>
      </c>
      <c r="BL46" s="772">
        <f t="shared" ref="BL46:BL51" si="64">I46+AY46</f>
        <v>5080664</v>
      </c>
      <c r="BM46" s="417">
        <f t="shared" ref="BM46:BM51" si="65">J46+AG46</f>
        <v>3749157</v>
      </c>
      <c r="BN46" s="417">
        <f t="shared" ref="BN46:BO51" si="66">K46+AE46</f>
        <v>3455103</v>
      </c>
      <c r="BO46" s="417">
        <f t="shared" si="66"/>
        <v>294054</v>
      </c>
      <c r="BP46" s="417">
        <f t="shared" ref="BP46:BP51" si="67">M46+AO46</f>
        <v>0</v>
      </c>
      <c r="BQ46" s="417">
        <f t="shared" ref="BQ46:BR51" si="68">N46+AM46</f>
        <v>0</v>
      </c>
      <c r="BR46" s="417">
        <f t="shared" si="68"/>
        <v>0</v>
      </c>
      <c r="BS46" s="417">
        <f t="shared" ref="BS46:BT51" si="69">P46+AS46</f>
        <v>1267215</v>
      </c>
      <c r="BT46" s="417">
        <f t="shared" si="69"/>
        <v>37492</v>
      </c>
      <c r="BU46" s="417">
        <f t="shared" ref="BU46:BU51" si="70">R46+AX46</f>
        <v>26800</v>
      </c>
      <c r="BV46" s="418">
        <f t="shared" ref="BV46:BV51" si="71">S46+BK46</f>
        <v>7.1781000000000006</v>
      </c>
      <c r="BW46" s="418">
        <f t="shared" ref="BW46:BX51" si="72">T46+BI46</f>
        <v>6</v>
      </c>
      <c r="BX46" s="420">
        <f t="shared" si="72"/>
        <v>1.1781000000000001</v>
      </c>
      <c r="BY46" s="419"/>
      <c r="BZ46" s="414"/>
      <c r="CA46" s="414"/>
      <c r="CB46" s="414"/>
      <c r="CC46" s="414"/>
      <c r="CD46" s="509"/>
      <c r="CE46" s="419">
        <v>136095</v>
      </c>
      <c r="CF46" s="414">
        <v>94350</v>
      </c>
      <c r="CG46" s="414">
        <v>31890</v>
      </c>
      <c r="CH46" s="414">
        <v>944</v>
      </c>
      <c r="CI46" s="414">
        <v>8911</v>
      </c>
      <c r="CJ46" s="509">
        <v>0.378</v>
      </c>
    </row>
    <row r="47" spans="1:88" s="221" customFormat="1">
      <c r="A47" s="209">
        <v>10</v>
      </c>
      <c r="B47" s="210">
        <v>4439</v>
      </c>
      <c r="C47" s="210">
        <v>600074951</v>
      </c>
      <c r="D47" s="210">
        <v>48283088</v>
      </c>
      <c r="E47" s="208" t="s">
        <v>164</v>
      </c>
      <c r="F47" s="210">
        <v>3113</v>
      </c>
      <c r="G47" s="165" t="s">
        <v>293</v>
      </c>
      <c r="H47" s="621" t="s">
        <v>271</v>
      </c>
      <c r="I47" s="510">
        <v>25150891</v>
      </c>
      <c r="J47" s="414">
        <v>18301582</v>
      </c>
      <c r="K47" s="414">
        <v>16147270</v>
      </c>
      <c r="L47" s="414">
        <v>2154312</v>
      </c>
      <c r="M47" s="414">
        <v>30000</v>
      </c>
      <c r="N47" s="414">
        <v>30000</v>
      </c>
      <c r="O47" s="414">
        <v>0</v>
      </c>
      <c r="P47" s="68">
        <v>6196074</v>
      </c>
      <c r="Q47" s="68">
        <v>183015</v>
      </c>
      <c r="R47" s="414">
        <v>440220</v>
      </c>
      <c r="S47" s="415">
        <v>31.054500000000004</v>
      </c>
      <c r="T47" s="416">
        <v>24.7224</v>
      </c>
      <c r="U47" s="422">
        <v>6.3321000000000005</v>
      </c>
      <c r="V47" s="423">
        <f t="shared" si="2"/>
        <v>0</v>
      </c>
      <c r="W47" s="417">
        <f t="shared" si="3"/>
        <v>0</v>
      </c>
      <c r="X47" s="417">
        <v>0</v>
      </c>
      <c r="Y47" s="417">
        <v>0</v>
      </c>
      <c r="Z47" s="417">
        <v>58720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4"/>
        <v>58720</v>
      </c>
      <c r="AF47" s="417">
        <f t="shared" si="5"/>
        <v>0</v>
      </c>
      <c r="AG47" s="417">
        <f t="shared" si="6"/>
        <v>58720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7"/>
        <v>0</v>
      </c>
      <c r="AN47" s="417">
        <f t="shared" si="8"/>
        <v>0</v>
      </c>
      <c r="AO47" s="417">
        <f t="shared" si="9"/>
        <v>0</v>
      </c>
      <c r="AP47" s="417">
        <f t="shared" si="10"/>
        <v>58720</v>
      </c>
      <c r="AQ47" s="417">
        <f t="shared" si="11"/>
        <v>0</v>
      </c>
      <c r="AR47" s="417">
        <f t="shared" si="12"/>
        <v>58720</v>
      </c>
      <c r="AS47" s="68">
        <f t="shared" si="13"/>
        <v>19847</v>
      </c>
      <c r="AT47" s="68">
        <f t="shared" si="14"/>
        <v>587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79154</v>
      </c>
      <c r="AZ47" s="418">
        <v>0</v>
      </c>
      <c r="BA47" s="418">
        <v>0</v>
      </c>
      <c r="BB47" s="418">
        <v>0</v>
      </c>
      <c r="BC47" s="418">
        <v>0.12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0.12</v>
      </c>
      <c r="BJ47" s="418">
        <f t="shared" si="18"/>
        <v>0</v>
      </c>
      <c r="BK47" s="420">
        <f t="shared" si="19"/>
        <v>0.12</v>
      </c>
      <c r="BL47" s="772">
        <f t="shared" si="64"/>
        <v>25230045</v>
      </c>
      <c r="BM47" s="417">
        <f t="shared" si="65"/>
        <v>18360302</v>
      </c>
      <c r="BN47" s="417">
        <f t="shared" si="66"/>
        <v>16205990</v>
      </c>
      <c r="BO47" s="417">
        <f t="shared" si="66"/>
        <v>2154312</v>
      </c>
      <c r="BP47" s="417">
        <f t="shared" si="67"/>
        <v>30000</v>
      </c>
      <c r="BQ47" s="417">
        <f t="shared" si="68"/>
        <v>30000</v>
      </c>
      <c r="BR47" s="417">
        <f t="shared" si="68"/>
        <v>0</v>
      </c>
      <c r="BS47" s="417">
        <f t="shared" si="69"/>
        <v>6215921</v>
      </c>
      <c r="BT47" s="417">
        <f t="shared" si="69"/>
        <v>183602</v>
      </c>
      <c r="BU47" s="417">
        <f t="shared" si="70"/>
        <v>440220</v>
      </c>
      <c r="BV47" s="418">
        <f t="shared" si="71"/>
        <v>31.174500000000005</v>
      </c>
      <c r="BW47" s="418">
        <f t="shared" si="72"/>
        <v>24.842400000000001</v>
      </c>
      <c r="BX47" s="420">
        <f t="shared" si="72"/>
        <v>6.3321000000000005</v>
      </c>
      <c r="BY47" s="419"/>
      <c r="BZ47" s="414"/>
      <c r="CA47" s="414"/>
      <c r="CB47" s="414"/>
      <c r="CC47" s="414"/>
      <c r="CD47" s="509"/>
      <c r="CE47" s="414">
        <v>1038294</v>
      </c>
      <c r="CF47" s="414">
        <v>691509</v>
      </c>
      <c r="CG47" s="414">
        <v>233730</v>
      </c>
      <c r="CH47" s="414">
        <v>6915</v>
      </c>
      <c r="CI47" s="414">
        <v>106140</v>
      </c>
      <c r="CJ47" s="509">
        <v>2.0326999999999997</v>
      </c>
    </row>
    <row r="48" spans="1:88" s="221" customFormat="1">
      <c r="A48" s="209">
        <v>10</v>
      </c>
      <c r="B48" s="210">
        <v>4439</v>
      </c>
      <c r="C48" s="210">
        <v>600074951</v>
      </c>
      <c r="D48" s="210">
        <v>48283088</v>
      </c>
      <c r="E48" s="208" t="s">
        <v>164</v>
      </c>
      <c r="F48" s="210">
        <v>3113</v>
      </c>
      <c r="G48" s="165" t="s">
        <v>291</v>
      </c>
      <c r="H48" s="621" t="s">
        <v>272</v>
      </c>
      <c r="I48" s="510">
        <v>4122762</v>
      </c>
      <c r="J48" s="414">
        <v>3056388</v>
      </c>
      <c r="K48" s="414">
        <v>3056388</v>
      </c>
      <c r="L48" s="414">
        <v>0</v>
      </c>
      <c r="M48" s="414">
        <v>0</v>
      </c>
      <c r="N48" s="414">
        <v>0</v>
      </c>
      <c r="O48" s="414">
        <v>0</v>
      </c>
      <c r="P48" s="68">
        <v>1033060</v>
      </c>
      <c r="Q48" s="68">
        <v>30564</v>
      </c>
      <c r="R48" s="414">
        <v>2750</v>
      </c>
      <c r="S48" s="415">
        <v>8.3000000000000007</v>
      </c>
      <c r="T48" s="416">
        <v>8.3000000000000007</v>
      </c>
      <c r="U48" s="422">
        <v>0</v>
      </c>
      <c r="V48" s="423">
        <f t="shared" si="2"/>
        <v>0</v>
      </c>
      <c r="W48" s="417">
        <f t="shared" si="3"/>
        <v>0</v>
      </c>
      <c r="X48" s="417">
        <v>-141628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4"/>
        <v>-141628</v>
      </c>
      <c r="AF48" s="417">
        <f t="shared" si="5"/>
        <v>0</v>
      </c>
      <c r="AG48" s="417">
        <f t="shared" si="6"/>
        <v>-141628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7"/>
        <v>0</v>
      </c>
      <c r="AN48" s="417">
        <f t="shared" si="8"/>
        <v>0</v>
      </c>
      <c r="AO48" s="417">
        <f t="shared" si="9"/>
        <v>0</v>
      </c>
      <c r="AP48" s="417">
        <f t="shared" si="10"/>
        <v>-141628</v>
      </c>
      <c r="AQ48" s="417">
        <f t="shared" si="11"/>
        <v>0</v>
      </c>
      <c r="AR48" s="417">
        <f t="shared" si="12"/>
        <v>-141628</v>
      </c>
      <c r="AS48" s="68">
        <f t="shared" si="13"/>
        <v>-47870</v>
      </c>
      <c r="AT48" s="68">
        <f t="shared" si="14"/>
        <v>-1416</v>
      </c>
      <c r="AU48" s="417">
        <v>0</v>
      </c>
      <c r="AV48" s="417">
        <v>0</v>
      </c>
      <c r="AW48" s="417">
        <v>0</v>
      </c>
      <c r="AX48" s="417">
        <f t="shared" si="15"/>
        <v>0</v>
      </c>
      <c r="AY48" s="417">
        <f t="shared" si="16"/>
        <v>-190914</v>
      </c>
      <c r="AZ48" s="418">
        <v>0</v>
      </c>
      <c r="BA48" s="418">
        <v>0</v>
      </c>
      <c r="BB48" s="418">
        <v>-0.38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7"/>
        <v>-0.38</v>
      </c>
      <c r="BJ48" s="418">
        <f t="shared" si="18"/>
        <v>0</v>
      </c>
      <c r="BK48" s="420">
        <f t="shared" si="19"/>
        <v>-0.38</v>
      </c>
      <c r="BL48" s="772">
        <f t="shared" si="64"/>
        <v>3931848</v>
      </c>
      <c r="BM48" s="417">
        <f t="shared" si="65"/>
        <v>2914760</v>
      </c>
      <c r="BN48" s="417">
        <f t="shared" si="66"/>
        <v>2914760</v>
      </c>
      <c r="BO48" s="417">
        <f t="shared" si="66"/>
        <v>0</v>
      </c>
      <c r="BP48" s="417">
        <f t="shared" si="67"/>
        <v>0</v>
      </c>
      <c r="BQ48" s="417">
        <f t="shared" si="68"/>
        <v>0</v>
      </c>
      <c r="BR48" s="417">
        <f t="shared" si="68"/>
        <v>0</v>
      </c>
      <c r="BS48" s="417">
        <f t="shared" si="69"/>
        <v>985190</v>
      </c>
      <c r="BT48" s="417">
        <f t="shared" si="69"/>
        <v>29148</v>
      </c>
      <c r="BU48" s="417">
        <f t="shared" si="70"/>
        <v>2750</v>
      </c>
      <c r="BV48" s="418">
        <f t="shared" si="71"/>
        <v>7.9200000000000008</v>
      </c>
      <c r="BW48" s="418">
        <f t="shared" si="72"/>
        <v>7.9200000000000008</v>
      </c>
      <c r="BX48" s="420">
        <f t="shared" si="72"/>
        <v>0</v>
      </c>
      <c r="BY48" s="419"/>
      <c r="BZ48" s="414"/>
      <c r="CA48" s="414"/>
      <c r="CB48" s="414"/>
      <c r="CC48" s="414"/>
      <c r="CD48" s="509"/>
      <c r="CE48" s="419"/>
      <c r="CF48" s="414"/>
      <c r="CG48" s="414"/>
      <c r="CH48" s="414"/>
      <c r="CI48" s="414"/>
      <c r="CJ48" s="509"/>
    </row>
    <row r="49" spans="1:88" s="221" customFormat="1">
      <c r="A49" s="209">
        <v>10</v>
      </c>
      <c r="B49" s="210">
        <v>4439</v>
      </c>
      <c r="C49" s="210">
        <v>600074951</v>
      </c>
      <c r="D49" s="210">
        <v>48283088</v>
      </c>
      <c r="E49" s="208" t="s">
        <v>164</v>
      </c>
      <c r="F49" s="210">
        <v>3141</v>
      </c>
      <c r="G49" s="165" t="s">
        <v>294</v>
      </c>
      <c r="H49" s="621" t="s">
        <v>272</v>
      </c>
      <c r="I49" s="510">
        <v>2653058</v>
      </c>
      <c r="J49" s="414">
        <v>1956070</v>
      </c>
      <c r="K49" s="414">
        <v>0</v>
      </c>
      <c r="L49" s="414">
        <v>1956070</v>
      </c>
      <c r="M49" s="414">
        <v>0</v>
      </c>
      <c r="N49" s="414">
        <v>0</v>
      </c>
      <c r="O49" s="414">
        <v>0</v>
      </c>
      <c r="P49" s="68">
        <v>661151</v>
      </c>
      <c r="Q49" s="68">
        <v>19561</v>
      </c>
      <c r="R49" s="414">
        <v>16276</v>
      </c>
      <c r="S49" s="415">
        <v>5.87</v>
      </c>
      <c r="T49" s="416">
        <v>0</v>
      </c>
      <c r="U49" s="422">
        <v>5.87</v>
      </c>
      <c r="V49" s="423">
        <f t="shared" si="2"/>
        <v>0</v>
      </c>
      <c r="W49" s="417">
        <f t="shared" si="3"/>
        <v>0</v>
      </c>
      <c r="X49" s="417">
        <v>0</v>
      </c>
      <c r="Y49" s="417">
        <v>0</v>
      </c>
      <c r="Z49" s="417">
        <v>0</v>
      </c>
      <c r="AA49" s="417">
        <v>-40344</v>
      </c>
      <c r="AB49" s="417">
        <v>0</v>
      </c>
      <c r="AC49" s="417">
        <v>0</v>
      </c>
      <c r="AD49" s="417">
        <v>0</v>
      </c>
      <c r="AE49" s="417">
        <f t="shared" si="4"/>
        <v>0</v>
      </c>
      <c r="AF49" s="417">
        <f t="shared" si="5"/>
        <v>-40344</v>
      </c>
      <c r="AG49" s="417">
        <f t="shared" si="6"/>
        <v>-40344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7"/>
        <v>0</v>
      </c>
      <c r="AN49" s="417">
        <f t="shared" si="8"/>
        <v>0</v>
      </c>
      <c r="AO49" s="417">
        <f t="shared" si="9"/>
        <v>0</v>
      </c>
      <c r="AP49" s="417">
        <f t="shared" si="10"/>
        <v>0</v>
      </c>
      <c r="AQ49" s="417">
        <f t="shared" si="11"/>
        <v>-40344</v>
      </c>
      <c r="AR49" s="417">
        <f t="shared" si="12"/>
        <v>-40344</v>
      </c>
      <c r="AS49" s="68">
        <f t="shared" si="13"/>
        <v>-13636</v>
      </c>
      <c r="AT49" s="68">
        <f t="shared" si="14"/>
        <v>-403</v>
      </c>
      <c r="AU49" s="417">
        <v>0</v>
      </c>
      <c r="AV49" s="417">
        <v>0</v>
      </c>
      <c r="AW49" s="417">
        <v>0</v>
      </c>
      <c r="AX49" s="417">
        <f t="shared" si="15"/>
        <v>0</v>
      </c>
      <c r="AY49" s="417">
        <f t="shared" si="16"/>
        <v>-54383</v>
      </c>
      <c r="AZ49" s="418">
        <v>0</v>
      </c>
      <c r="BA49" s="418">
        <v>0</v>
      </c>
      <c r="BB49" s="418">
        <v>0</v>
      </c>
      <c r="BC49" s="418">
        <v>0</v>
      </c>
      <c r="BD49" s="418">
        <v>-0.13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-0.13</v>
      </c>
      <c r="BK49" s="420">
        <f t="shared" si="19"/>
        <v>-0.13</v>
      </c>
      <c r="BL49" s="772">
        <f t="shared" si="64"/>
        <v>2598675</v>
      </c>
      <c r="BM49" s="417">
        <f t="shared" si="65"/>
        <v>1915726</v>
      </c>
      <c r="BN49" s="417">
        <f t="shared" si="66"/>
        <v>0</v>
      </c>
      <c r="BO49" s="417">
        <f t="shared" si="66"/>
        <v>1915726</v>
      </c>
      <c r="BP49" s="417">
        <f t="shared" si="67"/>
        <v>0</v>
      </c>
      <c r="BQ49" s="417">
        <f t="shared" si="68"/>
        <v>0</v>
      </c>
      <c r="BR49" s="417">
        <f t="shared" si="68"/>
        <v>0</v>
      </c>
      <c r="BS49" s="417">
        <f t="shared" si="69"/>
        <v>647515</v>
      </c>
      <c r="BT49" s="417">
        <f t="shared" si="69"/>
        <v>19158</v>
      </c>
      <c r="BU49" s="417">
        <f t="shared" si="70"/>
        <v>16276</v>
      </c>
      <c r="BV49" s="418">
        <f t="shared" si="71"/>
        <v>5.74</v>
      </c>
      <c r="BW49" s="418">
        <f t="shared" si="72"/>
        <v>0</v>
      </c>
      <c r="BX49" s="420">
        <f t="shared" si="72"/>
        <v>5.74</v>
      </c>
      <c r="BY49" s="419"/>
      <c r="BZ49" s="414"/>
      <c r="CA49" s="414"/>
      <c r="CB49" s="414"/>
      <c r="CC49" s="414"/>
      <c r="CD49" s="509"/>
      <c r="CE49" s="419"/>
      <c r="CF49" s="601"/>
      <c r="CG49" s="414"/>
      <c r="CH49" s="414"/>
      <c r="CI49" s="601"/>
      <c r="CJ49" s="603"/>
    </row>
    <row r="50" spans="1:88" s="221" customFormat="1">
      <c r="A50" s="209">
        <v>10</v>
      </c>
      <c r="B50" s="210">
        <v>4439</v>
      </c>
      <c r="C50" s="210">
        <v>600074951</v>
      </c>
      <c r="D50" s="210">
        <v>48283088</v>
      </c>
      <c r="E50" s="208" t="s">
        <v>164</v>
      </c>
      <c r="F50" s="210">
        <v>3143</v>
      </c>
      <c r="G50" s="165" t="s">
        <v>595</v>
      </c>
      <c r="H50" s="609" t="s">
        <v>271</v>
      </c>
      <c r="I50" s="510">
        <v>2453587</v>
      </c>
      <c r="J50" s="414">
        <v>1820168</v>
      </c>
      <c r="K50" s="414">
        <v>1820168</v>
      </c>
      <c r="L50" s="414">
        <v>0</v>
      </c>
      <c r="M50" s="414">
        <v>0</v>
      </c>
      <c r="N50" s="414">
        <v>0</v>
      </c>
      <c r="O50" s="414">
        <v>0</v>
      </c>
      <c r="P50" s="68">
        <v>615217</v>
      </c>
      <c r="Q50" s="68">
        <v>18202</v>
      </c>
      <c r="R50" s="414">
        <v>0</v>
      </c>
      <c r="S50" s="415">
        <v>3.6785000000000001</v>
      </c>
      <c r="T50" s="416">
        <v>3.6785000000000001</v>
      </c>
      <c r="U50" s="422">
        <v>0</v>
      </c>
      <c r="V50" s="423">
        <f t="shared" si="2"/>
        <v>0</v>
      </c>
      <c r="W50" s="417">
        <f t="shared" si="3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4"/>
        <v>0</v>
      </c>
      <c r="AF50" s="417">
        <f t="shared" si="5"/>
        <v>0</v>
      </c>
      <c r="AG50" s="417">
        <f t="shared" si="6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7"/>
        <v>0</v>
      </c>
      <c r="AN50" s="417">
        <f t="shared" si="8"/>
        <v>0</v>
      </c>
      <c r="AO50" s="417">
        <f t="shared" si="9"/>
        <v>0</v>
      </c>
      <c r="AP50" s="417">
        <f t="shared" si="10"/>
        <v>0</v>
      </c>
      <c r="AQ50" s="417">
        <f t="shared" si="11"/>
        <v>0</v>
      </c>
      <c r="AR50" s="417">
        <f t="shared" si="12"/>
        <v>0</v>
      </c>
      <c r="AS50" s="68">
        <f t="shared" si="13"/>
        <v>0</v>
      </c>
      <c r="AT50" s="68">
        <f t="shared" si="14"/>
        <v>0</v>
      </c>
      <c r="AU50" s="417">
        <v>0</v>
      </c>
      <c r="AV50" s="417">
        <v>0</v>
      </c>
      <c r="AW50" s="417">
        <v>0</v>
      </c>
      <c r="AX50" s="417">
        <f t="shared" si="15"/>
        <v>0</v>
      </c>
      <c r="AY50" s="417">
        <f t="shared" si="16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7"/>
        <v>0</v>
      </c>
      <c r="BJ50" s="418">
        <f t="shared" si="18"/>
        <v>0</v>
      </c>
      <c r="BK50" s="420">
        <f t="shared" si="19"/>
        <v>0</v>
      </c>
      <c r="BL50" s="772">
        <f t="shared" si="64"/>
        <v>2453587</v>
      </c>
      <c r="BM50" s="417">
        <f t="shared" si="65"/>
        <v>1820168</v>
      </c>
      <c r="BN50" s="417">
        <f t="shared" si="66"/>
        <v>1820168</v>
      </c>
      <c r="BO50" s="417">
        <f t="shared" si="66"/>
        <v>0</v>
      </c>
      <c r="BP50" s="417">
        <f t="shared" si="67"/>
        <v>0</v>
      </c>
      <c r="BQ50" s="417">
        <f t="shared" si="68"/>
        <v>0</v>
      </c>
      <c r="BR50" s="417">
        <f t="shared" si="68"/>
        <v>0</v>
      </c>
      <c r="BS50" s="417">
        <f t="shared" si="69"/>
        <v>615217</v>
      </c>
      <c r="BT50" s="417">
        <f t="shared" si="69"/>
        <v>18202</v>
      </c>
      <c r="BU50" s="417">
        <f t="shared" si="70"/>
        <v>0</v>
      </c>
      <c r="BV50" s="418">
        <f t="shared" si="71"/>
        <v>3.6785000000000001</v>
      </c>
      <c r="BW50" s="418">
        <f t="shared" si="72"/>
        <v>3.6785000000000001</v>
      </c>
      <c r="BX50" s="420">
        <f t="shared" si="72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 s="221" customFormat="1">
      <c r="A51" s="209">
        <v>10</v>
      </c>
      <c r="B51" s="210">
        <v>4439</v>
      </c>
      <c r="C51" s="210">
        <v>600074951</v>
      </c>
      <c r="D51" s="210">
        <v>48283088</v>
      </c>
      <c r="E51" s="208" t="s">
        <v>164</v>
      </c>
      <c r="F51" s="210">
        <v>3143</v>
      </c>
      <c r="G51" s="165" t="s">
        <v>596</v>
      </c>
      <c r="H51" s="609" t="s">
        <v>272</v>
      </c>
      <c r="I51" s="510">
        <v>82219</v>
      </c>
      <c r="J51" s="414">
        <v>58850</v>
      </c>
      <c r="K51" s="414">
        <v>0</v>
      </c>
      <c r="L51" s="414">
        <v>58850</v>
      </c>
      <c r="M51" s="414">
        <v>0</v>
      </c>
      <c r="N51" s="414">
        <v>0</v>
      </c>
      <c r="O51" s="414">
        <v>0</v>
      </c>
      <c r="P51" s="68">
        <v>19892</v>
      </c>
      <c r="Q51" s="68">
        <v>588</v>
      </c>
      <c r="R51" s="414">
        <v>2889</v>
      </c>
      <c r="S51" s="415">
        <v>0.22</v>
      </c>
      <c r="T51" s="416">
        <v>0</v>
      </c>
      <c r="U51" s="422">
        <v>0.22</v>
      </c>
      <c r="V51" s="423">
        <f t="shared" si="2"/>
        <v>0</v>
      </c>
      <c r="W51" s="417">
        <f t="shared" si="3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4"/>
        <v>0</v>
      </c>
      <c r="AF51" s="417">
        <f t="shared" si="5"/>
        <v>0</v>
      </c>
      <c r="AG51" s="417">
        <f t="shared" si="6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7"/>
        <v>0</v>
      </c>
      <c r="AN51" s="417">
        <f t="shared" si="8"/>
        <v>0</v>
      </c>
      <c r="AO51" s="417">
        <f t="shared" si="9"/>
        <v>0</v>
      </c>
      <c r="AP51" s="417">
        <f t="shared" si="10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</v>
      </c>
      <c r="BK51" s="420">
        <f t="shared" si="19"/>
        <v>0</v>
      </c>
      <c r="BL51" s="772">
        <f t="shared" si="64"/>
        <v>82219</v>
      </c>
      <c r="BM51" s="417">
        <f t="shared" si="65"/>
        <v>58850</v>
      </c>
      <c r="BN51" s="417">
        <f t="shared" si="66"/>
        <v>0</v>
      </c>
      <c r="BO51" s="417">
        <f t="shared" si="66"/>
        <v>58850</v>
      </c>
      <c r="BP51" s="417">
        <f t="shared" si="67"/>
        <v>0</v>
      </c>
      <c r="BQ51" s="417">
        <f t="shared" si="68"/>
        <v>0</v>
      </c>
      <c r="BR51" s="417">
        <f t="shared" si="68"/>
        <v>0</v>
      </c>
      <c r="BS51" s="417">
        <f t="shared" si="69"/>
        <v>19892</v>
      </c>
      <c r="BT51" s="417">
        <f t="shared" si="69"/>
        <v>588</v>
      </c>
      <c r="BU51" s="417">
        <f t="shared" si="70"/>
        <v>2889</v>
      </c>
      <c r="BV51" s="418">
        <f t="shared" si="71"/>
        <v>0.22</v>
      </c>
      <c r="BW51" s="418">
        <f t="shared" si="72"/>
        <v>0</v>
      </c>
      <c r="BX51" s="420">
        <f t="shared" si="72"/>
        <v>0.22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2"/>
      <c r="CJ51" s="603"/>
    </row>
    <row r="52" spans="1:88" s="221" customFormat="1">
      <c r="A52" s="155">
        <v>10</v>
      </c>
      <c r="B52" s="18">
        <v>4439</v>
      </c>
      <c r="C52" s="18">
        <v>600074951</v>
      </c>
      <c r="D52" s="18">
        <v>48283088</v>
      </c>
      <c r="E52" s="164" t="s">
        <v>165</v>
      </c>
      <c r="F52" s="18"/>
      <c r="G52" s="154"/>
      <c r="H52" s="608"/>
      <c r="I52" s="451">
        <v>39543181</v>
      </c>
      <c r="J52" s="444">
        <v>28942215</v>
      </c>
      <c r="K52" s="444">
        <v>24478929</v>
      </c>
      <c r="L52" s="444">
        <v>4463286</v>
      </c>
      <c r="M52" s="444">
        <v>30000</v>
      </c>
      <c r="N52" s="444">
        <v>30000</v>
      </c>
      <c r="O52" s="444">
        <v>0</v>
      </c>
      <c r="P52" s="444">
        <v>9792609</v>
      </c>
      <c r="Q52" s="444">
        <v>289422</v>
      </c>
      <c r="R52" s="444">
        <v>488935</v>
      </c>
      <c r="S52" s="445">
        <v>56.301099999999998</v>
      </c>
      <c r="T52" s="445">
        <v>42.700900000000004</v>
      </c>
      <c r="U52" s="449">
        <v>13.600200000000003</v>
      </c>
      <c r="V52" s="447">
        <f t="shared" ref="V52:CG52" si="73">SUM(V46:V51)</f>
        <v>0</v>
      </c>
      <c r="W52" s="444">
        <f t="shared" si="73"/>
        <v>0</v>
      </c>
      <c r="X52" s="444">
        <f t="shared" si="73"/>
        <v>-141628</v>
      </c>
      <c r="Y52" s="444">
        <f t="shared" si="73"/>
        <v>0</v>
      </c>
      <c r="Z52" s="444">
        <f t="shared" si="73"/>
        <v>58720</v>
      </c>
      <c r="AA52" s="444">
        <f t="shared" si="73"/>
        <v>-40344</v>
      </c>
      <c r="AB52" s="444">
        <f t="shared" si="73"/>
        <v>0</v>
      </c>
      <c r="AC52" s="444">
        <f t="shared" si="73"/>
        <v>0</v>
      </c>
      <c r="AD52" s="444">
        <f t="shared" si="73"/>
        <v>0</v>
      </c>
      <c r="AE52" s="444">
        <f t="shared" si="73"/>
        <v>-82908</v>
      </c>
      <c r="AF52" s="444">
        <f t="shared" si="73"/>
        <v>-40344</v>
      </c>
      <c r="AG52" s="444">
        <f t="shared" si="73"/>
        <v>-123252</v>
      </c>
      <c r="AH52" s="444">
        <f t="shared" si="73"/>
        <v>0</v>
      </c>
      <c r="AI52" s="444">
        <f t="shared" si="73"/>
        <v>0</v>
      </c>
      <c r="AJ52" s="444">
        <f t="shared" si="73"/>
        <v>0</v>
      </c>
      <c r="AK52" s="444">
        <f t="shared" si="73"/>
        <v>0</v>
      </c>
      <c r="AL52" s="444">
        <f t="shared" si="73"/>
        <v>0</v>
      </c>
      <c r="AM52" s="444">
        <f t="shared" si="73"/>
        <v>0</v>
      </c>
      <c r="AN52" s="444">
        <f t="shared" si="73"/>
        <v>0</v>
      </c>
      <c r="AO52" s="444">
        <f t="shared" si="73"/>
        <v>0</v>
      </c>
      <c r="AP52" s="444">
        <f t="shared" si="73"/>
        <v>-82908</v>
      </c>
      <c r="AQ52" s="444">
        <f t="shared" si="73"/>
        <v>-40344</v>
      </c>
      <c r="AR52" s="444">
        <f t="shared" si="73"/>
        <v>-123252</v>
      </c>
      <c r="AS52" s="444">
        <f t="shared" si="73"/>
        <v>-41659</v>
      </c>
      <c r="AT52" s="444">
        <f t="shared" si="73"/>
        <v>-1232</v>
      </c>
      <c r="AU52" s="444">
        <f t="shared" si="73"/>
        <v>0</v>
      </c>
      <c r="AV52" s="444">
        <f t="shared" si="73"/>
        <v>0</v>
      </c>
      <c r="AW52" s="444">
        <f t="shared" si="73"/>
        <v>0</v>
      </c>
      <c r="AX52" s="444">
        <f t="shared" si="73"/>
        <v>0</v>
      </c>
      <c r="AY52" s="444">
        <f t="shared" si="73"/>
        <v>-166143</v>
      </c>
      <c r="AZ52" s="445">
        <f t="shared" si="73"/>
        <v>0</v>
      </c>
      <c r="BA52" s="445">
        <f t="shared" si="73"/>
        <v>0</v>
      </c>
      <c r="BB52" s="445">
        <f t="shared" si="73"/>
        <v>-0.38</v>
      </c>
      <c r="BC52" s="445">
        <f t="shared" si="73"/>
        <v>0.12</v>
      </c>
      <c r="BD52" s="445">
        <f t="shared" si="73"/>
        <v>-0.13</v>
      </c>
      <c r="BE52" s="445">
        <f t="shared" si="73"/>
        <v>0</v>
      </c>
      <c r="BF52" s="445">
        <f t="shared" si="73"/>
        <v>0</v>
      </c>
      <c r="BG52" s="445">
        <f t="shared" si="73"/>
        <v>0</v>
      </c>
      <c r="BH52" s="445">
        <f t="shared" si="73"/>
        <v>0</v>
      </c>
      <c r="BI52" s="445">
        <f t="shared" si="73"/>
        <v>-0.26</v>
      </c>
      <c r="BJ52" s="445">
        <f t="shared" si="73"/>
        <v>-0.13</v>
      </c>
      <c r="BK52" s="39">
        <f t="shared" si="73"/>
        <v>-0.39</v>
      </c>
      <c r="BL52" s="451">
        <f t="shared" si="73"/>
        <v>39377038</v>
      </c>
      <c r="BM52" s="444">
        <f t="shared" si="73"/>
        <v>28818963</v>
      </c>
      <c r="BN52" s="444">
        <f t="shared" si="73"/>
        <v>24396021</v>
      </c>
      <c r="BO52" s="444">
        <f t="shared" si="73"/>
        <v>4422942</v>
      </c>
      <c r="BP52" s="444">
        <f t="shared" si="73"/>
        <v>30000</v>
      </c>
      <c r="BQ52" s="444">
        <f t="shared" si="73"/>
        <v>30000</v>
      </c>
      <c r="BR52" s="444">
        <f t="shared" si="73"/>
        <v>0</v>
      </c>
      <c r="BS52" s="444">
        <f t="shared" si="73"/>
        <v>9750950</v>
      </c>
      <c r="BT52" s="444">
        <f t="shared" si="73"/>
        <v>288190</v>
      </c>
      <c r="BU52" s="444">
        <f t="shared" si="73"/>
        <v>488935</v>
      </c>
      <c r="BV52" s="445">
        <f t="shared" si="73"/>
        <v>55.911100000000012</v>
      </c>
      <c r="BW52" s="445">
        <f t="shared" si="73"/>
        <v>42.440899999999999</v>
      </c>
      <c r="BX52" s="39">
        <f t="shared" si="73"/>
        <v>13.470200000000002</v>
      </c>
      <c r="BY52" s="806">
        <f t="shared" si="73"/>
        <v>0</v>
      </c>
      <c r="BZ52" s="709">
        <f t="shared" si="73"/>
        <v>0</v>
      </c>
      <c r="CA52" s="709">
        <f t="shared" si="73"/>
        <v>0</v>
      </c>
      <c r="CB52" s="709">
        <f t="shared" si="73"/>
        <v>0</v>
      </c>
      <c r="CC52" s="709">
        <f t="shared" si="73"/>
        <v>0</v>
      </c>
      <c r="CD52" s="807">
        <f t="shared" si="73"/>
        <v>0</v>
      </c>
      <c r="CE52" s="919">
        <f t="shared" si="73"/>
        <v>1174389</v>
      </c>
      <c r="CF52" s="920">
        <f t="shared" si="73"/>
        <v>785859</v>
      </c>
      <c r="CG52" s="920">
        <f t="shared" si="73"/>
        <v>265620</v>
      </c>
      <c r="CH52" s="920">
        <f t="shared" ref="CH52:CJ52" si="74">SUM(CH46:CH51)</f>
        <v>7859</v>
      </c>
      <c r="CI52" s="920">
        <f t="shared" si="74"/>
        <v>115051</v>
      </c>
      <c r="CJ52" s="921">
        <f t="shared" si="74"/>
        <v>2.4106999999999998</v>
      </c>
    </row>
    <row r="53" spans="1:88" s="221" customFormat="1">
      <c r="A53" s="209">
        <v>11</v>
      </c>
      <c r="B53" s="210">
        <v>4443</v>
      </c>
      <c r="C53" s="210">
        <v>600074994</v>
      </c>
      <c r="D53" s="210">
        <v>46750045</v>
      </c>
      <c r="E53" s="208" t="s">
        <v>166</v>
      </c>
      <c r="F53" s="210">
        <v>3113</v>
      </c>
      <c r="G53" s="165" t="s">
        <v>293</v>
      </c>
      <c r="H53" s="621" t="s">
        <v>271</v>
      </c>
      <c r="I53" s="510">
        <v>58163439</v>
      </c>
      <c r="J53" s="414">
        <v>42211658</v>
      </c>
      <c r="K53" s="414">
        <v>38590226</v>
      </c>
      <c r="L53" s="414">
        <v>3621432</v>
      </c>
      <c r="M53" s="414">
        <v>173000</v>
      </c>
      <c r="N53" s="414">
        <v>173000</v>
      </c>
      <c r="O53" s="414">
        <v>0</v>
      </c>
      <c r="P53" s="68">
        <v>14326015</v>
      </c>
      <c r="Q53" s="68">
        <v>422116</v>
      </c>
      <c r="R53" s="414">
        <v>1030650</v>
      </c>
      <c r="S53" s="415">
        <v>65.724300000000014</v>
      </c>
      <c r="T53" s="416">
        <v>54.571900000000007</v>
      </c>
      <c r="U53" s="422">
        <v>11.1524</v>
      </c>
      <c r="V53" s="423">
        <f t="shared" si="2"/>
        <v>143000</v>
      </c>
      <c r="W53" s="417">
        <f t="shared" si="3"/>
        <v>-113000</v>
      </c>
      <c r="X53" s="417">
        <v>0</v>
      </c>
      <c r="Y53" s="417">
        <f>37072+46340</f>
        <v>83412</v>
      </c>
      <c r="Z53" s="417">
        <v>269223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4"/>
        <v>495635</v>
      </c>
      <c r="AF53" s="417">
        <f t="shared" si="5"/>
        <v>-113000</v>
      </c>
      <c r="AG53" s="417">
        <f t="shared" si="6"/>
        <v>382635</v>
      </c>
      <c r="AH53" s="417">
        <v>-143000</v>
      </c>
      <c r="AI53" s="417">
        <v>113000</v>
      </c>
      <c r="AJ53" s="417">
        <v>0</v>
      </c>
      <c r="AK53" s="417">
        <v>0</v>
      </c>
      <c r="AL53" s="417">
        <v>0</v>
      </c>
      <c r="AM53" s="417">
        <f t="shared" si="7"/>
        <v>-143000</v>
      </c>
      <c r="AN53" s="417">
        <f t="shared" si="8"/>
        <v>113000</v>
      </c>
      <c r="AO53" s="417">
        <f t="shared" si="9"/>
        <v>-30000</v>
      </c>
      <c r="AP53" s="417">
        <f t="shared" si="10"/>
        <v>352635</v>
      </c>
      <c r="AQ53" s="417">
        <f t="shared" si="11"/>
        <v>0</v>
      </c>
      <c r="AR53" s="417">
        <f t="shared" si="12"/>
        <v>352635</v>
      </c>
      <c r="AS53" s="68">
        <f t="shared" si="13"/>
        <v>119191</v>
      </c>
      <c r="AT53" s="68">
        <f t="shared" si="14"/>
        <v>3826</v>
      </c>
      <c r="AU53" s="417">
        <v>0</v>
      </c>
      <c r="AV53" s="417">
        <v>0</v>
      </c>
      <c r="AW53" s="417">
        <v>0</v>
      </c>
      <c r="AX53" s="417">
        <f t="shared" si="15"/>
        <v>0</v>
      </c>
      <c r="AY53" s="417">
        <f t="shared" si="16"/>
        <v>475652</v>
      </c>
      <c r="AZ53" s="418">
        <v>0.22</v>
      </c>
      <c r="BA53" s="418">
        <v>-0.41</v>
      </c>
      <c r="BB53" s="418">
        <v>0</v>
      </c>
      <c r="BC53" s="418">
        <v>0.53</v>
      </c>
      <c r="BD53" s="418">
        <v>0</v>
      </c>
      <c r="BE53" s="418">
        <f>0.05+0.06</f>
        <v>0.11</v>
      </c>
      <c r="BF53" s="418">
        <v>0</v>
      </c>
      <c r="BG53" s="418">
        <v>0</v>
      </c>
      <c r="BH53" s="418">
        <v>0</v>
      </c>
      <c r="BI53" s="418">
        <f t="shared" si="17"/>
        <v>0.86</v>
      </c>
      <c r="BJ53" s="418">
        <f t="shared" si="18"/>
        <v>-0.41</v>
      </c>
      <c r="BK53" s="420">
        <f t="shared" si="19"/>
        <v>0.45</v>
      </c>
      <c r="BL53" s="772">
        <f>I53+AY53</f>
        <v>58639091</v>
      </c>
      <c r="BM53" s="417">
        <f>J53+AG53</f>
        <v>42594293</v>
      </c>
      <c r="BN53" s="417">
        <f t="shared" ref="BN53:BO57" si="75">K53+AE53</f>
        <v>39085861</v>
      </c>
      <c r="BO53" s="417">
        <f t="shared" si="75"/>
        <v>3508432</v>
      </c>
      <c r="BP53" s="417">
        <f>M53+AO53</f>
        <v>143000</v>
      </c>
      <c r="BQ53" s="417">
        <f t="shared" ref="BQ53:BR57" si="76">N53+AM53</f>
        <v>30000</v>
      </c>
      <c r="BR53" s="417">
        <f t="shared" si="76"/>
        <v>113000</v>
      </c>
      <c r="BS53" s="417">
        <f t="shared" ref="BS53:BT57" si="77">P53+AS53</f>
        <v>14445206</v>
      </c>
      <c r="BT53" s="417">
        <f t="shared" si="77"/>
        <v>425942</v>
      </c>
      <c r="BU53" s="417">
        <f>R53+AX53</f>
        <v>1030650</v>
      </c>
      <c r="BV53" s="418">
        <f>S53+BK53</f>
        <v>66.174300000000017</v>
      </c>
      <c r="BW53" s="418">
        <f t="shared" ref="BW53:BX57" si="78">T53+BI53</f>
        <v>55.431900000000006</v>
      </c>
      <c r="BX53" s="420">
        <f t="shared" si="78"/>
        <v>10.7424</v>
      </c>
      <c r="BY53" s="419">
        <v>380136</v>
      </c>
      <c r="BZ53" s="414">
        <v>282000</v>
      </c>
      <c r="CA53" s="414">
        <v>0</v>
      </c>
      <c r="CB53" s="414">
        <v>95316</v>
      </c>
      <c r="CC53" s="414">
        <v>2820</v>
      </c>
      <c r="CD53" s="509">
        <v>0.5</v>
      </c>
      <c r="CE53" s="419">
        <v>1805856</v>
      </c>
      <c r="CF53" s="414">
        <v>1162537</v>
      </c>
      <c r="CG53" s="414">
        <v>392938</v>
      </c>
      <c r="CH53" s="414">
        <v>11625</v>
      </c>
      <c r="CI53" s="414">
        <v>238756</v>
      </c>
      <c r="CJ53" s="509">
        <v>3.5804</v>
      </c>
    </row>
    <row r="54" spans="1:88" s="221" customFormat="1">
      <c r="A54" s="209">
        <v>11</v>
      </c>
      <c r="B54" s="210">
        <v>4443</v>
      </c>
      <c r="C54" s="210">
        <v>600074994</v>
      </c>
      <c r="D54" s="210">
        <v>46750045</v>
      </c>
      <c r="E54" s="208" t="s">
        <v>166</v>
      </c>
      <c r="F54" s="210">
        <v>3113</v>
      </c>
      <c r="G54" s="165" t="s">
        <v>291</v>
      </c>
      <c r="H54" s="621" t="s">
        <v>272</v>
      </c>
      <c r="I54" s="510">
        <v>7981188</v>
      </c>
      <c r="J54" s="414">
        <v>5912231</v>
      </c>
      <c r="K54" s="414">
        <v>5912231</v>
      </c>
      <c r="L54" s="414">
        <v>0</v>
      </c>
      <c r="M54" s="414">
        <v>0</v>
      </c>
      <c r="N54" s="414">
        <v>0</v>
      </c>
      <c r="O54" s="414">
        <v>0</v>
      </c>
      <c r="P54" s="68">
        <v>1998335</v>
      </c>
      <c r="Q54" s="68">
        <v>59122</v>
      </c>
      <c r="R54" s="414">
        <v>11500</v>
      </c>
      <c r="S54" s="415">
        <v>15.950000000000003</v>
      </c>
      <c r="T54" s="416">
        <v>15.950000000000003</v>
      </c>
      <c r="U54" s="422">
        <v>0</v>
      </c>
      <c r="V54" s="423">
        <f t="shared" si="2"/>
        <v>0</v>
      </c>
      <c r="W54" s="417">
        <f t="shared" si="3"/>
        <v>0</v>
      </c>
      <c r="X54" s="417">
        <f>24757+193984</f>
        <v>218741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4"/>
        <v>218741</v>
      </c>
      <c r="AF54" s="417">
        <f t="shared" si="5"/>
        <v>0</v>
      </c>
      <c r="AG54" s="417">
        <f t="shared" si="6"/>
        <v>218741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7"/>
        <v>0</v>
      </c>
      <c r="AN54" s="417">
        <f t="shared" si="8"/>
        <v>0</v>
      </c>
      <c r="AO54" s="417">
        <f t="shared" si="9"/>
        <v>0</v>
      </c>
      <c r="AP54" s="417">
        <f t="shared" si="10"/>
        <v>218741</v>
      </c>
      <c r="AQ54" s="417">
        <f t="shared" si="11"/>
        <v>0</v>
      </c>
      <c r="AR54" s="417">
        <f t="shared" si="12"/>
        <v>218741</v>
      </c>
      <c r="AS54" s="68">
        <f t="shared" si="13"/>
        <v>73934</v>
      </c>
      <c r="AT54" s="68">
        <f t="shared" si="14"/>
        <v>2187</v>
      </c>
      <c r="AU54" s="417">
        <v>17800</v>
      </c>
      <c r="AV54" s="417">
        <v>0</v>
      </c>
      <c r="AW54" s="417">
        <v>0</v>
      </c>
      <c r="AX54" s="417">
        <f t="shared" si="15"/>
        <v>17800</v>
      </c>
      <c r="AY54" s="417">
        <f t="shared" si="16"/>
        <v>312662</v>
      </c>
      <c r="AZ54" s="418">
        <v>0</v>
      </c>
      <c r="BA54" s="418">
        <v>0</v>
      </c>
      <c r="BB54" s="418">
        <f>0.05+0.53</f>
        <v>0.58000000000000007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0.58000000000000007</v>
      </c>
      <c r="BJ54" s="418">
        <f t="shared" si="18"/>
        <v>0</v>
      </c>
      <c r="BK54" s="420">
        <f t="shared" si="19"/>
        <v>0.58000000000000007</v>
      </c>
      <c r="BL54" s="772">
        <f>I54+AY54</f>
        <v>8293850</v>
      </c>
      <c r="BM54" s="417">
        <f>J54+AG54</f>
        <v>6130972</v>
      </c>
      <c r="BN54" s="417">
        <f t="shared" si="75"/>
        <v>6130972</v>
      </c>
      <c r="BO54" s="417">
        <f t="shared" si="75"/>
        <v>0</v>
      </c>
      <c r="BP54" s="417">
        <f>M54+AO54</f>
        <v>0</v>
      </c>
      <c r="BQ54" s="417">
        <f t="shared" si="76"/>
        <v>0</v>
      </c>
      <c r="BR54" s="417">
        <f t="shared" si="76"/>
        <v>0</v>
      </c>
      <c r="BS54" s="417">
        <f t="shared" si="77"/>
        <v>2072269</v>
      </c>
      <c r="BT54" s="417">
        <f t="shared" si="77"/>
        <v>61309</v>
      </c>
      <c r="BU54" s="417">
        <f>R54+AX54</f>
        <v>29300</v>
      </c>
      <c r="BV54" s="418">
        <f>S54+BK54</f>
        <v>16.53</v>
      </c>
      <c r="BW54" s="418">
        <f t="shared" si="78"/>
        <v>16.53</v>
      </c>
      <c r="BX54" s="420">
        <f t="shared" si="78"/>
        <v>0</v>
      </c>
      <c r="BY54" s="419"/>
      <c r="BZ54" s="414"/>
      <c r="CA54" s="414"/>
      <c r="CB54" s="414"/>
      <c r="CC54" s="414"/>
      <c r="CD54" s="509"/>
      <c r="CE54" s="419"/>
      <c r="CF54" s="414"/>
      <c r="CG54" s="414"/>
      <c r="CH54" s="414"/>
      <c r="CI54" s="414"/>
      <c r="CJ54" s="509"/>
    </row>
    <row r="55" spans="1:88" s="221" customFormat="1">
      <c r="A55" s="209">
        <v>11</v>
      </c>
      <c r="B55" s="210">
        <v>4443</v>
      </c>
      <c r="C55" s="210">
        <v>600074994</v>
      </c>
      <c r="D55" s="210">
        <v>46750045</v>
      </c>
      <c r="E55" s="208" t="s">
        <v>166</v>
      </c>
      <c r="F55" s="210">
        <v>3143</v>
      </c>
      <c r="G55" s="165" t="s">
        <v>595</v>
      </c>
      <c r="H55" s="609" t="s">
        <v>271</v>
      </c>
      <c r="I55" s="510">
        <v>5046071</v>
      </c>
      <c r="J55" s="414">
        <v>3686799</v>
      </c>
      <c r="K55" s="414">
        <v>3686799</v>
      </c>
      <c r="L55" s="414">
        <v>0</v>
      </c>
      <c r="M55" s="414">
        <v>57000</v>
      </c>
      <c r="N55" s="414">
        <v>57000</v>
      </c>
      <c r="O55" s="414">
        <v>0</v>
      </c>
      <c r="P55" s="68">
        <v>1265404</v>
      </c>
      <c r="Q55" s="68">
        <v>36868</v>
      </c>
      <c r="R55" s="414">
        <v>0</v>
      </c>
      <c r="S55" s="415">
        <v>7.2092000000000001</v>
      </c>
      <c r="T55" s="416">
        <v>7.2092000000000001</v>
      </c>
      <c r="U55" s="422">
        <v>0</v>
      </c>
      <c r="V55" s="423">
        <f t="shared" si="2"/>
        <v>50000</v>
      </c>
      <c r="W55" s="417">
        <f t="shared" si="3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4"/>
        <v>50000</v>
      </c>
      <c r="AF55" s="417">
        <f t="shared" si="5"/>
        <v>0</v>
      </c>
      <c r="AG55" s="417">
        <f t="shared" si="6"/>
        <v>50000</v>
      </c>
      <c r="AH55" s="417">
        <v>-50000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7"/>
        <v>-50000</v>
      </c>
      <c r="AN55" s="417">
        <f t="shared" si="8"/>
        <v>0</v>
      </c>
      <c r="AO55" s="417">
        <f t="shared" si="9"/>
        <v>-50000</v>
      </c>
      <c r="AP55" s="417">
        <f t="shared" si="10"/>
        <v>0</v>
      </c>
      <c r="AQ55" s="417">
        <f t="shared" si="11"/>
        <v>0</v>
      </c>
      <c r="AR55" s="417">
        <f t="shared" si="12"/>
        <v>0</v>
      </c>
      <c r="AS55" s="68">
        <f t="shared" si="13"/>
        <v>0</v>
      </c>
      <c r="AT55" s="68">
        <f t="shared" si="14"/>
        <v>500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500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0</v>
      </c>
      <c r="BK55" s="420">
        <f t="shared" si="19"/>
        <v>0</v>
      </c>
      <c r="BL55" s="772">
        <f>I55+AY55</f>
        <v>5046571</v>
      </c>
      <c r="BM55" s="417">
        <f>J55+AG55</f>
        <v>3736799</v>
      </c>
      <c r="BN55" s="417">
        <f t="shared" si="75"/>
        <v>3736799</v>
      </c>
      <c r="BO55" s="417">
        <f t="shared" si="75"/>
        <v>0</v>
      </c>
      <c r="BP55" s="417">
        <f>M55+AO55</f>
        <v>7000</v>
      </c>
      <c r="BQ55" s="417">
        <f t="shared" si="76"/>
        <v>7000</v>
      </c>
      <c r="BR55" s="417">
        <f t="shared" si="76"/>
        <v>0</v>
      </c>
      <c r="BS55" s="417">
        <f t="shared" si="77"/>
        <v>1265404</v>
      </c>
      <c r="BT55" s="417">
        <f t="shared" si="77"/>
        <v>37368</v>
      </c>
      <c r="BU55" s="417">
        <f>R55+AX55</f>
        <v>0</v>
      </c>
      <c r="BV55" s="418">
        <f>S55+BK55</f>
        <v>7.2092000000000001</v>
      </c>
      <c r="BW55" s="418">
        <f t="shared" si="78"/>
        <v>7.2092000000000001</v>
      </c>
      <c r="BX55" s="420">
        <f t="shared" si="78"/>
        <v>0</v>
      </c>
      <c r="BY55" s="419"/>
      <c r="BZ55" s="414"/>
      <c r="CA55" s="414"/>
      <c r="CB55" s="414"/>
      <c r="CC55" s="414"/>
      <c r="CD55" s="509"/>
      <c r="CE55" s="419"/>
      <c r="CF55" s="414"/>
      <c r="CG55" s="414"/>
      <c r="CH55" s="414"/>
      <c r="CI55" s="414"/>
      <c r="CJ55" s="509"/>
    </row>
    <row r="56" spans="1:88" s="221" customFormat="1">
      <c r="A56" s="209">
        <v>11</v>
      </c>
      <c r="B56" s="210">
        <v>4443</v>
      </c>
      <c r="C56" s="210">
        <v>600074994</v>
      </c>
      <c r="D56" s="210">
        <v>46750045</v>
      </c>
      <c r="E56" s="208" t="s">
        <v>166</v>
      </c>
      <c r="F56" s="210">
        <v>3143</v>
      </c>
      <c r="G56" s="165" t="s">
        <v>596</v>
      </c>
      <c r="H56" s="609" t="s">
        <v>272</v>
      </c>
      <c r="I56" s="510">
        <v>165206</v>
      </c>
      <c r="J56" s="414">
        <v>118250</v>
      </c>
      <c r="K56" s="414">
        <v>0</v>
      </c>
      <c r="L56" s="414">
        <v>118250</v>
      </c>
      <c r="M56" s="414">
        <v>0</v>
      </c>
      <c r="N56" s="414">
        <v>0</v>
      </c>
      <c r="O56" s="414">
        <v>0</v>
      </c>
      <c r="P56" s="68">
        <v>39969</v>
      </c>
      <c r="Q56" s="68">
        <v>1182</v>
      </c>
      <c r="R56" s="414">
        <v>5805</v>
      </c>
      <c r="S56" s="415">
        <v>0.44999999999999996</v>
      </c>
      <c r="T56" s="416">
        <v>0</v>
      </c>
      <c r="U56" s="422">
        <v>0.44999999999999996</v>
      </c>
      <c r="V56" s="423">
        <f t="shared" si="2"/>
        <v>0</v>
      </c>
      <c r="W56" s="417">
        <f t="shared" si="3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4"/>
        <v>0</v>
      </c>
      <c r="AF56" s="417">
        <f t="shared" si="5"/>
        <v>0</v>
      </c>
      <c r="AG56" s="417">
        <f t="shared" si="6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7"/>
        <v>0</v>
      </c>
      <c r="AN56" s="417">
        <f t="shared" si="8"/>
        <v>0</v>
      </c>
      <c r="AO56" s="417">
        <f t="shared" si="9"/>
        <v>0</v>
      </c>
      <c r="AP56" s="417">
        <f t="shared" si="10"/>
        <v>0</v>
      </c>
      <c r="AQ56" s="417">
        <f t="shared" si="11"/>
        <v>0</v>
      </c>
      <c r="AR56" s="417">
        <f t="shared" si="12"/>
        <v>0</v>
      </c>
      <c r="AS56" s="68">
        <f t="shared" si="13"/>
        <v>0</v>
      </c>
      <c r="AT56" s="68">
        <f t="shared" si="14"/>
        <v>0</v>
      </c>
      <c r="AU56" s="417">
        <v>0</v>
      </c>
      <c r="AV56" s="417">
        <v>0</v>
      </c>
      <c r="AW56" s="417">
        <v>0</v>
      </c>
      <c r="AX56" s="417">
        <f t="shared" si="15"/>
        <v>0</v>
      </c>
      <c r="AY56" s="417">
        <f t="shared" si="16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17"/>
        <v>0</v>
      </c>
      <c r="BJ56" s="418">
        <f t="shared" si="18"/>
        <v>0</v>
      </c>
      <c r="BK56" s="420">
        <f t="shared" si="19"/>
        <v>0</v>
      </c>
      <c r="BL56" s="772">
        <f>I56+AY56</f>
        <v>165206</v>
      </c>
      <c r="BM56" s="417">
        <f>J56+AG56</f>
        <v>118250</v>
      </c>
      <c r="BN56" s="417">
        <f t="shared" si="75"/>
        <v>0</v>
      </c>
      <c r="BO56" s="417">
        <f t="shared" si="75"/>
        <v>118250</v>
      </c>
      <c r="BP56" s="417">
        <f>M56+AO56</f>
        <v>0</v>
      </c>
      <c r="BQ56" s="417">
        <f t="shared" si="76"/>
        <v>0</v>
      </c>
      <c r="BR56" s="417">
        <f t="shared" si="76"/>
        <v>0</v>
      </c>
      <c r="BS56" s="417">
        <f t="shared" si="77"/>
        <v>39969</v>
      </c>
      <c r="BT56" s="417">
        <f t="shared" si="77"/>
        <v>1182</v>
      </c>
      <c r="BU56" s="417">
        <f>R56+AX56</f>
        <v>5805</v>
      </c>
      <c r="BV56" s="418">
        <f>S56+BK56</f>
        <v>0.44999999999999996</v>
      </c>
      <c r="BW56" s="418">
        <f t="shared" si="78"/>
        <v>0</v>
      </c>
      <c r="BX56" s="420">
        <f t="shared" si="78"/>
        <v>0.44999999999999996</v>
      </c>
      <c r="BY56" s="419"/>
      <c r="BZ56" s="414"/>
      <c r="CA56" s="414"/>
      <c r="CB56" s="414"/>
      <c r="CC56" s="414"/>
      <c r="CD56" s="509"/>
      <c r="CE56" s="419"/>
      <c r="CF56" s="414"/>
      <c r="CG56" s="414"/>
      <c r="CH56" s="414"/>
      <c r="CI56" s="602"/>
      <c r="CJ56" s="603"/>
    </row>
    <row r="57" spans="1:88" s="221" customFormat="1">
      <c r="A57" s="209">
        <v>11</v>
      </c>
      <c r="B57" s="210">
        <v>4443</v>
      </c>
      <c r="C57" s="210">
        <v>600074994</v>
      </c>
      <c r="D57" s="210">
        <v>46750045</v>
      </c>
      <c r="E57" s="208" t="s">
        <v>166</v>
      </c>
      <c r="F57" s="210">
        <v>3143</v>
      </c>
      <c r="G57" s="165" t="s">
        <v>296</v>
      </c>
      <c r="H57" s="609" t="s">
        <v>272</v>
      </c>
      <c r="I57" s="510">
        <v>403599</v>
      </c>
      <c r="J57" s="414">
        <v>299005</v>
      </c>
      <c r="K57" s="414">
        <v>282505</v>
      </c>
      <c r="L57" s="414">
        <v>16500</v>
      </c>
      <c r="M57" s="414">
        <v>0</v>
      </c>
      <c r="N57" s="414">
        <v>0</v>
      </c>
      <c r="O57" s="414">
        <v>0</v>
      </c>
      <c r="P57" s="68">
        <v>101064</v>
      </c>
      <c r="Q57" s="68">
        <v>2990</v>
      </c>
      <c r="R57" s="414">
        <v>540</v>
      </c>
      <c r="S57" s="415">
        <v>0.62000000000000011</v>
      </c>
      <c r="T57" s="416">
        <v>0.56000000000000005</v>
      </c>
      <c r="U57" s="422">
        <v>0.06</v>
      </c>
      <c r="V57" s="423">
        <f t="shared" si="2"/>
        <v>0</v>
      </c>
      <c r="W57" s="417">
        <f t="shared" si="3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4"/>
        <v>0</v>
      </c>
      <c r="AF57" s="417">
        <f t="shared" si="5"/>
        <v>0</v>
      </c>
      <c r="AG57" s="417">
        <f t="shared" si="6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7"/>
        <v>0</v>
      </c>
      <c r="AN57" s="417">
        <f t="shared" si="8"/>
        <v>0</v>
      </c>
      <c r="AO57" s="417">
        <f t="shared" si="9"/>
        <v>0</v>
      </c>
      <c r="AP57" s="417">
        <f t="shared" si="10"/>
        <v>0</v>
      </c>
      <c r="AQ57" s="417">
        <f t="shared" si="11"/>
        <v>0</v>
      </c>
      <c r="AR57" s="417">
        <f t="shared" si="12"/>
        <v>0</v>
      </c>
      <c r="AS57" s="68">
        <f t="shared" si="13"/>
        <v>0</v>
      </c>
      <c r="AT57" s="68">
        <f t="shared" si="14"/>
        <v>0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</v>
      </c>
      <c r="BK57" s="420">
        <f t="shared" si="19"/>
        <v>0</v>
      </c>
      <c r="BL57" s="772">
        <f>I57+AY57</f>
        <v>403599</v>
      </c>
      <c r="BM57" s="417">
        <f>J57+AG57</f>
        <v>299005</v>
      </c>
      <c r="BN57" s="417">
        <f t="shared" si="75"/>
        <v>282505</v>
      </c>
      <c r="BO57" s="417">
        <f t="shared" si="75"/>
        <v>16500</v>
      </c>
      <c r="BP57" s="417">
        <f>M57+AO57</f>
        <v>0</v>
      </c>
      <c r="BQ57" s="417">
        <f t="shared" si="76"/>
        <v>0</v>
      </c>
      <c r="BR57" s="417">
        <f t="shared" si="76"/>
        <v>0</v>
      </c>
      <c r="BS57" s="417">
        <f t="shared" si="77"/>
        <v>101064</v>
      </c>
      <c r="BT57" s="417">
        <f t="shared" si="77"/>
        <v>2990</v>
      </c>
      <c r="BU57" s="417">
        <f>R57+AX57</f>
        <v>540</v>
      </c>
      <c r="BV57" s="418">
        <f>S57+BK57</f>
        <v>0.62000000000000011</v>
      </c>
      <c r="BW57" s="418">
        <f t="shared" si="78"/>
        <v>0.56000000000000005</v>
      </c>
      <c r="BX57" s="420">
        <f t="shared" si="78"/>
        <v>0.06</v>
      </c>
      <c r="BY57" s="419"/>
      <c r="BZ57" s="414"/>
      <c r="CA57" s="414"/>
      <c r="CB57" s="414"/>
      <c r="CC57" s="414"/>
      <c r="CD57" s="509"/>
      <c r="CE57" s="419"/>
      <c r="CF57" s="414"/>
      <c r="CG57" s="414"/>
      <c r="CH57" s="414"/>
      <c r="CI57" s="602"/>
      <c r="CJ57" s="603"/>
    </row>
    <row r="58" spans="1:88" s="221" customFormat="1">
      <c r="A58" s="155">
        <v>11</v>
      </c>
      <c r="B58" s="18">
        <v>4443</v>
      </c>
      <c r="C58" s="18">
        <v>600074994</v>
      </c>
      <c r="D58" s="18">
        <v>46750045</v>
      </c>
      <c r="E58" s="164" t="s">
        <v>167</v>
      </c>
      <c r="F58" s="18"/>
      <c r="G58" s="154"/>
      <c r="H58" s="608"/>
      <c r="I58" s="451">
        <v>71759503</v>
      </c>
      <c r="J58" s="444">
        <v>52227943</v>
      </c>
      <c r="K58" s="444">
        <v>48471761</v>
      </c>
      <c r="L58" s="444">
        <v>3756182</v>
      </c>
      <c r="M58" s="444">
        <v>230000</v>
      </c>
      <c r="N58" s="444">
        <v>230000</v>
      </c>
      <c r="O58" s="444">
        <v>0</v>
      </c>
      <c r="P58" s="444">
        <v>17730787</v>
      </c>
      <c r="Q58" s="444">
        <v>522278</v>
      </c>
      <c r="R58" s="444">
        <v>1048495</v>
      </c>
      <c r="S58" s="445">
        <v>89.95350000000002</v>
      </c>
      <c r="T58" s="445">
        <v>78.291100000000014</v>
      </c>
      <c r="U58" s="449">
        <v>11.6624</v>
      </c>
      <c r="V58" s="447">
        <f t="shared" ref="V58:CG58" si="79">SUM(V53:V57)</f>
        <v>193000</v>
      </c>
      <c r="W58" s="444">
        <f t="shared" si="79"/>
        <v>-113000</v>
      </c>
      <c r="X58" s="444">
        <f t="shared" si="79"/>
        <v>218741</v>
      </c>
      <c r="Y58" s="444">
        <f t="shared" si="79"/>
        <v>83412</v>
      </c>
      <c r="Z58" s="444">
        <f t="shared" si="79"/>
        <v>269223</v>
      </c>
      <c r="AA58" s="444">
        <f t="shared" si="79"/>
        <v>0</v>
      </c>
      <c r="AB58" s="444">
        <f t="shared" si="79"/>
        <v>0</v>
      </c>
      <c r="AC58" s="444">
        <f t="shared" si="79"/>
        <v>0</v>
      </c>
      <c r="AD58" s="444">
        <f t="shared" si="79"/>
        <v>0</v>
      </c>
      <c r="AE58" s="444">
        <f t="shared" si="79"/>
        <v>764376</v>
      </c>
      <c r="AF58" s="444">
        <f t="shared" si="79"/>
        <v>-113000</v>
      </c>
      <c r="AG58" s="444">
        <f t="shared" si="79"/>
        <v>651376</v>
      </c>
      <c r="AH58" s="444">
        <f t="shared" si="79"/>
        <v>-193000</v>
      </c>
      <c r="AI58" s="444">
        <f t="shared" si="79"/>
        <v>113000</v>
      </c>
      <c r="AJ58" s="444">
        <f t="shared" si="79"/>
        <v>0</v>
      </c>
      <c r="AK58" s="444">
        <f t="shared" si="79"/>
        <v>0</v>
      </c>
      <c r="AL58" s="444">
        <f t="shared" si="79"/>
        <v>0</v>
      </c>
      <c r="AM58" s="444">
        <f t="shared" si="79"/>
        <v>-193000</v>
      </c>
      <c r="AN58" s="444">
        <f t="shared" si="79"/>
        <v>113000</v>
      </c>
      <c r="AO58" s="444">
        <f t="shared" si="79"/>
        <v>-80000</v>
      </c>
      <c r="AP58" s="444">
        <f t="shared" si="79"/>
        <v>571376</v>
      </c>
      <c r="AQ58" s="444">
        <f t="shared" si="79"/>
        <v>0</v>
      </c>
      <c r="AR58" s="444">
        <f t="shared" si="79"/>
        <v>571376</v>
      </c>
      <c r="AS58" s="444">
        <f t="shared" si="79"/>
        <v>193125</v>
      </c>
      <c r="AT58" s="444">
        <f t="shared" si="79"/>
        <v>6513</v>
      </c>
      <c r="AU58" s="444">
        <f t="shared" si="79"/>
        <v>17800</v>
      </c>
      <c r="AV58" s="444">
        <f t="shared" si="79"/>
        <v>0</v>
      </c>
      <c r="AW58" s="444">
        <f t="shared" si="79"/>
        <v>0</v>
      </c>
      <c r="AX58" s="444">
        <f t="shared" si="79"/>
        <v>17800</v>
      </c>
      <c r="AY58" s="444">
        <f t="shared" si="79"/>
        <v>788814</v>
      </c>
      <c r="AZ58" s="445">
        <f t="shared" si="79"/>
        <v>0.22</v>
      </c>
      <c r="BA58" s="445">
        <f t="shared" si="79"/>
        <v>-0.41</v>
      </c>
      <c r="BB58" s="445">
        <f t="shared" si="79"/>
        <v>0.58000000000000007</v>
      </c>
      <c r="BC58" s="445">
        <f t="shared" si="79"/>
        <v>0.53</v>
      </c>
      <c r="BD58" s="445">
        <f t="shared" si="79"/>
        <v>0</v>
      </c>
      <c r="BE58" s="445">
        <f t="shared" si="79"/>
        <v>0.11</v>
      </c>
      <c r="BF58" s="445">
        <f t="shared" si="79"/>
        <v>0</v>
      </c>
      <c r="BG58" s="445">
        <f t="shared" si="79"/>
        <v>0</v>
      </c>
      <c r="BH58" s="445">
        <f t="shared" si="79"/>
        <v>0</v>
      </c>
      <c r="BI58" s="445">
        <f t="shared" si="79"/>
        <v>1.44</v>
      </c>
      <c r="BJ58" s="445">
        <f t="shared" si="79"/>
        <v>-0.41</v>
      </c>
      <c r="BK58" s="39">
        <f t="shared" si="79"/>
        <v>1.03</v>
      </c>
      <c r="BL58" s="451">
        <f t="shared" si="79"/>
        <v>72548317</v>
      </c>
      <c r="BM58" s="444">
        <f t="shared" si="79"/>
        <v>52879319</v>
      </c>
      <c r="BN58" s="444">
        <f t="shared" si="79"/>
        <v>49236137</v>
      </c>
      <c r="BO58" s="444">
        <f t="shared" si="79"/>
        <v>3643182</v>
      </c>
      <c r="BP58" s="444">
        <f t="shared" si="79"/>
        <v>150000</v>
      </c>
      <c r="BQ58" s="444">
        <f t="shared" si="79"/>
        <v>37000</v>
      </c>
      <c r="BR58" s="444">
        <f t="shared" si="79"/>
        <v>113000</v>
      </c>
      <c r="BS58" s="444">
        <f t="shared" si="79"/>
        <v>17923912</v>
      </c>
      <c r="BT58" s="444">
        <f t="shared" si="79"/>
        <v>528791</v>
      </c>
      <c r="BU58" s="444">
        <f t="shared" si="79"/>
        <v>1066295</v>
      </c>
      <c r="BV58" s="445">
        <f t="shared" si="79"/>
        <v>90.983500000000021</v>
      </c>
      <c r="BW58" s="445">
        <f t="shared" si="79"/>
        <v>79.731100000000012</v>
      </c>
      <c r="BX58" s="39">
        <f t="shared" si="79"/>
        <v>11.2524</v>
      </c>
      <c r="BY58" s="806">
        <f t="shared" si="79"/>
        <v>380136</v>
      </c>
      <c r="BZ58" s="709">
        <f t="shared" si="79"/>
        <v>282000</v>
      </c>
      <c r="CA58" s="709">
        <f t="shared" si="79"/>
        <v>0</v>
      </c>
      <c r="CB58" s="709">
        <f t="shared" si="79"/>
        <v>95316</v>
      </c>
      <c r="CC58" s="709">
        <f t="shared" si="79"/>
        <v>2820</v>
      </c>
      <c r="CD58" s="807">
        <f t="shared" si="79"/>
        <v>0.5</v>
      </c>
      <c r="CE58" s="919">
        <f t="shared" si="79"/>
        <v>1805856</v>
      </c>
      <c r="CF58" s="920">
        <f t="shared" si="79"/>
        <v>1162537</v>
      </c>
      <c r="CG58" s="920">
        <f t="shared" si="79"/>
        <v>392938</v>
      </c>
      <c r="CH58" s="920">
        <f t="shared" ref="CH58:CJ58" si="80">SUM(CH53:CH57)</f>
        <v>11625</v>
      </c>
      <c r="CI58" s="920">
        <f t="shared" si="80"/>
        <v>238756</v>
      </c>
      <c r="CJ58" s="921">
        <f t="shared" si="80"/>
        <v>3.5804</v>
      </c>
    </row>
    <row r="59" spans="1:88" s="221" customFormat="1">
      <c r="A59" s="209">
        <v>12</v>
      </c>
      <c r="B59" s="210">
        <v>4438</v>
      </c>
      <c r="C59" s="210">
        <v>600074871</v>
      </c>
      <c r="D59" s="210">
        <v>49864599</v>
      </c>
      <c r="E59" s="208" t="s">
        <v>168</v>
      </c>
      <c r="F59" s="210">
        <v>3113</v>
      </c>
      <c r="G59" s="165" t="s">
        <v>293</v>
      </c>
      <c r="H59" s="621" t="s">
        <v>271</v>
      </c>
      <c r="I59" s="510">
        <v>41904999</v>
      </c>
      <c r="J59" s="414">
        <v>30439600</v>
      </c>
      <c r="K59" s="414">
        <v>27736513</v>
      </c>
      <c r="L59" s="414">
        <v>2703087</v>
      </c>
      <c r="M59" s="414">
        <v>110000</v>
      </c>
      <c r="N59" s="414">
        <v>90000</v>
      </c>
      <c r="O59" s="414">
        <v>20000</v>
      </c>
      <c r="P59" s="68">
        <v>10325764</v>
      </c>
      <c r="Q59" s="68">
        <v>304395</v>
      </c>
      <c r="R59" s="414">
        <v>725240</v>
      </c>
      <c r="S59" s="415">
        <v>48.373799999999996</v>
      </c>
      <c r="T59" s="416">
        <v>40.266300000000001</v>
      </c>
      <c r="U59" s="422">
        <v>8.1075000000000017</v>
      </c>
      <c r="V59" s="423">
        <f t="shared" si="2"/>
        <v>-47000</v>
      </c>
      <c r="W59" s="417">
        <f t="shared" si="3"/>
        <v>-74000</v>
      </c>
      <c r="X59" s="417">
        <v>0</v>
      </c>
      <c r="Y59" s="417">
        <v>139020</v>
      </c>
      <c r="Z59" s="417">
        <v>60302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4"/>
        <v>152322</v>
      </c>
      <c r="AF59" s="417">
        <f t="shared" si="5"/>
        <v>-74000</v>
      </c>
      <c r="AG59" s="417">
        <f t="shared" si="6"/>
        <v>78322</v>
      </c>
      <c r="AH59" s="417">
        <v>47000</v>
      </c>
      <c r="AI59" s="417">
        <v>74000</v>
      </c>
      <c r="AJ59" s="417">
        <v>0</v>
      </c>
      <c r="AK59" s="417">
        <v>0</v>
      </c>
      <c r="AL59" s="417">
        <v>0</v>
      </c>
      <c r="AM59" s="417">
        <f t="shared" si="7"/>
        <v>47000</v>
      </c>
      <c r="AN59" s="417">
        <f t="shared" si="8"/>
        <v>74000</v>
      </c>
      <c r="AO59" s="417">
        <f t="shared" si="9"/>
        <v>121000</v>
      </c>
      <c r="AP59" s="417">
        <f t="shared" si="10"/>
        <v>199322</v>
      </c>
      <c r="AQ59" s="417">
        <f t="shared" si="11"/>
        <v>0</v>
      </c>
      <c r="AR59" s="417">
        <f t="shared" si="12"/>
        <v>199322</v>
      </c>
      <c r="AS59" s="68">
        <f t="shared" si="13"/>
        <v>67371</v>
      </c>
      <c r="AT59" s="68">
        <f t="shared" si="14"/>
        <v>783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267476</v>
      </c>
      <c r="AZ59" s="418">
        <v>-0.08</v>
      </c>
      <c r="BA59" s="418">
        <v>-0.27</v>
      </c>
      <c r="BB59" s="418">
        <v>0</v>
      </c>
      <c r="BC59" s="418">
        <v>0.12</v>
      </c>
      <c r="BD59" s="418">
        <v>0</v>
      </c>
      <c r="BE59" s="418">
        <v>0.2</v>
      </c>
      <c r="BF59" s="418">
        <v>0</v>
      </c>
      <c r="BG59" s="418">
        <v>0</v>
      </c>
      <c r="BH59" s="418">
        <v>0</v>
      </c>
      <c r="BI59" s="418">
        <f t="shared" si="17"/>
        <v>0.24</v>
      </c>
      <c r="BJ59" s="418">
        <f t="shared" si="18"/>
        <v>-0.27</v>
      </c>
      <c r="BK59" s="420">
        <f t="shared" si="19"/>
        <v>-3.0000000000000027E-2</v>
      </c>
      <c r="BL59" s="772">
        <f t="shared" ref="BL59:BL64" si="81">I59+AY59</f>
        <v>42172475</v>
      </c>
      <c r="BM59" s="417">
        <f t="shared" ref="BM59:BM64" si="82">J59+AG59</f>
        <v>30517922</v>
      </c>
      <c r="BN59" s="417">
        <f t="shared" ref="BN59:BO64" si="83">K59+AE59</f>
        <v>27888835</v>
      </c>
      <c r="BO59" s="417">
        <f t="shared" si="83"/>
        <v>2629087</v>
      </c>
      <c r="BP59" s="417">
        <f t="shared" ref="BP59:BP64" si="84">M59+AO59</f>
        <v>231000</v>
      </c>
      <c r="BQ59" s="417">
        <f t="shared" ref="BQ59:BR64" si="85">N59+AM59</f>
        <v>137000</v>
      </c>
      <c r="BR59" s="417">
        <f t="shared" si="85"/>
        <v>94000</v>
      </c>
      <c r="BS59" s="417">
        <f t="shared" ref="BS59:BT64" si="86">P59+AS59</f>
        <v>10393135</v>
      </c>
      <c r="BT59" s="417">
        <f t="shared" si="86"/>
        <v>305178</v>
      </c>
      <c r="BU59" s="417">
        <f t="shared" ref="BU59:BU64" si="87">R59+AX59</f>
        <v>725240</v>
      </c>
      <c r="BV59" s="418">
        <f t="shared" ref="BV59:BV64" si="88">S59+BK59</f>
        <v>48.343799999999995</v>
      </c>
      <c r="BW59" s="418">
        <f t="shared" ref="BW59:BX64" si="89">T59+BI59</f>
        <v>40.506300000000003</v>
      </c>
      <c r="BX59" s="420">
        <f t="shared" si="89"/>
        <v>7.8375000000000021</v>
      </c>
      <c r="BY59" s="419">
        <v>760272</v>
      </c>
      <c r="BZ59" s="414">
        <v>564000</v>
      </c>
      <c r="CA59" s="414">
        <v>0</v>
      </c>
      <c r="CB59" s="414">
        <v>190632</v>
      </c>
      <c r="CC59" s="414">
        <v>5640</v>
      </c>
      <c r="CD59" s="509">
        <v>1</v>
      </c>
      <c r="CE59" s="419">
        <v>1357040</v>
      </c>
      <c r="CF59" s="414">
        <v>874105</v>
      </c>
      <c r="CG59" s="414">
        <v>295447</v>
      </c>
      <c r="CH59" s="414">
        <v>8741</v>
      </c>
      <c r="CI59" s="414">
        <v>178747</v>
      </c>
      <c r="CJ59" s="509">
        <v>2.6284000000000001</v>
      </c>
    </row>
    <row r="60" spans="1:88" s="221" customFormat="1">
      <c r="A60" s="209">
        <v>12</v>
      </c>
      <c r="B60" s="210">
        <v>4438</v>
      </c>
      <c r="C60" s="210">
        <v>600074871</v>
      </c>
      <c r="D60" s="210">
        <v>49864599</v>
      </c>
      <c r="E60" s="208" t="s">
        <v>168</v>
      </c>
      <c r="F60" s="210">
        <v>3113</v>
      </c>
      <c r="G60" s="165" t="s">
        <v>291</v>
      </c>
      <c r="H60" s="621" t="s">
        <v>272</v>
      </c>
      <c r="I60" s="510">
        <v>7305494</v>
      </c>
      <c r="J60" s="414">
        <v>5406264</v>
      </c>
      <c r="K60" s="414">
        <v>5406264</v>
      </c>
      <c r="L60" s="414">
        <v>0</v>
      </c>
      <c r="M60" s="414">
        <v>0</v>
      </c>
      <c r="N60" s="414">
        <v>0</v>
      </c>
      <c r="O60" s="414">
        <v>0</v>
      </c>
      <c r="P60" s="68">
        <v>1827317</v>
      </c>
      <c r="Q60" s="68">
        <v>54063</v>
      </c>
      <c r="R60" s="414">
        <v>17850</v>
      </c>
      <c r="S60" s="415">
        <v>14.75</v>
      </c>
      <c r="T60" s="416">
        <v>14.75</v>
      </c>
      <c r="U60" s="422">
        <v>0</v>
      </c>
      <c r="V60" s="423">
        <f t="shared" si="2"/>
        <v>0</v>
      </c>
      <c r="W60" s="417">
        <f t="shared" si="3"/>
        <v>0</v>
      </c>
      <c r="X60" s="417">
        <v>69525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4"/>
        <v>69525</v>
      </c>
      <c r="AF60" s="417">
        <f t="shared" si="5"/>
        <v>0</v>
      </c>
      <c r="AG60" s="417">
        <f t="shared" si="6"/>
        <v>69525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7"/>
        <v>0</v>
      </c>
      <c r="AN60" s="417">
        <f t="shared" si="8"/>
        <v>0</v>
      </c>
      <c r="AO60" s="417">
        <f t="shared" si="9"/>
        <v>0</v>
      </c>
      <c r="AP60" s="417">
        <f t="shared" si="10"/>
        <v>69525</v>
      </c>
      <c r="AQ60" s="417">
        <f t="shared" si="11"/>
        <v>0</v>
      </c>
      <c r="AR60" s="417">
        <f t="shared" si="12"/>
        <v>69525</v>
      </c>
      <c r="AS60" s="68">
        <f t="shared" si="13"/>
        <v>23499</v>
      </c>
      <c r="AT60" s="68">
        <f t="shared" si="14"/>
        <v>695</v>
      </c>
      <c r="AU60" s="417">
        <v>0</v>
      </c>
      <c r="AV60" s="417">
        <v>0</v>
      </c>
      <c r="AW60" s="417">
        <v>0</v>
      </c>
      <c r="AX60" s="417">
        <f t="shared" si="15"/>
        <v>0</v>
      </c>
      <c r="AY60" s="417">
        <f t="shared" si="16"/>
        <v>93719</v>
      </c>
      <c r="AZ60" s="418">
        <v>0</v>
      </c>
      <c r="BA60" s="418">
        <v>0</v>
      </c>
      <c r="BB60" s="418">
        <v>0.19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7"/>
        <v>0.19</v>
      </c>
      <c r="BJ60" s="418">
        <f t="shared" si="18"/>
        <v>0</v>
      </c>
      <c r="BK60" s="420">
        <f t="shared" si="19"/>
        <v>0.19</v>
      </c>
      <c r="BL60" s="772">
        <f t="shared" si="81"/>
        <v>7399213</v>
      </c>
      <c r="BM60" s="417">
        <f t="shared" si="82"/>
        <v>5475789</v>
      </c>
      <c r="BN60" s="417">
        <f t="shared" si="83"/>
        <v>5475789</v>
      </c>
      <c r="BO60" s="417">
        <f t="shared" si="83"/>
        <v>0</v>
      </c>
      <c r="BP60" s="417">
        <f t="shared" si="84"/>
        <v>0</v>
      </c>
      <c r="BQ60" s="417">
        <f t="shared" si="85"/>
        <v>0</v>
      </c>
      <c r="BR60" s="417">
        <f t="shared" si="85"/>
        <v>0</v>
      </c>
      <c r="BS60" s="417">
        <f t="shared" si="86"/>
        <v>1850816</v>
      </c>
      <c r="BT60" s="417">
        <f t="shared" si="86"/>
        <v>54758</v>
      </c>
      <c r="BU60" s="417">
        <f t="shared" si="87"/>
        <v>17850</v>
      </c>
      <c r="BV60" s="418">
        <f t="shared" si="88"/>
        <v>14.94</v>
      </c>
      <c r="BW60" s="418">
        <f t="shared" si="89"/>
        <v>14.94</v>
      </c>
      <c r="BX60" s="420">
        <f t="shared" si="89"/>
        <v>0</v>
      </c>
      <c r="BY60" s="419"/>
      <c r="BZ60" s="414"/>
      <c r="CA60" s="414"/>
      <c r="CB60" s="414"/>
      <c r="CC60" s="414"/>
      <c r="CD60" s="509"/>
      <c r="CE60" s="419"/>
      <c r="CF60" s="414"/>
      <c r="CG60" s="414"/>
      <c r="CH60" s="414"/>
      <c r="CI60" s="414"/>
      <c r="CJ60" s="509"/>
    </row>
    <row r="61" spans="1:88" s="221" customFormat="1">
      <c r="A61" s="209">
        <v>12</v>
      </c>
      <c r="B61" s="210">
        <v>4438</v>
      </c>
      <c r="C61" s="210">
        <v>600074871</v>
      </c>
      <c r="D61" s="210">
        <v>49864599</v>
      </c>
      <c r="E61" s="208" t="s">
        <v>168</v>
      </c>
      <c r="F61" s="210">
        <v>3141</v>
      </c>
      <c r="G61" s="165" t="s">
        <v>294</v>
      </c>
      <c r="H61" s="621" t="s">
        <v>272</v>
      </c>
      <c r="I61" s="510">
        <v>3224137</v>
      </c>
      <c r="J61" s="414">
        <v>2364188</v>
      </c>
      <c r="K61" s="414">
        <v>0</v>
      </c>
      <c r="L61" s="414">
        <v>2364188</v>
      </c>
      <c r="M61" s="414">
        <v>10000</v>
      </c>
      <c r="N61" s="414">
        <v>0</v>
      </c>
      <c r="O61" s="414">
        <v>10000</v>
      </c>
      <c r="P61" s="68">
        <v>802475</v>
      </c>
      <c r="Q61" s="68">
        <v>23642</v>
      </c>
      <c r="R61" s="414">
        <v>23832</v>
      </c>
      <c r="S61" s="415">
        <v>7.12</v>
      </c>
      <c r="T61" s="416">
        <v>0</v>
      </c>
      <c r="U61" s="422">
        <v>7.12</v>
      </c>
      <c r="V61" s="423">
        <f t="shared" si="2"/>
        <v>0</v>
      </c>
      <c r="W61" s="417">
        <f t="shared" si="3"/>
        <v>-5000</v>
      </c>
      <c r="X61" s="417">
        <v>0</v>
      </c>
      <c r="Y61" s="417">
        <v>0</v>
      </c>
      <c r="Z61" s="417">
        <v>0</v>
      </c>
      <c r="AA61" s="417">
        <v>12749</v>
      </c>
      <c r="AB61" s="417">
        <v>0</v>
      </c>
      <c r="AC61" s="417">
        <v>0</v>
      </c>
      <c r="AD61" s="417">
        <v>0</v>
      </c>
      <c r="AE61" s="417">
        <f t="shared" si="4"/>
        <v>0</v>
      </c>
      <c r="AF61" s="417">
        <f t="shared" si="5"/>
        <v>7749</v>
      </c>
      <c r="AG61" s="417">
        <f t="shared" si="6"/>
        <v>7749</v>
      </c>
      <c r="AH61" s="417">
        <v>0</v>
      </c>
      <c r="AI61" s="417">
        <v>5000</v>
      </c>
      <c r="AJ61" s="417">
        <v>0</v>
      </c>
      <c r="AK61" s="417">
        <v>0</v>
      </c>
      <c r="AL61" s="417">
        <v>0</v>
      </c>
      <c r="AM61" s="417">
        <f t="shared" si="7"/>
        <v>0</v>
      </c>
      <c r="AN61" s="417">
        <f t="shared" si="8"/>
        <v>5000</v>
      </c>
      <c r="AO61" s="417">
        <f t="shared" si="9"/>
        <v>5000</v>
      </c>
      <c r="AP61" s="417">
        <f t="shared" si="10"/>
        <v>0</v>
      </c>
      <c r="AQ61" s="417">
        <f t="shared" si="11"/>
        <v>12749</v>
      </c>
      <c r="AR61" s="417">
        <f t="shared" si="12"/>
        <v>12749</v>
      </c>
      <c r="AS61" s="68">
        <f t="shared" si="13"/>
        <v>4309</v>
      </c>
      <c r="AT61" s="68">
        <f t="shared" si="14"/>
        <v>77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17135</v>
      </c>
      <c r="AZ61" s="418">
        <v>0</v>
      </c>
      <c r="BA61" s="418">
        <v>-0.05</v>
      </c>
      <c r="BB61" s="418">
        <v>0</v>
      </c>
      <c r="BC61" s="418">
        <v>0</v>
      </c>
      <c r="BD61" s="418">
        <v>0.04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0</v>
      </c>
      <c r="BJ61" s="418">
        <f t="shared" si="18"/>
        <v>-1.0000000000000002E-2</v>
      </c>
      <c r="BK61" s="420">
        <f t="shared" si="19"/>
        <v>-1.0000000000000002E-2</v>
      </c>
      <c r="BL61" s="772">
        <f t="shared" si="81"/>
        <v>3241272</v>
      </c>
      <c r="BM61" s="417">
        <f t="shared" si="82"/>
        <v>2371937</v>
      </c>
      <c r="BN61" s="417">
        <f t="shared" si="83"/>
        <v>0</v>
      </c>
      <c r="BO61" s="417">
        <f t="shared" si="83"/>
        <v>2371937</v>
      </c>
      <c r="BP61" s="417">
        <f t="shared" si="84"/>
        <v>15000</v>
      </c>
      <c r="BQ61" s="417">
        <f t="shared" si="85"/>
        <v>0</v>
      </c>
      <c r="BR61" s="417">
        <f t="shared" si="85"/>
        <v>15000</v>
      </c>
      <c r="BS61" s="417">
        <f t="shared" si="86"/>
        <v>806784</v>
      </c>
      <c r="BT61" s="417">
        <f t="shared" si="86"/>
        <v>23719</v>
      </c>
      <c r="BU61" s="417">
        <f t="shared" si="87"/>
        <v>23832</v>
      </c>
      <c r="BV61" s="418">
        <f t="shared" si="88"/>
        <v>7.11</v>
      </c>
      <c r="BW61" s="418">
        <f t="shared" si="89"/>
        <v>0</v>
      </c>
      <c r="BX61" s="420">
        <f t="shared" si="89"/>
        <v>7.11</v>
      </c>
      <c r="BY61" s="419"/>
      <c r="BZ61" s="414"/>
      <c r="CA61" s="414"/>
      <c r="CB61" s="414"/>
      <c r="CC61" s="414"/>
      <c r="CD61" s="509"/>
      <c r="CE61" s="419"/>
      <c r="CF61" s="601"/>
      <c r="CG61" s="414"/>
      <c r="CH61" s="414"/>
      <c r="CI61" s="601"/>
      <c r="CJ61" s="603"/>
    </row>
    <row r="62" spans="1:88" s="221" customFormat="1">
      <c r="A62" s="209">
        <v>12</v>
      </c>
      <c r="B62" s="210">
        <v>4438</v>
      </c>
      <c r="C62" s="210">
        <v>600074871</v>
      </c>
      <c r="D62" s="210">
        <v>49864599</v>
      </c>
      <c r="E62" s="208" t="s">
        <v>168</v>
      </c>
      <c r="F62" s="210">
        <v>3143</v>
      </c>
      <c r="G62" s="165" t="s">
        <v>595</v>
      </c>
      <c r="H62" s="609" t="s">
        <v>271</v>
      </c>
      <c r="I62" s="510">
        <v>3865736</v>
      </c>
      <c r="J62" s="414">
        <v>2867756</v>
      </c>
      <c r="K62" s="414">
        <v>2867756</v>
      </c>
      <c r="L62" s="414">
        <v>0</v>
      </c>
      <c r="M62" s="414">
        <v>0</v>
      </c>
      <c r="N62" s="414">
        <v>0</v>
      </c>
      <c r="O62" s="414">
        <v>0</v>
      </c>
      <c r="P62" s="68">
        <v>969302</v>
      </c>
      <c r="Q62" s="68">
        <v>28678</v>
      </c>
      <c r="R62" s="414">
        <v>0</v>
      </c>
      <c r="S62" s="415">
        <v>5.8541999999999996</v>
      </c>
      <c r="T62" s="416">
        <v>5.8541999999999996</v>
      </c>
      <c r="U62" s="422">
        <v>0</v>
      </c>
      <c r="V62" s="423">
        <f t="shared" si="2"/>
        <v>0</v>
      </c>
      <c r="W62" s="417">
        <f t="shared" si="3"/>
        <v>0</v>
      </c>
      <c r="X62" s="417">
        <v>0</v>
      </c>
      <c r="Y62" s="417">
        <v>0</v>
      </c>
      <c r="Z62" s="417">
        <v>51206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4"/>
        <v>51206</v>
      </c>
      <c r="AF62" s="417">
        <f t="shared" si="5"/>
        <v>0</v>
      </c>
      <c r="AG62" s="417">
        <f t="shared" si="6"/>
        <v>51206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7"/>
        <v>0</v>
      </c>
      <c r="AN62" s="417">
        <f t="shared" si="8"/>
        <v>0</v>
      </c>
      <c r="AO62" s="417">
        <f t="shared" si="9"/>
        <v>0</v>
      </c>
      <c r="AP62" s="417">
        <f t="shared" si="10"/>
        <v>51206</v>
      </c>
      <c r="AQ62" s="417">
        <f t="shared" si="11"/>
        <v>0</v>
      </c>
      <c r="AR62" s="417">
        <f t="shared" si="12"/>
        <v>51206</v>
      </c>
      <c r="AS62" s="68">
        <f t="shared" si="13"/>
        <v>17308</v>
      </c>
      <c r="AT62" s="68">
        <f t="shared" si="14"/>
        <v>512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69026</v>
      </c>
      <c r="AZ62" s="418">
        <v>0</v>
      </c>
      <c r="BA62" s="418">
        <v>0</v>
      </c>
      <c r="BB62" s="418">
        <v>0</v>
      </c>
      <c r="BC62" s="418">
        <v>0.12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0.12</v>
      </c>
      <c r="BJ62" s="418">
        <f t="shared" si="18"/>
        <v>0</v>
      </c>
      <c r="BK62" s="420">
        <f t="shared" si="19"/>
        <v>0.12</v>
      </c>
      <c r="BL62" s="772">
        <f t="shared" si="81"/>
        <v>3934762</v>
      </c>
      <c r="BM62" s="417">
        <f t="shared" si="82"/>
        <v>2918962</v>
      </c>
      <c r="BN62" s="417">
        <f t="shared" si="83"/>
        <v>2918962</v>
      </c>
      <c r="BO62" s="417">
        <f t="shared" si="83"/>
        <v>0</v>
      </c>
      <c r="BP62" s="417">
        <f t="shared" si="84"/>
        <v>0</v>
      </c>
      <c r="BQ62" s="417">
        <f t="shared" si="85"/>
        <v>0</v>
      </c>
      <c r="BR62" s="417">
        <f t="shared" si="85"/>
        <v>0</v>
      </c>
      <c r="BS62" s="417">
        <f t="shared" si="86"/>
        <v>986610</v>
      </c>
      <c r="BT62" s="417">
        <f t="shared" si="86"/>
        <v>29190</v>
      </c>
      <c r="BU62" s="417">
        <f t="shared" si="87"/>
        <v>0</v>
      </c>
      <c r="BV62" s="418">
        <f t="shared" si="88"/>
        <v>5.9741999999999997</v>
      </c>
      <c r="BW62" s="418">
        <f t="shared" si="89"/>
        <v>5.9741999999999997</v>
      </c>
      <c r="BX62" s="420">
        <f t="shared" si="89"/>
        <v>0</v>
      </c>
      <c r="BY62" s="419"/>
      <c r="BZ62" s="414"/>
      <c r="CA62" s="414"/>
      <c r="CB62" s="414"/>
      <c r="CC62" s="414"/>
      <c r="CD62" s="509"/>
      <c r="CE62" s="419"/>
      <c r="CF62" s="414"/>
      <c r="CG62" s="414"/>
      <c r="CH62" s="414"/>
      <c r="CI62" s="414"/>
      <c r="CJ62" s="509"/>
    </row>
    <row r="63" spans="1:88" s="221" customFormat="1">
      <c r="A63" s="209">
        <v>12</v>
      </c>
      <c r="B63" s="210">
        <v>4438</v>
      </c>
      <c r="C63" s="210">
        <v>600074871</v>
      </c>
      <c r="D63" s="210">
        <v>49864599</v>
      </c>
      <c r="E63" s="208" t="s">
        <v>168</v>
      </c>
      <c r="F63" s="210">
        <v>3143</v>
      </c>
      <c r="G63" s="165" t="s">
        <v>596</v>
      </c>
      <c r="H63" s="609" t="s">
        <v>272</v>
      </c>
      <c r="I63" s="510">
        <v>139849</v>
      </c>
      <c r="J63" s="414">
        <v>100100</v>
      </c>
      <c r="K63" s="414">
        <v>0</v>
      </c>
      <c r="L63" s="414">
        <v>100100</v>
      </c>
      <c r="M63" s="414">
        <v>0</v>
      </c>
      <c r="N63" s="414">
        <v>0</v>
      </c>
      <c r="O63" s="414">
        <v>0</v>
      </c>
      <c r="P63" s="68">
        <v>33834</v>
      </c>
      <c r="Q63" s="68">
        <v>1001</v>
      </c>
      <c r="R63" s="414">
        <v>4914</v>
      </c>
      <c r="S63" s="415">
        <v>0.38</v>
      </c>
      <c r="T63" s="416">
        <v>0</v>
      </c>
      <c r="U63" s="422">
        <v>0.38</v>
      </c>
      <c r="V63" s="423">
        <f t="shared" si="2"/>
        <v>0</v>
      </c>
      <c r="W63" s="417">
        <f t="shared" si="3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4"/>
        <v>0</v>
      </c>
      <c r="AF63" s="417">
        <f t="shared" si="5"/>
        <v>0</v>
      </c>
      <c r="AG63" s="417">
        <f t="shared" si="6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7"/>
        <v>0</v>
      </c>
      <c r="AN63" s="417">
        <f t="shared" si="8"/>
        <v>0</v>
      </c>
      <c r="AO63" s="417">
        <f t="shared" si="9"/>
        <v>0</v>
      </c>
      <c r="AP63" s="417">
        <f t="shared" si="10"/>
        <v>0</v>
      </c>
      <c r="AQ63" s="417">
        <f t="shared" si="11"/>
        <v>0</v>
      </c>
      <c r="AR63" s="417">
        <f t="shared" si="12"/>
        <v>0</v>
      </c>
      <c r="AS63" s="68">
        <f t="shared" si="13"/>
        <v>0</v>
      </c>
      <c r="AT63" s="68">
        <f t="shared" si="14"/>
        <v>0</v>
      </c>
      <c r="AU63" s="417">
        <v>0</v>
      </c>
      <c r="AV63" s="417">
        <v>0</v>
      </c>
      <c r="AW63" s="417">
        <v>0</v>
      </c>
      <c r="AX63" s="417">
        <f t="shared" si="15"/>
        <v>0</v>
      </c>
      <c r="AY63" s="417">
        <f t="shared" si="16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7"/>
        <v>0</v>
      </c>
      <c r="BJ63" s="418">
        <f t="shared" si="18"/>
        <v>0</v>
      </c>
      <c r="BK63" s="420">
        <f t="shared" si="19"/>
        <v>0</v>
      </c>
      <c r="BL63" s="772">
        <f t="shared" si="81"/>
        <v>139849</v>
      </c>
      <c r="BM63" s="417">
        <f t="shared" si="82"/>
        <v>100100</v>
      </c>
      <c r="BN63" s="417">
        <f t="shared" si="83"/>
        <v>0</v>
      </c>
      <c r="BO63" s="417">
        <f t="shared" si="83"/>
        <v>100100</v>
      </c>
      <c r="BP63" s="417">
        <f t="shared" si="84"/>
        <v>0</v>
      </c>
      <c r="BQ63" s="417">
        <f t="shared" si="85"/>
        <v>0</v>
      </c>
      <c r="BR63" s="417">
        <f t="shared" si="85"/>
        <v>0</v>
      </c>
      <c r="BS63" s="417">
        <f t="shared" si="86"/>
        <v>33834</v>
      </c>
      <c r="BT63" s="417">
        <f t="shared" si="86"/>
        <v>1001</v>
      </c>
      <c r="BU63" s="417">
        <f t="shared" si="87"/>
        <v>4914</v>
      </c>
      <c r="BV63" s="418">
        <f t="shared" si="88"/>
        <v>0.38</v>
      </c>
      <c r="BW63" s="418">
        <f t="shared" si="89"/>
        <v>0</v>
      </c>
      <c r="BX63" s="420">
        <f t="shared" si="89"/>
        <v>0.38</v>
      </c>
      <c r="BY63" s="419"/>
      <c r="BZ63" s="414"/>
      <c r="CA63" s="414"/>
      <c r="CB63" s="414"/>
      <c r="CC63" s="414"/>
      <c r="CD63" s="509"/>
      <c r="CE63" s="419"/>
      <c r="CF63" s="414"/>
      <c r="CG63" s="414"/>
      <c r="CH63" s="414"/>
      <c r="CI63" s="414"/>
      <c r="CJ63" s="509"/>
    </row>
    <row r="64" spans="1:88" s="221" customFormat="1">
      <c r="A64" s="209">
        <v>12</v>
      </c>
      <c r="B64" s="210">
        <v>4438</v>
      </c>
      <c r="C64" s="210">
        <v>600074871</v>
      </c>
      <c r="D64" s="210">
        <v>49864599</v>
      </c>
      <c r="E64" s="208" t="s">
        <v>168</v>
      </c>
      <c r="F64" s="210">
        <v>3143</v>
      </c>
      <c r="G64" s="165" t="s">
        <v>296</v>
      </c>
      <c r="H64" s="609" t="s">
        <v>272</v>
      </c>
      <c r="I64" s="510">
        <v>420068</v>
      </c>
      <c r="J64" s="414">
        <v>311182</v>
      </c>
      <c r="K64" s="414">
        <v>293032</v>
      </c>
      <c r="L64" s="414">
        <v>18150</v>
      </c>
      <c r="M64" s="414">
        <v>0</v>
      </c>
      <c r="N64" s="414">
        <v>0</v>
      </c>
      <c r="O64" s="414">
        <v>0</v>
      </c>
      <c r="P64" s="68">
        <v>105180</v>
      </c>
      <c r="Q64" s="68">
        <v>3112</v>
      </c>
      <c r="R64" s="414">
        <v>594</v>
      </c>
      <c r="S64" s="415">
        <v>0.65</v>
      </c>
      <c r="T64" s="416">
        <v>0.57999999999999996</v>
      </c>
      <c r="U64" s="422">
        <v>7.0000000000000007E-2</v>
      </c>
      <c r="V64" s="423">
        <f t="shared" si="2"/>
        <v>0</v>
      </c>
      <c r="W64" s="417">
        <f t="shared" si="3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4"/>
        <v>0</v>
      </c>
      <c r="AF64" s="417">
        <f t="shared" si="5"/>
        <v>0</v>
      </c>
      <c r="AG64" s="417">
        <f t="shared" si="6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7"/>
        <v>0</v>
      </c>
      <c r="AN64" s="417">
        <f t="shared" si="8"/>
        <v>0</v>
      </c>
      <c r="AO64" s="417">
        <f t="shared" si="9"/>
        <v>0</v>
      </c>
      <c r="AP64" s="417">
        <f t="shared" si="10"/>
        <v>0</v>
      </c>
      <c r="AQ64" s="417">
        <f t="shared" si="11"/>
        <v>0</v>
      </c>
      <c r="AR64" s="417">
        <f t="shared" si="12"/>
        <v>0</v>
      </c>
      <c r="AS64" s="68">
        <f t="shared" si="13"/>
        <v>0</v>
      </c>
      <c r="AT64" s="68">
        <f t="shared" si="14"/>
        <v>0</v>
      </c>
      <c r="AU64" s="417">
        <v>0</v>
      </c>
      <c r="AV64" s="417">
        <v>0</v>
      </c>
      <c r="AW64" s="417">
        <v>0</v>
      </c>
      <c r="AX64" s="417">
        <f t="shared" si="15"/>
        <v>0</v>
      </c>
      <c r="AY64" s="417">
        <f t="shared" si="16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0</v>
      </c>
      <c r="BK64" s="420">
        <f t="shared" si="19"/>
        <v>0</v>
      </c>
      <c r="BL64" s="772">
        <f t="shared" si="81"/>
        <v>420068</v>
      </c>
      <c r="BM64" s="417">
        <f t="shared" si="82"/>
        <v>311182</v>
      </c>
      <c r="BN64" s="417">
        <f t="shared" si="83"/>
        <v>293032</v>
      </c>
      <c r="BO64" s="417">
        <f t="shared" si="83"/>
        <v>18150</v>
      </c>
      <c r="BP64" s="417">
        <f t="shared" si="84"/>
        <v>0</v>
      </c>
      <c r="BQ64" s="417">
        <f t="shared" si="85"/>
        <v>0</v>
      </c>
      <c r="BR64" s="417">
        <f t="shared" si="85"/>
        <v>0</v>
      </c>
      <c r="BS64" s="417">
        <f t="shared" si="86"/>
        <v>105180</v>
      </c>
      <c r="BT64" s="417">
        <f t="shared" si="86"/>
        <v>3112</v>
      </c>
      <c r="BU64" s="417">
        <f t="shared" si="87"/>
        <v>594</v>
      </c>
      <c r="BV64" s="418">
        <f t="shared" si="88"/>
        <v>0.65</v>
      </c>
      <c r="BW64" s="418">
        <f t="shared" si="89"/>
        <v>0.57999999999999996</v>
      </c>
      <c r="BX64" s="420">
        <f t="shared" si="89"/>
        <v>7.0000000000000007E-2</v>
      </c>
      <c r="BY64" s="419"/>
      <c r="BZ64" s="414"/>
      <c r="CA64" s="414"/>
      <c r="CB64" s="414"/>
      <c r="CC64" s="414"/>
      <c r="CD64" s="509"/>
      <c r="CE64" s="419"/>
      <c r="CF64" s="601"/>
      <c r="CG64" s="414"/>
      <c r="CH64" s="414"/>
      <c r="CI64" s="602"/>
      <c r="CJ64" s="603"/>
    </row>
    <row r="65" spans="1:88" s="221" customFormat="1">
      <c r="A65" s="155">
        <v>12</v>
      </c>
      <c r="B65" s="18">
        <v>4438</v>
      </c>
      <c r="C65" s="18">
        <v>600074871</v>
      </c>
      <c r="D65" s="18">
        <v>49864599</v>
      </c>
      <c r="E65" s="164" t="s">
        <v>169</v>
      </c>
      <c r="F65" s="18"/>
      <c r="G65" s="154"/>
      <c r="H65" s="608"/>
      <c r="I65" s="451">
        <v>56860283</v>
      </c>
      <c r="J65" s="444">
        <v>41489090</v>
      </c>
      <c r="K65" s="444">
        <v>36303565</v>
      </c>
      <c r="L65" s="444">
        <v>5185525</v>
      </c>
      <c r="M65" s="444">
        <v>120000</v>
      </c>
      <c r="N65" s="444">
        <v>90000</v>
      </c>
      <c r="O65" s="444">
        <v>30000</v>
      </c>
      <c r="P65" s="444">
        <v>14063872</v>
      </c>
      <c r="Q65" s="444">
        <v>414891</v>
      </c>
      <c r="R65" s="444">
        <v>772430</v>
      </c>
      <c r="S65" s="445">
        <v>77.128</v>
      </c>
      <c r="T65" s="445">
        <v>61.450499999999998</v>
      </c>
      <c r="U65" s="449">
        <v>15.677500000000004</v>
      </c>
      <c r="V65" s="447">
        <f t="shared" ref="V65:CG65" si="90">SUM(V59:V64)</f>
        <v>-47000</v>
      </c>
      <c r="W65" s="444">
        <f t="shared" si="90"/>
        <v>-79000</v>
      </c>
      <c r="X65" s="444">
        <f t="shared" si="90"/>
        <v>69525</v>
      </c>
      <c r="Y65" s="444">
        <f t="shared" si="90"/>
        <v>139020</v>
      </c>
      <c r="Z65" s="444">
        <f t="shared" si="90"/>
        <v>111508</v>
      </c>
      <c r="AA65" s="444">
        <f t="shared" si="90"/>
        <v>12749</v>
      </c>
      <c r="AB65" s="444">
        <f t="shared" si="90"/>
        <v>0</v>
      </c>
      <c r="AC65" s="444">
        <f t="shared" si="90"/>
        <v>0</v>
      </c>
      <c r="AD65" s="444">
        <f t="shared" si="90"/>
        <v>0</v>
      </c>
      <c r="AE65" s="444">
        <f t="shared" si="90"/>
        <v>273053</v>
      </c>
      <c r="AF65" s="444">
        <f t="shared" si="90"/>
        <v>-66251</v>
      </c>
      <c r="AG65" s="444">
        <f t="shared" si="90"/>
        <v>206802</v>
      </c>
      <c r="AH65" s="444">
        <f t="shared" si="90"/>
        <v>47000</v>
      </c>
      <c r="AI65" s="444">
        <f t="shared" si="90"/>
        <v>79000</v>
      </c>
      <c r="AJ65" s="444">
        <f t="shared" si="90"/>
        <v>0</v>
      </c>
      <c r="AK65" s="444">
        <f t="shared" si="90"/>
        <v>0</v>
      </c>
      <c r="AL65" s="444">
        <f t="shared" si="90"/>
        <v>0</v>
      </c>
      <c r="AM65" s="444">
        <f t="shared" si="90"/>
        <v>47000</v>
      </c>
      <c r="AN65" s="444">
        <f t="shared" si="90"/>
        <v>79000</v>
      </c>
      <c r="AO65" s="444">
        <f t="shared" si="90"/>
        <v>126000</v>
      </c>
      <c r="AP65" s="444">
        <f t="shared" si="90"/>
        <v>320053</v>
      </c>
      <c r="AQ65" s="444">
        <f t="shared" si="90"/>
        <v>12749</v>
      </c>
      <c r="AR65" s="444">
        <f t="shared" si="90"/>
        <v>332802</v>
      </c>
      <c r="AS65" s="444">
        <f t="shared" si="90"/>
        <v>112487</v>
      </c>
      <c r="AT65" s="444">
        <f t="shared" si="90"/>
        <v>2067</v>
      </c>
      <c r="AU65" s="444">
        <f t="shared" si="90"/>
        <v>0</v>
      </c>
      <c r="AV65" s="444">
        <f t="shared" si="90"/>
        <v>0</v>
      </c>
      <c r="AW65" s="444">
        <f t="shared" si="90"/>
        <v>0</v>
      </c>
      <c r="AX65" s="444">
        <f t="shared" si="90"/>
        <v>0</v>
      </c>
      <c r="AY65" s="444">
        <f t="shared" si="90"/>
        <v>447356</v>
      </c>
      <c r="AZ65" s="445">
        <f t="shared" si="90"/>
        <v>-0.08</v>
      </c>
      <c r="BA65" s="445">
        <f t="shared" si="90"/>
        <v>-0.32</v>
      </c>
      <c r="BB65" s="445">
        <f t="shared" si="90"/>
        <v>0.19</v>
      </c>
      <c r="BC65" s="445">
        <f t="shared" si="90"/>
        <v>0.24</v>
      </c>
      <c r="BD65" s="445">
        <f t="shared" si="90"/>
        <v>0.04</v>
      </c>
      <c r="BE65" s="445">
        <f t="shared" si="90"/>
        <v>0.2</v>
      </c>
      <c r="BF65" s="445">
        <f t="shared" si="90"/>
        <v>0</v>
      </c>
      <c r="BG65" s="445">
        <f t="shared" si="90"/>
        <v>0</v>
      </c>
      <c r="BH65" s="445">
        <f t="shared" si="90"/>
        <v>0</v>
      </c>
      <c r="BI65" s="445">
        <f t="shared" si="90"/>
        <v>0.55000000000000004</v>
      </c>
      <c r="BJ65" s="445">
        <f t="shared" si="90"/>
        <v>-0.28000000000000003</v>
      </c>
      <c r="BK65" s="39">
        <f t="shared" si="90"/>
        <v>0.26999999999999996</v>
      </c>
      <c r="BL65" s="451">
        <f t="shared" si="90"/>
        <v>57307639</v>
      </c>
      <c r="BM65" s="444">
        <f t="shared" si="90"/>
        <v>41695892</v>
      </c>
      <c r="BN65" s="444">
        <f t="shared" si="90"/>
        <v>36576618</v>
      </c>
      <c r="BO65" s="444">
        <f t="shared" si="90"/>
        <v>5119274</v>
      </c>
      <c r="BP65" s="444">
        <f t="shared" si="90"/>
        <v>246000</v>
      </c>
      <c r="BQ65" s="444">
        <f t="shared" si="90"/>
        <v>137000</v>
      </c>
      <c r="BR65" s="444">
        <f t="shared" si="90"/>
        <v>109000</v>
      </c>
      <c r="BS65" s="444">
        <f t="shared" si="90"/>
        <v>14176359</v>
      </c>
      <c r="BT65" s="444">
        <f t="shared" si="90"/>
        <v>416958</v>
      </c>
      <c r="BU65" s="444">
        <f t="shared" si="90"/>
        <v>772430</v>
      </c>
      <c r="BV65" s="445">
        <f t="shared" si="90"/>
        <v>77.397999999999996</v>
      </c>
      <c r="BW65" s="445">
        <f t="shared" si="90"/>
        <v>62.000500000000002</v>
      </c>
      <c r="BX65" s="39">
        <f t="shared" si="90"/>
        <v>15.397500000000003</v>
      </c>
      <c r="BY65" s="806">
        <f t="shared" si="90"/>
        <v>760272</v>
      </c>
      <c r="BZ65" s="709">
        <f t="shared" si="90"/>
        <v>564000</v>
      </c>
      <c r="CA65" s="709">
        <f t="shared" si="90"/>
        <v>0</v>
      </c>
      <c r="CB65" s="709">
        <f t="shared" si="90"/>
        <v>190632</v>
      </c>
      <c r="CC65" s="709">
        <f t="shared" si="90"/>
        <v>5640</v>
      </c>
      <c r="CD65" s="807">
        <f t="shared" si="90"/>
        <v>1</v>
      </c>
      <c r="CE65" s="919">
        <f t="shared" si="90"/>
        <v>1357040</v>
      </c>
      <c r="CF65" s="920">
        <f t="shared" si="90"/>
        <v>874105</v>
      </c>
      <c r="CG65" s="920">
        <f t="shared" si="90"/>
        <v>295447</v>
      </c>
      <c r="CH65" s="920">
        <f t="shared" ref="CH65:CJ65" si="91">SUM(CH59:CH64)</f>
        <v>8741</v>
      </c>
      <c r="CI65" s="920">
        <f t="shared" si="91"/>
        <v>178747</v>
      </c>
      <c r="CJ65" s="921">
        <f t="shared" si="91"/>
        <v>2.6284000000000001</v>
      </c>
    </row>
    <row r="66" spans="1:88" s="221" customFormat="1">
      <c r="A66" s="209">
        <v>13</v>
      </c>
      <c r="B66" s="210">
        <v>4455</v>
      </c>
      <c r="C66" s="210">
        <v>600074889</v>
      </c>
      <c r="D66" s="210">
        <v>49864611</v>
      </c>
      <c r="E66" s="208" t="s">
        <v>170</v>
      </c>
      <c r="F66" s="210">
        <v>3113</v>
      </c>
      <c r="G66" s="165" t="s">
        <v>293</v>
      </c>
      <c r="H66" s="621" t="s">
        <v>271</v>
      </c>
      <c r="I66" s="510">
        <v>43659169</v>
      </c>
      <c r="J66" s="414">
        <v>31758968</v>
      </c>
      <c r="K66" s="414">
        <v>29023647</v>
      </c>
      <c r="L66" s="414">
        <v>2735321</v>
      </c>
      <c r="M66" s="414">
        <v>90000</v>
      </c>
      <c r="N66" s="414">
        <v>30000</v>
      </c>
      <c r="O66" s="414">
        <v>60000</v>
      </c>
      <c r="P66" s="68">
        <v>10764952</v>
      </c>
      <c r="Q66" s="68">
        <v>317589</v>
      </c>
      <c r="R66" s="414">
        <v>727660</v>
      </c>
      <c r="S66" s="415">
        <v>48.847699999999996</v>
      </c>
      <c r="T66" s="416">
        <v>40.644500000000008</v>
      </c>
      <c r="U66" s="422">
        <v>8.2032000000000007</v>
      </c>
      <c r="V66" s="423">
        <f t="shared" si="2"/>
        <v>-10000</v>
      </c>
      <c r="W66" s="417">
        <f t="shared" si="3"/>
        <v>-40000</v>
      </c>
      <c r="X66" s="417">
        <v>0</v>
      </c>
      <c r="Y66" s="417">
        <v>138358</v>
      </c>
      <c r="Z66" s="417">
        <v>-368990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4"/>
        <v>-240632</v>
      </c>
      <c r="AF66" s="417">
        <f t="shared" si="5"/>
        <v>-40000</v>
      </c>
      <c r="AG66" s="417">
        <f t="shared" si="6"/>
        <v>-280632</v>
      </c>
      <c r="AH66" s="417">
        <v>10000</v>
      </c>
      <c r="AI66" s="417">
        <v>40000</v>
      </c>
      <c r="AJ66" s="417">
        <v>0</v>
      </c>
      <c r="AK66" s="417">
        <v>0</v>
      </c>
      <c r="AL66" s="417">
        <v>0</v>
      </c>
      <c r="AM66" s="417">
        <f t="shared" si="7"/>
        <v>10000</v>
      </c>
      <c r="AN66" s="417">
        <f t="shared" si="8"/>
        <v>40000</v>
      </c>
      <c r="AO66" s="417">
        <f t="shared" si="9"/>
        <v>50000</v>
      </c>
      <c r="AP66" s="417">
        <f t="shared" si="10"/>
        <v>-230632</v>
      </c>
      <c r="AQ66" s="417">
        <f t="shared" si="11"/>
        <v>0</v>
      </c>
      <c r="AR66" s="417">
        <f t="shared" si="12"/>
        <v>-230632</v>
      </c>
      <c r="AS66" s="68">
        <f t="shared" si="13"/>
        <v>-77954</v>
      </c>
      <c r="AT66" s="68">
        <f t="shared" si="14"/>
        <v>-2806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-311392</v>
      </c>
      <c r="AZ66" s="418">
        <v>0</v>
      </c>
      <c r="BA66" s="418">
        <v>-0.14000000000000001</v>
      </c>
      <c r="BB66" s="418">
        <v>0</v>
      </c>
      <c r="BC66" s="418">
        <v>-0.71</v>
      </c>
      <c r="BD66" s="418">
        <v>0</v>
      </c>
      <c r="BE66" s="418">
        <v>0.2</v>
      </c>
      <c r="BF66" s="418">
        <v>0</v>
      </c>
      <c r="BG66" s="418">
        <v>0</v>
      </c>
      <c r="BH66" s="418">
        <v>0</v>
      </c>
      <c r="BI66" s="418">
        <f t="shared" si="17"/>
        <v>-0.51</v>
      </c>
      <c r="BJ66" s="418">
        <f t="shared" si="18"/>
        <v>-0.14000000000000001</v>
      </c>
      <c r="BK66" s="420">
        <f t="shared" si="19"/>
        <v>-0.65</v>
      </c>
      <c r="BL66" s="772">
        <f>I66+AY66</f>
        <v>43347777</v>
      </c>
      <c r="BM66" s="417">
        <f>J66+AG66</f>
        <v>31478336</v>
      </c>
      <c r="BN66" s="417">
        <f t="shared" ref="BN66:BO70" si="92">K66+AE66</f>
        <v>28783015</v>
      </c>
      <c r="BO66" s="417">
        <f t="shared" si="92"/>
        <v>2695321</v>
      </c>
      <c r="BP66" s="417">
        <f>M66+AO66</f>
        <v>140000</v>
      </c>
      <c r="BQ66" s="417">
        <f t="shared" ref="BQ66:BR70" si="93">N66+AM66</f>
        <v>40000</v>
      </c>
      <c r="BR66" s="417">
        <f t="shared" si="93"/>
        <v>100000</v>
      </c>
      <c r="BS66" s="417">
        <f t="shared" ref="BS66:BT70" si="94">P66+AS66</f>
        <v>10686998</v>
      </c>
      <c r="BT66" s="417">
        <f t="shared" si="94"/>
        <v>314783</v>
      </c>
      <c r="BU66" s="417">
        <f>R66+AX66</f>
        <v>727660</v>
      </c>
      <c r="BV66" s="418">
        <f>S66+BK66</f>
        <v>48.197699999999998</v>
      </c>
      <c r="BW66" s="418">
        <f t="shared" ref="BW66:BX70" si="95">T66+BI66</f>
        <v>40.13450000000001</v>
      </c>
      <c r="BX66" s="420">
        <f t="shared" si="95"/>
        <v>8.0632000000000001</v>
      </c>
      <c r="BY66" s="419"/>
      <c r="BZ66" s="414"/>
      <c r="CA66" s="414"/>
      <c r="CB66" s="414"/>
      <c r="CC66" s="414"/>
      <c r="CD66" s="509"/>
      <c r="CE66" s="419">
        <v>1385621</v>
      </c>
      <c r="CF66" s="414">
        <v>897305</v>
      </c>
      <c r="CG66" s="414">
        <v>303289</v>
      </c>
      <c r="CH66" s="414">
        <v>8973</v>
      </c>
      <c r="CI66" s="414">
        <v>176054</v>
      </c>
      <c r="CJ66" s="509">
        <v>2.7040999999999999</v>
      </c>
    </row>
    <row r="67" spans="1:88" s="221" customFormat="1">
      <c r="A67" s="209">
        <v>13</v>
      </c>
      <c r="B67" s="210">
        <v>4455</v>
      </c>
      <c r="C67" s="210">
        <v>600074889</v>
      </c>
      <c r="D67" s="210">
        <v>49864611</v>
      </c>
      <c r="E67" s="208" t="s">
        <v>170</v>
      </c>
      <c r="F67" s="210">
        <v>3113</v>
      </c>
      <c r="G67" s="165" t="s">
        <v>291</v>
      </c>
      <c r="H67" s="621" t="s">
        <v>272</v>
      </c>
      <c r="I67" s="510">
        <v>2557251</v>
      </c>
      <c r="J67" s="414">
        <v>1895216</v>
      </c>
      <c r="K67" s="414">
        <v>1895216</v>
      </c>
      <c r="L67" s="414">
        <v>0</v>
      </c>
      <c r="M67" s="414">
        <v>0</v>
      </c>
      <c r="N67" s="414">
        <v>0</v>
      </c>
      <c r="O67" s="414">
        <v>0</v>
      </c>
      <c r="P67" s="68">
        <v>640583</v>
      </c>
      <c r="Q67" s="68">
        <v>18952</v>
      </c>
      <c r="R67" s="414">
        <v>2500</v>
      </c>
      <c r="S67" s="415">
        <v>5.1100000000000003</v>
      </c>
      <c r="T67" s="416">
        <v>5.1100000000000003</v>
      </c>
      <c r="U67" s="422">
        <v>0</v>
      </c>
      <c r="V67" s="423">
        <f t="shared" si="2"/>
        <v>0</v>
      </c>
      <c r="W67" s="417">
        <f t="shared" si="3"/>
        <v>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4"/>
        <v>0</v>
      </c>
      <c r="AF67" s="417">
        <f t="shared" si="5"/>
        <v>0</v>
      </c>
      <c r="AG67" s="417">
        <f t="shared" si="6"/>
        <v>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7"/>
        <v>0</v>
      </c>
      <c r="AN67" s="417">
        <f t="shared" si="8"/>
        <v>0</v>
      </c>
      <c r="AO67" s="417">
        <f t="shared" si="9"/>
        <v>0</v>
      </c>
      <c r="AP67" s="417">
        <f t="shared" si="10"/>
        <v>0</v>
      </c>
      <c r="AQ67" s="417">
        <f t="shared" si="11"/>
        <v>0</v>
      </c>
      <c r="AR67" s="417">
        <f t="shared" si="12"/>
        <v>0</v>
      </c>
      <c r="AS67" s="68">
        <f t="shared" si="13"/>
        <v>0</v>
      </c>
      <c r="AT67" s="68">
        <f t="shared" si="14"/>
        <v>0</v>
      </c>
      <c r="AU67" s="417">
        <v>0</v>
      </c>
      <c r="AV67" s="417">
        <v>0</v>
      </c>
      <c r="AW67" s="417">
        <v>0</v>
      </c>
      <c r="AX67" s="417">
        <f t="shared" si="15"/>
        <v>0</v>
      </c>
      <c r="AY67" s="417">
        <f t="shared" si="16"/>
        <v>0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7"/>
        <v>0</v>
      </c>
      <c r="BJ67" s="418">
        <f t="shared" si="18"/>
        <v>0</v>
      </c>
      <c r="BK67" s="420">
        <f t="shared" si="19"/>
        <v>0</v>
      </c>
      <c r="BL67" s="772">
        <f>I67+AY67</f>
        <v>2557251</v>
      </c>
      <c r="BM67" s="417">
        <f>J67+AG67</f>
        <v>1895216</v>
      </c>
      <c r="BN67" s="417">
        <f t="shared" si="92"/>
        <v>1895216</v>
      </c>
      <c r="BO67" s="417">
        <f t="shared" si="92"/>
        <v>0</v>
      </c>
      <c r="BP67" s="417">
        <f>M67+AO67</f>
        <v>0</v>
      </c>
      <c r="BQ67" s="417">
        <f t="shared" si="93"/>
        <v>0</v>
      </c>
      <c r="BR67" s="417">
        <f t="shared" si="93"/>
        <v>0</v>
      </c>
      <c r="BS67" s="417">
        <f t="shared" si="94"/>
        <v>640583</v>
      </c>
      <c r="BT67" s="417">
        <f t="shared" si="94"/>
        <v>18952</v>
      </c>
      <c r="BU67" s="417">
        <f>R67+AX67</f>
        <v>2500</v>
      </c>
      <c r="BV67" s="418">
        <f>S67+BK67</f>
        <v>5.1100000000000003</v>
      </c>
      <c r="BW67" s="418">
        <f t="shared" si="95"/>
        <v>5.1100000000000003</v>
      </c>
      <c r="BX67" s="420">
        <f t="shared" si="95"/>
        <v>0</v>
      </c>
      <c r="BY67" s="419"/>
      <c r="BZ67" s="414"/>
      <c r="CA67" s="414"/>
      <c r="CB67" s="414"/>
      <c r="CC67" s="414"/>
      <c r="CD67" s="509"/>
      <c r="CE67" s="419"/>
      <c r="CF67" s="414"/>
      <c r="CG67" s="414"/>
      <c r="CH67" s="414"/>
      <c r="CI67" s="414"/>
      <c r="CJ67" s="509"/>
    </row>
    <row r="68" spans="1:88" s="221" customFormat="1">
      <c r="A68" s="209">
        <v>13</v>
      </c>
      <c r="B68" s="210">
        <v>4455</v>
      </c>
      <c r="C68" s="210">
        <v>600074889</v>
      </c>
      <c r="D68" s="210">
        <v>49864611</v>
      </c>
      <c r="E68" s="208" t="s">
        <v>170</v>
      </c>
      <c r="F68" s="210">
        <v>3141</v>
      </c>
      <c r="G68" s="165" t="s">
        <v>294</v>
      </c>
      <c r="H68" s="621" t="s">
        <v>272</v>
      </c>
      <c r="I68" s="510">
        <v>3059690</v>
      </c>
      <c r="J68" s="414">
        <v>2253131</v>
      </c>
      <c r="K68" s="414">
        <v>0</v>
      </c>
      <c r="L68" s="414">
        <v>2253131</v>
      </c>
      <c r="M68" s="414">
        <v>0</v>
      </c>
      <c r="N68" s="414">
        <v>0</v>
      </c>
      <c r="O68" s="414">
        <v>0</v>
      </c>
      <c r="P68" s="68">
        <v>761558</v>
      </c>
      <c r="Q68" s="68">
        <v>22531</v>
      </c>
      <c r="R68" s="414">
        <v>22470</v>
      </c>
      <c r="S68" s="415">
        <v>6.76</v>
      </c>
      <c r="T68" s="416">
        <v>0</v>
      </c>
      <c r="U68" s="422">
        <v>6.76</v>
      </c>
      <c r="V68" s="423">
        <f t="shared" si="2"/>
        <v>0</v>
      </c>
      <c r="W68" s="417">
        <f t="shared" si="3"/>
        <v>0</v>
      </c>
      <c r="X68" s="417">
        <v>0</v>
      </c>
      <c r="Y68" s="417">
        <v>0</v>
      </c>
      <c r="Z68" s="417">
        <v>0</v>
      </c>
      <c r="AA68" s="417">
        <v>-3263</v>
      </c>
      <c r="AB68" s="417">
        <v>0</v>
      </c>
      <c r="AC68" s="417">
        <v>0</v>
      </c>
      <c r="AD68" s="417">
        <v>0</v>
      </c>
      <c r="AE68" s="417">
        <f t="shared" si="4"/>
        <v>0</v>
      </c>
      <c r="AF68" s="417">
        <f t="shared" si="5"/>
        <v>-3263</v>
      </c>
      <c r="AG68" s="417">
        <f t="shared" si="6"/>
        <v>-3263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7"/>
        <v>0</v>
      </c>
      <c r="AN68" s="417">
        <f t="shared" si="8"/>
        <v>0</v>
      </c>
      <c r="AO68" s="417">
        <f t="shared" si="9"/>
        <v>0</v>
      </c>
      <c r="AP68" s="417">
        <f t="shared" si="10"/>
        <v>0</v>
      </c>
      <c r="AQ68" s="417">
        <f t="shared" si="11"/>
        <v>-3263</v>
      </c>
      <c r="AR68" s="417">
        <f t="shared" si="12"/>
        <v>-3263</v>
      </c>
      <c r="AS68" s="68">
        <f t="shared" si="13"/>
        <v>-1103</v>
      </c>
      <c r="AT68" s="68">
        <f t="shared" si="14"/>
        <v>-33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-4399</v>
      </c>
      <c r="AZ68" s="418">
        <v>0</v>
      </c>
      <c r="BA68" s="418">
        <v>0</v>
      </c>
      <c r="BB68" s="418">
        <v>0</v>
      </c>
      <c r="BC68" s="418">
        <v>0</v>
      </c>
      <c r="BD68" s="418">
        <v>-0.01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-0.01</v>
      </c>
      <c r="BK68" s="420">
        <f t="shared" si="19"/>
        <v>-0.01</v>
      </c>
      <c r="BL68" s="772">
        <f>I68+AY68</f>
        <v>3055291</v>
      </c>
      <c r="BM68" s="417">
        <f>J68+AG68</f>
        <v>2249868</v>
      </c>
      <c r="BN68" s="417">
        <f t="shared" si="92"/>
        <v>0</v>
      </c>
      <c r="BO68" s="417">
        <f t="shared" si="92"/>
        <v>2249868</v>
      </c>
      <c r="BP68" s="417">
        <f>M68+AO68</f>
        <v>0</v>
      </c>
      <c r="BQ68" s="417">
        <f t="shared" si="93"/>
        <v>0</v>
      </c>
      <c r="BR68" s="417">
        <f t="shared" si="93"/>
        <v>0</v>
      </c>
      <c r="BS68" s="417">
        <f t="shared" si="94"/>
        <v>760455</v>
      </c>
      <c r="BT68" s="417">
        <f t="shared" si="94"/>
        <v>22498</v>
      </c>
      <c r="BU68" s="417">
        <f>R68+AX68</f>
        <v>22470</v>
      </c>
      <c r="BV68" s="418">
        <f>S68+BK68</f>
        <v>6.75</v>
      </c>
      <c r="BW68" s="418">
        <f t="shared" si="95"/>
        <v>0</v>
      </c>
      <c r="BX68" s="420">
        <f t="shared" si="95"/>
        <v>6.75</v>
      </c>
      <c r="BY68" s="419"/>
      <c r="BZ68" s="414"/>
      <c r="CA68" s="414"/>
      <c r="CB68" s="414"/>
      <c r="CC68" s="414"/>
      <c r="CD68" s="509"/>
      <c r="CE68" s="419"/>
      <c r="CF68" s="601"/>
      <c r="CG68" s="414"/>
      <c r="CH68" s="414"/>
      <c r="CI68" s="601"/>
      <c r="CJ68" s="603"/>
    </row>
    <row r="69" spans="1:88" s="221" customFormat="1">
      <c r="A69" s="209">
        <v>13</v>
      </c>
      <c r="B69" s="210">
        <v>4455</v>
      </c>
      <c r="C69" s="210">
        <v>600074889</v>
      </c>
      <c r="D69" s="210">
        <v>49864611</v>
      </c>
      <c r="E69" s="208" t="s">
        <v>170</v>
      </c>
      <c r="F69" s="210">
        <v>3143</v>
      </c>
      <c r="G69" s="165" t="s">
        <v>595</v>
      </c>
      <c r="H69" s="609" t="s">
        <v>271</v>
      </c>
      <c r="I69" s="510">
        <v>3961322</v>
      </c>
      <c r="J69" s="414">
        <v>2938666</v>
      </c>
      <c r="K69" s="414">
        <v>2938666</v>
      </c>
      <c r="L69" s="414">
        <v>0</v>
      </c>
      <c r="M69" s="414">
        <v>0</v>
      </c>
      <c r="N69" s="414">
        <v>0</v>
      </c>
      <c r="O69" s="414">
        <v>0</v>
      </c>
      <c r="P69" s="68">
        <v>993269</v>
      </c>
      <c r="Q69" s="68">
        <v>29387</v>
      </c>
      <c r="R69" s="414">
        <v>0</v>
      </c>
      <c r="S69" s="415">
        <v>5.6429999999999998</v>
      </c>
      <c r="T69" s="416">
        <v>5.6429999999999998</v>
      </c>
      <c r="U69" s="422">
        <v>0</v>
      </c>
      <c r="V69" s="423">
        <f t="shared" si="2"/>
        <v>0</v>
      </c>
      <c r="W69" s="417">
        <f t="shared" si="3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4"/>
        <v>0</v>
      </c>
      <c r="AF69" s="417">
        <f t="shared" si="5"/>
        <v>0</v>
      </c>
      <c r="AG69" s="417">
        <f t="shared" si="6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7"/>
        <v>0</v>
      </c>
      <c r="AN69" s="417">
        <f t="shared" si="8"/>
        <v>0</v>
      </c>
      <c r="AO69" s="417">
        <f t="shared" si="9"/>
        <v>0</v>
      </c>
      <c r="AP69" s="417">
        <f t="shared" si="10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>I69+AY69</f>
        <v>3961322</v>
      </c>
      <c r="BM69" s="417">
        <f>J69+AG69</f>
        <v>2938666</v>
      </c>
      <c r="BN69" s="417">
        <f t="shared" si="92"/>
        <v>2938666</v>
      </c>
      <c r="BO69" s="417">
        <f t="shared" si="92"/>
        <v>0</v>
      </c>
      <c r="BP69" s="417">
        <f>M69+AO69</f>
        <v>0</v>
      </c>
      <c r="BQ69" s="417">
        <f t="shared" si="93"/>
        <v>0</v>
      </c>
      <c r="BR69" s="417">
        <f t="shared" si="93"/>
        <v>0</v>
      </c>
      <c r="BS69" s="417">
        <f t="shared" si="94"/>
        <v>993269</v>
      </c>
      <c r="BT69" s="417">
        <f t="shared" si="94"/>
        <v>29387</v>
      </c>
      <c r="BU69" s="417">
        <f>R69+AX69</f>
        <v>0</v>
      </c>
      <c r="BV69" s="418">
        <f>S69+BK69</f>
        <v>5.6429999999999998</v>
      </c>
      <c r="BW69" s="418">
        <f t="shared" si="95"/>
        <v>5.6429999999999998</v>
      </c>
      <c r="BX69" s="420">
        <f t="shared" si="95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 s="221" customFormat="1">
      <c r="A70" s="209">
        <v>13</v>
      </c>
      <c r="B70" s="210">
        <v>4455</v>
      </c>
      <c r="C70" s="210">
        <v>600074889</v>
      </c>
      <c r="D70" s="210">
        <v>49864611</v>
      </c>
      <c r="E70" s="208" t="s">
        <v>170</v>
      </c>
      <c r="F70" s="210">
        <v>3143</v>
      </c>
      <c r="G70" s="165" t="s">
        <v>596</v>
      </c>
      <c r="H70" s="609" t="s">
        <v>272</v>
      </c>
      <c r="I70" s="510">
        <v>119102</v>
      </c>
      <c r="J70" s="414">
        <v>85250</v>
      </c>
      <c r="K70" s="414">
        <v>0</v>
      </c>
      <c r="L70" s="414">
        <v>85250</v>
      </c>
      <c r="M70" s="414">
        <v>0</v>
      </c>
      <c r="N70" s="414">
        <v>0</v>
      </c>
      <c r="O70" s="414">
        <v>0</v>
      </c>
      <c r="P70" s="68">
        <v>28815</v>
      </c>
      <c r="Q70" s="68">
        <v>852</v>
      </c>
      <c r="R70" s="414">
        <v>4185</v>
      </c>
      <c r="S70" s="415">
        <v>0.33</v>
      </c>
      <c r="T70" s="416">
        <v>0</v>
      </c>
      <c r="U70" s="422">
        <v>0.33</v>
      </c>
      <c r="V70" s="423">
        <f t="shared" si="2"/>
        <v>0</v>
      </c>
      <c r="W70" s="417">
        <f t="shared" si="3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4"/>
        <v>0</v>
      </c>
      <c r="AF70" s="417">
        <f t="shared" si="5"/>
        <v>0</v>
      </c>
      <c r="AG70" s="417">
        <f t="shared" si="6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7"/>
        <v>0</v>
      </c>
      <c r="AN70" s="417">
        <f t="shared" si="8"/>
        <v>0</v>
      </c>
      <c r="AO70" s="417">
        <f t="shared" si="9"/>
        <v>0</v>
      </c>
      <c r="AP70" s="417">
        <f t="shared" si="10"/>
        <v>0</v>
      </c>
      <c r="AQ70" s="417">
        <f t="shared" si="11"/>
        <v>0</v>
      </c>
      <c r="AR70" s="417">
        <f t="shared" si="12"/>
        <v>0</v>
      </c>
      <c r="AS70" s="68">
        <f t="shared" si="13"/>
        <v>0</v>
      </c>
      <c r="AT70" s="68">
        <f t="shared" si="14"/>
        <v>0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0</v>
      </c>
      <c r="BK70" s="420">
        <f t="shared" si="19"/>
        <v>0</v>
      </c>
      <c r="BL70" s="772">
        <f>I70+AY70</f>
        <v>119102</v>
      </c>
      <c r="BM70" s="417">
        <f>J70+AG70</f>
        <v>85250</v>
      </c>
      <c r="BN70" s="417">
        <f t="shared" si="92"/>
        <v>0</v>
      </c>
      <c r="BO70" s="417">
        <f t="shared" si="92"/>
        <v>85250</v>
      </c>
      <c r="BP70" s="417">
        <f>M70+AO70</f>
        <v>0</v>
      </c>
      <c r="BQ70" s="417">
        <f t="shared" si="93"/>
        <v>0</v>
      </c>
      <c r="BR70" s="417">
        <f t="shared" si="93"/>
        <v>0</v>
      </c>
      <c r="BS70" s="417">
        <f t="shared" si="94"/>
        <v>28815</v>
      </c>
      <c r="BT70" s="417">
        <f t="shared" si="94"/>
        <v>852</v>
      </c>
      <c r="BU70" s="417">
        <f>R70+AX70</f>
        <v>4185</v>
      </c>
      <c r="BV70" s="418">
        <f>S70+BK70</f>
        <v>0.33</v>
      </c>
      <c r="BW70" s="418">
        <f t="shared" si="95"/>
        <v>0</v>
      </c>
      <c r="BX70" s="420">
        <f t="shared" si="95"/>
        <v>0.33</v>
      </c>
      <c r="BY70" s="419"/>
      <c r="BZ70" s="414"/>
      <c r="CA70" s="414"/>
      <c r="CB70" s="414"/>
      <c r="CC70" s="414"/>
      <c r="CD70" s="509"/>
      <c r="CE70" s="419"/>
      <c r="CF70" s="601"/>
      <c r="CG70" s="414"/>
      <c r="CH70" s="414"/>
      <c r="CI70" s="602"/>
      <c r="CJ70" s="603"/>
    </row>
    <row r="71" spans="1:88" s="221" customFormat="1">
      <c r="A71" s="155">
        <v>13</v>
      </c>
      <c r="B71" s="18">
        <v>4455</v>
      </c>
      <c r="C71" s="18">
        <v>600074889</v>
      </c>
      <c r="D71" s="18">
        <v>49864611</v>
      </c>
      <c r="E71" s="164" t="s">
        <v>171</v>
      </c>
      <c r="F71" s="18"/>
      <c r="G71" s="154"/>
      <c r="H71" s="608"/>
      <c r="I71" s="451">
        <v>53356534</v>
      </c>
      <c r="J71" s="444">
        <v>38931231</v>
      </c>
      <c r="K71" s="444">
        <v>33857529</v>
      </c>
      <c r="L71" s="444">
        <v>5073702</v>
      </c>
      <c r="M71" s="444">
        <v>90000</v>
      </c>
      <c r="N71" s="444">
        <v>30000</v>
      </c>
      <c r="O71" s="444">
        <v>60000</v>
      </c>
      <c r="P71" s="444">
        <v>13189177</v>
      </c>
      <c r="Q71" s="444">
        <v>389311</v>
      </c>
      <c r="R71" s="444">
        <v>756815</v>
      </c>
      <c r="S71" s="445">
        <v>66.690699999999993</v>
      </c>
      <c r="T71" s="445">
        <v>51.397500000000008</v>
      </c>
      <c r="U71" s="449">
        <v>15.293200000000001</v>
      </c>
      <c r="V71" s="447">
        <f t="shared" ref="V71:CG71" si="96">SUM(V66:V70)</f>
        <v>-10000</v>
      </c>
      <c r="W71" s="444">
        <f t="shared" si="96"/>
        <v>-40000</v>
      </c>
      <c r="X71" s="444">
        <f t="shared" si="96"/>
        <v>0</v>
      </c>
      <c r="Y71" s="444">
        <f t="shared" si="96"/>
        <v>138358</v>
      </c>
      <c r="Z71" s="444">
        <f t="shared" si="96"/>
        <v>-368990</v>
      </c>
      <c r="AA71" s="444">
        <f t="shared" si="96"/>
        <v>-3263</v>
      </c>
      <c r="AB71" s="444">
        <f t="shared" si="96"/>
        <v>0</v>
      </c>
      <c r="AC71" s="444">
        <f t="shared" si="96"/>
        <v>0</v>
      </c>
      <c r="AD71" s="444">
        <f t="shared" si="96"/>
        <v>0</v>
      </c>
      <c r="AE71" s="444">
        <f t="shared" si="96"/>
        <v>-240632</v>
      </c>
      <c r="AF71" s="444">
        <f t="shared" si="96"/>
        <v>-43263</v>
      </c>
      <c r="AG71" s="444">
        <f t="shared" si="96"/>
        <v>-283895</v>
      </c>
      <c r="AH71" s="444">
        <f t="shared" si="96"/>
        <v>10000</v>
      </c>
      <c r="AI71" s="444">
        <f t="shared" si="96"/>
        <v>40000</v>
      </c>
      <c r="AJ71" s="444">
        <f t="shared" si="96"/>
        <v>0</v>
      </c>
      <c r="AK71" s="444">
        <f t="shared" si="96"/>
        <v>0</v>
      </c>
      <c r="AL71" s="444">
        <f t="shared" si="96"/>
        <v>0</v>
      </c>
      <c r="AM71" s="444">
        <f t="shared" si="96"/>
        <v>10000</v>
      </c>
      <c r="AN71" s="444">
        <f t="shared" si="96"/>
        <v>40000</v>
      </c>
      <c r="AO71" s="444">
        <f t="shared" si="96"/>
        <v>50000</v>
      </c>
      <c r="AP71" s="444">
        <f t="shared" si="96"/>
        <v>-230632</v>
      </c>
      <c r="AQ71" s="444">
        <f t="shared" si="96"/>
        <v>-3263</v>
      </c>
      <c r="AR71" s="444">
        <f t="shared" si="96"/>
        <v>-233895</v>
      </c>
      <c r="AS71" s="444">
        <f t="shared" si="96"/>
        <v>-79057</v>
      </c>
      <c r="AT71" s="444">
        <f t="shared" si="96"/>
        <v>-2839</v>
      </c>
      <c r="AU71" s="444">
        <f t="shared" si="96"/>
        <v>0</v>
      </c>
      <c r="AV71" s="444">
        <f t="shared" si="96"/>
        <v>0</v>
      </c>
      <c r="AW71" s="444">
        <f t="shared" si="96"/>
        <v>0</v>
      </c>
      <c r="AX71" s="444">
        <f t="shared" si="96"/>
        <v>0</v>
      </c>
      <c r="AY71" s="444">
        <f t="shared" si="96"/>
        <v>-315791</v>
      </c>
      <c r="AZ71" s="445">
        <f t="shared" si="96"/>
        <v>0</v>
      </c>
      <c r="BA71" s="445">
        <f t="shared" si="96"/>
        <v>-0.14000000000000001</v>
      </c>
      <c r="BB71" s="445">
        <f t="shared" si="96"/>
        <v>0</v>
      </c>
      <c r="BC71" s="445">
        <f t="shared" si="96"/>
        <v>-0.71</v>
      </c>
      <c r="BD71" s="445">
        <f t="shared" si="96"/>
        <v>-0.01</v>
      </c>
      <c r="BE71" s="445">
        <f t="shared" si="96"/>
        <v>0.2</v>
      </c>
      <c r="BF71" s="445">
        <f t="shared" si="96"/>
        <v>0</v>
      </c>
      <c r="BG71" s="445">
        <f t="shared" si="96"/>
        <v>0</v>
      </c>
      <c r="BH71" s="445">
        <f t="shared" si="96"/>
        <v>0</v>
      </c>
      <c r="BI71" s="445">
        <f t="shared" si="96"/>
        <v>-0.51</v>
      </c>
      <c r="BJ71" s="445">
        <f t="shared" si="96"/>
        <v>-0.15000000000000002</v>
      </c>
      <c r="BK71" s="39">
        <f t="shared" si="96"/>
        <v>-0.66</v>
      </c>
      <c r="BL71" s="451">
        <f t="shared" si="96"/>
        <v>53040743</v>
      </c>
      <c r="BM71" s="444">
        <f t="shared" si="96"/>
        <v>38647336</v>
      </c>
      <c r="BN71" s="444">
        <f t="shared" si="96"/>
        <v>33616897</v>
      </c>
      <c r="BO71" s="444">
        <f t="shared" si="96"/>
        <v>5030439</v>
      </c>
      <c r="BP71" s="444">
        <f t="shared" si="96"/>
        <v>140000</v>
      </c>
      <c r="BQ71" s="444">
        <f t="shared" si="96"/>
        <v>40000</v>
      </c>
      <c r="BR71" s="444">
        <f t="shared" si="96"/>
        <v>100000</v>
      </c>
      <c r="BS71" s="444">
        <f t="shared" si="96"/>
        <v>13110120</v>
      </c>
      <c r="BT71" s="444">
        <f t="shared" si="96"/>
        <v>386472</v>
      </c>
      <c r="BU71" s="444">
        <f t="shared" si="96"/>
        <v>756815</v>
      </c>
      <c r="BV71" s="445">
        <f t="shared" si="96"/>
        <v>66.030699999999996</v>
      </c>
      <c r="BW71" s="445">
        <f t="shared" si="96"/>
        <v>50.88750000000001</v>
      </c>
      <c r="BX71" s="39">
        <f t="shared" si="96"/>
        <v>15.1432</v>
      </c>
      <c r="BY71" s="806">
        <f t="shared" si="96"/>
        <v>0</v>
      </c>
      <c r="BZ71" s="709">
        <f t="shared" si="96"/>
        <v>0</v>
      </c>
      <c r="CA71" s="709">
        <f t="shared" si="96"/>
        <v>0</v>
      </c>
      <c r="CB71" s="709">
        <f t="shared" si="96"/>
        <v>0</v>
      </c>
      <c r="CC71" s="709">
        <f t="shared" si="96"/>
        <v>0</v>
      </c>
      <c r="CD71" s="807">
        <f t="shared" si="96"/>
        <v>0</v>
      </c>
      <c r="CE71" s="919">
        <f t="shared" si="96"/>
        <v>1385621</v>
      </c>
      <c r="CF71" s="920">
        <f t="shared" si="96"/>
        <v>897305</v>
      </c>
      <c r="CG71" s="920">
        <f t="shared" si="96"/>
        <v>303289</v>
      </c>
      <c r="CH71" s="920">
        <f t="shared" ref="CH71:CJ71" si="97">SUM(CH66:CH70)</f>
        <v>8973</v>
      </c>
      <c r="CI71" s="920">
        <f t="shared" si="97"/>
        <v>176054</v>
      </c>
      <c r="CJ71" s="921">
        <f t="shared" si="97"/>
        <v>2.7040999999999999</v>
      </c>
    </row>
    <row r="72" spans="1:88" s="221" customFormat="1">
      <c r="A72" s="209">
        <v>14</v>
      </c>
      <c r="B72" s="210">
        <v>4440</v>
      </c>
      <c r="C72" s="210">
        <v>600074897</v>
      </c>
      <c r="D72" s="210">
        <v>48283029</v>
      </c>
      <c r="E72" s="208" t="s">
        <v>172</v>
      </c>
      <c r="F72" s="210">
        <v>3113</v>
      </c>
      <c r="G72" s="165" t="s">
        <v>293</v>
      </c>
      <c r="H72" s="621" t="s">
        <v>271</v>
      </c>
      <c r="I72" s="510">
        <v>31046842</v>
      </c>
      <c r="J72" s="414">
        <v>22448031</v>
      </c>
      <c r="K72" s="414">
        <v>20281431</v>
      </c>
      <c r="L72" s="414">
        <v>2166600</v>
      </c>
      <c r="M72" s="414">
        <v>195000</v>
      </c>
      <c r="N72" s="414">
        <v>175000</v>
      </c>
      <c r="O72" s="414">
        <v>20000</v>
      </c>
      <c r="P72" s="68">
        <v>7653345</v>
      </c>
      <c r="Q72" s="68">
        <v>224481</v>
      </c>
      <c r="R72" s="414">
        <v>525985</v>
      </c>
      <c r="S72" s="415">
        <v>35.626900000000006</v>
      </c>
      <c r="T72" s="416">
        <v>28.992599999999999</v>
      </c>
      <c r="U72" s="422">
        <v>6.6342999999999996</v>
      </c>
      <c r="V72" s="423">
        <f t="shared" si="2"/>
        <v>66800</v>
      </c>
      <c r="W72" s="417">
        <f t="shared" si="3"/>
        <v>-16600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4"/>
        <v>66800</v>
      </c>
      <c r="AF72" s="417">
        <f t="shared" si="5"/>
        <v>-16600</v>
      </c>
      <c r="AG72" s="417">
        <f t="shared" si="6"/>
        <v>50200</v>
      </c>
      <c r="AH72" s="417">
        <v>-66800</v>
      </c>
      <c r="AI72" s="417">
        <v>16600</v>
      </c>
      <c r="AJ72" s="417">
        <v>0</v>
      </c>
      <c r="AK72" s="417">
        <v>0</v>
      </c>
      <c r="AL72" s="417">
        <v>0</v>
      </c>
      <c r="AM72" s="417">
        <f t="shared" si="7"/>
        <v>-66800</v>
      </c>
      <c r="AN72" s="417">
        <f t="shared" si="8"/>
        <v>16600</v>
      </c>
      <c r="AO72" s="417">
        <f t="shared" si="9"/>
        <v>-50200</v>
      </c>
      <c r="AP72" s="417">
        <f t="shared" si="10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502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502</v>
      </c>
      <c r="AZ72" s="418">
        <v>0.11</v>
      </c>
      <c r="BA72" s="418">
        <v>0.02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0.11</v>
      </c>
      <c r="BJ72" s="418">
        <f t="shared" si="18"/>
        <v>0.02</v>
      </c>
      <c r="BK72" s="420">
        <f t="shared" si="19"/>
        <v>0.13</v>
      </c>
      <c r="BL72" s="772">
        <f>I72+AY72</f>
        <v>31047344</v>
      </c>
      <c r="BM72" s="417">
        <f>J72+AG72</f>
        <v>22498231</v>
      </c>
      <c r="BN72" s="417">
        <f t="shared" ref="BN72:BO76" si="98">K72+AE72</f>
        <v>20348231</v>
      </c>
      <c r="BO72" s="417">
        <f t="shared" si="98"/>
        <v>2150000</v>
      </c>
      <c r="BP72" s="417">
        <f>M72+AO72</f>
        <v>144800</v>
      </c>
      <c r="BQ72" s="417">
        <f t="shared" ref="BQ72:BR76" si="99">N72+AM72</f>
        <v>108200</v>
      </c>
      <c r="BR72" s="417">
        <f t="shared" si="99"/>
        <v>36600</v>
      </c>
      <c r="BS72" s="417">
        <f t="shared" ref="BS72:BT76" si="100">P72+AS72</f>
        <v>7653345</v>
      </c>
      <c r="BT72" s="417">
        <f t="shared" si="100"/>
        <v>224983</v>
      </c>
      <c r="BU72" s="417">
        <f>R72+AX72</f>
        <v>525985</v>
      </c>
      <c r="BV72" s="418">
        <f>S72+BK72</f>
        <v>35.756900000000009</v>
      </c>
      <c r="BW72" s="418">
        <f t="shared" ref="BW72:BX76" si="101">T72+BI72</f>
        <v>29.102599999999999</v>
      </c>
      <c r="BX72" s="420">
        <f t="shared" si="101"/>
        <v>6.6542999999999992</v>
      </c>
      <c r="BY72" s="419">
        <v>760272</v>
      </c>
      <c r="BZ72" s="414">
        <v>564000</v>
      </c>
      <c r="CA72" s="414">
        <v>0</v>
      </c>
      <c r="CB72" s="414">
        <v>190632</v>
      </c>
      <c r="CC72" s="414">
        <v>5640</v>
      </c>
      <c r="CD72" s="509">
        <v>1</v>
      </c>
      <c r="CE72" s="419">
        <v>1034315</v>
      </c>
      <c r="CF72" s="414">
        <v>677055</v>
      </c>
      <c r="CG72" s="414">
        <v>228845</v>
      </c>
      <c r="CH72" s="414">
        <v>6771</v>
      </c>
      <c r="CI72" s="414">
        <v>121644</v>
      </c>
      <c r="CJ72" s="509">
        <v>1.9948999999999999</v>
      </c>
    </row>
    <row r="73" spans="1:88" s="221" customFormat="1">
      <c r="A73" s="209">
        <v>14</v>
      </c>
      <c r="B73" s="210">
        <v>4440</v>
      </c>
      <c r="C73" s="210">
        <v>600074897</v>
      </c>
      <c r="D73" s="210">
        <v>48283029</v>
      </c>
      <c r="E73" s="208" t="s">
        <v>172</v>
      </c>
      <c r="F73" s="210">
        <v>3113</v>
      </c>
      <c r="G73" s="165" t="s">
        <v>291</v>
      </c>
      <c r="H73" s="621" t="s">
        <v>272</v>
      </c>
      <c r="I73" s="510">
        <v>2651938</v>
      </c>
      <c r="J73" s="414">
        <v>1967313</v>
      </c>
      <c r="K73" s="414">
        <v>1967313</v>
      </c>
      <c r="L73" s="414">
        <v>0</v>
      </c>
      <c r="M73" s="414">
        <v>0</v>
      </c>
      <c r="N73" s="414">
        <v>0</v>
      </c>
      <c r="O73" s="414">
        <v>0</v>
      </c>
      <c r="P73" s="68">
        <v>664951</v>
      </c>
      <c r="Q73" s="68">
        <v>19674</v>
      </c>
      <c r="R73" s="414">
        <v>0</v>
      </c>
      <c r="S73" s="415">
        <v>5.31</v>
      </c>
      <c r="T73" s="416">
        <v>5.31</v>
      </c>
      <c r="U73" s="422">
        <v>0</v>
      </c>
      <c r="V73" s="423">
        <f t="shared" si="2"/>
        <v>0</v>
      </c>
      <c r="W73" s="417">
        <f t="shared" si="3"/>
        <v>0</v>
      </c>
      <c r="X73" s="417">
        <v>51186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4"/>
        <v>51186</v>
      </c>
      <c r="AF73" s="417">
        <f t="shared" si="5"/>
        <v>0</v>
      </c>
      <c r="AG73" s="417">
        <f t="shared" si="6"/>
        <v>51186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7"/>
        <v>0</v>
      </c>
      <c r="AN73" s="417">
        <f t="shared" si="8"/>
        <v>0</v>
      </c>
      <c r="AO73" s="417">
        <f t="shared" si="9"/>
        <v>0</v>
      </c>
      <c r="AP73" s="417">
        <f t="shared" si="10"/>
        <v>51186</v>
      </c>
      <c r="AQ73" s="417">
        <f t="shared" si="11"/>
        <v>0</v>
      </c>
      <c r="AR73" s="417">
        <f t="shared" si="12"/>
        <v>51186</v>
      </c>
      <c r="AS73" s="68">
        <f t="shared" si="13"/>
        <v>17301</v>
      </c>
      <c r="AT73" s="68">
        <f t="shared" si="14"/>
        <v>512</v>
      </c>
      <c r="AU73" s="417">
        <f>2500+6750</f>
        <v>9250</v>
      </c>
      <c r="AV73" s="417">
        <v>0</v>
      </c>
      <c r="AW73" s="417">
        <v>0</v>
      </c>
      <c r="AX73" s="417">
        <f t="shared" si="15"/>
        <v>9250</v>
      </c>
      <c r="AY73" s="417">
        <f t="shared" si="16"/>
        <v>78249</v>
      </c>
      <c r="AZ73" s="418">
        <v>0</v>
      </c>
      <c r="BA73" s="418">
        <v>0</v>
      </c>
      <c r="BB73" s="418">
        <v>0.13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0.13</v>
      </c>
      <c r="BJ73" s="418">
        <f t="shared" si="18"/>
        <v>0</v>
      </c>
      <c r="BK73" s="420">
        <f t="shared" si="19"/>
        <v>0.13</v>
      </c>
      <c r="BL73" s="772">
        <f>I73+AY73</f>
        <v>2730187</v>
      </c>
      <c r="BM73" s="417">
        <f>J73+AG73</f>
        <v>2018499</v>
      </c>
      <c r="BN73" s="417">
        <f t="shared" si="98"/>
        <v>2018499</v>
      </c>
      <c r="BO73" s="417">
        <f t="shared" si="98"/>
        <v>0</v>
      </c>
      <c r="BP73" s="417">
        <f>M73+AO73</f>
        <v>0</v>
      </c>
      <c r="BQ73" s="417">
        <f t="shared" si="99"/>
        <v>0</v>
      </c>
      <c r="BR73" s="417">
        <f t="shared" si="99"/>
        <v>0</v>
      </c>
      <c r="BS73" s="417">
        <f t="shared" si="100"/>
        <v>682252</v>
      </c>
      <c r="BT73" s="417">
        <f t="shared" si="100"/>
        <v>20186</v>
      </c>
      <c r="BU73" s="417">
        <f>R73+AX73</f>
        <v>9250</v>
      </c>
      <c r="BV73" s="418">
        <f>S73+BK73</f>
        <v>5.4399999999999995</v>
      </c>
      <c r="BW73" s="418">
        <f t="shared" si="101"/>
        <v>5.4399999999999995</v>
      </c>
      <c r="BX73" s="420">
        <f t="shared" si="101"/>
        <v>0</v>
      </c>
      <c r="BY73" s="419"/>
      <c r="BZ73" s="414"/>
      <c r="CA73" s="414"/>
      <c r="CB73" s="414"/>
      <c r="CC73" s="414"/>
      <c r="CD73" s="509"/>
      <c r="CE73" s="419"/>
      <c r="CF73" s="414"/>
      <c r="CG73" s="414"/>
      <c r="CH73" s="414"/>
      <c r="CI73" s="414"/>
      <c r="CJ73" s="509"/>
    </row>
    <row r="74" spans="1:88" s="221" customFormat="1">
      <c r="A74" s="209">
        <v>14</v>
      </c>
      <c r="B74" s="210">
        <v>4440</v>
      </c>
      <c r="C74" s="210">
        <v>600074897</v>
      </c>
      <c r="D74" s="210">
        <v>48283029</v>
      </c>
      <c r="E74" s="208" t="s">
        <v>172</v>
      </c>
      <c r="F74" s="210">
        <v>3141</v>
      </c>
      <c r="G74" s="165" t="s">
        <v>294</v>
      </c>
      <c r="H74" s="621" t="s">
        <v>272</v>
      </c>
      <c r="I74" s="510">
        <v>3061694</v>
      </c>
      <c r="J74" s="414">
        <v>2254657</v>
      </c>
      <c r="K74" s="414">
        <v>0</v>
      </c>
      <c r="L74" s="414">
        <v>2254657</v>
      </c>
      <c r="M74" s="414">
        <v>0</v>
      </c>
      <c r="N74" s="414">
        <v>0</v>
      </c>
      <c r="O74" s="414">
        <v>0</v>
      </c>
      <c r="P74" s="68">
        <v>762074</v>
      </c>
      <c r="Q74" s="68">
        <v>22547</v>
      </c>
      <c r="R74" s="414">
        <v>22416</v>
      </c>
      <c r="S74" s="415">
        <v>6.76</v>
      </c>
      <c r="T74" s="416">
        <v>0</v>
      </c>
      <c r="U74" s="422">
        <v>6.76</v>
      </c>
      <c r="V74" s="423">
        <f t="shared" si="2"/>
        <v>0</v>
      </c>
      <c r="W74" s="417">
        <f t="shared" si="3"/>
        <v>-16000</v>
      </c>
      <c r="X74" s="417">
        <v>0</v>
      </c>
      <c r="Y74" s="417">
        <v>0</v>
      </c>
      <c r="Z74" s="417">
        <v>0</v>
      </c>
      <c r="AA74" s="417">
        <v>8324</v>
      </c>
      <c r="AB74" s="417">
        <v>0</v>
      </c>
      <c r="AC74" s="417">
        <v>0</v>
      </c>
      <c r="AD74" s="417">
        <v>0</v>
      </c>
      <c r="AE74" s="417">
        <f t="shared" si="4"/>
        <v>0</v>
      </c>
      <c r="AF74" s="417">
        <f t="shared" si="5"/>
        <v>-7676</v>
      </c>
      <c r="AG74" s="417">
        <f t="shared" si="6"/>
        <v>-7676</v>
      </c>
      <c r="AH74" s="417">
        <v>0</v>
      </c>
      <c r="AI74" s="417">
        <v>16000</v>
      </c>
      <c r="AJ74" s="417">
        <v>0</v>
      </c>
      <c r="AK74" s="417">
        <v>0</v>
      </c>
      <c r="AL74" s="417">
        <v>0</v>
      </c>
      <c r="AM74" s="417">
        <f t="shared" si="7"/>
        <v>0</v>
      </c>
      <c r="AN74" s="417">
        <f t="shared" si="8"/>
        <v>16000</v>
      </c>
      <c r="AO74" s="417">
        <f t="shared" si="9"/>
        <v>16000</v>
      </c>
      <c r="AP74" s="417">
        <f t="shared" si="10"/>
        <v>0</v>
      </c>
      <c r="AQ74" s="417">
        <f t="shared" si="11"/>
        <v>8324</v>
      </c>
      <c r="AR74" s="417">
        <f t="shared" si="12"/>
        <v>8324</v>
      </c>
      <c r="AS74" s="68">
        <f t="shared" si="13"/>
        <v>2814</v>
      </c>
      <c r="AT74" s="68">
        <f t="shared" si="14"/>
        <v>-77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11061</v>
      </c>
      <c r="AZ74" s="418">
        <v>0</v>
      </c>
      <c r="BA74" s="418">
        <v>-0.02</v>
      </c>
      <c r="BB74" s="418">
        <v>0</v>
      </c>
      <c r="BC74" s="418">
        <v>0</v>
      </c>
      <c r="BD74" s="418">
        <v>0.03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9.9999999999999985E-3</v>
      </c>
      <c r="BK74" s="420">
        <f t="shared" si="19"/>
        <v>9.9999999999999985E-3</v>
      </c>
      <c r="BL74" s="772">
        <f>I74+AY74</f>
        <v>3072755</v>
      </c>
      <c r="BM74" s="417">
        <f>J74+AG74</f>
        <v>2246981</v>
      </c>
      <c r="BN74" s="417">
        <f t="shared" si="98"/>
        <v>0</v>
      </c>
      <c r="BO74" s="417">
        <f t="shared" si="98"/>
        <v>2246981</v>
      </c>
      <c r="BP74" s="417">
        <f>M74+AO74</f>
        <v>16000</v>
      </c>
      <c r="BQ74" s="417">
        <f t="shared" si="99"/>
        <v>0</v>
      </c>
      <c r="BR74" s="417">
        <f t="shared" si="99"/>
        <v>16000</v>
      </c>
      <c r="BS74" s="417">
        <f t="shared" si="100"/>
        <v>764888</v>
      </c>
      <c r="BT74" s="417">
        <f t="shared" si="100"/>
        <v>22470</v>
      </c>
      <c r="BU74" s="417">
        <f>R74+AX74</f>
        <v>22416</v>
      </c>
      <c r="BV74" s="418">
        <f>S74+BK74</f>
        <v>6.77</v>
      </c>
      <c r="BW74" s="418">
        <f t="shared" si="101"/>
        <v>0</v>
      </c>
      <c r="BX74" s="420">
        <f t="shared" si="101"/>
        <v>6.77</v>
      </c>
      <c r="BY74" s="419"/>
      <c r="BZ74" s="414"/>
      <c r="CA74" s="414"/>
      <c r="CB74" s="414"/>
      <c r="CC74" s="414"/>
      <c r="CD74" s="509"/>
      <c r="CE74" s="419"/>
      <c r="CF74" s="601"/>
      <c r="CG74" s="414"/>
      <c r="CH74" s="414"/>
      <c r="CI74" s="601"/>
      <c r="CJ74" s="603"/>
    </row>
    <row r="75" spans="1:88" s="221" customFormat="1">
      <c r="A75" s="209">
        <v>14</v>
      </c>
      <c r="B75" s="210">
        <v>4440</v>
      </c>
      <c r="C75" s="210">
        <v>600074897</v>
      </c>
      <c r="D75" s="210">
        <v>48283029</v>
      </c>
      <c r="E75" s="208" t="s">
        <v>172</v>
      </c>
      <c r="F75" s="210">
        <v>3143</v>
      </c>
      <c r="G75" s="165" t="s">
        <v>595</v>
      </c>
      <c r="H75" s="609" t="s">
        <v>271</v>
      </c>
      <c r="I75" s="510">
        <v>2574794</v>
      </c>
      <c r="J75" s="414">
        <v>1905122</v>
      </c>
      <c r="K75" s="414">
        <v>1905122</v>
      </c>
      <c r="L75" s="414">
        <v>0</v>
      </c>
      <c r="M75" s="414">
        <v>5000</v>
      </c>
      <c r="N75" s="414">
        <v>5000</v>
      </c>
      <c r="O75" s="414">
        <v>0</v>
      </c>
      <c r="P75" s="68">
        <v>645621</v>
      </c>
      <c r="Q75" s="68">
        <v>19051</v>
      </c>
      <c r="R75" s="414">
        <v>0</v>
      </c>
      <c r="S75" s="415">
        <v>4.1071999999999997</v>
      </c>
      <c r="T75" s="416">
        <v>4.1071999999999997</v>
      </c>
      <c r="U75" s="422">
        <v>0</v>
      </c>
      <c r="V75" s="423">
        <f t="shared" si="2"/>
        <v>-1400</v>
      </c>
      <c r="W75" s="417">
        <f t="shared" si="3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4"/>
        <v>-1400</v>
      </c>
      <c r="AF75" s="417">
        <f t="shared" si="5"/>
        <v>0</v>
      </c>
      <c r="AG75" s="417">
        <f t="shared" si="6"/>
        <v>-1400</v>
      </c>
      <c r="AH75" s="417">
        <v>1400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7"/>
        <v>1400</v>
      </c>
      <c r="AN75" s="417">
        <f t="shared" si="8"/>
        <v>0</v>
      </c>
      <c r="AO75" s="417">
        <f t="shared" si="9"/>
        <v>1400</v>
      </c>
      <c r="AP75" s="417">
        <f t="shared" si="10"/>
        <v>0</v>
      </c>
      <c r="AQ75" s="417">
        <f t="shared" si="11"/>
        <v>0</v>
      </c>
      <c r="AR75" s="417">
        <f t="shared" si="12"/>
        <v>0</v>
      </c>
      <c r="AS75" s="68">
        <f t="shared" si="13"/>
        <v>0</v>
      </c>
      <c r="AT75" s="68">
        <f t="shared" si="14"/>
        <v>-14</v>
      </c>
      <c r="AU75" s="417">
        <v>0</v>
      </c>
      <c r="AV75" s="417">
        <v>0</v>
      </c>
      <c r="AW75" s="417">
        <v>0</v>
      </c>
      <c r="AX75" s="417">
        <f t="shared" si="15"/>
        <v>0</v>
      </c>
      <c r="AY75" s="417">
        <f t="shared" si="16"/>
        <v>-14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7"/>
        <v>0</v>
      </c>
      <c r="BJ75" s="418">
        <f t="shared" si="18"/>
        <v>0</v>
      </c>
      <c r="BK75" s="420">
        <f t="shared" si="19"/>
        <v>0</v>
      </c>
      <c r="BL75" s="772">
        <f>I75+AY75</f>
        <v>2574780</v>
      </c>
      <c r="BM75" s="417">
        <f>J75+AG75</f>
        <v>1903722</v>
      </c>
      <c r="BN75" s="417">
        <f t="shared" si="98"/>
        <v>1903722</v>
      </c>
      <c r="BO75" s="417">
        <f t="shared" si="98"/>
        <v>0</v>
      </c>
      <c r="BP75" s="417">
        <f>M75+AO75</f>
        <v>6400</v>
      </c>
      <c r="BQ75" s="417">
        <f t="shared" si="99"/>
        <v>6400</v>
      </c>
      <c r="BR75" s="417">
        <f t="shared" si="99"/>
        <v>0</v>
      </c>
      <c r="BS75" s="417">
        <f t="shared" si="100"/>
        <v>645621</v>
      </c>
      <c r="BT75" s="417">
        <f t="shared" si="100"/>
        <v>19037</v>
      </c>
      <c r="BU75" s="417">
        <f>R75+AX75</f>
        <v>0</v>
      </c>
      <c r="BV75" s="418">
        <f>S75+BK75</f>
        <v>4.1071999999999997</v>
      </c>
      <c r="BW75" s="418">
        <f t="shared" si="101"/>
        <v>4.1071999999999997</v>
      </c>
      <c r="BX75" s="420">
        <f t="shared" si="101"/>
        <v>0</v>
      </c>
      <c r="BY75" s="419"/>
      <c r="BZ75" s="414"/>
      <c r="CA75" s="414"/>
      <c r="CB75" s="414"/>
      <c r="CC75" s="414"/>
      <c r="CD75" s="509"/>
      <c r="CE75" s="419"/>
      <c r="CF75" s="414"/>
      <c r="CG75" s="414"/>
      <c r="CH75" s="414"/>
      <c r="CI75" s="414"/>
      <c r="CJ75" s="509"/>
    </row>
    <row r="76" spans="1:88" s="221" customFormat="1">
      <c r="A76" s="209">
        <v>14</v>
      </c>
      <c r="B76" s="210">
        <v>4440</v>
      </c>
      <c r="C76" s="210">
        <v>600074897</v>
      </c>
      <c r="D76" s="210">
        <v>48283029</v>
      </c>
      <c r="E76" s="208" t="s">
        <v>172</v>
      </c>
      <c r="F76" s="210">
        <v>3143</v>
      </c>
      <c r="G76" s="165" t="s">
        <v>596</v>
      </c>
      <c r="H76" s="609" t="s">
        <v>272</v>
      </c>
      <c r="I76" s="510">
        <v>98355</v>
      </c>
      <c r="J76" s="414">
        <v>70400</v>
      </c>
      <c r="K76" s="414">
        <v>0</v>
      </c>
      <c r="L76" s="414">
        <v>70400</v>
      </c>
      <c r="M76" s="414">
        <v>0</v>
      </c>
      <c r="N76" s="414">
        <v>0</v>
      </c>
      <c r="O76" s="414">
        <v>0</v>
      </c>
      <c r="P76" s="68">
        <v>23795</v>
      </c>
      <c r="Q76" s="68">
        <v>704</v>
      </c>
      <c r="R76" s="414">
        <v>3456</v>
      </c>
      <c r="S76" s="415">
        <v>0.27</v>
      </c>
      <c r="T76" s="416">
        <v>0</v>
      </c>
      <c r="U76" s="422">
        <v>0.27</v>
      </c>
      <c r="V76" s="423">
        <f t="shared" si="2"/>
        <v>0</v>
      </c>
      <c r="W76" s="417">
        <f t="shared" si="3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4"/>
        <v>0</v>
      </c>
      <c r="AF76" s="417">
        <f t="shared" si="5"/>
        <v>0</v>
      </c>
      <c r="AG76" s="417">
        <f t="shared" si="6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7"/>
        <v>0</v>
      </c>
      <c r="AN76" s="417">
        <f t="shared" si="8"/>
        <v>0</v>
      </c>
      <c r="AO76" s="417">
        <f t="shared" si="9"/>
        <v>0</v>
      </c>
      <c r="AP76" s="417">
        <f t="shared" si="10"/>
        <v>0</v>
      </c>
      <c r="AQ76" s="417">
        <f t="shared" si="11"/>
        <v>0</v>
      </c>
      <c r="AR76" s="417">
        <f t="shared" si="12"/>
        <v>0</v>
      </c>
      <c r="AS76" s="68">
        <f t="shared" si="13"/>
        <v>0</v>
      </c>
      <c r="AT76" s="68">
        <f t="shared" si="14"/>
        <v>0</v>
      </c>
      <c r="AU76" s="417">
        <v>0</v>
      </c>
      <c r="AV76" s="417">
        <v>0</v>
      </c>
      <c r="AW76" s="417">
        <v>0</v>
      </c>
      <c r="AX76" s="417">
        <f t="shared" si="15"/>
        <v>0</v>
      </c>
      <c r="AY76" s="417">
        <f t="shared" si="16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7"/>
        <v>0</v>
      </c>
      <c r="BJ76" s="418">
        <f t="shared" si="18"/>
        <v>0</v>
      </c>
      <c r="BK76" s="420">
        <f t="shared" si="19"/>
        <v>0</v>
      </c>
      <c r="BL76" s="772">
        <f>I76+AY76</f>
        <v>98355</v>
      </c>
      <c r="BM76" s="417">
        <f>J76+AG76</f>
        <v>70400</v>
      </c>
      <c r="BN76" s="417">
        <f t="shared" si="98"/>
        <v>0</v>
      </c>
      <c r="BO76" s="417">
        <f t="shared" si="98"/>
        <v>70400</v>
      </c>
      <c r="BP76" s="417">
        <f>M76+AO76</f>
        <v>0</v>
      </c>
      <c r="BQ76" s="417">
        <f t="shared" si="99"/>
        <v>0</v>
      </c>
      <c r="BR76" s="417">
        <f t="shared" si="99"/>
        <v>0</v>
      </c>
      <c r="BS76" s="417">
        <f t="shared" si="100"/>
        <v>23795</v>
      </c>
      <c r="BT76" s="417">
        <f t="shared" si="100"/>
        <v>704</v>
      </c>
      <c r="BU76" s="417">
        <f>R76+AX76</f>
        <v>3456</v>
      </c>
      <c r="BV76" s="418">
        <f>S76+BK76</f>
        <v>0.27</v>
      </c>
      <c r="BW76" s="418">
        <f t="shared" si="101"/>
        <v>0</v>
      </c>
      <c r="BX76" s="420">
        <f t="shared" si="101"/>
        <v>0.27</v>
      </c>
      <c r="BY76" s="419"/>
      <c r="BZ76" s="414"/>
      <c r="CA76" s="414"/>
      <c r="CB76" s="414"/>
      <c r="CC76" s="414"/>
      <c r="CD76" s="509"/>
      <c r="CE76" s="419"/>
      <c r="CF76" s="601"/>
      <c r="CG76" s="414"/>
      <c r="CH76" s="414"/>
      <c r="CI76" s="602"/>
      <c r="CJ76" s="603"/>
    </row>
    <row r="77" spans="1:88" s="221" customFormat="1">
      <c r="A77" s="155">
        <v>14</v>
      </c>
      <c r="B77" s="18">
        <v>4440</v>
      </c>
      <c r="C77" s="18">
        <v>600074897</v>
      </c>
      <c r="D77" s="18">
        <v>48283029</v>
      </c>
      <c r="E77" s="164" t="s">
        <v>173</v>
      </c>
      <c r="F77" s="18"/>
      <c r="G77" s="154"/>
      <c r="H77" s="608"/>
      <c r="I77" s="451">
        <v>39433623</v>
      </c>
      <c r="J77" s="444">
        <v>28645523</v>
      </c>
      <c r="K77" s="444">
        <v>24153866</v>
      </c>
      <c r="L77" s="444">
        <v>4491657</v>
      </c>
      <c r="M77" s="444">
        <v>200000</v>
      </c>
      <c r="N77" s="444">
        <v>180000</v>
      </c>
      <c r="O77" s="444">
        <v>20000</v>
      </c>
      <c r="P77" s="444">
        <v>9749786</v>
      </c>
      <c r="Q77" s="444">
        <v>286457</v>
      </c>
      <c r="R77" s="444">
        <v>551857</v>
      </c>
      <c r="S77" s="445">
        <v>52.074100000000008</v>
      </c>
      <c r="T77" s="445">
        <v>38.409799999999997</v>
      </c>
      <c r="U77" s="449">
        <v>13.664299999999999</v>
      </c>
      <c r="V77" s="447">
        <f t="shared" ref="V77:CG77" si="102">SUM(V72:V76)</f>
        <v>65400</v>
      </c>
      <c r="W77" s="444">
        <f t="shared" si="102"/>
        <v>-32600</v>
      </c>
      <c r="X77" s="444">
        <f t="shared" si="102"/>
        <v>51186</v>
      </c>
      <c r="Y77" s="444">
        <f t="shared" si="102"/>
        <v>0</v>
      </c>
      <c r="Z77" s="444">
        <f t="shared" si="102"/>
        <v>0</v>
      </c>
      <c r="AA77" s="444">
        <f t="shared" si="102"/>
        <v>8324</v>
      </c>
      <c r="AB77" s="444">
        <f t="shared" si="102"/>
        <v>0</v>
      </c>
      <c r="AC77" s="444">
        <f t="shared" si="102"/>
        <v>0</v>
      </c>
      <c r="AD77" s="444">
        <f t="shared" si="102"/>
        <v>0</v>
      </c>
      <c r="AE77" s="444">
        <f t="shared" si="102"/>
        <v>116586</v>
      </c>
      <c r="AF77" s="444">
        <f t="shared" si="102"/>
        <v>-24276</v>
      </c>
      <c r="AG77" s="444">
        <f t="shared" si="102"/>
        <v>92310</v>
      </c>
      <c r="AH77" s="444">
        <f t="shared" si="102"/>
        <v>-65400</v>
      </c>
      <c r="AI77" s="444">
        <f t="shared" si="102"/>
        <v>32600</v>
      </c>
      <c r="AJ77" s="444">
        <f t="shared" si="102"/>
        <v>0</v>
      </c>
      <c r="AK77" s="444">
        <f t="shared" si="102"/>
        <v>0</v>
      </c>
      <c r="AL77" s="444">
        <f t="shared" si="102"/>
        <v>0</v>
      </c>
      <c r="AM77" s="444">
        <f t="shared" si="102"/>
        <v>-65400</v>
      </c>
      <c r="AN77" s="444">
        <f t="shared" si="102"/>
        <v>32600</v>
      </c>
      <c r="AO77" s="444">
        <f t="shared" si="102"/>
        <v>-32800</v>
      </c>
      <c r="AP77" s="444">
        <f t="shared" si="102"/>
        <v>51186</v>
      </c>
      <c r="AQ77" s="444">
        <f t="shared" si="102"/>
        <v>8324</v>
      </c>
      <c r="AR77" s="444">
        <f t="shared" si="102"/>
        <v>59510</v>
      </c>
      <c r="AS77" s="444">
        <f t="shared" si="102"/>
        <v>20115</v>
      </c>
      <c r="AT77" s="444">
        <f t="shared" si="102"/>
        <v>923</v>
      </c>
      <c r="AU77" s="444">
        <f t="shared" si="102"/>
        <v>9250</v>
      </c>
      <c r="AV77" s="444">
        <f t="shared" si="102"/>
        <v>0</v>
      </c>
      <c r="AW77" s="444">
        <f t="shared" si="102"/>
        <v>0</v>
      </c>
      <c r="AX77" s="444">
        <f t="shared" si="102"/>
        <v>9250</v>
      </c>
      <c r="AY77" s="444">
        <f t="shared" si="102"/>
        <v>89798</v>
      </c>
      <c r="AZ77" s="445">
        <f t="shared" si="102"/>
        <v>0.11</v>
      </c>
      <c r="BA77" s="445">
        <f t="shared" si="102"/>
        <v>0</v>
      </c>
      <c r="BB77" s="445">
        <f t="shared" si="102"/>
        <v>0.13</v>
      </c>
      <c r="BC77" s="445">
        <f t="shared" si="102"/>
        <v>0</v>
      </c>
      <c r="BD77" s="445">
        <f t="shared" si="102"/>
        <v>0.03</v>
      </c>
      <c r="BE77" s="445">
        <f t="shared" si="102"/>
        <v>0</v>
      </c>
      <c r="BF77" s="445">
        <f t="shared" si="102"/>
        <v>0</v>
      </c>
      <c r="BG77" s="445">
        <f t="shared" si="102"/>
        <v>0</v>
      </c>
      <c r="BH77" s="445">
        <f t="shared" si="102"/>
        <v>0</v>
      </c>
      <c r="BI77" s="445">
        <f t="shared" si="102"/>
        <v>0.24</v>
      </c>
      <c r="BJ77" s="445">
        <f t="shared" si="102"/>
        <v>0.03</v>
      </c>
      <c r="BK77" s="39">
        <f t="shared" si="102"/>
        <v>0.27</v>
      </c>
      <c r="BL77" s="451">
        <f t="shared" si="102"/>
        <v>39523421</v>
      </c>
      <c r="BM77" s="444">
        <f t="shared" si="102"/>
        <v>28737833</v>
      </c>
      <c r="BN77" s="444">
        <f t="shared" si="102"/>
        <v>24270452</v>
      </c>
      <c r="BO77" s="444">
        <f t="shared" si="102"/>
        <v>4467381</v>
      </c>
      <c r="BP77" s="444">
        <f t="shared" si="102"/>
        <v>167200</v>
      </c>
      <c r="BQ77" s="444">
        <f t="shared" si="102"/>
        <v>114600</v>
      </c>
      <c r="BR77" s="444">
        <f t="shared" si="102"/>
        <v>52600</v>
      </c>
      <c r="BS77" s="444">
        <f t="shared" si="102"/>
        <v>9769901</v>
      </c>
      <c r="BT77" s="444">
        <f t="shared" si="102"/>
        <v>287380</v>
      </c>
      <c r="BU77" s="444">
        <f t="shared" si="102"/>
        <v>561107</v>
      </c>
      <c r="BV77" s="445">
        <f t="shared" si="102"/>
        <v>52.344100000000012</v>
      </c>
      <c r="BW77" s="445">
        <f t="shared" si="102"/>
        <v>38.649799999999999</v>
      </c>
      <c r="BX77" s="39">
        <f t="shared" si="102"/>
        <v>13.694299999999998</v>
      </c>
      <c r="BY77" s="806">
        <f t="shared" si="102"/>
        <v>760272</v>
      </c>
      <c r="BZ77" s="709">
        <f t="shared" si="102"/>
        <v>564000</v>
      </c>
      <c r="CA77" s="709">
        <f t="shared" si="102"/>
        <v>0</v>
      </c>
      <c r="CB77" s="709">
        <f t="shared" si="102"/>
        <v>190632</v>
      </c>
      <c r="CC77" s="709">
        <f t="shared" si="102"/>
        <v>5640</v>
      </c>
      <c r="CD77" s="807">
        <f t="shared" si="102"/>
        <v>1</v>
      </c>
      <c r="CE77" s="919">
        <f t="shared" si="102"/>
        <v>1034315</v>
      </c>
      <c r="CF77" s="920">
        <f t="shared" si="102"/>
        <v>677055</v>
      </c>
      <c r="CG77" s="920">
        <f t="shared" si="102"/>
        <v>228845</v>
      </c>
      <c r="CH77" s="920">
        <f t="shared" ref="CH77:CJ77" si="103">SUM(CH72:CH76)</f>
        <v>6771</v>
      </c>
      <c r="CI77" s="920">
        <f t="shared" si="103"/>
        <v>121644</v>
      </c>
      <c r="CJ77" s="921">
        <f t="shared" si="103"/>
        <v>1.9948999999999999</v>
      </c>
    </row>
    <row r="78" spans="1:88" s="221" customFormat="1">
      <c r="A78" s="209">
        <v>15</v>
      </c>
      <c r="B78" s="210">
        <v>4442</v>
      </c>
      <c r="C78" s="210">
        <v>600074901</v>
      </c>
      <c r="D78" s="210">
        <v>48283061</v>
      </c>
      <c r="E78" s="208" t="s">
        <v>174</v>
      </c>
      <c r="F78" s="210">
        <v>3113</v>
      </c>
      <c r="G78" s="165" t="s">
        <v>293</v>
      </c>
      <c r="H78" s="621" t="s">
        <v>271</v>
      </c>
      <c r="I78" s="510">
        <v>21070952</v>
      </c>
      <c r="J78" s="414">
        <v>15216477</v>
      </c>
      <c r="K78" s="414">
        <v>13648065</v>
      </c>
      <c r="L78" s="414">
        <v>1568412</v>
      </c>
      <c r="M78" s="414">
        <v>162800</v>
      </c>
      <c r="N78" s="414">
        <v>147800</v>
      </c>
      <c r="O78" s="414">
        <v>15000</v>
      </c>
      <c r="P78" s="68">
        <v>5198195</v>
      </c>
      <c r="Q78" s="68">
        <v>152165</v>
      </c>
      <c r="R78" s="414">
        <v>341315</v>
      </c>
      <c r="S78" s="415">
        <v>22.8248</v>
      </c>
      <c r="T78" s="416">
        <v>18.3</v>
      </c>
      <c r="U78" s="422">
        <v>4.5247999999999999</v>
      </c>
      <c r="V78" s="423">
        <f t="shared" ref="V78:V140" si="104">AH78*-1</f>
        <v>-30000</v>
      </c>
      <c r="W78" s="417">
        <f t="shared" ref="W78:W140" si="105">AI78*-1</f>
        <v>-51000</v>
      </c>
      <c r="X78" s="417">
        <v>0</v>
      </c>
      <c r="Y78" s="417">
        <v>0</v>
      </c>
      <c r="Z78" s="417">
        <v>-286613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ref="AE78:AE140" si="106">V78+X78+Y78+Z78+AC78</f>
        <v>-316613</v>
      </c>
      <c r="AF78" s="417">
        <f t="shared" ref="AF78:AF140" si="107">W78+AA78+AD78+AB78</f>
        <v>-51000</v>
      </c>
      <c r="AG78" s="417">
        <f t="shared" ref="AG78:AG140" si="108">SUM(AE78:AF78)</f>
        <v>-367613</v>
      </c>
      <c r="AH78" s="417">
        <v>30000</v>
      </c>
      <c r="AI78" s="417">
        <v>51000</v>
      </c>
      <c r="AJ78" s="417">
        <v>0</v>
      </c>
      <c r="AK78" s="417">
        <v>0</v>
      </c>
      <c r="AL78" s="417">
        <v>0</v>
      </c>
      <c r="AM78" s="417">
        <f t="shared" ref="AM78:AM140" si="109">AH78+AJ78+AK78</f>
        <v>30000</v>
      </c>
      <c r="AN78" s="417">
        <f t="shared" ref="AN78:AN140" si="110">AI78+AL78</f>
        <v>51000</v>
      </c>
      <c r="AO78" s="417">
        <f t="shared" ref="AO78:AO140" si="111">SUM(AM78:AN78)</f>
        <v>81000</v>
      </c>
      <c r="AP78" s="417">
        <f t="shared" ref="AP78:AP140" si="112">AE78+AM78</f>
        <v>-286613</v>
      </c>
      <c r="AQ78" s="417">
        <f t="shared" ref="AQ78:AQ140" si="113">AF78+AN78</f>
        <v>0</v>
      </c>
      <c r="AR78" s="417">
        <f t="shared" ref="AR78:AR140" si="114">SUM(AP78:AQ78)</f>
        <v>-286613</v>
      </c>
      <c r="AS78" s="68">
        <f t="shared" ref="AS78:AS140" si="115">ROUND((AG78+AH78+AI78+AJ78)*33.8%,0)</f>
        <v>-96875</v>
      </c>
      <c r="AT78" s="68">
        <f t="shared" ref="AT78:AT140" si="116">ROUND(AG78*1%,0)</f>
        <v>-3676</v>
      </c>
      <c r="AU78" s="417">
        <v>0</v>
      </c>
      <c r="AV78" s="417">
        <v>0</v>
      </c>
      <c r="AW78" s="417">
        <v>0</v>
      </c>
      <c r="AX78" s="417">
        <f t="shared" ref="AX78:AX140" si="117">SUM(AU78:AW78)</f>
        <v>0</v>
      </c>
      <c r="AY78" s="417">
        <f t="shared" ref="AY78:AY140" si="118">AR78+AS78+AT78+AX78</f>
        <v>-387164</v>
      </c>
      <c r="AZ78" s="418">
        <v>-0.05</v>
      </c>
      <c r="BA78" s="418">
        <v>-0.18</v>
      </c>
      <c r="BB78" s="418">
        <v>0</v>
      </c>
      <c r="BC78" s="418">
        <v>-0.53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ref="BI78:BI140" si="119">AZ78+BB78+BC78+BE78+BG78</f>
        <v>-0.58000000000000007</v>
      </c>
      <c r="BJ78" s="418">
        <f t="shared" ref="BJ78:BJ140" si="120">BA78+BD78+BH78+BF78</f>
        <v>-0.18</v>
      </c>
      <c r="BK78" s="420">
        <f t="shared" ref="BK78:BK140" si="121">SUM(BI78:BJ78)</f>
        <v>-0.76</v>
      </c>
      <c r="BL78" s="772">
        <f t="shared" ref="BL78:BL83" si="122">I78+AY78</f>
        <v>20683788</v>
      </c>
      <c r="BM78" s="417">
        <f t="shared" ref="BM78:BM83" si="123">J78+AG78</f>
        <v>14848864</v>
      </c>
      <c r="BN78" s="417">
        <f t="shared" ref="BN78:BO83" si="124">K78+AE78</f>
        <v>13331452</v>
      </c>
      <c r="BO78" s="417">
        <f t="shared" si="124"/>
        <v>1517412</v>
      </c>
      <c r="BP78" s="417">
        <f t="shared" ref="BP78:BP83" si="125">M78+AO78</f>
        <v>243800</v>
      </c>
      <c r="BQ78" s="417">
        <f t="shared" ref="BQ78:BR83" si="126">N78+AM78</f>
        <v>177800</v>
      </c>
      <c r="BR78" s="417">
        <f t="shared" si="126"/>
        <v>66000</v>
      </c>
      <c r="BS78" s="417">
        <f t="shared" ref="BS78:BT83" si="127">P78+AS78</f>
        <v>5101320</v>
      </c>
      <c r="BT78" s="417">
        <f t="shared" si="127"/>
        <v>148489</v>
      </c>
      <c r="BU78" s="417">
        <f t="shared" ref="BU78:BU83" si="128">R78+AX78</f>
        <v>341315</v>
      </c>
      <c r="BV78" s="418">
        <f t="shared" ref="BV78:BV83" si="129">S78+BK78</f>
        <v>22.064799999999998</v>
      </c>
      <c r="BW78" s="418">
        <f t="shared" ref="BW78:BX83" si="130">T78+BI78</f>
        <v>17.72</v>
      </c>
      <c r="BX78" s="420">
        <f t="shared" si="130"/>
        <v>4.3448000000000002</v>
      </c>
      <c r="BY78" s="419">
        <v>150926</v>
      </c>
      <c r="BZ78" s="414">
        <v>0</v>
      </c>
      <c r="CA78" s="414">
        <v>112800</v>
      </c>
      <c r="CB78" s="414">
        <v>38126</v>
      </c>
      <c r="CC78" s="414">
        <v>0</v>
      </c>
      <c r="CD78" s="509">
        <v>0</v>
      </c>
      <c r="CE78" s="419">
        <v>764553</v>
      </c>
      <c r="CF78" s="414">
        <v>508228</v>
      </c>
      <c r="CG78" s="414">
        <v>171781</v>
      </c>
      <c r="CH78" s="414">
        <v>5082</v>
      </c>
      <c r="CI78" s="414">
        <v>79462</v>
      </c>
      <c r="CJ78" s="509">
        <v>1.4685000000000001</v>
      </c>
    </row>
    <row r="79" spans="1:88" s="221" customFormat="1">
      <c r="A79" s="209">
        <v>15</v>
      </c>
      <c r="B79" s="210">
        <v>4442</v>
      </c>
      <c r="C79" s="210">
        <v>600074901</v>
      </c>
      <c r="D79" s="210">
        <v>48283061</v>
      </c>
      <c r="E79" s="208" t="s">
        <v>174</v>
      </c>
      <c r="F79" s="210">
        <v>3113</v>
      </c>
      <c r="G79" s="165" t="s">
        <v>291</v>
      </c>
      <c r="H79" s="621" t="s">
        <v>272</v>
      </c>
      <c r="I79" s="510">
        <v>1873222</v>
      </c>
      <c r="J79" s="414">
        <v>1385365</v>
      </c>
      <c r="K79" s="414">
        <v>1385365</v>
      </c>
      <c r="L79" s="414">
        <v>0</v>
      </c>
      <c r="M79" s="414">
        <v>0</v>
      </c>
      <c r="N79" s="414">
        <v>0</v>
      </c>
      <c r="O79" s="414">
        <v>0</v>
      </c>
      <c r="P79" s="68">
        <v>468253</v>
      </c>
      <c r="Q79" s="68">
        <v>13854</v>
      </c>
      <c r="R79" s="414">
        <v>5750</v>
      </c>
      <c r="S79" s="415">
        <v>3.7399999999999998</v>
      </c>
      <c r="T79" s="416">
        <v>3.7399999999999998</v>
      </c>
      <c r="U79" s="422">
        <v>0</v>
      </c>
      <c r="V79" s="423">
        <f t="shared" si="104"/>
        <v>0</v>
      </c>
      <c r="W79" s="417">
        <f t="shared" si="105"/>
        <v>0</v>
      </c>
      <c r="X79" s="417">
        <v>-78968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06"/>
        <v>-78968</v>
      </c>
      <c r="AF79" s="417">
        <f t="shared" si="107"/>
        <v>0</v>
      </c>
      <c r="AG79" s="417">
        <f t="shared" si="108"/>
        <v>-78968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09"/>
        <v>0</v>
      </c>
      <c r="AN79" s="417">
        <f t="shared" si="110"/>
        <v>0</v>
      </c>
      <c r="AO79" s="417">
        <f t="shared" si="111"/>
        <v>0</v>
      </c>
      <c r="AP79" s="417">
        <f t="shared" si="112"/>
        <v>-78968</v>
      </c>
      <c r="AQ79" s="417">
        <f t="shared" si="113"/>
        <v>0</v>
      </c>
      <c r="AR79" s="417">
        <f t="shared" si="114"/>
        <v>-78968</v>
      </c>
      <c r="AS79" s="68">
        <f t="shared" si="115"/>
        <v>-26691</v>
      </c>
      <c r="AT79" s="68">
        <f t="shared" si="116"/>
        <v>-790</v>
      </c>
      <c r="AU79" s="417">
        <v>0</v>
      </c>
      <c r="AV79" s="417">
        <v>0</v>
      </c>
      <c r="AW79" s="417">
        <v>0</v>
      </c>
      <c r="AX79" s="417">
        <f t="shared" si="117"/>
        <v>0</v>
      </c>
      <c r="AY79" s="417">
        <f t="shared" si="118"/>
        <v>-106449</v>
      </c>
      <c r="AZ79" s="418">
        <v>0</v>
      </c>
      <c r="BA79" s="418">
        <v>0</v>
      </c>
      <c r="BB79" s="418">
        <v>-0.21</v>
      </c>
      <c r="BC79" s="418">
        <v>0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19"/>
        <v>-0.21</v>
      </c>
      <c r="BJ79" s="418">
        <f t="shared" si="120"/>
        <v>0</v>
      </c>
      <c r="BK79" s="420">
        <f t="shared" si="121"/>
        <v>-0.21</v>
      </c>
      <c r="BL79" s="772">
        <f t="shared" si="122"/>
        <v>1766773</v>
      </c>
      <c r="BM79" s="417">
        <f t="shared" si="123"/>
        <v>1306397</v>
      </c>
      <c r="BN79" s="417">
        <f t="shared" si="124"/>
        <v>1306397</v>
      </c>
      <c r="BO79" s="417">
        <f t="shared" si="124"/>
        <v>0</v>
      </c>
      <c r="BP79" s="417">
        <f t="shared" si="125"/>
        <v>0</v>
      </c>
      <c r="BQ79" s="417">
        <f t="shared" si="126"/>
        <v>0</v>
      </c>
      <c r="BR79" s="417">
        <f t="shared" si="126"/>
        <v>0</v>
      </c>
      <c r="BS79" s="417">
        <f t="shared" si="127"/>
        <v>441562</v>
      </c>
      <c r="BT79" s="417">
        <f t="shared" si="127"/>
        <v>13064</v>
      </c>
      <c r="BU79" s="417">
        <f t="shared" si="128"/>
        <v>5750</v>
      </c>
      <c r="BV79" s="418">
        <f t="shared" si="129"/>
        <v>3.53</v>
      </c>
      <c r="BW79" s="418">
        <f t="shared" si="130"/>
        <v>3.53</v>
      </c>
      <c r="BX79" s="420">
        <f t="shared" si="130"/>
        <v>0</v>
      </c>
      <c r="BY79" s="419"/>
      <c r="BZ79" s="414"/>
      <c r="CA79" s="414"/>
      <c r="CB79" s="414"/>
      <c r="CC79" s="414"/>
      <c r="CD79" s="509"/>
      <c r="CE79" s="419"/>
      <c r="CF79" s="414"/>
      <c r="CG79" s="414"/>
      <c r="CH79" s="414"/>
      <c r="CI79" s="414"/>
      <c r="CJ79" s="509"/>
    </row>
    <row r="80" spans="1:88" s="221" customFormat="1">
      <c r="A80" s="209">
        <v>15</v>
      </c>
      <c r="B80" s="210">
        <v>4442</v>
      </c>
      <c r="C80" s="210">
        <v>600074901</v>
      </c>
      <c r="D80" s="210">
        <v>48283061</v>
      </c>
      <c r="E80" s="208" t="s">
        <v>174</v>
      </c>
      <c r="F80" s="210">
        <v>3141</v>
      </c>
      <c r="G80" s="165" t="s">
        <v>294</v>
      </c>
      <c r="H80" s="621" t="s">
        <v>272</v>
      </c>
      <c r="I80" s="510">
        <v>1622019</v>
      </c>
      <c r="J80" s="414">
        <v>1194984</v>
      </c>
      <c r="K80" s="414">
        <v>0</v>
      </c>
      <c r="L80" s="414">
        <v>1194984</v>
      </c>
      <c r="M80" s="414">
        <v>0</v>
      </c>
      <c r="N80" s="414">
        <v>0</v>
      </c>
      <c r="O80" s="414">
        <v>0</v>
      </c>
      <c r="P80" s="68">
        <v>403905</v>
      </c>
      <c r="Q80" s="68">
        <v>11950</v>
      </c>
      <c r="R80" s="414">
        <v>11180</v>
      </c>
      <c r="S80" s="415">
        <v>3.58</v>
      </c>
      <c r="T80" s="416">
        <v>0</v>
      </c>
      <c r="U80" s="422">
        <v>3.58</v>
      </c>
      <c r="V80" s="423">
        <f t="shared" si="104"/>
        <v>0</v>
      </c>
      <c r="W80" s="417">
        <f t="shared" si="105"/>
        <v>0</v>
      </c>
      <c r="X80" s="417">
        <v>0</v>
      </c>
      <c r="Y80" s="417">
        <v>0</v>
      </c>
      <c r="Z80" s="417">
        <v>0</v>
      </c>
      <c r="AA80" s="417">
        <v>-25073</v>
      </c>
      <c r="AB80" s="417">
        <v>0</v>
      </c>
      <c r="AC80" s="417">
        <v>0</v>
      </c>
      <c r="AD80" s="417">
        <v>0</v>
      </c>
      <c r="AE80" s="417">
        <f t="shared" si="106"/>
        <v>0</v>
      </c>
      <c r="AF80" s="417">
        <f t="shared" si="107"/>
        <v>-25073</v>
      </c>
      <c r="AG80" s="417">
        <f t="shared" si="108"/>
        <v>-25073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09"/>
        <v>0</v>
      </c>
      <c r="AN80" s="417">
        <f t="shared" si="110"/>
        <v>0</v>
      </c>
      <c r="AO80" s="417">
        <f t="shared" si="111"/>
        <v>0</v>
      </c>
      <c r="AP80" s="417">
        <f t="shared" si="112"/>
        <v>0</v>
      </c>
      <c r="AQ80" s="417">
        <f t="shared" si="113"/>
        <v>-25073</v>
      </c>
      <c r="AR80" s="417">
        <f t="shared" si="114"/>
        <v>-25073</v>
      </c>
      <c r="AS80" s="68">
        <f t="shared" si="115"/>
        <v>-8475</v>
      </c>
      <c r="AT80" s="68">
        <f t="shared" si="116"/>
        <v>-251</v>
      </c>
      <c r="AU80" s="417">
        <v>0</v>
      </c>
      <c r="AV80" s="417">
        <v>0</v>
      </c>
      <c r="AW80" s="417">
        <v>0</v>
      </c>
      <c r="AX80" s="417">
        <f t="shared" si="117"/>
        <v>0</v>
      </c>
      <c r="AY80" s="417">
        <f t="shared" si="118"/>
        <v>-33799</v>
      </c>
      <c r="AZ80" s="418">
        <v>0</v>
      </c>
      <c r="BA80" s="418">
        <v>0</v>
      </c>
      <c r="BB80" s="418">
        <v>0</v>
      </c>
      <c r="BC80" s="418">
        <v>0</v>
      </c>
      <c r="BD80" s="418">
        <v>-7.0000000000000007E-2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19"/>
        <v>0</v>
      </c>
      <c r="BJ80" s="418">
        <f t="shared" si="120"/>
        <v>-7.0000000000000007E-2</v>
      </c>
      <c r="BK80" s="420">
        <f t="shared" si="121"/>
        <v>-7.0000000000000007E-2</v>
      </c>
      <c r="BL80" s="772">
        <f t="shared" si="122"/>
        <v>1588220</v>
      </c>
      <c r="BM80" s="417">
        <f t="shared" si="123"/>
        <v>1169911</v>
      </c>
      <c r="BN80" s="417">
        <f t="shared" si="124"/>
        <v>0</v>
      </c>
      <c r="BO80" s="417">
        <f t="shared" si="124"/>
        <v>1169911</v>
      </c>
      <c r="BP80" s="417">
        <f t="shared" si="125"/>
        <v>0</v>
      </c>
      <c r="BQ80" s="417">
        <f t="shared" si="126"/>
        <v>0</v>
      </c>
      <c r="BR80" s="417">
        <f t="shared" si="126"/>
        <v>0</v>
      </c>
      <c r="BS80" s="417">
        <f t="shared" si="127"/>
        <v>395430</v>
      </c>
      <c r="BT80" s="417">
        <f t="shared" si="127"/>
        <v>11699</v>
      </c>
      <c r="BU80" s="417">
        <f t="shared" si="128"/>
        <v>11180</v>
      </c>
      <c r="BV80" s="418">
        <f t="shared" si="129"/>
        <v>3.5100000000000002</v>
      </c>
      <c r="BW80" s="418">
        <f t="shared" si="130"/>
        <v>0</v>
      </c>
      <c r="BX80" s="420">
        <f t="shared" si="130"/>
        <v>3.5100000000000002</v>
      </c>
      <c r="BY80" s="419"/>
      <c r="BZ80" s="414"/>
      <c r="CA80" s="414"/>
      <c r="CB80" s="414"/>
      <c r="CC80" s="414"/>
      <c r="CD80" s="509"/>
      <c r="CE80" s="419"/>
      <c r="CF80" s="601"/>
      <c r="CG80" s="414"/>
      <c r="CH80" s="414"/>
      <c r="CI80" s="601"/>
      <c r="CJ80" s="603"/>
    </row>
    <row r="81" spans="1:88" s="221" customFormat="1">
      <c r="A81" s="209">
        <v>15</v>
      </c>
      <c r="B81" s="210">
        <v>4442</v>
      </c>
      <c r="C81" s="210">
        <v>600074901</v>
      </c>
      <c r="D81" s="210">
        <v>48283061</v>
      </c>
      <c r="E81" s="204" t="s">
        <v>174</v>
      </c>
      <c r="F81" s="210">
        <v>3143</v>
      </c>
      <c r="G81" s="165" t="s">
        <v>595</v>
      </c>
      <c r="H81" s="609" t="s">
        <v>271</v>
      </c>
      <c r="I81" s="510">
        <v>1960736</v>
      </c>
      <c r="J81" s="414">
        <v>1444626</v>
      </c>
      <c r="K81" s="414">
        <v>1444626</v>
      </c>
      <c r="L81" s="414">
        <v>0</v>
      </c>
      <c r="M81" s="414">
        <v>10000</v>
      </c>
      <c r="N81" s="414">
        <v>10000</v>
      </c>
      <c r="O81" s="414">
        <v>0</v>
      </c>
      <c r="P81" s="68">
        <v>491664</v>
      </c>
      <c r="Q81" s="68">
        <v>14446</v>
      </c>
      <c r="R81" s="414">
        <v>0</v>
      </c>
      <c r="S81" s="415">
        <v>2.6253000000000002</v>
      </c>
      <c r="T81" s="416">
        <v>2.6253000000000002</v>
      </c>
      <c r="U81" s="422">
        <v>0</v>
      </c>
      <c r="V81" s="423">
        <f t="shared" si="104"/>
        <v>10000</v>
      </c>
      <c r="W81" s="417">
        <f t="shared" si="105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06"/>
        <v>10000</v>
      </c>
      <c r="AF81" s="417">
        <f t="shared" si="107"/>
        <v>0</v>
      </c>
      <c r="AG81" s="417">
        <f t="shared" si="108"/>
        <v>10000</v>
      </c>
      <c r="AH81" s="417">
        <v>-10000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09"/>
        <v>-10000</v>
      </c>
      <c r="AN81" s="417">
        <f t="shared" si="110"/>
        <v>0</v>
      </c>
      <c r="AO81" s="417">
        <f t="shared" si="111"/>
        <v>-10000</v>
      </c>
      <c r="AP81" s="417">
        <f t="shared" si="112"/>
        <v>0</v>
      </c>
      <c r="AQ81" s="417">
        <f t="shared" si="113"/>
        <v>0</v>
      </c>
      <c r="AR81" s="417">
        <f t="shared" si="114"/>
        <v>0</v>
      </c>
      <c r="AS81" s="68">
        <f t="shared" si="115"/>
        <v>0</v>
      </c>
      <c r="AT81" s="68">
        <f t="shared" si="116"/>
        <v>100</v>
      </c>
      <c r="AU81" s="417">
        <v>0</v>
      </c>
      <c r="AV81" s="417">
        <v>0</v>
      </c>
      <c r="AW81" s="417">
        <v>0</v>
      </c>
      <c r="AX81" s="417">
        <f t="shared" si="117"/>
        <v>0</v>
      </c>
      <c r="AY81" s="417">
        <f t="shared" si="118"/>
        <v>100</v>
      </c>
      <c r="AZ81" s="418">
        <v>0.02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19"/>
        <v>0.02</v>
      </c>
      <c r="BJ81" s="418">
        <f t="shared" si="120"/>
        <v>0</v>
      </c>
      <c r="BK81" s="420">
        <f t="shared" si="121"/>
        <v>0.02</v>
      </c>
      <c r="BL81" s="772">
        <f t="shared" si="122"/>
        <v>1960836</v>
      </c>
      <c r="BM81" s="417">
        <f t="shared" si="123"/>
        <v>1454626</v>
      </c>
      <c r="BN81" s="417">
        <f t="shared" si="124"/>
        <v>1454626</v>
      </c>
      <c r="BO81" s="417">
        <f t="shared" si="124"/>
        <v>0</v>
      </c>
      <c r="BP81" s="417">
        <f t="shared" si="125"/>
        <v>0</v>
      </c>
      <c r="BQ81" s="417">
        <f t="shared" si="126"/>
        <v>0</v>
      </c>
      <c r="BR81" s="417">
        <f t="shared" si="126"/>
        <v>0</v>
      </c>
      <c r="BS81" s="417">
        <f t="shared" si="127"/>
        <v>491664</v>
      </c>
      <c r="BT81" s="417">
        <f t="shared" si="127"/>
        <v>14546</v>
      </c>
      <c r="BU81" s="417">
        <f t="shared" si="128"/>
        <v>0</v>
      </c>
      <c r="BV81" s="418">
        <f t="shared" si="129"/>
        <v>2.6453000000000002</v>
      </c>
      <c r="BW81" s="418">
        <f t="shared" si="130"/>
        <v>2.6453000000000002</v>
      </c>
      <c r="BX81" s="420">
        <f t="shared" si="130"/>
        <v>0</v>
      </c>
      <c r="BY81" s="419"/>
      <c r="BZ81" s="414"/>
      <c r="CA81" s="414"/>
      <c r="CB81" s="414"/>
      <c r="CC81" s="414"/>
      <c r="CD81" s="509"/>
      <c r="CE81" s="419"/>
      <c r="CF81" s="414"/>
      <c r="CG81" s="414"/>
      <c r="CH81" s="414"/>
      <c r="CI81" s="414"/>
      <c r="CJ81" s="509"/>
    </row>
    <row r="82" spans="1:88" s="221" customFormat="1">
      <c r="A82" s="209">
        <v>15</v>
      </c>
      <c r="B82" s="210">
        <v>4442</v>
      </c>
      <c r="C82" s="210">
        <v>600074901</v>
      </c>
      <c r="D82" s="210">
        <v>48283061</v>
      </c>
      <c r="E82" s="204" t="s">
        <v>174</v>
      </c>
      <c r="F82" s="210">
        <v>3143</v>
      </c>
      <c r="G82" s="165" t="s">
        <v>596</v>
      </c>
      <c r="H82" s="609" t="s">
        <v>272</v>
      </c>
      <c r="I82" s="510">
        <v>69156</v>
      </c>
      <c r="J82" s="414">
        <v>49500</v>
      </c>
      <c r="K82" s="414">
        <v>0</v>
      </c>
      <c r="L82" s="414">
        <v>49500</v>
      </c>
      <c r="M82" s="414">
        <v>0</v>
      </c>
      <c r="N82" s="414">
        <v>0</v>
      </c>
      <c r="O82" s="414">
        <v>0</v>
      </c>
      <c r="P82" s="68">
        <v>16731</v>
      </c>
      <c r="Q82" s="68">
        <v>495</v>
      </c>
      <c r="R82" s="414">
        <v>2430</v>
      </c>
      <c r="S82" s="415">
        <v>0.19</v>
      </c>
      <c r="T82" s="416">
        <v>0</v>
      </c>
      <c r="U82" s="422">
        <v>0.19</v>
      </c>
      <c r="V82" s="423">
        <f t="shared" si="104"/>
        <v>0</v>
      </c>
      <c r="W82" s="417">
        <f t="shared" si="105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06"/>
        <v>0</v>
      </c>
      <c r="AF82" s="417">
        <f t="shared" si="107"/>
        <v>0</v>
      </c>
      <c r="AG82" s="417">
        <f t="shared" si="108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09"/>
        <v>0</v>
      </c>
      <c r="AN82" s="417">
        <f t="shared" si="110"/>
        <v>0</v>
      </c>
      <c r="AO82" s="417">
        <f t="shared" si="111"/>
        <v>0</v>
      </c>
      <c r="AP82" s="417">
        <f t="shared" si="112"/>
        <v>0</v>
      </c>
      <c r="AQ82" s="417">
        <f t="shared" si="113"/>
        <v>0</v>
      </c>
      <c r="AR82" s="417">
        <f t="shared" si="114"/>
        <v>0</v>
      </c>
      <c r="AS82" s="68">
        <f t="shared" si="115"/>
        <v>0</v>
      </c>
      <c r="AT82" s="68">
        <f t="shared" si="116"/>
        <v>0</v>
      </c>
      <c r="AU82" s="417">
        <v>0</v>
      </c>
      <c r="AV82" s="417">
        <v>0</v>
      </c>
      <c r="AW82" s="417">
        <v>0</v>
      </c>
      <c r="AX82" s="417">
        <f t="shared" si="117"/>
        <v>0</v>
      </c>
      <c r="AY82" s="417">
        <f t="shared" si="118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19"/>
        <v>0</v>
      </c>
      <c r="BJ82" s="418">
        <f t="shared" si="120"/>
        <v>0</v>
      </c>
      <c r="BK82" s="420">
        <f t="shared" si="121"/>
        <v>0</v>
      </c>
      <c r="BL82" s="772">
        <f t="shared" si="122"/>
        <v>69156</v>
      </c>
      <c r="BM82" s="417">
        <f t="shared" si="123"/>
        <v>49500</v>
      </c>
      <c r="BN82" s="417">
        <f t="shared" si="124"/>
        <v>0</v>
      </c>
      <c r="BO82" s="417">
        <f t="shared" si="124"/>
        <v>49500</v>
      </c>
      <c r="BP82" s="417">
        <f t="shared" si="125"/>
        <v>0</v>
      </c>
      <c r="BQ82" s="417">
        <f t="shared" si="126"/>
        <v>0</v>
      </c>
      <c r="BR82" s="417">
        <f t="shared" si="126"/>
        <v>0</v>
      </c>
      <c r="BS82" s="417">
        <f t="shared" si="127"/>
        <v>16731</v>
      </c>
      <c r="BT82" s="417">
        <f t="shared" si="127"/>
        <v>495</v>
      </c>
      <c r="BU82" s="417">
        <f t="shared" si="128"/>
        <v>2430</v>
      </c>
      <c r="BV82" s="418">
        <f t="shared" si="129"/>
        <v>0.19</v>
      </c>
      <c r="BW82" s="418">
        <f t="shared" si="130"/>
        <v>0</v>
      </c>
      <c r="BX82" s="420">
        <f t="shared" si="130"/>
        <v>0.19</v>
      </c>
      <c r="BY82" s="419"/>
      <c r="BZ82" s="414"/>
      <c r="CA82" s="414"/>
      <c r="CB82" s="414"/>
      <c r="CC82" s="414"/>
      <c r="CD82" s="509"/>
      <c r="CE82" s="419"/>
      <c r="CF82" s="601"/>
      <c r="CG82" s="414"/>
      <c r="CH82" s="414"/>
      <c r="CI82" s="602"/>
      <c r="CJ82" s="603"/>
    </row>
    <row r="83" spans="1:88" s="221" customFormat="1">
      <c r="A83" s="209">
        <v>15</v>
      </c>
      <c r="B83" s="210">
        <v>4442</v>
      </c>
      <c r="C83" s="210">
        <v>600074901</v>
      </c>
      <c r="D83" s="210">
        <v>48283061</v>
      </c>
      <c r="E83" s="204" t="s">
        <v>174</v>
      </c>
      <c r="F83" s="210">
        <v>3143</v>
      </c>
      <c r="G83" s="165" t="s">
        <v>296</v>
      </c>
      <c r="H83" s="609" t="s">
        <v>272</v>
      </c>
      <c r="I83" s="510">
        <v>322879</v>
      </c>
      <c r="J83" s="414">
        <v>239204</v>
      </c>
      <c r="K83" s="414">
        <v>226004</v>
      </c>
      <c r="L83" s="414">
        <v>13200</v>
      </c>
      <c r="M83" s="414">
        <v>0</v>
      </c>
      <c r="N83" s="414">
        <v>0</v>
      </c>
      <c r="O83" s="414">
        <v>0</v>
      </c>
      <c r="P83" s="68">
        <v>80851</v>
      </c>
      <c r="Q83" s="68">
        <v>2392</v>
      </c>
      <c r="R83" s="414">
        <v>432</v>
      </c>
      <c r="S83" s="415">
        <v>0.5</v>
      </c>
      <c r="T83" s="416">
        <v>0.45</v>
      </c>
      <c r="U83" s="422">
        <v>0.05</v>
      </c>
      <c r="V83" s="423">
        <f t="shared" si="104"/>
        <v>0</v>
      </c>
      <c r="W83" s="417">
        <f t="shared" si="105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06"/>
        <v>0</v>
      </c>
      <c r="AF83" s="417">
        <f t="shared" si="107"/>
        <v>0</v>
      </c>
      <c r="AG83" s="417">
        <f t="shared" si="108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09"/>
        <v>0</v>
      </c>
      <c r="AN83" s="417">
        <f t="shared" si="110"/>
        <v>0</v>
      </c>
      <c r="AO83" s="417">
        <f t="shared" si="111"/>
        <v>0</v>
      </c>
      <c r="AP83" s="417">
        <f t="shared" si="112"/>
        <v>0</v>
      </c>
      <c r="AQ83" s="417">
        <f t="shared" si="113"/>
        <v>0</v>
      </c>
      <c r="AR83" s="417">
        <f t="shared" si="114"/>
        <v>0</v>
      </c>
      <c r="AS83" s="68">
        <f t="shared" si="115"/>
        <v>0</v>
      </c>
      <c r="AT83" s="68">
        <f t="shared" si="116"/>
        <v>0</v>
      </c>
      <c r="AU83" s="417">
        <v>0</v>
      </c>
      <c r="AV83" s="417">
        <v>0</v>
      </c>
      <c r="AW83" s="417">
        <v>0</v>
      </c>
      <c r="AX83" s="417">
        <f t="shared" si="117"/>
        <v>0</v>
      </c>
      <c r="AY83" s="417">
        <f t="shared" si="118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19"/>
        <v>0</v>
      </c>
      <c r="BJ83" s="418">
        <f t="shared" si="120"/>
        <v>0</v>
      </c>
      <c r="BK83" s="420">
        <f t="shared" si="121"/>
        <v>0</v>
      </c>
      <c r="BL83" s="772">
        <f t="shared" si="122"/>
        <v>322879</v>
      </c>
      <c r="BM83" s="417">
        <f t="shared" si="123"/>
        <v>239204</v>
      </c>
      <c r="BN83" s="417">
        <f t="shared" si="124"/>
        <v>226004</v>
      </c>
      <c r="BO83" s="417">
        <f t="shared" si="124"/>
        <v>13200</v>
      </c>
      <c r="BP83" s="417">
        <f t="shared" si="125"/>
        <v>0</v>
      </c>
      <c r="BQ83" s="417">
        <f t="shared" si="126"/>
        <v>0</v>
      </c>
      <c r="BR83" s="417">
        <f t="shared" si="126"/>
        <v>0</v>
      </c>
      <c r="BS83" s="417">
        <f t="shared" si="127"/>
        <v>80851</v>
      </c>
      <c r="BT83" s="417">
        <f t="shared" si="127"/>
        <v>2392</v>
      </c>
      <c r="BU83" s="417">
        <f t="shared" si="128"/>
        <v>432</v>
      </c>
      <c r="BV83" s="418">
        <f t="shared" si="129"/>
        <v>0.5</v>
      </c>
      <c r="BW83" s="418">
        <f t="shared" si="130"/>
        <v>0.45</v>
      </c>
      <c r="BX83" s="420">
        <f t="shared" si="130"/>
        <v>0.05</v>
      </c>
      <c r="BY83" s="419"/>
      <c r="BZ83" s="414"/>
      <c r="CA83" s="414"/>
      <c r="CB83" s="414"/>
      <c r="CC83" s="414"/>
      <c r="CD83" s="509"/>
      <c r="CE83" s="419"/>
      <c r="CF83" s="601"/>
      <c r="CG83" s="414"/>
      <c r="CH83" s="414"/>
      <c r="CI83" s="602"/>
      <c r="CJ83" s="603"/>
    </row>
    <row r="84" spans="1:88" s="221" customFormat="1">
      <c r="A84" s="155">
        <v>15</v>
      </c>
      <c r="B84" s="18">
        <v>4442</v>
      </c>
      <c r="C84" s="18">
        <v>600074901</v>
      </c>
      <c r="D84" s="18">
        <v>48283061</v>
      </c>
      <c r="E84" s="164" t="s">
        <v>175</v>
      </c>
      <c r="F84" s="18"/>
      <c r="G84" s="154"/>
      <c r="H84" s="608"/>
      <c r="I84" s="451">
        <v>26918964</v>
      </c>
      <c r="J84" s="444">
        <v>19530156</v>
      </c>
      <c r="K84" s="444">
        <v>16704060</v>
      </c>
      <c r="L84" s="444">
        <v>2826096</v>
      </c>
      <c r="M84" s="444">
        <v>172800</v>
      </c>
      <c r="N84" s="444">
        <v>157800</v>
      </c>
      <c r="O84" s="444">
        <v>15000</v>
      </c>
      <c r="P84" s="444">
        <v>6659599</v>
      </c>
      <c r="Q84" s="444">
        <v>195302</v>
      </c>
      <c r="R84" s="444">
        <v>361107</v>
      </c>
      <c r="S84" s="445">
        <v>33.460099999999997</v>
      </c>
      <c r="T84" s="445">
        <v>25.115299999999998</v>
      </c>
      <c r="U84" s="449">
        <v>8.3448000000000011</v>
      </c>
      <c r="V84" s="447">
        <f t="shared" ref="V84:CG84" si="131">SUM(V78:V83)</f>
        <v>-20000</v>
      </c>
      <c r="W84" s="444">
        <f t="shared" si="131"/>
        <v>-51000</v>
      </c>
      <c r="X84" s="444">
        <f t="shared" si="131"/>
        <v>-78968</v>
      </c>
      <c r="Y84" s="444">
        <f t="shared" si="131"/>
        <v>0</v>
      </c>
      <c r="Z84" s="444">
        <f t="shared" si="131"/>
        <v>-286613</v>
      </c>
      <c r="AA84" s="444">
        <f t="shared" si="131"/>
        <v>-25073</v>
      </c>
      <c r="AB84" s="444">
        <f t="shared" si="131"/>
        <v>0</v>
      </c>
      <c r="AC84" s="444">
        <f t="shared" si="131"/>
        <v>0</v>
      </c>
      <c r="AD84" s="444">
        <f t="shared" si="131"/>
        <v>0</v>
      </c>
      <c r="AE84" s="444">
        <f t="shared" si="131"/>
        <v>-385581</v>
      </c>
      <c r="AF84" s="444">
        <f t="shared" si="131"/>
        <v>-76073</v>
      </c>
      <c r="AG84" s="444">
        <f t="shared" si="131"/>
        <v>-461654</v>
      </c>
      <c r="AH84" s="444">
        <f t="shared" si="131"/>
        <v>20000</v>
      </c>
      <c r="AI84" s="444">
        <f t="shared" si="131"/>
        <v>51000</v>
      </c>
      <c r="AJ84" s="444">
        <f t="shared" si="131"/>
        <v>0</v>
      </c>
      <c r="AK84" s="444">
        <f t="shared" si="131"/>
        <v>0</v>
      </c>
      <c r="AL84" s="444">
        <f t="shared" si="131"/>
        <v>0</v>
      </c>
      <c r="AM84" s="444">
        <f t="shared" si="131"/>
        <v>20000</v>
      </c>
      <c r="AN84" s="444">
        <f t="shared" si="131"/>
        <v>51000</v>
      </c>
      <c r="AO84" s="444">
        <f t="shared" si="131"/>
        <v>71000</v>
      </c>
      <c r="AP84" s="444">
        <f t="shared" si="131"/>
        <v>-365581</v>
      </c>
      <c r="AQ84" s="444">
        <f t="shared" si="131"/>
        <v>-25073</v>
      </c>
      <c r="AR84" s="444">
        <f t="shared" si="131"/>
        <v>-390654</v>
      </c>
      <c r="AS84" s="444">
        <f t="shared" si="131"/>
        <v>-132041</v>
      </c>
      <c r="AT84" s="444">
        <f t="shared" si="131"/>
        <v>-4617</v>
      </c>
      <c r="AU84" s="444">
        <f t="shared" si="131"/>
        <v>0</v>
      </c>
      <c r="AV84" s="444">
        <f t="shared" si="131"/>
        <v>0</v>
      </c>
      <c r="AW84" s="444">
        <f t="shared" si="131"/>
        <v>0</v>
      </c>
      <c r="AX84" s="444">
        <f t="shared" si="131"/>
        <v>0</v>
      </c>
      <c r="AY84" s="444">
        <f t="shared" si="131"/>
        <v>-527312</v>
      </c>
      <c r="AZ84" s="445">
        <f t="shared" si="131"/>
        <v>-3.0000000000000002E-2</v>
      </c>
      <c r="BA84" s="445">
        <f t="shared" si="131"/>
        <v>-0.18</v>
      </c>
      <c r="BB84" s="445">
        <f t="shared" si="131"/>
        <v>-0.21</v>
      </c>
      <c r="BC84" s="445">
        <f t="shared" si="131"/>
        <v>-0.53</v>
      </c>
      <c r="BD84" s="445">
        <f t="shared" si="131"/>
        <v>-7.0000000000000007E-2</v>
      </c>
      <c r="BE84" s="445">
        <f t="shared" si="131"/>
        <v>0</v>
      </c>
      <c r="BF84" s="445">
        <f t="shared" si="131"/>
        <v>0</v>
      </c>
      <c r="BG84" s="445">
        <f t="shared" si="131"/>
        <v>0</v>
      </c>
      <c r="BH84" s="445">
        <f t="shared" si="131"/>
        <v>0</v>
      </c>
      <c r="BI84" s="445">
        <f t="shared" si="131"/>
        <v>-0.77</v>
      </c>
      <c r="BJ84" s="445">
        <f t="shared" si="131"/>
        <v>-0.25</v>
      </c>
      <c r="BK84" s="39">
        <f t="shared" si="131"/>
        <v>-1.02</v>
      </c>
      <c r="BL84" s="451">
        <f t="shared" si="131"/>
        <v>26391652</v>
      </c>
      <c r="BM84" s="444">
        <f t="shared" si="131"/>
        <v>19068502</v>
      </c>
      <c r="BN84" s="444">
        <f t="shared" si="131"/>
        <v>16318479</v>
      </c>
      <c r="BO84" s="444">
        <f t="shared" si="131"/>
        <v>2750023</v>
      </c>
      <c r="BP84" s="444">
        <f t="shared" si="131"/>
        <v>243800</v>
      </c>
      <c r="BQ84" s="444">
        <f t="shared" si="131"/>
        <v>177800</v>
      </c>
      <c r="BR84" s="444">
        <f t="shared" si="131"/>
        <v>66000</v>
      </c>
      <c r="BS84" s="444">
        <f t="shared" si="131"/>
        <v>6527558</v>
      </c>
      <c r="BT84" s="444">
        <f t="shared" si="131"/>
        <v>190685</v>
      </c>
      <c r="BU84" s="444">
        <f t="shared" si="131"/>
        <v>361107</v>
      </c>
      <c r="BV84" s="445">
        <f t="shared" si="131"/>
        <v>32.440100000000001</v>
      </c>
      <c r="BW84" s="445">
        <f t="shared" si="131"/>
        <v>24.345299999999998</v>
      </c>
      <c r="BX84" s="39">
        <f t="shared" si="131"/>
        <v>8.0948000000000011</v>
      </c>
      <c r="BY84" s="806">
        <f t="shared" si="131"/>
        <v>150926</v>
      </c>
      <c r="BZ84" s="709">
        <f t="shared" si="131"/>
        <v>0</v>
      </c>
      <c r="CA84" s="709">
        <f t="shared" si="131"/>
        <v>112800</v>
      </c>
      <c r="CB84" s="709">
        <f t="shared" si="131"/>
        <v>38126</v>
      </c>
      <c r="CC84" s="709">
        <f t="shared" si="131"/>
        <v>0</v>
      </c>
      <c r="CD84" s="807">
        <f t="shared" si="131"/>
        <v>0</v>
      </c>
      <c r="CE84" s="919">
        <f t="shared" si="131"/>
        <v>764553</v>
      </c>
      <c r="CF84" s="920">
        <f t="shared" si="131"/>
        <v>508228</v>
      </c>
      <c r="CG84" s="920">
        <f t="shared" si="131"/>
        <v>171781</v>
      </c>
      <c r="CH84" s="920">
        <f t="shared" ref="CH84:CJ84" si="132">SUM(CH78:CH83)</f>
        <v>5082</v>
      </c>
      <c r="CI84" s="920">
        <f t="shared" si="132"/>
        <v>79462</v>
      </c>
      <c r="CJ84" s="921">
        <f t="shared" si="132"/>
        <v>1.4685000000000001</v>
      </c>
    </row>
    <row r="85" spans="1:88" s="221" customFormat="1">
      <c r="A85" s="209">
        <v>16</v>
      </c>
      <c r="B85" s="210">
        <v>4436</v>
      </c>
      <c r="C85" s="210">
        <v>600074986</v>
      </c>
      <c r="D85" s="210">
        <v>70982198</v>
      </c>
      <c r="E85" s="208" t="s">
        <v>176</v>
      </c>
      <c r="F85" s="210">
        <v>3113</v>
      </c>
      <c r="G85" s="165" t="s">
        <v>293</v>
      </c>
      <c r="H85" s="621" t="s">
        <v>271</v>
      </c>
      <c r="I85" s="510">
        <v>31536251</v>
      </c>
      <c r="J85" s="414">
        <v>23000383</v>
      </c>
      <c r="K85" s="414">
        <v>20730605</v>
      </c>
      <c r="L85" s="414">
        <v>2269778</v>
      </c>
      <c r="M85" s="414">
        <v>15000</v>
      </c>
      <c r="N85" s="414">
        <v>15000</v>
      </c>
      <c r="O85" s="414">
        <v>0</v>
      </c>
      <c r="P85" s="68">
        <v>7779199</v>
      </c>
      <c r="Q85" s="68">
        <v>230004</v>
      </c>
      <c r="R85" s="414">
        <v>511665</v>
      </c>
      <c r="S85" s="415">
        <v>36.759200000000007</v>
      </c>
      <c r="T85" s="416">
        <v>30.034399999999998</v>
      </c>
      <c r="U85" s="422">
        <v>6.7248000000000001</v>
      </c>
      <c r="V85" s="423">
        <f t="shared" si="104"/>
        <v>15000</v>
      </c>
      <c r="W85" s="417">
        <f t="shared" si="105"/>
        <v>-15000</v>
      </c>
      <c r="X85" s="417">
        <v>0</v>
      </c>
      <c r="Y85" s="417">
        <v>68848</v>
      </c>
      <c r="Z85" s="417">
        <v>-122037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06"/>
        <v>-38189</v>
      </c>
      <c r="AF85" s="417">
        <f t="shared" si="107"/>
        <v>-15000</v>
      </c>
      <c r="AG85" s="417">
        <f t="shared" si="108"/>
        <v>-53189</v>
      </c>
      <c r="AH85" s="417">
        <v>-15000</v>
      </c>
      <c r="AI85" s="417">
        <v>15000</v>
      </c>
      <c r="AJ85" s="417">
        <v>0</v>
      </c>
      <c r="AK85" s="417">
        <v>0</v>
      </c>
      <c r="AL85" s="417">
        <v>0</v>
      </c>
      <c r="AM85" s="417">
        <f t="shared" si="109"/>
        <v>-15000</v>
      </c>
      <c r="AN85" s="417">
        <f t="shared" si="110"/>
        <v>15000</v>
      </c>
      <c r="AO85" s="417">
        <f t="shared" si="111"/>
        <v>0</v>
      </c>
      <c r="AP85" s="417">
        <f t="shared" si="112"/>
        <v>-53189</v>
      </c>
      <c r="AQ85" s="417">
        <f t="shared" si="113"/>
        <v>0</v>
      </c>
      <c r="AR85" s="417">
        <f t="shared" si="114"/>
        <v>-53189</v>
      </c>
      <c r="AS85" s="68">
        <f t="shared" si="115"/>
        <v>-17978</v>
      </c>
      <c r="AT85" s="68">
        <f t="shared" si="116"/>
        <v>-532</v>
      </c>
      <c r="AU85" s="417">
        <v>0</v>
      </c>
      <c r="AV85" s="417">
        <v>0</v>
      </c>
      <c r="AW85" s="417">
        <v>0</v>
      </c>
      <c r="AX85" s="417">
        <f t="shared" si="117"/>
        <v>0</v>
      </c>
      <c r="AY85" s="417">
        <f t="shared" si="118"/>
        <v>-71699</v>
      </c>
      <c r="AZ85" s="418">
        <v>0.03</v>
      </c>
      <c r="BA85" s="418">
        <v>-0.05</v>
      </c>
      <c r="BB85" s="418">
        <v>0</v>
      </c>
      <c r="BC85" s="418">
        <v>-0.24</v>
      </c>
      <c r="BD85" s="418">
        <v>0</v>
      </c>
      <c r="BE85" s="418">
        <v>0.1</v>
      </c>
      <c r="BF85" s="418">
        <v>0</v>
      </c>
      <c r="BG85" s="418">
        <v>0</v>
      </c>
      <c r="BH85" s="418">
        <v>0</v>
      </c>
      <c r="BI85" s="418">
        <f t="shared" si="119"/>
        <v>-0.10999999999999999</v>
      </c>
      <c r="BJ85" s="418">
        <f t="shared" si="120"/>
        <v>-0.05</v>
      </c>
      <c r="BK85" s="420">
        <f t="shared" si="121"/>
        <v>-0.15999999999999998</v>
      </c>
      <c r="BL85" s="772">
        <f>I85+AY85</f>
        <v>31464552</v>
      </c>
      <c r="BM85" s="417">
        <f>J85+AG85</f>
        <v>22947194</v>
      </c>
      <c r="BN85" s="417">
        <f t="shared" ref="BN85:BO89" si="133">K85+AE85</f>
        <v>20692416</v>
      </c>
      <c r="BO85" s="417">
        <f t="shared" si="133"/>
        <v>2254778</v>
      </c>
      <c r="BP85" s="417">
        <f>M85+AO85</f>
        <v>15000</v>
      </c>
      <c r="BQ85" s="417">
        <f t="shared" ref="BQ85:BR89" si="134">N85+AM85</f>
        <v>0</v>
      </c>
      <c r="BR85" s="417">
        <f t="shared" si="134"/>
        <v>15000</v>
      </c>
      <c r="BS85" s="417">
        <f t="shared" ref="BS85:BT89" si="135">P85+AS85</f>
        <v>7761221</v>
      </c>
      <c r="BT85" s="417">
        <f t="shared" si="135"/>
        <v>229472</v>
      </c>
      <c r="BU85" s="417">
        <f>R85+AX85</f>
        <v>511665</v>
      </c>
      <c r="BV85" s="418">
        <f>S85+BK85</f>
        <v>36.59920000000001</v>
      </c>
      <c r="BW85" s="418">
        <f t="shared" ref="BW85:BX89" si="136">T85+BI85</f>
        <v>29.924399999999999</v>
      </c>
      <c r="BX85" s="420">
        <f t="shared" si="136"/>
        <v>6.6748000000000003</v>
      </c>
      <c r="BY85" s="419"/>
      <c r="BZ85" s="414"/>
      <c r="CA85" s="414"/>
      <c r="CB85" s="414"/>
      <c r="CC85" s="414"/>
      <c r="CD85" s="509"/>
      <c r="CE85" s="419">
        <v>1102275</v>
      </c>
      <c r="CF85" s="414">
        <v>728584</v>
      </c>
      <c r="CG85" s="414">
        <v>246261</v>
      </c>
      <c r="CH85" s="414">
        <v>7286</v>
      </c>
      <c r="CI85" s="414">
        <v>120144</v>
      </c>
      <c r="CJ85" s="509">
        <v>2.1588000000000003</v>
      </c>
    </row>
    <row r="86" spans="1:88" s="221" customFormat="1">
      <c r="A86" s="209">
        <v>16</v>
      </c>
      <c r="B86" s="210">
        <v>4436</v>
      </c>
      <c r="C86" s="210">
        <v>600074986</v>
      </c>
      <c r="D86" s="210">
        <v>70982198</v>
      </c>
      <c r="E86" s="208" t="s">
        <v>176</v>
      </c>
      <c r="F86" s="210">
        <v>3113</v>
      </c>
      <c r="G86" s="165" t="s">
        <v>291</v>
      </c>
      <c r="H86" s="621" t="s">
        <v>272</v>
      </c>
      <c r="I86" s="510">
        <v>2343646</v>
      </c>
      <c r="J86" s="414">
        <v>1728038</v>
      </c>
      <c r="K86" s="414">
        <v>1728038</v>
      </c>
      <c r="L86" s="414">
        <v>0</v>
      </c>
      <c r="M86" s="414">
        <v>0</v>
      </c>
      <c r="N86" s="414">
        <v>0</v>
      </c>
      <c r="O86" s="414">
        <v>0</v>
      </c>
      <c r="P86" s="68">
        <v>584077</v>
      </c>
      <c r="Q86" s="68">
        <v>17281</v>
      </c>
      <c r="R86" s="414">
        <v>14250</v>
      </c>
      <c r="S86" s="415">
        <v>4.6500000000000004</v>
      </c>
      <c r="T86" s="416">
        <v>4.6500000000000004</v>
      </c>
      <c r="U86" s="422">
        <v>0</v>
      </c>
      <c r="V86" s="423">
        <f t="shared" si="104"/>
        <v>0</v>
      </c>
      <c r="W86" s="417">
        <f t="shared" si="105"/>
        <v>0</v>
      </c>
      <c r="X86" s="417">
        <v>92700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06"/>
        <v>92700</v>
      </c>
      <c r="AF86" s="417">
        <f t="shared" si="107"/>
        <v>0</v>
      </c>
      <c r="AG86" s="417">
        <f t="shared" si="108"/>
        <v>92700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09"/>
        <v>0</v>
      </c>
      <c r="AN86" s="417">
        <f t="shared" si="110"/>
        <v>0</v>
      </c>
      <c r="AO86" s="417">
        <f t="shared" si="111"/>
        <v>0</v>
      </c>
      <c r="AP86" s="417">
        <f t="shared" si="112"/>
        <v>92700</v>
      </c>
      <c r="AQ86" s="417">
        <f t="shared" si="113"/>
        <v>0</v>
      </c>
      <c r="AR86" s="417">
        <f t="shared" si="114"/>
        <v>92700</v>
      </c>
      <c r="AS86" s="68">
        <f t="shared" si="115"/>
        <v>31333</v>
      </c>
      <c r="AT86" s="68">
        <f t="shared" si="116"/>
        <v>927</v>
      </c>
      <c r="AU86" s="417">
        <v>0</v>
      </c>
      <c r="AV86" s="417">
        <v>0</v>
      </c>
      <c r="AW86" s="417">
        <v>0</v>
      </c>
      <c r="AX86" s="417">
        <f t="shared" si="117"/>
        <v>0</v>
      </c>
      <c r="AY86" s="417">
        <f t="shared" si="118"/>
        <v>124960</v>
      </c>
      <c r="AZ86" s="418">
        <v>0</v>
      </c>
      <c r="BA86" s="418">
        <v>0</v>
      </c>
      <c r="BB86" s="418">
        <v>0.25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19"/>
        <v>0.25</v>
      </c>
      <c r="BJ86" s="418">
        <f t="shared" si="120"/>
        <v>0</v>
      </c>
      <c r="BK86" s="420">
        <f t="shared" si="121"/>
        <v>0.25</v>
      </c>
      <c r="BL86" s="772">
        <f>I86+AY86</f>
        <v>2468606</v>
      </c>
      <c r="BM86" s="417">
        <f>J86+AG86</f>
        <v>1820738</v>
      </c>
      <c r="BN86" s="417">
        <f t="shared" si="133"/>
        <v>1820738</v>
      </c>
      <c r="BO86" s="417">
        <f t="shared" si="133"/>
        <v>0</v>
      </c>
      <c r="BP86" s="417">
        <f>M86+AO86</f>
        <v>0</v>
      </c>
      <c r="BQ86" s="417">
        <f t="shared" si="134"/>
        <v>0</v>
      </c>
      <c r="BR86" s="417">
        <f t="shared" si="134"/>
        <v>0</v>
      </c>
      <c r="BS86" s="417">
        <f t="shared" si="135"/>
        <v>615410</v>
      </c>
      <c r="BT86" s="417">
        <f t="shared" si="135"/>
        <v>18208</v>
      </c>
      <c r="BU86" s="417">
        <f>R86+AX86</f>
        <v>14250</v>
      </c>
      <c r="BV86" s="418">
        <f>S86+BK86</f>
        <v>4.9000000000000004</v>
      </c>
      <c r="BW86" s="418">
        <f t="shared" si="136"/>
        <v>4.9000000000000004</v>
      </c>
      <c r="BX86" s="420">
        <f t="shared" si="136"/>
        <v>0</v>
      </c>
      <c r="BY86" s="419"/>
      <c r="BZ86" s="414"/>
      <c r="CA86" s="414"/>
      <c r="CB86" s="414"/>
      <c r="CC86" s="414"/>
      <c r="CD86" s="509"/>
      <c r="CE86" s="419"/>
      <c r="CF86" s="414"/>
      <c r="CG86" s="414"/>
      <c r="CH86" s="414"/>
      <c r="CI86" s="414"/>
      <c r="CJ86" s="509"/>
    </row>
    <row r="87" spans="1:88" s="221" customFormat="1">
      <c r="A87" s="209">
        <v>16</v>
      </c>
      <c r="B87" s="210">
        <v>4436</v>
      </c>
      <c r="C87" s="210">
        <v>600074986</v>
      </c>
      <c r="D87" s="210">
        <v>70982198</v>
      </c>
      <c r="E87" s="208" t="s">
        <v>176</v>
      </c>
      <c r="F87" s="210">
        <v>3141</v>
      </c>
      <c r="G87" s="165" t="s">
        <v>294</v>
      </c>
      <c r="H87" s="621" t="s">
        <v>272</v>
      </c>
      <c r="I87" s="510">
        <v>2243327</v>
      </c>
      <c r="J87" s="414">
        <v>1637619</v>
      </c>
      <c r="K87" s="414">
        <v>0</v>
      </c>
      <c r="L87" s="414">
        <v>1637619</v>
      </c>
      <c r="M87" s="414">
        <v>15000</v>
      </c>
      <c r="N87" s="414">
        <v>0</v>
      </c>
      <c r="O87" s="414">
        <v>15000</v>
      </c>
      <c r="P87" s="68">
        <v>558586</v>
      </c>
      <c r="Q87" s="68">
        <v>16376</v>
      </c>
      <c r="R87" s="414">
        <v>15746</v>
      </c>
      <c r="S87" s="415">
        <v>4.96</v>
      </c>
      <c r="T87" s="416">
        <v>0</v>
      </c>
      <c r="U87" s="422">
        <v>4.96</v>
      </c>
      <c r="V87" s="423">
        <f t="shared" si="104"/>
        <v>0</v>
      </c>
      <c r="W87" s="417">
        <f t="shared" si="105"/>
        <v>5000</v>
      </c>
      <c r="X87" s="417">
        <v>0</v>
      </c>
      <c r="Y87" s="417">
        <v>0</v>
      </c>
      <c r="Z87" s="417">
        <v>0</v>
      </c>
      <c r="AA87" s="417">
        <v>-18902</v>
      </c>
      <c r="AB87" s="417">
        <v>0</v>
      </c>
      <c r="AC87" s="417">
        <v>0</v>
      </c>
      <c r="AD87" s="417">
        <v>0</v>
      </c>
      <c r="AE87" s="417">
        <f t="shared" si="106"/>
        <v>0</v>
      </c>
      <c r="AF87" s="417">
        <f t="shared" si="107"/>
        <v>-13902</v>
      </c>
      <c r="AG87" s="417">
        <f t="shared" si="108"/>
        <v>-13902</v>
      </c>
      <c r="AH87" s="417">
        <v>0</v>
      </c>
      <c r="AI87" s="417">
        <v>-5000</v>
      </c>
      <c r="AJ87" s="417">
        <v>0</v>
      </c>
      <c r="AK87" s="417">
        <v>0</v>
      </c>
      <c r="AL87" s="417">
        <v>0</v>
      </c>
      <c r="AM87" s="417">
        <f t="shared" si="109"/>
        <v>0</v>
      </c>
      <c r="AN87" s="417">
        <f t="shared" si="110"/>
        <v>-5000</v>
      </c>
      <c r="AO87" s="417">
        <f t="shared" si="111"/>
        <v>-5000</v>
      </c>
      <c r="AP87" s="417">
        <f t="shared" si="112"/>
        <v>0</v>
      </c>
      <c r="AQ87" s="417">
        <f t="shared" si="113"/>
        <v>-18902</v>
      </c>
      <c r="AR87" s="417">
        <f t="shared" si="114"/>
        <v>-18902</v>
      </c>
      <c r="AS87" s="68">
        <f t="shared" si="115"/>
        <v>-6389</v>
      </c>
      <c r="AT87" s="68">
        <f t="shared" si="116"/>
        <v>-139</v>
      </c>
      <c r="AU87" s="417">
        <v>0</v>
      </c>
      <c r="AV87" s="417">
        <v>0</v>
      </c>
      <c r="AW87" s="417">
        <v>0</v>
      </c>
      <c r="AX87" s="417">
        <f t="shared" si="117"/>
        <v>0</v>
      </c>
      <c r="AY87" s="417">
        <f t="shared" si="118"/>
        <v>-25430</v>
      </c>
      <c r="AZ87" s="418">
        <v>0</v>
      </c>
      <c r="BA87" s="418">
        <v>0</v>
      </c>
      <c r="BB87" s="418">
        <v>0</v>
      </c>
      <c r="BC87" s="418">
        <v>0</v>
      </c>
      <c r="BD87" s="418">
        <v>-0.05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19"/>
        <v>0</v>
      </c>
      <c r="BJ87" s="418">
        <f t="shared" si="120"/>
        <v>-0.05</v>
      </c>
      <c r="BK87" s="420">
        <f t="shared" si="121"/>
        <v>-0.05</v>
      </c>
      <c r="BL87" s="772">
        <f>I87+AY87</f>
        <v>2217897</v>
      </c>
      <c r="BM87" s="417">
        <f>J87+AG87</f>
        <v>1623717</v>
      </c>
      <c r="BN87" s="417">
        <f t="shared" si="133"/>
        <v>0</v>
      </c>
      <c r="BO87" s="417">
        <f t="shared" si="133"/>
        <v>1623717</v>
      </c>
      <c r="BP87" s="417">
        <f>M87+AO87</f>
        <v>10000</v>
      </c>
      <c r="BQ87" s="417">
        <f t="shared" si="134"/>
        <v>0</v>
      </c>
      <c r="BR87" s="417">
        <f t="shared" si="134"/>
        <v>10000</v>
      </c>
      <c r="BS87" s="417">
        <f t="shared" si="135"/>
        <v>552197</v>
      </c>
      <c r="BT87" s="417">
        <f t="shared" si="135"/>
        <v>16237</v>
      </c>
      <c r="BU87" s="417">
        <f>R87+AX87</f>
        <v>15746</v>
      </c>
      <c r="BV87" s="418">
        <f>S87+BK87</f>
        <v>4.91</v>
      </c>
      <c r="BW87" s="418">
        <f t="shared" si="136"/>
        <v>0</v>
      </c>
      <c r="BX87" s="420">
        <f t="shared" si="136"/>
        <v>4.91</v>
      </c>
      <c r="BY87" s="419"/>
      <c r="BZ87" s="414"/>
      <c r="CA87" s="414"/>
      <c r="CB87" s="414"/>
      <c r="CC87" s="414"/>
      <c r="CD87" s="509"/>
      <c r="CE87" s="419"/>
      <c r="CF87" s="601"/>
      <c r="CG87" s="414"/>
      <c r="CH87" s="414"/>
      <c r="CI87" s="601"/>
      <c r="CJ87" s="603"/>
    </row>
    <row r="88" spans="1:88" s="221" customFormat="1">
      <c r="A88" s="209">
        <v>16</v>
      </c>
      <c r="B88" s="210">
        <v>4436</v>
      </c>
      <c r="C88" s="210">
        <v>600074986</v>
      </c>
      <c r="D88" s="210">
        <v>70982198</v>
      </c>
      <c r="E88" s="204" t="s">
        <v>176</v>
      </c>
      <c r="F88" s="210">
        <v>3143</v>
      </c>
      <c r="G88" s="165" t="s">
        <v>595</v>
      </c>
      <c r="H88" s="609" t="s">
        <v>271</v>
      </c>
      <c r="I88" s="510">
        <v>2521648</v>
      </c>
      <c r="J88" s="414">
        <v>1865696</v>
      </c>
      <c r="K88" s="414">
        <v>1865696</v>
      </c>
      <c r="L88" s="414">
        <v>0</v>
      </c>
      <c r="M88" s="414">
        <v>5000</v>
      </c>
      <c r="N88" s="414">
        <v>5000</v>
      </c>
      <c r="O88" s="414">
        <v>0</v>
      </c>
      <c r="P88" s="68">
        <v>632295</v>
      </c>
      <c r="Q88" s="68">
        <v>18657</v>
      </c>
      <c r="R88" s="414">
        <v>0</v>
      </c>
      <c r="S88" s="415">
        <v>3.6606999999999998</v>
      </c>
      <c r="T88" s="416">
        <v>3.6606999999999998</v>
      </c>
      <c r="U88" s="422">
        <v>0</v>
      </c>
      <c r="V88" s="423">
        <f t="shared" si="104"/>
        <v>-5000</v>
      </c>
      <c r="W88" s="417">
        <f t="shared" si="105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06"/>
        <v>-5000</v>
      </c>
      <c r="AF88" s="417">
        <f t="shared" si="107"/>
        <v>0</v>
      </c>
      <c r="AG88" s="417">
        <f t="shared" si="108"/>
        <v>-5000</v>
      </c>
      <c r="AH88" s="417">
        <v>5000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09"/>
        <v>5000</v>
      </c>
      <c r="AN88" s="417">
        <f t="shared" si="110"/>
        <v>0</v>
      </c>
      <c r="AO88" s="417">
        <f t="shared" si="111"/>
        <v>5000</v>
      </c>
      <c r="AP88" s="417">
        <f t="shared" si="112"/>
        <v>0</v>
      </c>
      <c r="AQ88" s="417">
        <f t="shared" si="113"/>
        <v>0</v>
      </c>
      <c r="AR88" s="417">
        <f t="shared" si="114"/>
        <v>0</v>
      </c>
      <c r="AS88" s="68">
        <f t="shared" si="115"/>
        <v>0</v>
      </c>
      <c r="AT88" s="68">
        <f t="shared" si="116"/>
        <v>-50</v>
      </c>
      <c r="AU88" s="417">
        <v>0</v>
      </c>
      <c r="AV88" s="417">
        <v>0</v>
      </c>
      <c r="AW88" s="417">
        <v>0</v>
      </c>
      <c r="AX88" s="417">
        <f t="shared" si="117"/>
        <v>0</v>
      </c>
      <c r="AY88" s="417">
        <f t="shared" si="118"/>
        <v>-50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19"/>
        <v>0</v>
      </c>
      <c r="BJ88" s="418">
        <f t="shared" si="120"/>
        <v>0</v>
      </c>
      <c r="BK88" s="420">
        <f t="shared" si="121"/>
        <v>0</v>
      </c>
      <c r="BL88" s="772">
        <f>I88+AY88</f>
        <v>2521598</v>
      </c>
      <c r="BM88" s="417">
        <f>J88+AG88</f>
        <v>1860696</v>
      </c>
      <c r="BN88" s="417">
        <f t="shared" si="133"/>
        <v>1860696</v>
      </c>
      <c r="BO88" s="417">
        <f t="shared" si="133"/>
        <v>0</v>
      </c>
      <c r="BP88" s="417">
        <f>M88+AO88</f>
        <v>10000</v>
      </c>
      <c r="BQ88" s="417">
        <f t="shared" si="134"/>
        <v>10000</v>
      </c>
      <c r="BR88" s="417">
        <f t="shared" si="134"/>
        <v>0</v>
      </c>
      <c r="BS88" s="417">
        <f t="shared" si="135"/>
        <v>632295</v>
      </c>
      <c r="BT88" s="417">
        <f t="shared" si="135"/>
        <v>18607</v>
      </c>
      <c r="BU88" s="417">
        <f>R88+AX88</f>
        <v>0</v>
      </c>
      <c r="BV88" s="418">
        <f>S88+BK88</f>
        <v>3.6606999999999998</v>
      </c>
      <c r="BW88" s="418">
        <f t="shared" si="136"/>
        <v>3.6606999999999998</v>
      </c>
      <c r="BX88" s="420">
        <f t="shared" si="136"/>
        <v>0</v>
      </c>
      <c r="BY88" s="419"/>
      <c r="BZ88" s="414"/>
      <c r="CA88" s="414"/>
      <c r="CB88" s="414"/>
      <c r="CC88" s="414"/>
      <c r="CD88" s="509"/>
      <c r="CE88" s="419"/>
      <c r="CF88" s="414"/>
      <c r="CG88" s="414"/>
      <c r="CH88" s="414"/>
      <c r="CI88" s="414"/>
      <c r="CJ88" s="509"/>
    </row>
    <row r="89" spans="1:88" s="221" customFormat="1">
      <c r="A89" s="209">
        <v>16</v>
      </c>
      <c r="B89" s="210">
        <v>4436</v>
      </c>
      <c r="C89" s="210">
        <v>600074986</v>
      </c>
      <c r="D89" s="210">
        <v>70982198</v>
      </c>
      <c r="E89" s="204" t="s">
        <v>176</v>
      </c>
      <c r="F89" s="210">
        <v>3143</v>
      </c>
      <c r="G89" s="165" t="s">
        <v>596</v>
      </c>
      <c r="H89" s="609" t="s">
        <v>272</v>
      </c>
      <c r="I89" s="510">
        <v>77608</v>
      </c>
      <c r="J89" s="414">
        <v>55550</v>
      </c>
      <c r="K89" s="414">
        <v>0</v>
      </c>
      <c r="L89" s="414">
        <v>55550</v>
      </c>
      <c r="M89" s="414">
        <v>0</v>
      </c>
      <c r="N89" s="414">
        <v>0</v>
      </c>
      <c r="O89" s="414">
        <v>0</v>
      </c>
      <c r="P89" s="68">
        <v>18776</v>
      </c>
      <c r="Q89" s="68">
        <v>555</v>
      </c>
      <c r="R89" s="414">
        <v>2727</v>
      </c>
      <c r="S89" s="415">
        <v>0.21000000000000002</v>
      </c>
      <c r="T89" s="416">
        <v>0</v>
      </c>
      <c r="U89" s="422">
        <v>0.21000000000000002</v>
      </c>
      <c r="V89" s="423">
        <f t="shared" si="104"/>
        <v>0</v>
      </c>
      <c r="W89" s="417">
        <f t="shared" si="105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06"/>
        <v>0</v>
      </c>
      <c r="AF89" s="417">
        <f t="shared" si="107"/>
        <v>0</v>
      </c>
      <c r="AG89" s="417">
        <f t="shared" si="108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09"/>
        <v>0</v>
      </c>
      <c r="AN89" s="417">
        <f t="shared" si="110"/>
        <v>0</v>
      </c>
      <c r="AO89" s="417">
        <f t="shared" si="111"/>
        <v>0</v>
      </c>
      <c r="AP89" s="417">
        <f t="shared" si="112"/>
        <v>0</v>
      </c>
      <c r="AQ89" s="417">
        <f t="shared" si="113"/>
        <v>0</v>
      </c>
      <c r="AR89" s="417">
        <f t="shared" si="114"/>
        <v>0</v>
      </c>
      <c r="AS89" s="68">
        <f t="shared" si="115"/>
        <v>0</v>
      </c>
      <c r="AT89" s="68">
        <f t="shared" si="116"/>
        <v>0</v>
      </c>
      <c r="AU89" s="417">
        <v>0</v>
      </c>
      <c r="AV89" s="417">
        <v>0</v>
      </c>
      <c r="AW89" s="417">
        <v>0</v>
      </c>
      <c r="AX89" s="417">
        <f t="shared" si="117"/>
        <v>0</v>
      </c>
      <c r="AY89" s="417">
        <f t="shared" si="118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19"/>
        <v>0</v>
      </c>
      <c r="BJ89" s="418">
        <f t="shared" si="120"/>
        <v>0</v>
      </c>
      <c r="BK89" s="420">
        <f t="shared" si="121"/>
        <v>0</v>
      </c>
      <c r="BL89" s="772">
        <f>I89+AY89</f>
        <v>77608</v>
      </c>
      <c r="BM89" s="417">
        <f>J89+AG89</f>
        <v>55550</v>
      </c>
      <c r="BN89" s="417">
        <f t="shared" si="133"/>
        <v>0</v>
      </c>
      <c r="BO89" s="417">
        <f t="shared" si="133"/>
        <v>55550</v>
      </c>
      <c r="BP89" s="417">
        <f>M89+AO89</f>
        <v>0</v>
      </c>
      <c r="BQ89" s="417">
        <f t="shared" si="134"/>
        <v>0</v>
      </c>
      <c r="BR89" s="417">
        <f t="shared" si="134"/>
        <v>0</v>
      </c>
      <c r="BS89" s="417">
        <f t="shared" si="135"/>
        <v>18776</v>
      </c>
      <c r="BT89" s="417">
        <f t="shared" si="135"/>
        <v>555</v>
      </c>
      <c r="BU89" s="417">
        <f>R89+AX89</f>
        <v>2727</v>
      </c>
      <c r="BV89" s="418">
        <f>S89+BK89</f>
        <v>0.21000000000000002</v>
      </c>
      <c r="BW89" s="418">
        <f t="shared" si="136"/>
        <v>0</v>
      </c>
      <c r="BX89" s="420">
        <f t="shared" si="136"/>
        <v>0.21000000000000002</v>
      </c>
      <c r="BY89" s="419"/>
      <c r="BZ89" s="414"/>
      <c r="CA89" s="414"/>
      <c r="CB89" s="414"/>
      <c r="CC89" s="414"/>
      <c r="CD89" s="509"/>
      <c r="CE89" s="419"/>
      <c r="CF89" s="601"/>
      <c r="CG89" s="414"/>
      <c r="CH89" s="414"/>
      <c r="CI89" s="602"/>
      <c r="CJ89" s="603"/>
    </row>
    <row r="90" spans="1:88" s="221" customFormat="1">
      <c r="A90" s="155">
        <v>16</v>
      </c>
      <c r="B90" s="18">
        <v>4436</v>
      </c>
      <c r="C90" s="18">
        <v>600074986</v>
      </c>
      <c r="D90" s="18">
        <v>70982198</v>
      </c>
      <c r="E90" s="164" t="s">
        <v>177</v>
      </c>
      <c r="F90" s="18"/>
      <c r="G90" s="154"/>
      <c r="H90" s="608"/>
      <c r="I90" s="451">
        <v>38722480</v>
      </c>
      <c r="J90" s="444">
        <v>28287286</v>
      </c>
      <c r="K90" s="444">
        <v>24324339</v>
      </c>
      <c r="L90" s="444">
        <v>3962947</v>
      </c>
      <c r="M90" s="444">
        <v>35000</v>
      </c>
      <c r="N90" s="444">
        <v>20000</v>
      </c>
      <c r="O90" s="444">
        <v>15000</v>
      </c>
      <c r="P90" s="444">
        <v>9572933</v>
      </c>
      <c r="Q90" s="444">
        <v>282873</v>
      </c>
      <c r="R90" s="444">
        <v>544388</v>
      </c>
      <c r="S90" s="445">
        <v>50.239900000000006</v>
      </c>
      <c r="T90" s="445">
        <v>38.345099999999995</v>
      </c>
      <c r="U90" s="449">
        <v>11.8948</v>
      </c>
      <c r="V90" s="447">
        <f t="shared" ref="V90:CG90" si="137">SUM(V85:V89)</f>
        <v>10000</v>
      </c>
      <c r="W90" s="444">
        <f t="shared" si="137"/>
        <v>-10000</v>
      </c>
      <c r="X90" s="444">
        <f t="shared" si="137"/>
        <v>92700</v>
      </c>
      <c r="Y90" s="444">
        <f t="shared" si="137"/>
        <v>68848</v>
      </c>
      <c r="Z90" s="444">
        <f t="shared" si="137"/>
        <v>-122037</v>
      </c>
      <c r="AA90" s="444">
        <f t="shared" si="137"/>
        <v>-18902</v>
      </c>
      <c r="AB90" s="444">
        <f t="shared" si="137"/>
        <v>0</v>
      </c>
      <c r="AC90" s="444">
        <f t="shared" si="137"/>
        <v>0</v>
      </c>
      <c r="AD90" s="444">
        <f t="shared" si="137"/>
        <v>0</v>
      </c>
      <c r="AE90" s="444">
        <f t="shared" si="137"/>
        <v>49511</v>
      </c>
      <c r="AF90" s="444">
        <f t="shared" si="137"/>
        <v>-28902</v>
      </c>
      <c r="AG90" s="444">
        <f t="shared" si="137"/>
        <v>20609</v>
      </c>
      <c r="AH90" s="444">
        <f t="shared" si="137"/>
        <v>-10000</v>
      </c>
      <c r="AI90" s="444">
        <f t="shared" si="137"/>
        <v>10000</v>
      </c>
      <c r="AJ90" s="444">
        <f t="shared" si="137"/>
        <v>0</v>
      </c>
      <c r="AK90" s="444">
        <f t="shared" si="137"/>
        <v>0</v>
      </c>
      <c r="AL90" s="444">
        <f t="shared" si="137"/>
        <v>0</v>
      </c>
      <c r="AM90" s="444">
        <f t="shared" si="137"/>
        <v>-10000</v>
      </c>
      <c r="AN90" s="444">
        <f t="shared" si="137"/>
        <v>10000</v>
      </c>
      <c r="AO90" s="444">
        <f t="shared" si="137"/>
        <v>0</v>
      </c>
      <c r="AP90" s="444">
        <f t="shared" si="137"/>
        <v>39511</v>
      </c>
      <c r="AQ90" s="444">
        <f t="shared" si="137"/>
        <v>-18902</v>
      </c>
      <c r="AR90" s="444">
        <f t="shared" si="137"/>
        <v>20609</v>
      </c>
      <c r="AS90" s="444">
        <f t="shared" si="137"/>
        <v>6966</v>
      </c>
      <c r="AT90" s="444">
        <f t="shared" si="137"/>
        <v>206</v>
      </c>
      <c r="AU90" s="444">
        <f t="shared" si="137"/>
        <v>0</v>
      </c>
      <c r="AV90" s="444">
        <f t="shared" si="137"/>
        <v>0</v>
      </c>
      <c r="AW90" s="444">
        <f t="shared" si="137"/>
        <v>0</v>
      </c>
      <c r="AX90" s="444">
        <f t="shared" si="137"/>
        <v>0</v>
      </c>
      <c r="AY90" s="444">
        <f t="shared" si="137"/>
        <v>27781</v>
      </c>
      <c r="AZ90" s="445">
        <f t="shared" si="137"/>
        <v>0.03</v>
      </c>
      <c r="BA90" s="445">
        <f t="shared" si="137"/>
        <v>-0.05</v>
      </c>
      <c r="BB90" s="445">
        <f t="shared" si="137"/>
        <v>0.25</v>
      </c>
      <c r="BC90" s="445">
        <f t="shared" si="137"/>
        <v>-0.24</v>
      </c>
      <c r="BD90" s="445">
        <f t="shared" si="137"/>
        <v>-0.05</v>
      </c>
      <c r="BE90" s="445">
        <f t="shared" si="137"/>
        <v>0.1</v>
      </c>
      <c r="BF90" s="445">
        <f t="shared" si="137"/>
        <v>0</v>
      </c>
      <c r="BG90" s="445">
        <f t="shared" si="137"/>
        <v>0</v>
      </c>
      <c r="BH90" s="445">
        <f t="shared" si="137"/>
        <v>0</v>
      </c>
      <c r="BI90" s="445">
        <f t="shared" si="137"/>
        <v>0.14000000000000001</v>
      </c>
      <c r="BJ90" s="445">
        <f t="shared" si="137"/>
        <v>-0.1</v>
      </c>
      <c r="BK90" s="39">
        <f t="shared" si="137"/>
        <v>4.0000000000000022E-2</v>
      </c>
      <c r="BL90" s="451">
        <f t="shared" si="137"/>
        <v>38750261</v>
      </c>
      <c r="BM90" s="444">
        <f t="shared" si="137"/>
        <v>28307895</v>
      </c>
      <c r="BN90" s="444">
        <f t="shared" si="137"/>
        <v>24373850</v>
      </c>
      <c r="BO90" s="444">
        <f t="shared" si="137"/>
        <v>3934045</v>
      </c>
      <c r="BP90" s="444">
        <f t="shared" si="137"/>
        <v>35000</v>
      </c>
      <c r="BQ90" s="444">
        <f t="shared" si="137"/>
        <v>10000</v>
      </c>
      <c r="BR90" s="444">
        <f t="shared" si="137"/>
        <v>25000</v>
      </c>
      <c r="BS90" s="444">
        <f t="shared" si="137"/>
        <v>9579899</v>
      </c>
      <c r="BT90" s="444">
        <f t="shared" si="137"/>
        <v>283079</v>
      </c>
      <c r="BU90" s="444">
        <f t="shared" si="137"/>
        <v>544388</v>
      </c>
      <c r="BV90" s="445">
        <f t="shared" si="137"/>
        <v>50.279900000000012</v>
      </c>
      <c r="BW90" s="445">
        <f t="shared" si="137"/>
        <v>38.485099999999996</v>
      </c>
      <c r="BX90" s="39">
        <f t="shared" si="137"/>
        <v>11.794800000000002</v>
      </c>
      <c r="BY90" s="806">
        <f t="shared" si="137"/>
        <v>0</v>
      </c>
      <c r="BZ90" s="709">
        <f t="shared" si="137"/>
        <v>0</v>
      </c>
      <c r="CA90" s="709">
        <f t="shared" si="137"/>
        <v>0</v>
      </c>
      <c r="CB90" s="709">
        <f t="shared" si="137"/>
        <v>0</v>
      </c>
      <c r="CC90" s="709">
        <f t="shared" si="137"/>
        <v>0</v>
      </c>
      <c r="CD90" s="807">
        <f t="shared" si="137"/>
        <v>0</v>
      </c>
      <c r="CE90" s="919">
        <f t="shared" si="137"/>
        <v>1102275</v>
      </c>
      <c r="CF90" s="920">
        <f t="shared" si="137"/>
        <v>728584</v>
      </c>
      <c r="CG90" s="920">
        <f t="shared" si="137"/>
        <v>246261</v>
      </c>
      <c r="CH90" s="920">
        <f t="shared" ref="CH90:CJ90" si="138">SUM(CH85:CH89)</f>
        <v>7286</v>
      </c>
      <c r="CI90" s="920">
        <f t="shared" si="138"/>
        <v>120144</v>
      </c>
      <c r="CJ90" s="921">
        <f t="shared" si="138"/>
        <v>2.1588000000000003</v>
      </c>
    </row>
    <row r="91" spans="1:88" s="221" customFormat="1">
      <c r="A91" s="209">
        <v>17</v>
      </c>
      <c r="B91" s="210">
        <v>4454</v>
      </c>
      <c r="C91" s="210">
        <v>600074811</v>
      </c>
      <c r="D91" s="210">
        <v>48283070</v>
      </c>
      <c r="E91" s="208" t="s">
        <v>178</v>
      </c>
      <c r="F91" s="210">
        <v>3113</v>
      </c>
      <c r="G91" s="165" t="s">
        <v>293</v>
      </c>
      <c r="H91" s="621" t="s">
        <v>271</v>
      </c>
      <c r="I91" s="510">
        <v>34086916</v>
      </c>
      <c r="J91" s="414">
        <v>24774042</v>
      </c>
      <c r="K91" s="414">
        <v>22307405</v>
      </c>
      <c r="L91" s="414">
        <v>2466637</v>
      </c>
      <c r="M91" s="414">
        <v>62080</v>
      </c>
      <c r="N91" s="414">
        <v>62080</v>
      </c>
      <c r="O91" s="414">
        <v>0</v>
      </c>
      <c r="P91" s="68">
        <v>8394609</v>
      </c>
      <c r="Q91" s="68">
        <v>247740</v>
      </c>
      <c r="R91" s="414">
        <v>608445</v>
      </c>
      <c r="S91" s="415">
        <v>37.425800000000002</v>
      </c>
      <c r="T91" s="416">
        <v>29.9543</v>
      </c>
      <c r="U91" s="422">
        <v>7.4714999999999998</v>
      </c>
      <c r="V91" s="423">
        <f t="shared" si="104"/>
        <v>-2480</v>
      </c>
      <c r="W91" s="417">
        <f t="shared" si="105"/>
        <v>0</v>
      </c>
      <c r="X91" s="417">
        <v>0</v>
      </c>
      <c r="Y91" s="417">
        <v>52960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06"/>
        <v>50480</v>
      </c>
      <c r="AF91" s="417">
        <f t="shared" si="107"/>
        <v>0</v>
      </c>
      <c r="AG91" s="417">
        <f t="shared" si="108"/>
        <v>50480</v>
      </c>
      <c r="AH91" s="417">
        <v>2480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09"/>
        <v>2480</v>
      </c>
      <c r="AN91" s="417">
        <f t="shared" si="110"/>
        <v>0</v>
      </c>
      <c r="AO91" s="417">
        <f t="shared" si="111"/>
        <v>2480</v>
      </c>
      <c r="AP91" s="417">
        <f t="shared" si="112"/>
        <v>52960</v>
      </c>
      <c r="AQ91" s="417">
        <f t="shared" si="113"/>
        <v>0</v>
      </c>
      <c r="AR91" s="417">
        <f t="shared" si="114"/>
        <v>52960</v>
      </c>
      <c r="AS91" s="68">
        <f t="shared" si="115"/>
        <v>17900</v>
      </c>
      <c r="AT91" s="68">
        <f t="shared" si="116"/>
        <v>505</v>
      </c>
      <c r="AU91" s="417">
        <v>0</v>
      </c>
      <c r="AV91" s="417">
        <v>0</v>
      </c>
      <c r="AW91" s="417">
        <v>0</v>
      </c>
      <c r="AX91" s="417">
        <f t="shared" si="117"/>
        <v>0</v>
      </c>
      <c r="AY91" s="417">
        <f t="shared" si="118"/>
        <v>71365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0.08</v>
      </c>
      <c r="BF91" s="418">
        <v>0</v>
      </c>
      <c r="BG91" s="418">
        <v>0</v>
      </c>
      <c r="BH91" s="418">
        <v>0</v>
      </c>
      <c r="BI91" s="418">
        <f t="shared" si="119"/>
        <v>0.08</v>
      </c>
      <c r="BJ91" s="418">
        <f t="shared" si="120"/>
        <v>0</v>
      </c>
      <c r="BK91" s="420">
        <f t="shared" si="121"/>
        <v>0.08</v>
      </c>
      <c r="BL91" s="772">
        <f>I91+AY91</f>
        <v>34158281</v>
      </c>
      <c r="BM91" s="417">
        <f>J91+AG91</f>
        <v>24824522</v>
      </c>
      <c r="BN91" s="417">
        <f t="shared" ref="BN91:BO95" si="139">K91+AE91</f>
        <v>22357885</v>
      </c>
      <c r="BO91" s="417">
        <f t="shared" si="139"/>
        <v>2466637</v>
      </c>
      <c r="BP91" s="417">
        <f>M91+AO91</f>
        <v>64560</v>
      </c>
      <c r="BQ91" s="417">
        <f t="shared" ref="BQ91:BR95" si="140">N91+AM91</f>
        <v>64560</v>
      </c>
      <c r="BR91" s="417">
        <f t="shared" si="140"/>
        <v>0</v>
      </c>
      <c r="BS91" s="417">
        <f t="shared" ref="BS91:BT95" si="141">P91+AS91</f>
        <v>8412509</v>
      </c>
      <c r="BT91" s="417">
        <f t="shared" si="141"/>
        <v>248245</v>
      </c>
      <c r="BU91" s="417">
        <f>R91+AX91</f>
        <v>608445</v>
      </c>
      <c r="BV91" s="418">
        <f>S91+BK91</f>
        <v>37.505800000000001</v>
      </c>
      <c r="BW91" s="418">
        <f t="shared" ref="BW91:BX95" si="142">T91+BI91</f>
        <v>30.034299999999998</v>
      </c>
      <c r="BX91" s="420">
        <f t="shared" si="142"/>
        <v>7.4714999999999998</v>
      </c>
      <c r="BY91" s="419"/>
      <c r="BZ91" s="414"/>
      <c r="CA91" s="414"/>
      <c r="CB91" s="414"/>
      <c r="CC91" s="414"/>
      <c r="CD91" s="509"/>
      <c r="CE91" s="419">
        <v>1207710</v>
      </c>
      <c r="CF91" s="414">
        <v>791702</v>
      </c>
      <c r="CG91" s="414">
        <v>267595</v>
      </c>
      <c r="CH91" s="414">
        <v>7917</v>
      </c>
      <c r="CI91" s="414">
        <v>140496</v>
      </c>
      <c r="CJ91" s="509">
        <v>2.3982000000000001</v>
      </c>
    </row>
    <row r="92" spans="1:88" s="221" customFormat="1">
      <c r="A92" s="209">
        <v>17</v>
      </c>
      <c r="B92" s="210">
        <v>4454</v>
      </c>
      <c r="C92" s="210">
        <v>600074811</v>
      </c>
      <c r="D92" s="210">
        <v>48283070</v>
      </c>
      <c r="E92" s="208" t="s">
        <v>178</v>
      </c>
      <c r="F92" s="210">
        <v>3113</v>
      </c>
      <c r="G92" s="165" t="s">
        <v>291</v>
      </c>
      <c r="H92" s="621" t="s">
        <v>272</v>
      </c>
      <c r="I92" s="510">
        <v>4052957</v>
      </c>
      <c r="J92" s="414">
        <v>3000524</v>
      </c>
      <c r="K92" s="414">
        <v>3000524</v>
      </c>
      <c r="L92" s="414">
        <v>0</v>
      </c>
      <c r="M92" s="414">
        <v>0</v>
      </c>
      <c r="N92" s="414">
        <v>0</v>
      </c>
      <c r="O92" s="414">
        <v>0</v>
      </c>
      <c r="P92" s="68">
        <v>1014178</v>
      </c>
      <c r="Q92" s="68">
        <v>30005</v>
      </c>
      <c r="R92" s="414">
        <v>8250</v>
      </c>
      <c r="S92" s="415">
        <v>8.0300000000000011</v>
      </c>
      <c r="T92" s="416">
        <v>8.0300000000000011</v>
      </c>
      <c r="U92" s="422">
        <v>0</v>
      </c>
      <c r="V92" s="423">
        <f t="shared" si="104"/>
        <v>0</v>
      </c>
      <c r="W92" s="417">
        <f t="shared" si="105"/>
        <v>0</v>
      </c>
      <c r="X92" s="417">
        <f>-30900+53548</f>
        <v>22648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106"/>
        <v>22648</v>
      </c>
      <c r="AF92" s="417">
        <f t="shared" si="107"/>
        <v>0</v>
      </c>
      <c r="AG92" s="417">
        <f t="shared" si="108"/>
        <v>22648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09"/>
        <v>0</v>
      </c>
      <c r="AN92" s="417">
        <f t="shared" si="110"/>
        <v>0</v>
      </c>
      <c r="AO92" s="417">
        <f t="shared" si="111"/>
        <v>0</v>
      </c>
      <c r="AP92" s="417">
        <f t="shared" si="112"/>
        <v>22648</v>
      </c>
      <c r="AQ92" s="417">
        <f t="shared" si="113"/>
        <v>0</v>
      </c>
      <c r="AR92" s="417">
        <f t="shared" si="114"/>
        <v>22648</v>
      </c>
      <c r="AS92" s="68">
        <f t="shared" si="115"/>
        <v>7655</v>
      </c>
      <c r="AT92" s="68">
        <f t="shared" si="116"/>
        <v>226</v>
      </c>
      <c r="AU92" s="417">
        <v>1250</v>
      </c>
      <c r="AV92" s="417">
        <v>0</v>
      </c>
      <c r="AW92" s="417">
        <v>0</v>
      </c>
      <c r="AX92" s="417">
        <f t="shared" si="117"/>
        <v>1250</v>
      </c>
      <c r="AY92" s="417">
        <f t="shared" si="118"/>
        <v>31779</v>
      </c>
      <c r="AZ92" s="418">
        <v>0</v>
      </c>
      <c r="BA92" s="418">
        <v>0</v>
      </c>
      <c r="BB92" s="418">
        <f>-0.08+0.16</f>
        <v>0.08</v>
      </c>
      <c r="BC92" s="418">
        <v>0</v>
      </c>
      <c r="BD92" s="418">
        <v>0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19"/>
        <v>0.08</v>
      </c>
      <c r="BJ92" s="418">
        <f t="shared" si="120"/>
        <v>0</v>
      </c>
      <c r="BK92" s="420">
        <f t="shared" si="121"/>
        <v>0.08</v>
      </c>
      <c r="BL92" s="772">
        <f>I92+AY92</f>
        <v>4084736</v>
      </c>
      <c r="BM92" s="417">
        <f>J92+AG92</f>
        <v>3023172</v>
      </c>
      <c r="BN92" s="417">
        <f t="shared" si="139"/>
        <v>3023172</v>
      </c>
      <c r="BO92" s="417">
        <f t="shared" si="139"/>
        <v>0</v>
      </c>
      <c r="BP92" s="417">
        <f>M92+AO92</f>
        <v>0</v>
      </c>
      <c r="BQ92" s="417">
        <f t="shared" si="140"/>
        <v>0</v>
      </c>
      <c r="BR92" s="417">
        <f t="shared" si="140"/>
        <v>0</v>
      </c>
      <c r="BS92" s="417">
        <f t="shared" si="141"/>
        <v>1021833</v>
      </c>
      <c r="BT92" s="417">
        <f t="shared" si="141"/>
        <v>30231</v>
      </c>
      <c r="BU92" s="417">
        <f>R92+AX92</f>
        <v>9500</v>
      </c>
      <c r="BV92" s="418">
        <f>S92+BK92</f>
        <v>8.1100000000000012</v>
      </c>
      <c r="BW92" s="418">
        <f t="shared" si="142"/>
        <v>8.1100000000000012</v>
      </c>
      <c r="BX92" s="420">
        <f t="shared" si="142"/>
        <v>0</v>
      </c>
      <c r="BY92" s="419"/>
      <c r="BZ92" s="414"/>
      <c r="CA92" s="414"/>
      <c r="CB92" s="414"/>
      <c r="CC92" s="414"/>
      <c r="CD92" s="509"/>
      <c r="CE92" s="419"/>
      <c r="CF92" s="414"/>
      <c r="CG92" s="414"/>
      <c r="CH92" s="414"/>
      <c r="CI92" s="414"/>
      <c r="CJ92" s="509"/>
    </row>
    <row r="93" spans="1:88" s="221" customFormat="1">
      <c r="A93" s="209">
        <v>17</v>
      </c>
      <c r="B93" s="210">
        <v>4454</v>
      </c>
      <c r="C93" s="210">
        <v>600074811</v>
      </c>
      <c r="D93" s="210">
        <v>48283070</v>
      </c>
      <c r="E93" s="208" t="s">
        <v>178</v>
      </c>
      <c r="F93" s="210">
        <v>3141</v>
      </c>
      <c r="G93" s="165" t="s">
        <v>294</v>
      </c>
      <c r="H93" s="621" t="s">
        <v>272</v>
      </c>
      <c r="I93" s="510">
        <v>3317030</v>
      </c>
      <c r="J93" s="414">
        <v>2440414</v>
      </c>
      <c r="K93" s="414">
        <v>0</v>
      </c>
      <c r="L93" s="414">
        <v>2440414</v>
      </c>
      <c r="M93" s="414">
        <v>0</v>
      </c>
      <c r="N93" s="414">
        <v>0</v>
      </c>
      <c r="O93" s="414">
        <v>0</v>
      </c>
      <c r="P93" s="68">
        <v>824860</v>
      </c>
      <c r="Q93" s="68">
        <v>24404</v>
      </c>
      <c r="R93" s="414">
        <v>27352</v>
      </c>
      <c r="S93" s="415">
        <v>7.32</v>
      </c>
      <c r="T93" s="416">
        <v>0</v>
      </c>
      <c r="U93" s="422">
        <v>7.32</v>
      </c>
      <c r="V93" s="423">
        <f t="shared" si="104"/>
        <v>0</v>
      </c>
      <c r="W93" s="417">
        <f t="shared" si="105"/>
        <v>0</v>
      </c>
      <c r="X93" s="417">
        <v>0</v>
      </c>
      <c r="Y93" s="417">
        <v>0</v>
      </c>
      <c r="Z93" s="417">
        <v>0</v>
      </c>
      <c r="AA93" s="417">
        <v>-27409</v>
      </c>
      <c r="AB93" s="417">
        <v>0</v>
      </c>
      <c r="AC93" s="417">
        <v>0</v>
      </c>
      <c r="AD93" s="417">
        <v>0</v>
      </c>
      <c r="AE93" s="417">
        <f t="shared" si="106"/>
        <v>0</v>
      </c>
      <c r="AF93" s="417">
        <f t="shared" si="107"/>
        <v>-27409</v>
      </c>
      <c r="AG93" s="417">
        <f t="shared" si="108"/>
        <v>-27409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09"/>
        <v>0</v>
      </c>
      <c r="AN93" s="417">
        <f t="shared" si="110"/>
        <v>0</v>
      </c>
      <c r="AO93" s="417">
        <f t="shared" si="111"/>
        <v>0</v>
      </c>
      <c r="AP93" s="417">
        <f t="shared" si="112"/>
        <v>0</v>
      </c>
      <c r="AQ93" s="417">
        <f t="shared" si="113"/>
        <v>-27409</v>
      </c>
      <c r="AR93" s="417">
        <f t="shared" si="114"/>
        <v>-27409</v>
      </c>
      <c r="AS93" s="68">
        <f t="shared" si="115"/>
        <v>-9264</v>
      </c>
      <c r="AT93" s="68">
        <f t="shared" si="116"/>
        <v>-274</v>
      </c>
      <c r="AU93" s="417">
        <v>0</v>
      </c>
      <c r="AV93" s="417">
        <v>0</v>
      </c>
      <c r="AW93" s="417">
        <v>0</v>
      </c>
      <c r="AX93" s="417">
        <f t="shared" si="117"/>
        <v>0</v>
      </c>
      <c r="AY93" s="417">
        <f t="shared" si="118"/>
        <v>-36947</v>
      </c>
      <c r="AZ93" s="418">
        <v>0</v>
      </c>
      <c r="BA93" s="418">
        <v>0</v>
      </c>
      <c r="BB93" s="418">
        <v>0</v>
      </c>
      <c r="BC93" s="418">
        <v>0</v>
      </c>
      <c r="BD93" s="418">
        <v>-0.08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19"/>
        <v>0</v>
      </c>
      <c r="BJ93" s="418">
        <f t="shared" si="120"/>
        <v>-0.08</v>
      </c>
      <c r="BK93" s="420">
        <f t="shared" si="121"/>
        <v>-0.08</v>
      </c>
      <c r="BL93" s="772">
        <f>I93+AY93</f>
        <v>3280083</v>
      </c>
      <c r="BM93" s="417">
        <f>J93+AG93</f>
        <v>2413005</v>
      </c>
      <c r="BN93" s="417">
        <f t="shared" si="139"/>
        <v>0</v>
      </c>
      <c r="BO93" s="417">
        <f t="shared" si="139"/>
        <v>2413005</v>
      </c>
      <c r="BP93" s="417">
        <f>M93+AO93</f>
        <v>0</v>
      </c>
      <c r="BQ93" s="417">
        <f t="shared" si="140"/>
        <v>0</v>
      </c>
      <c r="BR93" s="417">
        <f t="shared" si="140"/>
        <v>0</v>
      </c>
      <c r="BS93" s="417">
        <f t="shared" si="141"/>
        <v>815596</v>
      </c>
      <c r="BT93" s="417">
        <f t="shared" si="141"/>
        <v>24130</v>
      </c>
      <c r="BU93" s="417">
        <f>R93+AX93</f>
        <v>27352</v>
      </c>
      <c r="BV93" s="418">
        <f>S93+BK93</f>
        <v>7.24</v>
      </c>
      <c r="BW93" s="418">
        <f t="shared" si="142"/>
        <v>0</v>
      </c>
      <c r="BX93" s="420">
        <f t="shared" si="142"/>
        <v>7.24</v>
      </c>
      <c r="BY93" s="419"/>
      <c r="BZ93" s="414"/>
      <c r="CA93" s="414"/>
      <c r="CB93" s="414"/>
      <c r="CC93" s="414"/>
      <c r="CD93" s="509"/>
      <c r="CE93" s="419"/>
      <c r="CF93" s="601"/>
      <c r="CG93" s="414"/>
      <c r="CH93" s="414"/>
      <c r="CI93" s="601"/>
      <c r="CJ93" s="603"/>
    </row>
    <row r="94" spans="1:88" s="221" customFormat="1">
      <c r="A94" s="209">
        <v>17</v>
      </c>
      <c r="B94" s="210">
        <v>4454</v>
      </c>
      <c r="C94" s="210">
        <v>600074811</v>
      </c>
      <c r="D94" s="210">
        <v>48283070</v>
      </c>
      <c r="E94" s="204" t="s">
        <v>178</v>
      </c>
      <c r="F94" s="210">
        <v>3143</v>
      </c>
      <c r="G94" s="165" t="s">
        <v>595</v>
      </c>
      <c r="H94" s="609" t="s">
        <v>271</v>
      </c>
      <c r="I94" s="510">
        <v>3362330</v>
      </c>
      <c r="J94" s="414">
        <v>2474458</v>
      </c>
      <c r="K94" s="414">
        <v>2474458</v>
      </c>
      <c r="L94" s="414">
        <v>0</v>
      </c>
      <c r="M94" s="414">
        <v>20000</v>
      </c>
      <c r="N94" s="414">
        <v>20000</v>
      </c>
      <c r="O94" s="414">
        <v>0</v>
      </c>
      <c r="P94" s="68">
        <v>843127</v>
      </c>
      <c r="Q94" s="68">
        <v>24745</v>
      </c>
      <c r="R94" s="414">
        <v>0</v>
      </c>
      <c r="S94" s="415">
        <v>4.7140000000000004</v>
      </c>
      <c r="T94" s="416">
        <v>4.7140000000000004</v>
      </c>
      <c r="U94" s="422">
        <v>0</v>
      </c>
      <c r="V94" s="423">
        <f t="shared" si="104"/>
        <v>5000</v>
      </c>
      <c r="W94" s="417">
        <f t="shared" si="105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06"/>
        <v>5000</v>
      </c>
      <c r="AF94" s="417">
        <f t="shared" si="107"/>
        <v>0</v>
      </c>
      <c r="AG94" s="417">
        <f t="shared" si="108"/>
        <v>5000</v>
      </c>
      <c r="AH94" s="417">
        <v>-5000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09"/>
        <v>-5000</v>
      </c>
      <c r="AN94" s="417">
        <f t="shared" si="110"/>
        <v>0</v>
      </c>
      <c r="AO94" s="417">
        <f t="shared" si="111"/>
        <v>-5000</v>
      </c>
      <c r="AP94" s="417">
        <f t="shared" si="112"/>
        <v>0</v>
      </c>
      <c r="AQ94" s="417">
        <f t="shared" si="113"/>
        <v>0</v>
      </c>
      <c r="AR94" s="417">
        <f t="shared" si="114"/>
        <v>0</v>
      </c>
      <c r="AS94" s="68">
        <f t="shared" si="115"/>
        <v>0</v>
      </c>
      <c r="AT94" s="68">
        <f t="shared" si="116"/>
        <v>50</v>
      </c>
      <c r="AU94" s="417">
        <v>0</v>
      </c>
      <c r="AV94" s="417">
        <v>0</v>
      </c>
      <c r="AW94" s="417">
        <v>0</v>
      </c>
      <c r="AX94" s="417">
        <f t="shared" si="117"/>
        <v>0</v>
      </c>
      <c r="AY94" s="417">
        <f t="shared" si="118"/>
        <v>50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19"/>
        <v>0</v>
      </c>
      <c r="BJ94" s="418">
        <f t="shared" si="120"/>
        <v>0</v>
      </c>
      <c r="BK94" s="420">
        <f t="shared" si="121"/>
        <v>0</v>
      </c>
      <c r="BL94" s="772">
        <f>I94+AY94</f>
        <v>3362380</v>
      </c>
      <c r="BM94" s="417">
        <f>J94+AG94</f>
        <v>2479458</v>
      </c>
      <c r="BN94" s="417">
        <f t="shared" si="139"/>
        <v>2479458</v>
      </c>
      <c r="BO94" s="417">
        <f t="shared" si="139"/>
        <v>0</v>
      </c>
      <c r="BP94" s="417">
        <f>M94+AO94</f>
        <v>15000</v>
      </c>
      <c r="BQ94" s="417">
        <f t="shared" si="140"/>
        <v>15000</v>
      </c>
      <c r="BR94" s="417">
        <f t="shared" si="140"/>
        <v>0</v>
      </c>
      <c r="BS94" s="417">
        <f t="shared" si="141"/>
        <v>843127</v>
      </c>
      <c r="BT94" s="417">
        <f t="shared" si="141"/>
        <v>24795</v>
      </c>
      <c r="BU94" s="417">
        <f>R94+AX94</f>
        <v>0</v>
      </c>
      <c r="BV94" s="418">
        <f>S94+BK94</f>
        <v>4.7140000000000004</v>
      </c>
      <c r="BW94" s="418">
        <f t="shared" si="142"/>
        <v>4.7140000000000004</v>
      </c>
      <c r="BX94" s="420">
        <f t="shared" si="142"/>
        <v>0</v>
      </c>
      <c r="BY94" s="419"/>
      <c r="BZ94" s="414"/>
      <c r="CA94" s="414"/>
      <c r="CB94" s="414"/>
      <c r="CC94" s="414"/>
      <c r="CD94" s="509"/>
      <c r="CE94" s="419"/>
      <c r="CF94" s="414"/>
      <c r="CG94" s="414"/>
      <c r="CH94" s="414"/>
      <c r="CI94" s="414"/>
      <c r="CJ94" s="509"/>
    </row>
    <row r="95" spans="1:88" s="221" customFormat="1">
      <c r="A95" s="209">
        <v>17</v>
      </c>
      <c r="B95" s="210">
        <v>4454</v>
      </c>
      <c r="C95" s="210">
        <v>600074811</v>
      </c>
      <c r="D95" s="210">
        <v>48283070</v>
      </c>
      <c r="E95" s="204" t="s">
        <v>178</v>
      </c>
      <c r="F95" s="210">
        <v>3143</v>
      </c>
      <c r="G95" s="165" t="s">
        <v>596</v>
      </c>
      <c r="H95" s="609" t="s">
        <v>272</v>
      </c>
      <c r="I95" s="510">
        <v>100659</v>
      </c>
      <c r="J95" s="414">
        <v>72050</v>
      </c>
      <c r="K95" s="414">
        <v>0</v>
      </c>
      <c r="L95" s="414">
        <v>72050</v>
      </c>
      <c r="M95" s="414">
        <v>0</v>
      </c>
      <c r="N95" s="414">
        <v>0</v>
      </c>
      <c r="O95" s="414">
        <v>0</v>
      </c>
      <c r="P95" s="68">
        <v>24352</v>
      </c>
      <c r="Q95" s="68">
        <v>720</v>
      </c>
      <c r="R95" s="414">
        <v>3537</v>
      </c>
      <c r="S95" s="415">
        <v>0.27</v>
      </c>
      <c r="T95" s="416">
        <v>0</v>
      </c>
      <c r="U95" s="422">
        <v>0.27</v>
      </c>
      <c r="V95" s="423">
        <f t="shared" si="104"/>
        <v>0</v>
      </c>
      <c r="W95" s="417">
        <f t="shared" si="105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06"/>
        <v>0</v>
      </c>
      <c r="AF95" s="417">
        <f t="shared" si="107"/>
        <v>0</v>
      </c>
      <c r="AG95" s="417">
        <f t="shared" si="108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09"/>
        <v>0</v>
      </c>
      <c r="AN95" s="417">
        <f t="shared" si="110"/>
        <v>0</v>
      </c>
      <c r="AO95" s="417">
        <f t="shared" si="111"/>
        <v>0</v>
      </c>
      <c r="AP95" s="417">
        <f t="shared" si="112"/>
        <v>0</v>
      </c>
      <c r="AQ95" s="417">
        <f t="shared" si="113"/>
        <v>0</v>
      </c>
      <c r="AR95" s="417">
        <f t="shared" si="114"/>
        <v>0</v>
      </c>
      <c r="AS95" s="68">
        <f t="shared" si="115"/>
        <v>0</v>
      </c>
      <c r="AT95" s="68">
        <f t="shared" si="116"/>
        <v>0</v>
      </c>
      <c r="AU95" s="417">
        <v>0</v>
      </c>
      <c r="AV95" s="417">
        <v>0</v>
      </c>
      <c r="AW95" s="417">
        <v>0</v>
      </c>
      <c r="AX95" s="417">
        <f t="shared" si="117"/>
        <v>0</v>
      </c>
      <c r="AY95" s="417">
        <f t="shared" si="118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19"/>
        <v>0</v>
      </c>
      <c r="BJ95" s="418">
        <f t="shared" si="120"/>
        <v>0</v>
      </c>
      <c r="BK95" s="420">
        <f t="shared" si="121"/>
        <v>0</v>
      </c>
      <c r="BL95" s="772">
        <f>I95+AY95</f>
        <v>100659</v>
      </c>
      <c r="BM95" s="417">
        <f>J95+AG95</f>
        <v>72050</v>
      </c>
      <c r="BN95" s="417">
        <f t="shared" si="139"/>
        <v>0</v>
      </c>
      <c r="BO95" s="417">
        <f t="shared" si="139"/>
        <v>72050</v>
      </c>
      <c r="BP95" s="417">
        <f>M95+AO95</f>
        <v>0</v>
      </c>
      <c r="BQ95" s="417">
        <f t="shared" si="140"/>
        <v>0</v>
      </c>
      <c r="BR95" s="417">
        <f t="shared" si="140"/>
        <v>0</v>
      </c>
      <c r="BS95" s="417">
        <f t="shared" si="141"/>
        <v>24352</v>
      </c>
      <c r="BT95" s="417">
        <f t="shared" si="141"/>
        <v>720</v>
      </c>
      <c r="BU95" s="417">
        <f>R95+AX95</f>
        <v>3537</v>
      </c>
      <c r="BV95" s="418">
        <f>S95+BK95</f>
        <v>0.27</v>
      </c>
      <c r="BW95" s="418">
        <f t="shared" si="142"/>
        <v>0</v>
      </c>
      <c r="BX95" s="420">
        <f t="shared" si="142"/>
        <v>0.27</v>
      </c>
      <c r="BY95" s="419"/>
      <c r="BZ95" s="414"/>
      <c r="CA95" s="414"/>
      <c r="CB95" s="414"/>
      <c r="CC95" s="414"/>
      <c r="CD95" s="509"/>
      <c r="CE95" s="419"/>
      <c r="CF95" s="601"/>
      <c r="CG95" s="414"/>
      <c r="CH95" s="414"/>
      <c r="CI95" s="602"/>
      <c r="CJ95" s="603"/>
    </row>
    <row r="96" spans="1:88" s="221" customFormat="1">
      <c r="A96" s="155">
        <v>17</v>
      </c>
      <c r="B96" s="18">
        <v>4454</v>
      </c>
      <c r="C96" s="18">
        <v>600074811</v>
      </c>
      <c r="D96" s="18">
        <v>48283070</v>
      </c>
      <c r="E96" s="164" t="s">
        <v>179</v>
      </c>
      <c r="F96" s="18"/>
      <c r="G96" s="154"/>
      <c r="H96" s="608"/>
      <c r="I96" s="451">
        <v>44919892</v>
      </c>
      <c r="J96" s="444">
        <v>32761488</v>
      </c>
      <c r="K96" s="444">
        <v>27782387</v>
      </c>
      <c r="L96" s="444">
        <v>4979101</v>
      </c>
      <c r="M96" s="444">
        <v>82080</v>
      </c>
      <c r="N96" s="444">
        <v>82080</v>
      </c>
      <c r="O96" s="444">
        <v>0</v>
      </c>
      <c r="P96" s="444">
        <v>11101126</v>
      </c>
      <c r="Q96" s="444">
        <v>327614</v>
      </c>
      <c r="R96" s="444">
        <v>647584</v>
      </c>
      <c r="S96" s="445">
        <v>57.759800000000006</v>
      </c>
      <c r="T96" s="445">
        <v>42.698300000000003</v>
      </c>
      <c r="U96" s="449">
        <v>15.061499999999999</v>
      </c>
      <c r="V96" s="447">
        <f t="shared" ref="V96:CG96" si="143">SUM(V91:V95)</f>
        <v>2520</v>
      </c>
      <c r="W96" s="444">
        <f t="shared" si="143"/>
        <v>0</v>
      </c>
      <c r="X96" s="444">
        <f t="shared" si="143"/>
        <v>22648</v>
      </c>
      <c r="Y96" s="444">
        <f t="shared" si="143"/>
        <v>52960</v>
      </c>
      <c r="Z96" s="444">
        <f t="shared" si="143"/>
        <v>0</v>
      </c>
      <c r="AA96" s="444">
        <f t="shared" si="143"/>
        <v>-27409</v>
      </c>
      <c r="AB96" s="444">
        <f t="shared" si="143"/>
        <v>0</v>
      </c>
      <c r="AC96" s="444">
        <f t="shared" si="143"/>
        <v>0</v>
      </c>
      <c r="AD96" s="444">
        <f t="shared" si="143"/>
        <v>0</v>
      </c>
      <c r="AE96" s="444">
        <f t="shared" si="143"/>
        <v>78128</v>
      </c>
      <c r="AF96" s="444">
        <f t="shared" si="143"/>
        <v>-27409</v>
      </c>
      <c r="AG96" s="444">
        <f t="shared" si="143"/>
        <v>50719</v>
      </c>
      <c r="AH96" s="444">
        <f t="shared" si="143"/>
        <v>-2520</v>
      </c>
      <c r="AI96" s="444">
        <f t="shared" si="143"/>
        <v>0</v>
      </c>
      <c r="AJ96" s="444">
        <f t="shared" si="143"/>
        <v>0</v>
      </c>
      <c r="AK96" s="444">
        <f t="shared" si="143"/>
        <v>0</v>
      </c>
      <c r="AL96" s="444">
        <f t="shared" si="143"/>
        <v>0</v>
      </c>
      <c r="AM96" s="444">
        <f t="shared" si="143"/>
        <v>-2520</v>
      </c>
      <c r="AN96" s="444">
        <f t="shared" si="143"/>
        <v>0</v>
      </c>
      <c r="AO96" s="444">
        <f t="shared" si="143"/>
        <v>-2520</v>
      </c>
      <c r="AP96" s="444">
        <f t="shared" si="143"/>
        <v>75608</v>
      </c>
      <c r="AQ96" s="444">
        <f t="shared" si="143"/>
        <v>-27409</v>
      </c>
      <c r="AR96" s="444">
        <f t="shared" si="143"/>
        <v>48199</v>
      </c>
      <c r="AS96" s="444">
        <f t="shared" si="143"/>
        <v>16291</v>
      </c>
      <c r="AT96" s="444">
        <f t="shared" si="143"/>
        <v>507</v>
      </c>
      <c r="AU96" s="444">
        <f t="shared" si="143"/>
        <v>1250</v>
      </c>
      <c r="AV96" s="444">
        <f t="shared" si="143"/>
        <v>0</v>
      </c>
      <c r="AW96" s="444">
        <f t="shared" si="143"/>
        <v>0</v>
      </c>
      <c r="AX96" s="444">
        <f t="shared" si="143"/>
        <v>1250</v>
      </c>
      <c r="AY96" s="444">
        <f t="shared" si="143"/>
        <v>66247</v>
      </c>
      <c r="AZ96" s="445">
        <f t="shared" si="143"/>
        <v>0</v>
      </c>
      <c r="BA96" s="445">
        <f t="shared" si="143"/>
        <v>0</v>
      </c>
      <c r="BB96" s="445">
        <f t="shared" si="143"/>
        <v>0.08</v>
      </c>
      <c r="BC96" s="445">
        <f t="shared" si="143"/>
        <v>0</v>
      </c>
      <c r="BD96" s="445">
        <f t="shared" si="143"/>
        <v>-0.08</v>
      </c>
      <c r="BE96" s="445">
        <f t="shared" si="143"/>
        <v>0.08</v>
      </c>
      <c r="BF96" s="445">
        <f t="shared" si="143"/>
        <v>0</v>
      </c>
      <c r="BG96" s="445">
        <f t="shared" si="143"/>
        <v>0</v>
      </c>
      <c r="BH96" s="445">
        <f t="shared" si="143"/>
        <v>0</v>
      </c>
      <c r="BI96" s="445">
        <f t="shared" si="143"/>
        <v>0.16</v>
      </c>
      <c r="BJ96" s="445">
        <f t="shared" si="143"/>
        <v>-0.08</v>
      </c>
      <c r="BK96" s="39">
        <f t="shared" si="143"/>
        <v>0.08</v>
      </c>
      <c r="BL96" s="451">
        <f t="shared" si="143"/>
        <v>44986139</v>
      </c>
      <c r="BM96" s="444">
        <f t="shared" si="143"/>
        <v>32812207</v>
      </c>
      <c r="BN96" s="444">
        <f t="shared" si="143"/>
        <v>27860515</v>
      </c>
      <c r="BO96" s="444">
        <f t="shared" si="143"/>
        <v>4951692</v>
      </c>
      <c r="BP96" s="444">
        <f t="shared" si="143"/>
        <v>79560</v>
      </c>
      <c r="BQ96" s="444">
        <f t="shared" si="143"/>
        <v>79560</v>
      </c>
      <c r="BR96" s="444">
        <f t="shared" si="143"/>
        <v>0</v>
      </c>
      <c r="BS96" s="444">
        <f t="shared" si="143"/>
        <v>11117417</v>
      </c>
      <c r="BT96" s="444">
        <f t="shared" si="143"/>
        <v>328121</v>
      </c>
      <c r="BU96" s="444">
        <f t="shared" si="143"/>
        <v>648834</v>
      </c>
      <c r="BV96" s="445">
        <f t="shared" si="143"/>
        <v>57.839800000000004</v>
      </c>
      <c r="BW96" s="445">
        <f t="shared" si="143"/>
        <v>42.8583</v>
      </c>
      <c r="BX96" s="39">
        <f t="shared" si="143"/>
        <v>14.9815</v>
      </c>
      <c r="BY96" s="806">
        <f t="shared" si="143"/>
        <v>0</v>
      </c>
      <c r="BZ96" s="709">
        <f t="shared" si="143"/>
        <v>0</v>
      </c>
      <c r="CA96" s="709">
        <f t="shared" si="143"/>
        <v>0</v>
      </c>
      <c r="CB96" s="709">
        <f t="shared" si="143"/>
        <v>0</v>
      </c>
      <c r="CC96" s="709">
        <f t="shared" si="143"/>
        <v>0</v>
      </c>
      <c r="CD96" s="807">
        <f t="shared" si="143"/>
        <v>0</v>
      </c>
      <c r="CE96" s="919">
        <f t="shared" si="143"/>
        <v>1207710</v>
      </c>
      <c r="CF96" s="920">
        <f t="shared" si="143"/>
        <v>791702</v>
      </c>
      <c r="CG96" s="920">
        <f t="shared" si="143"/>
        <v>267595</v>
      </c>
      <c r="CH96" s="920">
        <f t="shared" ref="CH96:CJ96" si="144">SUM(CH91:CH95)</f>
        <v>7917</v>
      </c>
      <c r="CI96" s="920">
        <f t="shared" si="144"/>
        <v>140496</v>
      </c>
      <c r="CJ96" s="921">
        <f t="shared" si="144"/>
        <v>2.3982000000000001</v>
      </c>
    </row>
    <row r="97" spans="1:88" s="221" customFormat="1">
      <c r="A97" s="209">
        <v>18</v>
      </c>
      <c r="B97" s="210">
        <v>4479</v>
      </c>
      <c r="C97" s="210">
        <v>600075150</v>
      </c>
      <c r="D97" s="210">
        <v>70982228</v>
      </c>
      <c r="E97" s="208" t="s">
        <v>180</v>
      </c>
      <c r="F97" s="210">
        <v>3111</v>
      </c>
      <c r="G97" s="165" t="s">
        <v>290</v>
      </c>
      <c r="H97" s="621" t="s">
        <v>271</v>
      </c>
      <c r="I97" s="510">
        <v>3491986</v>
      </c>
      <c r="J97" s="414">
        <v>2573298</v>
      </c>
      <c r="K97" s="414">
        <v>2367477</v>
      </c>
      <c r="L97" s="414">
        <v>205821</v>
      </c>
      <c r="M97" s="414">
        <v>0</v>
      </c>
      <c r="N97" s="414">
        <v>0</v>
      </c>
      <c r="O97" s="414">
        <v>0</v>
      </c>
      <c r="P97" s="68">
        <v>869775</v>
      </c>
      <c r="Q97" s="68">
        <v>25733</v>
      </c>
      <c r="R97" s="414">
        <v>23180</v>
      </c>
      <c r="S97" s="415">
        <v>4.8246000000000002</v>
      </c>
      <c r="T97" s="416">
        <v>4</v>
      </c>
      <c r="U97" s="422">
        <v>0.8246</v>
      </c>
      <c r="V97" s="423">
        <f t="shared" si="104"/>
        <v>0</v>
      </c>
      <c r="W97" s="417">
        <f t="shared" si="105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06"/>
        <v>0</v>
      </c>
      <c r="AF97" s="417">
        <f t="shared" si="107"/>
        <v>0</v>
      </c>
      <c r="AG97" s="417">
        <f t="shared" si="108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09"/>
        <v>0</v>
      </c>
      <c r="AN97" s="417">
        <f t="shared" si="110"/>
        <v>0</v>
      </c>
      <c r="AO97" s="417">
        <f t="shared" si="111"/>
        <v>0</v>
      </c>
      <c r="AP97" s="417">
        <f t="shared" si="112"/>
        <v>0</v>
      </c>
      <c r="AQ97" s="417">
        <f t="shared" si="113"/>
        <v>0</v>
      </c>
      <c r="AR97" s="417">
        <f t="shared" si="114"/>
        <v>0</v>
      </c>
      <c r="AS97" s="68">
        <f t="shared" si="115"/>
        <v>0</v>
      </c>
      <c r="AT97" s="68">
        <f t="shared" si="116"/>
        <v>0</v>
      </c>
      <c r="AU97" s="417">
        <v>0</v>
      </c>
      <c r="AV97" s="417">
        <v>0</v>
      </c>
      <c r="AW97" s="417">
        <v>0</v>
      </c>
      <c r="AX97" s="417">
        <f t="shared" si="117"/>
        <v>0</v>
      </c>
      <c r="AY97" s="417">
        <f t="shared" si="118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19"/>
        <v>0</v>
      </c>
      <c r="BJ97" s="418">
        <f t="shared" si="120"/>
        <v>0</v>
      </c>
      <c r="BK97" s="420">
        <f t="shared" si="121"/>
        <v>0</v>
      </c>
      <c r="BL97" s="772">
        <f t="shared" ref="BL97:BL106" si="145">I97+AY97</f>
        <v>3491986</v>
      </c>
      <c r="BM97" s="417">
        <f t="shared" ref="BM97:BM106" si="146">J97+AG97</f>
        <v>2573298</v>
      </c>
      <c r="BN97" s="417">
        <f t="shared" ref="BN97:BO106" si="147">K97+AE97</f>
        <v>2367477</v>
      </c>
      <c r="BO97" s="417">
        <f t="shared" si="147"/>
        <v>205821</v>
      </c>
      <c r="BP97" s="417">
        <f t="shared" ref="BP97:BP106" si="148">M97+AO97</f>
        <v>0</v>
      </c>
      <c r="BQ97" s="417">
        <f t="shared" ref="BQ97:BR106" si="149">N97+AM97</f>
        <v>0</v>
      </c>
      <c r="BR97" s="417">
        <f t="shared" si="149"/>
        <v>0</v>
      </c>
      <c r="BS97" s="417">
        <f t="shared" ref="BS97:BT106" si="150">P97+AS97</f>
        <v>869775</v>
      </c>
      <c r="BT97" s="417">
        <f t="shared" si="150"/>
        <v>25733</v>
      </c>
      <c r="BU97" s="417">
        <f t="shared" ref="BU97:BU106" si="151">R97+AX97</f>
        <v>23180</v>
      </c>
      <c r="BV97" s="418">
        <f t="shared" ref="BV97:BV106" si="152">S97+BK97</f>
        <v>4.8246000000000002</v>
      </c>
      <c r="BW97" s="418">
        <f t="shared" ref="BW97:BX106" si="153">T97+BI97</f>
        <v>4</v>
      </c>
      <c r="BX97" s="420">
        <f t="shared" si="153"/>
        <v>0.8246</v>
      </c>
      <c r="BY97" s="419"/>
      <c r="BZ97" s="414"/>
      <c r="CA97" s="414"/>
      <c r="CB97" s="414"/>
      <c r="CC97" s="414"/>
      <c r="CD97" s="509"/>
      <c r="CE97" s="419">
        <v>96749</v>
      </c>
      <c r="CF97" s="414">
        <v>66045</v>
      </c>
      <c r="CG97" s="414">
        <v>22323</v>
      </c>
      <c r="CH97" s="414">
        <v>660</v>
      </c>
      <c r="CI97" s="414">
        <v>7721</v>
      </c>
      <c r="CJ97" s="509">
        <v>0.2646</v>
      </c>
    </row>
    <row r="98" spans="1:88" s="221" customFormat="1">
      <c r="A98" s="209">
        <v>18</v>
      </c>
      <c r="B98" s="210">
        <v>4479</v>
      </c>
      <c r="C98" s="210">
        <v>600075150</v>
      </c>
      <c r="D98" s="210">
        <v>70982228</v>
      </c>
      <c r="E98" s="208" t="s">
        <v>180</v>
      </c>
      <c r="F98" s="210">
        <v>3111</v>
      </c>
      <c r="G98" s="165" t="s">
        <v>292</v>
      </c>
      <c r="H98" s="621" t="s">
        <v>271</v>
      </c>
      <c r="I98" s="510">
        <v>547719</v>
      </c>
      <c r="J98" s="414">
        <v>406320</v>
      </c>
      <c r="K98" s="414">
        <v>406320</v>
      </c>
      <c r="L98" s="414">
        <v>0</v>
      </c>
      <c r="M98" s="414">
        <v>0</v>
      </c>
      <c r="N98" s="414">
        <v>0</v>
      </c>
      <c r="O98" s="414">
        <v>0</v>
      </c>
      <c r="P98" s="68">
        <v>137336</v>
      </c>
      <c r="Q98" s="68">
        <v>4063</v>
      </c>
      <c r="R98" s="414">
        <v>0</v>
      </c>
      <c r="S98" s="415">
        <v>1</v>
      </c>
      <c r="T98" s="416">
        <v>1</v>
      </c>
      <c r="U98" s="422">
        <v>0</v>
      </c>
      <c r="V98" s="423">
        <f t="shared" si="104"/>
        <v>0</v>
      </c>
      <c r="W98" s="417">
        <f t="shared" si="105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06"/>
        <v>0</v>
      </c>
      <c r="AF98" s="417">
        <f t="shared" si="107"/>
        <v>0</v>
      </c>
      <c r="AG98" s="417">
        <f t="shared" si="108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09"/>
        <v>0</v>
      </c>
      <c r="AN98" s="417">
        <f t="shared" si="110"/>
        <v>0</v>
      </c>
      <c r="AO98" s="417">
        <f t="shared" si="111"/>
        <v>0</v>
      </c>
      <c r="AP98" s="417">
        <f t="shared" si="112"/>
        <v>0</v>
      </c>
      <c r="AQ98" s="417">
        <f t="shared" si="113"/>
        <v>0</v>
      </c>
      <c r="AR98" s="417">
        <f t="shared" si="114"/>
        <v>0</v>
      </c>
      <c r="AS98" s="68">
        <f t="shared" si="115"/>
        <v>0</v>
      </c>
      <c r="AT98" s="68">
        <f t="shared" si="116"/>
        <v>0</v>
      </c>
      <c r="AU98" s="417">
        <v>0</v>
      </c>
      <c r="AV98" s="417">
        <v>0</v>
      </c>
      <c r="AW98" s="417">
        <v>0</v>
      </c>
      <c r="AX98" s="417">
        <f t="shared" si="117"/>
        <v>0</v>
      </c>
      <c r="AY98" s="417">
        <f t="shared" si="118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19"/>
        <v>0</v>
      </c>
      <c r="BJ98" s="418">
        <f t="shared" si="120"/>
        <v>0</v>
      </c>
      <c r="BK98" s="420">
        <f t="shared" si="121"/>
        <v>0</v>
      </c>
      <c r="BL98" s="772">
        <f t="shared" si="145"/>
        <v>547719</v>
      </c>
      <c r="BM98" s="417">
        <f t="shared" si="146"/>
        <v>406320</v>
      </c>
      <c r="BN98" s="417">
        <f t="shared" si="147"/>
        <v>406320</v>
      </c>
      <c r="BO98" s="417">
        <f t="shared" si="147"/>
        <v>0</v>
      </c>
      <c r="BP98" s="417">
        <f t="shared" si="148"/>
        <v>0</v>
      </c>
      <c r="BQ98" s="417">
        <f t="shared" si="149"/>
        <v>0</v>
      </c>
      <c r="BR98" s="417">
        <f t="shared" si="149"/>
        <v>0</v>
      </c>
      <c r="BS98" s="417">
        <f t="shared" si="150"/>
        <v>137336</v>
      </c>
      <c r="BT98" s="417">
        <f t="shared" si="150"/>
        <v>4063</v>
      </c>
      <c r="BU98" s="417">
        <f t="shared" si="151"/>
        <v>0</v>
      </c>
      <c r="BV98" s="418">
        <f t="shared" si="152"/>
        <v>1</v>
      </c>
      <c r="BW98" s="418">
        <f t="shared" si="153"/>
        <v>1</v>
      </c>
      <c r="BX98" s="420">
        <f t="shared" si="153"/>
        <v>0</v>
      </c>
      <c r="BY98" s="419"/>
      <c r="BZ98" s="414"/>
      <c r="CA98" s="414"/>
      <c r="CB98" s="414"/>
      <c r="CC98" s="414"/>
      <c r="CD98" s="509"/>
      <c r="CE98" s="419"/>
      <c r="CF98" s="414"/>
      <c r="CG98" s="414"/>
      <c r="CH98" s="414"/>
      <c r="CI98" s="414"/>
      <c r="CJ98" s="509"/>
    </row>
    <row r="99" spans="1:88" s="221" customFormat="1">
      <c r="A99" s="209">
        <v>18</v>
      </c>
      <c r="B99" s="210">
        <v>4479</v>
      </c>
      <c r="C99" s="210">
        <v>600075150</v>
      </c>
      <c r="D99" s="210">
        <v>70982228</v>
      </c>
      <c r="E99" s="208" t="s">
        <v>180</v>
      </c>
      <c r="F99" s="210">
        <v>3114</v>
      </c>
      <c r="G99" s="165" t="s">
        <v>525</v>
      </c>
      <c r="H99" s="621" t="s">
        <v>271</v>
      </c>
      <c r="I99" s="510">
        <v>41037273</v>
      </c>
      <c r="J99" s="414">
        <v>30125955</v>
      </c>
      <c r="K99" s="414">
        <v>26848075</v>
      </c>
      <c r="L99" s="414">
        <v>3277880</v>
      </c>
      <c r="M99" s="414">
        <v>0</v>
      </c>
      <c r="N99" s="414">
        <v>0</v>
      </c>
      <c r="O99" s="414">
        <v>0</v>
      </c>
      <c r="P99" s="68">
        <v>10182572</v>
      </c>
      <c r="Q99" s="68">
        <v>301261</v>
      </c>
      <c r="R99" s="414">
        <v>427485</v>
      </c>
      <c r="S99" s="415">
        <v>45.667799999999993</v>
      </c>
      <c r="T99" s="416">
        <v>35.625299999999996</v>
      </c>
      <c r="U99" s="422">
        <v>10.0425</v>
      </c>
      <c r="V99" s="423">
        <f t="shared" si="104"/>
        <v>0</v>
      </c>
      <c r="W99" s="417">
        <f t="shared" si="105"/>
        <v>-90000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06"/>
        <v>0</v>
      </c>
      <c r="AF99" s="417">
        <f t="shared" si="107"/>
        <v>-90000</v>
      </c>
      <c r="AG99" s="417">
        <f t="shared" si="108"/>
        <v>-90000</v>
      </c>
      <c r="AH99" s="417">
        <v>0</v>
      </c>
      <c r="AI99" s="417">
        <v>90000</v>
      </c>
      <c r="AJ99" s="417">
        <v>0</v>
      </c>
      <c r="AK99" s="417">
        <v>0</v>
      </c>
      <c r="AL99" s="417">
        <v>0</v>
      </c>
      <c r="AM99" s="417">
        <f t="shared" si="109"/>
        <v>0</v>
      </c>
      <c r="AN99" s="417">
        <f t="shared" si="110"/>
        <v>90000</v>
      </c>
      <c r="AO99" s="417">
        <f t="shared" si="111"/>
        <v>90000</v>
      </c>
      <c r="AP99" s="417">
        <f t="shared" si="112"/>
        <v>0</v>
      </c>
      <c r="AQ99" s="417">
        <f t="shared" si="113"/>
        <v>0</v>
      </c>
      <c r="AR99" s="417">
        <f t="shared" si="114"/>
        <v>0</v>
      </c>
      <c r="AS99" s="68">
        <f t="shared" si="115"/>
        <v>0</v>
      </c>
      <c r="AT99" s="68">
        <f t="shared" si="116"/>
        <v>-900</v>
      </c>
      <c r="AU99" s="417">
        <v>0</v>
      </c>
      <c r="AV99" s="417">
        <v>0</v>
      </c>
      <c r="AW99" s="417">
        <v>0</v>
      </c>
      <c r="AX99" s="417">
        <f t="shared" si="117"/>
        <v>0</v>
      </c>
      <c r="AY99" s="417">
        <f t="shared" si="118"/>
        <v>-900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19"/>
        <v>0</v>
      </c>
      <c r="BJ99" s="418">
        <f t="shared" si="120"/>
        <v>0</v>
      </c>
      <c r="BK99" s="420">
        <f t="shared" si="121"/>
        <v>0</v>
      </c>
      <c r="BL99" s="772">
        <f t="shared" si="145"/>
        <v>41036373</v>
      </c>
      <c r="BM99" s="417">
        <f t="shared" si="146"/>
        <v>30035955</v>
      </c>
      <c r="BN99" s="417">
        <f t="shared" si="147"/>
        <v>26848075</v>
      </c>
      <c r="BO99" s="417">
        <f t="shared" si="147"/>
        <v>3187880</v>
      </c>
      <c r="BP99" s="417">
        <f t="shared" si="148"/>
        <v>90000</v>
      </c>
      <c r="BQ99" s="417">
        <f t="shared" si="149"/>
        <v>0</v>
      </c>
      <c r="BR99" s="417">
        <f t="shared" si="149"/>
        <v>90000</v>
      </c>
      <c r="BS99" s="417">
        <f t="shared" si="150"/>
        <v>10182572</v>
      </c>
      <c r="BT99" s="417">
        <f t="shared" si="150"/>
        <v>300361</v>
      </c>
      <c r="BU99" s="417">
        <f t="shared" si="151"/>
        <v>427485</v>
      </c>
      <c r="BV99" s="418">
        <f t="shared" si="152"/>
        <v>45.667799999999993</v>
      </c>
      <c r="BW99" s="418">
        <f t="shared" si="153"/>
        <v>35.625299999999996</v>
      </c>
      <c r="BX99" s="420">
        <f t="shared" si="153"/>
        <v>10.0425</v>
      </c>
      <c r="BY99" s="419"/>
      <c r="BZ99" s="414"/>
      <c r="CA99" s="414"/>
      <c r="CB99" s="414"/>
      <c r="CC99" s="414"/>
      <c r="CD99" s="509"/>
      <c r="CE99" s="414">
        <v>1535024</v>
      </c>
      <c r="CF99" s="414">
        <v>1051792</v>
      </c>
      <c r="CG99" s="414">
        <v>355506</v>
      </c>
      <c r="CH99" s="414">
        <v>10519</v>
      </c>
      <c r="CI99" s="414">
        <v>117207</v>
      </c>
      <c r="CJ99" s="509">
        <v>3.2223999999999999</v>
      </c>
    </row>
    <row r="100" spans="1:88" s="221" customFormat="1">
      <c r="A100" s="209">
        <v>18</v>
      </c>
      <c r="B100" s="210">
        <v>4479</v>
      </c>
      <c r="C100" s="210">
        <v>600075150</v>
      </c>
      <c r="D100" s="210">
        <v>70982228</v>
      </c>
      <c r="E100" s="208" t="s">
        <v>180</v>
      </c>
      <c r="F100" s="210">
        <v>3114</v>
      </c>
      <c r="G100" s="165" t="s">
        <v>292</v>
      </c>
      <c r="H100" s="621" t="s">
        <v>271</v>
      </c>
      <c r="I100" s="510">
        <v>10619878</v>
      </c>
      <c r="J100" s="414">
        <v>7878248</v>
      </c>
      <c r="K100" s="414">
        <v>7878248</v>
      </c>
      <c r="L100" s="414">
        <v>0</v>
      </c>
      <c r="M100" s="414">
        <v>0</v>
      </c>
      <c r="N100" s="414">
        <v>0</v>
      </c>
      <c r="O100" s="414">
        <v>0</v>
      </c>
      <c r="P100" s="68">
        <v>2662848</v>
      </c>
      <c r="Q100" s="68">
        <v>78782</v>
      </c>
      <c r="R100" s="414">
        <v>0</v>
      </c>
      <c r="S100" s="415">
        <v>20.124600000000001</v>
      </c>
      <c r="T100" s="416">
        <v>20.124600000000001</v>
      </c>
      <c r="U100" s="422">
        <v>0</v>
      </c>
      <c r="V100" s="423">
        <f t="shared" si="104"/>
        <v>0</v>
      </c>
      <c r="W100" s="417">
        <f t="shared" si="105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06"/>
        <v>0</v>
      </c>
      <c r="AF100" s="417">
        <f t="shared" si="107"/>
        <v>0</v>
      </c>
      <c r="AG100" s="417">
        <f t="shared" si="108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09"/>
        <v>0</v>
      </c>
      <c r="AN100" s="417">
        <f t="shared" si="110"/>
        <v>0</v>
      </c>
      <c r="AO100" s="417">
        <f t="shared" si="111"/>
        <v>0</v>
      </c>
      <c r="AP100" s="417">
        <f t="shared" si="112"/>
        <v>0</v>
      </c>
      <c r="AQ100" s="417">
        <f t="shared" si="113"/>
        <v>0</v>
      </c>
      <c r="AR100" s="417">
        <f t="shared" si="114"/>
        <v>0</v>
      </c>
      <c r="AS100" s="68">
        <f t="shared" si="115"/>
        <v>0</v>
      </c>
      <c r="AT100" s="68">
        <f t="shared" si="116"/>
        <v>0</v>
      </c>
      <c r="AU100" s="417">
        <v>0</v>
      </c>
      <c r="AV100" s="417">
        <v>0</v>
      </c>
      <c r="AW100" s="417">
        <v>0</v>
      </c>
      <c r="AX100" s="417">
        <f t="shared" si="117"/>
        <v>0</v>
      </c>
      <c r="AY100" s="417">
        <f t="shared" si="118"/>
        <v>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19"/>
        <v>0</v>
      </c>
      <c r="BJ100" s="418">
        <f t="shared" si="120"/>
        <v>0</v>
      </c>
      <c r="BK100" s="420">
        <f t="shared" si="121"/>
        <v>0</v>
      </c>
      <c r="BL100" s="772">
        <f t="shared" si="145"/>
        <v>10619878</v>
      </c>
      <c r="BM100" s="417">
        <f t="shared" si="146"/>
        <v>7878248</v>
      </c>
      <c r="BN100" s="417">
        <f t="shared" si="147"/>
        <v>7878248</v>
      </c>
      <c r="BO100" s="417">
        <f t="shared" si="147"/>
        <v>0</v>
      </c>
      <c r="BP100" s="417">
        <f t="shared" si="148"/>
        <v>0</v>
      </c>
      <c r="BQ100" s="417">
        <f t="shared" si="149"/>
        <v>0</v>
      </c>
      <c r="BR100" s="417">
        <f t="shared" si="149"/>
        <v>0</v>
      </c>
      <c r="BS100" s="417">
        <f t="shared" si="150"/>
        <v>2662848</v>
      </c>
      <c r="BT100" s="417">
        <f t="shared" si="150"/>
        <v>78782</v>
      </c>
      <c r="BU100" s="417">
        <f t="shared" si="151"/>
        <v>0</v>
      </c>
      <c r="BV100" s="418">
        <f t="shared" si="152"/>
        <v>20.124600000000001</v>
      </c>
      <c r="BW100" s="418">
        <f t="shared" si="153"/>
        <v>20.124600000000001</v>
      </c>
      <c r="BX100" s="420">
        <f t="shared" si="153"/>
        <v>0</v>
      </c>
      <c r="BY100" s="419"/>
      <c r="BZ100" s="414"/>
      <c r="CA100" s="414"/>
      <c r="CB100" s="414"/>
      <c r="CC100" s="414"/>
      <c r="CD100" s="509"/>
      <c r="CE100" s="419"/>
      <c r="CF100" s="414"/>
      <c r="CG100" s="414"/>
      <c r="CH100" s="414"/>
      <c r="CI100" s="414"/>
      <c r="CJ100" s="509"/>
    </row>
    <row r="101" spans="1:88" s="221" customFormat="1">
      <c r="A101" s="209">
        <v>18</v>
      </c>
      <c r="B101" s="210">
        <v>4479</v>
      </c>
      <c r="C101" s="210">
        <v>600075150</v>
      </c>
      <c r="D101" s="210">
        <v>70982228</v>
      </c>
      <c r="E101" s="208" t="s">
        <v>180</v>
      </c>
      <c r="F101" s="210">
        <v>3124</v>
      </c>
      <c r="G101" s="165" t="s">
        <v>299</v>
      </c>
      <c r="H101" s="621" t="s">
        <v>271</v>
      </c>
      <c r="I101" s="510">
        <v>3794318</v>
      </c>
      <c r="J101" s="414">
        <v>2800971</v>
      </c>
      <c r="K101" s="414">
        <v>2650048</v>
      </c>
      <c r="L101" s="414">
        <v>150923</v>
      </c>
      <c r="M101" s="414">
        <v>0</v>
      </c>
      <c r="N101" s="414">
        <v>0</v>
      </c>
      <c r="O101" s="414">
        <v>0</v>
      </c>
      <c r="P101" s="68">
        <v>946728</v>
      </c>
      <c r="Q101" s="68">
        <v>28009</v>
      </c>
      <c r="R101" s="414">
        <v>18610</v>
      </c>
      <c r="S101" s="415">
        <v>3.8789999999999996</v>
      </c>
      <c r="T101" s="416">
        <v>3.4285999999999999</v>
      </c>
      <c r="U101" s="422">
        <v>0.45040000000000002</v>
      </c>
      <c r="V101" s="423">
        <f t="shared" si="104"/>
        <v>0</v>
      </c>
      <c r="W101" s="417">
        <f t="shared" si="105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06"/>
        <v>0</v>
      </c>
      <c r="AF101" s="417">
        <f t="shared" si="107"/>
        <v>0</v>
      </c>
      <c r="AG101" s="417">
        <f t="shared" si="108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09"/>
        <v>0</v>
      </c>
      <c r="AN101" s="417">
        <f t="shared" si="110"/>
        <v>0</v>
      </c>
      <c r="AO101" s="417">
        <f t="shared" si="111"/>
        <v>0</v>
      </c>
      <c r="AP101" s="417">
        <f t="shared" si="112"/>
        <v>0</v>
      </c>
      <c r="AQ101" s="417">
        <f t="shared" si="113"/>
        <v>0</v>
      </c>
      <c r="AR101" s="417">
        <f t="shared" si="114"/>
        <v>0</v>
      </c>
      <c r="AS101" s="68">
        <f t="shared" si="115"/>
        <v>0</v>
      </c>
      <c r="AT101" s="68">
        <f t="shared" si="116"/>
        <v>0</v>
      </c>
      <c r="AU101" s="417">
        <v>0</v>
      </c>
      <c r="AV101" s="417">
        <v>0</v>
      </c>
      <c r="AW101" s="417">
        <v>0</v>
      </c>
      <c r="AX101" s="417">
        <f t="shared" si="117"/>
        <v>0</v>
      </c>
      <c r="AY101" s="417">
        <f t="shared" si="118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19"/>
        <v>0</v>
      </c>
      <c r="BJ101" s="418">
        <f t="shared" si="120"/>
        <v>0</v>
      </c>
      <c r="BK101" s="420">
        <f t="shared" si="121"/>
        <v>0</v>
      </c>
      <c r="BL101" s="772">
        <f t="shared" si="145"/>
        <v>3794318</v>
      </c>
      <c r="BM101" s="417">
        <f t="shared" si="146"/>
        <v>2800971</v>
      </c>
      <c r="BN101" s="417">
        <f t="shared" si="147"/>
        <v>2650048</v>
      </c>
      <c r="BO101" s="417">
        <f t="shared" si="147"/>
        <v>150923</v>
      </c>
      <c r="BP101" s="417">
        <f t="shared" si="148"/>
        <v>0</v>
      </c>
      <c r="BQ101" s="417">
        <f t="shared" si="149"/>
        <v>0</v>
      </c>
      <c r="BR101" s="417">
        <f t="shared" si="149"/>
        <v>0</v>
      </c>
      <c r="BS101" s="417">
        <f t="shared" si="150"/>
        <v>946728</v>
      </c>
      <c r="BT101" s="417">
        <f t="shared" si="150"/>
        <v>28009</v>
      </c>
      <c r="BU101" s="417">
        <f t="shared" si="151"/>
        <v>18610</v>
      </c>
      <c r="BV101" s="418">
        <f t="shared" si="152"/>
        <v>3.8789999999999996</v>
      </c>
      <c r="BW101" s="418">
        <f t="shared" si="153"/>
        <v>3.4285999999999999</v>
      </c>
      <c r="BX101" s="420">
        <f t="shared" si="153"/>
        <v>0.45040000000000002</v>
      </c>
      <c r="BY101" s="419"/>
      <c r="BZ101" s="414"/>
      <c r="CA101" s="414"/>
      <c r="CB101" s="414"/>
      <c r="CC101" s="414"/>
      <c r="CD101" s="509"/>
      <c r="CE101" s="419">
        <v>71482</v>
      </c>
      <c r="CF101" s="414">
        <v>48429</v>
      </c>
      <c r="CG101" s="414">
        <v>16369</v>
      </c>
      <c r="CH101" s="414">
        <v>484</v>
      </c>
      <c r="CI101" s="414">
        <v>6200</v>
      </c>
      <c r="CJ101" s="509">
        <v>0.14449999999999999</v>
      </c>
    </row>
    <row r="102" spans="1:88" s="221" customFormat="1">
      <c r="A102" s="209">
        <v>18</v>
      </c>
      <c r="B102" s="210">
        <v>4479</v>
      </c>
      <c r="C102" s="210">
        <v>600075150</v>
      </c>
      <c r="D102" s="210">
        <v>70982228</v>
      </c>
      <c r="E102" s="208" t="s">
        <v>180</v>
      </c>
      <c r="F102" s="210">
        <v>3124</v>
      </c>
      <c r="G102" s="165" t="s">
        <v>300</v>
      </c>
      <c r="H102" s="621" t="s">
        <v>271</v>
      </c>
      <c r="I102" s="510">
        <v>387271</v>
      </c>
      <c r="J102" s="414">
        <v>287293</v>
      </c>
      <c r="K102" s="414">
        <v>287293</v>
      </c>
      <c r="L102" s="414">
        <v>0</v>
      </c>
      <c r="M102" s="414">
        <v>0</v>
      </c>
      <c r="N102" s="414">
        <v>0</v>
      </c>
      <c r="O102" s="414">
        <v>0</v>
      </c>
      <c r="P102" s="68">
        <v>97105</v>
      </c>
      <c r="Q102" s="68">
        <v>2873</v>
      </c>
      <c r="R102" s="414">
        <v>0</v>
      </c>
      <c r="S102" s="415">
        <v>0.88890000000000002</v>
      </c>
      <c r="T102" s="416">
        <v>0.88890000000000002</v>
      </c>
      <c r="U102" s="422">
        <v>0</v>
      </c>
      <c r="V102" s="423">
        <f t="shared" si="104"/>
        <v>0</v>
      </c>
      <c r="W102" s="417">
        <f t="shared" si="105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106"/>
        <v>0</v>
      </c>
      <c r="AF102" s="417">
        <f t="shared" si="107"/>
        <v>0</v>
      </c>
      <c r="AG102" s="417">
        <f t="shared" si="108"/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09"/>
        <v>0</v>
      </c>
      <c r="AN102" s="417">
        <f t="shared" si="110"/>
        <v>0</v>
      </c>
      <c r="AO102" s="417">
        <f t="shared" si="111"/>
        <v>0</v>
      </c>
      <c r="AP102" s="417">
        <f t="shared" si="112"/>
        <v>0</v>
      </c>
      <c r="AQ102" s="417">
        <f t="shared" si="113"/>
        <v>0</v>
      </c>
      <c r="AR102" s="417">
        <f t="shared" si="114"/>
        <v>0</v>
      </c>
      <c r="AS102" s="68">
        <f t="shared" si="115"/>
        <v>0</v>
      </c>
      <c r="AT102" s="68">
        <f t="shared" si="116"/>
        <v>0</v>
      </c>
      <c r="AU102" s="417">
        <v>0</v>
      </c>
      <c r="AV102" s="417">
        <v>0</v>
      </c>
      <c r="AW102" s="417">
        <v>0</v>
      </c>
      <c r="AX102" s="417">
        <f t="shared" si="117"/>
        <v>0</v>
      </c>
      <c r="AY102" s="417">
        <f t="shared" si="118"/>
        <v>0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418">
        <v>0</v>
      </c>
      <c r="BG102" s="418">
        <v>0</v>
      </c>
      <c r="BH102" s="418">
        <v>0</v>
      </c>
      <c r="BI102" s="418">
        <f t="shared" si="119"/>
        <v>0</v>
      </c>
      <c r="BJ102" s="418">
        <f t="shared" si="120"/>
        <v>0</v>
      </c>
      <c r="BK102" s="420">
        <f t="shared" si="121"/>
        <v>0</v>
      </c>
      <c r="BL102" s="772">
        <f t="shared" si="145"/>
        <v>387271</v>
      </c>
      <c r="BM102" s="417">
        <f t="shared" si="146"/>
        <v>287293</v>
      </c>
      <c r="BN102" s="417">
        <f t="shared" si="147"/>
        <v>287293</v>
      </c>
      <c r="BO102" s="417">
        <f t="shared" si="147"/>
        <v>0</v>
      </c>
      <c r="BP102" s="417">
        <f t="shared" si="148"/>
        <v>0</v>
      </c>
      <c r="BQ102" s="417">
        <f t="shared" si="149"/>
        <v>0</v>
      </c>
      <c r="BR102" s="417">
        <f t="shared" si="149"/>
        <v>0</v>
      </c>
      <c r="BS102" s="417">
        <f t="shared" si="150"/>
        <v>97105</v>
      </c>
      <c r="BT102" s="417">
        <f t="shared" si="150"/>
        <v>2873</v>
      </c>
      <c r="BU102" s="417">
        <f t="shared" si="151"/>
        <v>0</v>
      </c>
      <c r="BV102" s="418">
        <f t="shared" si="152"/>
        <v>0.88890000000000002</v>
      </c>
      <c r="BW102" s="418">
        <f t="shared" si="153"/>
        <v>0.88890000000000002</v>
      </c>
      <c r="BX102" s="420">
        <f t="shared" si="153"/>
        <v>0</v>
      </c>
      <c r="BY102" s="419"/>
      <c r="BZ102" s="414"/>
      <c r="CA102" s="414"/>
      <c r="CB102" s="414"/>
      <c r="CC102" s="414"/>
      <c r="CD102" s="509"/>
      <c r="CE102" s="419"/>
      <c r="CF102" s="414"/>
      <c r="CG102" s="414"/>
      <c r="CH102" s="414"/>
      <c r="CI102" s="414"/>
      <c r="CJ102" s="509"/>
    </row>
    <row r="103" spans="1:88" s="221" customFormat="1">
      <c r="A103" s="209">
        <v>18</v>
      </c>
      <c r="B103" s="210">
        <v>4479</v>
      </c>
      <c r="C103" s="210">
        <v>600075150</v>
      </c>
      <c r="D103" s="210">
        <v>70982228</v>
      </c>
      <c r="E103" s="204" t="s">
        <v>180</v>
      </c>
      <c r="F103" s="210">
        <v>3141</v>
      </c>
      <c r="G103" s="165" t="s">
        <v>294</v>
      </c>
      <c r="H103" s="621" t="s">
        <v>272</v>
      </c>
      <c r="I103" s="510">
        <v>1697154</v>
      </c>
      <c r="J103" s="414">
        <v>1252747</v>
      </c>
      <c r="K103" s="414">
        <v>0</v>
      </c>
      <c r="L103" s="414">
        <v>1252747</v>
      </c>
      <c r="M103" s="414">
        <v>0</v>
      </c>
      <c r="N103" s="414">
        <v>0</v>
      </c>
      <c r="O103" s="414">
        <v>0</v>
      </c>
      <c r="P103" s="68">
        <v>423428</v>
      </c>
      <c r="Q103" s="68">
        <v>12527</v>
      </c>
      <c r="R103" s="414">
        <v>8452</v>
      </c>
      <c r="S103" s="415">
        <v>3.76</v>
      </c>
      <c r="T103" s="416">
        <v>0</v>
      </c>
      <c r="U103" s="422">
        <v>3.76</v>
      </c>
      <c r="V103" s="423">
        <f t="shared" si="104"/>
        <v>0</v>
      </c>
      <c r="W103" s="417">
        <f t="shared" si="105"/>
        <v>-10000</v>
      </c>
      <c r="X103" s="417">
        <v>0</v>
      </c>
      <c r="Y103" s="417">
        <v>0</v>
      </c>
      <c r="Z103" s="417">
        <v>0</v>
      </c>
      <c r="AA103" s="417">
        <v>14651</v>
      </c>
      <c r="AB103" s="417">
        <v>0</v>
      </c>
      <c r="AC103" s="417">
        <v>0</v>
      </c>
      <c r="AD103" s="417">
        <v>0</v>
      </c>
      <c r="AE103" s="417">
        <f t="shared" si="106"/>
        <v>0</v>
      </c>
      <c r="AF103" s="417">
        <f t="shared" si="107"/>
        <v>4651</v>
      </c>
      <c r="AG103" s="417">
        <f t="shared" si="108"/>
        <v>4651</v>
      </c>
      <c r="AH103" s="417">
        <v>0</v>
      </c>
      <c r="AI103" s="417">
        <v>10000</v>
      </c>
      <c r="AJ103" s="417">
        <v>0</v>
      </c>
      <c r="AK103" s="417">
        <v>0</v>
      </c>
      <c r="AL103" s="417">
        <v>0</v>
      </c>
      <c r="AM103" s="417">
        <f t="shared" si="109"/>
        <v>0</v>
      </c>
      <c r="AN103" s="417">
        <f t="shared" si="110"/>
        <v>10000</v>
      </c>
      <c r="AO103" s="417">
        <f t="shared" si="111"/>
        <v>10000</v>
      </c>
      <c r="AP103" s="417">
        <f t="shared" si="112"/>
        <v>0</v>
      </c>
      <c r="AQ103" s="417">
        <f t="shared" si="113"/>
        <v>14651</v>
      </c>
      <c r="AR103" s="417">
        <f t="shared" si="114"/>
        <v>14651</v>
      </c>
      <c r="AS103" s="68">
        <f t="shared" si="115"/>
        <v>4952</v>
      </c>
      <c r="AT103" s="68">
        <f t="shared" si="116"/>
        <v>47</v>
      </c>
      <c r="AU103" s="417">
        <v>0</v>
      </c>
      <c r="AV103" s="417">
        <v>0</v>
      </c>
      <c r="AW103" s="417">
        <v>0</v>
      </c>
      <c r="AX103" s="417">
        <f t="shared" si="117"/>
        <v>0</v>
      </c>
      <c r="AY103" s="417">
        <f t="shared" si="118"/>
        <v>19650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0.04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19"/>
        <v>0</v>
      </c>
      <c r="BJ103" s="418">
        <f t="shared" si="120"/>
        <v>0.04</v>
      </c>
      <c r="BK103" s="420">
        <f t="shared" si="121"/>
        <v>0.04</v>
      </c>
      <c r="BL103" s="772">
        <f t="shared" si="145"/>
        <v>1716804</v>
      </c>
      <c r="BM103" s="417">
        <f t="shared" si="146"/>
        <v>1257398</v>
      </c>
      <c r="BN103" s="417">
        <f t="shared" si="147"/>
        <v>0</v>
      </c>
      <c r="BO103" s="417">
        <f t="shared" si="147"/>
        <v>1257398</v>
      </c>
      <c r="BP103" s="417">
        <f t="shared" si="148"/>
        <v>10000</v>
      </c>
      <c r="BQ103" s="417">
        <f t="shared" si="149"/>
        <v>0</v>
      </c>
      <c r="BR103" s="417">
        <f t="shared" si="149"/>
        <v>10000</v>
      </c>
      <c r="BS103" s="417">
        <f t="shared" si="150"/>
        <v>428380</v>
      </c>
      <c r="BT103" s="417">
        <f t="shared" si="150"/>
        <v>12574</v>
      </c>
      <c r="BU103" s="417">
        <f t="shared" si="151"/>
        <v>8452</v>
      </c>
      <c r="BV103" s="418">
        <f t="shared" si="152"/>
        <v>3.8</v>
      </c>
      <c r="BW103" s="418">
        <f t="shared" si="153"/>
        <v>0</v>
      </c>
      <c r="BX103" s="420">
        <f t="shared" si="153"/>
        <v>3.8</v>
      </c>
      <c r="BY103" s="419"/>
      <c r="BZ103" s="414"/>
      <c r="CA103" s="414"/>
      <c r="CB103" s="414"/>
      <c r="CC103" s="414"/>
      <c r="CD103" s="509"/>
      <c r="CE103" s="419"/>
      <c r="CF103" s="414"/>
      <c r="CG103" s="414"/>
      <c r="CH103" s="414"/>
      <c r="CI103" s="414"/>
      <c r="CJ103" s="509"/>
    </row>
    <row r="104" spans="1:88" s="221" customFormat="1">
      <c r="A104" s="209">
        <v>18</v>
      </c>
      <c r="B104" s="210">
        <v>4479</v>
      </c>
      <c r="C104" s="210">
        <v>600075150</v>
      </c>
      <c r="D104" s="210">
        <v>70982228</v>
      </c>
      <c r="E104" s="208" t="s">
        <v>180</v>
      </c>
      <c r="F104" s="210">
        <v>3143</v>
      </c>
      <c r="G104" s="165" t="s">
        <v>595</v>
      </c>
      <c r="H104" s="609" t="s">
        <v>271</v>
      </c>
      <c r="I104" s="510">
        <v>2741336</v>
      </c>
      <c r="J104" s="414">
        <v>2033632</v>
      </c>
      <c r="K104" s="414">
        <v>2033632</v>
      </c>
      <c r="L104" s="414">
        <v>0</v>
      </c>
      <c r="M104" s="414">
        <v>0</v>
      </c>
      <c r="N104" s="414">
        <v>0</v>
      </c>
      <c r="O104" s="414">
        <v>0</v>
      </c>
      <c r="P104" s="68">
        <v>687368</v>
      </c>
      <c r="Q104" s="68">
        <v>20336</v>
      </c>
      <c r="R104" s="414">
        <v>0</v>
      </c>
      <c r="S104" s="415">
        <v>4.0536000000000003</v>
      </c>
      <c r="T104" s="416">
        <v>4.0536000000000003</v>
      </c>
      <c r="U104" s="422">
        <v>0</v>
      </c>
      <c r="V104" s="423">
        <f t="shared" si="104"/>
        <v>0</v>
      </c>
      <c r="W104" s="417">
        <f t="shared" si="105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06"/>
        <v>0</v>
      </c>
      <c r="AF104" s="417">
        <f t="shared" si="107"/>
        <v>0</v>
      </c>
      <c r="AG104" s="417">
        <f t="shared" si="108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09"/>
        <v>0</v>
      </c>
      <c r="AN104" s="417">
        <f t="shared" si="110"/>
        <v>0</v>
      </c>
      <c r="AO104" s="417">
        <f t="shared" si="111"/>
        <v>0</v>
      </c>
      <c r="AP104" s="417">
        <f t="shared" si="112"/>
        <v>0</v>
      </c>
      <c r="AQ104" s="417">
        <f t="shared" si="113"/>
        <v>0</v>
      </c>
      <c r="AR104" s="417">
        <f t="shared" si="114"/>
        <v>0</v>
      </c>
      <c r="AS104" s="68">
        <f t="shared" si="115"/>
        <v>0</v>
      </c>
      <c r="AT104" s="68">
        <f t="shared" si="116"/>
        <v>0</v>
      </c>
      <c r="AU104" s="417">
        <v>0</v>
      </c>
      <c r="AV104" s="417">
        <v>0</v>
      </c>
      <c r="AW104" s="417">
        <v>0</v>
      </c>
      <c r="AX104" s="417">
        <f t="shared" si="117"/>
        <v>0</v>
      </c>
      <c r="AY104" s="417">
        <f t="shared" si="118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19"/>
        <v>0</v>
      </c>
      <c r="BJ104" s="418">
        <f t="shared" si="120"/>
        <v>0</v>
      </c>
      <c r="BK104" s="420">
        <f t="shared" si="121"/>
        <v>0</v>
      </c>
      <c r="BL104" s="772">
        <f t="shared" si="145"/>
        <v>2741336</v>
      </c>
      <c r="BM104" s="417">
        <f t="shared" si="146"/>
        <v>2033632</v>
      </c>
      <c r="BN104" s="417">
        <f t="shared" si="147"/>
        <v>2033632</v>
      </c>
      <c r="BO104" s="417">
        <f t="shared" si="147"/>
        <v>0</v>
      </c>
      <c r="BP104" s="417">
        <f t="shared" si="148"/>
        <v>0</v>
      </c>
      <c r="BQ104" s="417">
        <f t="shared" si="149"/>
        <v>0</v>
      </c>
      <c r="BR104" s="417">
        <f t="shared" si="149"/>
        <v>0</v>
      </c>
      <c r="BS104" s="417">
        <f t="shared" si="150"/>
        <v>687368</v>
      </c>
      <c r="BT104" s="417">
        <f t="shared" si="150"/>
        <v>20336</v>
      </c>
      <c r="BU104" s="417">
        <f t="shared" si="151"/>
        <v>0</v>
      </c>
      <c r="BV104" s="418">
        <f t="shared" si="152"/>
        <v>4.0536000000000003</v>
      </c>
      <c r="BW104" s="418">
        <f t="shared" si="153"/>
        <v>4.0536000000000003</v>
      </c>
      <c r="BX104" s="420">
        <f t="shared" si="153"/>
        <v>0</v>
      </c>
      <c r="BY104" s="419"/>
      <c r="BZ104" s="414"/>
      <c r="CA104" s="414"/>
      <c r="CB104" s="414"/>
      <c r="CC104" s="414"/>
      <c r="CD104" s="509"/>
      <c r="CE104" s="419"/>
      <c r="CF104" s="414"/>
      <c r="CG104" s="414"/>
      <c r="CH104" s="414"/>
      <c r="CI104" s="414"/>
      <c r="CJ104" s="509"/>
    </row>
    <row r="105" spans="1:88" s="221" customFormat="1">
      <c r="A105" s="209">
        <v>18</v>
      </c>
      <c r="B105" s="210">
        <v>4479</v>
      </c>
      <c r="C105" s="210">
        <v>600075150</v>
      </c>
      <c r="D105" s="210">
        <v>70982228</v>
      </c>
      <c r="E105" s="208" t="s">
        <v>180</v>
      </c>
      <c r="F105" s="210">
        <v>3143</v>
      </c>
      <c r="G105" s="165" t="s">
        <v>596</v>
      </c>
      <c r="H105" s="609" t="s">
        <v>272</v>
      </c>
      <c r="I105" s="510">
        <v>36114</v>
      </c>
      <c r="J105" s="414">
        <v>25850</v>
      </c>
      <c r="K105" s="414">
        <v>0</v>
      </c>
      <c r="L105" s="414">
        <v>25850</v>
      </c>
      <c r="M105" s="414">
        <v>0</v>
      </c>
      <c r="N105" s="414">
        <v>0</v>
      </c>
      <c r="O105" s="414">
        <v>0</v>
      </c>
      <c r="P105" s="68">
        <v>8737</v>
      </c>
      <c r="Q105" s="68">
        <v>258</v>
      </c>
      <c r="R105" s="414">
        <v>1269</v>
      </c>
      <c r="S105" s="415">
        <v>0.09</v>
      </c>
      <c r="T105" s="416">
        <v>0</v>
      </c>
      <c r="U105" s="422">
        <v>0.09</v>
      </c>
      <c r="V105" s="423">
        <f t="shared" si="104"/>
        <v>0</v>
      </c>
      <c r="W105" s="417">
        <f t="shared" si="105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06"/>
        <v>0</v>
      </c>
      <c r="AF105" s="417">
        <f t="shared" si="107"/>
        <v>0</v>
      </c>
      <c r="AG105" s="417">
        <f t="shared" si="108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09"/>
        <v>0</v>
      </c>
      <c r="AN105" s="417">
        <f t="shared" si="110"/>
        <v>0</v>
      </c>
      <c r="AO105" s="417">
        <f t="shared" si="111"/>
        <v>0</v>
      </c>
      <c r="AP105" s="417">
        <f t="shared" si="112"/>
        <v>0</v>
      </c>
      <c r="AQ105" s="417">
        <f t="shared" si="113"/>
        <v>0</v>
      </c>
      <c r="AR105" s="417">
        <f t="shared" si="114"/>
        <v>0</v>
      </c>
      <c r="AS105" s="68">
        <f t="shared" si="115"/>
        <v>0</v>
      </c>
      <c r="AT105" s="68">
        <f t="shared" si="116"/>
        <v>0</v>
      </c>
      <c r="AU105" s="417">
        <v>0</v>
      </c>
      <c r="AV105" s="417">
        <v>0</v>
      </c>
      <c r="AW105" s="417">
        <v>0</v>
      </c>
      <c r="AX105" s="417">
        <f t="shared" si="117"/>
        <v>0</v>
      </c>
      <c r="AY105" s="417">
        <f t="shared" si="118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19"/>
        <v>0</v>
      </c>
      <c r="BJ105" s="418">
        <f t="shared" si="120"/>
        <v>0</v>
      </c>
      <c r="BK105" s="420">
        <f t="shared" si="121"/>
        <v>0</v>
      </c>
      <c r="BL105" s="772">
        <f t="shared" si="145"/>
        <v>36114</v>
      </c>
      <c r="BM105" s="417">
        <f t="shared" si="146"/>
        <v>25850</v>
      </c>
      <c r="BN105" s="417">
        <f t="shared" si="147"/>
        <v>0</v>
      </c>
      <c r="BO105" s="417">
        <f t="shared" si="147"/>
        <v>25850</v>
      </c>
      <c r="BP105" s="417">
        <f t="shared" si="148"/>
        <v>0</v>
      </c>
      <c r="BQ105" s="417">
        <f t="shared" si="149"/>
        <v>0</v>
      </c>
      <c r="BR105" s="417">
        <f t="shared" si="149"/>
        <v>0</v>
      </c>
      <c r="BS105" s="417">
        <f t="shared" si="150"/>
        <v>8737</v>
      </c>
      <c r="BT105" s="417">
        <f t="shared" si="150"/>
        <v>258</v>
      </c>
      <c r="BU105" s="417">
        <f t="shared" si="151"/>
        <v>1269</v>
      </c>
      <c r="BV105" s="418">
        <f t="shared" si="152"/>
        <v>0.09</v>
      </c>
      <c r="BW105" s="418">
        <f t="shared" si="153"/>
        <v>0</v>
      </c>
      <c r="BX105" s="420">
        <f t="shared" si="153"/>
        <v>0.09</v>
      </c>
      <c r="BY105" s="419"/>
      <c r="BZ105" s="414"/>
      <c r="CA105" s="414"/>
      <c r="CB105" s="414"/>
      <c r="CC105" s="414"/>
      <c r="CD105" s="509"/>
      <c r="CE105" s="419"/>
      <c r="CF105" s="414"/>
      <c r="CG105" s="414"/>
      <c r="CH105" s="414"/>
      <c r="CI105" s="414"/>
      <c r="CJ105" s="509"/>
    </row>
    <row r="106" spans="1:88" s="221" customFormat="1">
      <c r="A106" s="209">
        <v>18</v>
      </c>
      <c r="B106" s="210">
        <v>4479</v>
      </c>
      <c r="C106" s="210">
        <v>600075150</v>
      </c>
      <c r="D106" s="210">
        <v>70982228</v>
      </c>
      <c r="E106" s="208" t="s">
        <v>180</v>
      </c>
      <c r="F106" s="210">
        <v>3143</v>
      </c>
      <c r="G106" s="165" t="s">
        <v>296</v>
      </c>
      <c r="H106" s="609" t="s">
        <v>272</v>
      </c>
      <c r="I106" s="510">
        <v>231277</v>
      </c>
      <c r="J106" s="414">
        <v>171331</v>
      </c>
      <c r="K106" s="414">
        <v>161431</v>
      </c>
      <c r="L106" s="414">
        <v>9900</v>
      </c>
      <c r="M106" s="414">
        <v>0</v>
      </c>
      <c r="N106" s="414">
        <v>0</v>
      </c>
      <c r="O106" s="414">
        <v>0</v>
      </c>
      <c r="P106" s="68">
        <v>57909</v>
      </c>
      <c r="Q106" s="68">
        <v>1713</v>
      </c>
      <c r="R106" s="414">
        <v>324</v>
      </c>
      <c r="S106" s="415">
        <v>0.36</v>
      </c>
      <c r="T106" s="416">
        <v>0.32</v>
      </c>
      <c r="U106" s="422">
        <v>0.04</v>
      </c>
      <c r="V106" s="423">
        <f t="shared" si="104"/>
        <v>0</v>
      </c>
      <c r="W106" s="417">
        <f t="shared" si="105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06"/>
        <v>0</v>
      </c>
      <c r="AF106" s="417">
        <f t="shared" si="107"/>
        <v>0</v>
      </c>
      <c r="AG106" s="417">
        <f t="shared" si="108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09"/>
        <v>0</v>
      </c>
      <c r="AN106" s="417">
        <f t="shared" si="110"/>
        <v>0</v>
      </c>
      <c r="AO106" s="417">
        <f t="shared" si="111"/>
        <v>0</v>
      </c>
      <c r="AP106" s="417">
        <f t="shared" si="112"/>
        <v>0</v>
      </c>
      <c r="AQ106" s="417">
        <f t="shared" si="113"/>
        <v>0</v>
      </c>
      <c r="AR106" s="417">
        <f t="shared" si="114"/>
        <v>0</v>
      </c>
      <c r="AS106" s="68">
        <f t="shared" si="115"/>
        <v>0</v>
      </c>
      <c r="AT106" s="68">
        <f t="shared" si="116"/>
        <v>0</v>
      </c>
      <c r="AU106" s="417">
        <v>0</v>
      </c>
      <c r="AV106" s="417">
        <v>0</v>
      </c>
      <c r="AW106" s="417">
        <v>0</v>
      </c>
      <c r="AX106" s="417">
        <f t="shared" si="117"/>
        <v>0</v>
      </c>
      <c r="AY106" s="417">
        <f t="shared" si="118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19"/>
        <v>0</v>
      </c>
      <c r="BJ106" s="418">
        <f t="shared" si="120"/>
        <v>0</v>
      </c>
      <c r="BK106" s="420">
        <f t="shared" si="121"/>
        <v>0</v>
      </c>
      <c r="BL106" s="772">
        <f t="shared" si="145"/>
        <v>231277</v>
      </c>
      <c r="BM106" s="417">
        <f t="shared" si="146"/>
        <v>171331</v>
      </c>
      <c r="BN106" s="417">
        <f t="shared" si="147"/>
        <v>161431</v>
      </c>
      <c r="BO106" s="417">
        <f t="shared" si="147"/>
        <v>9900</v>
      </c>
      <c r="BP106" s="417">
        <f t="shared" si="148"/>
        <v>0</v>
      </c>
      <c r="BQ106" s="417">
        <f t="shared" si="149"/>
        <v>0</v>
      </c>
      <c r="BR106" s="417">
        <f t="shared" si="149"/>
        <v>0</v>
      </c>
      <c r="BS106" s="417">
        <f t="shared" si="150"/>
        <v>57909</v>
      </c>
      <c r="BT106" s="417">
        <f t="shared" si="150"/>
        <v>1713</v>
      </c>
      <c r="BU106" s="417">
        <f t="shared" si="151"/>
        <v>324</v>
      </c>
      <c r="BV106" s="418">
        <f t="shared" si="152"/>
        <v>0.36</v>
      </c>
      <c r="BW106" s="418">
        <f t="shared" si="153"/>
        <v>0.32</v>
      </c>
      <c r="BX106" s="420">
        <f t="shared" si="153"/>
        <v>0.04</v>
      </c>
      <c r="BY106" s="419"/>
      <c r="BZ106" s="414"/>
      <c r="CA106" s="414"/>
      <c r="CB106" s="414"/>
      <c r="CC106" s="414"/>
      <c r="CD106" s="509"/>
      <c r="CE106" s="419"/>
      <c r="CF106" s="601"/>
      <c r="CG106" s="414"/>
      <c r="CH106" s="414"/>
      <c r="CI106" s="602"/>
      <c r="CJ106" s="603"/>
    </row>
    <row r="107" spans="1:88" s="221" customFormat="1">
      <c r="A107" s="155">
        <v>18</v>
      </c>
      <c r="B107" s="18">
        <v>4479</v>
      </c>
      <c r="C107" s="18">
        <v>600075150</v>
      </c>
      <c r="D107" s="18">
        <v>70982228</v>
      </c>
      <c r="E107" s="164" t="s">
        <v>181</v>
      </c>
      <c r="F107" s="18"/>
      <c r="G107" s="154"/>
      <c r="H107" s="608"/>
      <c r="I107" s="451">
        <v>64584326</v>
      </c>
      <c r="J107" s="444">
        <v>47555645</v>
      </c>
      <c r="K107" s="444">
        <v>42632524</v>
      </c>
      <c r="L107" s="444">
        <v>4923121</v>
      </c>
      <c r="M107" s="444">
        <v>0</v>
      </c>
      <c r="N107" s="444">
        <v>0</v>
      </c>
      <c r="O107" s="444">
        <v>0</v>
      </c>
      <c r="P107" s="444">
        <v>16073806</v>
      </c>
      <c r="Q107" s="444">
        <v>475555</v>
      </c>
      <c r="R107" s="444">
        <v>479320</v>
      </c>
      <c r="S107" s="445">
        <v>84.648500000000013</v>
      </c>
      <c r="T107" s="445">
        <v>69.441000000000003</v>
      </c>
      <c r="U107" s="449">
        <v>15.2075</v>
      </c>
      <c r="V107" s="447">
        <f t="shared" ref="V107:CG107" si="154">SUM(V97:V106)</f>
        <v>0</v>
      </c>
      <c r="W107" s="444">
        <f t="shared" si="154"/>
        <v>-100000</v>
      </c>
      <c r="X107" s="444">
        <f t="shared" si="154"/>
        <v>0</v>
      </c>
      <c r="Y107" s="444">
        <f t="shared" si="154"/>
        <v>0</v>
      </c>
      <c r="Z107" s="444">
        <f t="shared" si="154"/>
        <v>0</v>
      </c>
      <c r="AA107" s="444">
        <f t="shared" si="154"/>
        <v>14651</v>
      </c>
      <c r="AB107" s="444">
        <f t="shared" si="154"/>
        <v>0</v>
      </c>
      <c r="AC107" s="444">
        <f t="shared" si="154"/>
        <v>0</v>
      </c>
      <c r="AD107" s="444">
        <f t="shared" si="154"/>
        <v>0</v>
      </c>
      <c r="AE107" s="444">
        <f t="shared" si="154"/>
        <v>0</v>
      </c>
      <c r="AF107" s="444">
        <f t="shared" si="154"/>
        <v>-85349</v>
      </c>
      <c r="AG107" s="444">
        <f t="shared" si="154"/>
        <v>-85349</v>
      </c>
      <c r="AH107" s="444">
        <f t="shared" si="154"/>
        <v>0</v>
      </c>
      <c r="AI107" s="444">
        <f t="shared" si="154"/>
        <v>100000</v>
      </c>
      <c r="AJ107" s="444">
        <f t="shared" si="154"/>
        <v>0</v>
      </c>
      <c r="AK107" s="444">
        <f t="shared" si="154"/>
        <v>0</v>
      </c>
      <c r="AL107" s="444">
        <f t="shared" si="154"/>
        <v>0</v>
      </c>
      <c r="AM107" s="444">
        <f t="shared" si="154"/>
        <v>0</v>
      </c>
      <c r="AN107" s="444">
        <f t="shared" si="154"/>
        <v>100000</v>
      </c>
      <c r="AO107" s="444">
        <f t="shared" si="154"/>
        <v>100000</v>
      </c>
      <c r="AP107" s="444">
        <f t="shared" si="154"/>
        <v>0</v>
      </c>
      <c r="AQ107" s="444">
        <f t="shared" si="154"/>
        <v>14651</v>
      </c>
      <c r="AR107" s="444">
        <f t="shared" si="154"/>
        <v>14651</v>
      </c>
      <c r="AS107" s="444">
        <f t="shared" si="154"/>
        <v>4952</v>
      </c>
      <c r="AT107" s="444">
        <f t="shared" si="154"/>
        <v>-853</v>
      </c>
      <c r="AU107" s="444">
        <f t="shared" si="154"/>
        <v>0</v>
      </c>
      <c r="AV107" s="444">
        <f t="shared" si="154"/>
        <v>0</v>
      </c>
      <c r="AW107" s="444">
        <f t="shared" si="154"/>
        <v>0</v>
      </c>
      <c r="AX107" s="444">
        <f t="shared" si="154"/>
        <v>0</v>
      </c>
      <c r="AY107" s="444">
        <f t="shared" si="154"/>
        <v>18750</v>
      </c>
      <c r="AZ107" s="445">
        <f t="shared" si="154"/>
        <v>0</v>
      </c>
      <c r="BA107" s="445">
        <f t="shared" si="154"/>
        <v>0</v>
      </c>
      <c r="BB107" s="445">
        <f t="shared" si="154"/>
        <v>0</v>
      </c>
      <c r="BC107" s="445">
        <f t="shared" si="154"/>
        <v>0</v>
      </c>
      <c r="BD107" s="445">
        <f t="shared" si="154"/>
        <v>0.04</v>
      </c>
      <c r="BE107" s="445">
        <f t="shared" si="154"/>
        <v>0</v>
      </c>
      <c r="BF107" s="445">
        <f t="shared" si="154"/>
        <v>0</v>
      </c>
      <c r="BG107" s="445">
        <f t="shared" si="154"/>
        <v>0</v>
      </c>
      <c r="BH107" s="445">
        <f t="shared" si="154"/>
        <v>0</v>
      </c>
      <c r="BI107" s="445">
        <f t="shared" si="154"/>
        <v>0</v>
      </c>
      <c r="BJ107" s="445">
        <f t="shared" si="154"/>
        <v>0.04</v>
      </c>
      <c r="BK107" s="39">
        <f t="shared" si="154"/>
        <v>0.04</v>
      </c>
      <c r="BL107" s="451">
        <f t="shared" si="154"/>
        <v>64603076</v>
      </c>
      <c r="BM107" s="444">
        <f t="shared" si="154"/>
        <v>47470296</v>
      </c>
      <c r="BN107" s="444">
        <f t="shared" si="154"/>
        <v>42632524</v>
      </c>
      <c r="BO107" s="444">
        <f t="shared" si="154"/>
        <v>4837772</v>
      </c>
      <c r="BP107" s="444">
        <f t="shared" si="154"/>
        <v>100000</v>
      </c>
      <c r="BQ107" s="444">
        <f t="shared" si="154"/>
        <v>0</v>
      </c>
      <c r="BR107" s="444">
        <f t="shared" si="154"/>
        <v>100000</v>
      </c>
      <c r="BS107" s="444">
        <f t="shared" si="154"/>
        <v>16078758</v>
      </c>
      <c r="BT107" s="444">
        <f t="shared" si="154"/>
        <v>474702</v>
      </c>
      <c r="BU107" s="444">
        <f t="shared" si="154"/>
        <v>479320</v>
      </c>
      <c r="BV107" s="445">
        <f t="shared" si="154"/>
        <v>84.688500000000005</v>
      </c>
      <c r="BW107" s="445">
        <f t="shared" si="154"/>
        <v>69.441000000000003</v>
      </c>
      <c r="BX107" s="39">
        <f t="shared" si="154"/>
        <v>15.247499999999999</v>
      </c>
      <c r="BY107" s="806">
        <f t="shared" si="154"/>
        <v>0</v>
      </c>
      <c r="BZ107" s="709">
        <f t="shared" si="154"/>
        <v>0</v>
      </c>
      <c r="CA107" s="709">
        <f t="shared" si="154"/>
        <v>0</v>
      </c>
      <c r="CB107" s="709">
        <f t="shared" si="154"/>
        <v>0</v>
      </c>
      <c r="CC107" s="709">
        <f t="shared" si="154"/>
        <v>0</v>
      </c>
      <c r="CD107" s="807">
        <f t="shared" si="154"/>
        <v>0</v>
      </c>
      <c r="CE107" s="919">
        <f t="shared" si="154"/>
        <v>1703255</v>
      </c>
      <c r="CF107" s="920">
        <f t="shared" si="154"/>
        <v>1166266</v>
      </c>
      <c r="CG107" s="920">
        <f t="shared" si="154"/>
        <v>394198</v>
      </c>
      <c r="CH107" s="920">
        <f t="shared" ref="CH107:CJ107" si="155">SUM(CH97:CH106)</f>
        <v>11663</v>
      </c>
      <c r="CI107" s="920">
        <f t="shared" si="155"/>
        <v>131128</v>
      </c>
      <c r="CJ107" s="921">
        <f t="shared" si="155"/>
        <v>3.6315</v>
      </c>
    </row>
    <row r="108" spans="1:88" s="221" customFormat="1">
      <c r="A108" s="209">
        <v>19</v>
      </c>
      <c r="B108" s="210">
        <v>4473</v>
      </c>
      <c r="C108" s="210">
        <v>600075117</v>
      </c>
      <c r="D108" s="210">
        <v>62237021</v>
      </c>
      <c r="E108" s="208" t="s">
        <v>182</v>
      </c>
      <c r="F108" s="210">
        <v>3231</v>
      </c>
      <c r="G108" s="165" t="s">
        <v>295</v>
      </c>
      <c r="H108" s="621" t="s">
        <v>271</v>
      </c>
      <c r="I108" s="510">
        <v>33108060</v>
      </c>
      <c r="J108" s="414">
        <v>24519552</v>
      </c>
      <c r="K108" s="414">
        <v>23201776</v>
      </c>
      <c r="L108" s="414">
        <v>1317776</v>
      </c>
      <c r="M108" s="414">
        <v>0</v>
      </c>
      <c r="N108" s="414">
        <v>0</v>
      </c>
      <c r="O108" s="414">
        <v>0</v>
      </c>
      <c r="P108" s="68">
        <v>8287608</v>
      </c>
      <c r="Q108" s="68">
        <v>245196</v>
      </c>
      <c r="R108" s="414">
        <v>55704</v>
      </c>
      <c r="S108" s="415">
        <v>40.395499999999998</v>
      </c>
      <c r="T108" s="416">
        <v>36.698099999999997</v>
      </c>
      <c r="U108" s="422">
        <v>3.6974</v>
      </c>
      <c r="V108" s="423">
        <f>(AH108*-1)-AK108</f>
        <v>-160413</v>
      </c>
      <c r="W108" s="417">
        <f t="shared" si="105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06"/>
        <v>-160413</v>
      </c>
      <c r="AF108" s="417">
        <f t="shared" si="107"/>
        <v>0</v>
      </c>
      <c r="AG108" s="417">
        <f t="shared" si="108"/>
        <v>-160413</v>
      </c>
      <c r="AH108" s="417">
        <v>11000</v>
      </c>
      <c r="AI108" s="417">
        <v>0</v>
      </c>
      <c r="AJ108" s="417">
        <v>0</v>
      </c>
      <c r="AK108" s="417">
        <v>149413</v>
      </c>
      <c r="AL108" s="417">
        <v>0</v>
      </c>
      <c r="AM108" s="417">
        <f t="shared" si="109"/>
        <v>160413</v>
      </c>
      <c r="AN108" s="417">
        <f t="shared" si="110"/>
        <v>0</v>
      </c>
      <c r="AO108" s="417">
        <f t="shared" si="111"/>
        <v>160413</v>
      </c>
      <c r="AP108" s="417">
        <f t="shared" si="112"/>
        <v>0</v>
      </c>
      <c r="AQ108" s="417">
        <f t="shared" si="113"/>
        <v>0</v>
      </c>
      <c r="AR108" s="417">
        <f t="shared" si="114"/>
        <v>0</v>
      </c>
      <c r="AS108" s="68">
        <f t="shared" si="115"/>
        <v>-50502</v>
      </c>
      <c r="AT108" s="68">
        <f t="shared" si="116"/>
        <v>-1604</v>
      </c>
      <c r="AU108" s="417">
        <v>0</v>
      </c>
      <c r="AV108" s="417">
        <v>0</v>
      </c>
      <c r="AW108" s="417">
        <v>0</v>
      </c>
      <c r="AX108" s="417">
        <f t="shared" si="117"/>
        <v>0</v>
      </c>
      <c r="AY108" s="417">
        <f t="shared" si="118"/>
        <v>-52106</v>
      </c>
      <c r="AZ108" s="418">
        <v>-0.02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19"/>
        <v>-0.02</v>
      </c>
      <c r="BJ108" s="418">
        <f t="shared" si="120"/>
        <v>0</v>
      </c>
      <c r="BK108" s="420">
        <f t="shared" si="121"/>
        <v>-0.02</v>
      </c>
      <c r="BL108" s="772">
        <f>I108+AY108</f>
        <v>33055954</v>
      </c>
      <c r="BM108" s="417">
        <f>J108+AG108</f>
        <v>24359139</v>
      </c>
      <c r="BN108" s="417">
        <f>K108+AE108</f>
        <v>23041363</v>
      </c>
      <c r="BO108" s="417">
        <f>L108+AF108</f>
        <v>1317776</v>
      </c>
      <c r="BP108" s="417">
        <f>M108+AO108</f>
        <v>160413</v>
      </c>
      <c r="BQ108" s="417">
        <f>N108+AM108</f>
        <v>160413</v>
      </c>
      <c r="BR108" s="417">
        <f>O108+AN108</f>
        <v>0</v>
      </c>
      <c r="BS108" s="417">
        <f>P108+AS108</f>
        <v>8237106</v>
      </c>
      <c r="BT108" s="417">
        <f>Q108+AT108</f>
        <v>243592</v>
      </c>
      <c r="BU108" s="417">
        <f>R108+AX108</f>
        <v>55704</v>
      </c>
      <c r="BV108" s="418">
        <f>S108+BK108</f>
        <v>40.375499999999995</v>
      </c>
      <c r="BW108" s="418">
        <f>T108+BI108</f>
        <v>36.678099999999993</v>
      </c>
      <c r="BX108" s="420">
        <f>U108+BJ108</f>
        <v>3.6974</v>
      </c>
      <c r="BY108" s="419"/>
      <c r="BZ108" s="414"/>
      <c r="CA108" s="414"/>
      <c r="CB108" s="414"/>
      <c r="CC108" s="414"/>
      <c r="CD108" s="509"/>
      <c r="CE108" s="419">
        <v>601194</v>
      </c>
      <c r="CF108" s="414">
        <v>432460</v>
      </c>
      <c r="CG108" s="414">
        <v>146171</v>
      </c>
      <c r="CH108" s="414">
        <v>4325</v>
      </c>
      <c r="CI108" s="414">
        <v>18238</v>
      </c>
      <c r="CJ108" s="509">
        <v>1.2132000000000001</v>
      </c>
    </row>
    <row r="109" spans="1:88" s="221" customFormat="1">
      <c r="A109" s="155">
        <v>19</v>
      </c>
      <c r="B109" s="18">
        <v>4473</v>
      </c>
      <c r="C109" s="18">
        <v>600075117</v>
      </c>
      <c r="D109" s="18">
        <v>62237021</v>
      </c>
      <c r="E109" s="164" t="s">
        <v>183</v>
      </c>
      <c r="F109" s="18"/>
      <c r="G109" s="154"/>
      <c r="H109" s="608"/>
      <c r="I109" s="451">
        <v>33108060</v>
      </c>
      <c r="J109" s="444">
        <v>24519552</v>
      </c>
      <c r="K109" s="444">
        <v>23201776</v>
      </c>
      <c r="L109" s="444">
        <v>1317776</v>
      </c>
      <c r="M109" s="444">
        <v>0</v>
      </c>
      <c r="N109" s="444">
        <v>0</v>
      </c>
      <c r="O109" s="444">
        <v>0</v>
      </c>
      <c r="P109" s="444">
        <v>8287608</v>
      </c>
      <c r="Q109" s="444">
        <v>245196</v>
      </c>
      <c r="R109" s="444">
        <v>55704</v>
      </c>
      <c r="S109" s="445">
        <v>40.395499999999998</v>
      </c>
      <c r="T109" s="445">
        <v>36.698099999999997</v>
      </c>
      <c r="U109" s="449">
        <v>3.6974</v>
      </c>
      <c r="V109" s="447">
        <f t="shared" ref="V109:CG109" si="156">SUM(V108)</f>
        <v>-160413</v>
      </c>
      <c r="W109" s="444">
        <f t="shared" si="156"/>
        <v>0</v>
      </c>
      <c r="X109" s="444">
        <f t="shared" si="156"/>
        <v>0</v>
      </c>
      <c r="Y109" s="444">
        <f t="shared" si="156"/>
        <v>0</v>
      </c>
      <c r="Z109" s="444">
        <f t="shared" si="156"/>
        <v>0</v>
      </c>
      <c r="AA109" s="444">
        <f t="shared" si="156"/>
        <v>0</v>
      </c>
      <c r="AB109" s="444">
        <f t="shared" si="156"/>
        <v>0</v>
      </c>
      <c r="AC109" s="444">
        <f t="shared" si="156"/>
        <v>0</v>
      </c>
      <c r="AD109" s="444">
        <f t="shared" si="156"/>
        <v>0</v>
      </c>
      <c r="AE109" s="444">
        <f t="shared" si="156"/>
        <v>-160413</v>
      </c>
      <c r="AF109" s="444">
        <f t="shared" si="156"/>
        <v>0</v>
      </c>
      <c r="AG109" s="444">
        <f t="shared" si="156"/>
        <v>-160413</v>
      </c>
      <c r="AH109" s="444">
        <f t="shared" si="156"/>
        <v>11000</v>
      </c>
      <c r="AI109" s="444">
        <f t="shared" si="156"/>
        <v>0</v>
      </c>
      <c r="AJ109" s="444">
        <f t="shared" si="156"/>
        <v>0</v>
      </c>
      <c r="AK109" s="444">
        <f t="shared" si="156"/>
        <v>149413</v>
      </c>
      <c r="AL109" s="444">
        <f t="shared" si="156"/>
        <v>0</v>
      </c>
      <c r="AM109" s="444">
        <f t="shared" si="156"/>
        <v>160413</v>
      </c>
      <c r="AN109" s="444">
        <f t="shared" si="156"/>
        <v>0</v>
      </c>
      <c r="AO109" s="444">
        <f t="shared" si="156"/>
        <v>160413</v>
      </c>
      <c r="AP109" s="444">
        <f t="shared" si="156"/>
        <v>0</v>
      </c>
      <c r="AQ109" s="444">
        <f t="shared" si="156"/>
        <v>0</v>
      </c>
      <c r="AR109" s="444">
        <f t="shared" si="156"/>
        <v>0</v>
      </c>
      <c r="AS109" s="444">
        <f t="shared" si="156"/>
        <v>-50502</v>
      </c>
      <c r="AT109" s="444">
        <f t="shared" si="156"/>
        <v>-1604</v>
      </c>
      <c r="AU109" s="444">
        <f t="shared" si="156"/>
        <v>0</v>
      </c>
      <c r="AV109" s="444">
        <f t="shared" si="156"/>
        <v>0</v>
      </c>
      <c r="AW109" s="444">
        <f t="shared" si="156"/>
        <v>0</v>
      </c>
      <c r="AX109" s="444">
        <f t="shared" si="156"/>
        <v>0</v>
      </c>
      <c r="AY109" s="444">
        <f t="shared" si="156"/>
        <v>-52106</v>
      </c>
      <c r="AZ109" s="445">
        <f t="shared" si="156"/>
        <v>-0.02</v>
      </c>
      <c r="BA109" s="445">
        <f t="shared" si="156"/>
        <v>0</v>
      </c>
      <c r="BB109" s="445">
        <f t="shared" si="156"/>
        <v>0</v>
      </c>
      <c r="BC109" s="445">
        <f t="shared" si="156"/>
        <v>0</v>
      </c>
      <c r="BD109" s="445">
        <f t="shared" si="156"/>
        <v>0</v>
      </c>
      <c r="BE109" s="445">
        <f t="shared" si="156"/>
        <v>0</v>
      </c>
      <c r="BF109" s="445">
        <f t="shared" si="156"/>
        <v>0</v>
      </c>
      <c r="BG109" s="445">
        <f t="shared" si="156"/>
        <v>0</v>
      </c>
      <c r="BH109" s="445">
        <f t="shared" si="156"/>
        <v>0</v>
      </c>
      <c r="BI109" s="445">
        <f t="shared" si="156"/>
        <v>-0.02</v>
      </c>
      <c r="BJ109" s="445">
        <f t="shared" si="156"/>
        <v>0</v>
      </c>
      <c r="BK109" s="39">
        <f t="shared" si="156"/>
        <v>-0.02</v>
      </c>
      <c r="BL109" s="451">
        <f t="shared" si="156"/>
        <v>33055954</v>
      </c>
      <c r="BM109" s="444">
        <f t="shared" si="156"/>
        <v>24359139</v>
      </c>
      <c r="BN109" s="444">
        <f t="shared" si="156"/>
        <v>23041363</v>
      </c>
      <c r="BO109" s="444">
        <f t="shared" si="156"/>
        <v>1317776</v>
      </c>
      <c r="BP109" s="444">
        <f t="shared" si="156"/>
        <v>160413</v>
      </c>
      <c r="BQ109" s="444">
        <f t="shared" si="156"/>
        <v>160413</v>
      </c>
      <c r="BR109" s="444">
        <f t="shared" si="156"/>
        <v>0</v>
      </c>
      <c r="BS109" s="444">
        <f t="shared" si="156"/>
        <v>8237106</v>
      </c>
      <c r="BT109" s="444">
        <f t="shared" si="156"/>
        <v>243592</v>
      </c>
      <c r="BU109" s="444">
        <f t="shared" si="156"/>
        <v>55704</v>
      </c>
      <c r="BV109" s="445">
        <f t="shared" si="156"/>
        <v>40.375499999999995</v>
      </c>
      <c r="BW109" s="445">
        <f t="shared" si="156"/>
        <v>36.678099999999993</v>
      </c>
      <c r="BX109" s="39">
        <f t="shared" si="156"/>
        <v>3.6974</v>
      </c>
      <c r="BY109" s="806">
        <f t="shared" si="156"/>
        <v>0</v>
      </c>
      <c r="BZ109" s="709">
        <f t="shared" si="156"/>
        <v>0</v>
      </c>
      <c r="CA109" s="709">
        <f t="shared" si="156"/>
        <v>0</v>
      </c>
      <c r="CB109" s="709">
        <f t="shared" si="156"/>
        <v>0</v>
      </c>
      <c r="CC109" s="709">
        <f t="shared" si="156"/>
        <v>0</v>
      </c>
      <c r="CD109" s="807">
        <f t="shared" si="156"/>
        <v>0</v>
      </c>
      <c r="CE109" s="919">
        <f t="shared" si="156"/>
        <v>601194</v>
      </c>
      <c r="CF109" s="920">
        <f t="shared" si="156"/>
        <v>432460</v>
      </c>
      <c r="CG109" s="920">
        <f t="shared" si="156"/>
        <v>146171</v>
      </c>
      <c r="CH109" s="920">
        <f t="shared" ref="CH109:CJ109" si="157">SUM(CH108)</f>
        <v>4325</v>
      </c>
      <c r="CI109" s="920">
        <f t="shared" si="157"/>
        <v>18238</v>
      </c>
      <c r="CJ109" s="921">
        <f t="shared" si="157"/>
        <v>1.2132000000000001</v>
      </c>
    </row>
    <row r="110" spans="1:88" s="221" customFormat="1">
      <c r="A110" s="209">
        <v>20</v>
      </c>
      <c r="B110" s="210">
        <v>4485</v>
      </c>
      <c r="C110" s="210">
        <v>600074102</v>
      </c>
      <c r="D110" s="210">
        <v>70695113</v>
      </c>
      <c r="E110" s="208" t="s">
        <v>184</v>
      </c>
      <c r="F110" s="210">
        <v>3111</v>
      </c>
      <c r="G110" s="165" t="s">
        <v>290</v>
      </c>
      <c r="H110" s="621" t="s">
        <v>271</v>
      </c>
      <c r="I110" s="510">
        <v>3439843</v>
      </c>
      <c r="J110" s="414">
        <v>2497290</v>
      </c>
      <c r="K110" s="414">
        <v>2212707</v>
      </c>
      <c r="L110" s="414">
        <v>284583</v>
      </c>
      <c r="M110" s="414">
        <v>42000</v>
      </c>
      <c r="N110" s="414">
        <v>0</v>
      </c>
      <c r="O110" s="414">
        <v>42000</v>
      </c>
      <c r="P110" s="68">
        <v>858280</v>
      </c>
      <c r="Q110" s="68">
        <v>24973</v>
      </c>
      <c r="R110" s="414">
        <v>17300</v>
      </c>
      <c r="S110" s="415">
        <v>4.9295</v>
      </c>
      <c r="T110" s="416">
        <v>4</v>
      </c>
      <c r="U110" s="422">
        <v>0.92949999999999999</v>
      </c>
      <c r="V110" s="423">
        <f t="shared" si="104"/>
        <v>0</v>
      </c>
      <c r="W110" s="417">
        <f t="shared" si="105"/>
        <v>-18000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06"/>
        <v>0</v>
      </c>
      <c r="AF110" s="417">
        <f t="shared" si="107"/>
        <v>-18000</v>
      </c>
      <c r="AG110" s="417">
        <f t="shared" si="108"/>
        <v>-18000</v>
      </c>
      <c r="AH110" s="417">
        <v>0</v>
      </c>
      <c r="AI110" s="417">
        <v>18000</v>
      </c>
      <c r="AJ110" s="417">
        <v>0</v>
      </c>
      <c r="AK110" s="417">
        <v>0</v>
      </c>
      <c r="AL110" s="417">
        <v>0</v>
      </c>
      <c r="AM110" s="417">
        <f t="shared" si="109"/>
        <v>0</v>
      </c>
      <c r="AN110" s="417">
        <f t="shared" si="110"/>
        <v>18000</v>
      </c>
      <c r="AO110" s="417">
        <f t="shared" si="111"/>
        <v>18000</v>
      </c>
      <c r="AP110" s="417">
        <f t="shared" si="112"/>
        <v>0</v>
      </c>
      <c r="AQ110" s="417">
        <f t="shared" si="113"/>
        <v>0</v>
      </c>
      <c r="AR110" s="417">
        <f t="shared" si="114"/>
        <v>0</v>
      </c>
      <c r="AS110" s="68">
        <f t="shared" si="115"/>
        <v>0</v>
      </c>
      <c r="AT110" s="68">
        <f t="shared" si="116"/>
        <v>-180</v>
      </c>
      <c r="AU110" s="417">
        <v>0</v>
      </c>
      <c r="AV110" s="417">
        <v>0</v>
      </c>
      <c r="AW110" s="417">
        <v>0</v>
      </c>
      <c r="AX110" s="417">
        <f t="shared" si="117"/>
        <v>0</v>
      </c>
      <c r="AY110" s="417">
        <f t="shared" si="118"/>
        <v>-180</v>
      </c>
      <c r="AZ110" s="418">
        <v>0</v>
      </c>
      <c r="BA110" s="418">
        <v>-7.0000000000000007E-2</v>
      </c>
      <c r="BB110" s="418">
        <v>0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19"/>
        <v>0</v>
      </c>
      <c r="BJ110" s="418">
        <f t="shared" si="120"/>
        <v>-7.0000000000000007E-2</v>
      </c>
      <c r="BK110" s="420">
        <f t="shared" si="121"/>
        <v>-7.0000000000000007E-2</v>
      </c>
      <c r="BL110" s="772">
        <f>I110+AY110</f>
        <v>3439663</v>
      </c>
      <c r="BM110" s="417">
        <f>J110+AG110</f>
        <v>2479290</v>
      </c>
      <c r="BN110" s="417">
        <f t="shared" ref="BN110:BO112" si="158">K110+AE110</f>
        <v>2212707</v>
      </c>
      <c r="BO110" s="417">
        <f t="shared" si="158"/>
        <v>266583</v>
      </c>
      <c r="BP110" s="417">
        <f>M110+AO110</f>
        <v>60000</v>
      </c>
      <c r="BQ110" s="417">
        <f t="shared" ref="BQ110:BR112" si="159">N110+AM110</f>
        <v>0</v>
      </c>
      <c r="BR110" s="417">
        <f t="shared" si="159"/>
        <v>60000</v>
      </c>
      <c r="BS110" s="417">
        <f t="shared" ref="BS110:BT112" si="160">P110+AS110</f>
        <v>858280</v>
      </c>
      <c r="BT110" s="417">
        <f t="shared" si="160"/>
        <v>24793</v>
      </c>
      <c r="BU110" s="417">
        <f>R110+AX110</f>
        <v>17300</v>
      </c>
      <c r="BV110" s="418">
        <f>S110+BK110</f>
        <v>4.8594999999999997</v>
      </c>
      <c r="BW110" s="418">
        <f t="shared" ref="BW110:BX112" si="161">T110+BI110</f>
        <v>4</v>
      </c>
      <c r="BX110" s="420">
        <f t="shared" si="161"/>
        <v>0.85949999999999993</v>
      </c>
      <c r="BY110" s="419"/>
      <c r="BZ110" s="414"/>
      <c r="CA110" s="414"/>
      <c r="CB110" s="414"/>
      <c r="CC110" s="414"/>
      <c r="CD110" s="509"/>
      <c r="CE110" s="419">
        <v>147014</v>
      </c>
      <c r="CF110" s="414">
        <v>104791</v>
      </c>
      <c r="CG110" s="414">
        <v>35419</v>
      </c>
      <c r="CH110" s="414">
        <v>1048</v>
      </c>
      <c r="CI110" s="414">
        <v>5756</v>
      </c>
      <c r="CJ110" s="509">
        <v>0.3528</v>
      </c>
    </row>
    <row r="111" spans="1:88" s="221" customFormat="1">
      <c r="A111" s="209">
        <v>20</v>
      </c>
      <c r="B111" s="210">
        <v>4485</v>
      </c>
      <c r="C111" s="210">
        <v>600074102</v>
      </c>
      <c r="D111" s="210">
        <v>70695113</v>
      </c>
      <c r="E111" s="208" t="s">
        <v>184</v>
      </c>
      <c r="F111" s="210">
        <v>3111</v>
      </c>
      <c r="G111" s="165" t="s">
        <v>291</v>
      </c>
      <c r="H111" s="621" t="s">
        <v>272</v>
      </c>
      <c r="I111" s="510">
        <v>541493</v>
      </c>
      <c r="J111" s="414">
        <v>401701</v>
      </c>
      <c r="K111" s="414">
        <v>401701</v>
      </c>
      <c r="L111" s="414">
        <v>0</v>
      </c>
      <c r="M111" s="414">
        <v>0</v>
      </c>
      <c r="N111" s="414">
        <v>0</v>
      </c>
      <c r="O111" s="414">
        <v>0</v>
      </c>
      <c r="P111" s="68">
        <v>135775</v>
      </c>
      <c r="Q111" s="68">
        <v>4017</v>
      </c>
      <c r="R111" s="414">
        <v>0</v>
      </c>
      <c r="S111" s="415">
        <v>1.0899999999999999</v>
      </c>
      <c r="T111" s="416">
        <v>1.0899999999999999</v>
      </c>
      <c r="U111" s="422">
        <v>0</v>
      </c>
      <c r="V111" s="423">
        <f t="shared" si="104"/>
        <v>0</v>
      </c>
      <c r="W111" s="417">
        <f t="shared" si="105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06"/>
        <v>0</v>
      </c>
      <c r="AF111" s="417">
        <f t="shared" si="107"/>
        <v>0</v>
      </c>
      <c r="AG111" s="417">
        <f t="shared" si="108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09"/>
        <v>0</v>
      </c>
      <c r="AN111" s="417">
        <f t="shared" si="110"/>
        <v>0</v>
      </c>
      <c r="AO111" s="417">
        <f t="shared" si="111"/>
        <v>0</v>
      </c>
      <c r="AP111" s="417">
        <f t="shared" si="112"/>
        <v>0</v>
      </c>
      <c r="AQ111" s="417">
        <f t="shared" si="113"/>
        <v>0</v>
      </c>
      <c r="AR111" s="417">
        <f t="shared" si="114"/>
        <v>0</v>
      </c>
      <c r="AS111" s="68">
        <f t="shared" si="115"/>
        <v>0</v>
      </c>
      <c r="AT111" s="68">
        <f t="shared" si="116"/>
        <v>0</v>
      </c>
      <c r="AU111" s="417">
        <v>0</v>
      </c>
      <c r="AV111" s="417">
        <v>0</v>
      </c>
      <c r="AW111" s="417">
        <v>0</v>
      </c>
      <c r="AX111" s="417">
        <f t="shared" si="117"/>
        <v>0</v>
      </c>
      <c r="AY111" s="417">
        <f t="shared" si="118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19"/>
        <v>0</v>
      </c>
      <c r="BJ111" s="418">
        <f t="shared" si="120"/>
        <v>0</v>
      </c>
      <c r="BK111" s="420">
        <f t="shared" si="121"/>
        <v>0</v>
      </c>
      <c r="BL111" s="772">
        <f>I111+AY111</f>
        <v>541493</v>
      </c>
      <c r="BM111" s="417">
        <f>J111+AG111</f>
        <v>401701</v>
      </c>
      <c r="BN111" s="417">
        <f t="shared" si="158"/>
        <v>401701</v>
      </c>
      <c r="BO111" s="417">
        <f t="shared" si="158"/>
        <v>0</v>
      </c>
      <c r="BP111" s="417">
        <f>M111+AO111</f>
        <v>0</v>
      </c>
      <c r="BQ111" s="417">
        <f t="shared" si="159"/>
        <v>0</v>
      </c>
      <c r="BR111" s="417">
        <f t="shared" si="159"/>
        <v>0</v>
      </c>
      <c r="BS111" s="417">
        <f t="shared" si="160"/>
        <v>135775</v>
      </c>
      <c r="BT111" s="417">
        <f t="shared" si="160"/>
        <v>4017</v>
      </c>
      <c r="BU111" s="417">
        <f>R111+AX111</f>
        <v>0</v>
      </c>
      <c r="BV111" s="418">
        <f>S111+BK111</f>
        <v>1.0899999999999999</v>
      </c>
      <c r="BW111" s="418">
        <f t="shared" si="161"/>
        <v>1.0899999999999999</v>
      </c>
      <c r="BX111" s="420">
        <f t="shared" si="161"/>
        <v>0</v>
      </c>
      <c r="BY111" s="419"/>
      <c r="BZ111" s="414"/>
      <c r="CA111" s="414"/>
      <c r="CB111" s="414"/>
      <c r="CC111" s="414"/>
      <c r="CD111" s="509"/>
      <c r="CE111" s="419"/>
      <c r="CF111" s="414"/>
      <c r="CG111" s="414"/>
      <c r="CH111" s="414"/>
      <c r="CI111" s="414"/>
      <c r="CJ111" s="509"/>
    </row>
    <row r="112" spans="1:88" s="221" customFormat="1">
      <c r="A112" s="209">
        <v>20</v>
      </c>
      <c r="B112" s="210">
        <v>4485</v>
      </c>
      <c r="C112" s="210">
        <v>600074102</v>
      </c>
      <c r="D112" s="210">
        <v>70695113</v>
      </c>
      <c r="E112" s="208" t="s">
        <v>184</v>
      </c>
      <c r="F112" s="210">
        <v>3141</v>
      </c>
      <c r="G112" s="165" t="s">
        <v>294</v>
      </c>
      <c r="H112" s="621" t="s">
        <v>272</v>
      </c>
      <c r="I112" s="510">
        <v>906007</v>
      </c>
      <c r="J112" s="414">
        <v>669742</v>
      </c>
      <c r="K112" s="414">
        <v>0</v>
      </c>
      <c r="L112" s="414">
        <v>669742</v>
      </c>
      <c r="M112" s="414">
        <v>0</v>
      </c>
      <c r="N112" s="414">
        <v>0</v>
      </c>
      <c r="O112" s="414">
        <v>0</v>
      </c>
      <c r="P112" s="68">
        <v>226373</v>
      </c>
      <c r="Q112" s="68">
        <v>6698</v>
      </c>
      <c r="R112" s="414">
        <v>3194</v>
      </c>
      <c r="S112" s="415">
        <v>2.0099999999999998</v>
      </c>
      <c r="T112" s="416">
        <v>0</v>
      </c>
      <c r="U112" s="422">
        <v>2.0099999999999998</v>
      </c>
      <c r="V112" s="423">
        <f t="shared" si="104"/>
        <v>0</v>
      </c>
      <c r="W112" s="417">
        <f t="shared" si="105"/>
        <v>0</v>
      </c>
      <c r="X112" s="417">
        <v>0</v>
      </c>
      <c r="Y112" s="417">
        <v>0</v>
      </c>
      <c r="Z112" s="417">
        <v>0</v>
      </c>
      <c r="AA112" s="417">
        <v>-9595</v>
      </c>
      <c r="AB112" s="417">
        <v>0</v>
      </c>
      <c r="AC112" s="417">
        <v>0</v>
      </c>
      <c r="AD112" s="417">
        <v>0</v>
      </c>
      <c r="AE112" s="417">
        <f t="shared" si="106"/>
        <v>0</v>
      </c>
      <c r="AF112" s="417">
        <f t="shared" si="107"/>
        <v>-9595</v>
      </c>
      <c r="AG112" s="417">
        <f t="shared" si="108"/>
        <v>-9595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09"/>
        <v>0</v>
      </c>
      <c r="AN112" s="417">
        <f t="shared" si="110"/>
        <v>0</v>
      </c>
      <c r="AO112" s="417">
        <f t="shared" si="111"/>
        <v>0</v>
      </c>
      <c r="AP112" s="417">
        <f t="shared" si="112"/>
        <v>0</v>
      </c>
      <c r="AQ112" s="417">
        <f t="shared" si="113"/>
        <v>-9595</v>
      </c>
      <c r="AR112" s="417">
        <f t="shared" si="114"/>
        <v>-9595</v>
      </c>
      <c r="AS112" s="68">
        <f t="shared" si="115"/>
        <v>-3243</v>
      </c>
      <c r="AT112" s="68">
        <f t="shared" si="116"/>
        <v>-96</v>
      </c>
      <c r="AU112" s="417">
        <v>0</v>
      </c>
      <c r="AV112" s="417">
        <v>0</v>
      </c>
      <c r="AW112" s="417">
        <v>0</v>
      </c>
      <c r="AX112" s="417">
        <f t="shared" si="117"/>
        <v>0</v>
      </c>
      <c r="AY112" s="417">
        <f t="shared" si="118"/>
        <v>-12934</v>
      </c>
      <c r="AZ112" s="418">
        <v>0</v>
      </c>
      <c r="BA112" s="418">
        <v>0</v>
      </c>
      <c r="BB112" s="418">
        <v>0</v>
      </c>
      <c r="BC112" s="418">
        <v>0</v>
      </c>
      <c r="BD112" s="418">
        <v>-0.03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19"/>
        <v>0</v>
      </c>
      <c r="BJ112" s="418">
        <f t="shared" si="120"/>
        <v>-0.03</v>
      </c>
      <c r="BK112" s="420">
        <f t="shared" si="121"/>
        <v>-0.03</v>
      </c>
      <c r="BL112" s="772">
        <f>I112+AY112</f>
        <v>893073</v>
      </c>
      <c r="BM112" s="417">
        <f>J112+AG112</f>
        <v>660147</v>
      </c>
      <c r="BN112" s="417">
        <f t="shared" si="158"/>
        <v>0</v>
      </c>
      <c r="BO112" s="417">
        <f t="shared" si="158"/>
        <v>660147</v>
      </c>
      <c r="BP112" s="417">
        <f>M112+AO112</f>
        <v>0</v>
      </c>
      <c r="BQ112" s="417">
        <f t="shared" si="159"/>
        <v>0</v>
      </c>
      <c r="BR112" s="417">
        <f t="shared" si="159"/>
        <v>0</v>
      </c>
      <c r="BS112" s="417">
        <f t="shared" si="160"/>
        <v>223130</v>
      </c>
      <c r="BT112" s="417">
        <f t="shared" si="160"/>
        <v>6602</v>
      </c>
      <c r="BU112" s="417">
        <f>R112+AX112</f>
        <v>3194</v>
      </c>
      <c r="BV112" s="418">
        <f>S112+BK112</f>
        <v>1.9799999999999998</v>
      </c>
      <c r="BW112" s="418">
        <f t="shared" si="161"/>
        <v>0</v>
      </c>
      <c r="BX112" s="420">
        <f t="shared" si="161"/>
        <v>1.9799999999999998</v>
      </c>
      <c r="BY112" s="419"/>
      <c r="BZ112" s="414"/>
      <c r="CA112" s="414"/>
      <c r="CB112" s="414"/>
      <c r="CC112" s="414"/>
      <c r="CD112" s="509"/>
      <c r="CE112" s="419"/>
      <c r="CF112" s="601"/>
      <c r="CG112" s="414"/>
      <c r="CH112" s="414"/>
      <c r="CI112" s="601"/>
      <c r="CJ112" s="603"/>
    </row>
    <row r="113" spans="1:88" s="221" customFormat="1">
      <c r="A113" s="155">
        <v>20</v>
      </c>
      <c r="B113" s="18">
        <v>4485</v>
      </c>
      <c r="C113" s="18">
        <v>600074102</v>
      </c>
      <c r="D113" s="18">
        <v>70695113</v>
      </c>
      <c r="E113" s="164" t="s">
        <v>185</v>
      </c>
      <c r="F113" s="18"/>
      <c r="G113" s="154"/>
      <c r="H113" s="608"/>
      <c r="I113" s="451">
        <v>4887343</v>
      </c>
      <c r="J113" s="444">
        <v>3568733</v>
      </c>
      <c r="K113" s="444">
        <v>2614408</v>
      </c>
      <c r="L113" s="444">
        <v>954325</v>
      </c>
      <c r="M113" s="444">
        <v>42000</v>
      </c>
      <c r="N113" s="444">
        <v>0</v>
      </c>
      <c r="O113" s="444">
        <v>42000</v>
      </c>
      <c r="P113" s="444">
        <v>1220428</v>
      </c>
      <c r="Q113" s="444">
        <v>35688</v>
      </c>
      <c r="R113" s="444">
        <v>20494</v>
      </c>
      <c r="S113" s="445">
        <v>8.0294999999999987</v>
      </c>
      <c r="T113" s="445">
        <v>5.09</v>
      </c>
      <c r="U113" s="449">
        <v>2.9394999999999998</v>
      </c>
      <c r="V113" s="447">
        <f t="shared" ref="V113:CG113" si="162">SUM(V110:V112)</f>
        <v>0</v>
      </c>
      <c r="W113" s="444">
        <f t="shared" si="162"/>
        <v>-18000</v>
      </c>
      <c r="X113" s="444">
        <f t="shared" si="162"/>
        <v>0</v>
      </c>
      <c r="Y113" s="444">
        <f t="shared" si="162"/>
        <v>0</v>
      </c>
      <c r="Z113" s="444">
        <f t="shared" si="162"/>
        <v>0</v>
      </c>
      <c r="AA113" s="444">
        <f t="shared" si="162"/>
        <v>-9595</v>
      </c>
      <c r="AB113" s="444">
        <f t="shared" si="162"/>
        <v>0</v>
      </c>
      <c r="AC113" s="444">
        <f t="shared" si="162"/>
        <v>0</v>
      </c>
      <c r="AD113" s="444">
        <f t="shared" si="162"/>
        <v>0</v>
      </c>
      <c r="AE113" s="444">
        <f t="shared" si="162"/>
        <v>0</v>
      </c>
      <c r="AF113" s="444">
        <f t="shared" si="162"/>
        <v>-27595</v>
      </c>
      <c r="AG113" s="444">
        <f t="shared" si="162"/>
        <v>-27595</v>
      </c>
      <c r="AH113" s="444">
        <f t="shared" si="162"/>
        <v>0</v>
      </c>
      <c r="AI113" s="444">
        <f t="shared" si="162"/>
        <v>18000</v>
      </c>
      <c r="AJ113" s="444">
        <f t="shared" si="162"/>
        <v>0</v>
      </c>
      <c r="AK113" s="444">
        <f t="shared" si="162"/>
        <v>0</v>
      </c>
      <c r="AL113" s="444">
        <f t="shared" si="162"/>
        <v>0</v>
      </c>
      <c r="AM113" s="444">
        <f t="shared" si="162"/>
        <v>0</v>
      </c>
      <c r="AN113" s="444">
        <f t="shared" si="162"/>
        <v>18000</v>
      </c>
      <c r="AO113" s="444">
        <f t="shared" si="162"/>
        <v>18000</v>
      </c>
      <c r="AP113" s="444">
        <f t="shared" si="162"/>
        <v>0</v>
      </c>
      <c r="AQ113" s="444">
        <f t="shared" si="162"/>
        <v>-9595</v>
      </c>
      <c r="AR113" s="444">
        <f t="shared" si="162"/>
        <v>-9595</v>
      </c>
      <c r="AS113" s="444">
        <f t="shared" si="162"/>
        <v>-3243</v>
      </c>
      <c r="AT113" s="444">
        <f t="shared" si="162"/>
        <v>-276</v>
      </c>
      <c r="AU113" s="444">
        <f t="shared" si="162"/>
        <v>0</v>
      </c>
      <c r="AV113" s="444">
        <f t="shared" si="162"/>
        <v>0</v>
      </c>
      <c r="AW113" s="444">
        <f t="shared" si="162"/>
        <v>0</v>
      </c>
      <c r="AX113" s="444">
        <f t="shared" si="162"/>
        <v>0</v>
      </c>
      <c r="AY113" s="444">
        <f t="shared" si="162"/>
        <v>-13114</v>
      </c>
      <c r="AZ113" s="445">
        <f t="shared" si="162"/>
        <v>0</v>
      </c>
      <c r="BA113" s="445">
        <f t="shared" si="162"/>
        <v>-7.0000000000000007E-2</v>
      </c>
      <c r="BB113" s="445">
        <f t="shared" si="162"/>
        <v>0</v>
      </c>
      <c r="BC113" s="445">
        <f t="shared" si="162"/>
        <v>0</v>
      </c>
      <c r="BD113" s="445">
        <f t="shared" si="162"/>
        <v>-0.03</v>
      </c>
      <c r="BE113" s="445">
        <f t="shared" si="162"/>
        <v>0</v>
      </c>
      <c r="BF113" s="445">
        <f t="shared" si="162"/>
        <v>0</v>
      </c>
      <c r="BG113" s="445">
        <f t="shared" si="162"/>
        <v>0</v>
      </c>
      <c r="BH113" s="445">
        <f t="shared" si="162"/>
        <v>0</v>
      </c>
      <c r="BI113" s="445">
        <f t="shared" si="162"/>
        <v>0</v>
      </c>
      <c r="BJ113" s="445">
        <f t="shared" si="162"/>
        <v>-0.1</v>
      </c>
      <c r="BK113" s="39">
        <f t="shared" si="162"/>
        <v>-0.1</v>
      </c>
      <c r="BL113" s="451">
        <f t="shared" si="162"/>
        <v>4874229</v>
      </c>
      <c r="BM113" s="444">
        <f t="shared" si="162"/>
        <v>3541138</v>
      </c>
      <c r="BN113" s="444">
        <f t="shared" si="162"/>
        <v>2614408</v>
      </c>
      <c r="BO113" s="444">
        <f t="shared" si="162"/>
        <v>926730</v>
      </c>
      <c r="BP113" s="444">
        <f t="shared" si="162"/>
        <v>60000</v>
      </c>
      <c r="BQ113" s="444">
        <f t="shared" si="162"/>
        <v>0</v>
      </c>
      <c r="BR113" s="444">
        <f t="shared" si="162"/>
        <v>60000</v>
      </c>
      <c r="BS113" s="444">
        <f t="shared" si="162"/>
        <v>1217185</v>
      </c>
      <c r="BT113" s="444">
        <f t="shared" si="162"/>
        <v>35412</v>
      </c>
      <c r="BU113" s="444">
        <f t="shared" si="162"/>
        <v>20494</v>
      </c>
      <c r="BV113" s="445">
        <f t="shared" si="162"/>
        <v>7.9294999999999991</v>
      </c>
      <c r="BW113" s="445">
        <f t="shared" si="162"/>
        <v>5.09</v>
      </c>
      <c r="BX113" s="39">
        <f t="shared" si="162"/>
        <v>2.8394999999999997</v>
      </c>
      <c r="BY113" s="806">
        <f t="shared" si="162"/>
        <v>0</v>
      </c>
      <c r="BZ113" s="709">
        <f t="shared" si="162"/>
        <v>0</v>
      </c>
      <c r="CA113" s="709">
        <f t="shared" si="162"/>
        <v>0</v>
      </c>
      <c r="CB113" s="709">
        <f t="shared" si="162"/>
        <v>0</v>
      </c>
      <c r="CC113" s="709">
        <f t="shared" si="162"/>
        <v>0</v>
      </c>
      <c r="CD113" s="807">
        <f t="shared" si="162"/>
        <v>0</v>
      </c>
      <c r="CE113" s="919">
        <f t="shared" si="162"/>
        <v>147014</v>
      </c>
      <c r="CF113" s="920">
        <f t="shared" si="162"/>
        <v>104791</v>
      </c>
      <c r="CG113" s="920">
        <f t="shared" si="162"/>
        <v>35419</v>
      </c>
      <c r="CH113" s="920">
        <f t="shared" ref="CH113:CJ113" si="163">SUM(CH110:CH112)</f>
        <v>1048</v>
      </c>
      <c r="CI113" s="920">
        <f t="shared" si="163"/>
        <v>5756</v>
      </c>
      <c r="CJ113" s="921">
        <f t="shared" si="163"/>
        <v>0.3528</v>
      </c>
    </row>
    <row r="114" spans="1:88" s="221" customFormat="1">
      <c r="A114" s="209">
        <v>21</v>
      </c>
      <c r="B114" s="210">
        <v>4435</v>
      </c>
      <c r="C114" s="210">
        <v>650034295</v>
      </c>
      <c r="D114" s="210">
        <v>72744669</v>
      </c>
      <c r="E114" s="208" t="s">
        <v>186</v>
      </c>
      <c r="F114" s="210">
        <v>3111</v>
      </c>
      <c r="G114" s="165" t="s">
        <v>290</v>
      </c>
      <c r="H114" s="621" t="s">
        <v>271</v>
      </c>
      <c r="I114" s="510">
        <v>3419251</v>
      </c>
      <c r="J114" s="414">
        <v>2493703</v>
      </c>
      <c r="K114" s="414">
        <v>2307667</v>
      </c>
      <c r="L114" s="414">
        <v>186036</v>
      </c>
      <c r="M114" s="414">
        <v>30000</v>
      </c>
      <c r="N114" s="414">
        <v>20000</v>
      </c>
      <c r="O114" s="414">
        <v>10000</v>
      </c>
      <c r="P114" s="68">
        <v>853011</v>
      </c>
      <c r="Q114" s="68">
        <v>24937</v>
      </c>
      <c r="R114" s="414">
        <v>17600</v>
      </c>
      <c r="S114" s="415">
        <v>4.7854000000000001</v>
      </c>
      <c r="T114" s="416">
        <v>4</v>
      </c>
      <c r="U114" s="422">
        <v>0.78539999999999999</v>
      </c>
      <c r="V114" s="423">
        <f t="shared" si="104"/>
        <v>0</v>
      </c>
      <c r="W114" s="417">
        <f t="shared" si="105"/>
        <v>0</v>
      </c>
      <c r="X114" s="417">
        <v>0</v>
      </c>
      <c r="Y114" s="417">
        <v>0</v>
      </c>
      <c r="Z114" s="417">
        <v>0</v>
      </c>
      <c r="AA114" s="417">
        <v>0</v>
      </c>
      <c r="AB114" s="417">
        <v>0</v>
      </c>
      <c r="AC114" s="417">
        <v>0</v>
      </c>
      <c r="AD114" s="417">
        <v>0</v>
      </c>
      <c r="AE114" s="417">
        <f t="shared" si="106"/>
        <v>0</v>
      </c>
      <c r="AF114" s="417">
        <f t="shared" si="107"/>
        <v>0</v>
      </c>
      <c r="AG114" s="417">
        <f t="shared" si="108"/>
        <v>0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09"/>
        <v>0</v>
      </c>
      <c r="AN114" s="417">
        <f t="shared" si="110"/>
        <v>0</v>
      </c>
      <c r="AO114" s="417">
        <f t="shared" si="111"/>
        <v>0</v>
      </c>
      <c r="AP114" s="417">
        <f t="shared" si="112"/>
        <v>0</v>
      </c>
      <c r="AQ114" s="417">
        <f t="shared" si="113"/>
        <v>0</v>
      </c>
      <c r="AR114" s="417">
        <f t="shared" si="114"/>
        <v>0</v>
      </c>
      <c r="AS114" s="68">
        <f t="shared" si="115"/>
        <v>0</v>
      </c>
      <c r="AT114" s="68">
        <f t="shared" si="116"/>
        <v>0</v>
      </c>
      <c r="AU114" s="417">
        <v>0</v>
      </c>
      <c r="AV114" s="417">
        <v>0</v>
      </c>
      <c r="AW114" s="417">
        <v>0</v>
      </c>
      <c r="AX114" s="417">
        <f t="shared" si="117"/>
        <v>0</v>
      </c>
      <c r="AY114" s="417">
        <f t="shared" si="118"/>
        <v>0</v>
      </c>
      <c r="AZ114" s="418">
        <v>0</v>
      </c>
      <c r="BA114" s="418">
        <v>0</v>
      </c>
      <c r="BB114" s="418">
        <v>0</v>
      </c>
      <c r="BC114" s="418">
        <v>0</v>
      </c>
      <c r="BD114" s="418">
        <v>0</v>
      </c>
      <c r="BE114" s="418">
        <v>0</v>
      </c>
      <c r="BF114" s="418">
        <v>0</v>
      </c>
      <c r="BG114" s="418">
        <v>0</v>
      </c>
      <c r="BH114" s="418">
        <v>0</v>
      </c>
      <c r="BI114" s="418">
        <f t="shared" si="119"/>
        <v>0</v>
      </c>
      <c r="BJ114" s="418">
        <f t="shared" si="120"/>
        <v>0</v>
      </c>
      <c r="BK114" s="420">
        <f t="shared" si="121"/>
        <v>0</v>
      </c>
      <c r="BL114" s="772">
        <f t="shared" ref="BL114:BL119" si="164">I114+AY114</f>
        <v>3419251</v>
      </c>
      <c r="BM114" s="417">
        <f t="shared" ref="BM114:BM119" si="165">J114+AG114</f>
        <v>2493703</v>
      </c>
      <c r="BN114" s="417">
        <f t="shared" ref="BN114:BO119" si="166">K114+AE114</f>
        <v>2307667</v>
      </c>
      <c r="BO114" s="417">
        <f t="shared" si="166"/>
        <v>186036</v>
      </c>
      <c r="BP114" s="417">
        <f t="shared" ref="BP114:BP119" si="167">M114+AO114</f>
        <v>30000</v>
      </c>
      <c r="BQ114" s="417">
        <f t="shared" ref="BQ114:BR119" si="168">N114+AM114</f>
        <v>20000</v>
      </c>
      <c r="BR114" s="417">
        <f t="shared" si="168"/>
        <v>10000</v>
      </c>
      <c r="BS114" s="417">
        <f t="shared" ref="BS114:BT119" si="169">P114+AS114</f>
        <v>853011</v>
      </c>
      <c r="BT114" s="417">
        <f t="shared" si="169"/>
        <v>24937</v>
      </c>
      <c r="BU114" s="417">
        <f t="shared" ref="BU114:BU119" si="170">R114+AX114</f>
        <v>17600</v>
      </c>
      <c r="BV114" s="418">
        <f t="shared" ref="BV114:BV119" si="171">S114+BK114</f>
        <v>4.7854000000000001</v>
      </c>
      <c r="BW114" s="418">
        <f t="shared" ref="BW114:BX119" si="172">T114+BI114</f>
        <v>4</v>
      </c>
      <c r="BX114" s="420">
        <f t="shared" si="172"/>
        <v>0.78539999999999999</v>
      </c>
      <c r="BY114" s="419"/>
      <c r="BZ114" s="414"/>
      <c r="CA114" s="414"/>
      <c r="CB114" s="414"/>
      <c r="CC114" s="414"/>
      <c r="CD114" s="509"/>
      <c r="CE114" s="419">
        <v>90641</v>
      </c>
      <c r="CF114" s="414">
        <v>62900</v>
      </c>
      <c r="CG114" s="414">
        <v>21260</v>
      </c>
      <c r="CH114" s="414">
        <v>629</v>
      </c>
      <c r="CI114" s="414">
        <v>5852</v>
      </c>
      <c r="CJ114" s="509">
        <v>0.252</v>
      </c>
    </row>
    <row r="115" spans="1:88" s="221" customFormat="1">
      <c r="A115" s="209">
        <v>21</v>
      </c>
      <c r="B115" s="210">
        <v>4435</v>
      </c>
      <c r="C115" s="210">
        <v>650034295</v>
      </c>
      <c r="D115" s="210">
        <v>72744669</v>
      </c>
      <c r="E115" s="208" t="s">
        <v>186</v>
      </c>
      <c r="F115" s="210">
        <v>3117</v>
      </c>
      <c r="G115" s="165" t="s">
        <v>293</v>
      </c>
      <c r="H115" s="621" t="s">
        <v>271</v>
      </c>
      <c r="I115" s="510">
        <v>5902819</v>
      </c>
      <c r="J115" s="414">
        <v>4225055</v>
      </c>
      <c r="K115" s="414">
        <v>3364737</v>
      </c>
      <c r="L115" s="414">
        <v>860318</v>
      </c>
      <c r="M115" s="414">
        <v>90000</v>
      </c>
      <c r="N115" s="414">
        <v>80000</v>
      </c>
      <c r="O115" s="414">
        <v>10000</v>
      </c>
      <c r="P115" s="68">
        <v>1458489</v>
      </c>
      <c r="Q115" s="68">
        <v>42250</v>
      </c>
      <c r="R115" s="414">
        <v>87025</v>
      </c>
      <c r="S115" s="415">
        <v>7.6349999999999998</v>
      </c>
      <c r="T115" s="416">
        <v>5.1741999999999999</v>
      </c>
      <c r="U115" s="422">
        <v>2.4607999999999999</v>
      </c>
      <c r="V115" s="423">
        <f t="shared" si="104"/>
        <v>0</v>
      </c>
      <c r="W115" s="417">
        <f t="shared" si="105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06"/>
        <v>0</v>
      </c>
      <c r="AF115" s="417">
        <f t="shared" si="107"/>
        <v>0</v>
      </c>
      <c r="AG115" s="417">
        <f t="shared" si="108"/>
        <v>0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09"/>
        <v>0</v>
      </c>
      <c r="AN115" s="417">
        <f t="shared" si="110"/>
        <v>0</v>
      </c>
      <c r="AO115" s="417">
        <f t="shared" si="111"/>
        <v>0</v>
      </c>
      <c r="AP115" s="417">
        <f t="shared" si="112"/>
        <v>0</v>
      </c>
      <c r="AQ115" s="417">
        <f t="shared" si="113"/>
        <v>0</v>
      </c>
      <c r="AR115" s="417">
        <f t="shared" si="114"/>
        <v>0</v>
      </c>
      <c r="AS115" s="68">
        <f t="shared" si="115"/>
        <v>0</v>
      </c>
      <c r="AT115" s="68">
        <f t="shared" si="116"/>
        <v>0</v>
      </c>
      <c r="AU115" s="417">
        <v>0</v>
      </c>
      <c r="AV115" s="417">
        <v>0</v>
      </c>
      <c r="AW115" s="417">
        <v>0</v>
      </c>
      <c r="AX115" s="417">
        <f t="shared" si="117"/>
        <v>0</v>
      </c>
      <c r="AY115" s="417">
        <f t="shared" si="118"/>
        <v>0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19"/>
        <v>0</v>
      </c>
      <c r="BJ115" s="418">
        <f t="shared" si="120"/>
        <v>0</v>
      </c>
      <c r="BK115" s="420">
        <f t="shared" si="121"/>
        <v>0</v>
      </c>
      <c r="BL115" s="772">
        <f t="shared" si="164"/>
        <v>5902819</v>
      </c>
      <c r="BM115" s="417">
        <f t="shared" si="165"/>
        <v>4225055</v>
      </c>
      <c r="BN115" s="417">
        <f t="shared" si="166"/>
        <v>3364737</v>
      </c>
      <c r="BO115" s="417">
        <f t="shared" si="166"/>
        <v>860318</v>
      </c>
      <c r="BP115" s="417">
        <f t="shared" si="167"/>
        <v>90000</v>
      </c>
      <c r="BQ115" s="417">
        <f t="shared" si="168"/>
        <v>80000</v>
      </c>
      <c r="BR115" s="417">
        <f t="shared" si="168"/>
        <v>10000</v>
      </c>
      <c r="BS115" s="417">
        <f t="shared" si="169"/>
        <v>1458489</v>
      </c>
      <c r="BT115" s="417">
        <f t="shared" si="169"/>
        <v>42250</v>
      </c>
      <c r="BU115" s="417">
        <f t="shared" si="170"/>
        <v>87025</v>
      </c>
      <c r="BV115" s="418">
        <f t="shared" si="171"/>
        <v>7.6349999999999998</v>
      </c>
      <c r="BW115" s="418">
        <f t="shared" si="172"/>
        <v>5.1741999999999999</v>
      </c>
      <c r="BX115" s="420">
        <f t="shared" si="172"/>
        <v>2.4607999999999999</v>
      </c>
      <c r="BY115" s="419"/>
      <c r="BZ115" s="414"/>
      <c r="CA115" s="414"/>
      <c r="CB115" s="414"/>
      <c r="CC115" s="414"/>
      <c r="CD115" s="509"/>
      <c r="CE115" s="414">
        <v>391763</v>
      </c>
      <c r="CF115" s="414">
        <v>279333</v>
      </c>
      <c r="CG115" s="414">
        <v>94415</v>
      </c>
      <c r="CH115" s="414">
        <v>2793</v>
      </c>
      <c r="CI115" s="414">
        <v>15222</v>
      </c>
      <c r="CJ115" s="509">
        <v>0.78980000000000006</v>
      </c>
    </row>
    <row r="116" spans="1:88" s="221" customFormat="1">
      <c r="A116" s="209">
        <v>21</v>
      </c>
      <c r="B116" s="210">
        <v>4435</v>
      </c>
      <c r="C116" s="210">
        <v>650034295</v>
      </c>
      <c r="D116" s="210">
        <v>72744669</v>
      </c>
      <c r="E116" s="208" t="s">
        <v>186</v>
      </c>
      <c r="F116" s="210">
        <v>3117</v>
      </c>
      <c r="G116" s="165" t="s">
        <v>291</v>
      </c>
      <c r="H116" s="621" t="s">
        <v>272</v>
      </c>
      <c r="I116" s="510">
        <v>962659</v>
      </c>
      <c r="J116" s="414">
        <v>714139</v>
      </c>
      <c r="K116" s="414">
        <v>714139</v>
      </c>
      <c r="L116" s="414">
        <v>0</v>
      </c>
      <c r="M116" s="414">
        <v>0</v>
      </c>
      <c r="N116" s="414">
        <v>0</v>
      </c>
      <c r="O116" s="414">
        <v>0</v>
      </c>
      <c r="P116" s="68">
        <v>241379</v>
      </c>
      <c r="Q116" s="68">
        <v>7141</v>
      </c>
      <c r="R116" s="414">
        <v>0</v>
      </c>
      <c r="S116" s="415">
        <v>1.9300000000000002</v>
      </c>
      <c r="T116" s="416">
        <v>1.9300000000000002</v>
      </c>
      <c r="U116" s="422">
        <v>0</v>
      </c>
      <c r="V116" s="423">
        <f t="shared" si="104"/>
        <v>0</v>
      </c>
      <c r="W116" s="417">
        <f t="shared" si="105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06"/>
        <v>0</v>
      </c>
      <c r="AF116" s="417">
        <f t="shared" si="107"/>
        <v>0</v>
      </c>
      <c r="AG116" s="417">
        <f t="shared" si="108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09"/>
        <v>0</v>
      </c>
      <c r="AN116" s="417">
        <f t="shared" si="110"/>
        <v>0</v>
      </c>
      <c r="AO116" s="417">
        <f t="shared" si="111"/>
        <v>0</v>
      </c>
      <c r="AP116" s="417">
        <f t="shared" si="112"/>
        <v>0</v>
      </c>
      <c r="AQ116" s="417">
        <f t="shared" si="113"/>
        <v>0</v>
      </c>
      <c r="AR116" s="417">
        <f t="shared" si="114"/>
        <v>0</v>
      </c>
      <c r="AS116" s="68">
        <f t="shared" si="115"/>
        <v>0</v>
      </c>
      <c r="AT116" s="68">
        <f t="shared" si="116"/>
        <v>0</v>
      </c>
      <c r="AU116" s="417">
        <v>0</v>
      </c>
      <c r="AV116" s="417">
        <v>0</v>
      </c>
      <c r="AW116" s="417">
        <v>0</v>
      </c>
      <c r="AX116" s="417">
        <f t="shared" si="117"/>
        <v>0</v>
      </c>
      <c r="AY116" s="417">
        <f t="shared" si="118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19"/>
        <v>0</v>
      </c>
      <c r="BJ116" s="418">
        <f t="shared" si="120"/>
        <v>0</v>
      </c>
      <c r="BK116" s="420">
        <f t="shared" si="121"/>
        <v>0</v>
      </c>
      <c r="BL116" s="772">
        <f t="shared" si="164"/>
        <v>962659</v>
      </c>
      <c r="BM116" s="417">
        <f t="shared" si="165"/>
        <v>714139</v>
      </c>
      <c r="BN116" s="417">
        <f t="shared" si="166"/>
        <v>714139</v>
      </c>
      <c r="BO116" s="417">
        <f t="shared" si="166"/>
        <v>0</v>
      </c>
      <c r="BP116" s="417">
        <f t="shared" si="167"/>
        <v>0</v>
      </c>
      <c r="BQ116" s="417">
        <f t="shared" si="168"/>
        <v>0</v>
      </c>
      <c r="BR116" s="417">
        <f t="shared" si="168"/>
        <v>0</v>
      </c>
      <c r="BS116" s="417">
        <f t="shared" si="169"/>
        <v>241379</v>
      </c>
      <c r="BT116" s="417">
        <f t="shared" si="169"/>
        <v>7141</v>
      </c>
      <c r="BU116" s="417">
        <f t="shared" si="170"/>
        <v>0</v>
      </c>
      <c r="BV116" s="418">
        <f t="shared" si="171"/>
        <v>1.9300000000000002</v>
      </c>
      <c r="BW116" s="418">
        <f t="shared" si="172"/>
        <v>1.9300000000000002</v>
      </c>
      <c r="BX116" s="420">
        <f t="shared" si="172"/>
        <v>0</v>
      </c>
      <c r="BY116" s="419"/>
      <c r="BZ116" s="414"/>
      <c r="CA116" s="414"/>
      <c r="CB116" s="414"/>
      <c r="CC116" s="414"/>
      <c r="CD116" s="509"/>
      <c r="CE116" s="419"/>
      <c r="CF116" s="414"/>
      <c r="CG116" s="414"/>
      <c r="CH116" s="414"/>
      <c r="CI116" s="414"/>
      <c r="CJ116" s="509"/>
    </row>
    <row r="117" spans="1:88" s="221" customFormat="1">
      <c r="A117" s="209">
        <v>21</v>
      </c>
      <c r="B117" s="210">
        <v>4435</v>
      </c>
      <c r="C117" s="210">
        <v>650034295</v>
      </c>
      <c r="D117" s="210">
        <v>72744669</v>
      </c>
      <c r="E117" s="204" t="s">
        <v>186</v>
      </c>
      <c r="F117" s="210">
        <v>3141</v>
      </c>
      <c r="G117" s="165" t="s">
        <v>294</v>
      </c>
      <c r="H117" s="621" t="s">
        <v>272</v>
      </c>
      <c r="I117" s="510">
        <v>1231298</v>
      </c>
      <c r="J117" s="414">
        <v>903840</v>
      </c>
      <c r="K117" s="414">
        <v>0</v>
      </c>
      <c r="L117" s="414">
        <v>903840</v>
      </c>
      <c r="M117" s="414">
        <v>5000</v>
      </c>
      <c r="N117" s="414">
        <v>0</v>
      </c>
      <c r="O117" s="414">
        <v>5000</v>
      </c>
      <c r="P117" s="68">
        <v>307188</v>
      </c>
      <c r="Q117" s="68">
        <v>9038</v>
      </c>
      <c r="R117" s="414">
        <v>6232</v>
      </c>
      <c r="S117" s="415">
        <v>2.73</v>
      </c>
      <c r="T117" s="416">
        <v>0</v>
      </c>
      <c r="U117" s="422">
        <v>2.73</v>
      </c>
      <c r="V117" s="423">
        <f t="shared" si="104"/>
        <v>0</v>
      </c>
      <c r="W117" s="417">
        <f t="shared" si="105"/>
        <v>0</v>
      </c>
      <c r="X117" s="417">
        <v>0</v>
      </c>
      <c r="Y117" s="417">
        <v>0</v>
      </c>
      <c r="Z117" s="417">
        <v>0</v>
      </c>
      <c r="AA117" s="417">
        <v>-33579</v>
      </c>
      <c r="AB117" s="417">
        <v>0</v>
      </c>
      <c r="AC117" s="417">
        <v>0</v>
      </c>
      <c r="AD117" s="417">
        <v>0</v>
      </c>
      <c r="AE117" s="417">
        <f t="shared" si="106"/>
        <v>0</v>
      </c>
      <c r="AF117" s="417">
        <f t="shared" si="107"/>
        <v>-33579</v>
      </c>
      <c r="AG117" s="417">
        <f t="shared" si="108"/>
        <v>-33579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09"/>
        <v>0</v>
      </c>
      <c r="AN117" s="417">
        <f t="shared" si="110"/>
        <v>0</v>
      </c>
      <c r="AO117" s="417">
        <f t="shared" si="111"/>
        <v>0</v>
      </c>
      <c r="AP117" s="417">
        <f t="shared" si="112"/>
        <v>0</v>
      </c>
      <c r="AQ117" s="417">
        <f t="shared" si="113"/>
        <v>-33579</v>
      </c>
      <c r="AR117" s="417">
        <f t="shared" si="114"/>
        <v>-33579</v>
      </c>
      <c r="AS117" s="68">
        <f t="shared" si="115"/>
        <v>-11350</v>
      </c>
      <c r="AT117" s="68">
        <f t="shared" si="116"/>
        <v>-336</v>
      </c>
      <c r="AU117" s="417">
        <v>0</v>
      </c>
      <c r="AV117" s="417">
        <v>0</v>
      </c>
      <c r="AW117" s="417">
        <v>0</v>
      </c>
      <c r="AX117" s="417">
        <f t="shared" si="117"/>
        <v>0</v>
      </c>
      <c r="AY117" s="417">
        <f t="shared" si="118"/>
        <v>-45265</v>
      </c>
      <c r="AZ117" s="418">
        <v>0</v>
      </c>
      <c r="BA117" s="418">
        <v>0</v>
      </c>
      <c r="BB117" s="418">
        <v>0</v>
      </c>
      <c r="BC117" s="418">
        <v>0</v>
      </c>
      <c r="BD117" s="418">
        <v>-0.1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19"/>
        <v>0</v>
      </c>
      <c r="BJ117" s="418">
        <f t="shared" si="120"/>
        <v>-0.1</v>
      </c>
      <c r="BK117" s="420">
        <f t="shared" si="121"/>
        <v>-0.1</v>
      </c>
      <c r="BL117" s="772">
        <f t="shared" si="164"/>
        <v>1186033</v>
      </c>
      <c r="BM117" s="417">
        <f t="shared" si="165"/>
        <v>870261</v>
      </c>
      <c r="BN117" s="417">
        <f t="shared" si="166"/>
        <v>0</v>
      </c>
      <c r="BO117" s="417">
        <f t="shared" si="166"/>
        <v>870261</v>
      </c>
      <c r="BP117" s="417">
        <f t="shared" si="167"/>
        <v>5000</v>
      </c>
      <c r="BQ117" s="417">
        <f t="shared" si="168"/>
        <v>0</v>
      </c>
      <c r="BR117" s="417">
        <f t="shared" si="168"/>
        <v>5000</v>
      </c>
      <c r="BS117" s="417">
        <f t="shared" si="169"/>
        <v>295838</v>
      </c>
      <c r="BT117" s="417">
        <f t="shared" si="169"/>
        <v>8702</v>
      </c>
      <c r="BU117" s="417">
        <f t="shared" si="170"/>
        <v>6232</v>
      </c>
      <c r="BV117" s="418">
        <f t="shared" si="171"/>
        <v>2.63</v>
      </c>
      <c r="BW117" s="418">
        <f t="shared" si="172"/>
        <v>0</v>
      </c>
      <c r="BX117" s="420">
        <f t="shared" si="172"/>
        <v>2.63</v>
      </c>
      <c r="BY117" s="419"/>
      <c r="BZ117" s="414"/>
      <c r="CA117" s="414"/>
      <c r="CB117" s="414"/>
      <c r="CC117" s="414"/>
      <c r="CD117" s="509"/>
      <c r="CE117" s="419"/>
      <c r="CF117" s="414"/>
      <c r="CG117" s="414"/>
      <c r="CH117" s="414"/>
      <c r="CI117" s="414"/>
      <c r="CJ117" s="509"/>
    </row>
    <row r="118" spans="1:88" s="221" customFormat="1">
      <c r="A118" s="209">
        <v>21</v>
      </c>
      <c r="B118" s="210">
        <v>4435</v>
      </c>
      <c r="C118" s="210">
        <v>650034295</v>
      </c>
      <c r="D118" s="210">
        <v>72744669</v>
      </c>
      <c r="E118" s="208" t="s">
        <v>186</v>
      </c>
      <c r="F118" s="210">
        <v>3143</v>
      </c>
      <c r="G118" s="165" t="s">
        <v>595</v>
      </c>
      <c r="H118" s="609" t="s">
        <v>271</v>
      </c>
      <c r="I118" s="510">
        <v>687844</v>
      </c>
      <c r="J118" s="414">
        <v>505307</v>
      </c>
      <c r="K118" s="414">
        <v>505307</v>
      </c>
      <c r="L118" s="414">
        <v>0</v>
      </c>
      <c r="M118" s="414">
        <v>5000</v>
      </c>
      <c r="N118" s="414">
        <v>5000</v>
      </c>
      <c r="O118" s="414">
        <v>0</v>
      </c>
      <c r="P118" s="68">
        <v>172484</v>
      </c>
      <c r="Q118" s="68">
        <v>5053</v>
      </c>
      <c r="R118" s="414">
        <v>0</v>
      </c>
      <c r="S118" s="415">
        <v>0.9375</v>
      </c>
      <c r="T118" s="416">
        <v>0.9375</v>
      </c>
      <c r="U118" s="422">
        <v>0</v>
      </c>
      <c r="V118" s="423">
        <f t="shared" si="104"/>
        <v>0</v>
      </c>
      <c r="W118" s="417">
        <f t="shared" si="105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06"/>
        <v>0</v>
      </c>
      <c r="AF118" s="417">
        <f t="shared" si="107"/>
        <v>0</v>
      </c>
      <c r="AG118" s="417">
        <f t="shared" si="108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09"/>
        <v>0</v>
      </c>
      <c r="AN118" s="417">
        <f t="shared" si="110"/>
        <v>0</v>
      </c>
      <c r="AO118" s="417">
        <f t="shared" si="111"/>
        <v>0</v>
      </c>
      <c r="AP118" s="417">
        <f t="shared" si="112"/>
        <v>0</v>
      </c>
      <c r="AQ118" s="417">
        <f t="shared" si="113"/>
        <v>0</v>
      </c>
      <c r="AR118" s="417">
        <f t="shared" si="114"/>
        <v>0</v>
      </c>
      <c r="AS118" s="68">
        <f t="shared" si="115"/>
        <v>0</v>
      </c>
      <c r="AT118" s="68">
        <f t="shared" si="116"/>
        <v>0</v>
      </c>
      <c r="AU118" s="417">
        <v>0</v>
      </c>
      <c r="AV118" s="417">
        <v>0</v>
      </c>
      <c r="AW118" s="417">
        <v>0</v>
      </c>
      <c r="AX118" s="417">
        <f t="shared" si="117"/>
        <v>0</v>
      </c>
      <c r="AY118" s="417">
        <f t="shared" si="118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19"/>
        <v>0</v>
      </c>
      <c r="BJ118" s="418">
        <f t="shared" si="120"/>
        <v>0</v>
      </c>
      <c r="BK118" s="420">
        <f t="shared" si="121"/>
        <v>0</v>
      </c>
      <c r="BL118" s="772">
        <f t="shared" si="164"/>
        <v>687844</v>
      </c>
      <c r="BM118" s="417">
        <f t="shared" si="165"/>
        <v>505307</v>
      </c>
      <c r="BN118" s="417">
        <f t="shared" si="166"/>
        <v>505307</v>
      </c>
      <c r="BO118" s="417">
        <f t="shared" si="166"/>
        <v>0</v>
      </c>
      <c r="BP118" s="417">
        <f t="shared" si="167"/>
        <v>5000</v>
      </c>
      <c r="BQ118" s="417">
        <f t="shared" si="168"/>
        <v>5000</v>
      </c>
      <c r="BR118" s="417">
        <f t="shared" si="168"/>
        <v>0</v>
      </c>
      <c r="BS118" s="417">
        <f t="shared" si="169"/>
        <v>172484</v>
      </c>
      <c r="BT118" s="417">
        <f t="shared" si="169"/>
        <v>5053</v>
      </c>
      <c r="BU118" s="417">
        <f t="shared" si="170"/>
        <v>0</v>
      </c>
      <c r="BV118" s="418">
        <f t="shared" si="171"/>
        <v>0.9375</v>
      </c>
      <c r="BW118" s="418">
        <f t="shared" si="172"/>
        <v>0.9375</v>
      </c>
      <c r="BX118" s="420">
        <f t="shared" si="172"/>
        <v>0</v>
      </c>
      <c r="BY118" s="419"/>
      <c r="BZ118" s="414"/>
      <c r="CA118" s="414"/>
      <c r="CB118" s="414"/>
      <c r="CC118" s="414"/>
      <c r="CD118" s="509"/>
      <c r="CE118" s="419"/>
      <c r="CF118" s="414"/>
      <c r="CG118" s="414"/>
      <c r="CH118" s="414"/>
      <c r="CI118" s="414"/>
      <c r="CJ118" s="509"/>
    </row>
    <row r="119" spans="1:88" s="221" customFormat="1">
      <c r="A119" s="209">
        <v>21</v>
      </c>
      <c r="B119" s="210">
        <v>4435</v>
      </c>
      <c r="C119" s="210">
        <v>650034295</v>
      </c>
      <c r="D119" s="210">
        <v>72744669</v>
      </c>
      <c r="E119" s="208" t="s">
        <v>186</v>
      </c>
      <c r="F119" s="210">
        <v>3143</v>
      </c>
      <c r="G119" s="165" t="s">
        <v>596</v>
      </c>
      <c r="H119" s="609" t="s">
        <v>272</v>
      </c>
      <c r="I119" s="510">
        <v>23052</v>
      </c>
      <c r="J119" s="414">
        <v>16500</v>
      </c>
      <c r="K119" s="414">
        <v>0</v>
      </c>
      <c r="L119" s="414">
        <v>16500</v>
      </c>
      <c r="M119" s="414">
        <v>0</v>
      </c>
      <c r="N119" s="414">
        <v>0</v>
      </c>
      <c r="O119" s="414">
        <v>0</v>
      </c>
      <c r="P119" s="68">
        <v>5577</v>
      </c>
      <c r="Q119" s="68">
        <v>165</v>
      </c>
      <c r="R119" s="414">
        <v>810</v>
      </c>
      <c r="S119" s="415">
        <v>0.06</v>
      </c>
      <c r="T119" s="416">
        <v>0</v>
      </c>
      <c r="U119" s="422">
        <v>0.06</v>
      </c>
      <c r="V119" s="423">
        <f t="shared" si="104"/>
        <v>0</v>
      </c>
      <c r="W119" s="417">
        <f t="shared" si="105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06"/>
        <v>0</v>
      </c>
      <c r="AF119" s="417">
        <f t="shared" si="107"/>
        <v>0</v>
      </c>
      <c r="AG119" s="417">
        <f t="shared" si="108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09"/>
        <v>0</v>
      </c>
      <c r="AN119" s="417">
        <f t="shared" si="110"/>
        <v>0</v>
      </c>
      <c r="AO119" s="417">
        <f t="shared" si="111"/>
        <v>0</v>
      </c>
      <c r="AP119" s="417">
        <f t="shared" si="112"/>
        <v>0</v>
      </c>
      <c r="AQ119" s="417">
        <f t="shared" si="113"/>
        <v>0</v>
      </c>
      <c r="AR119" s="417">
        <f t="shared" si="114"/>
        <v>0</v>
      </c>
      <c r="AS119" s="68">
        <f t="shared" si="115"/>
        <v>0</v>
      </c>
      <c r="AT119" s="68">
        <f t="shared" si="116"/>
        <v>0</v>
      </c>
      <c r="AU119" s="417">
        <v>0</v>
      </c>
      <c r="AV119" s="417">
        <v>0</v>
      </c>
      <c r="AW119" s="417">
        <v>0</v>
      </c>
      <c r="AX119" s="417">
        <f t="shared" si="117"/>
        <v>0</v>
      </c>
      <c r="AY119" s="417">
        <f t="shared" si="118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19"/>
        <v>0</v>
      </c>
      <c r="BJ119" s="418">
        <f t="shared" si="120"/>
        <v>0</v>
      </c>
      <c r="BK119" s="420">
        <f t="shared" si="121"/>
        <v>0</v>
      </c>
      <c r="BL119" s="772">
        <f t="shared" si="164"/>
        <v>23052</v>
      </c>
      <c r="BM119" s="417">
        <f t="shared" si="165"/>
        <v>16500</v>
      </c>
      <c r="BN119" s="417">
        <f t="shared" si="166"/>
        <v>0</v>
      </c>
      <c r="BO119" s="417">
        <f t="shared" si="166"/>
        <v>16500</v>
      </c>
      <c r="BP119" s="417">
        <f t="shared" si="167"/>
        <v>0</v>
      </c>
      <c r="BQ119" s="417">
        <f t="shared" si="168"/>
        <v>0</v>
      </c>
      <c r="BR119" s="417">
        <f t="shared" si="168"/>
        <v>0</v>
      </c>
      <c r="BS119" s="417">
        <f t="shared" si="169"/>
        <v>5577</v>
      </c>
      <c r="BT119" s="417">
        <f t="shared" si="169"/>
        <v>165</v>
      </c>
      <c r="BU119" s="417">
        <f t="shared" si="170"/>
        <v>810</v>
      </c>
      <c r="BV119" s="418">
        <f t="shared" si="171"/>
        <v>0.06</v>
      </c>
      <c r="BW119" s="418">
        <f t="shared" si="172"/>
        <v>0</v>
      </c>
      <c r="BX119" s="420">
        <f t="shared" si="172"/>
        <v>0.06</v>
      </c>
      <c r="BY119" s="419"/>
      <c r="BZ119" s="414"/>
      <c r="CA119" s="414"/>
      <c r="CB119" s="414"/>
      <c r="CC119" s="414"/>
      <c r="CD119" s="509"/>
      <c r="CE119" s="419"/>
      <c r="CF119" s="601"/>
      <c r="CG119" s="414"/>
      <c r="CH119" s="414"/>
      <c r="CI119" s="602"/>
      <c r="CJ119" s="603"/>
    </row>
    <row r="120" spans="1:88" s="221" customFormat="1">
      <c r="A120" s="155">
        <v>21</v>
      </c>
      <c r="B120" s="18">
        <v>4435</v>
      </c>
      <c r="C120" s="18">
        <v>650034295</v>
      </c>
      <c r="D120" s="18">
        <v>72744669</v>
      </c>
      <c r="E120" s="164" t="s">
        <v>187</v>
      </c>
      <c r="F120" s="18"/>
      <c r="G120" s="154"/>
      <c r="H120" s="608"/>
      <c r="I120" s="451">
        <v>12226923</v>
      </c>
      <c r="J120" s="444">
        <v>8858544</v>
      </c>
      <c r="K120" s="444">
        <v>6891850</v>
      </c>
      <c r="L120" s="444">
        <v>1966694</v>
      </c>
      <c r="M120" s="444">
        <v>130000</v>
      </c>
      <c r="N120" s="444">
        <v>105000</v>
      </c>
      <c r="O120" s="444">
        <v>25000</v>
      </c>
      <c r="P120" s="444">
        <v>3038128</v>
      </c>
      <c r="Q120" s="444">
        <v>88584</v>
      </c>
      <c r="R120" s="444">
        <v>111667</v>
      </c>
      <c r="S120" s="445">
        <v>18.0779</v>
      </c>
      <c r="T120" s="445">
        <v>12.041699999999999</v>
      </c>
      <c r="U120" s="449">
        <v>6.0362</v>
      </c>
      <c r="V120" s="447">
        <f t="shared" ref="V120:CG120" si="173">SUM(V114:V119)</f>
        <v>0</v>
      </c>
      <c r="W120" s="444">
        <f t="shared" si="173"/>
        <v>0</v>
      </c>
      <c r="X120" s="444">
        <f t="shared" si="173"/>
        <v>0</v>
      </c>
      <c r="Y120" s="444">
        <f t="shared" si="173"/>
        <v>0</v>
      </c>
      <c r="Z120" s="444">
        <f t="shared" si="173"/>
        <v>0</v>
      </c>
      <c r="AA120" s="444">
        <f t="shared" si="173"/>
        <v>-33579</v>
      </c>
      <c r="AB120" s="444">
        <f t="shared" si="173"/>
        <v>0</v>
      </c>
      <c r="AC120" s="444">
        <f t="shared" si="173"/>
        <v>0</v>
      </c>
      <c r="AD120" s="444">
        <f t="shared" si="173"/>
        <v>0</v>
      </c>
      <c r="AE120" s="444">
        <f t="shared" si="173"/>
        <v>0</v>
      </c>
      <c r="AF120" s="444">
        <f t="shared" si="173"/>
        <v>-33579</v>
      </c>
      <c r="AG120" s="444">
        <f t="shared" si="173"/>
        <v>-33579</v>
      </c>
      <c r="AH120" s="444">
        <f t="shared" si="173"/>
        <v>0</v>
      </c>
      <c r="AI120" s="444">
        <f t="shared" si="173"/>
        <v>0</v>
      </c>
      <c r="AJ120" s="444">
        <f t="shared" si="173"/>
        <v>0</v>
      </c>
      <c r="AK120" s="444">
        <f t="shared" si="173"/>
        <v>0</v>
      </c>
      <c r="AL120" s="444">
        <f t="shared" si="173"/>
        <v>0</v>
      </c>
      <c r="AM120" s="444">
        <f t="shared" si="173"/>
        <v>0</v>
      </c>
      <c r="AN120" s="444">
        <f t="shared" si="173"/>
        <v>0</v>
      </c>
      <c r="AO120" s="444">
        <f t="shared" si="173"/>
        <v>0</v>
      </c>
      <c r="AP120" s="444">
        <f t="shared" si="173"/>
        <v>0</v>
      </c>
      <c r="AQ120" s="444">
        <f t="shared" si="173"/>
        <v>-33579</v>
      </c>
      <c r="AR120" s="444">
        <f t="shared" si="173"/>
        <v>-33579</v>
      </c>
      <c r="AS120" s="444">
        <f t="shared" si="173"/>
        <v>-11350</v>
      </c>
      <c r="AT120" s="444">
        <f t="shared" si="173"/>
        <v>-336</v>
      </c>
      <c r="AU120" s="444">
        <f t="shared" si="173"/>
        <v>0</v>
      </c>
      <c r="AV120" s="444">
        <f t="shared" si="173"/>
        <v>0</v>
      </c>
      <c r="AW120" s="444">
        <f t="shared" si="173"/>
        <v>0</v>
      </c>
      <c r="AX120" s="444">
        <f t="shared" si="173"/>
        <v>0</v>
      </c>
      <c r="AY120" s="444">
        <f t="shared" si="173"/>
        <v>-45265</v>
      </c>
      <c r="AZ120" s="445">
        <f t="shared" si="173"/>
        <v>0</v>
      </c>
      <c r="BA120" s="445">
        <f t="shared" si="173"/>
        <v>0</v>
      </c>
      <c r="BB120" s="445">
        <f t="shared" si="173"/>
        <v>0</v>
      </c>
      <c r="BC120" s="445">
        <f t="shared" si="173"/>
        <v>0</v>
      </c>
      <c r="BD120" s="445">
        <f t="shared" si="173"/>
        <v>-0.1</v>
      </c>
      <c r="BE120" s="445">
        <f t="shared" si="173"/>
        <v>0</v>
      </c>
      <c r="BF120" s="445">
        <f t="shared" si="173"/>
        <v>0</v>
      </c>
      <c r="BG120" s="445">
        <f t="shared" si="173"/>
        <v>0</v>
      </c>
      <c r="BH120" s="445">
        <f t="shared" si="173"/>
        <v>0</v>
      </c>
      <c r="BI120" s="445">
        <f t="shared" si="173"/>
        <v>0</v>
      </c>
      <c r="BJ120" s="445">
        <f t="shared" si="173"/>
        <v>-0.1</v>
      </c>
      <c r="BK120" s="39">
        <f t="shared" si="173"/>
        <v>-0.1</v>
      </c>
      <c r="BL120" s="451">
        <f t="shared" si="173"/>
        <v>12181658</v>
      </c>
      <c r="BM120" s="444">
        <f t="shared" si="173"/>
        <v>8824965</v>
      </c>
      <c r="BN120" s="444">
        <f t="shared" si="173"/>
        <v>6891850</v>
      </c>
      <c r="BO120" s="444">
        <f t="shared" si="173"/>
        <v>1933115</v>
      </c>
      <c r="BP120" s="444">
        <f t="shared" si="173"/>
        <v>130000</v>
      </c>
      <c r="BQ120" s="444">
        <f t="shared" si="173"/>
        <v>105000</v>
      </c>
      <c r="BR120" s="444">
        <f t="shared" si="173"/>
        <v>25000</v>
      </c>
      <c r="BS120" s="444">
        <f t="shared" si="173"/>
        <v>3026778</v>
      </c>
      <c r="BT120" s="444">
        <f t="shared" si="173"/>
        <v>88248</v>
      </c>
      <c r="BU120" s="444">
        <f t="shared" si="173"/>
        <v>111667</v>
      </c>
      <c r="BV120" s="445">
        <f t="shared" si="173"/>
        <v>17.977899999999998</v>
      </c>
      <c r="BW120" s="445">
        <f t="shared" si="173"/>
        <v>12.041699999999999</v>
      </c>
      <c r="BX120" s="39">
        <f t="shared" si="173"/>
        <v>5.9361999999999995</v>
      </c>
      <c r="BY120" s="806">
        <f t="shared" si="173"/>
        <v>0</v>
      </c>
      <c r="BZ120" s="709">
        <f t="shared" si="173"/>
        <v>0</v>
      </c>
      <c r="CA120" s="709">
        <f t="shared" si="173"/>
        <v>0</v>
      </c>
      <c r="CB120" s="709">
        <f t="shared" si="173"/>
        <v>0</v>
      </c>
      <c r="CC120" s="709">
        <f t="shared" si="173"/>
        <v>0</v>
      </c>
      <c r="CD120" s="807">
        <f t="shared" si="173"/>
        <v>0</v>
      </c>
      <c r="CE120" s="919">
        <f t="shared" si="173"/>
        <v>482404</v>
      </c>
      <c r="CF120" s="920">
        <f t="shared" si="173"/>
        <v>342233</v>
      </c>
      <c r="CG120" s="920">
        <f t="shared" si="173"/>
        <v>115675</v>
      </c>
      <c r="CH120" s="920">
        <f t="shared" ref="CH120:CJ120" si="174">SUM(CH114:CH119)</f>
        <v>3422</v>
      </c>
      <c r="CI120" s="920">
        <f t="shared" si="174"/>
        <v>21074</v>
      </c>
      <c r="CJ120" s="921">
        <f t="shared" si="174"/>
        <v>1.0418000000000001</v>
      </c>
    </row>
    <row r="121" spans="1:88" s="221" customFormat="1">
      <c r="A121" s="209">
        <v>22</v>
      </c>
      <c r="B121" s="210">
        <v>4412</v>
      </c>
      <c r="C121" s="210">
        <v>600074447</v>
      </c>
      <c r="D121" s="210">
        <v>70698554</v>
      </c>
      <c r="E121" s="208" t="s">
        <v>188</v>
      </c>
      <c r="F121" s="210">
        <v>3111</v>
      </c>
      <c r="G121" s="165" t="s">
        <v>290</v>
      </c>
      <c r="H121" s="621" t="s">
        <v>271</v>
      </c>
      <c r="I121" s="510">
        <v>3711991</v>
      </c>
      <c r="J121" s="414">
        <v>2741537</v>
      </c>
      <c r="K121" s="414">
        <v>2414954</v>
      </c>
      <c r="L121" s="414">
        <v>326583</v>
      </c>
      <c r="M121" s="414">
        <v>0</v>
      </c>
      <c r="N121" s="414">
        <v>0</v>
      </c>
      <c r="O121" s="414">
        <v>0</v>
      </c>
      <c r="P121" s="68">
        <v>926639</v>
      </c>
      <c r="Q121" s="68">
        <v>27415</v>
      </c>
      <c r="R121" s="414">
        <v>16400</v>
      </c>
      <c r="S121" s="415">
        <v>5.0994999999999999</v>
      </c>
      <c r="T121" s="416">
        <v>4</v>
      </c>
      <c r="U121" s="422">
        <v>1.0994999999999999</v>
      </c>
      <c r="V121" s="423">
        <f t="shared" si="104"/>
        <v>0</v>
      </c>
      <c r="W121" s="417">
        <f t="shared" si="105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106"/>
        <v>0</v>
      </c>
      <c r="AF121" s="417">
        <f t="shared" si="107"/>
        <v>0</v>
      </c>
      <c r="AG121" s="417">
        <f t="shared" si="108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09"/>
        <v>0</v>
      </c>
      <c r="AN121" s="417">
        <f t="shared" si="110"/>
        <v>0</v>
      </c>
      <c r="AO121" s="417">
        <f t="shared" si="111"/>
        <v>0</v>
      </c>
      <c r="AP121" s="417">
        <f t="shared" si="112"/>
        <v>0</v>
      </c>
      <c r="AQ121" s="417">
        <f t="shared" si="113"/>
        <v>0</v>
      </c>
      <c r="AR121" s="417">
        <f t="shared" si="114"/>
        <v>0</v>
      </c>
      <c r="AS121" s="68">
        <f t="shared" si="115"/>
        <v>0</v>
      </c>
      <c r="AT121" s="68">
        <f t="shared" si="116"/>
        <v>0</v>
      </c>
      <c r="AU121" s="417">
        <v>0</v>
      </c>
      <c r="AV121" s="417">
        <v>0</v>
      </c>
      <c r="AW121" s="417">
        <v>0</v>
      </c>
      <c r="AX121" s="417">
        <f t="shared" si="117"/>
        <v>0</v>
      </c>
      <c r="AY121" s="417">
        <f t="shared" si="118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19"/>
        <v>0</v>
      </c>
      <c r="BJ121" s="418">
        <f t="shared" si="120"/>
        <v>0</v>
      </c>
      <c r="BK121" s="420">
        <f t="shared" si="121"/>
        <v>0</v>
      </c>
      <c r="BL121" s="772">
        <f>I121+AY121</f>
        <v>3711991</v>
      </c>
      <c r="BM121" s="417">
        <f>J121+AG121</f>
        <v>2741537</v>
      </c>
      <c r="BN121" s="417">
        <f t="shared" ref="BN121:BO123" si="175">K121+AE121</f>
        <v>2414954</v>
      </c>
      <c r="BO121" s="417">
        <f t="shared" si="175"/>
        <v>326583</v>
      </c>
      <c r="BP121" s="417">
        <f>M121+AO121</f>
        <v>0</v>
      </c>
      <c r="BQ121" s="417">
        <f t="shared" ref="BQ121:BR123" si="176">N121+AM121</f>
        <v>0</v>
      </c>
      <c r="BR121" s="417">
        <f t="shared" si="176"/>
        <v>0</v>
      </c>
      <c r="BS121" s="417">
        <f t="shared" ref="BS121:BT123" si="177">P121+AS121</f>
        <v>926639</v>
      </c>
      <c r="BT121" s="417">
        <f t="shared" si="177"/>
        <v>27415</v>
      </c>
      <c r="BU121" s="417">
        <f>R121+AX121</f>
        <v>16400</v>
      </c>
      <c r="BV121" s="418">
        <f>S121+BK121</f>
        <v>5.0994999999999999</v>
      </c>
      <c r="BW121" s="418">
        <f t="shared" ref="BW121:BX123" si="178">T121+BI121</f>
        <v>4</v>
      </c>
      <c r="BX121" s="420">
        <f t="shared" si="178"/>
        <v>1.0994999999999999</v>
      </c>
      <c r="BY121" s="419"/>
      <c r="BZ121" s="414"/>
      <c r="CA121" s="414"/>
      <c r="CB121" s="414"/>
      <c r="CC121" s="414"/>
      <c r="CD121" s="509"/>
      <c r="CE121" s="419">
        <v>146711</v>
      </c>
      <c r="CF121" s="414">
        <v>104791</v>
      </c>
      <c r="CG121" s="414">
        <v>35419</v>
      </c>
      <c r="CH121" s="414">
        <v>1048</v>
      </c>
      <c r="CI121" s="414">
        <v>5453</v>
      </c>
      <c r="CJ121" s="509">
        <v>0.3528</v>
      </c>
    </row>
    <row r="122" spans="1:88" s="221" customFormat="1">
      <c r="A122" s="209">
        <v>22</v>
      </c>
      <c r="B122" s="210">
        <v>4412</v>
      </c>
      <c r="C122" s="210">
        <v>600074447</v>
      </c>
      <c r="D122" s="210">
        <v>70698554</v>
      </c>
      <c r="E122" s="208" t="s">
        <v>188</v>
      </c>
      <c r="F122" s="210">
        <v>3111</v>
      </c>
      <c r="G122" s="165" t="s">
        <v>291</v>
      </c>
      <c r="H122" s="621" t="s">
        <v>272</v>
      </c>
      <c r="I122" s="510">
        <v>916373</v>
      </c>
      <c r="J122" s="414">
        <v>679802</v>
      </c>
      <c r="K122" s="414">
        <v>679802</v>
      </c>
      <c r="L122" s="414">
        <v>0</v>
      </c>
      <c r="M122" s="414">
        <v>0</v>
      </c>
      <c r="N122" s="414">
        <v>0</v>
      </c>
      <c r="O122" s="414">
        <v>0</v>
      </c>
      <c r="P122" s="68">
        <v>229773</v>
      </c>
      <c r="Q122" s="68">
        <v>6798</v>
      </c>
      <c r="R122" s="414">
        <v>0</v>
      </c>
      <c r="S122" s="415">
        <v>1.83</v>
      </c>
      <c r="T122" s="416">
        <v>1.83</v>
      </c>
      <c r="U122" s="422">
        <v>0</v>
      </c>
      <c r="V122" s="423">
        <f t="shared" si="104"/>
        <v>0</v>
      </c>
      <c r="W122" s="417">
        <f t="shared" si="105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06"/>
        <v>0</v>
      </c>
      <c r="AF122" s="417">
        <f t="shared" si="107"/>
        <v>0</v>
      </c>
      <c r="AG122" s="417">
        <f t="shared" si="108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09"/>
        <v>0</v>
      </c>
      <c r="AN122" s="417">
        <f t="shared" si="110"/>
        <v>0</v>
      </c>
      <c r="AO122" s="417">
        <f t="shared" si="111"/>
        <v>0</v>
      </c>
      <c r="AP122" s="417">
        <f t="shared" si="112"/>
        <v>0</v>
      </c>
      <c r="AQ122" s="417">
        <f t="shared" si="113"/>
        <v>0</v>
      </c>
      <c r="AR122" s="417">
        <f t="shared" si="114"/>
        <v>0</v>
      </c>
      <c r="AS122" s="68">
        <f t="shared" si="115"/>
        <v>0</v>
      </c>
      <c r="AT122" s="68">
        <f t="shared" si="116"/>
        <v>0</v>
      </c>
      <c r="AU122" s="417">
        <v>0</v>
      </c>
      <c r="AV122" s="417">
        <v>0</v>
      </c>
      <c r="AW122" s="417">
        <v>0</v>
      </c>
      <c r="AX122" s="417">
        <f t="shared" si="117"/>
        <v>0</v>
      </c>
      <c r="AY122" s="417">
        <f t="shared" si="118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19"/>
        <v>0</v>
      </c>
      <c r="BJ122" s="418">
        <f t="shared" si="120"/>
        <v>0</v>
      </c>
      <c r="BK122" s="420">
        <f t="shared" si="121"/>
        <v>0</v>
      </c>
      <c r="BL122" s="772">
        <f>I122+AY122</f>
        <v>916373</v>
      </c>
      <c r="BM122" s="417">
        <f>J122+AG122</f>
        <v>679802</v>
      </c>
      <c r="BN122" s="417">
        <f t="shared" si="175"/>
        <v>679802</v>
      </c>
      <c r="BO122" s="417">
        <f t="shared" si="175"/>
        <v>0</v>
      </c>
      <c r="BP122" s="417">
        <f>M122+AO122</f>
        <v>0</v>
      </c>
      <c r="BQ122" s="417">
        <f t="shared" si="176"/>
        <v>0</v>
      </c>
      <c r="BR122" s="417">
        <f t="shared" si="176"/>
        <v>0</v>
      </c>
      <c r="BS122" s="417">
        <f t="shared" si="177"/>
        <v>229773</v>
      </c>
      <c r="BT122" s="417">
        <f t="shared" si="177"/>
        <v>6798</v>
      </c>
      <c r="BU122" s="417">
        <f>R122+AX122</f>
        <v>0</v>
      </c>
      <c r="BV122" s="418">
        <f>S122+BK122</f>
        <v>1.83</v>
      </c>
      <c r="BW122" s="418">
        <f t="shared" si="178"/>
        <v>1.83</v>
      </c>
      <c r="BX122" s="420">
        <f t="shared" si="178"/>
        <v>0</v>
      </c>
      <c r="BY122" s="419"/>
      <c r="BZ122" s="414"/>
      <c r="CA122" s="414"/>
      <c r="CB122" s="414"/>
      <c r="CC122" s="414"/>
      <c r="CD122" s="509"/>
      <c r="CE122" s="419"/>
      <c r="CF122" s="414"/>
      <c r="CG122" s="414"/>
      <c r="CH122" s="414"/>
      <c r="CI122" s="414"/>
      <c r="CJ122" s="509"/>
    </row>
    <row r="123" spans="1:88" s="221" customFormat="1">
      <c r="A123" s="209">
        <v>22</v>
      </c>
      <c r="B123" s="210">
        <v>4412</v>
      </c>
      <c r="C123" s="210">
        <v>600074447</v>
      </c>
      <c r="D123" s="210">
        <v>70698554</v>
      </c>
      <c r="E123" s="204" t="s">
        <v>188</v>
      </c>
      <c r="F123" s="210">
        <v>3141</v>
      </c>
      <c r="G123" s="165" t="s">
        <v>294</v>
      </c>
      <c r="H123" s="621" t="s">
        <v>272</v>
      </c>
      <c r="I123" s="510">
        <v>606538</v>
      </c>
      <c r="J123" s="414">
        <v>448372</v>
      </c>
      <c r="K123" s="414">
        <v>0</v>
      </c>
      <c r="L123" s="414">
        <v>448372</v>
      </c>
      <c r="M123" s="414">
        <v>0</v>
      </c>
      <c r="N123" s="414">
        <v>0</v>
      </c>
      <c r="O123" s="414">
        <v>0</v>
      </c>
      <c r="P123" s="68">
        <v>151550</v>
      </c>
      <c r="Q123" s="68">
        <v>4484</v>
      </c>
      <c r="R123" s="414">
        <v>2132</v>
      </c>
      <c r="S123" s="415">
        <v>1.34</v>
      </c>
      <c r="T123" s="416">
        <v>0</v>
      </c>
      <c r="U123" s="422">
        <v>1.34</v>
      </c>
      <c r="V123" s="423">
        <f t="shared" si="104"/>
        <v>0</v>
      </c>
      <c r="W123" s="417">
        <f t="shared" si="105"/>
        <v>0</v>
      </c>
      <c r="X123" s="417">
        <v>0</v>
      </c>
      <c r="Y123" s="417">
        <v>0</v>
      </c>
      <c r="Z123" s="417">
        <v>0</v>
      </c>
      <c r="AA123" s="417">
        <v>12426</v>
      </c>
      <c r="AB123" s="417">
        <v>0</v>
      </c>
      <c r="AC123" s="417">
        <v>0</v>
      </c>
      <c r="AD123" s="417">
        <v>0</v>
      </c>
      <c r="AE123" s="417">
        <f t="shared" si="106"/>
        <v>0</v>
      </c>
      <c r="AF123" s="417">
        <f t="shared" si="107"/>
        <v>12426</v>
      </c>
      <c r="AG123" s="417">
        <f t="shared" si="108"/>
        <v>12426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09"/>
        <v>0</v>
      </c>
      <c r="AN123" s="417">
        <f t="shared" si="110"/>
        <v>0</v>
      </c>
      <c r="AO123" s="417">
        <f t="shared" si="111"/>
        <v>0</v>
      </c>
      <c r="AP123" s="417">
        <f t="shared" si="112"/>
        <v>0</v>
      </c>
      <c r="AQ123" s="417">
        <f t="shared" si="113"/>
        <v>12426</v>
      </c>
      <c r="AR123" s="417">
        <f t="shared" si="114"/>
        <v>12426</v>
      </c>
      <c r="AS123" s="68">
        <f t="shared" si="115"/>
        <v>4200</v>
      </c>
      <c r="AT123" s="68">
        <f t="shared" si="116"/>
        <v>124</v>
      </c>
      <c r="AU123" s="417">
        <v>0</v>
      </c>
      <c r="AV123" s="417">
        <v>0</v>
      </c>
      <c r="AW123" s="417">
        <v>0</v>
      </c>
      <c r="AX123" s="417">
        <f t="shared" si="117"/>
        <v>0</v>
      </c>
      <c r="AY123" s="417">
        <f t="shared" si="118"/>
        <v>16750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0.04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19"/>
        <v>0</v>
      </c>
      <c r="BJ123" s="418">
        <f t="shared" si="120"/>
        <v>0.04</v>
      </c>
      <c r="BK123" s="420">
        <f t="shared" si="121"/>
        <v>0.04</v>
      </c>
      <c r="BL123" s="772">
        <f>I123+AY123</f>
        <v>623288</v>
      </c>
      <c r="BM123" s="417">
        <f>J123+AG123</f>
        <v>460798</v>
      </c>
      <c r="BN123" s="417">
        <f t="shared" si="175"/>
        <v>0</v>
      </c>
      <c r="BO123" s="417">
        <f t="shared" si="175"/>
        <v>460798</v>
      </c>
      <c r="BP123" s="417">
        <f>M123+AO123</f>
        <v>0</v>
      </c>
      <c r="BQ123" s="417">
        <f t="shared" si="176"/>
        <v>0</v>
      </c>
      <c r="BR123" s="417">
        <f t="shared" si="176"/>
        <v>0</v>
      </c>
      <c r="BS123" s="417">
        <f t="shared" si="177"/>
        <v>155750</v>
      </c>
      <c r="BT123" s="417">
        <f t="shared" si="177"/>
        <v>4608</v>
      </c>
      <c r="BU123" s="417">
        <f>R123+AX123</f>
        <v>2132</v>
      </c>
      <c r="BV123" s="418">
        <f>S123+BK123</f>
        <v>1.3800000000000001</v>
      </c>
      <c r="BW123" s="418">
        <f t="shared" si="178"/>
        <v>0</v>
      </c>
      <c r="BX123" s="420">
        <f t="shared" si="178"/>
        <v>1.3800000000000001</v>
      </c>
      <c r="BY123" s="419"/>
      <c r="BZ123" s="414"/>
      <c r="CA123" s="414"/>
      <c r="CB123" s="414"/>
      <c r="CC123" s="414"/>
      <c r="CD123" s="509"/>
      <c r="CE123" s="419"/>
      <c r="CF123" s="601"/>
      <c r="CG123" s="414"/>
      <c r="CH123" s="414"/>
      <c r="CI123" s="601"/>
      <c r="CJ123" s="603"/>
    </row>
    <row r="124" spans="1:88" s="221" customFormat="1">
      <c r="A124" s="155">
        <v>22</v>
      </c>
      <c r="B124" s="18">
        <v>4412</v>
      </c>
      <c r="C124" s="18">
        <v>600074447</v>
      </c>
      <c r="D124" s="18">
        <v>70698554</v>
      </c>
      <c r="E124" s="164" t="s">
        <v>189</v>
      </c>
      <c r="F124" s="18"/>
      <c r="G124" s="154"/>
      <c r="H124" s="608"/>
      <c r="I124" s="451">
        <v>5234902</v>
      </c>
      <c r="J124" s="444">
        <v>3869711</v>
      </c>
      <c r="K124" s="444">
        <v>3094756</v>
      </c>
      <c r="L124" s="444">
        <v>774955</v>
      </c>
      <c r="M124" s="444">
        <v>0</v>
      </c>
      <c r="N124" s="444">
        <v>0</v>
      </c>
      <c r="O124" s="444">
        <v>0</v>
      </c>
      <c r="P124" s="444">
        <v>1307962</v>
      </c>
      <c r="Q124" s="444">
        <v>38697</v>
      </c>
      <c r="R124" s="444">
        <v>18532</v>
      </c>
      <c r="S124" s="445">
        <v>8.2695000000000007</v>
      </c>
      <c r="T124" s="445">
        <v>5.83</v>
      </c>
      <c r="U124" s="449">
        <v>2.4394999999999998</v>
      </c>
      <c r="V124" s="447">
        <f t="shared" ref="V124:CG124" si="179">SUM(V121:V123)</f>
        <v>0</v>
      </c>
      <c r="W124" s="444">
        <f t="shared" si="179"/>
        <v>0</v>
      </c>
      <c r="X124" s="444">
        <f t="shared" si="179"/>
        <v>0</v>
      </c>
      <c r="Y124" s="444">
        <f t="shared" si="179"/>
        <v>0</v>
      </c>
      <c r="Z124" s="444">
        <f t="shared" si="179"/>
        <v>0</v>
      </c>
      <c r="AA124" s="444">
        <f t="shared" si="179"/>
        <v>12426</v>
      </c>
      <c r="AB124" s="444">
        <f t="shared" si="179"/>
        <v>0</v>
      </c>
      <c r="AC124" s="444">
        <f t="shared" si="179"/>
        <v>0</v>
      </c>
      <c r="AD124" s="444">
        <f t="shared" si="179"/>
        <v>0</v>
      </c>
      <c r="AE124" s="444">
        <f t="shared" si="179"/>
        <v>0</v>
      </c>
      <c r="AF124" s="444">
        <f t="shared" si="179"/>
        <v>12426</v>
      </c>
      <c r="AG124" s="444">
        <f t="shared" si="179"/>
        <v>12426</v>
      </c>
      <c r="AH124" s="444">
        <f t="shared" si="179"/>
        <v>0</v>
      </c>
      <c r="AI124" s="444">
        <f t="shared" si="179"/>
        <v>0</v>
      </c>
      <c r="AJ124" s="444">
        <f t="shared" si="179"/>
        <v>0</v>
      </c>
      <c r="AK124" s="444">
        <f t="shared" si="179"/>
        <v>0</v>
      </c>
      <c r="AL124" s="444">
        <f t="shared" si="179"/>
        <v>0</v>
      </c>
      <c r="AM124" s="444">
        <f t="shared" si="179"/>
        <v>0</v>
      </c>
      <c r="AN124" s="444">
        <f t="shared" si="179"/>
        <v>0</v>
      </c>
      <c r="AO124" s="444">
        <f t="shared" si="179"/>
        <v>0</v>
      </c>
      <c r="AP124" s="444">
        <f t="shared" si="179"/>
        <v>0</v>
      </c>
      <c r="AQ124" s="444">
        <f t="shared" si="179"/>
        <v>12426</v>
      </c>
      <c r="AR124" s="444">
        <f t="shared" si="179"/>
        <v>12426</v>
      </c>
      <c r="AS124" s="444">
        <f t="shared" si="179"/>
        <v>4200</v>
      </c>
      <c r="AT124" s="444">
        <f t="shared" si="179"/>
        <v>124</v>
      </c>
      <c r="AU124" s="444">
        <f t="shared" si="179"/>
        <v>0</v>
      </c>
      <c r="AV124" s="444">
        <f t="shared" si="179"/>
        <v>0</v>
      </c>
      <c r="AW124" s="444">
        <f t="shared" si="179"/>
        <v>0</v>
      </c>
      <c r="AX124" s="444">
        <f t="shared" si="179"/>
        <v>0</v>
      </c>
      <c r="AY124" s="444">
        <f t="shared" si="179"/>
        <v>16750</v>
      </c>
      <c r="AZ124" s="445">
        <f t="shared" si="179"/>
        <v>0</v>
      </c>
      <c r="BA124" s="445">
        <f t="shared" si="179"/>
        <v>0</v>
      </c>
      <c r="BB124" s="445">
        <f t="shared" si="179"/>
        <v>0</v>
      </c>
      <c r="BC124" s="445">
        <f t="shared" si="179"/>
        <v>0</v>
      </c>
      <c r="BD124" s="445">
        <f t="shared" si="179"/>
        <v>0.04</v>
      </c>
      <c r="BE124" s="445">
        <f t="shared" si="179"/>
        <v>0</v>
      </c>
      <c r="BF124" s="445">
        <f t="shared" si="179"/>
        <v>0</v>
      </c>
      <c r="BG124" s="445">
        <f t="shared" si="179"/>
        <v>0</v>
      </c>
      <c r="BH124" s="445">
        <f t="shared" si="179"/>
        <v>0</v>
      </c>
      <c r="BI124" s="445">
        <f t="shared" si="179"/>
        <v>0</v>
      </c>
      <c r="BJ124" s="445">
        <f t="shared" si="179"/>
        <v>0.04</v>
      </c>
      <c r="BK124" s="39">
        <f t="shared" si="179"/>
        <v>0.04</v>
      </c>
      <c r="BL124" s="451">
        <f t="shared" si="179"/>
        <v>5251652</v>
      </c>
      <c r="BM124" s="444">
        <f t="shared" si="179"/>
        <v>3882137</v>
      </c>
      <c r="BN124" s="444">
        <f t="shared" si="179"/>
        <v>3094756</v>
      </c>
      <c r="BO124" s="444">
        <f t="shared" si="179"/>
        <v>787381</v>
      </c>
      <c r="BP124" s="444">
        <f t="shared" si="179"/>
        <v>0</v>
      </c>
      <c r="BQ124" s="444">
        <f t="shared" si="179"/>
        <v>0</v>
      </c>
      <c r="BR124" s="444">
        <f t="shared" si="179"/>
        <v>0</v>
      </c>
      <c r="BS124" s="444">
        <f t="shared" si="179"/>
        <v>1312162</v>
      </c>
      <c r="BT124" s="444">
        <f t="shared" si="179"/>
        <v>38821</v>
      </c>
      <c r="BU124" s="444">
        <f t="shared" si="179"/>
        <v>18532</v>
      </c>
      <c r="BV124" s="445">
        <f t="shared" si="179"/>
        <v>8.3094999999999999</v>
      </c>
      <c r="BW124" s="445">
        <f t="shared" si="179"/>
        <v>5.83</v>
      </c>
      <c r="BX124" s="39">
        <f t="shared" si="179"/>
        <v>2.4794999999999998</v>
      </c>
      <c r="BY124" s="806">
        <f t="shared" si="179"/>
        <v>0</v>
      </c>
      <c r="BZ124" s="709">
        <f t="shared" si="179"/>
        <v>0</v>
      </c>
      <c r="CA124" s="709">
        <f t="shared" si="179"/>
        <v>0</v>
      </c>
      <c r="CB124" s="709">
        <f t="shared" si="179"/>
        <v>0</v>
      </c>
      <c r="CC124" s="709">
        <f t="shared" si="179"/>
        <v>0</v>
      </c>
      <c r="CD124" s="807">
        <f t="shared" si="179"/>
        <v>0</v>
      </c>
      <c r="CE124" s="919">
        <f t="shared" si="179"/>
        <v>146711</v>
      </c>
      <c r="CF124" s="920">
        <f t="shared" si="179"/>
        <v>104791</v>
      </c>
      <c r="CG124" s="920">
        <f t="shared" si="179"/>
        <v>35419</v>
      </c>
      <c r="CH124" s="920">
        <f t="shared" ref="CH124:CJ124" si="180">SUM(CH121:CH123)</f>
        <v>1048</v>
      </c>
      <c r="CI124" s="920">
        <f t="shared" si="180"/>
        <v>5453</v>
      </c>
      <c r="CJ124" s="921">
        <f t="shared" si="180"/>
        <v>0.3528</v>
      </c>
    </row>
    <row r="125" spans="1:88" s="221" customFormat="1">
      <c r="A125" s="209">
        <v>23</v>
      </c>
      <c r="B125" s="210">
        <v>4413</v>
      </c>
      <c r="C125" s="210">
        <v>600074455</v>
      </c>
      <c r="D125" s="210">
        <v>70695369</v>
      </c>
      <c r="E125" s="208" t="s">
        <v>190</v>
      </c>
      <c r="F125" s="210">
        <v>3111</v>
      </c>
      <c r="G125" s="165" t="s">
        <v>290</v>
      </c>
      <c r="H125" s="621" t="s">
        <v>271</v>
      </c>
      <c r="I125" s="510">
        <v>10033369</v>
      </c>
      <c r="J125" s="414">
        <v>7407247</v>
      </c>
      <c r="K125" s="414">
        <v>6545510</v>
      </c>
      <c r="L125" s="414">
        <v>861737</v>
      </c>
      <c r="M125" s="414">
        <v>0</v>
      </c>
      <c r="N125" s="414">
        <v>0</v>
      </c>
      <c r="O125" s="414">
        <v>0</v>
      </c>
      <c r="P125" s="68">
        <v>2503650</v>
      </c>
      <c r="Q125" s="68">
        <v>74072</v>
      </c>
      <c r="R125" s="414">
        <v>48400</v>
      </c>
      <c r="S125" s="415">
        <v>13.935400000000001</v>
      </c>
      <c r="T125" s="416">
        <v>11</v>
      </c>
      <c r="U125" s="422">
        <v>2.9354</v>
      </c>
      <c r="V125" s="423">
        <f t="shared" si="104"/>
        <v>0</v>
      </c>
      <c r="W125" s="417">
        <f t="shared" si="105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06"/>
        <v>0</v>
      </c>
      <c r="AF125" s="417">
        <f t="shared" si="107"/>
        <v>0</v>
      </c>
      <c r="AG125" s="417">
        <f t="shared" si="108"/>
        <v>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09"/>
        <v>0</v>
      </c>
      <c r="AN125" s="417">
        <f t="shared" si="110"/>
        <v>0</v>
      </c>
      <c r="AO125" s="417">
        <f t="shared" si="111"/>
        <v>0</v>
      </c>
      <c r="AP125" s="417">
        <f t="shared" si="112"/>
        <v>0</v>
      </c>
      <c r="AQ125" s="417">
        <f t="shared" si="113"/>
        <v>0</v>
      </c>
      <c r="AR125" s="417">
        <f t="shared" si="114"/>
        <v>0</v>
      </c>
      <c r="AS125" s="68">
        <f t="shared" si="115"/>
        <v>0</v>
      </c>
      <c r="AT125" s="68">
        <f t="shared" si="116"/>
        <v>0</v>
      </c>
      <c r="AU125" s="417">
        <v>0</v>
      </c>
      <c r="AV125" s="417">
        <v>0</v>
      </c>
      <c r="AW125" s="417">
        <v>0</v>
      </c>
      <c r="AX125" s="417">
        <f t="shared" si="117"/>
        <v>0</v>
      </c>
      <c r="AY125" s="417">
        <f t="shared" si="118"/>
        <v>0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19"/>
        <v>0</v>
      </c>
      <c r="BJ125" s="418">
        <f t="shared" si="120"/>
        <v>0</v>
      </c>
      <c r="BK125" s="420">
        <f t="shared" si="121"/>
        <v>0</v>
      </c>
      <c r="BL125" s="772">
        <f>I125+AY125</f>
        <v>10033369</v>
      </c>
      <c r="BM125" s="417">
        <f>J125+AG125</f>
        <v>7407247</v>
      </c>
      <c r="BN125" s="417">
        <f t="shared" ref="BN125:BO129" si="181">K125+AE125</f>
        <v>6545510</v>
      </c>
      <c r="BO125" s="417">
        <f t="shared" si="181"/>
        <v>861737</v>
      </c>
      <c r="BP125" s="417">
        <f>M125+AO125</f>
        <v>0</v>
      </c>
      <c r="BQ125" s="417">
        <f t="shared" ref="BQ125:BR129" si="182">N125+AM125</f>
        <v>0</v>
      </c>
      <c r="BR125" s="417">
        <f t="shared" si="182"/>
        <v>0</v>
      </c>
      <c r="BS125" s="417">
        <f t="shared" ref="BS125:BT129" si="183">P125+AS125</f>
        <v>2503650</v>
      </c>
      <c r="BT125" s="417">
        <f t="shared" si="183"/>
        <v>74072</v>
      </c>
      <c r="BU125" s="417">
        <f>R125+AX125</f>
        <v>48400</v>
      </c>
      <c r="BV125" s="418">
        <f>S125+BK125</f>
        <v>13.935400000000001</v>
      </c>
      <c r="BW125" s="418">
        <f t="shared" ref="BW125:BX129" si="184">T125+BI125</f>
        <v>11</v>
      </c>
      <c r="BX125" s="420">
        <f t="shared" si="184"/>
        <v>2.9354</v>
      </c>
      <c r="BY125" s="419"/>
      <c r="BZ125" s="414"/>
      <c r="CA125" s="414"/>
      <c r="CB125" s="414"/>
      <c r="CC125" s="414"/>
      <c r="CD125" s="509"/>
      <c r="CE125" s="419">
        <v>388839</v>
      </c>
      <c r="CF125" s="414">
        <v>276518</v>
      </c>
      <c r="CG125" s="414">
        <v>93463</v>
      </c>
      <c r="CH125" s="414">
        <v>2765</v>
      </c>
      <c r="CI125" s="414">
        <v>16093</v>
      </c>
      <c r="CJ125" s="509">
        <v>0.94189999999999996</v>
      </c>
    </row>
    <row r="126" spans="1:88" s="221" customFormat="1">
      <c r="A126" s="209">
        <v>23</v>
      </c>
      <c r="B126" s="210">
        <v>4413</v>
      </c>
      <c r="C126" s="210">
        <v>600074455</v>
      </c>
      <c r="D126" s="210">
        <v>70695369</v>
      </c>
      <c r="E126" s="208" t="s">
        <v>190</v>
      </c>
      <c r="F126" s="210">
        <v>3111</v>
      </c>
      <c r="G126" s="165" t="s">
        <v>291</v>
      </c>
      <c r="H126" s="621" t="s">
        <v>272</v>
      </c>
      <c r="I126" s="510">
        <v>2332585</v>
      </c>
      <c r="J126" s="414">
        <v>1730405</v>
      </c>
      <c r="K126" s="414">
        <v>1730405</v>
      </c>
      <c r="L126" s="414">
        <v>0</v>
      </c>
      <c r="M126" s="414">
        <v>0</v>
      </c>
      <c r="N126" s="414">
        <v>0</v>
      </c>
      <c r="O126" s="414">
        <v>0</v>
      </c>
      <c r="P126" s="68">
        <v>584876</v>
      </c>
      <c r="Q126" s="68">
        <v>17304</v>
      </c>
      <c r="R126" s="414">
        <v>0</v>
      </c>
      <c r="S126" s="415">
        <v>4.66</v>
      </c>
      <c r="T126" s="416">
        <v>4.66</v>
      </c>
      <c r="U126" s="422">
        <v>0</v>
      </c>
      <c r="V126" s="423">
        <f t="shared" si="104"/>
        <v>0</v>
      </c>
      <c r="W126" s="417">
        <f t="shared" si="105"/>
        <v>0</v>
      </c>
      <c r="X126" s="417">
        <v>-23175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 t="shared" si="106"/>
        <v>-23175</v>
      </c>
      <c r="AF126" s="417">
        <f t="shared" si="107"/>
        <v>0</v>
      </c>
      <c r="AG126" s="417">
        <f t="shared" si="108"/>
        <v>-23175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09"/>
        <v>0</v>
      </c>
      <c r="AN126" s="417">
        <f t="shared" si="110"/>
        <v>0</v>
      </c>
      <c r="AO126" s="417">
        <f t="shared" si="111"/>
        <v>0</v>
      </c>
      <c r="AP126" s="417">
        <f t="shared" si="112"/>
        <v>-23175</v>
      </c>
      <c r="AQ126" s="417">
        <f t="shared" si="113"/>
        <v>0</v>
      </c>
      <c r="AR126" s="417">
        <f t="shared" si="114"/>
        <v>-23175</v>
      </c>
      <c r="AS126" s="68">
        <f t="shared" si="115"/>
        <v>-7833</v>
      </c>
      <c r="AT126" s="68">
        <f t="shared" si="116"/>
        <v>-232</v>
      </c>
      <c r="AU126" s="417">
        <v>0</v>
      </c>
      <c r="AV126" s="417">
        <v>0</v>
      </c>
      <c r="AW126" s="417">
        <v>0</v>
      </c>
      <c r="AX126" s="417">
        <f t="shared" si="117"/>
        <v>0</v>
      </c>
      <c r="AY126" s="417">
        <f t="shared" si="118"/>
        <v>-31240</v>
      </c>
      <c r="AZ126" s="418">
        <v>0</v>
      </c>
      <c r="BA126" s="418">
        <v>0</v>
      </c>
      <c r="BB126" s="418">
        <v>-0.06</v>
      </c>
      <c r="BC126" s="418">
        <v>0</v>
      </c>
      <c r="BD126" s="418">
        <v>0</v>
      </c>
      <c r="BE126" s="418">
        <v>0</v>
      </c>
      <c r="BF126" s="418">
        <v>0</v>
      </c>
      <c r="BG126" s="418">
        <v>0</v>
      </c>
      <c r="BH126" s="418">
        <v>0</v>
      </c>
      <c r="BI126" s="418">
        <f t="shared" si="119"/>
        <v>-0.06</v>
      </c>
      <c r="BJ126" s="418">
        <f t="shared" si="120"/>
        <v>0</v>
      </c>
      <c r="BK126" s="420">
        <f t="shared" si="121"/>
        <v>-0.06</v>
      </c>
      <c r="BL126" s="772">
        <f>I126+AY126</f>
        <v>2301345</v>
      </c>
      <c r="BM126" s="417">
        <f>J126+AG126</f>
        <v>1707230</v>
      </c>
      <c r="BN126" s="417">
        <f t="shared" si="181"/>
        <v>1707230</v>
      </c>
      <c r="BO126" s="417">
        <f t="shared" si="181"/>
        <v>0</v>
      </c>
      <c r="BP126" s="417">
        <f>M126+AO126</f>
        <v>0</v>
      </c>
      <c r="BQ126" s="417">
        <f t="shared" si="182"/>
        <v>0</v>
      </c>
      <c r="BR126" s="417">
        <f t="shared" si="182"/>
        <v>0</v>
      </c>
      <c r="BS126" s="417">
        <f t="shared" si="183"/>
        <v>577043</v>
      </c>
      <c r="BT126" s="417">
        <f t="shared" si="183"/>
        <v>17072</v>
      </c>
      <c r="BU126" s="417">
        <f>R126+AX126</f>
        <v>0</v>
      </c>
      <c r="BV126" s="418">
        <f>S126+BK126</f>
        <v>4.6000000000000005</v>
      </c>
      <c r="BW126" s="418">
        <f t="shared" si="184"/>
        <v>4.6000000000000005</v>
      </c>
      <c r="BX126" s="420">
        <f t="shared" si="184"/>
        <v>0</v>
      </c>
      <c r="BY126" s="419"/>
      <c r="BZ126" s="414"/>
      <c r="CA126" s="414"/>
      <c r="CB126" s="414"/>
      <c r="CC126" s="414"/>
      <c r="CD126" s="509"/>
      <c r="CE126" s="419"/>
      <c r="CF126" s="414"/>
      <c r="CG126" s="414"/>
      <c r="CH126" s="414"/>
      <c r="CI126" s="414"/>
      <c r="CJ126" s="509"/>
    </row>
    <row r="127" spans="1:88" s="221" customFormat="1">
      <c r="A127" s="209">
        <v>23</v>
      </c>
      <c r="B127" s="210">
        <v>4413</v>
      </c>
      <c r="C127" s="210">
        <v>600074455</v>
      </c>
      <c r="D127" s="210">
        <v>70695369</v>
      </c>
      <c r="E127" s="208" t="s">
        <v>190</v>
      </c>
      <c r="F127" s="210">
        <v>3141</v>
      </c>
      <c r="G127" s="165" t="s">
        <v>294</v>
      </c>
      <c r="H127" s="621" t="s">
        <v>272</v>
      </c>
      <c r="I127" s="510">
        <v>1300605</v>
      </c>
      <c r="J127" s="414">
        <v>960134</v>
      </c>
      <c r="K127" s="414">
        <v>0</v>
      </c>
      <c r="L127" s="414">
        <v>960134</v>
      </c>
      <c r="M127" s="414">
        <v>0</v>
      </c>
      <c r="N127" s="414">
        <v>0</v>
      </c>
      <c r="O127" s="414">
        <v>0</v>
      </c>
      <c r="P127" s="68">
        <v>324525</v>
      </c>
      <c r="Q127" s="68">
        <v>9602</v>
      </c>
      <c r="R127" s="414">
        <v>6344</v>
      </c>
      <c r="S127" s="415">
        <v>2.88</v>
      </c>
      <c r="T127" s="416">
        <v>0</v>
      </c>
      <c r="U127" s="422">
        <v>2.88</v>
      </c>
      <c r="V127" s="423">
        <f t="shared" si="104"/>
        <v>0</v>
      </c>
      <c r="W127" s="417">
        <f t="shared" si="105"/>
        <v>0</v>
      </c>
      <c r="X127" s="417">
        <v>0</v>
      </c>
      <c r="Y127" s="417">
        <v>0</v>
      </c>
      <c r="Z127" s="417">
        <v>0</v>
      </c>
      <c r="AA127" s="417">
        <v>2097</v>
      </c>
      <c r="AB127" s="417">
        <v>0</v>
      </c>
      <c r="AC127" s="417">
        <v>0</v>
      </c>
      <c r="AD127" s="417">
        <v>0</v>
      </c>
      <c r="AE127" s="417">
        <f t="shared" si="106"/>
        <v>0</v>
      </c>
      <c r="AF127" s="417">
        <f t="shared" si="107"/>
        <v>2097</v>
      </c>
      <c r="AG127" s="417">
        <f t="shared" si="108"/>
        <v>2097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09"/>
        <v>0</v>
      </c>
      <c r="AN127" s="417">
        <f t="shared" si="110"/>
        <v>0</v>
      </c>
      <c r="AO127" s="417">
        <f t="shared" si="111"/>
        <v>0</v>
      </c>
      <c r="AP127" s="417">
        <f t="shared" si="112"/>
        <v>0</v>
      </c>
      <c r="AQ127" s="417">
        <f t="shared" si="113"/>
        <v>2097</v>
      </c>
      <c r="AR127" s="417">
        <f t="shared" si="114"/>
        <v>2097</v>
      </c>
      <c r="AS127" s="68">
        <f t="shared" si="115"/>
        <v>709</v>
      </c>
      <c r="AT127" s="68">
        <f t="shared" si="116"/>
        <v>21</v>
      </c>
      <c r="AU127" s="417">
        <v>0</v>
      </c>
      <c r="AV127" s="417">
        <v>0</v>
      </c>
      <c r="AW127" s="417">
        <v>0</v>
      </c>
      <c r="AX127" s="417">
        <f t="shared" si="117"/>
        <v>0</v>
      </c>
      <c r="AY127" s="417">
        <f t="shared" si="118"/>
        <v>2827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0.01</v>
      </c>
      <c r="BE127" s="418">
        <v>0</v>
      </c>
      <c r="BF127" s="418">
        <v>0</v>
      </c>
      <c r="BG127" s="418">
        <v>0</v>
      </c>
      <c r="BH127" s="418">
        <v>0</v>
      </c>
      <c r="BI127" s="418">
        <f t="shared" si="119"/>
        <v>0</v>
      </c>
      <c r="BJ127" s="418">
        <f t="shared" si="120"/>
        <v>0.01</v>
      </c>
      <c r="BK127" s="420">
        <f t="shared" si="121"/>
        <v>0.01</v>
      </c>
      <c r="BL127" s="772">
        <f>I127+AY127</f>
        <v>1303432</v>
      </c>
      <c r="BM127" s="417">
        <f>J127+AG127</f>
        <v>962231</v>
      </c>
      <c r="BN127" s="417">
        <f t="shared" si="181"/>
        <v>0</v>
      </c>
      <c r="BO127" s="417">
        <f t="shared" si="181"/>
        <v>962231</v>
      </c>
      <c r="BP127" s="417">
        <f>M127+AO127</f>
        <v>0</v>
      </c>
      <c r="BQ127" s="417">
        <f t="shared" si="182"/>
        <v>0</v>
      </c>
      <c r="BR127" s="417">
        <f t="shared" si="182"/>
        <v>0</v>
      </c>
      <c r="BS127" s="417">
        <f t="shared" si="183"/>
        <v>325234</v>
      </c>
      <c r="BT127" s="417">
        <f t="shared" si="183"/>
        <v>9623</v>
      </c>
      <c r="BU127" s="417">
        <f>R127+AX127</f>
        <v>6344</v>
      </c>
      <c r="BV127" s="418">
        <f>S127+BK127</f>
        <v>2.8899999999999997</v>
      </c>
      <c r="BW127" s="418">
        <f t="shared" si="184"/>
        <v>0</v>
      </c>
      <c r="BX127" s="420">
        <f t="shared" si="184"/>
        <v>2.8899999999999997</v>
      </c>
      <c r="BY127" s="419"/>
      <c r="BZ127" s="414"/>
      <c r="CA127" s="414"/>
      <c r="CB127" s="414"/>
      <c r="CC127" s="414"/>
      <c r="CD127" s="509"/>
      <c r="CE127" s="419"/>
      <c r="CF127" s="601"/>
      <c r="CG127" s="414"/>
      <c r="CH127" s="414"/>
      <c r="CI127" s="601"/>
      <c r="CJ127" s="603"/>
    </row>
    <row r="128" spans="1:88" s="221" customFormat="1">
      <c r="A128" s="209">
        <v>23</v>
      </c>
      <c r="B128" s="210">
        <v>4413</v>
      </c>
      <c r="C128" s="210">
        <v>600074455</v>
      </c>
      <c r="D128" s="210">
        <v>70695369</v>
      </c>
      <c r="E128" s="208" t="s">
        <v>190</v>
      </c>
      <c r="F128" s="210">
        <v>3143</v>
      </c>
      <c r="G128" s="165" t="s">
        <v>595</v>
      </c>
      <c r="H128" s="609" t="s">
        <v>271</v>
      </c>
      <c r="I128" s="510">
        <v>1292678</v>
      </c>
      <c r="J128" s="414">
        <v>958960</v>
      </c>
      <c r="K128" s="414">
        <v>958960</v>
      </c>
      <c r="L128" s="414">
        <v>0</v>
      </c>
      <c r="M128" s="414">
        <v>0</v>
      </c>
      <c r="N128" s="414">
        <v>0</v>
      </c>
      <c r="O128" s="414">
        <v>0</v>
      </c>
      <c r="P128" s="68">
        <v>324128</v>
      </c>
      <c r="Q128" s="68">
        <v>9590</v>
      </c>
      <c r="R128" s="414">
        <v>0</v>
      </c>
      <c r="S128" s="415">
        <v>2</v>
      </c>
      <c r="T128" s="416">
        <v>2</v>
      </c>
      <c r="U128" s="422">
        <v>0</v>
      </c>
      <c r="V128" s="423">
        <f t="shared" si="104"/>
        <v>0</v>
      </c>
      <c r="W128" s="417">
        <f t="shared" si="105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06"/>
        <v>0</v>
      </c>
      <c r="AF128" s="417">
        <f t="shared" si="107"/>
        <v>0</v>
      </c>
      <c r="AG128" s="417">
        <f t="shared" si="108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09"/>
        <v>0</v>
      </c>
      <c r="AN128" s="417">
        <f t="shared" si="110"/>
        <v>0</v>
      </c>
      <c r="AO128" s="417">
        <f t="shared" si="111"/>
        <v>0</v>
      </c>
      <c r="AP128" s="417">
        <f t="shared" si="112"/>
        <v>0</v>
      </c>
      <c r="AQ128" s="417">
        <f t="shared" si="113"/>
        <v>0</v>
      </c>
      <c r="AR128" s="417">
        <f t="shared" si="114"/>
        <v>0</v>
      </c>
      <c r="AS128" s="68">
        <f t="shared" si="115"/>
        <v>0</v>
      </c>
      <c r="AT128" s="68">
        <f t="shared" si="116"/>
        <v>0</v>
      </c>
      <c r="AU128" s="417">
        <v>0</v>
      </c>
      <c r="AV128" s="417">
        <v>0</v>
      </c>
      <c r="AW128" s="417">
        <v>0</v>
      </c>
      <c r="AX128" s="417">
        <f t="shared" si="117"/>
        <v>0</v>
      </c>
      <c r="AY128" s="417">
        <f t="shared" si="118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19"/>
        <v>0</v>
      </c>
      <c r="BJ128" s="418">
        <f t="shared" si="120"/>
        <v>0</v>
      </c>
      <c r="BK128" s="420">
        <f t="shared" si="121"/>
        <v>0</v>
      </c>
      <c r="BL128" s="772">
        <f>I128+AY128</f>
        <v>1292678</v>
      </c>
      <c r="BM128" s="417">
        <f>J128+AG128</f>
        <v>958960</v>
      </c>
      <c r="BN128" s="417">
        <f t="shared" si="181"/>
        <v>958960</v>
      </c>
      <c r="BO128" s="417">
        <f t="shared" si="181"/>
        <v>0</v>
      </c>
      <c r="BP128" s="417">
        <f>M128+AO128</f>
        <v>0</v>
      </c>
      <c r="BQ128" s="417">
        <f t="shared" si="182"/>
        <v>0</v>
      </c>
      <c r="BR128" s="417">
        <f t="shared" si="182"/>
        <v>0</v>
      </c>
      <c r="BS128" s="417">
        <f t="shared" si="183"/>
        <v>324128</v>
      </c>
      <c r="BT128" s="417">
        <f t="shared" si="183"/>
        <v>9590</v>
      </c>
      <c r="BU128" s="417">
        <f>R128+AX128</f>
        <v>0</v>
      </c>
      <c r="BV128" s="418">
        <f>S128+BK128</f>
        <v>2</v>
      </c>
      <c r="BW128" s="418">
        <f t="shared" si="184"/>
        <v>2</v>
      </c>
      <c r="BX128" s="420">
        <f t="shared" si="184"/>
        <v>0</v>
      </c>
      <c r="BY128" s="419"/>
      <c r="BZ128" s="414"/>
      <c r="CA128" s="414"/>
      <c r="CB128" s="414"/>
      <c r="CC128" s="414"/>
      <c r="CD128" s="509"/>
      <c r="CE128" s="419"/>
      <c r="CF128" s="414"/>
      <c r="CG128" s="414"/>
      <c r="CH128" s="414"/>
      <c r="CI128" s="414"/>
      <c r="CJ128" s="509"/>
    </row>
    <row r="129" spans="1:88" s="221" customFormat="1">
      <c r="A129" s="209">
        <v>23</v>
      </c>
      <c r="B129" s="210">
        <v>4413</v>
      </c>
      <c r="C129" s="210">
        <v>600074455</v>
      </c>
      <c r="D129" s="210">
        <v>70695369</v>
      </c>
      <c r="E129" s="208" t="s">
        <v>190</v>
      </c>
      <c r="F129" s="210">
        <v>3143</v>
      </c>
      <c r="G129" s="165" t="s">
        <v>596</v>
      </c>
      <c r="H129" s="609" t="s">
        <v>272</v>
      </c>
      <c r="I129" s="510">
        <v>26894</v>
      </c>
      <c r="J129" s="414">
        <v>19250</v>
      </c>
      <c r="K129" s="414">
        <v>0</v>
      </c>
      <c r="L129" s="414">
        <v>19250</v>
      </c>
      <c r="M129" s="414">
        <v>0</v>
      </c>
      <c r="N129" s="414">
        <v>0</v>
      </c>
      <c r="O129" s="414">
        <v>0</v>
      </c>
      <c r="P129" s="68">
        <v>6507</v>
      </c>
      <c r="Q129" s="68">
        <v>192</v>
      </c>
      <c r="R129" s="414">
        <v>945</v>
      </c>
      <c r="S129" s="415">
        <v>7.0000000000000007E-2</v>
      </c>
      <c r="T129" s="416">
        <v>0</v>
      </c>
      <c r="U129" s="422">
        <v>7.0000000000000007E-2</v>
      </c>
      <c r="V129" s="423">
        <f t="shared" si="104"/>
        <v>0</v>
      </c>
      <c r="W129" s="417">
        <f t="shared" si="105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06"/>
        <v>0</v>
      </c>
      <c r="AF129" s="417">
        <f t="shared" si="107"/>
        <v>0</v>
      </c>
      <c r="AG129" s="417">
        <f t="shared" si="108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09"/>
        <v>0</v>
      </c>
      <c r="AN129" s="417">
        <f t="shared" si="110"/>
        <v>0</v>
      </c>
      <c r="AO129" s="417">
        <f t="shared" si="111"/>
        <v>0</v>
      </c>
      <c r="AP129" s="417">
        <f t="shared" si="112"/>
        <v>0</v>
      </c>
      <c r="AQ129" s="417">
        <f t="shared" si="113"/>
        <v>0</v>
      </c>
      <c r="AR129" s="417">
        <f t="shared" si="114"/>
        <v>0</v>
      </c>
      <c r="AS129" s="68">
        <f t="shared" si="115"/>
        <v>0</v>
      </c>
      <c r="AT129" s="68">
        <f t="shared" si="116"/>
        <v>0</v>
      </c>
      <c r="AU129" s="417">
        <v>0</v>
      </c>
      <c r="AV129" s="417">
        <v>0</v>
      </c>
      <c r="AW129" s="417">
        <v>0</v>
      </c>
      <c r="AX129" s="417">
        <f t="shared" si="117"/>
        <v>0</v>
      </c>
      <c r="AY129" s="417">
        <f t="shared" si="118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19"/>
        <v>0</v>
      </c>
      <c r="BJ129" s="418">
        <f t="shared" si="120"/>
        <v>0</v>
      </c>
      <c r="BK129" s="420">
        <f t="shared" si="121"/>
        <v>0</v>
      </c>
      <c r="BL129" s="772">
        <f>I129+AY129</f>
        <v>26894</v>
      </c>
      <c r="BM129" s="417">
        <f>J129+AG129</f>
        <v>19250</v>
      </c>
      <c r="BN129" s="417">
        <f t="shared" si="181"/>
        <v>0</v>
      </c>
      <c r="BO129" s="417">
        <f t="shared" si="181"/>
        <v>19250</v>
      </c>
      <c r="BP129" s="417">
        <f>M129+AO129</f>
        <v>0</v>
      </c>
      <c r="BQ129" s="417">
        <f t="shared" si="182"/>
        <v>0</v>
      </c>
      <c r="BR129" s="417">
        <f t="shared" si="182"/>
        <v>0</v>
      </c>
      <c r="BS129" s="417">
        <f t="shared" si="183"/>
        <v>6507</v>
      </c>
      <c r="BT129" s="417">
        <f t="shared" si="183"/>
        <v>192</v>
      </c>
      <c r="BU129" s="417">
        <f>R129+AX129</f>
        <v>945</v>
      </c>
      <c r="BV129" s="418">
        <f>S129+BK129</f>
        <v>7.0000000000000007E-2</v>
      </c>
      <c r="BW129" s="418">
        <f t="shared" si="184"/>
        <v>0</v>
      </c>
      <c r="BX129" s="420">
        <f t="shared" si="184"/>
        <v>7.0000000000000007E-2</v>
      </c>
      <c r="BY129" s="419"/>
      <c r="BZ129" s="414"/>
      <c r="CA129" s="414"/>
      <c r="CB129" s="414"/>
      <c r="CC129" s="414"/>
      <c r="CD129" s="509"/>
      <c r="CE129" s="419"/>
      <c r="CF129" s="601"/>
      <c r="CG129" s="414"/>
      <c r="CH129" s="414"/>
      <c r="CI129" s="602"/>
      <c r="CJ129" s="603"/>
    </row>
    <row r="130" spans="1:88" s="221" customFormat="1">
      <c r="A130" s="155">
        <v>23</v>
      </c>
      <c r="B130" s="18">
        <v>4413</v>
      </c>
      <c r="C130" s="18">
        <v>600074455</v>
      </c>
      <c r="D130" s="18">
        <v>70695369</v>
      </c>
      <c r="E130" s="164" t="s">
        <v>191</v>
      </c>
      <c r="F130" s="18"/>
      <c r="G130" s="154"/>
      <c r="H130" s="608"/>
      <c r="I130" s="451">
        <v>14986131</v>
      </c>
      <c r="J130" s="444">
        <v>11075996</v>
      </c>
      <c r="K130" s="444">
        <v>9234875</v>
      </c>
      <c r="L130" s="444">
        <v>1841121</v>
      </c>
      <c r="M130" s="444">
        <v>0</v>
      </c>
      <c r="N130" s="444">
        <v>0</v>
      </c>
      <c r="O130" s="444">
        <v>0</v>
      </c>
      <c r="P130" s="444">
        <v>3743686</v>
      </c>
      <c r="Q130" s="444">
        <v>110760</v>
      </c>
      <c r="R130" s="444">
        <v>55689</v>
      </c>
      <c r="S130" s="445">
        <v>23.545400000000001</v>
      </c>
      <c r="T130" s="445">
        <v>17.66</v>
      </c>
      <c r="U130" s="449">
        <v>5.8854000000000006</v>
      </c>
      <c r="V130" s="447">
        <f t="shared" ref="V130:CG130" si="185">SUM(V125:V129)</f>
        <v>0</v>
      </c>
      <c r="W130" s="444">
        <f t="shared" si="185"/>
        <v>0</v>
      </c>
      <c r="X130" s="444">
        <f t="shared" si="185"/>
        <v>-23175</v>
      </c>
      <c r="Y130" s="444">
        <f t="shared" si="185"/>
        <v>0</v>
      </c>
      <c r="Z130" s="444">
        <f t="shared" si="185"/>
        <v>0</v>
      </c>
      <c r="AA130" s="444">
        <f t="shared" si="185"/>
        <v>2097</v>
      </c>
      <c r="AB130" s="444">
        <f t="shared" si="185"/>
        <v>0</v>
      </c>
      <c r="AC130" s="444">
        <f t="shared" si="185"/>
        <v>0</v>
      </c>
      <c r="AD130" s="444">
        <f t="shared" si="185"/>
        <v>0</v>
      </c>
      <c r="AE130" s="444">
        <f t="shared" si="185"/>
        <v>-23175</v>
      </c>
      <c r="AF130" s="444">
        <f t="shared" si="185"/>
        <v>2097</v>
      </c>
      <c r="AG130" s="444">
        <f t="shared" si="185"/>
        <v>-21078</v>
      </c>
      <c r="AH130" s="444">
        <f t="shared" si="185"/>
        <v>0</v>
      </c>
      <c r="AI130" s="444">
        <f t="shared" si="185"/>
        <v>0</v>
      </c>
      <c r="AJ130" s="444">
        <f t="shared" si="185"/>
        <v>0</v>
      </c>
      <c r="AK130" s="444">
        <f t="shared" si="185"/>
        <v>0</v>
      </c>
      <c r="AL130" s="444">
        <f t="shared" si="185"/>
        <v>0</v>
      </c>
      <c r="AM130" s="444">
        <f t="shared" si="185"/>
        <v>0</v>
      </c>
      <c r="AN130" s="444">
        <f t="shared" si="185"/>
        <v>0</v>
      </c>
      <c r="AO130" s="444">
        <f t="shared" si="185"/>
        <v>0</v>
      </c>
      <c r="AP130" s="444">
        <f t="shared" si="185"/>
        <v>-23175</v>
      </c>
      <c r="AQ130" s="444">
        <f t="shared" si="185"/>
        <v>2097</v>
      </c>
      <c r="AR130" s="444">
        <f t="shared" si="185"/>
        <v>-21078</v>
      </c>
      <c r="AS130" s="444">
        <f t="shared" si="185"/>
        <v>-7124</v>
      </c>
      <c r="AT130" s="444">
        <f t="shared" si="185"/>
        <v>-211</v>
      </c>
      <c r="AU130" s="444">
        <f t="shared" si="185"/>
        <v>0</v>
      </c>
      <c r="AV130" s="444">
        <f t="shared" si="185"/>
        <v>0</v>
      </c>
      <c r="AW130" s="444">
        <f t="shared" si="185"/>
        <v>0</v>
      </c>
      <c r="AX130" s="444">
        <f t="shared" si="185"/>
        <v>0</v>
      </c>
      <c r="AY130" s="444">
        <f t="shared" si="185"/>
        <v>-28413</v>
      </c>
      <c r="AZ130" s="445">
        <f t="shared" si="185"/>
        <v>0</v>
      </c>
      <c r="BA130" s="445">
        <f t="shared" si="185"/>
        <v>0</v>
      </c>
      <c r="BB130" s="445">
        <f t="shared" si="185"/>
        <v>-0.06</v>
      </c>
      <c r="BC130" s="445">
        <f t="shared" si="185"/>
        <v>0</v>
      </c>
      <c r="BD130" s="445">
        <f t="shared" si="185"/>
        <v>0.01</v>
      </c>
      <c r="BE130" s="445">
        <f t="shared" si="185"/>
        <v>0</v>
      </c>
      <c r="BF130" s="445">
        <f t="shared" si="185"/>
        <v>0</v>
      </c>
      <c r="BG130" s="445">
        <f t="shared" si="185"/>
        <v>0</v>
      </c>
      <c r="BH130" s="445">
        <f t="shared" si="185"/>
        <v>0</v>
      </c>
      <c r="BI130" s="445">
        <f t="shared" si="185"/>
        <v>-0.06</v>
      </c>
      <c r="BJ130" s="445">
        <f t="shared" si="185"/>
        <v>0.01</v>
      </c>
      <c r="BK130" s="39">
        <f t="shared" si="185"/>
        <v>-4.9999999999999996E-2</v>
      </c>
      <c r="BL130" s="451">
        <f t="shared" si="185"/>
        <v>14957718</v>
      </c>
      <c r="BM130" s="444">
        <f t="shared" si="185"/>
        <v>11054918</v>
      </c>
      <c r="BN130" s="444">
        <f t="shared" si="185"/>
        <v>9211700</v>
      </c>
      <c r="BO130" s="444">
        <f t="shared" si="185"/>
        <v>1843218</v>
      </c>
      <c r="BP130" s="444">
        <f t="shared" si="185"/>
        <v>0</v>
      </c>
      <c r="BQ130" s="444">
        <f t="shared" si="185"/>
        <v>0</v>
      </c>
      <c r="BR130" s="444">
        <f t="shared" si="185"/>
        <v>0</v>
      </c>
      <c r="BS130" s="444">
        <f t="shared" si="185"/>
        <v>3736562</v>
      </c>
      <c r="BT130" s="444">
        <f t="shared" si="185"/>
        <v>110549</v>
      </c>
      <c r="BU130" s="444">
        <f t="shared" si="185"/>
        <v>55689</v>
      </c>
      <c r="BV130" s="445">
        <f t="shared" si="185"/>
        <v>23.495400000000004</v>
      </c>
      <c r="BW130" s="445">
        <f t="shared" si="185"/>
        <v>17.600000000000001</v>
      </c>
      <c r="BX130" s="39">
        <f t="shared" si="185"/>
        <v>5.8954000000000004</v>
      </c>
      <c r="BY130" s="806">
        <f t="shared" si="185"/>
        <v>0</v>
      </c>
      <c r="BZ130" s="709">
        <f t="shared" si="185"/>
        <v>0</v>
      </c>
      <c r="CA130" s="709">
        <f t="shared" si="185"/>
        <v>0</v>
      </c>
      <c r="CB130" s="709">
        <f t="shared" si="185"/>
        <v>0</v>
      </c>
      <c r="CC130" s="709">
        <f t="shared" si="185"/>
        <v>0</v>
      </c>
      <c r="CD130" s="807">
        <f t="shared" si="185"/>
        <v>0</v>
      </c>
      <c r="CE130" s="919">
        <f t="shared" si="185"/>
        <v>388839</v>
      </c>
      <c r="CF130" s="920">
        <f t="shared" si="185"/>
        <v>276518</v>
      </c>
      <c r="CG130" s="920">
        <f t="shared" si="185"/>
        <v>93463</v>
      </c>
      <c r="CH130" s="920">
        <f t="shared" ref="CH130:CJ130" si="186">SUM(CH125:CH129)</f>
        <v>2765</v>
      </c>
      <c r="CI130" s="920">
        <f t="shared" si="186"/>
        <v>16093</v>
      </c>
      <c r="CJ130" s="921">
        <f t="shared" si="186"/>
        <v>0.94189999999999996</v>
      </c>
    </row>
    <row r="131" spans="1:88" s="221" customFormat="1">
      <c r="A131" s="209">
        <v>24</v>
      </c>
      <c r="B131" s="210">
        <v>4429</v>
      </c>
      <c r="C131" s="210">
        <v>600074595</v>
      </c>
      <c r="D131" s="210">
        <v>70698520</v>
      </c>
      <c r="E131" s="208" t="s">
        <v>192</v>
      </c>
      <c r="F131" s="210">
        <v>3111</v>
      </c>
      <c r="G131" s="165" t="s">
        <v>290</v>
      </c>
      <c r="H131" s="621" t="s">
        <v>271</v>
      </c>
      <c r="I131" s="510">
        <v>1518804</v>
      </c>
      <c r="J131" s="414">
        <v>1108863</v>
      </c>
      <c r="K131" s="414">
        <v>1020654</v>
      </c>
      <c r="L131" s="414">
        <v>88209</v>
      </c>
      <c r="M131" s="414">
        <v>12000</v>
      </c>
      <c r="N131" s="414">
        <v>12000</v>
      </c>
      <c r="O131" s="414">
        <v>0</v>
      </c>
      <c r="P131" s="68">
        <v>378852</v>
      </c>
      <c r="Q131" s="68">
        <v>11089</v>
      </c>
      <c r="R131" s="414">
        <v>8000</v>
      </c>
      <c r="S131" s="415">
        <v>2.3534000000000002</v>
      </c>
      <c r="T131" s="416">
        <v>2</v>
      </c>
      <c r="U131" s="422">
        <v>0.35339999999999999</v>
      </c>
      <c r="V131" s="423">
        <f t="shared" si="104"/>
        <v>0</v>
      </c>
      <c r="W131" s="417">
        <f t="shared" si="105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06"/>
        <v>0</v>
      </c>
      <c r="AF131" s="417">
        <f t="shared" si="107"/>
        <v>0</v>
      </c>
      <c r="AG131" s="417">
        <f t="shared" si="108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09"/>
        <v>0</v>
      </c>
      <c r="AN131" s="417">
        <f t="shared" si="110"/>
        <v>0</v>
      </c>
      <c r="AO131" s="417">
        <f t="shared" si="111"/>
        <v>0</v>
      </c>
      <c r="AP131" s="417">
        <f t="shared" si="112"/>
        <v>0</v>
      </c>
      <c r="AQ131" s="417">
        <f t="shared" si="113"/>
        <v>0</v>
      </c>
      <c r="AR131" s="417">
        <f t="shared" si="114"/>
        <v>0</v>
      </c>
      <c r="AS131" s="68">
        <f t="shared" si="115"/>
        <v>0</v>
      </c>
      <c r="AT131" s="68">
        <f t="shared" si="116"/>
        <v>0</v>
      </c>
      <c r="AU131" s="417">
        <v>0</v>
      </c>
      <c r="AV131" s="417">
        <v>0</v>
      </c>
      <c r="AW131" s="417">
        <v>0</v>
      </c>
      <c r="AX131" s="417">
        <f t="shared" si="117"/>
        <v>0</v>
      </c>
      <c r="AY131" s="417">
        <f t="shared" si="118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19"/>
        <v>0</v>
      </c>
      <c r="BJ131" s="418">
        <f t="shared" si="120"/>
        <v>0</v>
      </c>
      <c r="BK131" s="420">
        <f t="shared" si="121"/>
        <v>0</v>
      </c>
      <c r="BL131" s="772">
        <f t="shared" ref="BL131:BL136" si="187">I131+AY131</f>
        <v>1518804</v>
      </c>
      <c r="BM131" s="417">
        <f t="shared" ref="BM131:BM136" si="188">J131+AG131</f>
        <v>1108863</v>
      </c>
      <c r="BN131" s="417">
        <f t="shared" ref="BN131:BO136" si="189">K131+AE131</f>
        <v>1020654</v>
      </c>
      <c r="BO131" s="417">
        <f t="shared" si="189"/>
        <v>88209</v>
      </c>
      <c r="BP131" s="417">
        <f t="shared" ref="BP131:BP136" si="190">M131+AO131</f>
        <v>12000</v>
      </c>
      <c r="BQ131" s="417">
        <f t="shared" ref="BQ131:BR136" si="191">N131+AM131</f>
        <v>12000</v>
      </c>
      <c r="BR131" s="417">
        <f t="shared" si="191"/>
        <v>0</v>
      </c>
      <c r="BS131" s="417">
        <f t="shared" ref="BS131:BT136" si="192">P131+AS131</f>
        <v>378852</v>
      </c>
      <c r="BT131" s="417">
        <f t="shared" si="192"/>
        <v>11089</v>
      </c>
      <c r="BU131" s="417">
        <f t="shared" ref="BU131:BU136" si="193">R131+AX131</f>
        <v>8000</v>
      </c>
      <c r="BV131" s="418">
        <f t="shared" ref="BV131:BV136" si="194">S131+BK131</f>
        <v>2.3534000000000002</v>
      </c>
      <c r="BW131" s="418">
        <f t="shared" ref="BW131:BX136" si="195">T131+BI131</f>
        <v>2</v>
      </c>
      <c r="BX131" s="420">
        <f t="shared" si="195"/>
        <v>0.35339999999999999</v>
      </c>
      <c r="BY131" s="801">
        <f>SUM(BZ132:CC132)</f>
        <v>0</v>
      </c>
      <c r="BZ131" s="673"/>
      <c r="CA131" s="673"/>
      <c r="CB131" s="673"/>
      <c r="CC131" s="673"/>
      <c r="CD131" s="802"/>
      <c r="CE131" s="414">
        <v>40815</v>
      </c>
      <c r="CF131" s="414">
        <v>28305</v>
      </c>
      <c r="CG131" s="414">
        <v>9567</v>
      </c>
      <c r="CH131" s="414">
        <v>283</v>
      </c>
      <c r="CI131" s="414">
        <v>2660</v>
      </c>
      <c r="CJ131" s="415">
        <v>0.1134</v>
      </c>
    </row>
    <row r="132" spans="1:88" s="221" customFormat="1">
      <c r="A132" s="209">
        <v>24</v>
      </c>
      <c r="B132" s="210">
        <v>4429</v>
      </c>
      <c r="C132" s="210">
        <v>600074595</v>
      </c>
      <c r="D132" s="210">
        <v>70698520</v>
      </c>
      <c r="E132" s="208" t="s">
        <v>192</v>
      </c>
      <c r="F132" s="210">
        <v>3117</v>
      </c>
      <c r="G132" s="165" t="s">
        <v>293</v>
      </c>
      <c r="H132" s="621" t="s">
        <v>271</v>
      </c>
      <c r="I132" s="510">
        <v>3352313</v>
      </c>
      <c r="J132" s="414">
        <v>2438656</v>
      </c>
      <c r="K132" s="414">
        <v>2036500</v>
      </c>
      <c r="L132" s="414">
        <v>402156</v>
      </c>
      <c r="M132" s="414">
        <v>10000</v>
      </c>
      <c r="N132" s="414">
        <v>10000</v>
      </c>
      <c r="O132" s="414">
        <v>0</v>
      </c>
      <c r="P132" s="68">
        <v>827645</v>
      </c>
      <c r="Q132" s="68">
        <v>24387</v>
      </c>
      <c r="R132" s="414">
        <v>51625</v>
      </c>
      <c r="S132" s="415">
        <v>4.4822999999999995</v>
      </c>
      <c r="T132" s="416">
        <v>3.4550000000000001</v>
      </c>
      <c r="U132" s="422">
        <v>1.0272999999999999</v>
      </c>
      <c r="V132" s="423">
        <f t="shared" si="104"/>
        <v>0</v>
      </c>
      <c r="W132" s="417">
        <f t="shared" si="105"/>
        <v>0</v>
      </c>
      <c r="X132" s="417">
        <v>0</v>
      </c>
      <c r="Y132" s="417">
        <v>0</v>
      </c>
      <c r="Z132" s="417">
        <v>0</v>
      </c>
      <c r="AA132" s="417">
        <v>0</v>
      </c>
      <c r="AB132" s="417">
        <v>0</v>
      </c>
      <c r="AC132" s="417">
        <v>0</v>
      </c>
      <c r="AD132" s="417">
        <v>0</v>
      </c>
      <c r="AE132" s="417">
        <f t="shared" si="106"/>
        <v>0</v>
      </c>
      <c r="AF132" s="417">
        <f t="shared" si="107"/>
        <v>0</v>
      </c>
      <c r="AG132" s="417">
        <f t="shared" si="108"/>
        <v>0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09"/>
        <v>0</v>
      </c>
      <c r="AN132" s="417">
        <f t="shared" si="110"/>
        <v>0</v>
      </c>
      <c r="AO132" s="417">
        <f t="shared" si="111"/>
        <v>0</v>
      </c>
      <c r="AP132" s="417">
        <f t="shared" si="112"/>
        <v>0</v>
      </c>
      <c r="AQ132" s="417">
        <f t="shared" si="113"/>
        <v>0</v>
      </c>
      <c r="AR132" s="417">
        <f t="shared" si="114"/>
        <v>0</v>
      </c>
      <c r="AS132" s="68">
        <f t="shared" si="115"/>
        <v>0</v>
      </c>
      <c r="AT132" s="68">
        <f t="shared" si="116"/>
        <v>0</v>
      </c>
      <c r="AU132" s="417">
        <v>0</v>
      </c>
      <c r="AV132" s="417">
        <v>0</v>
      </c>
      <c r="AW132" s="417">
        <v>0</v>
      </c>
      <c r="AX132" s="417">
        <f t="shared" si="117"/>
        <v>0</v>
      </c>
      <c r="AY132" s="417">
        <f t="shared" si="118"/>
        <v>0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418">
        <v>0</v>
      </c>
      <c r="BG132" s="418">
        <v>0</v>
      </c>
      <c r="BH132" s="418">
        <v>0</v>
      </c>
      <c r="BI132" s="418">
        <f t="shared" si="119"/>
        <v>0</v>
      </c>
      <c r="BJ132" s="418">
        <f t="shared" si="120"/>
        <v>0</v>
      </c>
      <c r="BK132" s="420">
        <f t="shared" si="121"/>
        <v>0</v>
      </c>
      <c r="BL132" s="772">
        <f t="shared" si="187"/>
        <v>3352313</v>
      </c>
      <c r="BM132" s="417">
        <f t="shared" si="188"/>
        <v>2438656</v>
      </c>
      <c r="BN132" s="417">
        <f t="shared" si="189"/>
        <v>2036500</v>
      </c>
      <c r="BO132" s="417">
        <f t="shared" si="189"/>
        <v>402156</v>
      </c>
      <c r="BP132" s="417">
        <f t="shared" si="190"/>
        <v>10000</v>
      </c>
      <c r="BQ132" s="417">
        <f t="shared" si="191"/>
        <v>10000</v>
      </c>
      <c r="BR132" s="417">
        <f t="shared" si="191"/>
        <v>0</v>
      </c>
      <c r="BS132" s="417">
        <f t="shared" si="192"/>
        <v>827645</v>
      </c>
      <c r="BT132" s="417">
        <f t="shared" si="192"/>
        <v>24387</v>
      </c>
      <c r="BU132" s="417">
        <f t="shared" si="193"/>
        <v>51625</v>
      </c>
      <c r="BV132" s="418">
        <f t="shared" si="194"/>
        <v>4.4822999999999995</v>
      </c>
      <c r="BW132" s="418">
        <f t="shared" si="195"/>
        <v>3.4550000000000001</v>
      </c>
      <c r="BX132" s="420">
        <f t="shared" si="195"/>
        <v>1.0272999999999999</v>
      </c>
      <c r="BY132" s="419"/>
      <c r="BZ132" s="414"/>
      <c r="CA132" s="414"/>
      <c r="CB132" s="414"/>
      <c r="CC132" s="414"/>
      <c r="CD132" s="509"/>
      <c r="CE132" s="414">
        <v>183038</v>
      </c>
      <c r="CF132" s="414">
        <v>129086</v>
      </c>
      <c r="CG132" s="414">
        <v>43631</v>
      </c>
      <c r="CH132" s="414">
        <v>1291</v>
      </c>
      <c r="CI132" s="414">
        <v>9030</v>
      </c>
      <c r="CJ132" s="415">
        <v>0.32980000000000004</v>
      </c>
    </row>
    <row r="133" spans="1:88" s="221" customFormat="1">
      <c r="A133" s="209">
        <v>24</v>
      </c>
      <c r="B133" s="210">
        <v>4429</v>
      </c>
      <c r="C133" s="210">
        <v>600074595</v>
      </c>
      <c r="D133" s="210">
        <v>70698520</v>
      </c>
      <c r="E133" s="208" t="s">
        <v>192</v>
      </c>
      <c r="F133" s="210">
        <v>3117</v>
      </c>
      <c r="G133" s="165" t="s">
        <v>291</v>
      </c>
      <c r="H133" s="621" t="s">
        <v>272</v>
      </c>
      <c r="I133" s="510">
        <v>1001103</v>
      </c>
      <c r="J133" s="414">
        <v>742659</v>
      </c>
      <c r="K133" s="414">
        <v>742659</v>
      </c>
      <c r="L133" s="414">
        <v>0</v>
      </c>
      <c r="M133" s="414">
        <v>0</v>
      </c>
      <c r="N133" s="414">
        <v>0</v>
      </c>
      <c r="O133" s="414">
        <v>0</v>
      </c>
      <c r="P133" s="68">
        <v>251018</v>
      </c>
      <c r="Q133" s="68">
        <v>7426</v>
      </c>
      <c r="R133" s="414">
        <v>0</v>
      </c>
      <c r="S133" s="415">
        <v>1.9899999999999995</v>
      </c>
      <c r="T133" s="416">
        <v>1.9899999999999995</v>
      </c>
      <c r="U133" s="422">
        <v>0</v>
      </c>
      <c r="V133" s="423">
        <f t="shared" si="104"/>
        <v>0</v>
      </c>
      <c r="W133" s="417">
        <f t="shared" si="105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06"/>
        <v>0</v>
      </c>
      <c r="AF133" s="417">
        <f t="shared" si="107"/>
        <v>0</v>
      </c>
      <c r="AG133" s="417">
        <f t="shared" si="108"/>
        <v>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09"/>
        <v>0</v>
      </c>
      <c r="AN133" s="417">
        <f t="shared" si="110"/>
        <v>0</v>
      </c>
      <c r="AO133" s="417">
        <f t="shared" si="111"/>
        <v>0</v>
      </c>
      <c r="AP133" s="417">
        <f t="shared" si="112"/>
        <v>0</v>
      </c>
      <c r="AQ133" s="417">
        <f t="shared" si="113"/>
        <v>0</v>
      </c>
      <c r="AR133" s="417">
        <f t="shared" si="114"/>
        <v>0</v>
      </c>
      <c r="AS133" s="68">
        <f t="shared" si="115"/>
        <v>0</v>
      </c>
      <c r="AT133" s="68">
        <f t="shared" si="116"/>
        <v>0</v>
      </c>
      <c r="AU133" s="417">
        <v>0</v>
      </c>
      <c r="AV133" s="417">
        <v>0</v>
      </c>
      <c r="AW133" s="417">
        <v>0</v>
      </c>
      <c r="AX133" s="417">
        <f t="shared" si="117"/>
        <v>0</v>
      </c>
      <c r="AY133" s="417">
        <f t="shared" si="118"/>
        <v>0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19"/>
        <v>0</v>
      </c>
      <c r="BJ133" s="418">
        <f t="shared" si="120"/>
        <v>0</v>
      </c>
      <c r="BK133" s="420">
        <f t="shared" si="121"/>
        <v>0</v>
      </c>
      <c r="BL133" s="772">
        <f t="shared" si="187"/>
        <v>1001103</v>
      </c>
      <c r="BM133" s="417">
        <f t="shared" si="188"/>
        <v>742659</v>
      </c>
      <c r="BN133" s="417">
        <f t="shared" si="189"/>
        <v>742659</v>
      </c>
      <c r="BO133" s="417">
        <f t="shared" si="189"/>
        <v>0</v>
      </c>
      <c r="BP133" s="417">
        <f t="shared" si="190"/>
        <v>0</v>
      </c>
      <c r="BQ133" s="417">
        <f t="shared" si="191"/>
        <v>0</v>
      </c>
      <c r="BR133" s="417">
        <f t="shared" si="191"/>
        <v>0</v>
      </c>
      <c r="BS133" s="417">
        <f t="shared" si="192"/>
        <v>251018</v>
      </c>
      <c r="BT133" s="417">
        <f t="shared" si="192"/>
        <v>7426</v>
      </c>
      <c r="BU133" s="417">
        <f t="shared" si="193"/>
        <v>0</v>
      </c>
      <c r="BV133" s="418">
        <f t="shared" si="194"/>
        <v>1.9899999999999995</v>
      </c>
      <c r="BW133" s="418">
        <f t="shared" si="195"/>
        <v>1.9899999999999995</v>
      </c>
      <c r="BX133" s="420">
        <f t="shared" si="195"/>
        <v>0</v>
      </c>
      <c r="BY133" s="419"/>
      <c r="BZ133" s="414"/>
      <c r="CA133" s="414"/>
      <c r="CB133" s="414"/>
      <c r="CC133" s="414"/>
      <c r="CD133" s="509"/>
      <c r="CE133" s="414"/>
      <c r="CF133" s="414"/>
      <c r="CG133" s="414"/>
      <c r="CH133" s="414"/>
      <c r="CI133" s="414"/>
      <c r="CJ133" s="415"/>
    </row>
    <row r="134" spans="1:88" s="221" customFormat="1">
      <c r="A134" s="209">
        <v>24</v>
      </c>
      <c r="B134" s="210">
        <v>4429</v>
      </c>
      <c r="C134" s="210">
        <v>600074595</v>
      </c>
      <c r="D134" s="210">
        <v>70698520</v>
      </c>
      <c r="E134" s="208" t="s">
        <v>192</v>
      </c>
      <c r="F134" s="210">
        <v>3141</v>
      </c>
      <c r="G134" s="165" t="s">
        <v>294</v>
      </c>
      <c r="H134" s="621" t="s">
        <v>272</v>
      </c>
      <c r="I134" s="510">
        <v>659395</v>
      </c>
      <c r="J134" s="414">
        <v>487429</v>
      </c>
      <c r="K134" s="414">
        <v>0</v>
      </c>
      <c r="L134" s="414">
        <v>487429</v>
      </c>
      <c r="M134" s="414">
        <v>0</v>
      </c>
      <c r="N134" s="414">
        <v>0</v>
      </c>
      <c r="O134" s="414">
        <v>0</v>
      </c>
      <c r="P134" s="68">
        <v>164751</v>
      </c>
      <c r="Q134" s="68">
        <v>4875</v>
      </c>
      <c r="R134" s="414">
        <v>2340</v>
      </c>
      <c r="S134" s="415">
        <v>1.46</v>
      </c>
      <c r="T134" s="416">
        <v>0</v>
      </c>
      <c r="U134" s="422">
        <v>1.46</v>
      </c>
      <c r="V134" s="423">
        <f t="shared" si="104"/>
        <v>0</v>
      </c>
      <c r="W134" s="417">
        <f t="shared" si="105"/>
        <v>0</v>
      </c>
      <c r="X134" s="417">
        <v>0</v>
      </c>
      <c r="Y134" s="417">
        <v>0</v>
      </c>
      <c r="Z134" s="417">
        <v>0</v>
      </c>
      <c r="AA134" s="417">
        <v>9924</v>
      </c>
      <c r="AB134" s="417">
        <v>0</v>
      </c>
      <c r="AC134" s="417">
        <v>0</v>
      </c>
      <c r="AD134" s="417">
        <v>0</v>
      </c>
      <c r="AE134" s="417">
        <f t="shared" si="106"/>
        <v>0</v>
      </c>
      <c r="AF134" s="417">
        <f t="shared" si="107"/>
        <v>9924</v>
      </c>
      <c r="AG134" s="417">
        <f t="shared" si="108"/>
        <v>9924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09"/>
        <v>0</v>
      </c>
      <c r="AN134" s="417">
        <f t="shared" si="110"/>
        <v>0</v>
      </c>
      <c r="AO134" s="417">
        <f t="shared" si="111"/>
        <v>0</v>
      </c>
      <c r="AP134" s="417">
        <f t="shared" si="112"/>
        <v>0</v>
      </c>
      <c r="AQ134" s="417">
        <f t="shared" si="113"/>
        <v>9924</v>
      </c>
      <c r="AR134" s="417">
        <f t="shared" si="114"/>
        <v>9924</v>
      </c>
      <c r="AS134" s="68">
        <f t="shared" si="115"/>
        <v>3354</v>
      </c>
      <c r="AT134" s="68">
        <f t="shared" si="116"/>
        <v>99</v>
      </c>
      <c r="AU134" s="417">
        <v>0</v>
      </c>
      <c r="AV134" s="417">
        <v>0</v>
      </c>
      <c r="AW134" s="417">
        <v>0</v>
      </c>
      <c r="AX134" s="417">
        <f t="shared" si="117"/>
        <v>0</v>
      </c>
      <c r="AY134" s="417">
        <f t="shared" si="118"/>
        <v>13377</v>
      </c>
      <c r="AZ134" s="418">
        <v>0</v>
      </c>
      <c r="BA134" s="418">
        <v>0</v>
      </c>
      <c r="BB134" s="418">
        <v>0</v>
      </c>
      <c r="BC134" s="418">
        <v>0</v>
      </c>
      <c r="BD134" s="418">
        <v>0.03</v>
      </c>
      <c r="BE134" s="418">
        <v>0</v>
      </c>
      <c r="BF134" s="418">
        <v>0</v>
      </c>
      <c r="BG134" s="418">
        <v>0</v>
      </c>
      <c r="BH134" s="418">
        <v>0</v>
      </c>
      <c r="BI134" s="418">
        <f t="shared" si="119"/>
        <v>0</v>
      </c>
      <c r="BJ134" s="418">
        <f t="shared" si="120"/>
        <v>0.03</v>
      </c>
      <c r="BK134" s="420">
        <f t="shared" si="121"/>
        <v>0.03</v>
      </c>
      <c r="BL134" s="772">
        <f t="shared" si="187"/>
        <v>672772</v>
      </c>
      <c r="BM134" s="417">
        <f t="shared" si="188"/>
        <v>497353</v>
      </c>
      <c r="BN134" s="417">
        <f t="shared" si="189"/>
        <v>0</v>
      </c>
      <c r="BO134" s="417">
        <f t="shared" si="189"/>
        <v>497353</v>
      </c>
      <c r="BP134" s="417">
        <f t="shared" si="190"/>
        <v>0</v>
      </c>
      <c r="BQ134" s="417">
        <f t="shared" si="191"/>
        <v>0</v>
      </c>
      <c r="BR134" s="417">
        <f t="shared" si="191"/>
        <v>0</v>
      </c>
      <c r="BS134" s="417">
        <f t="shared" si="192"/>
        <v>168105</v>
      </c>
      <c r="BT134" s="417">
        <f t="shared" si="192"/>
        <v>4974</v>
      </c>
      <c r="BU134" s="417">
        <f t="shared" si="193"/>
        <v>2340</v>
      </c>
      <c r="BV134" s="418">
        <f t="shared" si="194"/>
        <v>1.49</v>
      </c>
      <c r="BW134" s="418">
        <f t="shared" si="195"/>
        <v>0</v>
      </c>
      <c r="BX134" s="420">
        <f t="shared" si="195"/>
        <v>1.49</v>
      </c>
      <c r="BY134" s="419"/>
      <c r="BZ134" s="414"/>
      <c r="CA134" s="414"/>
      <c r="CB134" s="414"/>
      <c r="CC134" s="414"/>
      <c r="CD134" s="509"/>
      <c r="CE134" s="419"/>
      <c r="CF134" s="601"/>
      <c r="CG134" s="414"/>
      <c r="CH134" s="414"/>
      <c r="CI134" s="601"/>
      <c r="CJ134" s="603"/>
    </row>
    <row r="135" spans="1:88" s="221" customFormat="1">
      <c r="A135" s="209">
        <v>24</v>
      </c>
      <c r="B135" s="210">
        <v>4429</v>
      </c>
      <c r="C135" s="210">
        <v>600074595</v>
      </c>
      <c r="D135" s="210">
        <v>70698520</v>
      </c>
      <c r="E135" s="208" t="s">
        <v>192</v>
      </c>
      <c r="F135" s="210">
        <v>3143</v>
      </c>
      <c r="G135" s="165" t="s">
        <v>595</v>
      </c>
      <c r="H135" s="609" t="s">
        <v>271</v>
      </c>
      <c r="I135" s="510">
        <v>803855</v>
      </c>
      <c r="J135" s="414">
        <v>596332</v>
      </c>
      <c r="K135" s="414">
        <v>596332</v>
      </c>
      <c r="L135" s="414">
        <v>0</v>
      </c>
      <c r="M135" s="414">
        <v>0</v>
      </c>
      <c r="N135" s="414">
        <v>0</v>
      </c>
      <c r="O135" s="414">
        <v>0</v>
      </c>
      <c r="P135" s="68">
        <v>201560</v>
      </c>
      <c r="Q135" s="68">
        <v>5963</v>
      </c>
      <c r="R135" s="414">
        <v>0</v>
      </c>
      <c r="S135" s="415">
        <v>1.1607000000000001</v>
      </c>
      <c r="T135" s="416">
        <v>1.1607000000000001</v>
      </c>
      <c r="U135" s="422">
        <v>0</v>
      </c>
      <c r="V135" s="423">
        <f t="shared" si="104"/>
        <v>0</v>
      </c>
      <c r="W135" s="417">
        <f t="shared" si="105"/>
        <v>0</v>
      </c>
      <c r="X135" s="417">
        <v>0</v>
      </c>
      <c r="Y135" s="417">
        <v>0</v>
      </c>
      <c r="Z135" s="417">
        <v>49451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06"/>
        <v>49451</v>
      </c>
      <c r="AF135" s="417">
        <f t="shared" si="107"/>
        <v>0</v>
      </c>
      <c r="AG135" s="417">
        <f t="shared" si="108"/>
        <v>49451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09"/>
        <v>0</v>
      </c>
      <c r="AN135" s="417">
        <f t="shared" si="110"/>
        <v>0</v>
      </c>
      <c r="AO135" s="417">
        <f t="shared" si="111"/>
        <v>0</v>
      </c>
      <c r="AP135" s="417">
        <f t="shared" si="112"/>
        <v>49451</v>
      </c>
      <c r="AQ135" s="417">
        <f t="shared" si="113"/>
        <v>0</v>
      </c>
      <c r="AR135" s="417">
        <f t="shared" si="114"/>
        <v>49451</v>
      </c>
      <c r="AS135" s="68">
        <f t="shared" si="115"/>
        <v>16714</v>
      </c>
      <c r="AT135" s="68">
        <f t="shared" si="116"/>
        <v>495</v>
      </c>
      <c r="AU135" s="417">
        <v>0</v>
      </c>
      <c r="AV135" s="417">
        <v>0</v>
      </c>
      <c r="AW135" s="417">
        <v>0</v>
      </c>
      <c r="AX135" s="417">
        <f t="shared" si="117"/>
        <v>0</v>
      </c>
      <c r="AY135" s="417">
        <f t="shared" si="118"/>
        <v>66660</v>
      </c>
      <c r="AZ135" s="418">
        <v>0</v>
      </c>
      <c r="BA135" s="418">
        <v>0</v>
      </c>
      <c r="BB135" s="418">
        <v>0</v>
      </c>
      <c r="BC135" s="418">
        <v>0.11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19"/>
        <v>0.11</v>
      </c>
      <c r="BJ135" s="418">
        <f t="shared" si="120"/>
        <v>0</v>
      </c>
      <c r="BK135" s="420">
        <f t="shared" si="121"/>
        <v>0.11</v>
      </c>
      <c r="BL135" s="772">
        <f t="shared" si="187"/>
        <v>870515</v>
      </c>
      <c r="BM135" s="417">
        <f t="shared" si="188"/>
        <v>645783</v>
      </c>
      <c r="BN135" s="417">
        <f t="shared" si="189"/>
        <v>645783</v>
      </c>
      <c r="BO135" s="417">
        <f t="shared" si="189"/>
        <v>0</v>
      </c>
      <c r="BP135" s="417">
        <f t="shared" si="190"/>
        <v>0</v>
      </c>
      <c r="BQ135" s="417">
        <f t="shared" si="191"/>
        <v>0</v>
      </c>
      <c r="BR135" s="417">
        <f t="shared" si="191"/>
        <v>0</v>
      </c>
      <c r="BS135" s="417">
        <f t="shared" si="192"/>
        <v>218274</v>
      </c>
      <c r="BT135" s="417">
        <f t="shared" si="192"/>
        <v>6458</v>
      </c>
      <c r="BU135" s="417">
        <f t="shared" si="193"/>
        <v>0</v>
      </c>
      <c r="BV135" s="418">
        <f t="shared" si="194"/>
        <v>1.2707000000000002</v>
      </c>
      <c r="BW135" s="418">
        <f t="shared" si="195"/>
        <v>1.2707000000000002</v>
      </c>
      <c r="BX135" s="420">
        <f t="shared" si="195"/>
        <v>0</v>
      </c>
      <c r="BY135" s="419"/>
      <c r="BZ135" s="414"/>
      <c r="CA135" s="414"/>
      <c r="CB135" s="414"/>
      <c r="CC135" s="414"/>
      <c r="CD135" s="509"/>
      <c r="CE135" s="419"/>
      <c r="CF135" s="414"/>
      <c r="CG135" s="414"/>
      <c r="CH135" s="414"/>
      <c r="CI135" s="414"/>
      <c r="CJ135" s="509"/>
    </row>
    <row r="136" spans="1:88" s="221" customFormat="1">
      <c r="A136" s="209">
        <v>24</v>
      </c>
      <c r="B136" s="210">
        <v>4429</v>
      </c>
      <c r="C136" s="210">
        <v>600074595</v>
      </c>
      <c r="D136" s="210">
        <v>70698520</v>
      </c>
      <c r="E136" s="208" t="s">
        <v>192</v>
      </c>
      <c r="F136" s="210">
        <v>3143</v>
      </c>
      <c r="G136" s="165" t="s">
        <v>596</v>
      </c>
      <c r="H136" s="609" t="s">
        <v>272</v>
      </c>
      <c r="I136" s="510">
        <v>19978</v>
      </c>
      <c r="J136" s="414">
        <v>14300</v>
      </c>
      <c r="K136" s="414">
        <v>0</v>
      </c>
      <c r="L136" s="414">
        <v>14300</v>
      </c>
      <c r="M136" s="414">
        <v>0</v>
      </c>
      <c r="N136" s="414">
        <v>0</v>
      </c>
      <c r="O136" s="414">
        <v>0</v>
      </c>
      <c r="P136" s="68">
        <v>4833</v>
      </c>
      <c r="Q136" s="68">
        <v>143</v>
      </c>
      <c r="R136" s="414">
        <v>702</v>
      </c>
      <c r="S136" s="415">
        <v>0.06</v>
      </c>
      <c r="T136" s="416">
        <v>0</v>
      </c>
      <c r="U136" s="422">
        <v>0.06</v>
      </c>
      <c r="V136" s="423">
        <f t="shared" si="104"/>
        <v>0</v>
      </c>
      <c r="W136" s="417">
        <f t="shared" si="105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06"/>
        <v>0</v>
      </c>
      <c r="AF136" s="417">
        <f t="shared" si="107"/>
        <v>0</v>
      </c>
      <c r="AG136" s="417">
        <f t="shared" si="108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09"/>
        <v>0</v>
      </c>
      <c r="AN136" s="417">
        <f t="shared" si="110"/>
        <v>0</v>
      </c>
      <c r="AO136" s="417">
        <f t="shared" si="111"/>
        <v>0</v>
      </c>
      <c r="AP136" s="417">
        <f t="shared" si="112"/>
        <v>0</v>
      </c>
      <c r="AQ136" s="417">
        <f t="shared" si="113"/>
        <v>0</v>
      </c>
      <c r="AR136" s="417">
        <f t="shared" si="114"/>
        <v>0</v>
      </c>
      <c r="AS136" s="68">
        <f t="shared" si="115"/>
        <v>0</v>
      </c>
      <c r="AT136" s="68">
        <f t="shared" si="116"/>
        <v>0</v>
      </c>
      <c r="AU136" s="417">
        <v>0</v>
      </c>
      <c r="AV136" s="417">
        <v>0</v>
      </c>
      <c r="AW136" s="417">
        <v>0</v>
      </c>
      <c r="AX136" s="417">
        <f t="shared" si="117"/>
        <v>0</v>
      </c>
      <c r="AY136" s="417">
        <f t="shared" si="118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19"/>
        <v>0</v>
      </c>
      <c r="BJ136" s="418">
        <f t="shared" si="120"/>
        <v>0</v>
      </c>
      <c r="BK136" s="420">
        <f t="shared" si="121"/>
        <v>0</v>
      </c>
      <c r="BL136" s="772">
        <f t="shared" si="187"/>
        <v>19978</v>
      </c>
      <c r="BM136" s="417">
        <f t="shared" si="188"/>
        <v>14300</v>
      </c>
      <c r="BN136" s="417">
        <f t="shared" si="189"/>
        <v>0</v>
      </c>
      <c r="BO136" s="417">
        <f t="shared" si="189"/>
        <v>14300</v>
      </c>
      <c r="BP136" s="417">
        <f t="shared" si="190"/>
        <v>0</v>
      </c>
      <c r="BQ136" s="417">
        <f t="shared" si="191"/>
        <v>0</v>
      </c>
      <c r="BR136" s="417">
        <f t="shared" si="191"/>
        <v>0</v>
      </c>
      <c r="BS136" s="417">
        <f t="shared" si="192"/>
        <v>4833</v>
      </c>
      <c r="BT136" s="417">
        <f t="shared" si="192"/>
        <v>143</v>
      </c>
      <c r="BU136" s="417">
        <f t="shared" si="193"/>
        <v>702</v>
      </c>
      <c r="BV136" s="418">
        <f t="shared" si="194"/>
        <v>0.06</v>
      </c>
      <c r="BW136" s="418">
        <f t="shared" si="195"/>
        <v>0</v>
      </c>
      <c r="BX136" s="420">
        <f t="shared" si="195"/>
        <v>0.06</v>
      </c>
      <c r="BY136" s="419"/>
      <c r="BZ136" s="414"/>
      <c r="CA136" s="414"/>
      <c r="CB136" s="414"/>
      <c r="CC136" s="414"/>
      <c r="CD136" s="509"/>
      <c r="CE136" s="419"/>
      <c r="CF136" s="601"/>
      <c r="CG136" s="414"/>
      <c r="CH136" s="414"/>
      <c r="CI136" s="602"/>
      <c r="CJ136" s="603"/>
    </row>
    <row r="137" spans="1:88" s="221" customFormat="1">
      <c r="A137" s="155">
        <v>24</v>
      </c>
      <c r="B137" s="18">
        <v>4429</v>
      </c>
      <c r="C137" s="18">
        <v>600074595</v>
      </c>
      <c r="D137" s="18">
        <v>70698520</v>
      </c>
      <c r="E137" s="164" t="s">
        <v>193</v>
      </c>
      <c r="F137" s="18"/>
      <c r="G137" s="154"/>
      <c r="H137" s="608"/>
      <c r="I137" s="451">
        <v>7355448</v>
      </c>
      <c r="J137" s="444">
        <v>5388239</v>
      </c>
      <c r="K137" s="444">
        <v>4396145</v>
      </c>
      <c r="L137" s="444">
        <v>992094</v>
      </c>
      <c r="M137" s="444">
        <v>22000</v>
      </c>
      <c r="N137" s="444">
        <v>22000</v>
      </c>
      <c r="O137" s="444">
        <v>0</v>
      </c>
      <c r="P137" s="444">
        <v>1828659</v>
      </c>
      <c r="Q137" s="444">
        <v>53883</v>
      </c>
      <c r="R137" s="444">
        <v>62667</v>
      </c>
      <c r="S137" s="445">
        <v>11.506399999999999</v>
      </c>
      <c r="T137" s="445">
        <v>8.6056999999999988</v>
      </c>
      <c r="U137" s="449">
        <v>2.9007000000000001</v>
      </c>
      <c r="V137" s="447">
        <f t="shared" ref="V137:CG137" si="196">SUM(V131:V136)</f>
        <v>0</v>
      </c>
      <c r="W137" s="444">
        <f t="shared" si="196"/>
        <v>0</v>
      </c>
      <c r="X137" s="444">
        <f t="shared" si="196"/>
        <v>0</v>
      </c>
      <c r="Y137" s="444">
        <f t="shared" si="196"/>
        <v>0</v>
      </c>
      <c r="Z137" s="444">
        <f t="shared" si="196"/>
        <v>49451</v>
      </c>
      <c r="AA137" s="444">
        <f t="shared" si="196"/>
        <v>9924</v>
      </c>
      <c r="AB137" s="444">
        <f t="shared" si="196"/>
        <v>0</v>
      </c>
      <c r="AC137" s="444">
        <f t="shared" si="196"/>
        <v>0</v>
      </c>
      <c r="AD137" s="444">
        <f t="shared" si="196"/>
        <v>0</v>
      </c>
      <c r="AE137" s="444">
        <f t="shared" si="196"/>
        <v>49451</v>
      </c>
      <c r="AF137" s="444">
        <f t="shared" si="196"/>
        <v>9924</v>
      </c>
      <c r="AG137" s="444">
        <f t="shared" si="196"/>
        <v>59375</v>
      </c>
      <c r="AH137" s="444">
        <f t="shared" si="196"/>
        <v>0</v>
      </c>
      <c r="AI137" s="444">
        <f t="shared" si="196"/>
        <v>0</v>
      </c>
      <c r="AJ137" s="444">
        <f t="shared" si="196"/>
        <v>0</v>
      </c>
      <c r="AK137" s="444">
        <f t="shared" si="196"/>
        <v>0</v>
      </c>
      <c r="AL137" s="444">
        <f t="shared" si="196"/>
        <v>0</v>
      </c>
      <c r="AM137" s="444">
        <f t="shared" si="196"/>
        <v>0</v>
      </c>
      <c r="AN137" s="444">
        <f t="shared" si="196"/>
        <v>0</v>
      </c>
      <c r="AO137" s="444">
        <f t="shared" si="196"/>
        <v>0</v>
      </c>
      <c r="AP137" s="444">
        <f t="shared" si="196"/>
        <v>49451</v>
      </c>
      <c r="AQ137" s="444">
        <f t="shared" si="196"/>
        <v>9924</v>
      </c>
      <c r="AR137" s="444">
        <f t="shared" si="196"/>
        <v>59375</v>
      </c>
      <c r="AS137" s="444">
        <f t="shared" si="196"/>
        <v>20068</v>
      </c>
      <c r="AT137" s="444">
        <f t="shared" si="196"/>
        <v>594</v>
      </c>
      <c r="AU137" s="444">
        <f t="shared" si="196"/>
        <v>0</v>
      </c>
      <c r="AV137" s="444">
        <f t="shared" si="196"/>
        <v>0</v>
      </c>
      <c r="AW137" s="444">
        <f t="shared" si="196"/>
        <v>0</v>
      </c>
      <c r="AX137" s="444">
        <f t="shared" si="196"/>
        <v>0</v>
      </c>
      <c r="AY137" s="444">
        <f t="shared" si="196"/>
        <v>80037</v>
      </c>
      <c r="AZ137" s="445">
        <f t="shared" si="196"/>
        <v>0</v>
      </c>
      <c r="BA137" s="445">
        <f t="shared" si="196"/>
        <v>0</v>
      </c>
      <c r="BB137" s="445">
        <f t="shared" si="196"/>
        <v>0</v>
      </c>
      <c r="BC137" s="445">
        <f t="shared" si="196"/>
        <v>0.11</v>
      </c>
      <c r="BD137" s="445">
        <f t="shared" si="196"/>
        <v>0.03</v>
      </c>
      <c r="BE137" s="445">
        <f t="shared" si="196"/>
        <v>0</v>
      </c>
      <c r="BF137" s="445">
        <f t="shared" si="196"/>
        <v>0</v>
      </c>
      <c r="BG137" s="445">
        <f t="shared" si="196"/>
        <v>0</v>
      </c>
      <c r="BH137" s="445">
        <f t="shared" si="196"/>
        <v>0</v>
      </c>
      <c r="BI137" s="445">
        <f t="shared" si="196"/>
        <v>0.11</v>
      </c>
      <c r="BJ137" s="445">
        <f t="shared" si="196"/>
        <v>0.03</v>
      </c>
      <c r="BK137" s="39">
        <f t="shared" si="196"/>
        <v>0.14000000000000001</v>
      </c>
      <c r="BL137" s="451">
        <f t="shared" si="196"/>
        <v>7435485</v>
      </c>
      <c r="BM137" s="444">
        <f t="shared" si="196"/>
        <v>5447614</v>
      </c>
      <c r="BN137" s="444">
        <f t="shared" si="196"/>
        <v>4445596</v>
      </c>
      <c r="BO137" s="444">
        <f t="shared" si="196"/>
        <v>1002018</v>
      </c>
      <c r="BP137" s="444">
        <f t="shared" si="196"/>
        <v>22000</v>
      </c>
      <c r="BQ137" s="444">
        <f t="shared" si="196"/>
        <v>22000</v>
      </c>
      <c r="BR137" s="444">
        <f t="shared" si="196"/>
        <v>0</v>
      </c>
      <c r="BS137" s="444">
        <f t="shared" si="196"/>
        <v>1848727</v>
      </c>
      <c r="BT137" s="444">
        <f t="shared" si="196"/>
        <v>54477</v>
      </c>
      <c r="BU137" s="444">
        <f t="shared" si="196"/>
        <v>62667</v>
      </c>
      <c r="BV137" s="445">
        <f t="shared" si="196"/>
        <v>11.6464</v>
      </c>
      <c r="BW137" s="445">
        <f t="shared" si="196"/>
        <v>8.7157</v>
      </c>
      <c r="BX137" s="39">
        <f t="shared" si="196"/>
        <v>2.9306999999999999</v>
      </c>
      <c r="BY137" s="806">
        <f t="shared" si="196"/>
        <v>0</v>
      </c>
      <c r="BZ137" s="709">
        <f t="shared" si="196"/>
        <v>0</v>
      </c>
      <c r="CA137" s="709">
        <f t="shared" si="196"/>
        <v>0</v>
      </c>
      <c r="CB137" s="709">
        <f t="shared" si="196"/>
        <v>0</v>
      </c>
      <c r="CC137" s="709">
        <f t="shared" si="196"/>
        <v>0</v>
      </c>
      <c r="CD137" s="807">
        <f t="shared" si="196"/>
        <v>0</v>
      </c>
      <c r="CE137" s="919">
        <f t="shared" si="196"/>
        <v>223853</v>
      </c>
      <c r="CF137" s="920">
        <f t="shared" si="196"/>
        <v>157391</v>
      </c>
      <c r="CG137" s="920">
        <f t="shared" si="196"/>
        <v>53198</v>
      </c>
      <c r="CH137" s="920">
        <f t="shared" ref="CH137:CJ137" si="197">SUM(CH131:CH136)</f>
        <v>1574</v>
      </c>
      <c r="CI137" s="920">
        <f t="shared" si="197"/>
        <v>11690</v>
      </c>
      <c r="CJ137" s="921">
        <f t="shared" si="197"/>
        <v>0.44320000000000004</v>
      </c>
    </row>
    <row r="138" spans="1:88" s="221" customFormat="1">
      <c r="A138" s="209">
        <v>25</v>
      </c>
      <c r="B138" s="210">
        <v>4452</v>
      </c>
      <c r="C138" s="210">
        <v>600074919</v>
      </c>
      <c r="D138" s="210">
        <v>70698511</v>
      </c>
      <c r="E138" s="208" t="s">
        <v>194</v>
      </c>
      <c r="F138" s="210">
        <v>3113</v>
      </c>
      <c r="G138" s="165" t="s">
        <v>293</v>
      </c>
      <c r="H138" s="621" t="s">
        <v>271</v>
      </c>
      <c r="I138" s="510">
        <v>32419854</v>
      </c>
      <c r="J138" s="414">
        <v>23631732</v>
      </c>
      <c r="K138" s="414">
        <v>21336064</v>
      </c>
      <c r="L138" s="414">
        <v>2295668</v>
      </c>
      <c r="M138" s="414">
        <v>0</v>
      </c>
      <c r="N138" s="414">
        <v>0</v>
      </c>
      <c r="O138" s="414">
        <v>0</v>
      </c>
      <c r="P138" s="68">
        <v>7987525</v>
      </c>
      <c r="Q138" s="68">
        <v>236317</v>
      </c>
      <c r="R138" s="414">
        <v>564280</v>
      </c>
      <c r="S138" s="415">
        <v>35.913000000000004</v>
      </c>
      <c r="T138" s="416">
        <v>29.09</v>
      </c>
      <c r="U138" s="422">
        <v>6.8229999999999995</v>
      </c>
      <c r="V138" s="423">
        <f t="shared" si="104"/>
        <v>0</v>
      </c>
      <c r="W138" s="417">
        <f t="shared" si="105"/>
        <v>0</v>
      </c>
      <c r="X138" s="417">
        <v>0</v>
      </c>
      <c r="Y138" s="417">
        <v>17874</v>
      </c>
      <c r="Z138" s="417">
        <v>0</v>
      </c>
      <c r="AA138" s="417">
        <v>0</v>
      </c>
      <c r="AB138" s="417">
        <v>0</v>
      </c>
      <c r="AC138" s="417">
        <v>0</v>
      </c>
      <c r="AD138" s="417">
        <v>0</v>
      </c>
      <c r="AE138" s="417">
        <f t="shared" si="106"/>
        <v>17874</v>
      </c>
      <c r="AF138" s="417">
        <f t="shared" si="107"/>
        <v>0</v>
      </c>
      <c r="AG138" s="417">
        <f t="shared" si="108"/>
        <v>17874</v>
      </c>
      <c r="AH138" s="417">
        <v>0</v>
      </c>
      <c r="AI138" s="417">
        <v>0</v>
      </c>
      <c r="AJ138" s="417">
        <v>0</v>
      </c>
      <c r="AK138" s="417">
        <v>0</v>
      </c>
      <c r="AL138" s="417">
        <v>0</v>
      </c>
      <c r="AM138" s="417">
        <f t="shared" si="109"/>
        <v>0</v>
      </c>
      <c r="AN138" s="417">
        <f t="shared" si="110"/>
        <v>0</v>
      </c>
      <c r="AO138" s="417">
        <f t="shared" si="111"/>
        <v>0</v>
      </c>
      <c r="AP138" s="417">
        <f t="shared" si="112"/>
        <v>17874</v>
      </c>
      <c r="AQ138" s="417">
        <f t="shared" si="113"/>
        <v>0</v>
      </c>
      <c r="AR138" s="417">
        <f t="shared" si="114"/>
        <v>17874</v>
      </c>
      <c r="AS138" s="68">
        <f t="shared" si="115"/>
        <v>6041</v>
      </c>
      <c r="AT138" s="68">
        <f t="shared" si="116"/>
        <v>179</v>
      </c>
      <c r="AU138" s="417">
        <v>0</v>
      </c>
      <c r="AV138" s="417">
        <v>0</v>
      </c>
      <c r="AW138" s="417">
        <v>0</v>
      </c>
      <c r="AX138" s="417">
        <f t="shared" si="117"/>
        <v>0</v>
      </c>
      <c r="AY138" s="417">
        <f t="shared" si="118"/>
        <v>24094</v>
      </c>
      <c r="AZ138" s="418">
        <v>0</v>
      </c>
      <c r="BA138" s="418">
        <v>0</v>
      </c>
      <c r="BB138" s="418">
        <v>0</v>
      </c>
      <c r="BC138" s="418">
        <v>0</v>
      </c>
      <c r="BD138" s="418">
        <v>0</v>
      </c>
      <c r="BE138" s="418">
        <v>0.03</v>
      </c>
      <c r="BF138" s="418">
        <v>0</v>
      </c>
      <c r="BG138" s="418">
        <v>0</v>
      </c>
      <c r="BH138" s="418">
        <v>0</v>
      </c>
      <c r="BI138" s="418">
        <f t="shared" si="119"/>
        <v>0.03</v>
      </c>
      <c r="BJ138" s="418">
        <f t="shared" si="120"/>
        <v>0</v>
      </c>
      <c r="BK138" s="420">
        <f t="shared" si="121"/>
        <v>0.03</v>
      </c>
      <c r="BL138" s="772">
        <f t="shared" ref="BL138:BL143" si="198">I138+AY138</f>
        <v>32443948</v>
      </c>
      <c r="BM138" s="417">
        <f t="shared" ref="BM138:BM143" si="199">J138+AG138</f>
        <v>23649606</v>
      </c>
      <c r="BN138" s="417">
        <f t="shared" ref="BN138:BO143" si="200">K138+AE138</f>
        <v>21353938</v>
      </c>
      <c r="BO138" s="417">
        <f t="shared" si="200"/>
        <v>2295668</v>
      </c>
      <c r="BP138" s="417">
        <f t="shared" ref="BP138:BP143" si="201">M138+AO138</f>
        <v>0</v>
      </c>
      <c r="BQ138" s="417">
        <f t="shared" ref="BQ138:BR143" si="202">N138+AM138</f>
        <v>0</v>
      </c>
      <c r="BR138" s="417">
        <f t="shared" si="202"/>
        <v>0</v>
      </c>
      <c r="BS138" s="417">
        <f t="shared" ref="BS138:BT143" si="203">P138+AS138</f>
        <v>7993566</v>
      </c>
      <c r="BT138" s="417">
        <f t="shared" si="203"/>
        <v>236496</v>
      </c>
      <c r="BU138" s="417">
        <f t="shared" ref="BU138:BU143" si="204">R138+AX138</f>
        <v>564280</v>
      </c>
      <c r="BV138" s="418">
        <f t="shared" ref="BV138:BV143" si="205">S138+BK138</f>
        <v>35.943000000000005</v>
      </c>
      <c r="BW138" s="418">
        <f t="shared" ref="BW138:BX143" si="206">T138+BI138</f>
        <v>29.12</v>
      </c>
      <c r="BX138" s="420">
        <f t="shared" si="206"/>
        <v>6.8229999999999995</v>
      </c>
      <c r="BY138" s="419"/>
      <c r="BZ138" s="414"/>
      <c r="CA138" s="414"/>
      <c r="CB138" s="414"/>
      <c r="CC138" s="414"/>
      <c r="CD138" s="509"/>
      <c r="CE138" s="419">
        <v>1128175</v>
      </c>
      <c r="CF138" s="414">
        <v>736862</v>
      </c>
      <c r="CG138" s="414">
        <v>249059</v>
      </c>
      <c r="CH138" s="414">
        <v>7369</v>
      </c>
      <c r="CI138" s="414">
        <v>134885</v>
      </c>
      <c r="CJ138" s="509">
        <v>2.1901999999999999</v>
      </c>
    </row>
    <row r="139" spans="1:88" s="221" customFormat="1">
      <c r="A139" s="209">
        <v>25</v>
      </c>
      <c r="B139" s="210">
        <v>4452</v>
      </c>
      <c r="C139" s="210">
        <v>600074919</v>
      </c>
      <c r="D139" s="210">
        <v>70698511</v>
      </c>
      <c r="E139" s="208" t="s">
        <v>194</v>
      </c>
      <c r="F139" s="210">
        <v>3113</v>
      </c>
      <c r="G139" s="165" t="s">
        <v>292</v>
      </c>
      <c r="H139" s="621" t="s">
        <v>271</v>
      </c>
      <c r="I139" s="510">
        <v>711329</v>
      </c>
      <c r="J139" s="414">
        <v>527692</v>
      </c>
      <c r="K139" s="414">
        <v>527692</v>
      </c>
      <c r="L139" s="414">
        <v>0</v>
      </c>
      <c r="M139" s="414">
        <v>0</v>
      </c>
      <c r="N139" s="414">
        <v>0</v>
      </c>
      <c r="O139" s="414">
        <v>0</v>
      </c>
      <c r="P139" s="68">
        <v>178360</v>
      </c>
      <c r="Q139" s="68">
        <v>5277</v>
      </c>
      <c r="R139" s="414">
        <v>0</v>
      </c>
      <c r="S139" s="415">
        <v>1.28</v>
      </c>
      <c r="T139" s="416">
        <v>1.28</v>
      </c>
      <c r="U139" s="422">
        <v>0</v>
      </c>
      <c r="V139" s="423">
        <f t="shared" si="104"/>
        <v>0</v>
      </c>
      <c r="W139" s="417">
        <f t="shared" si="105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0</v>
      </c>
      <c r="AC139" s="417">
        <v>0</v>
      </c>
      <c r="AD139" s="417">
        <v>0</v>
      </c>
      <c r="AE139" s="417">
        <f t="shared" si="106"/>
        <v>0</v>
      </c>
      <c r="AF139" s="417">
        <f t="shared" si="107"/>
        <v>0</v>
      </c>
      <c r="AG139" s="417">
        <f t="shared" si="108"/>
        <v>0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09"/>
        <v>0</v>
      </c>
      <c r="AN139" s="417">
        <f t="shared" si="110"/>
        <v>0</v>
      </c>
      <c r="AO139" s="417">
        <f t="shared" si="111"/>
        <v>0</v>
      </c>
      <c r="AP139" s="417">
        <f t="shared" si="112"/>
        <v>0</v>
      </c>
      <c r="AQ139" s="417">
        <f t="shared" si="113"/>
        <v>0</v>
      </c>
      <c r="AR139" s="417">
        <f t="shared" si="114"/>
        <v>0</v>
      </c>
      <c r="AS139" s="68">
        <f t="shared" si="115"/>
        <v>0</v>
      </c>
      <c r="AT139" s="68">
        <f t="shared" si="116"/>
        <v>0</v>
      </c>
      <c r="AU139" s="417">
        <v>0</v>
      </c>
      <c r="AV139" s="417">
        <v>0</v>
      </c>
      <c r="AW139" s="417">
        <v>0</v>
      </c>
      <c r="AX139" s="417">
        <f t="shared" si="117"/>
        <v>0</v>
      </c>
      <c r="AY139" s="417">
        <f t="shared" si="118"/>
        <v>0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418">
        <v>0</v>
      </c>
      <c r="BG139" s="418">
        <v>0</v>
      </c>
      <c r="BH139" s="418">
        <v>0</v>
      </c>
      <c r="BI139" s="418">
        <f t="shared" si="119"/>
        <v>0</v>
      </c>
      <c r="BJ139" s="418">
        <f t="shared" si="120"/>
        <v>0</v>
      </c>
      <c r="BK139" s="420">
        <f t="shared" si="121"/>
        <v>0</v>
      </c>
      <c r="BL139" s="772">
        <f t="shared" si="198"/>
        <v>711329</v>
      </c>
      <c r="BM139" s="417">
        <f t="shared" si="199"/>
        <v>527692</v>
      </c>
      <c r="BN139" s="417">
        <f t="shared" si="200"/>
        <v>527692</v>
      </c>
      <c r="BO139" s="417">
        <f t="shared" si="200"/>
        <v>0</v>
      </c>
      <c r="BP139" s="417">
        <f t="shared" si="201"/>
        <v>0</v>
      </c>
      <c r="BQ139" s="417">
        <f t="shared" si="202"/>
        <v>0</v>
      </c>
      <c r="BR139" s="417">
        <f t="shared" si="202"/>
        <v>0</v>
      </c>
      <c r="BS139" s="417">
        <f t="shared" si="203"/>
        <v>178360</v>
      </c>
      <c r="BT139" s="417">
        <f t="shared" si="203"/>
        <v>5277</v>
      </c>
      <c r="BU139" s="417">
        <f t="shared" si="204"/>
        <v>0</v>
      </c>
      <c r="BV139" s="418">
        <f t="shared" si="205"/>
        <v>1.28</v>
      </c>
      <c r="BW139" s="418">
        <f t="shared" si="206"/>
        <v>1.28</v>
      </c>
      <c r="BX139" s="420">
        <f t="shared" si="206"/>
        <v>0</v>
      </c>
      <c r="BY139" s="419"/>
      <c r="BZ139" s="414"/>
      <c r="CA139" s="414"/>
      <c r="CB139" s="414"/>
      <c r="CC139" s="414"/>
      <c r="CD139" s="509"/>
      <c r="CE139" s="419"/>
      <c r="CF139" s="414"/>
      <c r="CG139" s="414"/>
      <c r="CH139" s="414"/>
      <c r="CI139" s="414"/>
      <c r="CJ139" s="509"/>
    </row>
    <row r="140" spans="1:88" s="221" customFormat="1">
      <c r="A140" s="209">
        <v>25</v>
      </c>
      <c r="B140" s="210">
        <v>4452</v>
      </c>
      <c r="C140" s="210">
        <v>600074919</v>
      </c>
      <c r="D140" s="210">
        <v>70698511</v>
      </c>
      <c r="E140" s="208" t="s">
        <v>194</v>
      </c>
      <c r="F140" s="210">
        <v>3113</v>
      </c>
      <c r="G140" s="165" t="s">
        <v>291</v>
      </c>
      <c r="H140" s="621" t="s">
        <v>272</v>
      </c>
      <c r="I140" s="510">
        <v>1744994</v>
      </c>
      <c r="J140" s="414">
        <v>1289684</v>
      </c>
      <c r="K140" s="414">
        <v>1289684</v>
      </c>
      <c r="L140" s="414">
        <v>0</v>
      </c>
      <c r="M140" s="414">
        <v>0</v>
      </c>
      <c r="N140" s="414">
        <v>0</v>
      </c>
      <c r="O140" s="414">
        <v>0</v>
      </c>
      <c r="P140" s="68">
        <v>435913</v>
      </c>
      <c r="Q140" s="68">
        <v>12897</v>
      </c>
      <c r="R140" s="414">
        <v>6500</v>
      </c>
      <c r="S140" s="415">
        <v>3.43</v>
      </c>
      <c r="T140" s="416">
        <v>3.43</v>
      </c>
      <c r="U140" s="422">
        <v>0</v>
      </c>
      <c r="V140" s="423">
        <f t="shared" si="104"/>
        <v>0</v>
      </c>
      <c r="W140" s="417">
        <f t="shared" si="105"/>
        <v>0</v>
      </c>
      <c r="X140" s="417">
        <v>23175</v>
      </c>
      <c r="Y140" s="417">
        <v>0</v>
      </c>
      <c r="Z140" s="417">
        <v>0</v>
      </c>
      <c r="AA140" s="417">
        <v>0</v>
      </c>
      <c r="AB140" s="417">
        <v>0</v>
      </c>
      <c r="AC140" s="417">
        <v>0</v>
      </c>
      <c r="AD140" s="417">
        <v>0</v>
      </c>
      <c r="AE140" s="417">
        <f t="shared" si="106"/>
        <v>23175</v>
      </c>
      <c r="AF140" s="417">
        <f t="shared" si="107"/>
        <v>0</v>
      </c>
      <c r="AG140" s="417">
        <f t="shared" si="108"/>
        <v>23175</v>
      </c>
      <c r="AH140" s="417">
        <v>0</v>
      </c>
      <c r="AI140" s="417">
        <v>0</v>
      </c>
      <c r="AJ140" s="417">
        <v>0</v>
      </c>
      <c r="AK140" s="417">
        <v>0</v>
      </c>
      <c r="AL140" s="417">
        <v>0</v>
      </c>
      <c r="AM140" s="417">
        <f t="shared" si="109"/>
        <v>0</v>
      </c>
      <c r="AN140" s="417">
        <f t="shared" si="110"/>
        <v>0</v>
      </c>
      <c r="AO140" s="417">
        <f t="shared" si="111"/>
        <v>0</v>
      </c>
      <c r="AP140" s="417">
        <f t="shared" si="112"/>
        <v>23175</v>
      </c>
      <c r="AQ140" s="417">
        <f t="shared" si="113"/>
        <v>0</v>
      </c>
      <c r="AR140" s="417">
        <f t="shared" si="114"/>
        <v>23175</v>
      </c>
      <c r="AS140" s="68">
        <f t="shared" si="115"/>
        <v>7833</v>
      </c>
      <c r="AT140" s="68">
        <f t="shared" si="116"/>
        <v>232</v>
      </c>
      <c r="AU140" s="417">
        <v>5750</v>
      </c>
      <c r="AV140" s="417">
        <v>0</v>
      </c>
      <c r="AW140" s="417">
        <v>0</v>
      </c>
      <c r="AX140" s="417">
        <f t="shared" si="117"/>
        <v>5750</v>
      </c>
      <c r="AY140" s="417">
        <f t="shared" si="118"/>
        <v>36990</v>
      </c>
      <c r="AZ140" s="418">
        <v>0</v>
      </c>
      <c r="BA140" s="418">
        <v>0</v>
      </c>
      <c r="BB140" s="418">
        <v>0.06</v>
      </c>
      <c r="BC140" s="418">
        <v>0</v>
      </c>
      <c r="BD140" s="418">
        <v>0</v>
      </c>
      <c r="BE140" s="418">
        <v>0</v>
      </c>
      <c r="BF140" s="418">
        <v>0</v>
      </c>
      <c r="BG140" s="418">
        <v>0</v>
      </c>
      <c r="BH140" s="418">
        <v>0</v>
      </c>
      <c r="BI140" s="418">
        <f t="shared" si="119"/>
        <v>0.06</v>
      </c>
      <c r="BJ140" s="418">
        <f t="shared" si="120"/>
        <v>0</v>
      </c>
      <c r="BK140" s="420">
        <f t="shared" si="121"/>
        <v>0.06</v>
      </c>
      <c r="BL140" s="772">
        <f t="shared" si="198"/>
        <v>1781984</v>
      </c>
      <c r="BM140" s="417">
        <f t="shared" si="199"/>
        <v>1312859</v>
      </c>
      <c r="BN140" s="417">
        <f t="shared" si="200"/>
        <v>1312859</v>
      </c>
      <c r="BO140" s="417">
        <f t="shared" si="200"/>
        <v>0</v>
      </c>
      <c r="BP140" s="417">
        <f t="shared" si="201"/>
        <v>0</v>
      </c>
      <c r="BQ140" s="417">
        <f t="shared" si="202"/>
        <v>0</v>
      </c>
      <c r="BR140" s="417">
        <f t="shared" si="202"/>
        <v>0</v>
      </c>
      <c r="BS140" s="417">
        <f t="shared" si="203"/>
        <v>443746</v>
      </c>
      <c r="BT140" s="417">
        <f t="shared" si="203"/>
        <v>13129</v>
      </c>
      <c r="BU140" s="417">
        <f t="shared" si="204"/>
        <v>12250</v>
      </c>
      <c r="BV140" s="418">
        <f t="shared" si="205"/>
        <v>3.49</v>
      </c>
      <c r="BW140" s="418">
        <f t="shared" si="206"/>
        <v>3.49</v>
      </c>
      <c r="BX140" s="420">
        <f t="shared" si="206"/>
        <v>0</v>
      </c>
      <c r="BY140" s="419"/>
      <c r="BZ140" s="414"/>
      <c r="CA140" s="414"/>
      <c r="CB140" s="414"/>
      <c r="CC140" s="414"/>
      <c r="CD140" s="509"/>
      <c r="CE140" s="419"/>
      <c r="CF140" s="414"/>
      <c r="CG140" s="414"/>
      <c r="CH140" s="414"/>
      <c r="CI140" s="414"/>
      <c r="CJ140" s="509"/>
    </row>
    <row r="141" spans="1:88" s="221" customFormat="1">
      <c r="A141" s="209">
        <v>25</v>
      </c>
      <c r="B141" s="210">
        <v>4452</v>
      </c>
      <c r="C141" s="210">
        <v>600074919</v>
      </c>
      <c r="D141" s="210">
        <v>70698511</v>
      </c>
      <c r="E141" s="208" t="s">
        <v>194</v>
      </c>
      <c r="F141" s="210">
        <v>3141</v>
      </c>
      <c r="G141" s="165" t="s">
        <v>294</v>
      </c>
      <c r="H141" s="621" t="s">
        <v>272</v>
      </c>
      <c r="I141" s="510">
        <v>2170362</v>
      </c>
      <c r="J141" s="414">
        <v>1598102</v>
      </c>
      <c r="K141" s="414">
        <v>0</v>
      </c>
      <c r="L141" s="414">
        <v>1598102</v>
      </c>
      <c r="M141" s="414">
        <v>0</v>
      </c>
      <c r="N141" s="414">
        <v>0</v>
      </c>
      <c r="O141" s="414">
        <v>0</v>
      </c>
      <c r="P141" s="68">
        <v>540159</v>
      </c>
      <c r="Q141" s="68">
        <v>15981</v>
      </c>
      <c r="R141" s="414">
        <v>16120</v>
      </c>
      <c r="S141" s="415">
        <v>4.79</v>
      </c>
      <c r="T141" s="416">
        <v>0</v>
      </c>
      <c r="U141" s="422">
        <v>4.79</v>
      </c>
      <c r="V141" s="423">
        <f t="shared" ref="V141:V204" si="207">AH141*-1</f>
        <v>0</v>
      </c>
      <c r="W141" s="417">
        <f t="shared" ref="W141:W204" si="208">AI141*-1</f>
        <v>0</v>
      </c>
      <c r="X141" s="417">
        <v>0</v>
      </c>
      <c r="Y141" s="417">
        <v>0</v>
      </c>
      <c r="Z141" s="417">
        <v>0</v>
      </c>
      <c r="AA141" s="417">
        <v>-5491</v>
      </c>
      <c r="AB141" s="417">
        <v>0</v>
      </c>
      <c r="AC141" s="417">
        <v>0</v>
      </c>
      <c r="AD141" s="417">
        <v>0</v>
      </c>
      <c r="AE141" s="417">
        <f t="shared" ref="AE141:AE204" si="209">V141+X141+Y141+Z141+AC141</f>
        <v>0</v>
      </c>
      <c r="AF141" s="417">
        <f t="shared" ref="AF141:AF204" si="210">W141+AA141+AD141+AB141</f>
        <v>-5491</v>
      </c>
      <c r="AG141" s="417">
        <f t="shared" ref="AG141:AG204" si="211">SUM(AE141:AF141)</f>
        <v>-5491</v>
      </c>
      <c r="AH141" s="417">
        <v>0</v>
      </c>
      <c r="AI141" s="417">
        <v>0</v>
      </c>
      <c r="AJ141" s="417">
        <v>0</v>
      </c>
      <c r="AK141" s="417">
        <v>0</v>
      </c>
      <c r="AL141" s="417">
        <v>0</v>
      </c>
      <c r="AM141" s="417">
        <f t="shared" ref="AM141:AM204" si="212">AH141+AJ141+AK141</f>
        <v>0</v>
      </c>
      <c r="AN141" s="417">
        <f t="shared" ref="AN141:AN204" si="213">AI141+AL141</f>
        <v>0</v>
      </c>
      <c r="AO141" s="417">
        <f t="shared" ref="AO141:AO204" si="214">SUM(AM141:AN141)</f>
        <v>0</v>
      </c>
      <c r="AP141" s="417">
        <f t="shared" ref="AP141:AP204" si="215">AE141+AM141</f>
        <v>0</v>
      </c>
      <c r="AQ141" s="417">
        <f t="shared" ref="AQ141:AQ204" si="216">AF141+AN141</f>
        <v>-5491</v>
      </c>
      <c r="AR141" s="417">
        <f t="shared" ref="AR141:AR204" si="217">SUM(AP141:AQ141)</f>
        <v>-5491</v>
      </c>
      <c r="AS141" s="68">
        <f t="shared" ref="AS141:AS204" si="218">ROUND((AG141+AH141+AI141+AJ141)*33.8%,0)</f>
        <v>-1856</v>
      </c>
      <c r="AT141" s="68">
        <f t="shared" ref="AT141:AT204" si="219">ROUND(AG141*1%,0)</f>
        <v>-55</v>
      </c>
      <c r="AU141" s="417">
        <v>0</v>
      </c>
      <c r="AV141" s="417">
        <v>0</v>
      </c>
      <c r="AW141" s="417">
        <v>0</v>
      </c>
      <c r="AX141" s="417">
        <f t="shared" ref="AX141:AX204" si="220">SUM(AU141:AW141)</f>
        <v>0</v>
      </c>
      <c r="AY141" s="417">
        <f t="shared" ref="AY141:AY204" si="221">AR141+AS141+AT141+AX141</f>
        <v>-7402</v>
      </c>
      <c r="AZ141" s="418">
        <v>0</v>
      </c>
      <c r="BA141" s="418">
        <v>0</v>
      </c>
      <c r="BB141" s="418">
        <v>0</v>
      </c>
      <c r="BC141" s="418">
        <v>0</v>
      </c>
      <c r="BD141" s="418">
        <v>-0.02</v>
      </c>
      <c r="BE141" s="418">
        <v>0</v>
      </c>
      <c r="BF141" s="418">
        <v>0</v>
      </c>
      <c r="BG141" s="418">
        <v>0</v>
      </c>
      <c r="BH141" s="418">
        <v>0</v>
      </c>
      <c r="BI141" s="418">
        <f t="shared" ref="BI141:BI204" si="222">AZ141+BB141+BC141+BE141+BG141</f>
        <v>0</v>
      </c>
      <c r="BJ141" s="418">
        <f t="shared" ref="BJ141:BJ204" si="223">BA141+BD141+BH141+BF141</f>
        <v>-0.02</v>
      </c>
      <c r="BK141" s="420">
        <f t="shared" ref="BK141:BK204" si="224">SUM(BI141:BJ141)</f>
        <v>-0.02</v>
      </c>
      <c r="BL141" s="772">
        <f t="shared" si="198"/>
        <v>2162960</v>
      </c>
      <c r="BM141" s="417">
        <f t="shared" si="199"/>
        <v>1592611</v>
      </c>
      <c r="BN141" s="417">
        <f t="shared" si="200"/>
        <v>0</v>
      </c>
      <c r="BO141" s="417">
        <f t="shared" si="200"/>
        <v>1592611</v>
      </c>
      <c r="BP141" s="417">
        <f t="shared" si="201"/>
        <v>0</v>
      </c>
      <c r="BQ141" s="417">
        <f t="shared" si="202"/>
        <v>0</v>
      </c>
      <c r="BR141" s="417">
        <f t="shared" si="202"/>
        <v>0</v>
      </c>
      <c r="BS141" s="417">
        <f t="shared" si="203"/>
        <v>538303</v>
      </c>
      <c r="BT141" s="417">
        <f t="shared" si="203"/>
        <v>15926</v>
      </c>
      <c r="BU141" s="417">
        <f t="shared" si="204"/>
        <v>16120</v>
      </c>
      <c r="BV141" s="418">
        <f t="shared" si="205"/>
        <v>4.7700000000000005</v>
      </c>
      <c r="BW141" s="418">
        <f t="shared" si="206"/>
        <v>0</v>
      </c>
      <c r="BX141" s="420">
        <f t="shared" si="206"/>
        <v>4.7700000000000005</v>
      </c>
      <c r="BY141" s="419"/>
      <c r="BZ141" s="414"/>
      <c r="CA141" s="414"/>
      <c r="CB141" s="414"/>
      <c r="CC141" s="414"/>
      <c r="CD141" s="509"/>
      <c r="CE141" s="419"/>
      <c r="CF141" s="601"/>
      <c r="CG141" s="414"/>
      <c r="CH141" s="414"/>
      <c r="CI141" s="601"/>
      <c r="CJ141" s="603"/>
    </row>
    <row r="142" spans="1:88" s="221" customFormat="1">
      <c r="A142" s="209">
        <v>25</v>
      </c>
      <c r="B142" s="210">
        <v>4452</v>
      </c>
      <c r="C142" s="210">
        <v>600074919</v>
      </c>
      <c r="D142" s="210">
        <v>70698511</v>
      </c>
      <c r="E142" s="204" t="s">
        <v>194</v>
      </c>
      <c r="F142" s="210">
        <v>3143</v>
      </c>
      <c r="G142" s="165" t="s">
        <v>595</v>
      </c>
      <c r="H142" s="609" t="s">
        <v>271</v>
      </c>
      <c r="I142" s="510">
        <v>1578984</v>
      </c>
      <c r="J142" s="414">
        <v>1171353</v>
      </c>
      <c r="K142" s="414">
        <v>1171353</v>
      </c>
      <c r="L142" s="414">
        <v>0</v>
      </c>
      <c r="M142" s="414">
        <v>0</v>
      </c>
      <c r="N142" s="414">
        <v>0</v>
      </c>
      <c r="O142" s="414">
        <v>0</v>
      </c>
      <c r="P142" s="68">
        <v>395917</v>
      </c>
      <c r="Q142" s="68">
        <v>11714</v>
      </c>
      <c r="R142" s="414">
        <v>0</v>
      </c>
      <c r="S142" s="415">
        <v>2.2679999999999998</v>
      </c>
      <c r="T142" s="416">
        <v>2.2679999999999998</v>
      </c>
      <c r="U142" s="422">
        <v>0</v>
      </c>
      <c r="V142" s="423">
        <f t="shared" si="207"/>
        <v>0</v>
      </c>
      <c r="W142" s="417">
        <f t="shared" si="208"/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si="209"/>
        <v>0</v>
      </c>
      <c r="AF142" s="417">
        <f t="shared" si="210"/>
        <v>0</v>
      </c>
      <c r="AG142" s="417">
        <f t="shared" si="211"/>
        <v>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si="212"/>
        <v>0</v>
      </c>
      <c r="AN142" s="417">
        <f t="shared" si="213"/>
        <v>0</v>
      </c>
      <c r="AO142" s="417">
        <f t="shared" si="214"/>
        <v>0</v>
      </c>
      <c r="AP142" s="417">
        <f t="shared" si="215"/>
        <v>0</v>
      </c>
      <c r="AQ142" s="417">
        <f t="shared" si="216"/>
        <v>0</v>
      </c>
      <c r="AR142" s="417">
        <f t="shared" si="217"/>
        <v>0</v>
      </c>
      <c r="AS142" s="68">
        <f t="shared" si="218"/>
        <v>0</v>
      </c>
      <c r="AT142" s="68">
        <f t="shared" si="219"/>
        <v>0</v>
      </c>
      <c r="AU142" s="417">
        <v>0</v>
      </c>
      <c r="AV142" s="417">
        <v>0</v>
      </c>
      <c r="AW142" s="417">
        <v>0</v>
      </c>
      <c r="AX142" s="417">
        <f t="shared" si="220"/>
        <v>0</v>
      </c>
      <c r="AY142" s="417">
        <f t="shared" si="221"/>
        <v>0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418">
        <v>0</v>
      </c>
      <c r="BG142" s="418">
        <v>0</v>
      </c>
      <c r="BH142" s="418">
        <v>0</v>
      </c>
      <c r="BI142" s="418">
        <f t="shared" si="222"/>
        <v>0</v>
      </c>
      <c r="BJ142" s="418">
        <f t="shared" si="223"/>
        <v>0</v>
      </c>
      <c r="BK142" s="420">
        <f t="shared" si="224"/>
        <v>0</v>
      </c>
      <c r="BL142" s="772">
        <f t="shared" si="198"/>
        <v>1578984</v>
      </c>
      <c r="BM142" s="417">
        <f t="shared" si="199"/>
        <v>1171353</v>
      </c>
      <c r="BN142" s="417">
        <f t="shared" si="200"/>
        <v>1171353</v>
      </c>
      <c r="BO142" s="417">
        <f t="shared" si="200"/>
        <v>0</v>
      </c>
      <c r="BP142" s="417">
        <f t="shared" si="201"/>
        <v>0</v>
      </c>
      <c r="BQ142" s="417">
        <f t="shared" si="202"/>
        <v>0</v>
      </c>
      <c r="BR142" s="417">
        <f t="shared" si="202"/>
        <v>0</v>
      </c>
      <c r="BS142" s="417">
        <f t="shared" si="203"/>
        <v>395917</v>
      </c>
      <c r="BT142" s="417">
        <f t="shared" si="203"/>
        <v>11714</v>
      </c>
      <c r="BU142" s="417">
        <f t="shared" si="204"/>
        <v>0</v>
      </c>
      <c r="BV142" s="418">
        <f t="shared" si="205"/>
        <v>2.2679999999999998</v>
      </c>
      <c r="BW142" s="418">
        <f t="shared" si="206"/>
        <v>2.2679999999999998</v>
      </c>
      <c r="BX142" s="420">
        <f t="shared" si="206"/>
        <v>0</v>
      </c>
      <c r="BY142" s="419"/>
      <c r="BZ142" s="414"/>
      <c r="CA142" s="414"/>
      <c r="CB142" s="414"/>
      <c r="CC142" s="414"/>
      <c r="CD142" s="509"/>
      <c r="CE142" s="419"/>
      <c r="CF142" s="414"/>
      <c r="CG142" s="414"/>
      <c r="CH142" s="414"/>
      <c r="CI142" s="414"/>
      <c r="CJ142" s="509"/>
    </row>
    <row r="143" spans="1:88" s="221" customFormat="1">
      <c r="A143" s="209">
        <v>25</v>
      </c>
      <c r="B143" s="210">
        <v>4452</v>
      </c>
      <c r="C143" s="210">
        <v>600074919</v>
      </c>
      <c r="D143" s="210">
        <v>70698511</v>
      </c>
      <c r="E143" s="204" t="s">
        <v>194</v>
      </c>
      <c r="F143" s="210">
        <v>3143</v>
      </c>
      <c r="G143" s="165" t="s">
        <v>596</v>
      </c>
      <c r="H143" s="609" t="s">
        <v>272</v>
      </c>
      <c r="I143" s="510">
        <v>67619</v>
      </c>
      <c r="J143" s="414">
        <v>48400</v>
      </c>
      <c r="K143" s="414">
        <v>0</v>
      </c>
      <c r="L143" s="414">
        <v>48400</v>
      </c>
      <c r="M143" s="414">
        <v>0</v>
      </c>
      <c r="N143" s="414">
        <v>0</v>
      </c>
      <c r="O143" s="414">
        <v>0</v>
      </c>
      <c r="P143" s="68">
        <v>16359</v>
      </c>
      <c r="Q143" s="68">
        <v>484</v>
      </c>
      <c r="R143" s="414">
        <v>2376</v>
      </c>
      <c r="S143" s="415">
        <v>0.18</v>
      </c>
      <c r="T143" s="416">
        <v>0</v>
      </c>
      <c r="U143" s="422">
        <v>0.18</v>
      </c>
      <c r="V143" s="423">
        <f t="shared" si="207"/>
        <v>0</v>
      </c>
      <c r="W143" s="417">
        <f t="shared" si="208"/>
        <v>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09"/>
        <v>0</v>
      </c>
      <c r="AF143" s="417">
        <f t="shared" si="210"/>
        <v>0</v>
      </c>
      <c r="AG143" s="417">
        <f t="shared" si="211"/>
        <v>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212"/>
        <v>0</v>
      </c>
      <c r="AN143" s="417">
        <f t="shared" si="213"/>
        <v>0</v>
      </c>
      <c r="AO143" s="417">
        <f t="shared" si="214"/>
        <v>0</v>
      </c>
      <c r="AP143" s="417">
        <f t="shared" si="215"/>
        <v>0</v>
      </c>
      <c r="AQ143" s="417">
        <f t="shared" si="216"/>
        <v>0</v>
      </c>
      <c r="AR143" s="417">
        <f t="shared" si="217"/>
        <v>0</v>
      </c>
      <c r="AS143" s="68">
        <f t="shared" si="218"/>
        <v>0</v>
      </c>
      <c r="AT143" s="68">
        <f t="shared" si="219"/>
        <v>0</v>
      </c>
      <c r="AU143" s="417">
        <v>0</v>
      </c>
      <c r="AV143" s="417">
        <v>0</v>
      </c>
      <c r="AW143" s="417">
        <v>0</v>
      </c>
      <c r="AX143" s="417">
        <f t="shared" si="220"/>
        <v>0</v>
      </c>
      <c r="AY143" s="417">
        <f t="shared" si="221"/>
        <v>0</v>
      </c>
      <c r="AZ143" s="418">
        <v>0</v>
      </c>
      <c r="BA143" s="418">
        <v>0</v>
      </c>
      <c r="BB143" s="418">
        <v>0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22"/>
        <v>0</v>
      </c>
      <c r="BJ143" s="418">
        <f t="shared" si="223"/>
        <v>0</v>
      </c>
      <c r="BK143" s="420">
        <f t="shared" si="224"/>
        <v>0</v>
      </c>
      <c r="BL143" s="772">
        <f t="shared" si="198"/>
        <v>67619</v>
      </c>
      <c r="BM143" s="417">
        <f t="shared" si="199"/>
        <v>48400</v>
      </c>
      <c r="BN143" s="417">
        <f t="shared" si="200"/>
        <v>0</v>
      </c>
      <c r="BO143" s="417">
        <f t="shared" si="200"/>
        <v>48400</v>
      </c>
      <c r="BP143" s="417">
        <f t="shared" si="201"/>
        <v>0</v>
      </c>
      <c r="BQ143" s="417">
        <f t="shared" si="202"/>
        <v>0</v>
      </c>
      <c r="BR143" s="417">
        <f t="shared" si="202"/>
        <v>0</v>
      </c>
      <c r="BS143" s="417">
        <f t="shared" si="203"/>
        <v>16359</v>
      </c>
      <c r="BT143" s="417">
        <f t="shared" si="203"/>
        <v>484</v>
      </c>
      <c r="BU143" s="417">
        <f t="shared" si="204"/>
        <v>2376</v>
      </c>
      <c r="BV143" s="418">
        <f t="shared" si="205"/>
        <v>0.18</v>
      </c>
      <c r="BW143" s="418">
        <f t="shared" si="206"/>
        <v>0</v>
      </c>
      <c r="BX143" s="420">
        <f t="shared" si="206"/>
        <v>0.18</v>
      </c>
      <c r="BY143" s="419"/>
      <c r="BZ143" s="414"/>
      <c r="CA143" s="414"/>
      <c r="CB143" s="414"/>
      <c r="CC143" s="414"/>
      <c r="CD143" s="509"/>
      <c r="CE143" s="419"/>
      <c r="CF143" s="601"/>
      <c r="CG143" s="414"/>
      <c r="CH143" s="414"/>
      <c r="CI143" s="602"/>
      <c r="CJ143" s="603"/>
    </row>
    <row r="144" spans="1:88" s="221" customFormat="1">
      <c r="A144" s="155">
        <v>25</v>
      </c>
      <c r="B144" s="18">
        <v>4452</v>
      </c>
      <c r="C144" s="18">
        <v>600074919</v>
      </c>
      <c r="D144" s="18">
        <v>70698511</v>
      </c>
      <c r="E144" s="164" t="s">
        <v>195</v>
      </c>
      <c r="F144" s="18"/>
      <c r="G144" s="154"/>
      <c r="H144" s="608"/>
      <c r="I144" s="451">
        <v>38693142</v>
      </c>
      <c r="J144" s="444">
        <v>28266963</v>
      </c>
      <c r="K144" s="444">
        <v>24324793</v>
      </c>
      <c r="L144" s="444">
        <v>3942170</v>
      </c>
      <c r="M144" s="444">
        <v>0</v>
      </c>
      <c r="N144" s="444">
        <v>0</v>
      </c>
      <c r="O144" s="444">
        <v>0</v>
      </c>
      <c r="P144" s="444">
        <v>9554233</v>
      </c>
      <c r="Q144" s="444">
        <v>282670</v>
      </c>
      <c r="R144" s="444">
        <v>589276</v>
      </c>
      <c r="S144" s="445">
        <v>47.861000000000004</v>
      </c>
      <c r="T144" s="445">
        <v>36.068000000000005</v>
      </c>
      <c r="U144" s="449">
        <v>11.792999999999999</v>
      </c>
      <c r="V144" s="447">
        <f t="shared" ref="V144:CG144" si="225">SUM(V138:V143)</f>
        <v>0</v>
      </c>
      <c r="W144" s="444">
        <f t="shared" si="225"/>
        <v>0</v>
      </c>
      <c r="X144" s="444">
        <f t="shared" si="225"/>
        <v>23175</v>
      </c>
      <c r="Y144" s="444">
        <f t="shared" si="225"/>
        <v>17874</v>
      </c>
      <c r="Z144" s="444">
        <f t="shared" si="225"/>
        <v>0</v>
      </c>
      <c r="AA144" s="444">
        <f t="shared" si="225"/>
        <v>-5491</v>
      </c>
      <c r="AB144" s="444">
        <f t="shared" si="225"/>
        <v>0</v>
      </c>
      <c r="AC144" s="444">
        <f t="shared" si="225"/>
        <v>0</v>
      </c>
      <c r="AD144" s="444">
        <f t="shared" si="225"/>
        <v>0</v>
      </c>
      <c r="AE144" s="444">
        <f t="shared" si="225"/>
        <v>41049</v>
      </c>
      <c r="AF144" s="444">
        <f t="shared" si="225"/>
        <v>-5491</v>
      </c>
      <c r="AG144" s="444">
        <f t="shared" si="225"/>
        <v>35558</v>
      </c>
      <c r="AH144" s="444">
        <f t="shared" si="225"/>
        <v>0</v>
      </c>
      <c r="AI144" s="444">
        <f t="shared" si="225"/>
        <v>0</v>
      </c>
      <c r="AJ144" s="444">
        <f t="shared" si="225"/>
        <v>0</v>
      </c>
      <c r="AK144" s="444">
        <f t="shared" si="225"/>
        <v>0</v>
      </c>
      <c r="AL144" s="444">
        <f t="shared" si="225"/>
        <v>0</v>
      </c>
      <c r="AM144" s="444">
        <f t="shared" si="225"/>
        <v>0</v>
      </c>
      <c r="AN144" s="444">
        <f t="shared" si="225"/>
        <v>0</v>
      </c>
      <c r="AO144" s="444">
        <f t="shared" si="225"/>
        <v>0</v>
      </c>
      <c r="AP144" s="444">
        <f t="shared" si="225"/>
        <v>41049</v>
      </c>
      <c r="AQ144" s="444">
        <f t="shared" si="225"/>
        <v>-5491</v>
      </c>
      <c r="AR144" s="444">
        <f t="shared" si="225"/>
        <v>35558</v>
      </c>
      <c r="AS144" s="444">
        <f t="shared" si="225"/>
        <v>12018</v>
      </c>
      <c r="AT144" s="444">
        <f t="shared" si="225"/>
        <v>356</v>
      </c>
      <c r="AU144" s="444">
        <f t="shared" si="225"/>
        <v>5750</v>
      </c>
      <c r="AV144" s="444">
        <f t="shared" si="225"/>
        <v>0</v>
      </c>
      <c r="AW144" s="444">
        <f t="shared" si="225"/>
        <v>0</v>
      </c>
      <c r="AX144" s="444">
        <f t="shared" si="225"/>
        <v>5750</v>
      </c>
      <c r="AY144" s="444">
        <f t="shared" si="225"/>
        <v>53682</v>
      </c>
      <c r="AZ144" s="445">
        <f t="shared" si="225"/>
        <v>0</v>
      </c>
      <c r="BA144" s="445">
        <f t="shared" si="225"/>
        <v>0</v>
      </c>
      <c r="BB144" s="445">
        <f t="shared" si="225"/>
        <v>0.06</v>
      </c>
      <c r="BC144" s="445">
        <f t="shared" si="225"/>
        <v>0</v>
      </c>
      <c r="BD144" s="445">
        <f t="shared" si="225"/>
        <v>-0.02</v>
      </c>
      <c r="BE144" s="445">
        <f t="shared" si="225"/>
        <v>0.03</v>
      </c>
      <c r="BF144" s="445">
        <f t="shared" si="225"/>
        <v>0</v>
      </c>
      <c r="BG144" s="445">
        <f t="shared" si="225"/>
        <v>0</v>
      </c>
      <c r="BH144" s="445">
        <f t="shared" si="225"/>
        <v>0</v>
      </c>
      <c r="BI144" s="445">
        <f t="shared" si="225"/>
        <v>0.09</v>
      </c>
      <c r="BJ144" s="445">
        <f t="shared" si="225"/>
        <v>-0.02</v>
      </c>
      <c r="BK144" s="39">
        <f t="shared" si="225"/>
        <v>6.9999999999999993E-2</v>
      </c>
      <c r="BL144" s="451">
        <f t="shared" si="225"/>
        <v>38746824</v>
      </c>
      <c r="BM144" s="444">
        <f t="shared" si="225"/>
        <v>28302521</v>
      </c>
      <c r="BN144" s="444">
        <f t="shared" si="225"/>
        <v>24365842</v>
      </c>
      <c r="BO144" s="444">
        <f t="shared" si="225"/>
        <v>3936679</v>
      </c>
      <c r="BP144" s="444">
        <f t="shared" si="225"/>
        <v>0</v>
      </c>
      <c r="BQ144" s="444">
        <f t="shared" si="225"/>
        <v>0</v>
      </c>
      <c r="BR144" s="444">
        <f t="shared" si="225"/>
        <v>0</v>
      </c>
      <c r="BS144" s="444">
        <f t="shared" si="225"/>
        <v>9566251</v>
      </c>
      <c r="BT144" s="444">
        <f t="shared" si="225"/>
        <v>283026</v>
      </c>
      <c r="BU144" s="444">
        <f t="shared" si="225"/>
        <v>595026</v>
      </c>
      <c r="BV144" s="445">
        <f t="shared" si="225"/>
        <v>47.931000000000012</v>
      </c>
      <c r="BW144" s="445">
        <f t="shared" si="225"/>
        <v>36.158000000000001</v>
      </c>
      <c r="BX144" s="39">
        <f t="shared" si="225"/>
        <v>11.773</v>
      </c>
      <c r="BY144" s="806">
        <f t="shared" si="225"/>
        <v>0</v>
      </c>
      <c r="BZ144" s="709">
        <f t="shared" si="225"/>
        <v>0</v>
      </c>
      <c r="CA144" s="709">
        <f t="shared" si="225"/>
        <v>0</v>
      </c>
      <c r="CB144" s="709">
        <f t="shared" si="225"/>
        <v>0</v>
      </c>
      <c r="CC144" s="709">
        <f t="shared" si="225"/>
        <v>0</v>
      </c>
      <c r="CD144" s="807">
        <f t="shared" si="225"/>
        <v>0</v>
      </c>
      <c r="CE144" s="919">
        <f t="shared" si="225"/>
        <v>1128175</v>
      </c>
      <c r="CF144" s="920">
        <f t="shared" si="225"/>
        <v>736862</v>
      </c>
      <c r="CG144" s="920">
        <f t="shared" si="225"/>
        <v>249059</v>
      </c>
      <c r="CH144" s="920">
        <f t="shared" ref="CH144:CJ144" si="226">SUM(CH138:CH143)</f>
        <v>7369</v>
      </c>
      <c r="CI144" s="920">
        <f t="shared" si="226"/>
        <v>134885</v>
      </c>
      <c r="CJ144" s="921">
        <f t="shared" si="226"/>
        <v>2.1901999999999999</v>
      </c>
    </row>
    <row r="145" spans="1:88" s="221" customFormat="1">
      <c r="A145" s="209">
        <v>26</v>
      </c>
      <c r="B145" s="210">
        <v>4468</v>
      </c>
      <c r="C145" s="210">
        <v>600075052</v>
      </c>
      <c r="D145" s="210">
        <v>70698546</v>
      </c>
      <c r="E145" s="208" t="s">
        <v>196</v>
      </c>
      <c r="F145" s="210">
        <v>3231</v>
      </c>
      <c r="G145" s="165" t="s">
        <v>295</v>
      </c>
      <c r="H145" s="621" t="s">
        <v>271</v>
      </c>
      <c r="I145" s="510">
        <v>8442201</v>
      </c>
      <c r="J145" s="414">
        <v>6236540</v>
      </c>
      <c r="K145" s="414">
        <v>5905035</v>
      </c>
      <c r="L145" s="414">
        <v>331505</v>
      </c>
      <c r="M145" s="414">
        <v>15300</v>
      </c>
      <c r="N145" s="414">
        <v>0</v>
      </c>
      <c r="O145" s="414">
        <v>15300</v>
      </c>
      <c r="P145" s="68">
        <v>2113122</v>
      </c>
      <c r="Q145" s="68">
        <v>62366</v>
      </c>
      <c r="R145" s="414">
        <v>14873</v>
      </c>
      <c r="S145" s="415">
        <v>10.263299999999999</v>
      </c>
      <c r="T145" s="416">
        <v>9.3402999999999992</v>
      </c>
      <c r="U145" s="422">
        <v>0.92299999999999993</v>
      </c>
      <c r="V145" s="423">
        <f t="shared" si="207"/>
        <v>0</v>
      </c>
      <c r="W145" s="417">
        <f t="shared" si="208"/>
        <v>-10950</v>
      </c>
      <c r="X145" s="417">
        <v>0</v>
      </c>
      <c r="Y145" s="417">
        <v>0</v>
      </c>
      <c r="Z145" s="417">
        <v>0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209"/>
        <v>0</v>
      </c>
      <c r="AF145" s="417">
        <f t="shared" si="210"/>
        <v>-10950</v>
      </c>
      <c r="AG145" s="417">
        <f t="shared" si="211"/>
        <v>-10950</v>
      </c>
      <c r="AH145" s="417">
        <v>0</v>
      </c>
      <c r="AI145" s="417">
        <v>10950</v>
      </c>
      <c r="AJ145" s="417">
        <v>0</v>
      </c>
      <c r="AK145" s="417">
        <v>0</v>
      </c>
      <c r="AL145" s="417">
        <v>0</v>
      </c>
      <c r="AM145" s="417">
        <f t="shared" si="212"/>
        <v>0</v>
      </c>
      <c r="AN145" s="417">
        <f t="shared" si="213"/>
        <v>10950</v>
      </c>
      <c r="AO145" s="417">
        <f t="shared" si="214"/>
        <v>10950</v>
      </c>
      <c r="AP145" s="417">
        <f t="shared" si="215"/>
        <v>0</v>
      </c>
      <c r="AQ145" s="417">
        <f t="shared" si="216"/>
        <v>0</v>
      </c>
      <c r="AR145" s="417">
        <f t="shared" si="217"/>
        <v>0</v>
      </c>
      <c r="AS145" s="68">
        <f t="shared" si="218"/>
        <v>0</v>
      </c>
      <c r="AT145" s="68">
        <f t="shared" si="219"/>
        <v>-110</v>
      </c>
      <c r="AU145" s="417">
        <v>0</v>
      </c>
      <c r="AV145" s="417">
        <v>0</v>
      </c>
      <c r="AW145" s="417">
        <v>0</v>
      </c>
      <c r="AX145" s="417">
        <f t="shared" si="220"/>
        <v>0</v>
      </c>
      <c r="AY145" s="417">
        <f t="shared" si="221"/>
        <v>-110</v>
      </c>
      <c r="AZ145" s="418">
        <v>0</v>
      </c>
      <c r="BA145" s="418">
        <v>-0.04</v>
      </c>
      <c r="BB145" s="418">
        <v>0</v>
      </c>
      <c r="BC145" s="418">
        <v>0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22"/>
        <v>0</v>
      </c>
      <c r="BJ145" s="418">
        <f t="shared" si="223"/>
        <v>-0.04</v>
      </c>
      <c r="BK145" s="420">
        <f t="shared" si="224"/>
        <v>-0.04</v>
      </c>
      <c r="BL145" s="772">
        <f>I145+AY145</f>
        <v>8442091</v>
      </c>
      <c r="BM145" s="417">
        <f>J145+AG145</f>
        <v>6225590</v>
      </c>
      <c r="BN145" s="417">
        <f>K145+AE145</f>
        <v>5905035</v>
      </c>
      <c r="BO145" s="417">
        <f>L145+AF145</f>
        <v>320555</v>
      </c>
      <c r="BP145" s="417">
        <f>M145+AO145</f>
        <v>26250</v>
      </c>
      <c r="BQ145" s="417">
        <f>N145+AM145</f>
        <v>0</v>
      </c>
      <c r="BR145" s="417">
        <f>O145+AN145</f>
        <v>26250</v>
      </c>
      <c r="BS145" s="417">
        <f>P145+AS145</f>
        <v>2113122</v>
      </c>
      <c r="BT145" s="417">
        <f>Q145+AT145</f>
        <v>62256</v>
      </c>
      <c r="BU145" s="417">
        <f>R145+AX145</f>
        <v>14873</v>
      </c>
      <c r="BV145" s="418">
        <f>S145+BK145</f>
        <v>10.2233</v>
      </c>
      <c r="BW145" s="418">
        <f>T145+BI145</f>
        <v>9.3402999999999992</v>
      </c>
      <c r="BX145" s="420">
        <f>U145+BJ145</f>
        <v>0.8829999999999999</v>
      </c>
      <c r="BY145" s="419"/>
      <c r="BZ145" s="414"/>
      <c r="CA145" s="414"/>
      <c r="CB145" s="414"/>
      <c r="CC145" s="414"/>
      <c r="CD145" s="509"/>
      <c r="CE145" s="419">
        <v>158510</v>
      </c>
      <c r="CF145" s="414">
        <v>113980</v>
      </c>
      <c r="CG145" s="414">
        <v>38525</v>
      </c>
      <c r="CH145" s="414">
        <v>1140</v>
      </c>
      <c r="CI145" s="414">
        <v>4865</v>
      </c>
      <c r="CJ145" s="509">
        <v>0.31969999999999998</v>
      </c>
    </row>
    <row r="146" spans="1:88" s="221" customFormat="1">
      <c r="A146" s="155">
        <v>26</v>
      </c>
      <c r="B146" s="18">
        <v>4468</v>
      </c>
      <c r="C146" s="18">
        <v>600075052</v>
      </c>
      <c r="D146" s="18">
        <v>70698546</v>
      </c>
      <c r="E146" s="164" t="s">
        <v>197</v>
      </c>
      <c r="F146" s="18"/>
      <c r="G146" s="154"/>
      <c r="H146" s="608"/>
      <c r="I146" s="451">
        <v>8442201</v>
      </c>
      <c r="J146" s="444">
        <v>6236540</v>
      </c>
      <c r="K146" s="444">
        <v>5905035</v>
      </c>
      <c r="L146" s="444">
        <v>331505</v>
      </c>
      <c r="M146" s="444">
        <v>15300</v>
      </c>
      <c r="N146" s="444">
        <v>0</v>
      </c>
      <c r="O146" s="444">
        <v>15300</v>
      </c>
      <c r="P146" s="444">
        <v>2113122</v>
      </c>
      <c r="Q146" s="444">
        <v>62366</v>
      </c>
      <c r="R146" s="444">
        <v>14873</v>
      </c>
      <c r="S146" s="445">
        <v>10.263299999999999</v>
      </c>
      <c r="T146" s="445">
        <v>9.3402999999999992</v>
      </c>
      <c r="U146" s="449">
        <v>0.92299999999999993</v>
      </c>
      <c r="V146" s="447">
        <f t="shared" ref="V146:CG146" si="227">SUM(V145)</f>
        <v>0</v>
      </c>
      <c r="W146" s="444">
        <f t="shared" si="227"/>
        <v>-10950</v>
      </c>
      <c r="X146" s="444">
        <f t="shared" si="227"/>
        <v>0</v>
      </c>
      <c r="Y146" s="444">
        <f t="shared" si="227"/>
        <v>0</v>
      </c>
      <c r="Z146" s="444">
        <f t="shared" si="227"/>
        <v>0</v>
      </c>
      <c r="AA146" s="444">
        <f t="shared" si="227"/>
        <v>0</v>
      </c>
      <c r="AB146" s="444">
        <f t="shared" si="227"/>
        <v>0</v>
      </c>
      <c r="AC146" s="444">
        <f t="shared" si="227"/>
        <v>0</v>
      </c>
      <c r="AD146" s="444">
        <f t="shared" si="227"/>
        <v>0</v>
      </c>
      <c r="AE146" s="444">
        <f t="shared" si="227"/>
        <v>0</v>
      </c>
      <c r="AF146" s="444">
        <f t="shared" si="227"/>
        <v>-10950</v>
      </c>
      <c r="AG146" s="444">
        <f t="shared" si="227"/>
        <v>-10950</v>
      </c>
      <c r="AH146" s="444">
        <f t="shared" si="227"/>
        <v>0</v>
      </c>
      <c r="AI146" s="444">
        <f t="shared" si="227"/>
        <v>10950</v>
      </c>
      <c r="AJ146" s="444">
        <f t="shared" si="227"/>
        <v>0</v>
      </c>
      <c r="AK146" s="444">
        <f t="shared" si="227"/>
        <v>0</v>
      </c>
      <c r="AL146" s="444">
        <f t="shared" si="227"/>
        <v>0</v>
      </c>
      <c r="AM146" s="444">
        <f t="shared" si="227"/>
        <v>0</v>
      </c>
      <c r="AN146" s="444">
        <f t="shared" si="227"/>
        <v>10950</v>
      </c>
      <c r="AO146" s="444">
        <f t="shared" si="227"/>
        <v>10950</v>
      </c>
      <c r="AP146" s="444">
        <f t="shared" si="227"/>
        <v>0</v>
      </c>
      <c r="AQ146" s="444">
        <f t="shared" si="227"/>
        <v>0</v>
      </c>
      <c r="AR146" s="444">
        <f t="shared" si="227"/>
        <v>0</v>
      </c>
      <c r="AS146" s="444">
        <f t="shared" si="227"/>
        <v>0</v>
      </c>
      <c r="AT146" s="444">
        <f t="shared" si="227"/>
        <v>-110</v>
      </c>
      <c r="AU146" s="444">
        <f t="shared" si="227"/>
        <v>0</v>
      </c>
      <c r="AV146" s="444">
        <f t="shared" si="227"/>
        <v>0</v>
      </c>
      <c r="AW146" s="444">
        <f t="shared" si="227"/>
        <v>0</v>
      </c>
      <c r="AX146" s="444">
        <f t="shared" si="227"/>
        <v>0</v>
      </c>
      <c r="AY146" s="444">
        <f t="shared" si="227"/>
        <v>-110</v>
      </c>
      <c r="AZ146" s="445">
        <f t="shared" si="227"/>
        <v>0</v>
      </c>
      <c r="BA146" s="445">
        <f t="shared" si="227"/>
        <v>-0.04</v>
      </c>
      <c r="BB146" s="445">
        <f t="shared" si="227"/>
        <v>0</v>
      </c>
      <c r="BC146" s="445">
        <f t="shared" si="227"/>
        <v>0</v>
      </c>
      <c r="BD146" s="445">
        <f t="shared" si="227"/>
        <v>0</v>
      </c>
      <c r="BE146" s="445">
        <f t="shared" si="227"/>
        <v>0</v>
      </c>
      <c r="BF146" s="445">
        <f t="shared" si="227"/>
        <v>0</v>
      </c>
      <c r="BG146" s="445">
        <f t="shared" si="227"/>
        <v>0</v>
      </c>
      <c r="BH146" s="445">
        <f t="shared" si="227"/>
        <v>0</v>
      </c>
      <c r="BI146" s="445">
        <f t="shared" si="227"/>
        <v>0</v>
      </c>
      <c r="BJ146" s="445">
        <f t="shared" si="227"/>
        <v>-0.04</v>
      </c>
      <c r="BK146" s="39">
        <f t="shared" si="227"/>
        <v>-0.04</v>
      </c>
      <c r="BL146" s="451">
        <f t="shared" si="227"/>
        <v>8442091</v>
      </c>
      <c r="BM146" s="444">
        <f t="shared" si="227"/>
        <v>6225590</v>
      </c>
      <c r="BN146" s="444">
        <f t="shared" si="227"/>
        <v>5905035</v>
      </c>
      <c r="BO146" s="444">
        <f t="shared" si="227"/>
        <v>320555</v>
      </c>
      <c r="BP146" s="444">
        <f t="shared" si="227"/>
        <v>26250</v>
      </c>
      <c r="BQ146" s="444">
        <f t="shared" si="227"/>
        <v>0</v>
      </c>
      <c r="BR146" s="444">
        <f t="shared" si="227"/>
        <v>26250</v>
      </c>
      <c r="BS146" s="444">
        <f t="shared" si="227"/>
        <v>2113122</v>
      </c>
      <c r="BT146" s="444">
        <f t="shared" si="227"/>
        <v>62256</v>
      </c>
      <c r="BU146" s="444">
        <f t="shared" si="227"/>
        <v>14873</v>
      </c>
      <c r="BV146" s="445">
        <f t="shared" si="227"/>
        <v>10.2233</v>
      </c>
      <c r="BW146" s="445">
        <f t="shared" si="227"/>
        <v>9.3402999999999992</v>
      </c>
      <c r="BX146" s="39">
        <f t="shared" si="227"/>
        <v>0.8829999999999999</v>
      </c>
      <c r="BY146" s="806">
        <f t="shared" si="227"/>
        <v>0</v>
      </c>
      <c r="BZ146" s="709">
        <f t="shared" si="227"/>
        <v>0</v>
      </c>
      <c r="CA146" s="709">
        <f t="shared" si="227"/>
        <v>0</v>
      </c>
      <c r="CB146" s="709">
        <f t="shared" si="227"/>
        <v>0</v>
      </c>
      <c r="CC146" s="709">
        <f t="shared" si="227"/>
        <v>0</v>
      </c>
      <c r="CD146" s="807">
        <f t="shared" si="227"/>
        <v>0</v>
      </c>
      <c r="CE146" s="919">
        <f t="shared" si="227"/>
        <v>158510</v>
      </c>
      <c r="CF146" s="920">
        <f t="shared" si="227"/>
        <v>113980</v>
      </c>
      <c r="CG146" s="920">
        <f t="shared" si="227"/>
        <v>38525</v>
      </c>
      <c r="CH146" s="920">
        <f t="shared" ref="CH146:CJ146" si="228">SUM(CH145)</f>
        <v>1140</v>
      </c>
      <c r="CI146" s="920">
        <f t="shared" si="228"/>
        <v>4865</v>
      </c>
      <c r="CJ146" s="921">
        <f t="shared" si="228"/>
        <v>0.31969999999999998</v>
      </c>
    </row>
    <row r="147" spans="1:88" s="221" customFormat="1">
      <c r="A147" s="209">
        <v>27</v>
      </c>
      <c r="B147" s="210">
        <v>4414</v>
      </c>
      <c r="C147" s="210">
        <v>600074307</v>
      </c>
      <c r="D147" s="210">
        <v>70695831</v>
      </c>
      <c r="E147" s="208" t="s">
        <v>198</v>
      </c>
      <c r="F147" s="210">
        <v>3111</v>
      </c>
      <c r="G147" s="165" t="s">
        <v>290</v>
      </c>
      <c r="H147" s="621" t="s">
        <v>271</v>
      </c>
      <c r="I147" s="510">
        <v>5894474</v>
      </c>
      <c r="J147" s="414">
        <v>4349907</v>
      </c>
      <c r="K147" s="414">
        <v>3830624</v>
      </c>
      <c r="L147" s="414">
        <v>519283</v>
      </c>
      <c r="M147" s="414">
        <v>0</v>
      </c>
      <c r="N147" s="414">
        <v>0</v>
      </c>
      <c r="O147" s="414">
        <v>0</v>
      </c>
      <c r="P147" s="68">
        <v>1470268</v>
      </c>
      <c r="Q147" s="68">
        <v>43499</v>
      </c>
      <c r="R147" s="414">
        <v>30800</v>
      </c>
      <c r="S147" s="415">
        <v>7.9733999999999998</v>
      </c>
      <c r="T147" s="416">
        <v>6.2062999999999997</v>
      </c>
      <c r="U147" s="422">
        <v>1.7670999999999999</v>
      </c>
      <c r="V147" s="423">
        <f t="shared" si="207"/>
        <v>-30000</v>
      </c>
      <c r="W147" s="417">
        <f t="shared" si="208"/>
        <v>-10000</v>
      </c>
      <c r="X147" s="417">
        <v>0</v>
      </c>
      <c r="Y147" s="417">
        <v>0</v>
      </c>
      <c r="Z147" s="417">
        <v>0</v>
      </c>
      <c r="AA147" s="417">
        <v>0</v>
      </c>
      <c r="AB147" s="417">
        <v>0</v>
      </c>
      <c r="AC147" s="417">
        <v>0</v>
      </c>
      <c r="AD147" s="417">
        <v>0</v>
      </c>
      <c r="AE147" s="417">
        <f t="shared" si="209"/>
        <v>-30000</v>
      </c>
      <c r="AF147" s="417">
        <f t="shared" si="210"/>
        <v>-10000</v>
      </c>
      <c r="AG147" s="417">
        <f t="shared" si="211"/>
        <v>-40000</v>
      </c>
      <c r="AH147" s="417">
        <v>30000</v>
      </c>
      <c r="AI147" s="417">
        <v>10000</v>
      </c>
      <c r="AJ147" s="417">
        <v>0</v>
      </c>
      <c r="AK147" s="417">
        <v>0</v>
      </c>
      <c r="AL147" s="417">
        <v>0</v>
      </c>
      <c r="AM147" s="417">
        <f t="shared" si="212"/>
        <v>30000</v>
      </c>
      <c r="AN147" s="417">
        <f t="shared" si="213"/>
        <v>10000</v>
      </c>
      <c r="AO147" s="417">
        <f t="shared" si="214"/>
        <v>40000</v>
      </c>
      <c r="AP147" s="417">
        <f t="shared" si="215"/>
        <v>0</v>
      </c>
      <c r="AQ147" s="417">
        <f t="shared" si="216"/>
        <v>0</v>
      </c>
      <c r="AR147" s="417">
        <f t="shared" si="217"/>
        <v>0</v>
      </c>
      <c r="AS147" s="68">
        <f t="shared" si="218"/>
        <v>0</v>
      </c>
      <c r="AT147" s="68">
        <f t="shared" si="219"/>
        <v>-400</v>
      </c>
      <c r="AU147" s="417">
        <v>0</v>
      </c>
      <c r="AV147" s="417">
        <v>0</v>
      </c>
      <c r="AW147" s="417">
        <v>0</v>
      </c>
      <c r="AX147" s="417">
        <f t="shared" si="220"/>
        <v>0</v>
      </c>
      <c r="AY147" s="417">
        <f t="shared" si="221"/>
        <v>-400</v>
      </c>
      <c r="AZ147" s="418">
        <v>-0.02</v>
      </c>
      <c r="BA147" s="418">
        <v>0</v>
      </c>
      <c r="BB147" s="418">
        <v>0</v>
      </c>
      <c r="BC147" s="418">
        <v>0</v>
      </c>
      <c r="BD147" s="418">
        <v>0</v>
      </c>
      <c r="BE147" s="418">
        <v>0</v>
      </c>
      <c r="BF147" s="418">
        <v>0</v>
      </c>
      <c r="BG147" s="418">
        <v>0</v>
      </c>
      <c r="BH147" s="418">
        <v>0</v>
      </c>
      <c r="BI147" s="418">
        <f t="shared" si="222"/>
        <v>-0.02</v>
      </c>
      <c r="BJ147" s="418">
        <f t="shared" si="223"/>
        <v>0</v>
      </c>
      <c r="BK147" s="420">
        <f t="shared" si="224"/>
        <v>-0.02</v>
      </c>
      <c r="BL147" s="772">
        <f>I147+AY147</f>
        <v>5894074</v>
      </c>
      <c r="BM147" s="417">
        <f>J147+AG147</f>
        <v>4309907</v>
      </c>
      <c r="BN147" s="417">
        <f t="shared" ref="BN147:BO149" si="229">K147+AE147</f>
        <v>3800624</v>
      </c>
      <c r="BO147" s="417">
        <f t="shared" si="229"/>
        <v>509283</v>
      </c>
      <c r="BP147" s="417">
        <f>M147+AO147</f>
        <v>40000</v>
      </c>
      <c r="BQ147" s="417">
        <f t="shared" ref="BQ147:BR149" si="230">N147+AM147</f>
        <v>30000</v>
      </c>
      <c r="BR147" s="417">
        <f t="shared" si="230"/>
        <v>10000</v>
      </c>
      <c r="BS147" s="417">
        <f t="shared" ref="BS147:BT149" si="231">P147+AS147</f>
        <v>1470268</v>
      </c>
      <c r="BT147" s="417">
        <f t="shared" si="231"/>
        <v>43099</v>
      </c>
      <c r="BU147" s="417">
        <f>R147+AX147</f>
        <v>30800</v>
      </c>
      <c r="BV147" s="418">
        <f>S147+BK147</f>
        <v>7.9534000000000002</v>
      </c>
      <c r="BW147" s="418">
        <f t="shared" ref="BW147:BX149" si="232">T147+BI147</f>
        <v>6.1863000000000001</v>
      </c>
      <c r="BX147" s="420">
        <f t="shared" si="232"/>
        <v>1.7670999999999999</v>
      </c>
      <c r="BY147" s="419"/>
      <c r="BZ147" s="414"/>
      <c r="CA147" s="414"/>
      <c r="CB147" s="414"/>
      <c r="CC147" s="414"/>
      <c r="CD147" s="509"/>
      <c r="CE147" s="419">
        <v>234847</v>
      </c>
      <c r="CF147" s="414">
        <v>166622</v>
      </c>
      <c r="CG147" s="414">
        <v>56318</v>
      </c>
      <c r="CH147" s="414">
        <v>1666</v>
      </c>
      <c r="CI147" s="414">
        <v>10241</v>
      </c>
      <c r="CJ147" s="509">
        <v>0.56699999999999995</v>
      </c>
    </row>
    <row r="148" spans="1:88" s="221" customFormat="1">
      <c r="A148" s="209">
        <v>27</v>
      </c>
      <c r="B148" s="210">
        <v>4414</v>
      </c>
      <c r="C148" s="210">
        <v>600074307</v>
      </c>
      <c r="D148" s="210">
        <v>70695831</v>
      </c>
      <c r="E148" s="208" t="s">
        <v>198</v>
      </c>
      <c r="F148" s="210">
        <v>3111</v>
      </c>
      <c r="G148" s="165" t="s">
        <v>291</v>
      </c>
      <c r="H148" s="621" t="s">
        <v>272</v>
      </c>
      <c r="I148" s="510">
        <v>1334908</v>
      </c>
      <c r="J148" s="414">
        <v>988804</v>
      </c>
      <c r="K148" s="414">
        <v>988804</v>
      </c>
      <c r="L148" s="414">
        <v>0</v>
      </c>
      <c r="M148" s="414">
        <v>0</v>
      </c>
      <c r="N148" s="414">
        <v>0</v>
      </c>
      <c r="O148" s="414">
        <v>0</v>
      </c>
      <c r="P148" s="68">
        <v>334216</v>
      </c>
      <c r="Q148" s="68">
        <v>9888</v>
      </c>
      <c r="R148" s="414">
        <v>2000</v>
      </c>
      <c r="S148" s="415">
        <v>2.67</v>
      </c>
      <c r="T148" s="416">
        <v>2.67</v>
      </c>
      <c r="U148" s="422">
        <v>0</v>
      </c>
      <c r="V148" s="423">
        <f t="shared" si="207"/>
        <v>0</v>
      </c>
      <c r="W148" s="417">
        <f t="shared" si="208"/>
        <v>0</v>
      </c>
      <c r="X148" s="417">
        <v>-46350</v>
      </c>
      <c r="Y148" s="417">
        <v>0</v>
      </c>
      <c r="Z148" s="417">
        <v>0</v>
      </c>
      <c r="AA148" s="417">
        <v>0</v>
      </c>
      <c r="AB148" s="417">
        <v>0</v>
      </c>
      <c r="AC148" s="417">
        <v>0</v>
      </c>
      <c r="AD148" s="417">
        <v>0</v>
      </c>
      <c r="AE148" s="417">
        <f t="shared" si="209"/>
        <v>-46350</v>
      </c>
      <c r="AF148" s="417">
        <f t="shared" si="210"/>
        <v>0</v>
      </c>
      <c r="AG148" s="417">
        <f t="shared" si="211"/>
        <v>-46350</v>
      </c>
      <c r="AH148" s="417">
        <v>0</v>
      </c>
      <c r="AI148" s="417">
        <v>0</v>
      </c>
      <c r="AJ148" s="417">
        <v>0</v>
      </c>
      <c r="AK148" s="417">
        <v>0</v>
      </c>
      <c r="AL148" s="417">
        <v>0</v>
      </c>
      <c r="AM148" s="417">
        <f t="shared" si="212"/>
        <v>0</v>
      </c>
      <c r="AN148" s="417">
        <f t="shared" si="213"/>
        <v>0</v>
      </c>
      <c r="AO148" s="417">
        <f t="shared" si="214"/>
        <v>0</v>
      </c>
      <c r="AP148" s="417">
        <f t="shared" si="215"/>
        <v>-46350</v>
      </c>
      <c r="AQ148" s="417">
        <f t="shared" si="216"/>
        <v>0</v>
      </c>
      <c r="AR148" s="417">
        <f t="shared" si="217"/>
        <v>-46350</v>
      </c>
      <c r="AS148" s="68">
        <f t="shared" si="218"/>
        <v>-15666</v>
      </c>
      <c r="AT148" s="68">
        <f t="shared" si="219"/>
        <v>-464</v>
      </c>
      <c r="AU148" s="417">
        <v>0</v>
      </c>
      <c r="AV148" s="417">
        <v>0</v>
      </c>
      <c r="AW148" s="417">
        <v>0</v>
      </c>
      <c r="AX148" s="417">
        <f t="shared" si="220"/>
        <v>0</v>
      </c>
      <c r="AY148" s="417">
        <f t="shared" si="221"/>
        <v>-62480</v>
      </c>
      <c r="AZ148" s="418">
        <v>0</v>
      </c>
      <c r="BA148" s="418">
        <v>0</v>
      </c>
      <c r="BB148" s="418">
        <v>-0.13</v>
      </c>
      <c r="BC148" s="418">
        <v>0</v>
      </c>
      <c r="BD148" s="418">
        <v>0</v>
      </c>
      <c r="BE148" s="418">
        <v>0</v>
      </c>
      <c r="BF148" s="418">
        <v>0</v>
      </c>
      <c r="BG148" s="418">
        <v>0</v>
      </c>
      <c r="BH148" s="418">
        <v>0</v>
      </c>
      <c r="BI148" s="418">
        <f t="shared" si="222"/>
        <v>-0.13</v>
      </c>
      <c r="BJ148" s="418">
        <f t="shared" si="223"/>
        <v>0</v>
      </c>
      <c r="BK148" s="420">
        <f t="shared" si="224"/>
        <v>-0.13</v>
      </c>
      <c r="BL148" s="772">
        <f>I148+AY148</f>
        <v>1272428</v>
      </c>
      <c r="BM148" s="417">
        <f>J148+AG148</f>
        <v>942454</v>
      </c>
      <c r="BN148" s="417">
        <f t="shared" si="229"/>
        <v>942454</v>
      </c>
      <c r="BO148" s="417">
        <f t="shared" si="229"/>
        <v>0</v>
      </c>
      <c r="BP148" s="417">
        <f>M148+AO148</f>
        <v>0</v>
      </c>
      <c r="BQ148" s="417">
        <f t="shared" si="230"/>
        <v>0</v>
      </c>
      <c r="BR148" s="417">
        <f t="shared" si="230"/>
        <v>0</v>
      </c>
      <c r="BS148" s="417">
        <f t="shared" si="231"/>
        <v>318550</v>
      </c>
      <c r="BT148" s="417">
        <f t="shared" si="231"/>
        <v>9424</v>
      </c>
      <c r="BU148" s="417">
        <f>R148+AX148</f>
        <v>2000</v>
      </c>
      <c r="BV148" s="418">
        <f>S148+BK148</f>
        <v>2.54</v>
      </c>
      <c r="BW148" s="418">
        <f t="shared" si="232"/>
        <v>2.54</v>
      </c>
      <c r="BX148" s="420">
        <f t="shared" si="232"/>
        <v>0</v>
      </c>
      <c r="BY148" s="419"/>
      <c r="BZ148" s="414"/>
      <c r="CA148" s="414"/>
      <c r="CB148" s="414"/>
      <c r="CC148" s="414"/>
      <c r="CD148" s="509"/>
      <c r="CE148" s="419"/>
      <c r="CF148" s="414"/>
      <c r="CG148" s="414"/>
      <c r="CH148" s="414"/>
      <c r="CI148" s="414"/>
      <c r="CJ148" s="509"/>
    </row>
    <row r="149" spans="1:88" s="221" customFormat="1">
      <c r="A149" s="209">
        <v>27</v>
      </c>
      <c r="B149" s="210">
        <v>4414</v>
      </c>
      <c r="C149" s="210">
        <v>600074307</v>
      </c>
      <c r="D149" s="210">
        <v>70695831</v>
      </c>
      <c r="E149" s="204" t="s">
        <v>832</v>
      </c>
      <c r="F149" s="210">
        <v>3141</v>
      </c>
      <c r="G149" s="165" t="s">
        <v>294</v>
      </c>
      <c r="H149" s="621" t="s">
        <v>272</v>
      </c>
      <c r="I149" s="510">
        <v>0</v>
      </c>
      <c r="J149" s="414">
        <v>0</v>
      </c>
      <c r="K149" s="414">
        <v>0</v>
      </c>
      <c r="L149" s="414">
        <v>0</v>
      </c>
      <c r="M149" s="414">
        <v>0</v>
      </c>
      <c r="N149" s="414">
        <v>0</v>
      </c>
      <c r="O149" s="414">
        <v>0</v>
      </c>
      <c r="P149" s="68">
        <v>0</v>
      </c>
      <c r="Q149" s="68">
        <v>0</v>
      </c>
      <c r="R149" s="414">
        <v>0</v>
      </c>
      <c r="S149" s="415">
        <v>0</v>
      </c>
      <c r="T149" s="416">
        <v>0</v>
      </c>
      <c r="U149" s="422">
        <v>0</v>
      </c>
      <c r="V149" s="423">
        <f t="shared" si="207"/>
        <v>0</v>
      </c>
      <c r="W149" s="417">
        <f t="shared" si="208"/>
        <v>0</v>
      </c>
      <c r="X149" s="417">
        <v>0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209"/>
        <v>0</v>
      </c>
      <c r="AF149" s="417">
        <f t="shared" si="210"/>
        <v>0</v>
      </c>
      <c r="AG149" s="417">
        <f t="shared" si="211"/>
        <v>0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212"/>
        <v>0</v>
      </c>
      <c r="AN149" s="417">
        <f t="shared" si="213"/>
        <v>0</v>
      </c>
      <c r="AO149" s="417">
        <f t="shared" si="214"/>
        <v>0</v>
      </c>
      <c r="AP149" s="417">
        <f t="shared" si="215"/>
        <v>0</v>
      </c>
      <c r="AQ149" s="417">
        <f t="shared" si="216"/>
        <v>0</v>
      </c>
      <c r="AR149" s="417">
        <f t="shared" si="217"/>
        <v>0</v>
      </c>
      <c r="AS149" s="68">
        <f t="shared" si="218"/>
        <v>0</v>
      </c>
      <c r="AT149" s="68">
        <f t="shared" si="219"/>
        <v>0</v>
      </c>
      <c r="AU149" s="417">
        <v>0</v>
      </c>
      <c r="AV149" s="417">
        <v>0</v>
      </c>
      <c r="AW149" s="417">
        <v>0</v>
      </c>
      <c r="AX149" s="417">
        <f t="shared" si="220"/>
        <v>0</v>
      </c>
      <c r="AY149" s="417">
        <f t="shared" si="221"/>
        <v>0</v>
      </c>
      <c r="AZ149" s="418">
        <v>0</v>
      </c>
      <c r="BA149" s="418">
        <v>0</v>
      </c>
      <c r="BB149" s="418">
        <v>0</v>
      </c>
      <c r="BC149" s="418">
        <v>0</v>
      </c>
      <c r="BD149" s="418">
        <v>0</v>
      </c>
      <c r="BE149" s="418">
        <v>0</v>
      </c>
      <c r="BF149" s="418">
        <v>0</v>
      </c>
      <c r="BG149" s="418">
        <v>0</v>
      </c>
      <c r="BH149" s="418">
        <v>0</v>
      </c>
      <c r="BI149" s="418">
        <f t="shared" si="222"/>
        <v>0</v>
      </c>
      <c r="BJ149" s="418">
        <f t="shared" si="223"/>
        <v>0</v>
      </c>
      <c r="BK149" s="420">
        <f t="shared" si="224"/>
        <v>0</v>
      </c>
      <c r="BL149" s="772">
        <f>I149+AY149</f>
        <v>0</v>
      </c>
      <c r="BM149" s="417">
        <f>J149+AG149</f>
        <v>0</v>
      </c>
      <c r="BN149" s="417">
        <f t="shared" si="229"/>
        <v>0</v>
      </c>
      <c r="BO149" s="417">
        <f t="shared" si="229"/>
        <v>0</v>
      </c>
      <c r="BP149" s="417">
        <f>M149+AO149</f>
        <v>0</v>
      </c>
      <c r="BQ149" s="417">
        <f t="shared" si="230"/>
        <v>0</v>
      </c>
      <c r="BR149" s="417">
        <f t="shared" si="230"/>
        <v>0</v>
      </c>
      <c r="BS149" s="417">
        <f t="shared" si="231"/>
        <v>0</v>
      </c>
      <c r="BT149" s="417">
        <f t="shared" si="231"/>
        <v>0</v>
      </c>
      <c r="BU149" s="417">
        <f>R149+AX149</f>
        <v>0</v>
      </c>
      <c r="BV149" s="418">
        <f>S149+BK149</f>
        <v>0</v>
      </c>
      <c r="BW149" s="418">
        <f t="shared" si="232"/>
        <v>0</v>
      </c>
      <c r="BX149" s="420">
        <f t="shared" si="232"/>
        <v>0</v>
      </c>
      <c r="BY149" s="419"/>
      <c r="BZ149" s="414"/>
      <c r="CA149" s="414"/>
      <c r="CB149" s="414"/>
      <c r="CC149" s="414"/>
      <c r="CD149" s="509"/>
      <c r="CE149" s="419"/>
      <c r="CF149" s="414"/>
      <c r="CG149" s="414"/>
      <c r="CH149" s="414"/>
      <c r="CI149" s="414"/>
      <c r="CJ149" s="509"/>
    </row>
    <row r="150" spans="1:88" s="221" customFormat="1">
      <c r="A150" s="155">
        <v>27</v>
      </c>
      <c r="B150" s="18">
        <v>4414</v>
      </c>
      <c r="C150" s="18">
        <v>600074307</v>
      </c>
      <c r="D150" s="18">
        <v>70695831</v>
      </c>
      <c r="E150" s="164" t="s">
        <v>199</v>
      </c>
      <c r="F150" s="18"/>
      <c r="G150" s="154"/>
      <c r="H150" s="608"/>
      <c r="I150" s="451">
        <v>7229382</v>
      </c>
      <c r="J150" s="444">
        <v>5338711</v>
      </c>
      <c r="K150" s="444">
        <v>4819428</v>
      </c>
      <c r="L150" s="444">
        <v>519283</v>
      </c>
      <c r="M150" s="444">
        <v>0</v>
      </c>
      <c r="N150" s="444">
        <v>0</v>
      </c>
      <c r="O150" s="444">
        <v>0</v>
      </c>
      <c r="P150" s="444">
        <v>1804484</v>
      </c>
      <c r="Q150" s="444">
        <v>53387</v>
      </c>
      <c r="R150" s="444">
        <v>32800</v>
      </c>
      <c r="S150" s="445">
        <v>10.6434</v>
      </c>
      <c r="T150" s="445">
        <v>8.8763000000000005</v>
      </c>
      <c r="U150" s="449">
        <v>1.7670999999999999</v>
      </c>
      <c r="V150" s="447">
        <f t="shared" ref="V150:CG150" si="233">SUM(V147:V149)</f>
        <v>-30000</v>
      </c>
      <c r="W150" s="444">
        <f t="shared" si="233"/>
        <v>-10000</v>
      </c>
      <c r="X150" s="444">
        <f t="shared" si="233"/>
        <v>-46350</v>
      </c>
      <c r="Y150" s="444">
        <f t="shared" si="233"/>
        <v>0</v>
      </c>
      <c r="Z150" s="444">
        <f t="shared" si="233"/>
        <v>0</v>
      </c>
      <c r="AA150" s="444">
        <f t="shared" si="233"/>
        <v>0</v>
      </c>
      <c r="AB150" s="444">
        <f t="shared" si="233"/>
        <v>0</v>
      </c>
      <c r="AC150" s="444">
        <f t="shared" si="233"/>
        <v>0</v>
      </c>
      <c r="AD150" s="444">
        <f t="shared" si="233"/>
        <v>0</v>
      </c>
      <c r="AE150" s="444">
        <f t="shared" si="233"/>
        <v>-76350</v>
      </c>
      <c r="AF150" s="444">
        <f t="shared" si="233"/>
        <v>-10000</v>
      </c>
      <c r="AG150" s="444">
        <f t="shared" si="233"/>
        <v>-86350</v>
      </c>
      <c r="AH150" s="444">
        <f t="shared" si="233"/>
        <v>30000</v>
      </c>
      <c r="AI150" s="444">
        <f t="shared" si="233"/>
        <v>10000</v>
      </c>
      <c r="AJ150" s="444">
        <f t="shared" si="233"/>
        <v>0</v>
      </c>
      <c r="AK150" s="444">
        <f t="shared" si="233"/>
        <v>0</v>
      </c>
      <c r="AL150" s="444">
        <f t="shared" si="233"/>
        <v>0</v>
      </c>
      <c r="AM150" s="444">
        <f t="shared" si="233"/>
        <v>30000</v>
      </c>
      <c r="AN150" s="444">
        <f t="shared" si="233"/>
        <v>10000</v>
      </c>
      <c r="AO150" s="444">
        <f t="shared" si="233"/>
        <v>40000</v>
      </c>
      <c r="AP150" s="444">
        <f t="shared" si="233"/>
        <v>-46350</v>
      </c>
      <c r="AQ150" s="444">
        <f t="shared" si="233"/>
        <v>0</v>
      </c>
      <c r="AR150" s="444">
        <f t="shared" si="233"/>
        <v>-46350</v>
      </c>
      <c r="AS150" s="444">
        <f t="shared" si="233"/>
        <v>-15666</v>
      </c>
      <c r="AT150" s="444">
        <f t="shared" si="233"/>
        <v>-864</v>
      </c>
      <c r="AU150" s="444">
        <f t="shared" si="233"/>
        <v>0</v>
      </c>
      <c r="AV150" s="444">
        <f t="shared" si="233"/>
        <v>0</v>
      </c>
      <c r="AW150" s="444">
        <f t="shared" si="233"/>
        <v>0</v>
      </c>
      <c r="AX150" s="444">
        <f t="shared" si="233"/>
        <v>0</v>
      </c>
      <c r="AY150" s="444">
        <f t="shared" si="233"/>
        <v>-62880</v>
      </c>
      <c r="AZ150" s="445">
        <f t="shared" si="233"/>
        <v>-0.02</v>
      </c>
      <c r="BA150" s="445">
        <f t="shared" si="233"/>
        <v>0</v>
      </c>
      <c r="BB150" s="445">
        <f t="shared" si="233"/>
        <v>-0.13</v>
      </c>
      <c r="BC150" s="445">
        <f t="shared" si="233"/>
        <v>0</v>
      </c>
      <c r="BD150" s="445">
        <f t="shared" si="233"/>
        <v>0</v>
      </c>
      <c r="BE150" s="445">
        <f t="shared" si="233"/>
        <v>0</v>
      </c>
      <c r="BF150" s="445">
        <f t="shared" si="233"/>
        <v>0</v>
      </c>
      <c r="BG150" s="445">
        <f t="shared" si="233"/>
        <v>0</v>
      </c>
      <c r="BH150" s="445">
        <f t="shared" si="233"/>
        <v>0</v>
      </c>
      <c r="BI150" s="445">
        <f t="shared" si="233"/>
        <v>-0.15</v>
      </c>
      <c r="BJ150" s="445">
        <f t="shared" si="233"/>
        <v>0</v>
      </c>
      <c r="BK150" s="39">
        <f t="shared" si="233"/>
        <v>-0.15</v>
      </c>
      <c r="BL150" s="451">
        <f t="shared" si="233"/>
        <v>7166502</v>
      </c>
      <c r="BM150" s="444">
        <f t="shared" si="233"/>
        <v>5252361</v>
      </c>
      <c r="BN150" s="444">
        <f t="shared" si="233"/>
        <v>4743078</v>
      </c>
      <c r="BO150" s="444">
        <f t="shared" si="233"/>
        <v>509283</v>
      </c>
      <c r="BP150" s="444">
        <f t="shared" si="233"/>
        <v>40000</v>
      </c>
      <c r="BQ150" s="444">
        <f t="shared" si="233"/>
        <v>30000</v>
      </c>
      <c r="BR150" s="444">
        <f t="shared" si="233"/>
        <v>10000</v>
      </c>
      <c r="BS150" s="444">
        <f t="shared" si="233"/>
        <v>1788818</v>
      </c>
      <c r="BT150" s="444">
        <f t="shared" si="233"/>
        <v>52523</v>
      </c>
      <c r="BU150" s="444">
        <f t="shared" si="233"/>
        <v>32800</v>
      </c>
      <c r="BV150" s="445">
        <f t="shared" si="233"/>
        <v>10.493400000000001</v>
      </c>
      <c r="BW150" s="445">
        <f t="shared" si="233"/>
        <v>8.7263000000000002</v>
      </c>
      <c r="BX150" s="39">
        <f t="shared" si="233"/>
        <v>1.7670999999999999</v>
      </c>
      <c r="BY150" s="806">
        <f t="shared" si="233"/>
        <v>0</v>
      </c>
      <c r="BZ150" s="709">
        <f t="shared" si="233"/>
        <v>0</v>
      </c>
      <c r="CA150" s="709">
        <f t="shared" si="233"/>
        <v>0</v>
      </c>
      <c r="CB150" s="709">
        <f t="shared" si="233"/>
        <v>0</v>
      </c>
      <c r="CC150" s="709">
        <f t="shared" si="233"/>
        <v>0</v>
      </c>
      <c r="CD150" s="807">
        <f t="shared" si="233"/>
        <v>0</v>
      </c>
      <c r="CE150" s="919">
        <f t="shared" si="233"/>
        <v>234847</v>
      </c>
      <c r="CF150" s="920">
        <f t="shared" si="233"/>
        <v>166622</v>
      </c>
      <c r="CG150" s="920">
        <f t="shared" si="233"/>
        <v>56318</v>
      </c>
      <c r="CH150" s="920">
        <f t="shared" ref="CH150:CJ150" si="234">SUM(CH147:CH149)</f>
        <v>1666</v>
      </c>
      <c r="CI150" s="920">
        <f t="shared" si="234"/>
        <v>10241</v>
      </c>
      <c r="CJ150" s="921">
        <f t="shared" si="234"/>
        <v>0.56699999999999995</v>
      </c>
    </row>
    <row r="151" spans="1:88" s="221" customFormat="1">
      <c r="A151" s="209">
        <v>28</v>
      </c>
      <c r="B151" s="210">
        <v>4444</v>
      </c>
      <c r="C151" s="210">
        <v>600074731</v>
      </c>
      <c r="D151" s="210">
        <v>48282979</v>
      </c>
      <c r="E151" s="208" t="s">
        <v>200</v>
      </c>
      <c r="F151" s="210">
        <v>3113</v>
      </c>
      <c r="G151" s="165" t="s">
        <v>293</v>
      </c>
      <c r="H151" s="621" t="s">
        <v>271</v>
      </c>
      <c r="I151" s="510">
        <v>14798101</v>
      </c>
      <c r="J151" s="414">
        <v>10760149</v>
      </c>
      <c r="K151" s="414">
        <v>9516011</v>
      </c>
      <c r="L151" s="414">
        <v>1244138</v>
      </c>
      <c r="M151" s="414">
        <v>30000</v>
      </c>
      <c r="N151" s="414">
        <v>0</v>
      </c>
      <c r="O151" s="414">
        <v>30000</v>
      </c>
      <c r="P151" s="68">
        <v>3647070</v>
      </c>
      <c r="Q151" s="68">
        <v>107602</v>
      </c>
      <c r="R151" s="414">
        <v>253280</v>
      </c>
      <c r="S151" s="415">
        <v>17.0321</v>
      </c>
      <c r="T151" s="416">
        <v>13.5</v>
      </c>
      <c r="U151" s="422">
        <v>3.5320999999999998</v>
      </c>
      <c r="V151" s="423">
        <f t="shared" si="207"/>
        <v>0</v>
      </c>
      <c r="W151" s="417">
        <f t="shared" si="208"/>
        <v>-4000</v>
      </c>
      <c r="X151" s="417">
        <v>0</v>
      </c>
      <c r="Y151" s="417">
        <v>0</v>
      </c>
      <c r="Z151" s="417">
        <v>164443</v>
      </c>
      <c r="AA151" s="417">
        <v>0</v>
      </c>
      <c r="AB151" s="417">
        <v>0</v>
      </c>
      <c r="AC151" s="417">
        <v>0</v>
      </c>
      <c r="AD151" s="417">
        <v>0</v>
      </c>
      <c r="AE151" s="417">
        <f t="shared" si="209"/>
        <v>164443</v>
      </c>
      <c r="AF151" s="417">
        <f t="shared" si="210"/>
        <v>-4000</v>
      </c>
      <c r="AG151" s="417">
        <f t="shared" si="211"/>
        <v>160443</v>
      </c>
      <c r="AH151" s="417">
        <v>0</v>
      </c>
      <c r="AI151" s="417">
        <v>4000</v>
      </c>
      <c r="AJ151" s="417">
        <v>0</v>
      </c>
      <c r="AK151" s="417">
        <v>0</v>
      </c>
      <c r="AL151" s="417">
        <v>0</v>
      </c>
      <c r="AM151" s="417">
        <f t="shared" si="212"/>
        <v>0</v>
      </c>
      <c r="AN151" s="417">
        <f t="shared" si="213"/>
        <v>4000</v>
      </c>
      <c r="AO151" s="417">
        <f t="shared" si="214"/>
        <v>4000</v>
      </c>
      <c r="AP151" s="417">
        <f t="shared" si="215"/>
        <v>164443</v>
      </c>
      <c r="AQ151" s="417">
        <f t="shared" si="216"/>
        <v>0</v>
      </c>
      <c r="AR151" s="417">
        <f t="shared" si="217"/>
        <v>164443</v>
      </c>
      <c r="AS151" s="68">
        <f t="shared" si="218"/>
        <v>55582</v>
      </c>
      <c r="AT151" s="68">
        <f t="shared" si="219"/>
        <v>1604</v>
      </c>
      <c r="AU151" s="417">
        <v>0</v>
      </c>
      <c r="AV151" s="417">
        <v>0</v>
      </c>
      <c r="AW151" s="417">
        <v>0</v>
      </c>
      <c r="AX151" s="417">
        <f t="shared" si="220"/>
        <v>0</v>
      </c>
      <c r="AY151" s="417">
        <f t="shared" si="221"/>
        <v>221629</v>
      </c>
      <c r="AZ151" s="418">
        <v>0</v>
      </c>
      <c r="BA151" s="418">
        <v>-0.01</v>
      </c>
      <c r="BB151" s="418">
        <v>0</v>
      </c>
      <c r="BC151" s="418">
        <v>0.33</v>
      </c>
      <c r="BD151" s="418">
        <v>0</v>
      </c>
      <c r="BE151" s="418">
        <v>0</v>
      </c>
      <c r="BF151" s="418">
        <v>0</v>
      </c>
      <c r="BG151" s="418">
        <v>0</v>
      </c>
      <c r="BH151" s="418">
        <v>0</v>
      </c>
      <c r="BI151" s="418">
        <f t="shared" si="222"/>
        <v>0.33</v>
      </c>
      <c r="BJ151" s="418">
        <f t="shared" si="223"/>
        <v>-0.01</v>
      </c>
      <c r="BK151" s="420">
        <f t="shared" si="224"/>
        <v>0.32</v>
      </c>
      <c r="BL151" s="772">
        <f t="shared" ref="BL151:BL156" si="235">I151+AY151</f>
        <v>15019730</v>
      </c>
      <c r="BM151" s="417">
        <f t="shared" ref="BM151:BM156" si="236">J151+AG151</f>
        <v>10920592</v>
      </c>
      <c r="BN151" s="417">
        <f t="shared" ref="BN151:BO156" si="237">K151+AE151</f>
        <v>9680454</v>
      </c>
      <c r="BO151" s="417">
        <f t="shared" si="237"/>
        <v>1240138</v>
      </c>
      <c r="BP151" s="417">
        <f t="shared" ref="BP151:BP156" si="238">M151+AO151</f>
        <v>34000</v>
      </c>
      <c r="BQ151" s="417">
        <f t="shared" ref="BQ151:BR156" si="239">N151+AM151</f>
        <v>0</v>
      </c>
      <c r="BR151" s="417">
        <f t="shared" si="239"/>
        <v>34000</v>
      </c>
      <c r="BS151" s="417">
        <f t="shared" ref="BS151:BT156" si="240">P151+AS151</f>
        <v>3702652</v>
      </c>
      <c r="BT151" s="417">
        <f t="shared" si="240"/>
        <v>109206</v>
      </c>
      <c r="BU151" s="417">
        <f t="shared" ref="BU151:BU156" si="241">R151+AX151</f>
        <v>253280</v>
      </c>
      <c r="BV151" s="418">
        <f t="shared" ref="BV151:BV156" si="242">S151+BK151</f>
        <v>17.3521</v>
      </c>
      <c r="BW151" s="418">
        <f t="shared" ref="BW151:BX156" si="243">T151+BI151</f>
        <v>13.83</v>
      </c>
      <c r="BX151" s="420">
        <f t="shared" si="243"/>
        <v>3.5221</v>
      </c>
      <c r="BY151" s="419"/>
      <c r="BZ151" s="414"/>
      <c r="CA151" s="414"/>
      <c r="CB151" s="414"/>
      <c r="CC151" s="414"/>
      <c r="CD151" s="509"/>
      <c r="CE151" s="419">
        <v>612370</v>
      </c>
      <c r="CF151" s="414">
        <v>408960</v>
      </c>
      <c r="CG151" s="414">
        <v>138228</v>
      </c>
      <c r="CH151" s="414">
        <v>4090</v>
      </c>
      <c r="CI151" s="414">
        <v>61092</v>
      </c>
      <c r="CJ151" s="509">
        <v>1.1691</v>
      </c>
    </row>
    <row r="152" spans="1:88" s="221" customFormat="1">
      <c r="A152" s="209">
        <v>28</v>
      </c>
      <c r="B152" s="210">
        <v>4444</v>
      </c>
      <c r="C152" s="210">
        <v>600074731</v>
      </c>
      <c r="D152" s="210">
        <v>48282979</v>
      </c>
      <c r="E152" s="208" t="s">
        <v>200</v>
      </c>
      <c r="F152" s="210">
        <v>3113</v>
      </c>
      <c r="G152" s="165" t="s">
        <v>298</v>
      </c>
      <c r="H152" s="621" t="s">
        <v>272</v>
      </c>
      <c r="I152" s="510">
        <v>2682079</v>
      </c>
      <c r="J152" s="414">
        <v>1984479</v>
      </c>
      <c r="K152" s="414">
        <v>1984479</v>
      </c>
      <c r="L152" s="414">
        <v>0</v>
      </c>
      <c r="M152" s="414">
        <v>0</v>
      </c>
      <c r="N152" s="414">
        <v>0</v>
      </c>
      <c r="O152" s="414">
        <v>0</v>
      </c>
      <c r="P152" s="68">
        <v>670755</v>
      </c>
      <c r="Q152" s="68">
        <v>19845</v>
      </c>
      <c r="R152" s="414">
        <v>7000</v>
      </c>
      <c r="S152" s="415">
        <v>5.35</v>
      </c>
      <c r="T152" s="416">
        <v>5.35</v>
      </c>
      <c r="U152" s="422">
        <v>0</v>
      </c>
      <c r="V152" s="423">
        <f t="shared" si="207"/>
        <v>0</v>
      </c>
      <c r="W152" s="417">
        <f t="shared" si="208"/>
        <v>0</v>
      </c>
      <c r="X152" s="417">
        <v>-7725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 t="shared" si="209"/>
        <v>-7725</v>
      </c>
      <c r="AF152" s="417">
        <f t="shared" si="210"/>
        <v>0</v>
      </c>
      <c r="AG152" s="417">
        <f t="shared" si="211"/>
        <v>-7725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212"/>
        <v>0</v>
      </c>
      <c r="AN152" s="417">
        <f t="shared" si="213"/>
        <v>0</v>
      </c>
      <c r="AO152" s="417">
        <f t="shared" si="214"/>
        <v>0</v>
      </c>
      <c r="AP152" s="417">
        <f t="shared" si="215"/>
        <v>-7725</v>
      </c>
      <c r="AQ152" s="417">
        <f t="shared" si="216"/>
        <v>0</v>
      </c>
      <c r="AR152" s="417">
        <f t="shared" si="217"/>
        <v>-7725</v>
      </c>
      <c r="AS152" s="68">
        <f t="shared" si="218"/>
        <v>-2611</v>
      </c>
      <c r="AT152" s="68">
        <f t="shared" si="219"/>
        <v>-77</v>
      </c>
      <c r="AU152" s="417">
        <f>10000+2500</f>
        <v>12500</v>
      </c>
      <c r="AV152" s="417">
        <v>0</v>
      </c>
      <c r="AW152" s="417">
        <v>0</v>
      </c>
      <c r="AX152" s="417">
        <f t="shared" si="220"/>
        <v>12500</v>
      </c>
      <c r="AY152" s="417">
        <f t="shared" si="221"/>
        <v>2087</v>
      </c>
      <c r="AZ152" s="418">
        <v>0</v>
      </c>
      <c r="BA152" s="418">
        <v>0</v>
      </c>
      <c r="BB152" s="418">
        <v>-0.02</v>
      </c>
      <c r="BC152" s="418">
        <v>0</v>
      </c>
      <c r="BD152" s="418">
        <v>0</v>
      </c>
      <c r="BE152" s="418">
        <v>0</v>
      </c>
      <c r="BF152" s="418">
        <v>0</v>
      </c>
      <c r="BG152" s="418">
        <v>0</v>
      </c>
      <c r="BH152" s="418">
        <v>0</v>
      </c>
      <c r="BI152" s="418">
        <f t="shared" si="222"/>
        <v>-0.02</v>
      </c>
      <c r="BJ152" s="418">
        <f t="shared" si="223"/>
        <v>0</v>
      </c>
      <c r="BK152" s="420">
        <f t="shared" si="224"/>
        <v>-0.02</v>
      </c>
      <c r="BL152" s="772">
        <f t="shared" si="235"/>
        <v>2684166</v>
      </c>
      <c r="BM152" s="417">
        <f t="shared" si="236"/>
        <v>1976754</v>
      </c>
      <c r="BN152" s="417">
        <f t="shared" si="237"/>
        <v>1976754</v>
      </c>
      <c r="BO152" s="417">
        <f t="shared" si="237"/>
        <v>0</v>
      </c>
      <c r="BP152" s="417">
        <f t="shared" si="238"/>
        <v>0</v>
      </c>
      <c r="BQ152" s="417">
        <f t="shared" si="239"/>
        <v>0</v>
      </c>
      <c r="BR152" s="417">
        <f t="shared" si="239"/>
        <v>0</v>
      </c>
      <c r="BS152" s="417">
        <f t="shared" si="240"/>
        <v>668144</v>
      </c>
      <c r="BT152" s="417">
        <f t="shared" si="240"/>
        <v>19768</v>
      </c>
      <c r="BU152" s="417">
        <f t="shared" si="241"/>
        <v>19500</v>
      </c>
      <c r="BV152" s="418">
        <f t="shared" si="242"/>
        <v>5.33</v>
      </c>
      <c r="BW152" s="418">
        <f t="shared" si="243"/>
        <v>5.33</v>
      </c>
      <c r="BX152" s="420">
        <f t="shared" si="243"/>
        <v>0</v>
      </c>
      <c r="BY152" s="419"/>
      <c r="BZ152" s="414"/>
      <c r="CA152" s="414"/>
      <c r="CB152" s="414"/>
      <c r="CC152" s="414"/>
      <c r="CD152" s="509"/>
      <c r="CE152" s="419"/>
      <c r="CF152" s="414"/>
      <c r="CG152" s="414"/>
      <c r="CH152" s="414"/>
      <c r="CI152" s="414"/>
      <c r="CJ152" s="509"/>
    </row>
    <row r="153" spans="1:88" s="221" customFormat="1">
      <c r="A153" s="209">
        <v>28</v>
      </c>
      <c r="B153" s="210">
        <v>4444</v>
      </c>
      <c r="C153" s="210">
        <v>600074731</v>
      </c>
      <c r="D153" s="210">
        <v>48282979</v>
      </c>
      <c r="E153" s="208" t="s">
        <v>200</v>
      </c>
      <c r="F153" s="210">
        <v>3141</v>
      </c>
      <c r="G153" s="165" t="s">
        <v>294</v>
      </c>
      <c r="H153" s="621" t="s">
        <v>272</v>
      </c>
      <c r="I153" s="510">
        <v>2743290</v>
      </c>
      <c r="J153" s="414">
        <v>1993645</v>
      </c>
      <c r="K153" s="414">
        <v>0</v>
      </c>
      <c r="L153" s="414">
        <v>1993645</v>
      </c>
      <c r="M153" s="414">
        <v>30000</v>
      </c>
      <c r="N153" s="414">
        <v>0</v>
      </c>
      <c r="O153" s="414">
        <v>30000</v>
      </c>
      <c r="P153" s="68">
        <v>683992</v>
      </c>
      <c r="Q153" s="68">
        <v>19937</v>
      </c>
      <c r="R153" s="414">
        <v>15716</v>
      </c>
      <c r="S153" s="415">
        <v>5.96</v>
      </c>
      <c r="T153" s="416">
        <v>0</v>
      </c>
      <c r="U153" s="422">
        <v>5.96</v>
      </c>
      <c r="V153" s="423">
        <f t="shared" si="207"/>
        <v>0</v>
      </c>
      <c r="W153" s="417">
        <f t="shared" si="208"/>
        <v>-15000</v>
      </c>
      <c r="X153" s="417">
        <v>0</v>
      </c>
      <c r="Y153" s="417">
        <v>0</v>
      </c>
      <c r="Z153" s="417">
        <v>0</v>
      </c>
      <c r="AA153" s="417">
        <v>-31021</v>
      </c>
      <c r="AB153" s="417">
        <v>0</v>
      </c>
      <c r="AC153" s="417">
        <v>0</v>
      </c>
      <c r="AD153" s="417">
        <v>0</v>
      </c>
      <c r="AE153" s="417">
        <f t="shared" si="209"/>
        <v>0</v>
      </c>
      <c r="AF153" s="417">
        <f t="shared" si="210"/>
        <v>-46021</v>
      </c>
      <c r="AG153" s="417">
        <f t="shared" si="211"/>
        <v>-46021</v>
      </c>
      <c r="AH153" s="417">
        <v>0</v>
      </c>
      <c r="AI153" s="417">
        <v>15000</v>
      </c>
      <c r="AJ153" s="417">
        <v>0</v>
      </c>
      <c r="AK153" s="417">
        <v>0</v>
      </c>
      <c r="AL153" s="417">
        <v>0</v>
      </c>
      <c r="AM153" s="417">
        <f t="shared" si="212"/>
        <v>0</v>
      </c>
      <c r="AN153" s="417">
        <f t="shared" si="213"/>
        <v>15000</v>
      </c>
      <c r="AO153" s="417">
        <f t="shared" si="214"/>
        <v>15000</v>
      </c>
      <c r="AP153" s="417">
        <f t="shared" si="215"/>
        <v>0</v>
      </c>
      <c r="AQ153" s="417">
        <f t="shared" si="216"/>
        <v>-31021</v>
      </c>
      <c r="AR153" s="417">
        <f t="shared" si="217"/>
        <v>-31021</v>
      </c>
      <c r="AS153" s="68">
        <f t="shared" si="218"/>
        <v>-10485</v>
      </c>
      <c r="AT153" s="68">
        <f t="shared" si="219"/>
        <v>-460</v>
      </c>
      <c r="AU153" s="417">
        <v>0</v>
      </c>
      <c r="AV153" s="417">
        <v>0</v>
      </c>
      <c r="AW153" s="417">
        <v>0</v>
      </c>
      <c r="AX153" s="417">
        <f t="shared" si="220"/>
        <v>0</v>
      </c>
      <c r="AY153" s="417">
        <f t="shared" si="221"/>
        <v>-41966</v>
      </c>
      <c r="AZ153" s="418">
        <v>0</v>
      </c>
      <c r="BA153" s="418">
        <v>-0.05</v>
      </c>
      <c r="BB153" s="418">
        <v>0</v>
      </c>
      <c r="BC153" s="418">
        <v>0</v>
      </c>
      <c r="BD153" s="418">
        <v>-0.09</v>
      </c>
      <c r="BE153" s="418">
        <v>0</v>
      </c>
      <c r="BF153" s="418">
        <v>0</v>
      </c>
      <c r="BG153" s="418">
        <v>0</v>
      </c>
      <c r="BH153" s="418">
        <v>0</v>
      </c>
      <c r="BI153" s="418">
        <f t="shared" si="222"/>
        <v>0</v>
      </c>
      <c r="BJ153" s="418">
        <f t="shared" si="223"/>
        <v>-0.14000000000000001</v>
      </c>
      <c r="BK153" s="420">
        <f t="shared" si="224"/>
        <v>-0.14000000000000001</v>
      </c>
      <c r="BL153" s="772">
        <f t="shared" si="235"/>
        <v>2701324</v>
      </c>
      <c r="BM153" s="417">
        <f t="shared" si="236"/>
        <v>1947624</v>
      </c>
      <c r="BN153" s="417">
        <f t="shared" si="237"/>
        <v>0</v>
      </c>
      <c r="BO153" s="417">
        <f t="shared" si="237"/>
        <v>1947624</v>
      </c>
      <c r="BP153" s="417">
        <f t="shared" si="238"/>
        <v>45000</v>
      </c>
      <c r="BQ153" s="417">
        <f t="shared" si="239"/>
        <v>0</v>
      </c>
      <c r="BR153" s="417">
        <f t="shared" si="239"/>
        <v>45000</v>
      </c>
      <c r="BS153" s="417">
        <f t="shared" si="240"/>
        <v>673507</v>
      </c>
      <c r="BT153" s="417">
        <f t="shared" si="240"/>
        <v>19477</v>
      </c>
      <c r="BU153" s="417">
        <f t="shared" si="241"/>
        <v>15716</v>
      </c>
      <c r="BV153" s="418">
        <f t="shared" si="242"/>
        <v>5.82</v>
      </c>
      <c r="BW153" s="418">
        <f t="shared" si="243"/>
        <v>0</v>
      </c>
      <c r="BX153" s="420">
        <f t="shared" si="243"/>
        <v>5.82</v>
      </c>
      <c r="BY153" s="419"/>
      <c r="BZ153" s="414"/>
      <c r="CA153" s="414"/>
      <c r="CB153" s="414"/>
      <c r="CC153" s="414"/>
      <c r="CD153" s="509"/>
      <c r="CE153" s="419"/>
      <c r="CF153" s="601"/>
      <c r="CG153" s="414"/>
      <c r="CH153" s="414"/>
      <c r="CI153" s="601"/>
      <c r="CJ153" s="603"/>
    </row>
    <row r="154" spans="1:88" s="221" customFormat="1">
      <c r="A154" s="209">
        <v>28</v>
      </c>
      <c r="B154" s="210">
        <v>4444</v>
      </c>
      <c r="C154" s="210">
        <v>600074731</v>
      </c>
      <c r="D154" s="210">
        <v>48282979</v>
      </c>
      <c r="E154" s="208" t="s">
        <v>200</v>
      </c>
      <c r="F154" s="210">
        <v>3143</v>
      </c>
      <c r="G154" s="165" t="s">
        <v>595</v>
      </c>
      <c r="H154" s="609" t="s">
        <v>271</v>
      </c>
      <c r="I154" s="510">
        <v>1712373</v>
      </c>
      <c r="J154" s="414">
        <v>1166085</v>
      </c>
      <c r="K154" s="414">
        <v>1166085</v>
      </c>
      <c r="L154" s="414">
        <v>0</v>
      </c>
      <c r="M154" s="414">
        <v>105000</v>
      </c>
      <c r="N154" s="414">
        <v>105000</v>
      </c>
      <c r="O154" s="414">
        <v>0</v>
      </c>
      <c r="P154" s="68">
        <v>429627</v>
      </c>
      <c r="Q154" s="68">
        <v>11661</v>
      </c>
      <c r="R154" s="414">
        <v>0</v>
      </c>
      <c r="S154" s="415">
        <v>2.4</v>
      </c>
      <c r="T154" s="416">
        <v>2.4</v>
      </c>
      <c r="U154" s="422">
        <v>0</v>
      </c>
      <c r="V154" s="423">
        <f t="shared" si="207"/>
        <v>39000</v>
      </c>
      <c r="W154" s="417">
        <f t="shared" si="208"/>
        <v>0</v>
      </c>
      <c r="X154" s="417">
        <v>0</v>
      </c>
      <c r="Y154" s="417">
        <v>0</v>
      </c>
      <c r="Z154" s="417">
        <v>-21250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209"/>
        <v>17750</v>
      </c>
      <c r="AF154" s="417">
        <f t="shared" si="210"/>
        <v>0</v>
      </c>
      <c r="AG154" s="417">
        <f t="shared" si="211"/>
        <v>17750</v>
      </c>
      <c r="AH154" s="417">
        <v>-39000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212"/>
        <v>-39000</v>
      </c>
      <c r="AN154" s="417">
        <f t="shared" si="213"/>
        <v>0</v>
      </c>
      <c r="AO154" s="417">
        <f t="shared" si="214"/>
        <v>-39000</v>
      </c>
      <c r="AP154" s="417">
        <f t="shared" si="215"/>
        <v>-21250</v>
      </c>
      <c r="AQ154" s="417">
        <f t="shared" si="216"/>
        <v>0</v>
      </c>
      <c r="AR154" s="417">
        <f t="shared" si="217"/>
        <v>-21250</v>
      </c>
      <c r="AS154" s="68">
        <f t="shared" si="218"/>
        <v>-7183</v>
      </c>
      <c r="AT154" s="68">
        <f t="shared" si="219"/>
        <v>178</v>
      </c>
      <c r="AU154" s="417">
        <v>0</v>
      </c>
      <c r="AV154" s="417">
        <v>0</v>
      </c>
      <c r="AW154" s="417">
        <v>0</v>
      </c>
      <c r="AX154" s="417">
        <f t="shared" si="220"/>
        <v>0</v>
      </c>
      <c r="AY154" s="417">
        <f t="shared" si="221"/>
        <v>-28255</v>
      </c>
      <c r="AZ154" s="418">
        <v>0.09</v>
      </c>
      <c r="BA154" s="418">
        <v>0</v>
      </c>
      <c r="BB154" s="418">
        <v>0</v>
      </c>
      <c r="BC154" s="418">
        <v>-0.05</v>
      </c>
      <c r="BD154" s="418">
        <v>0</v>
      </c>
      <c r="BE154" s="418">
        <v>0</v>
      </c>
      <c r="BF154" s="418">
        <v>0</v>
      </c>
      <c r="BG154" s="418">
        <v>0</v>
      </c>
      <c r="BH154" s="418">
        <v>0</v>
      </c>
      <c r="BI154" s="418">
        <f t="shared" si="222"/>
        <v>3.9999999999999994E-2</v>
      </c>
      <c r="BJ154" s="418">
        <f t="shared" si="223"/>
        <v>0</v>
      </c>
      <c r="BK154" s="420">
        <f t="shared" si="224"/>
        <v>3.9999999999999994E-2</v>
      </c>
      <c r="BL154" s="772">
        <f t="shared" si="235"/>
        <v>1684118</v>
      </c>
      <c r="BM154" s="417">
        <f t="shared" si="236"/>
        <v>1183835</v>
      </c>
      <c r="BN154" s="417">
        <f t="shared" si="237"/>
        <v>1183835</v>
      </c>
      <c r="BO154" s="417">
        <f t="shared" si="237"/>
        <v>0</v>
      </c>
      <c r="BP154" s="417">
        <f t="shared" si="238"/>
        <v>66000</v>
      </c>
      <c r="BQ154" s="417">
        <f t="shared" si="239"/>
        <v>66000</v>
      </c>
      <c r="BR154" s="417">
        <f t="shared" si="239"/>
        <v>0</v>
      </c>
      <c r="BS154" s="417">
        <f t="shared" si="240"/>
        <v>422444</v>
      </c>
      <c r="BT154" s="417">
        <f t="shared" si="240"/>
        <v>11839</v>
      </c>
      <c r="BU154" s="417">
        <f t="shared" si="241"/>
        <v>0</v>
      </c>
      <c r="BV154" s="418">
        <f t="shared" si="242"/>
        <v>2.44</v>
      </c>
      <c r="BW154" s="418">
        <f t="shared" si="243"/>
        <v>2.44</v>
      </c>
      <c r="BX154" s="420">
        <f t="shared" si="243"/>
        <v>0</v>
      </c>
      <c r="BY154" s="419"/>
      <c r="BZ154" s="414"/>
      <c r="CA154" s="414"/>
      <c r="CB154" s="414"/>
      <c r="CC154" s="414"/>
      <c r="CD154" s="509"/>
      <c r="CE154" s="419"/>
      <c r="CF154" s="414"/>
      <c r="CG154" s="414"/>
      <c r="CH154" s="414"/>
      <c r="CI154" s="414"/>
      <c r="CJ154" s="509"/>
    </row>
    <row r="155" spans="1:88" s="221" customFormat="1">
      <c r="A155" s="209">
        <v>28</v>
      </c>
      <c r="B155" s="210">
        <v>4444</v>
      </c>
      <c r="C155" s="210">
        <v>600074731</v>
      </c>
      <c r="D155" s="210">
        <v>48282979</v>
      </c>
      <c r="E155" s="208" t="s">
        <v>200</v>
      </c>
      <c r="F155" s="210">
        <v>3143</v>
      </c>
      <c r="G155" s="165" t="s">
        <v>596</v>
      </c>
      <c r="H155" s="609" t="s">
        <v>272</v>
      </c>
      <c r="I155" s="510">
        <v>48410</v>
      </c>
      <c r="J155" s="414">
        <v>34650</v>
      </c>
      <c r="K155" s="414">
        <v>0</v>
      </c>
      <c r="L155" s="414">
        <v>34650</v>
      </c>
      <c r="M155" s="414">
        <v>0</v>
      </c>
      <c r="N155" s="414">
        <v>0</v>
      </c>
      <c r="O155" s="414">
        <v>0</v>
      </c>
      <c r="P155" s="68">
        <v>11712</v>
      </c>
      <c r="Q155" s="68">
        <v>347</v>
      </c>
      <c r="R155" s="414">
        <v>1701</v>
      </c>
      <c r="S155" s="415">
        <v>0.13</v>
      </c>
      <c r="T155" s="416">
        <v>0</v>
      </c>
      <c r="U155" s="422">
        <v>0.13</v>
      </c>
      <c r="V155" s="423">
        <f t="shared" si="207"/>
        <v>0</v>
      </c>
      <c r="W155" s="417">
        <f t="shared" si="208"/>
        <v>0</v>
      </c>
      <c r="X155" s="417">
        <v>0</v>
      </c>
      <c r="Y155" s="417">
        <v>0</v>
      </c>
      <c r="Z155" s="417">
        <v>0</v>
      </c>
      <c r="AA155" s="417">
        <v>0</v>
      </c>
      <c r="AB155" s="417">
        <v>0</v>
      </c>
      <c r="AC155" s="417">
        <v>0</v>
      </c>
      <c r="AD155" s="417">
        <v>0</v>
      </c>
      <c r="AE155" s="417">
        <f t="shared" si="209"/>
        <v>0</v>
      </c>
      <c r="AF155" s="417">
        <f t="shared" si="210"/>
        <v>0</v>
      </c>
      <c r="AG155" s="417">
        <f t="shared" si="211"/>
        <v>0</v>
      </c>
      <c r="AH155" s="417">
        <v>0</v>
      </c>
      <c r="AI155" s="417">
        <v>0</v>
      </c>
      <c r="AJ155" s="417">
        <v>0</v>
      </c>
      <c r="AK155" s="417">
        <v>0</v>
      </c>
      <c r="AL155" s="417">
        <v>0</v>
      </c>
      <c r="AM155" s="417">
        <f t="shared" si="212"/>
        <v>0</v>
      </c>
      <c r="AN155" s="417">
        <f t="shared" si="213"/>
        <v>0</v>
      </c>
      <c r="AO155" s="417">
        <f t="shared" si="214"/>
        <v>0</v>
      </c>
      <c r="AP155" s="417">
        <f t="shared" si="215"/>
        <v>0</v>
      </c>
      <c r="AQ155" s="417">
        <f t="shared" si="216"/>
        <v>0</v>
      </c>
      <c r="AR155" s="417">
        <f t="shared" si="217"/>
        <v>0</v>
      </c>
      <c r="AS155" s="68">
        <f t="shared" si="218"/>
        <v>0</v>
      </c>
      <c r="AT155" s="68">
        <f t="shared" si="219"/>
        <v>0</v>
      </c>
      <c r="AU155" s="417">
        <v>0</v>
      </c>
      <c r="AV155" s="417">
        <v>0</v>
      </c>
      <c r="AW155" s="417">
        <v>0</v>
      </c>
      <c r="AX155" s="417">
        <f t="shared" si="220"/>
        <v>0</v>
      </c>
      <c r="AY155" s="417">
        <f t="shared" si="221"/>
        <v>0</v>
      </c>
      <c r="AZ155" s="418">
        <v>0</v>
      </c>
      <c r="BA155" s="418">
        <v>0</v>
      </c>
      <c r="BB155" s="418">
        <v>0</v>
      </c>
      <c r="BC155" s="418">
        <v>0</v>
      </c>
      <c r="BD155" s="418">
        <v>0</v>
      </c>
      <c r="BE155" s="418">
        <v>0</v>
      </c>
      <c r="BF155" s="418">
        <v>0</v>
      </c>
      <c r="BG155" s="418">
        <v>0</v>
      </c>
      <c r="BH155" s="418">
        <v>0</v>
      </c>
      <c r="BI155" s="418">
        <f t="shared" si="222"/>
        <v>0</v>
      </c>
      <c r="BJ155" s="418">
        <f t="shared" si="223"/>
        <v>0</v>
      </c>
      <c r="BK155" s="420">
        <f t="shared" si="224"/>
        <v>0</v>
      </c>
      <c r="BL155" s="772">
        <f t="shared" si="235"/>
        <v>48410</v>
      </c>
      <c r="BM155" s="417">
        <f t="shared" si="236"/>
        <v>34650</v>
      </c>
      <c r="BN155" s="417">
        <f t="shared" si="237"/>
        <v>0</v>
      </c>
      <c r="BO155" s="417">
        <f t="shared" si="237"/>
        <v>34650</v>
      </c>
      <c r="BP155" s="417">
        <f t="shared" si="238"/>
        <v>0</v>
      </c>
      <c r="BQ155" s="417">
        <f t="shared" si="239"/>
        <v>0</v>
      </c>
      <c r="BR155" s="417">
        <f t="shared" si="239"/>
        <v>0</v>
      </c>
      <c r="BS155" s="417">
        <f t="shared" si="240"/>
        <v>11712</v>
      </c>
      <c r="BT155" s="417">
        <f t="shared" si="240"/>
        <v>347</v>
      </c>
      <c r="BU155" s="417">
        <f t="shared" si="241"/>
        <v>1701</v>
      </c>
      <c r="BV155" s="418">
        <f t="shared" si="242"/>
        <v>0.13</v>
      </c>
      <c r="BW155" s="418">
        <f t="shared" si="243"/>
        <v>0</v>
      </c>
      <c r="BX155" s="420">
        <f t="shared" si="243"/>
        <v>0.13</v>
      </c>
      <c r="BY155" s="419"/>
      <c r="BZ155" s="414"/>
      <c r="CA155" s="414"/>
      <c r="CB155" s="414"/>
      <c r="CC155" s="414"/>
      <c r="CD155" s="509"/>
      <c r="CE155" s="419"/>
      <c r="CF155" s="601"/>
      <c r="CG155" s="414"/>
      <c r="CH155" s="414"/>
      <c r="CI155" s="602"/>
      <c r="CJ155" s="603"/>
    </row>
    <row r="156" spans="1:88" s="221" customFormat="1">
      <c r="A156" s="209">
        <v>28</v>
      </c>
      <c r="B156" s="210">
        <v>4444</v>
      </c>
      <c r="C156" s="210">
        <v>600074731</v>
      </c>
      <c r="D156" s="210">
        <v>48282979</v>
      </c>
      <c r="E156" s="208" t="s">
        <v>200</v>
      </c>
      <c r="F156" s="210">
        <v>3143</v>
      </c>
      <c r="G156" s="165" t="s">
        <v>296</v>
      </c>
      <c r="H156" s="609" t="s">
        <v>272</v>
      </c>
      <c r="I156" s="510">
        <v>80130</v>
      </c>
      <c r="J156" s="414">
        <v>59310</v>
      </c>
      <c r="K156" s="414">
        <v>53810</v>
      </c>
      <c r="L156" s="414">
        <v>5500</v>
      </c>
      <c r="M156" s="414">
        <v>0</v>
      </c>
      <c r="N156" s="414">
        <v>0</v>
      </c>
      <c r="O156" s="414">
        <v>0</v>
      </c>
      <c r="P156" s="68">
        <v>20047</v>
      </c>
      <c r="Q156" s="68">
        <v>593</v>
      </c>
      <c r="R156" s="414">
        <v>180</v>
      </c>
      <c r="S156" s="415">
        <v>0.13</v>
      </c>
      <c r="T156" s="416">
        <v>0.11</v>
      </c>
      <c r="U156" s="422">
        <v>0.02</v>
      </c>
      <c r="V156" s="423">
        <f t="shared" si="207"/>
        <v>0</v>
      </c>
      <c r="W156" s="417">
        <f t="shared" si="208"/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 t="shared" si="209"/>
        <v>0</v>
      </c>
      <c r="AF156" s="417">
        <f t="shared" si="210"/>
        <v>0</v>
      </c>
      <c r="AG156" s="417">
        <f t="shared" si="211"/>
        <v>0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12"/>
        <v>0</v>
      </c>
      <c r="AN156" s="417">
        <f t="shared" si="213"/>
        <v>0</v>
      </c>
      <c r="AO156" s="417">
        <f t="shared" si="214"/>
        <v>0</v>
      </c>
      <c r="AP156" s="417">
        <f t="shared" si="215"/>
        <v>0</v>
      </c>
      <c r="AQ156" s="417">
        <f t="shared" si="216"/>
        <v>0</v>
      </c>
      <c r="AR156" s="417">
        <f t="shared" si="217"/>
        <v>0</v>
      </c>
      <c r="AS156" s="68">
        <f t="shared" si="218"/>
        <v>0</v>
      </c>
      <c r="AT156" s="68">
        <f t="shared" si="219"/>
        <v>0</v>
      </c>
      <c r="AU156" s="417">
        <v>0</v>
      </c>
      <c r="AV156" s="417">
        <v>0</v>
      </c>
      <c r="AW156" s="417">
        <v>0</v>
      </c>
      <c r="AX156" s="417">
        <f t="shared" si="220"/>
        <v>0</v>
      </c>
      <c r="AY156" s="417">
        <f t="shared" si="221"/>
        <v>0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418">
        <v>0</v>
      </c>
      <c r="BG156" s="418">
        <v>0</v>
      </c>
      <c r="BH156" s="418">
        <v>0</v>
      </c>
      <c r="BI156" s="418">
        <f t="shared" si="222"/>
        <v>0</v>
      </c>
      <c r="BJ156" s="418">
        <f t="shared" si="223"/>
        <v>0</v>
      </c>
      <c r="BK156" s="420">
        <f t="shared" si="224"/>
        <v>0</v>
      </c>
      <c r="BL156" s="772">
        <f t="shared" si="235"/>
        <v>80130</v>
      </c>
      <c r="BM156" s="417">
        <f t="shared" si="236"/>
        <v>59310</v>
      </c>
      <c r="BN156" s="417">
        <f t="shared" si="237"/>
        <v>53810</v>
      </c>
      <c r="BO156" s="417">
        <f t="shared" si="237"/>
        <v>5500</v>
      </c>
      <c r="BP156" s="417">
        <f t="shared" si="238"/>
        <v>0</v>
      </c>
      <c r="BQ156" s="417">
        <f t="shared" si="239"/>
        <v>0</v>
      </c>
      <c r="BR156" s="417">
        <f t="shared" si="239"/>
        <v>0</v>
      </c>
      <c r="BS156" s="417">
        <f t="shared" si="240"/>
        <v>20047</v>
      </c>
      <c r="BT156" s="417">
        <f t="shared" si="240"/>
        <v>593</v>
      </c>
      <c r="BU156" s="417">
        <f t="shared" si="241"/>
        <v>180</v>
      </c>
      <c r="BV156" s="418">
        <f t="shared" si="242"/>
        <v>0.13</v>
      </c>
      <c r="BW156" s="418">
        <f t="shared" si="243"/>
        <v>0.11</v>
      </c>
      <c r="BX156" s="420">
        <f t="shared" si="243"/>
        <v>0.02</v>
      </c>
      <c r="BY156" s="419"/>
      <c r="BZ156" s="414"/>
      <c r="CA156" s="414"/>
      <c r="CB156" s="414"/>
      <c r="CC156" s="414"/>
      <c r="CD156" s="509"/>
      <c r="CE156" s="419"/>
      <c r="CF156" s="601"/>
      <c r="CG156" s="414"/>
      <c r="CH156" s="414"/>
      <c r="CI156" s="602"/>
      <c r="CJ156" s="603"/>
    </row>
    <row r="157" spans="1:88" s="221" customFormat="1">
      <c r="A157" s="155">
        <v>28</v>
      </c>
      <c r="B157" s="18">
        <v>4444</v>
      </c>
      <c r="C157" s="18">
        <v>600074731</v>
      </c>
      <c r="D157" s="18">
        <v>48282979</v>
      </c>
      <c r="E157" s="164" t="s">
        <v>201</v>
      </c>
      <c r="F157" s="18"/>
      <c r="G157" s="154"/>
      <c r="H157" s="608"/>
      <c r="I157" s="451">
        <v>22064383</v>
      </c>
      <c r="J157" s="444">
        <v>15998318</v>
      </c>
      <c r="K157" s="444">
        <v>12720385</v>
      </c>
      <c r="L157" s="444">
        <v>3277933</v>
      </c>
      <c r="M157" s="444">
        <v>165000</v>
      </c>
      <c r="N157" s="444">
        <v>105000</v>
      </c>
      <c r="O157" s="444">
        <v>60000</v>
      </c>
      <c r="P157" s="444">
        <v>5463203</v>
      </c>
      <c r="Q157" s="444">
        <v>159985</v>
      </c>
      <c r="R157" s="444">
        <v>277877</v>
      </c>
      <c r="S157" s="445">
        <v>31.002099999999999</v>
      </c>
      <c r="T157" s="445">
        <v>21.36</v>
      </c>
      <c r="U157" s="449">
        <v>9.642100000000001</v>
      </c>
      <c r="V157" s="447">
        <f t="shared" ref="V157:CG157" si="244">SUM(V151:V156)</f>
        <v>39000</v>
      </c>
      <c r="W157" s="444">
        <f t="shared" si="244"/>
        <v>-19000</v>
      </c>
      <c r="X157" s="444">
        <f t="shared" si="244"/>
        <v>-7725</v>
      </c>
      <c r="Y157" s="444">
        <f t="shared" si="244"/>
        <v>0</v>
      </c>
      <c r="Z157" s="444">
        <f t="shared" si="244"/>
        <v>143193</v>
      </c>
      <c r="AA157" s="444">
        <f t="shared" si="244"/>
        <v>-31021</v>
      </c>
      <c r="AB157" s="444">
        <f t="shared" si="244"/>
        <v>0</v>
      </c>
      <c r="AC157" s="444">
        <f t="shared" si="244"/>
        <v>0</v>
      </c>
      <c r="AD157" s="444">
        <f t="shared" si="244"/>
        <v>0</v>
      </c>
      <c r="AE157" s="444">
        <f t="shared" si="244"/>
        <v>174468</v>
      </c>
      <c r="AF157" s="444">
        <f t="shared" si="244"/>
        <v>-50021</v>
      </c>
      <c r="AG157" s="444">
        <f t="shared" si="244"/>
        <v>124447</v>
      </c>
      <c r="AH157" s="444">
        <f t="shared" si="244"/>
        <v>-39000</v>
      </c>
      <c r="AI157" s="444">
        <f t="shared" si="244"/>
        <v>19000</v>
      </c>
      <c r="AJ157" s="444">
        <f t="shared" si="244"/>
        <v>0</v>
      </c>
      <c r="AK157" s="444">
        <f t="shared" si="244"/>
        <v>0</v>
      </c>
      <c r="AL157" s="444">
        <f t="shared" si="244"/>
        <v>0</v>
      </c>
      <c r="AM157" s="444">
        <f t="shared" si="244"/>
        <v>-39000</v>
      </c>
      <c r="AN157" s="444">
        <f t="shared" si="244"/>
        <v>19000</v>
      </c>
      <c r="AO157" s="444">
        <f t="shared" si="244"/>
        <v>-20000</v>
      </c>
      <c r="AP157" s="444">
        <f t="shared" si="244"/>
        <v>135468</v>
      </c>
      <c r="AQ157" s="444">
        <f t="shared" si="244"/>
        <v>-31021</v>
      </c>
      <c r="AR157" s="444">
        <f t="shared" si="244"/>
        <v>104447</v>
      </c>
      <c r="AS157" s="444">
        <f t="shared" si="244"/>
        <v>35303</v>
      </c>
      <c r="AT157" s="444">
        <f t="shared" si="244"/>
        <v>1245</v>
      </c>
      <c r="AU157" s="444">
        <f t="shared" si="244"/>
        <v>12500</v>
      </c>
      <c r="AV157" s="444">
        <f t="shared" si="244"/>
        <v>0</v>
      </c>
      <c r="AW157" s="444">
        <f t="shared" si="244"/>
        <v>0</v>
      </c>
      <c r="AX157" s="444">
        <f t="shared" si="244"/>
        <v>12500</v>
      </c>
      <c r="AY157" s="444">
        <f t="shared" si="244"/>
        <v>153495</v>
      </c>
      <c r="AZ157" s="445">
        <f t="shared" si="244"/>
        <v>0.09</v>
      </c>
      <c r="BA157" s="445">
        <f t="shared" si="244"/>
        <v>-6.0000000000000005E-2</v>
      </c>
      <c r="BB157" s="445">
        <f t="shared" si="244"/>
        <v>-0.02</v>
      </c>
      <c r="BC157" s="445">
        <f t="shared" si="244"/>
        <v>0.28000000000000003</v>
      </c>
      <c r="BD157" s="445">
        <f t="shared" si="244"/>
        <v>-0.09</v>
      </c>
      <c r="BE157" s="445">
        <f t="shared" si="244"/>
        <v>0</v>
      </c>
      <c r="BF157" s="445">
        <f t="shared" si="244"/>
        <v>0</v>
      </c>
      <c r="BG157" s="445">
        <f t="shared" si="244"/>
        <v>0</v>
      </c>
      <c r="BH157" s="445">
        <f t="shared" si="244"/>
        <v>0</v>
      </c>
      <c r="BI157" s="445">
        <f t="shared" si="244"/>
        <v>0.35</v>
      </c>
      <c r="BJ157" s="445">
        <f t="shared" si="244"/>
        <v>-0.15000000000000002</v>
      </c>
      <c r="BK157" s="39">
        <f t="shared" si="244"/>
        <v>0.19999999999999996</v>
      </c>
      <c r="BL157" s="451">
        <f t="shared" si="244"/>
        <v>22217878</v>
      </c>
      <c r="BM157" s="444">
        <f t="shared" si="244"/>
        <v>16122765</v>
      </c>
      <c r="BN157" s="444">
        <f t="shared" si="244"/>
        <v>12894853</v>
      </c>
      <c r="BO157" s="444">
        <f t="shared" si="244"/>
        <v>3227912</v>
      </c>
      <c r="BP157" s="444">
        <f t="shared" si="244"/>
        <v>145000</v>
      </c>
      <c r="BQ157" s="444">
        <f t="shared" si="244"/>
        <v>66000</v>
      </c>
      <c r="BR157" s="444">
        <f t="shared" si="244"/>
        <v>79000</v>
      </c>
      <c r="BS157" s="444">
        <f t="shared" si="244"/>
        <v>5498506</v>
      </c>
      <c r="BT157" s="444">
        <f t="shared" si="244"/>
        <v>161230</v>
      </c>
      <c r="BU157" s="444">
        <f t="shared" si="244"/>
        <v>290377</v>
      </c>
      <c r="BV157" s="445">
        <f t="shared" si="244"/>
        <v>31.202099999999998</v>
      </c>
      <c r="BW157" s="445">
        <f t="shared" si="244"/>
        <v>21.71</v>
      </c>
      <c r="BX157" s="39">
        <f t="shared" si="244"/>
        <v>9.4921000000000006</v>
      </c>
      <c r="BY157" s="806">
        <f t="shared" si="244"/>
        <v>0</v>
      </c>
      <c r="BZ157" s="709">
        <f t="shared" si="244"/>
        <v>0</v>
      </c>
      <c r="CA157" s="709">
        <f t="shared" si="244"/>
        <v>0</v>
      </c>
      <c r="CB157" s="709">
        <f t="shared" si="244"/>
        <v>0</v>
      </c>
      <c r="CC157" s="709">
        <f t="shared" si="244"/>
        <v>0</v>
      </c>
      <c r="CD157" s="807">
        <f t="shared" si="244"/>
        <v>0</v>
      </c>
      <c r="CE157" s="919">
        <f t="shared" si="244"/>
        <v>612370</v>
      </c>
      <c r="CF157" s="920">
        <f t="shared" si="244"/>
        <v>408960</v>
      </c>
      <c r="CG157" s="920">
        <f t="shared" si="244"/>
        <v>138228</v>
      </c>
      <c r="CH157" s="920">
        <f t="shared" ref="CH157:CJ157" si="245">SUM(CH151:CH156)</f>
        <v>4090</v>
      </c>
      <c r="CI157" s="920">
        <f t="shared" si="245"/>
        <v>61092</v>
      </c>
      <c r="CJ157" s="921">
        <f t="shared" si="245"/>
        <v>1.1691</v>
      </c>
    </row>
    <row r="158" spans="1:88" s="221" customFormat="1" ht="12.75" customHeight="1">
      <c r="A158" s="209">
        <v>29</v>
      </c>
      <c r="B158" s="210">
        <v>4445</v>
      </c>
      <c r="C158" s="210">
        <v>600075044</v>
      </c>
      <c r="D158" s="210">
        <v>72742631</v>
      </c>
      <c r="E158" s="208" t="s">
        <v>202</v>
      </c>
      <c r="F158" s="210">
        <v>3111</v>
      </c>
      <c r="G158" s="165" t="s">
        <v>290</v>
      </c>
      <c r="H158" s="621" t="s">
        <v>271</v>
      </c>
      <c r="I158" s="510">
        <v>3029972</v>
      </c>
      <c r="J158" s="414">
        <v>2240336</v>
      </c>
      <c r="K158" s="414">
        <v>2063918</v>
      </c>
      <c r="L158" s="414">
        <v>176418</v>
      </c>
      <c r="M158" s="414">
        <v>0</v>
      </c>
      <c r="N158" s="414">
        <v>0</v>
      </c>
      <c r="O158" s="414">
        <v>0</v>
      </c>
      <c r="P158" s="68">
        <v>757233</v>
      </c>
      <c r="Q158" s="68">
        <v>22403</v>
      </c>
      <c r="R158" s="414">
        <v>10000</v>
      </c>
      <c r="S158" s="415">
        <v>4.7068000000000003</v>
      </c>
      <c r="T158" s="416">
        <v>4</v>
      </c>
      <c r="U158" s="422">
        <v>0.70679999999999998</v>
      </c>
      <c r="V158" s="423">
        <f t="shared" si="207"/>
        <v>0</v>
      </c>
      <c r="W158" s="417">
        <f t="shared" si="208"/>
        <v>0</v>
      </c>
      <c r="X158" s="417">
        <v>0</v>
      </c>
      <c r="Y158" s="417">
        <v>0</v>
      </c>
      <c r="Z158" s="417">
        <v>0</v>
      </c>
      <c r="AA158" s="417">
        <v>0</v>
      </c>
      <c r="AB158" s="417">
        <v>0</v>
      </c>
      <c r="AC158" s="417">
        <v>0</v>
      </c>
      <c r="AD158" s="417">
        <v>0</v>
      </c>
      <c r="AE158" s="417">
        <f t="shared" si="209"/>
        <v>0</v>
      </c>
      <c r="AF158" s="417">
        <f t="shared" si="210"/>
        <v>0</v>
      </c>
      <c r="AG158" s="417">
        <f t="shared" si="211"/>
        <v>0</v>
      </c>
      <c r="AH158" s="417">
        <v>0</v>
      </c>
      <c r="AI158" s="417">
        <v>0</v>
      </c>
      <c r="AJ158" s="417">
        <v>0</v>
      </c>
      <c r="AK158" s="417">
        <v>0</v>
      </c>
      <c r="AL158" s="417">
        <v>0</v>
      </c>
      <c r="AM158" s="417">
        <f t="shared" si="212"/>
        <v>0</v>
      </c>
      <c r="AN158" s="417">
        <f t="shared" si="213"/>
        <v>0</v>
      </c>
      <c r="AO158" s="417">
        <f t="shared" si="214"/>
        <v>0</v>
      </c>
      <c r="AP158" s="417">
        <f t="shared" si="215"/>
        <v>0</v>
      </c>
      <c r="AQ158" s="417">
        <f t="shared" si="216"/>
        <v>0</v>
      </c>
      <c r="AR158" s="417">
        <f t="shared" si="217"/>
        <v>0</v>
      </c>
      <c r="AS158" s="68">
        <f t="shared" si="218"/>
        <v>0</v>
      </c>
      <c r="AT158" s="68">
        <f t="shared" si="219"/>
        <v>0</v>
      </c>
      <c r="AU158" s="417">
        <v>0</v>
      </c>
      <c r="AV158" s="417">
        <v>0</v>
      </c>
      <c r="AW158" s="417">
        <v>0</v>
      </c>
      <c r="AX158" s="417">
        <f t="shared" si="220"/>
        <v>0</v>
      </c>
      <c r="AY158" s="417">
        <f t="shared" si="221"/>
        <v>0</v>
      </c>
      <c r="AZ158" s="418">
        <v>0</v>
      </c>
      <c r="BA158" s="418">
        <v>0</v>
      </c>
      <c r="BB158" s="418">
        <v>0</v>
      </c>
      <c r="BC158" s="418">
        <v>0</v>
      </c>
      <c r="BD158" s="418">
        <v>0</v>
      </c>
      <c r="BE158" s="418">
        <v>0</v>
      </c>
      <c r="BF158" s="418">
        <v>0</v>
      </c>
      <c r="BG158" s="418">
        <v>0</v>
      </c>
      <c r="BH158" s="418">
        <v>0</v>
      </c>
      <c r="BI158" s="418">
        <f t="shared" si="222"/>
        <v>0</v>
      </c>
      <c r="BJ158" s="418">
        <f t="shared" si="223"/>
        <v>0</v>
      </c>
      <c r="BK158" s="420">
        <f t="shared" si="224"/>
        <v>0</v>
      </c>
      <c r="BL158" s="772">
        <f t="shared" ref="BL158:BL163" si="246">I158+AY158</f>
        <v>3029972</v>
      </c>
      <c r="BM158" s="417">
        <f t="shared" ref="BM158:BM163" si="247">J158+AG158</f>
        <v>2240336</v>
      </c>
      <c r="BN158" s="417">
        <f t="shared" ref="BN158:BO163" si="248">K158+AE158</f>
        <v>2063918</v>
      </c>
      <c r="BO158" s="417">
        <f t="shared" si="248"/>
        <v>176418</v>
      </c>
      <c r="BP158" s="417">
        <f t="shared" ref="BP158:BP163" si="249">M158+AO158</f>
        <v>0</v>
      </c>
      <c r="BQ158" s="417">
        <f t="shared" ref="BQ158:BR163" si="250">N158+AM158</f>
        <v>0</v>
      </c>
      <c r="BR158" s="417">
        <f t="shared" si="250"/>
        <v>0</v>
      </c>
      <c r="BS158" s="417">
        <f t="shared" ref="BS158:BT163" si="251">P158+AS158</f>
        <v>757233</v>
      </c>
      <c r="BT158" s="417">
        <f t="shared" si="251"/>
        <v>22403</v>
      </c>
      <c r="BU158" s="417">
        <f t="shared" ref="BU158:BU163" si="252">R158+AX158</f>
        <v>10000</v>
      </c>
      <c r="BV158" s="418">
        <f t="shared" ref="BV158:BV163" si="253">S158+BK158</f>
        <v>4.7068000000000003</v>
      </c>
      <c r="BW158" s="418">
        <f t="shared" ref="BW158:BX163" si="254">T158+BI158</f>
        <v>4</v>
      </c>
      <c r="BX158" s="420">
        <f t="shared" si="254"/>
        <v>0.70679999999999998</v>
      </c>
      <c r="BY158" s="419"/>
      <c r="BZ158" s="414"/>
      <c r="CA158" s="414"/>
      <c r="CB158" s="414"/>
      <c r="CC158" s="414"/>
      <c r="CD158" s="509"/>
      <c r="CE158" s="419">
        <v>79635</v>
      </c>
      <c r="CF158" s="414">
        <v>56610</v>
      </c>
      <c r="CG158" s="414">
        <v>19134</v>
      </c>
      <c r="CH158" s="414">
        <v>566</v>
      </c>
      <c r="CI158" s="414">
        <v>3325</v>
      </c>
      <c r="CJ158" s="509">
        <v>0.2268</v>
      </c>
    </row>
    <row r="159" spans="1:88" s="221" customFormat="1" ht="12.75" customHeight="1">
      <c r="A159" s="209">
        <v>29</v>
      </c>
      <c r="B159" s="210">
        <v>4445</v>
      </c>
      <c r="C159" s="210">
        <v>600075044</v>
      </c>
      <c r="D159" s="210">
        <v>72742631</v>
      </c>
      <c r="E159" s="208" t="s">
        <v>202</v>
      </c>
      <c r="F159" s="210">
        <v>3117</v>
      </c>
      <c r="G159" s="165" t="s">
        <v>293</v>
      </c>
      <c r="H159" s="621" t="s">
        <v>271</v>
      </c>
      <c r="I159" s="510">
        <v>3741323</v>
      </c>
      <c r="J159" s="414">
        <v>2730599</v>
      </c>
      <c r="K159" s="414">
        <v>2134994</v>
      </c>
      <c r="L159" s="414">
        <v>595605</v>
      </c>
      <c r="M159" s="414">
        <v>0</v>
      </c>
      <c r="N159" s="414">
        <v>0</v>
      </c>
      <c r="O159" s="414">
        <v>0</v>
      </c>
      <c r="P159" s="68">
        <v>922942</v>
      </c>
      <c r="Q159" s="68">
        <v>27307</v>
      </c>
      <c r="R159" s="414">
        <v>60475</v>
      </c>
      <c r="S159" s="415">
        <v>5.1294000000000004</v>
      </c>
      <c r="T159" s="416">
        <v>3.4737</v>
      </c>
      <c r="U159" s="422">
        <v>1.6556999999999999</v>
      </c>
      <c r="V159" s="423">
        <f t="shared" si="207"/>
        <v>0</v>
      </c>
      <c r="W159" s="417">
        <f t="shared" si="208"/>
        <v>0</v>
      </c>
      <c r="X159" s="417">
        <v>0</v>
      </c>
      <c r="Y159" s="417">
        <v>0</v>
      </c>
      <c r="Z159" s="417">
        <v>0</v>
      </c>
      <c r="AA159" s="417">
        <v>0</v>
      </c>
      <c r="AB159" s="417">
        <v>0</v>
      </c>
      <c r="AC159" s="417">
        <v>0</v>
      </c>
      <c r="AD159" s="417">
        <v>0</v>
      </c>
      <c r="AE159" s="417">
        <f t="shared" si="209"/>
        <v>0</v>
      </c>
      <c r="AF159" s="417">
        <f t="shared" si="210"/>
        <v>0</v>
      </c>
      <c r="AG159" s="417">
        <f t="shared" si="211"/>
        <v>0</v>
      </c>
      <c r="AH159" s="417">
        <v>0</v>
      </c>
      <c r="AI159" s="417">
        <v>0</v>
      </c>
      <c r="AJ159" s="417">
        <v>0</v>
      </c>
      <c r="AK159" s="417">
        <v>0</v>
      </c>
      <c r="AL159" s="417">
        <v>0</v>
      </c>
      <c r="AM159" s="417">
        <f t="shared" si="212"/>
        <v>0</v>
      </c>
      <c r="AN159" s="417">
        <f t="shared" si="213"/>
        <v>0</v>
      </c>
      <c r="AO159" s="417">
        <f t="shared" si="214"/>
        <v>0</v>
      </c>
      <c r="AP159" s="417">
        <f t="shared" si="215"/>
        <v>0</v>
      </c>
      <c r="AQ159" s="417">
        <f t="shared" si="216"/>
        <v>0</v>
      </c>
      <c r="AR159" s="417">
        <f t="shared" si="217"/>
        <v>0</v>
      </c>
      <c r="AS159" s="68">
        <f t="shared" si="218"/>
        <v>0</v>
      </c>
      <c r="AT159" s="68">
        <f t="shared" si="219"/>
        <v>0</v>
      </c>
      <c r="AU159" s="417">
        <v>0</v>
      </c>
      <c r="AV159" s="417">
        <v>0</v>
      </c>
      <c r="AW159" s="417">
        <v>0</v>
      </c>
      <c r="AX159" s="417">
        <f t="shared" si="220"/>
        <v>0</v>
      </c>
      <c r="AY159" s="417">
        <f t="shared" si="221"/>
        <v>0</v>
      </c>
      <c r="AZ159" s="418">
        <v>0</v>
      </c>
      <c r="BA159" s="418">
        <v>0</v>
      </c>
      <c r="BB159" s="418">
        <v>0</v>
      </c>
      <c r="BC159" s="418">
        <v>0</v>
      </c>
      <c r="BD159" s="418">
        <v>0</v>
      </c>
      <c r="BE159" s="418">
        <v>0</v>
      </c>
      <c r="BF159" s="418">
        <v>0</v>
      </c>
      <c r="BG159" s="418">
        <v>0</v>
      </c>
      <c r="BH159" s="418">
        <v>0</v>
      </c>
      <c r="BI159" s="418">
        <f t="shared" si="222"/>
        <v>0</v>
      </c>
      <c r="BJ159" s="418">
        <f t="shared" si="223"/>
        <v>0</v>
      </c>
      <c r="BK159" s="420">
        <f t="shared" si="224"/>
        <v>0</v>
      </c>
      <c r="BL159" s="772">
        <f t="shared" si="246"/>
        <v>3741323</v>
      </c>
      <c r="BM159" s="417">
        <f t="shared" si="247"/>
        <v>2730599</v>
      </c>
      <c r="BN159" s="417">
        <f t="shared" si="248"/>
        <v>2134994</v>
      </c>
      <c r="BO159" s="417">
        <f t="shared" si="248"/>
        <v>595605</v>
      </c>
      <c r="BP159" s="417">
        <f t="shared" si="249"/>
        <v>0</v>
      </c>
      <c r="BQ159" s="417">
        <f t="shared" si="250"/>
        <v>0</v>
      </c>
      <c r="BR159" s="417">
        <f t="shared" si="250"/>
        <v>0</v>
      </c>
      <c r="BS159" s="417">
        <f t="shared" si="251"/>
        <v>922942</v>
      </c>
      <c r="BT159" s="417">
        <f t="shared" si="251"/>
        <v>27307</v>
      </c>
      <c r="BU159" s="417">
        <f t="shared" si="252"/>
        <v>60475</v>
      </c>
      <c r="BV159" s="418">
        <f t="shared" si="253"/>
        <v>5.1294000000000004</v>
      </c>
      <c r="BW159" s="418">
        <f t="shared" si="254"/>
        <v>3.4737</v>
      </c>
      <c r="BX159" s="420">
        <f t="shared" si="254"/>
        <v>1.6556999999999999</v>
      </c>
      <c r="BY159" s="419"/>
      <c r="BZ159" s="414"/>
      <c r="CA159" s="414"/>
      <c r="CB159" s="414"/>
      <c r="CC159" s="414"/>
      <c r="CD159" s="509"/>
      <c r="CE159" s="419">
        <v>268286</v>
      </c>
      <c r="CF159" s="414">
        <v>191178</v>
      </c>
      <c r="CG159" s="414">
        <v>64618</v>
      </c>
      <c r="CH159" s="414">
        <v>1912</v>
      </c>
      <c r="CI159" s="414">
        <v>10578</v>
      </c>
      <c r="CJ159" s="509">
        <v>0.53149999999999997</v>
      </c>
    </row>
    <row r="160" spans="1:88" s="221" customFormat="1" ht="12.75" customHeight="1">
      <c r="A160" s="209">
        <v>29</v>
      </c>
      <c r="B160" s="210">
        <v>4445</v>
      </c>
      <c r="C160" s="210">
        <v>600075044</v>
      </c>
      <c r="D160" s="210">
        <v>72742631</v>
      </c>
      <c r="E160" s="208" t="s">
        <v>202</v>
      </c>
      <c r="F160" s="210">
        <v>3117</v>
      </c>
      <c r="G160" s="165" t="s">
        <v>291</v>
      </c>
      <c r="H160" s="621" t="s">
        <v>272</v>
      </c>
      <c r="I160" s="510">
        <v>598022</v>
      </c>
      <c r="J160" s="414">
        <v>440854</v>
      </c>
      <c r="K160" s="414">
        <v>440854</v>
      </c>
      <c r="L160" s="414">
        <v>0</v>
      </c>
      <c r="M160" s="414">
        <v>0</v>
      </c>
      <c r="N160" s="414">
        <v>0</v>
      </c>
      <c r="O160" s="414">
        <v>0</v>
      </c>
      <c r="P160" s="68">
        <v>149009</v>
      </c>
      <c r="Q160" s="68">
        <v>4409</v>
      </c>
      <c r="R160" s="414">
        <v>3750</v>
      </c>
      <c r="S160" s="415">
        <v>1.18</v>
      </c>
      <c r="T160" s="416">
        <v>1.18</v>
      </c>
      <c r="U160" s="422">
        <v>0</v>
      </c>
      <c r="V160" s="423">
        <f t="shared" si="207"/>
        <v>0</v>
      </c>
      <c r="W160" s="417">
        <f t="shared" si="208"/>
        <v>0</v>
      </c>
      <c r="X160" s="417">
        <v>0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209"/>
        <v>0</v>
      </c>
      <c r="AF160" s="417">
        <f t="shared" si="210"/>
        <v>0</v>
      </c>
      <c r="AG160" s="417">
        <f t="shared" si="211"/>
        <v>0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212"/>
        <v>0</v>
      </c>
      <c r="AN160" s="417">
        <f t="shared" si="213"/>
        <v>0</v>
      </c>
      <c r="AO160" s="417">
        <f t="shared" si="214"/>
        <v>0</v>
      </c>
      <c r="AP160" s="417">
        <f t="shared" si="215"/>
        <v>0</v>
      </c>
      <c r="AQ160" s="417">
        <f t="shared" si="216"/>
        <v>0</v>
      </c>
      <c r="AR160" s="417">
        <f t="shared" si="217"/>
        <v>0</v>
      </c>
      <c r="AS160" s="68">
        <f t="shared" si="218"/>
        <v>0</v>
      </c>
      <c r="AT160" s="68">
        <f t="shared" si="219"/>
        <v>0</v>
      </c>
      <c r="AU160" s="417">
        <v>2500</v>
      </c>
      <c r="AV160" s="417">
        <v>0</v>
      </c>
      <c r="AW160" s="417">
        <v>0</v>
      </c>
      <c r="AX160" s="417">
        <f t="shared" si="220"/>
        <v>2500</v>
      </c>
      <c r="AY160" s="417">
        <f t="shared" si="221"/>
        <v>2500</v>
      </c>
      <c r="AZ160" s="418">
        <v>0</v>
      </c>
      <c r="BA160" s="418">
        <v>0</v>
      </c>
      <c r="BB160" s="418">
        <v>0</v>
      </c>
      <c r="BC160" s="418">
        <v>0</v>
      </c>
      <c r="BD160" s="418">
        <v>0</v>
      </c>
      <c r="BE160" s="418">
        <v>0</v>
      </c>
      <c r="BF160" s="418">
        <v>0</v>
      </c>
      <c r="BG160" s="418">
        <v>0</v>
      </c>
      <c r="BH160" s="418">
        <v>0</v>
      </c>
      <c r="BI160" s="418">
        <f t="shared" si="222"/>
        <v>0</v>
      </c>
      <c r="BJ160" s="418">
        <f t="shared" si="223"/>
        <v>0</v>
      </c>
      <c r="BK160" s="420">
        <f t="shared" si="224"/>
        <v>0</v>
      </c>
      <c r="BL160" s="772">
        <f t="shared" si="246"/>
        <v>600522</v>
      </c>
      <c r="BM160" s="417">
        <f t="shared" si="247"/>
        <v>440854</v>
      </c>
      <c r="BN160" s="417">
        <f t="shared" si="248"/>
        <v>440854</v>
      </c>
      <c r="BO160" s="417">
        <f t="shared" si="248"/>
        <v>0</v>
      </c>
      <c r="BP160" s="417">
        <f t="shared" si="249"/>
        <v>0</v>
      </c>
      <c r="BQ160" s="417">
        <f t="shared" si="250"/>
        <v>0</v>
      </c>
      <c r="BR160" s="417">
        <f t="shared" si="250"/>
        <v>0</v>
      </c>
      <c r="BS160" s="417">
        <f t="shared" si="251"/>
        <v>149009</v>
      </c>
      <c r="BT160" s="417">
        <f t="shared" si="251"/>
        <v>4409</v>
      </c>
      <c r="BU160" s="417">
        <f t="shared" si="252"/>
        <v>6250</v>
      </c>
      <c r="BV160" s="418">
        <f t="shared" si="253"/>
        <v>1.18</v>
      </c>
      <c r="BW160" s="418">
        <f t="shared" si="254"/>
        <v>1.18</v>
      </c>
      <c r="BX160" s="420">
        <f t="shared" si="254"/>
        <v>0</v>
      </c>
      <c r="BY160" s="419"/>
      <c r="BZ160" s="414"/>
      <c r="CA160" s="414"/>
      <c r="CB160" s="414"/>
      <c r="CC160" s="414"/>
      <c r="CD160" s="509"/>
      <c r="CE160" s="419"/>
      <c r="CF160" s="414"/>
      <c r="CG160" s="414"/>
      <c r="CH160" s="414"/>
      <c r="CI160" s="414"/>
      <c r="CJ160" s="509"/>
    </row>
    <row r="161" spans="1:88" s="221" customFormat="1" ht="12.75" customHeight="1">
      <c r="A161" s="209">
        <v>29</v>
      </c>
      <c r="B161" s="210">
        <v>4445</v>
      </c>
      <c r="C161" s="210">
        <v>600075044</v>
      </c>
      <c r="D161" s="210">
        <v>72742631</v>
      </c>
      <c r="E161" s="208" t="s">
        <v>202</v>
      </c>
      <c r="F161" s="210">
        <v>3141</v>
      </c>
      <c r="G161" s="165" t="s">
        <v>294</v>
      </c>
      <c r="H161" s="621" t="s">
        <v>272</v>
      </c>
      <c r="I161" s="510">
        <v>876134</v>
      </c>
      <c r="J161" s="414">
        <v>647443</v>
      </c>
      <c r="K161" s="414">
        <v>0</v>
      </c>
      <c r="L161" s="414">
        <v>647443</v>
      </c>
      <c r="M161" s="414">
        <v>0</v>
      </c>
      <c r="N161" s="414">
        <v>0</v>
      </c>
      <c r="O161" s="414">
        <v>0</v>
      </c>
      <c r="P161" s="68">
        <v>218836</v>
      </c>
      <c r="Q161" s="68">
        <v>6475</v>
      </c>
      <c r="R161" s="414">
        <v>3380</v>
      </c>
      <c r="S161" s="415">
        <v>1.94</v>
      </c>
      <c r="T161" s="416">
        <v>0</v>
      </c>
      <c r="U161" s="422">
        <v>1.94</v>
      </c>
      <c r="V161" s="423">
        <f t="shared" si="207"/>
        <v>0</v>
      </c>
      <c r="W161" s="417">
        <f t="shared" si="208"/>
        <v>0</v>
      </c>
      <c r="X161" s="417">
        <v>0</v>
      </c>
      <c r="Y161" s="417">
        <v>0</v>
      </c>
      <c r="Z161" s="417">
        <v>0</v>
      </c>
      <c r="AA161" s="417">
        <v>12915</v>
      </c>
      <c r="AB161" s="417">
        <v>0</v>
      </c>
      <c r="AC161" s="417">
        <v>0</v>
      </c>
      <c r="AD161" s="417">
        <v>0</v>
      </c>
      <c r="AE161" s="417">
        <f t="shared" si="209"/>
        <v>0</v>
      </c>
      <c r="AF161" s="417">
        <f t="shared" si="210"/>
        <v>12915</v>
      </c>
      <c r="AG161" s="417">
        <f t="shared" si="211"/>
        <v>12915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212"/>
        <v>0</v>
      </c>
      <c r="AN161" s="417">
        <f t="shared" si="213"/>
        <v>0</v>
      </c>
      <c r="AO161" s="417">
        <f t="shared" si="214"/>
        <v>0</v>
      </c>
      <c r="AP161" s="417">
        <f t="shared" si="215"/>
        <v>0</v>
      </c>
      <c r="AQ161" s="417">
        <f t="shared" si="216"/>
        <v>12915</v>
      </c>
      <c r="AR161" s="417">
        <f t="shared" si="217"/>
        <v>12915</v>
      </c>
      <c r="AS161" s="68">
        <f t="shared" si="218"/>
        <v>4365</v>
      </c>
      <c r="AT161" s="68">
        <f t="shared" si="219"/>
        <v>129</v>
      </c>
      <c r="AU161" s="417">
        <v>0</v>
      </c>
      <c r="AV161" s="417">
        <v>0</v>
      </c>
      <c r="AW161" s="417">
        <v>0</v>
      </c>
      <c r="AX161" s="417">
        <f t="shared" si="220"/>
        <v>0</v>
      </c>
      <c r="AY161" s="417">
        <f t="shared" si="221"/>
        <v>17409</v>
      </c>
      <c r="AZ161" s="418">
        <v>0</v>
      </c>
      <c r="BA161" s="418">
        <v>0</v>
      </c>
      <c r="BB161" s="418">
        <v>0</v>
      </c>
      <c r="BC161" s="418">
        <v>0</v>
      </c>
      <c r="BD161" s="418">
        <v>0.04</v>
      </c>
      <c r="BE161" s="418">
        <v>0</v>
      </c>
      <c r="BF161" s="418">
        <v>0</v>
      </c>
      <c r="BG161" s="418">
        <v>0</v>
      </c>
      <c r="BH161" s="418">
        <v>0</v>
      </c>
      <c r="BI161" s="418">
        <f t="shared" si="222"/>
        <v>0</v>
      </c>
      <c r="BJ161" s="418">
        <f t="shared" si="223"/>
        <v>0.04</v>
      </c>
      <c r="BK161" s="420">
        <f t="shared" si="224"/>
        <v>0.04</v>
      </c>
      <c r="BL161" s="772">
        <f t="shared" si="246"/>
        <v>893543</v>
      </c>
      <c r="BM161" s="417">
        <f t="shared" si="247"/>
        <v>660358</v>
      </c>
      <c r="BN161" s="417">
        <f t="shared" si="248"/>
        <v>0</v>
      </c>
      <c r="BO161" s="417">
        <f t="shared" si="248"/>
        <v>660358</v>
      </c>
      <c r="BP161" s="417">
        <f t="shared" si="249"/>
        <v>0</v>
      </c>
      <c r="BQ161" s="417">
        <f t="shared" si="250"/>
        <v>0</v>
      </c>
      <c r="BR161" s="417">
        <f t="shared" si="250"/>
        <v>0</v>
      </c>
      <c r="BS161" s="417">
        <f t="shared" si="251"/>
        <v>223201</v>
      </c>
      <c r="BT161" s="417">
        <f t="shared" si="251"/>
        <v>6604</v>
      </c>
      <c r="BU161" s="417">
        <f t="shared" si="252"/>
        <v>3380</v>
      </c>
      <c r="BV161" s="418">
        <f t="shared" si="253"/>
        <v>1.98</v>
      </c>
      <c r="BW161" s="418">
        <f t="shared" si="254"/>
        <v>0</v>
      </c>
      <c r="BX161" s="420">
        <f t="shared" si="254"/>
        <v>1.98</v>
      </c>
      <c r="BY161" s="419"/>
      <c r="BZ161" s="414"/>
      <c r="CA161" s="414"/>
      <c r="CB161" s="414"/>
      <c r="CC161" s="414"/>
      <c r="CD161" s="509"/>
      <c r="CE161" s="419"/>
      <c r="CF161" s="601"/>
      <c r="CG161" s="414"/>
      <c r="CH161" s="414"/>
      <c r="CI161" s="601"/>
      <c r="CJ161" s="603"/>
    </row>
    <row r="162" spans="1:88" s="221" customFormat="1" ht="12.75" customHeight="1">
      <c r="A162" s="209">
        <v>29</v>
      </c>
      <c r="B162" s="210">
        <v>4445</v>
      </c>
      <c r="C162" s="210">
        <v>600075044</v>
      </c>
      <c r="D162" s="210">
        <v>72742631</v>
      </c>
      <c r="E162" s="204" t="s">
        <v>202</v>
      </c>
      <c r="F162" s="210">
        <v>3143</v>
      </c>
      <c r="G162" s="165" t="s">
        <v>595</v>
      </c>
      <c r="H162" s="609" t="s">
        <v>271</v>
      </c>
      <c r="I162" s="510">
        <v>759784</v>
      </c>
      <c r="J162" s="414">
        <v>563638</v>
      </c>
      <c r="K162" s="414">
        <v>563638</v>
      </c>
      <c r="L162" s="414">
        <v>0</v>
      </c>
      <c r="M162" s="414">
        <v>0</v>
      </c>
      <c r="N162" s="414">
        <v>0</v>
      </c>
      <c r="O162" s="414">
        <v>0</v>
      </c>
      <c r="P162" s="68">
        <v>190510</v>
      </c>
      <c r="Q162" s="68">
        <v>5636</v>
      </c>
      <c r="R162" s="414">
        <v>0</v>
      </c>
      <c r="S162" s="415">
        <v>1.357</v>
      </c>
      <c r="T162" s="416">
        <v>1.357</v>
      </c>
      <c r="U162" s="422">
        <v>0</v>
      </c>
      <c r="V162" s="423">
        <f t="shared" si="207"/>
        <v>0</v>
      </c>
      <c r="W162" s="417">
        <f t="shared" si="208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209"/>
        <v>0</v>
      </c>
      <c r="AF162" s="417">
        <f t="shared" si="210"/>
        <v>0</v>
      </c>
      <c r="AG162" s="417">
        <f t="shared" si="211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12"/>
        <v>0</v>
      </c>
      <c r="AN162" s="417">
        <f t="shared" si="213"/>
        <v>0</v>
      </c>
      <c r="AO162" s="417">
        <f t="shared" si="214"/>
        <v>0</v>
      </c>
      <c r="AP162" s="417">
        <f t="shared" si="215"/>
        <v>0</v>
      </c>
      <c r="AQ162" s="417">
        <f t="shared" si="216"/>
        <v>0</v>
      </c>
      <c r="AR162" s="417">
        <f t="shared" si="217"/>
        <v>0</v>
      </c>
      <c r="AS162" s="68">
        <f t="shared" si="218"/>
        <v>0</v>
      </c>
      <c r="AT162" s="68">
        <f t="shared" si="219"/>
        <v>0</v>
      </c>
      <c r="AU162" s="417">
        <v>0</v>
      </c>
      <c r="AV162" s="417">
        <v>0</v>
      </c>
      <c r="AW162" s="417">
        <v>0</v>
      </c>
      <c r="AX162" s="417">
        <f t="shared" si="220"/>
        <v>0</v>
      </c>
      <c r="AY162" s="417">
        <f t="shared" si="221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22"/>
        <v>0</v>
      </c>
      <c r="BJ162" s="418">
        <f t="shared" si="223"/>
        <v>0</v>
      </c>
      <c r="BK162" s="420">
        <f t="shared" si="224"/>
        <v>0</v>
      </c>
      <c r="BL162" s="772">
        <f t="shared" si="246"/>
        <v>759784</v>
      </c>
      <c r="BM162" s="417">
        <f t="shared" si="247"/>
        <v>563638</v>
      </c>
      <c r="BN162" s="417">
        <f t="shared" si="248"/>
        <v>563638</v>
      </c>
      <c r="BO162" s="417">
        <f t="shared" si="248"/>
        <v>0</v>
      </c>
      <c r="BP162" s="417">
        <f t="shared" si="249"/>
        <v>0</v>
      </c>
      <c r="BQ162" s="417">
        <f t="shared" si="250"/>
        <v>0</v>
      </c>
      <c r="BR162" s="417">
        <f t="shared" si="250"/>
        <v>0</v>
      </c>
      <c r="BS162" s="417">
        <f t="shared" si="251"/>
        <v>190510</v>
      </c>
      <c r="BT162" s="417">
        <f t="shared" si="251"/>
        <v>5636</v>
      </c>
      <c r="BU162" s="417">
        <f t="shared" si="252"/>
        <v>0</v>
      </c>
      <c r="BV162" s="418">
        <f t="shared" si="253"/>
        <v>1.357</v>
      </c>
      <c r="BW162" s="418">
        <f t="shared" si="254"/>
        <v>1.357</v>
      </c>
      <c r="BX162" s="420">
        <f t="shared" si="254"/>
        <v>0</v>
      </c>
      <c r="BY162" s="419"/>
      <c r="BZ162" s="414"/>
      <c r="CA162" s="414"/>
      <c r="CB162" s="414"/>
      <c r="CC162" s="414"/>
      <c r="CD162" s="509"/>
      <c r="CE162" s="419"/>
      <c r="CF162" s="414"/>
      <c r="CG162" s="414"/>
      <c r="CH162" s="414"/>
      <c r="CI162" s="414"/>
      <c r="CJ162" s="509"/>
    </row>
    <row r="163" spans="1:88" s="221" customFormat="1" ht="12.75" customHeight="1">
      <c r="A163" s="209">
        <v>29</v>
      </c>
      <c r="B163" s="210">
        <v>4445</v>
      </c>
      <c r="C163" s="210">
        <v>600075044</v>
      </c>
      <c r="D163" s="210">
        <v>72742631</v>
      </c>
      <c r="E163" s="204" t="s">
        <v>202</v>
      </c>
      <c r="F163" s="210">
        <v>3143</v>
      </c>
      <c r="G163" s="165" t="s">
        <v>596</v>
      </c>
      <c r="H163" s="609" t="s">
        <v>272</v>
      </c>
      <c r="I163" s="510">
        <v>31503</v>
      </c>
      <c r="J163" s="414">
        <v>22550</v>
      </c>
      <c r="K163" s="414">
        <v>0</v>
      </c>
      <c r="L163" s="414">
        <v>22550</v>
      </c>
      <c r="M163" s="414">
        <v>0</v>
      </c>
      <c r="N163" s="414">
        <v>0</v>
      </c>
      <c r="O163" s="414">
        <v>0</v>
      </c>
      <c r="P163" s="68">
        <v>7621</v>
      </c>
      <c r="Q163" s="68">
        <v>225</v>
      </c>
      <c r="R163" s="414">
        <v>1107</v>
      </c>
      <c r="S163" s="415">
        <v>0.09</v>
      </c>
      <c r="T163" s="416">
        <v>0</v>
      </c>
      <c r="U163" s="422">
        <v>0.09</v>
      </c>
      <c r="V163" s="423">
        <f t="shared" si="207"/>
        <v>0</v>
      </c>
      <c r="W163" s="417">
        <f t="shared" si="208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209"/>
        <v>0</v>
      </c>
      <c r="AF163" s="417">
        <f t="shared" si="210"/>
        <v>0</v>
      </c>
      <c r="AG163" s="417">
        <f t="shared" si="211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212"/>
        <v>0</v>
      </c>
      <c r="AN163" s="417">
        <f t="shared" si="213"/>
        <v>0</v>
      </c>
      <c r="AO163" s="417">
        <f t="shared" si="214"/>
        <v>0</v>
      </c>
      <c r="AP163" s="417">
        <f t="shared" si="215"/>
        <v>0</v>
      </c>
      <c r="AQ163" s="417">
        <f t="shared" si="216"/>
        <v>0</v>
      </c>
      <c r="AR163" s="417">
        <f t="shared" si="217"/>
        <v>0</v>
      </c>
      <c r="AS163" s="68">
        <f t="shared" si="218"/>
        <v>0</v>
      </c>
      <c r="AT163" s="68">
        <f t="shared" si="219"/>
        <v>0</v>
      </c>
      <c r="AU163" s="417">
        <v>0</v>
      </c>
      <c r="AV163" s="417">
        <v>0</v>
      </c>
      <c r="AW163" s="417">
        <v>0</v>
      </c>
      <c r="AX163" s="417">
        <f t="shared" si="220"/>
        <v>0</v>
      </c>
      <c r="AY163" s="417">
        <f t="shared" si="221"/>
        <v>0</v>
      </c>
      <c r="AZ163" s="418">
        <v>0</v>
      </c>
      <c r="BA163" s="418">
        <v>0</v>
      </c>
      <c r="BB163" s="418">
        <v>0</v>
      </c>
      <c r="BC163" s="418">
        <v>0</v>
      </c>
      <c r="BD163" s="418">
        <v>0</v>
      </c>
      <c r="BE163" s="418">
        <v>0</v>
      </c>
      <c r="BF163" s="418">
        <v>0</v>
      </c>
      <c r="BG163" s="418">
        <v>0</v>
      </c>
      <c r="BH163" s="418">
        <v>0</v>
      </c>
      <c r="BI163" s="418">
        <f t="shared" si="222"/>
        <v>0</v>
      </c>
      <c r="BJ163" s="418">
        <f t="shared" si="223"/>
        <v>0</v>
      </c>
      <c r="BK163" s="420">
        <f t="shared" si="224"/>
        <v>0</v>
      </c>
      <c r="BL163" s="772">
        <f t="shared" si="246"/>
        <v>31503</v>
      </c>
      <c r="BM163" s="417">
        <f t="shared" si="247"/>
        <v>22550</v>
      </c>
      <c r="BN163" s="417">
        <f t="shared" si="248"/>
        <v>0</v>
      </c>
      <c r="BO163" s="417">
        <f t="shared" si="248"/>
        <v>22550</v>
      </c>
      <c r="BP163" s="417">
        <f t="shared" si="249"/>
        <v>0</v>
      </c>
      <c r="BQ163" s="417">
        <f t="shared" si="250"/>
        <v>0</v>
      </c>
      <c r="BR163" s="417">
        <f t="shared" si="250"/>
        <v>0</v>
      </c>
      <c r="BS163" s="417">
        <f t="shared" si="251"/>
        <v>7621</v>
      </c>
      <c r="BT163" s="417">
        <f t="shared" si="251"/>
        <v>225</v>
      </c>
      <c r="BU163" s="417">
        <f t="shared" si="252"/>
        <v>1107</v>
      </c>
      <c r="BV163" s="418">
        <f t="shared" si="253"/>
        <v>0.09</v>
      </c>
      <c r="BW163" s="418">
        <f t="shared" si="254"/>
        <v>0</v>
      </c>
      <c r="BX163" s="420">
        <f t="shared" si="254"/>
        <v>0.09</v>
      </c>
      <c r="BY163" s="419"/>
      <c r="BZ163" s="414"/>
      <c r="CA163" s="414"/>
      <c r="CB163" s="414"/>
      <c r="CC163" s="414"/>
      <c r="CD163" s="509"/>
      <c r="CE163" s="419"/>
      <c r="CF163" s="601"/>
      <c r="CG163" s="414"/>
      <c r="CH163" s="414"/>
      <c r="CI163" s="602"/>
      <c r="CJ163" s="603"/>
    </row>
    <row r="164" spans="1:88" s="221" customFormat="1" ht="12.75" customHeight="1">
      <c r="A164" s="155">
        <v>29</v>
      </c>
      <c r="B164" s="18">
        <v>4445</v>
      </c>
      <c r="C164" s="18">
        <v>600075044</v>
      </c>
      <c r="D164" s="18">
        <v>72742631</v>
      </c>
      <c r="E164" s="164" t="s">
        <v>203</v>
      </c>
      <c r="F164" s="18"/>
      <c r="G164" s="154"/>
      <c r="H164" s="608"/>
      <c r="I164" s="451">
        <v>9036738</v>
      </c>
      <c r="J164" s="444">
        <v>6645420</v>
      </c>
      <c r="K164" s="444">
        <v>5203404</v>
      </c>
      <c r="L164" s="444">
        <v>1442016</v>
      </c>
      <c r="M164" s="444">
        <v>0</v>
      </c>
      <c r="N164" s="444">
        <v>0</v>
      </c>
      <c r="O164" s="444">
        <v>0</v>
      </c>
      <c r="P164" s="444">
        <v>2246151</v>
      </c>
      <c r="Q164" s="444">
        <v>66455</v>
      </c>
      <c r="R164" s="444">
        <v>78712</v>
      </c>
      <c r="S164" s="445">
        <v>14.4032</v>
      </c>
      <c r="T164" s="445">
        <v>10.0107</v>
      </c>
      <c r="U164" s="449">
        <v>4.3925000000000001</v>
      </c>
      <c r="V164" s="447">
        <f t="shared" ref="V164:CG164" si="255">SUM(V158:V163)</f>
        <v>0</v>
      </c>
      <c r="W164" s="444">
        <f t="shared" si="255"/>
        <v>0</v>
      </c>
      <c r="X164" s="444">
        <f t="shared" si="255"/>
        <v>0</v>
      </c>
      <c r="Y164" s="444">
        <f t="shared" si="255"/>
        <v>0</v>
      </c>
      <c r="Z164" s="444">
        <f t="shared" si="255"/>
        <v>0</v>
      </c>
      <c r="AA164" s="444">
        <f t="shared" si="255"/>
        <v>12915</v>
      </c>
      <c r="AB164" s="444">
        <f t="shared" si="255"/>
        <v>0</v>
      </c>
      <c r="AC164" s="444">
        <f t="shared" si="255"/>
        <v>0</v>
      </c>
      <c r="AD164" s="444">
        <f t="shared" si="255"/>
        <v>0</v>
      </c>
      <c r="AE164" s="444">
        <f t="shared" si="255"/>
        <v>0</v>
      </c>
      <c r="AF164" s="444">
        <f t="shared" si="255"/>
        <v>12915</v>
      </c>
      <c r="AG164" s="444">
        <f t="shared" si="255"/>
        <v>12915</v>
      </c>
      <c r="AH164" s="444">
        <f t="shared" si="255"/>
        <v>0</v>
      </c>
      <c r="AI164" s="444">
        <f t="shared" si="255"/>
        <v>0</v>
      </c>
      <c r="AJ164" s="444">
        <f t="shared" si="255"/>
        <v>0</v>
      </c>
      <c r="AK164" s="444">
        <f t="shared" si="255"/>
        <v>0</v>
      </c>
      <c r="AL164" s="444">
        <f t="shared" si="255"/>
        <v>0</v>
      </c>
      <c r="AM164" s="444">
        <f t="shared" si="255"/>
        <v>0</v>
      </c>
      <c r="AN164" s="444">
        <f t="shared" si="255"/>
        <v>0</v>
      </c>
      <c r="AO164" s="444">
        <f t="shared" si="255"/>
        <v>0</v>
      </c>
      <c r="AP164" s="444">
        <f t="shared" si="255"/>
        <v>0</v>
      </c>
      <c r="AQ164" s="444">
        <f t="shared" si="255"/>
        <v>12915</v>
      </c>
      <c r="AR164" s="444">
        <f t="shared" si="255"/>
        <v>12915</v>
      </c>
      <c r="AS164" s="444">
        <f t="shared" si="255"/>
        <v>4365</v>
      </c>
      <c r="AT164" s="444">
        <f t="shared" si="255"/>
        <v>129</v>
      </c>
      <c r="AU164" s="444">
        <f t="shared" si="255"/>
        <v>2500</v>
      </c>
      <c r="AV164" s="444">
        <f t="shared" si="255"/>
        <v>0</v>
      </c>
      <c r="AW164" s="444">
        <f t="shared" si="255"/>
        <v>0</v>
      </c>
      <c r="AX164" s="444">
        <f t="shared" si="255"/>
        <v>2500</v>
      </c>
      <c r="AY164" s="444">
        <f t="shared" si="255"/>
        <v>19909</v>
      </c>
      <c r="AZ164" s="445">
        <f t="shared" si="255"/>
        <v>0</v>
      </c>
      <c r="BA164" s="445">
        <f t="shared" si="255"/>
        <v>0</v>
      </c>
      <c r="BB164" s="445">
        <f t="shared" si="255"/>
        <v>0</v>
      </c>
      <c r="BC164" s="445">
        <f t="shared" si="255"/>
        <v>0</v>
      </c>
      <c r="BD164" s="445">
        <f t="shared" si="255"/>
        <v>0.04</v>
      </c>
      <c r="BE164" s="445">
        <f t="shared" si="255"/>
        <v>0</v>
      </c>
      <c r="BF164" s="445">
        <f t="shared" si="255"/>
        <v>0</v>
      </c>
      <c r="BG164" s="445">
        <f t="shared" si="255"/>
        <v>0</v>
      </c>
      <c r="BH164" s="445">
        <f t="shared" si="255"/>
        <v>0</v>
      </c>
      <c r="BI164" s="445">
        <f t="shared" si="255"/>
        <v>0</v>
      </c>
      <c r="BJ164" s="445">
        <f t="shared" si="255"/>
        <v>0.04</v>
      </c>
      <c r="BK164" s="39">
        <f t="shared" si="255"/>
        <v>0.04</v>
      </c>
      <c r="BL164" s="451">
        <f t="shared" si="255"/>
        <v>9056647</v>
      </c>
      <c r="BM164" s="444">
        <f t="shared" si="255"/>
        <v>6658335</v>
      </c>
      <c r="BN164" s="444">
        <f t="shared" si="255"/>
        <v>5203404</v>
      </c>
      <c r="BO164" s="444">
        <f t="shared" si="255"/>
        <v>1454931</v>
      </c>
      <c r="BP164" s="444">
        <f t="shared" si="255"/>
        <v>0</v>
      </c>
      <c r="BQ164" s="444">
        <f t="shared" si="255"/>
        <v>0</v>
      </c>
      <c r="BR164" s="444">
        <f t="shared" si="255"/>
        <v>0</v>
      </c>
      <c r="BS164" s="444">
        <f t="shared" si="255"/>
        <v>2250516</v>
      </c>
      <c r="BT164" s="444">
        <f t="shared" si="255"/>
        <v>66584</v>
      </c>
      <c r="BU164" s="444">
        <f t="shared" si="255"/>
        <v>81212</v>
      </c>
      <c r="BV164" s="445">
        <f t="shared" si="255"/>
        <v>14.443200000000001</v>
      </c>
      <c r="BW164" s="445">
        <f t="shared" si="255"/>
        <v>10.0107</v>
      </c>
      <c r="BX164" s="39">
        <f t="shared" si="255"/>
        <v>4.4324999999999992</v>
      </c>
      <c r="BY164" s="806">
        <f t="shared" si="255"/>
        <v>0</v>
      </c>
      <c r="BZ164" s="709">
        <f t="shared" si="255"/>
        <v>0</v>
      </c>
      <c r="CA164" s="709">
        <f t="shared" si="255"/>
        <v>0</v>
      </c>
      <c r="CB164" s="709">
        <f t="shared" si="255"/>
        <v>0</v>
      </c>
      <c r="CC164" s="709">
        <f t="shared" si="255"/>
        <v>0</v>
      </c>
      <c r="CD164" s="807">
        <f t="shared" si="255"/>
        <v>0</v>
      </c>
      <c r="CE164" s="919">
        <f t="shared" si="255"/>
        <v>347921</v>
      </c>
      <c r="CF164" s="920">
        <f t="shared" si="255"/>
        <v>247788</v>
      </c>
      <c r="CG164" s="920">
        <f t="shared" si="255"/>
        <v>83752</v>
      </c>
      <c r="CH164" s="920">
        <f t="shared" ref="CH164:CJ164" si="256">SUM(CH158:CH163)</f>
        <v>2478</v>
      </c>
      <c r="CI164" s="920">
        <f t="shared" si="256"/>
        <v>13903</v>
      </c>
      <c r="CJ164" s="921">
        <f t="shared" si="256"/>
        <v>0.75829999999999997</v>
      </c>
    </row>
    <row r="165" spans="1:88" s="221" customFormat="1" ht="12.75" customHeight="1">
      <c r="A165" s="209">
        <v>30</v>
      </c>
      <c r="B165" s="210">
        <v>4446</v>
      </c>
      <c r="C165" s="210">
        <v>600074587</v>
      </c>
      <c r="D165" s="210">
        <v>70695504</v>
      </c>
      <c r="E165" s="208" t="s">
        <v>786</v>
      </c>
      <c r="F165" s="210">
        <v>3111</v>
      </c>
      <c r="G165" s="165" t="s">
        <v>290</v>
      </c>
      <c r="H165" s="621" t="s">
        <v>271</v>
      </c>
      <c r="I165" s="510">
        <v>1728146</v>
      </c>
      <c r="J165" s="414">
        <v>1275776</v>
      </c>
      <c r="K165" s="414">
        <v>1177758</v>
      </c>
      <c r="L165" s="414">
        <v>98018</v>
      </c>
      <c r="M165" s="414">
        <v>0</v>
      </c>
      <c r="N165" s="414">
        <v>0</v>
      </c>
      <c r="O165" s="414">
        <v>0</v>
      </c>
      <c r="P165" s="68">
        <v>431212</v>
      </c>
      <c r="Q165" s="68">
        <v>12758</v>
      </c>
      <c r="R165" s="414">
        <v>8400</v>
      </c>
      <c r="S165" s="415">
        <v>2.4087000000000001</v>
      </c>
      <c r="T165" s="416">
        <v>2.016</v>
      </c>
      <c r="U165" s="422">
        <v>0.39269999999999999</v>
      </c>
      <c r="V165" s="423">
        <f t="shared" si="207"/>
        <v>0</v>
      </c>
      <c r="W165" s="417">
        <f t="shared" si="208"/>
        <v>0</v>
      </c>
      <c r="X165" s="417">
        <v>0</v>
      </c>
      <c r="Y165" s="417">
        <v>0</v>
      </c>
      <c r="Z165" s="417">
        <v>0</v>
      </c>
      <c r="AA165" s="417">
        <v>0</v>
      </c>
      <c r="AB165" s="417">
        <v>0</v>
      </c>
      <c r="AC165" s="417">
        <v>0</v>
      </c>
      <c r="AD165" s="417">
        <v>0</v>
      </c>
      <c r="AE165" s="417">
        <f t="shared" si="209"/>
        <v>0</v>
      </c>
      <c r="AF165" s="417">
        <f t="shared" si="210"/>
        <v>0</v>
      </c>
      <c r="AG165" s="417">
        <f t="shared" si="211"/>
        <v>0</v>
      </c>
      <c r="AH165" s="417">
        <v>0</v>
      </c>
      <c r="AI165" s="417">
        <v>0</v>
      </c>
      <c r="AJ165" s="417">
        <v>0</v>
      </c>
      <c r="AK165" s="417">
        <v>0</v>
      </c>
      <c r="AL165" s="417">
        <v>0</v>
      </c>
      <c r="AM165" s="417">
        <f t="shared" si="212"/>
        <v>0</v>
      </c>
      <c r="AN165" s="417">
        <f t="shared" si="213"/>
        <v>0</v>
      </c>
      <c r="AO165" s="417">
        <f t="shared" si="214"/>
        <v>0</v>
      </c>
      <c r="AP165" s="417">
        <f t="shared" si="215"/>
        <v>0</v>
      </c>
      <c r="AQ165" s="417">
        <f t="shared" si="216"/>
        <v>0</v>
      </c>
      <c r="AR165" s="417">
        <f t="shared" si="217"/>
        <v>0</v>
      </c>
      <c r="AS165" s="68">
        <f t="shared" si="218"/>
        <v>0</v>
      </c>
      <c r="AT165" s="68">
        <f t="shared" si="219"/>
        <v>0</v>
      </c>
      <c r="AU165" s="417">
        <v>0</v>
      </c>
      <c r="AV165" s="417">
        <v>0</v>
      </c>
      <c r="AW165" s="417">
        <v>0</v>
      </c>
      <c r="AX165" s="417">
        <f t="shared" si="220"/>
        <v>0</v>
      </c>
      <c r="AY165" s="417">
        <f t="shared" si="221"/>
        <v>0</v>
      </c>
      <c r="AZ165" s="418">
        <v>0</v>
      </c>
      <c r="BA165" s="418">
        <v>0</v>
      </c>
      <c r="BB165" s="418">
        <v>0</v>
      </c>
      <c r="BC165" s="418">
        <v>0</v>
      </c>
      <c r="BD165" s="418">
        <v>0</v>
      </c>
      <c r="BE165" s="418">
        <v>0</v>
      </c>
      <c r="BF165" s="418">
        <v>0</v>
      </c>
      <c r="BG165" s="418">
        <v>0</v>
      </c>
      <c r="BH165" s="418">
        <v>0</v>
      </c>
      <c r="BI165" s="418">
        <f t="shared" si="222"/>
        <v>0</v>
      </c>
      <c r="BJ165" s="418">
        <f t="shared" si="223"/>
        <v>0</v>
      </c>
      <c r="BK165" s="420">
        <f t="shared" si="224"/>
        <v>0</v>
      </c>
      <c r="BL165" s="772">
        <f t="shared" ref="BL165:BL170" si="257">I165+AY165</f>
        <v>1728146</v>
      </c>
      <c r="BM165" s="417">
        <f t="shared" ref="BM165:BM170" si="258">J165+AG165</f>
        <v>1275776</v>
      </c>
      <c r="BN165" s="417">
        <f t="shared" ref="BN165:BO170" si="259">K165+AE165</f>
        <v>1177758</v>
      </c>
      <c r="BO165" s="417">
        <f t="shared" si="259"/>
        <v>98018</v>
      </c>
      <c r="BP165" s="417">
        <f t="shared" ref="BP165:BP170" si="260">M165+AO165</f>
        <v>0</v>
      </c>
      <c r="BQ165" s="417">
        <f t="shared" ref="BQ165:BR170" si="261">N165+AM165</f>
        <v>0</v>
      </c>
      <c r="BR165" s="417">
        <f t="shared" si="261"/>
        <v>0</v>
      </c>
      <c r="BS165" s="417">
        <f t="shared" ref="BS165:BT170" si="262">P165+AS165</f>
        <v>431212</v>
      </c>
      <c r="BT165" s="417">
        <f t="shared" si="262"/>
        <v>12758</v>
      </c>
      <c r="BU165" s="417">
        <f t="shared" ref="BU165:BU170" si="263">R165+AX165</f>
        <v>8400</v>
      </c>
      <c r="BV165" s="418">
        <f t="shared" ref="BV165:BV170" si="264">S165+BK165</f>
        <v>2.4087000000000001</v>
      </c>
      <c r="BW165" s="418">
        <f t="shared" ref="BW165:BX170" si="265">T165+BI165</f>
        <v>2.016</v>
      </c>
      <c r="BX165" s="420">
        <f t="shared" si="265"/>
        <v>0.39269999999999999</v>
      </c>
      <c r="BY165" s="419"/>
      <c r="BZ165" s="414"/>
      <c r="CA165" s="414"/>
      <c r="CB165" s="414"/>
      <c r="CC165" s="414"/>
      <c r="CD165" s="509"/>
      <c r="CE165" s="419">
        <v>45188</v>
      </c>
      <c r="CF165" s="414">
        <v>31450</v>
      </c>
      <c r="CG165" s="414">
        <v>10630</v>
      </c>
      <c r="CH165" s="414">
        <v>315</v>
      </c>
      <c r="CI165" s="414">
        <v>2793</v>
      </c>
      <c r="CJ165" s="509">
        <v>0.126</v>
      </c>
    </row>
    <row r="166" spans="1:88" s="221" customFormat="1" ht="12.75" customHeight="1">
      <c r="A166" s="209">
        <v>30</v>
      </c>
      <c r="B166" s="210">
        <v>4446</v>
      </c>
      <c r="C166" s="210">
        <v>600074587</v>
      </c>
      <c r="D166" s="210">
        <v>70695504</v>
      </c>
      <c r="E166" s="208" t="s">
        <v>786</v>
      </c>
      <c r="F166" s="210">
        <v>3117</v>
      </c>
      <c r="G166" s="165" t="s">
        <v>293</v>
      </c>
      <c r="H166" s="621" t="s">
        <v>271</v>
      </c>
      <c r="I166" s="510">
        <v>2762021</v>
      </c>
      <c r="J166" s="414">
        <v>2019432</v>
      </c>
      <c r="K166" s="414">
        <v>1717087</v>
      </c>
      <c r="L166" s="414">
        <v>302345</v>
      </c>
      <c r="M166" s="414">
        <v>0</v>
      </c>
      <c r="N166" s="414">
        <v>0</v>
      </c>
      <c r="O166" s="414">
        <v>0</v>
      </c>
      <c r="P166" s="68">
        <v>682569</v>
      </c>
      <c r="Q166" s="68">
        <v>20195</v>
      </c>
      <c r="R166" s="414">
        <v>39825</v>
      </c>
      <c r="S166" s="415">
        <v>3.4030999999999998</v>
      </c>
      <c r="T166" s="416">
        <v>2.6177999999999999</v>
      </c>
      <c r="U166" s="422">
        <v>0.7853</v>
      </c>
      <c r="V166" s="423">
        <f t="shared" si="207"/>
        <v>0</v>
      </c>
      <c r="W166" s="417">
        <f t="shared" si="208"/>
        <v>0</v>
      </c>
      <c r="X166" s="417">
        <v>0</v>
      </c>
      <c r="Y166" s="417">
        <v>0</v>
      </c>
      <c r="Z166" s="417">
        <v>0</v>
      </c>
      <c r="AA166" s="417">
        <v>0</v>
      </c>
      <c r="AB166" s="417">
        <v>0</v>
      </c>
      <c r="AC166" s="417">
        <v>0</v>
      </c>
      <c r="AD166" s="417">
        <v>0</v>
      </c>
      <c r="AE166" s="417">
        <f t="shared" si="209"/>
        <v>0</v>
      </c>
      <c r="AF166" s="417">
        <f t="shared" si="210"/>
        <v>0</v>
      </c>
      <c r="AG166" s="417">
        <f t="shared" si="211"/>
        <v>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212"/>
        <v>0</v>
      </c>
      <c r="AN166" s="417">
        <f t="shared" si="213"/>
        <v>0</v>
      </c>
      <c r="AO166" s="417">
        <f t="shared" si="214"/>
        <v>0</v>
      </c>
      <c r="AP166" s="417">
        <f t="shared" si="215"/>
        <v>0</v>
      </c>
      <c r="AQ166" s="417">
        <f t="shared" si="216"/>
        <v>0</v>
      </c>
      <c r="AR166" s="417">
        <f t="shared" si="217"/>
        <v>0</v>
      </c>
      <c r="AS166" s="68">
        <f t="shared" si="218"/>
        <v>0</v>
      </c>
      <c r="AT166" s="68">
        <f t="shared" si="219"/>
        <v>0</v>
      </c>
      <c r="AU166" s="417">
        <v>0</v>
      </c>
      <c r="AV166" s="417">
        <v>0</v>
      </c>
      <c r="AW166" s="417">
        <v>0</v>
      </c>
      <c r="AX166" s="417">
        <f t="shared" si="220"/>
        <v>0</v>
      </c>
      <c r="AY166" s="417">
        <f t="shared" si="221"/>
        <v>0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</v>
      </c>
      <c r="BF166" s="418">
        <v>0</v>
      </c>
      <c r="BG166" s="418">
        <v>0</v>
      </c>
      <c r="BH166" s="418">
        <v>0</v>
      </c>
      <c r="BI166" s="418">
        <f t="shared" si="222"/>
        <v>0</v>
      </c>
      <c r="BJ166" s="418">
        <f t="shared" si="223"/>
        <v>0</v>
      </c>
      <c r="BK166" s="420">
        <f t="shared" si="224"/>
        <v>0</v>
      </c>
      <c r="BL166" s="772">
        <f t="shared" si="257"/>
        <v>2762021</v>
      </c>
      <c r="BM166" s="417">
        <f t="shared" si="258"/>
        <v>2019432</v>
      </c>
      <c r="BN166" s="417">
        <f t="shared" si="259"/>
        <v>1717087</v>
      </c>
      <c r="BO166" s="417">
        <f t="shared" si="259"/>
        <v>302345</v>
      </c>
      <c r="BP166" s="417">
        <f t="shared" si="260"/>
        <v>0</v>
      </c>
      <c r="BQ166" s="417">
        <f t="shared" si="261"/>
        <v>0</v>
      </c>
      <c r="BR166" s="417">
        <f t="shared" si="261"/>
        <v>0</v>
      </c>
      <c r="BS166" s="417">
        <f t="shared" si="262"/>
        <v>682569</v>
      </c>
      <c r="BT166" s="417">
        <f t="shared" si="262"/>
        <v>20195</v>
      </c>
      <c r="BU166" s="417">
        <f t="shared" si="263"/>
        <v>39825</v>
      </c>
      <c r="BV166" s="418">
        <f t="shared" si="264"/>
        <v>3.4030999999999998</v>
      </c>
      <c r="BW166" s="418">
        <f t="shared" si="265"/>
        <v>2.6177999999999999</v>
      </c>
      <c r="BX166" s="420">
        <f t="shared" si="265"/>
        <v>0.7853</v>
      </c>
      <c r="BY166" s="419"/>
      <c r="BZ166" s="414"/>
      <c r="CA166" s="414"/>
      <c r="CB166" s="414"/>
      <c r="CC166" s="414"/>
      <c r="CD166" s="509"/>
      <c r="CE166" s="414">
        <v>137789</v>
      </c>
      <c r="CF166" s="414">
        <v>97050</v>
      </c>
      <c r="CG166" s="414">
        <v>32803</v>
      </c>
      <c r="CH166" s="414">
        <v>970</v>
      </c>
      <c r="CI166" s="414">
        <v>6966</v>
      </c>
      <c r="CJ166" s="509">
        <v>0.25210000000000005</v>
      </c>
    </row>
    <row r="167" spans="1:88" s="221" customFormat="1" ht="12.75" customHeight="1">
      <c r="A167" s="209">
        <v>30</v>
      </c>
      <c r="B167" s="210">
        <v>4446</v>
      </c>
      <c r="C167" s="210">
        <v>600074587</v>
      </c>
      <c r="D167" s="210">
        <v>70695504</v>
      </c>
      <c r="E167" s="208" t="s">
        <v>786</v>
      </c>
      <c r="F167" s="210">
        <v>3117</v>
      </c>
      <c r="G167" s="165" t="s">
        <v>291</v>
      </c>
      <c r="H167" s="621" t="s">
        <v>272</v>
      </c>
      <c r="I167" s="510">
        <v>622025</v>
      </c>
      <c r="J167" s="414">
        <v>461442</v>
      </c>
      <c r="K167" s="414">
        <v>461442</v>
      </c>
      <c r="L167" s="414">
        <v>0</v>
      </c>
      <c r="M167" s="414">
        <v>0</v>
      </c>
      <c r="N167" s="414">
        <v>0</v>
      </c>
      <c r="O167" s="414">
        <v>0</v>
      </c>
      <c r="P167" s="68">
        <v>155968</v>
      </c>
      <c r="Q167" s="68">
        <v>4615</v>
      </c>
      <c r="R167" s="414">
        <v>0</v>
      </c>
      <c r="S167" s="415">
        <v>1.33</v>
      </c>
      <c r="T167" s="416">
        <v>1.33</v>
      </c>
      <c r="U167" s="422">
        <v>0</v>
      </c>
      <c r="V167" s="423">
        <f t="shared" si="207"/>
        <v>0</v>
      </c>
      <c r="W167" s="417">
        <f t="shared" si="208"/>
        <v>0</v>
      </c>
      <c r="X167" s="417">
        <v>0</v>
      </c>
      <c r="Y167" s="417">
        <v>0</v>
      </c>
      <c r="Z167" s="417">
        <v>0</v>
      </c>
      <c r="AA167" s="417">
        <v>0</v>
      </c>
      <c r="AB167" s="417">
        <v>0</v>
      </c>
      <c r="AC167" s="417">
        <v>0</v>
      </c>
      <c r="AD167" s="417">
        <v>0</v>
      </c>
      <c r="AE167" s="417">
        <f t="shared" si="209"/>
        <v>0</v>
      </c>
      <c r="AF167" s="417">
        <f t="shared" si="210"/>
        <v>0</v>
      </c>
      <c r="AG167" s="417">
        <f t="shared" si="211"/>
        <v>0</v>
      </c>
      <c r="AH167" s="417">
        <v>0</v>
      </c>
      <c r="AI167" s="417">
        <v>0</v>
      </c>
      <c r="AJ167" s="417">
        <v>0</v>
      </c>
      <c r="AK167" s="417">
        <v>0</v>
      </c>
      <c r="AL167" s="417">
        <v>0</v>
      </c>
      <c r="AM167" s="417">
        <f t="shared" si="212"/>
        <v>0</v>
      </c>
      <c r="AN167" s="417">
        <f t="shared" si="213"/>
        <v>0</v>
      </c>
      <c r="AO167" s="417">
        <f t="shared" si="214"/>
        <v>0</v>
      </c>
      <c r="AP167" s="417">
        <f t="shared" si="215"/>
        <v>0</v>
      </c>
      <c r="AQ167" s="417">
        <f t="shared" si="216"/>
        <v>0</v>
      </c>
      <c r="AR167" s="417">
        <f t="shared" si="217"/>
        <v>0</v>
      </c>
      <c r="AS167" s="68">
        <f t="shared" si="218"/>
        <v>0</v>
      </c>
      <c r="AT167" s="68">
        <f t="shared" si="219"/>
        <v>0</v>
      </c>
      <c r="AU167" s="417">
        <v>0</v>
      </c>
      <c r="AV167" s="417">
        <v>0</v>
      </c>
      <c r="AW167" s="417">
        <v>0</v>
      </c>
      <c r="AX167" s="417">
        <f t="shared" si="220"/>
        <v>0</v>
      </c>
      <c r="AY167" s="417">
        <f t="shared" si="221"/>
        <v>0</v>
      </c>
      <c r="AZ167" s="418">
        <v>0</v>
      </c>
      <c r="BA167" s="418">
        <v>0</v>
      </c>
      <c r="BB167" s="418">
        <v>0</v>
      </c>
      <c r="BC167" s="418">
        <v>0</v>
      </c>
      <c r="BD167" s="418">
        <v>0</v>
      </c>
      <c r="BE167" s="418">
        <v>0</v>
      </c>
      <c r="BF167" s="418">
        <v>0</v>
      </c>
      <c r="BG167" s="418">
        <v>0</v>
      </c>
      <c r="BH167" s="418">
        <v>0</v>
      </c>
      <c r="BI167" s="418">
        <f t="shared" si="222"/>
        <v>0</v>
      </c>
      <c r="BJ167" s="418">
        <f t="shared" si="223"/>
        <v>0</v>
      </c>
      <c r="BK167" s="420">
        <f t="shared" si="224"/>
        <v>0</v>
      </c>
      <c r="BL167" s="772">
        <f t="shared" si="257"/>
        <v>622025</v>
      </c>
      <c r="BM167" s="417">
        <f t="shared" si="258"/>
        <v>461442</v>
      </c>
      <c r="BN167" s="417">
        <f t="shared" si="259"/>
        <v>461442</v>
      </c>
      <c r="BO167" s="417">
        <f t="shared" si="259"/>
        <v>0</v>
      </c>
      <c r="BP167" s="417">
        <f t="shared" si="260"/>
        <v>0</v>
      </c>
      <c r="BQ167" s="417">
        <f t="shared" si="261"/>
        <v>0</v>
      </c>
      <c r="BR167" s="417">
        <f t="shared" si="261"/>
        <v>0</v>
      </c>
      <c r="BS167" s="417">
        <f t="shared" si="262"/>
        <v>155968</v>
      </c>
      <c r="BT167" s="417">
        <f t="shared" si="262"/>
        <v>4615</v>
      </c>
      <c r="BU167" s="417">
        <f t="shared" si="263"/>
        <v>0</v>
      </c>
      <c r="BV167" s="418">
        <f t="shared" si="264"/>
        <v>1.33</v>
      </c>
      <c r="BW167" s="418">
        <f t="shared" si="265"/>
        <v>1.33</v>
      </c>
      <c r="BX167" s="420">
        <f t="shared" si="265"/>
        <v>0</v>
      </c>
      <c r="BY167" s="419"/>
      <c r="BZ167" s="414"/>
      <c r="CA167" s="414"/>
      <c r="CB167" s="414"/>
      <c r="CC167" s="414"/>
      <c r="CD167" s="509"/>
      <c r="CE167" s="419"/>
      <c r="CF167" s="414"/>
      <c r="CG167" s="414"/>
      <c r="CH167" s="414"/>
      <c r="CI167" s="414"/>
      <c r="CJ167" s="509"/>
    </row>
    <row r="168" spans="1:88" s="221" customFormat="1" ht="12.75" customHeight="1">
      <c r="A168" s="209">
        <v>30</v>
      </c>
      <c r="B168" s="210">
        <v>4446</v>
      </c>
      <c r="C168" s="210">
        <v>600074587</v>
      </c>
      <c r="D168" s="210">
        <v>70695504</v>
      </c>
      <c r="E168" s="208" t="s">
        <v>786</v>
      </c>
      <c r="F168" s="210">
        <v>3141</v>
      </c>
      <c r="G168" s="165" t="s">
        <v>294</v>
      </c>
      <c r="H168" s="621" t="s">
        <v>272</v>
      </c>
      <c r="I168" s="510">
        <v>256000</v>
      </c>
      <c r="J168" s="414">
        <v>188827</v>
      </c>
      <c r="K168" s="414">
        <v>0</v>
      </c>
      <c r="L168" s="414">
        <v>188827</v>
      </c>
      <c r="M168" s="414">
        <v>0</v>
      </c>
      <c r="N168" s="414">
        <v>0</v>
      </c>
      <c r="O168" s="414">
        <v>0</v>
      </c>
      <c r="P168" s="68">
        <v>63823</v>
      </c>
      <c r="Q168" s="68">
        <v>1888</v>
      </c>
      <c r="R168" s="414">
        <v>1462</v>
      </c>
      <c r="S168" s="415">
        <v>0.56999999999999995</v>
      </c>
      <c r="T168" s="416">
        <v>0</v>
      </c>
      <c r="U168" s="422">
        <v>0.56999999999999995</v>
      </c>
      <c r="V168" s="423">
        <f t="shared" si="207"/>
        <v>0</v>
      </c>
      <c r="W168" s="417">
        <f t="shared" si="208"/>
        <v>0</v>
      </c>
      <c r="X168" s="417">
        <v>0</v>
      </c>
      <c r="Y168" s="417">
        <v>0</v>
      </c>
      <c r="Z168" s="417">
        <v>0</v>
      </c>
      <c r="AA168" s="417">
        <v>-3983</v>
      </c>
      <c r="AB168" s="417">
        <v>0</v>
      </c>
      <c r="AC168" s="417">
        <v>0</v>
      </c>
      <c r="AD168" s="417">
        <v>0</v>
      </c>
      <c r="AE168" s="417">
        <f t="shared" si="209"/>
        <v>0</v>
      </c>
      <c r="AF168" s="417">
        <f t="shared" si="210"/>
        <v>-3983</v>
      </c>
      <c r="AG168" s="417">
        <f t="shared" si="211"/>
        <v>-3983</v>
      </c>
      <c r="AH168" s="417">
        <v>0</v>
      </c>
      <c r="AI168" s="417">
        <v>0</v>
      </c>
      <c r="AJ168" s="417">
        <v>0</v>
      </c>
      <c r="AK168" s="417">
        <v>0</v>
      </c>
      <c r="AL168" s="417">
        <v>0</v>
      </c>
      <c r="AM168" s="417">
        <f t="shared" si="212"/>
        <v>0</v>
      </c>
      <c r="AN168" s="417">
        <f t="shared" si="213"/>
        <v>0</v>
      </c>
      <c r="AO168" s="417">
        <f t="shared" si="214"/>
        <v>0</v>
      </c>
      <c r="AP168" s="417">
        <f t="shared" si="215"/>
        <v>0</v>
      </c>
      <c r="AQ168" s="417">
        <f t="shared" si="216"/>
        <v>-3983</v>
      </c>
      <c r="AR168" s="417">
        <f t="shared" si="217"/>
        <v>-3983</v>
      </c>
      <c r="AS168" s="68">
        <f t="shared" si="218"/>
        <v>-1346</v>
      </c>
      <c r="AT168" s="68">
        <f t="shared" si="219"/>
        <v>-40</v>
      </c>
      <c r="AU168" s="417">
        <v>0</v>
      </c>
      <c r="AV168" s="417">
        <v>0</v>
      </c>
      <c r="AW168" s="417">
        <v>0</v>
      </c>
      <c r="AX168" s="417">
        <f t="shared" si="220"/>
        <v>0</v>
      </c>
      <c r="AY168" s="417">
        <f t="shared" si="221"/>
        <v>-5369</v>
      </c>
      <c r="AZ168" s="418">
        <v>0</v>
      </c>
      <c r="BA168" s="418">
        <v>0</v>
      </c>
      <c r="BB168" s="418">
        <v>0</v>
      </c>
      <c r="BC168" s="418">
        <v>0</v>
      </c>
      <c r="BD168" s="418">
        <v>-0.01</v>
      </c>
      <c r="BE168" s="418">
        <v>0</v>
      </c>
      <c r="BF168" s="418">
        <v>0</v>
      </c>
      <c r="BG168" s="418">
        <v>0</v>
      </c>
      <c r="BH168" s="418">
        <v>0</v>
      </c>
      <c r="BI168" s="418">
        <f t="shared" si="222"/>
        <v>0</v>
      </c>
      <c r="BJ168" s="418">
        <f t="shared" si="223"/>
        <v>-0.01</v>
      </c>
      <c r="BK168" s="420">
        <f t="shared" si="224"/>
        <v>-0.01</v>
      </c>
      <c r="BL168" s="772">
        <f t="shared" si="257"/>
        <v>250631</v>
      </c>
      <c r="BM168" s="417">
        <f t="shared" si="258"/>
        <v>184844</v>
      </c>
      <c r="BN168" s="417">
        <f t="shared" si="259"/>
        <v>0</v>
      </c>
      <c r="BO168" s="417">
        <f t="shared" si="259"/>
        <v>184844</v>
      </c>
      <c r="BP168" s="417">
        <f t="shared" si="260"/>
        <v>0</v>
      </c>
      <c r="BQ168" s="417">
        <f t="shared" si="261"/>
        <v>0</v>
      </c>
      <c r="BR168" s="417">
        <f t="shared" si="261"/>
        <v>0</v>
      </c>
      <c r="BS168" s="417">
        <f t="shared" si="262"/>
        <v>62477</v>
      </c>
      <c r="BT168" s="417">
        <f t="shared" si="262"/>
        <v>1848</v>
      </c>
      <c r="BU168" s="417">
        <f t="shared" si="263"/>
        <v>1462</v>
      </c>
      <c r="BV168" s="418">
        <f t="shared" si="264"/>
        <v>0.55999999999999994</v>
      </c>
      <c r="BW168" s="418">
        <f t="shared" si="265"/>
        <v>0</v>
      </c>
      <c r="BX168" s="420">
        <f t="shared" si="265"/>
        <v>0.55999999999999994</v>
      </c>
      <c r="BY168" s="419"/>
      <c r="BZ168" s="414"/>
      <c r="CA168" s="414"/>
      <c r="CB168" s="414"/>
      <c r="CC168" s="414"/>
      <c r="CD168" s="509"/>
      <c r="CE168" s="419"/>
      <c r="CF168" s="601"/>
      <c r="CG168" s="414"/>
      <c r="CH168" s="414"/>
      <c r="CI168" s="601"/>
      <c r="CJ168" s="603"/>
    </row>
    <row r="169" spans="1:88" s="221" customFormat="1" ht="12.75" customHeight="1">
      <c r="A169" s="209">
        <v>30</v>
      </c>
      <c r="B169" s="210">
        <v>4446</v>
      </c>
      <c r="C169" s="210">
        <v>600074587</v>
      </c>
      <c r="D169" s="210">
        <v>70695504</v>
      </c>
      <c r="E169" s="208" t="s">
        <v>786</v>
      </c>
      <c r="F169" s="210">
        <v>3143</v>
      </c>
      <c r="G169" s="165" t="s">
        <v>595</v>
      </c>
      <c r="H169" s="609" t="s">
        <v>271</v>
      </c>
      <c r="I169" s="510">
        <v>597385</v>
      </c>
      <c r="J169" s="414">
        <v>443164</v>
      </c>
      <c r="K169" s="414">
        <v>443164</v>
      </c>
      <c r="L169" s="414">
        <v>0</v>
      </c>
      <c r="M169" s="414">
        <v>0</v>
      </c>
      <c r="N169" s="414">
        <v>0</v>
      </c>
      <c r="O169" s="414">
        <v>0</v>
      </c>
      <c r="P169" s="68">
        <v>149789</v>
      </c>
      <c r="Q169" s="68">
        <v>4432</v>
      </c>
      <c r="R169" s="414">
        <v>0</v>
      </c>
      <c r="S169" s="415">
        <v>0.95379999999999998</v>
      </c>
      <c r="T169" s="416">
        <v>0.95379999999999998</v>
      </c>
      <c r="U169" s="422">
        <v>0</v>
      </c>
      <c r="V169" s="423">
        <f t="shared" si="207"/>
        <v>0</v>
      </c>
      <c r="W169" s="417">
        <f t="shared" si="208"/>
        <v>0</v>
      </c>
      <c r="X169" s="417">
        <v>0</v>
      </c>
      <c r="Y169" s="417">
        <v>0</v>
      </c>
      <c r="Z169" s="417">
        <v>0</v>
      </c>
      <c r="AA169" s="417">
        <v>0</v>
      </c>
      <c r="AB169" s="417">
        <v>0</v>
      </c>
      <c r="AC169" s="417">
        <v>0</v>
      </c>
      <c r="AD169" s="417">
        <v>0</v>
      </c>
      <c r="AE169" s="417">
        <f t="shared" si="209"/>
        <v>0</v>
      </c>
      <c r="AF169" s="417">
        <f t="shared" si="210"/>
        <v>0</v>
      </c>
      <c r="AG169" s="417">
        <f t="shared" si="211"/>
        <v>0</v>
      </c>
      <c r="AH169" s="417">
        <v>0</v>
      </c>
      <c r="AI169" s="417">
        <v>0</v>
      </c>
      <c r="AJ169" s="417">
        <v>0</v>
      </c>
      <c r="AK169" s="417">
        <v>0</v>
      </c>
      <c r="AL169" s="417">
        <v>0</v>
      </c>
      <c r="AM169" s="417">
        <f t="shared" si="212"/>
        <v>0</v>
      </c>
      <c r="AN169" s="417">
        <f t="shared" si="213"/>
        <v>0</v>
      </c>
      <c r="AO169" s="417">
        <f t="shared" si="214"/>
        <v>0</v>
      </c>
      <c r="AP169" s="417">
        <f t="shared" si="215"/>
        <v>0</v>
      </c>
      <c r="AQ169" s="417">
        <f t="shared" si="216"/>
        <v>0</v>
      </c>
      <c r="AR169" s="417">
        <f t="shared" si="217"/>
        <v>0</v>
      </c>
      <c r="AS169" s="68">
        <f t="shared" si="218"/>
        <v>0</v>
      </c>
      <c r="AT169" s="68">
        <f t="shared" si="219"/>
        <v>0</v>
      </c>
      <c r="AU169" s="417">
        <v>0</v>
      </c>
      <c r="AV169" s="417">
        <v>0</v>
      </c>
      <c r="AW169" s="417">
        <v>0</v>
      </c>
      <c r="AX169" s="417">
        <f t="shared" si="220"/>
        <v>0</v>
      </c>
      <c r="AY169" s="417">
        <f t="shared" si="221"/>
        <v>0</v>
      </c>
      <c r="AZ169" s="418">
        <v>0</v>
      </c>
      <c r="BA169" s="418">
        <v>0</v>
      </c>
      <c r="BB169" s="418">
        <v>0</v>
      </c>
      <c r="BC169" s="418">
        <v>0</v>
      </c>
      <c r="BD169" s="418">
        <v>0</v>
      </c>
      <c r="BE169" s="418">
        <v>0</v>
      </c>
      <c r="BF169" s="418">
        <v>0</v>
      </c>
      <c r="BG169" s="418">
        <v>0</v>
      </c>
      <c r="BH169" s="418">
        <v>0</v>
      </c>
      <c r="BI169" s="418">
        <f t="shared" si="222"/>
        <v>0</v>
      </c>
      <c r="BJ169" s="418">
        <f t="shared" si="223"/>
        <v>0</v>
      </c>
      <c r="BK169" s="420">
        <f t="shared" si="224"/>
        <v>0</v>
      </c>
      <c r="BL169" s="772">
        <f t="shared" si="257"/>
        <v>597385</v>
      </c>
      <c r="BM169" s="417">
        <f t="shared" si="258"/>
        <v>443164</v>
      </c>
      <c r="BN169" s="417">
        <f t="shared" si="259"/>
        <v>443164</v>
      </c>
      <c r="BO169" s="417">
        <f t="shared" si="259"/>
        <v>0</v>
      </c>
      <c r="BP169" s="417">
        <f t="shared" si="260"/>
        <v>0</v>
      </c>
      <c r="BQ169" s="417">
        <f t="shared" si="261"/>
        <v>0</v>
      </c>
      <c r="BR169" s="417">
        <f t="shared" si="261"/>
        <v>0</v>
      </c>
      <c r="BS169" s="417">
        <f t="shared" si="262"/>
        <v>149789</v>
      </c>
      <c r="BT169" s="417">
        <f t="shared" si="262"/>
        <v>4432</v>
      </c>
      <c r="BU169" s="417">
        <f t="shared" si="263"/>
        <v>0</v>
      </c>
      <c r="BV169" s="418">
        <f t="shared" si="264"/>
        <v>0.95379999999999998</v>
      </c>
      <c r="BW169" s="418">
        <f t="shared" si="265"/>
        <v>0.95379999999999998</v>
      </c>
      <c r="BX169" s="420">
        <f t="shared" si="265"/>
        <v>0</v>
      </c>
      <c r="BY169" s="419"/>
      <c r="BZ169" s="414"/>
      <c r="CA169" s="414"/>
      <c r="CB169" s="414"/>
      <c r="CC169" s="414"/>
      <c r="CD169" s="509"/>
      <c r="CE169" s="419"/>
      <c r="CF169" s="414"/>
      <c r="CG169" s="414"/>
      <c r="CH169" s="414"/>
      <c r="CI169" s="414"/>
      <c r="CJ169" s="509"/>
    </row>
    <row r="170" spans="1:88" s="221" customFormat="1" ht="12.75" customHeight="1">
      <c r="A170" s="209">
        <v>30</v>
      </c>
      <c r="B170" s="210">
        <v>4446</v>
      </c>
      <c r="C170" s="210">
        <v>600074587</v>
      </c>
      <c r="D170" s="210">
        <v>70695504</v>
      </c>
      <c r="E170" s="208" t="s">
        <v>786</v>
      </c>
      <c r="F170" s="210">
        <v>3143</v>
      </c>
      <c r="G170" s="165" t="s">
        <v>596</v>
      </c>
      <c r="H170" s="609" t="s">
        <v>272</v>
      </c>
      <c r="I170" s="510">
        <v>18441</v>
      </c>
      <c r="J170" s="414">
        <v>13200</v>
      </c>
      <c r="K170" s="414">
        <v>0</v>
      </c>
      <c r="L170" s="414">
        <v>13200</v>
      </c>
      <c r="M170" s="414">
        <v>0</v>
      </c>
      <c r="N170" s="414">
        <v>0</v>
      </c>
      <c r="O170" s="414">
        <v>0</v>
      </c>
      <c r="P170" s="68">
        <v>4461</v>
      </c>
      <c r="Q170" s="68">
        <v>132</v>
      </c>
      <c r="R170" s="414">
        <v>648</v>
      </c>
      <c r="S170" s="415">
        <v>0.05</v>
      </c>
      <c r="T170" s="416">
        <v>0</v>
      </c>
      <c r="U170" s="422">
        <v>0.05</v>
      </c>
      <c r="V170" s="423">
        <f t="shared" si="207"/>
        <v>0</v>
      </c>
      <c r="W170" s="417">
        <f t="shared" si="208"/>
        <v>0</v>
      </c>
      <c r="X170" s="417">
        <v>0</v>
      </c>
      <c r="Y170" s="417">
        <v>0</v>
      </c>
      <c r="Z170" s="417">
        <v>0</v>
      </c>
      <c r="AA170" s="417">
        <v>0</v>
      </c>
      <c r="AB170" s="417">
        <v>0</v>
      </c>
      <c r="AC170" s="417">
        <v>0</v>
      </c>
      <c r="AD170" s="417">
        <v>0</v>
      </c>
      <c r="AE170" s="417">
        <f t="shared" si="209"/>
        <v>0</v>
      </c>
      <c r="AF170" s="417">
        <f t="shared" si="210"/>
        <v>0</v>
      </c>
      <c r="AG170" s="417">
        <f t="shared" si="211"/>
        <v>0</v>
      </c>
      <c r="AH170" s="417">
        <v>0</v>
      </c>
      <c r="AI170" s="417">
        <v>0</v>
      </c>
      <c r="AJ170" s="417">
        <v>0</v>
      </c>
      <c r="AK170" s="417">
        <v>0</v>
      </c>
      <c r="AL170" s="417">
        <v>0</v>
      </c>
      <c r="AM170" s="417">
        <f t="shared" si="212"/>
        <v>0</v>
      </c>
      <c r="AN170" s="417">
        <f t="shared" si="213"/>
        <v>0</v>
      </c>
      <c r="AO170" s="417">
        <f t="shared" si="214"/>
        <v>0</v>
      </c>
      <c r="AP170" s="417">
        <f t="shared" si="215"/>
        <v>0</v>
      </c>
      <c r="AQ170" s="417">
        <f t="shared" si="216"/>
        <v>0</v>
      </c>
      <c r="AR170" s="417">
        <f t="shared" si="217"/>
        <v>0</v>
      </c>
      <c r="AS170" s="68">
        <f t="shared" si="218"/>
        <v>0</v>
      </c>
      <c r="AT170" s="68">
        <f t="shared" si="219"/>
        <v>0</v>
      </c>
      <c r="AU170" s="417">
        <v>0</v>
      </c>
      <c r="AV170" s="417">
        <v>0</v>
      </c>
      <c r="AW170" s="417">
        <v>0</v>
      </c>
      <c r="AX170" s="417">
        <f t="shared" si="220"/>
        <v>0</v>
      </c>
      <c r="AY170" s="417">
        <f t="shared" si="221"/>
        <v>0</v>
      </c>
      <c r="AZ170" s="418">
        <v>0</v>
      </c>
      <c r="BA170" s="418">
        <v>0</v>
      </c>
      <c r="BB170" s="418">
        <v>0</v>
      </c>
      <c r="BC170" s="418">
        <v>0</v>
      </c>
      <c r="BD170" s="418">
        <v>0</v>
      </c>
      <c r="BE170" s="418">
        <v>0</v>
      </c>
      <c r="BF170" s="418">
        <v>0</v>
      </c>
      <c r="BG170" s="418">
        <v>0</v>
      </c>
      <c r="BH170" s="418">
        <v>0</v>
      </c>
      <c r="BI170" s="418">
        <f t="shared" si="222"/>
        <v>0</v>
      </c>
      <c r="BJ170" s="418">
        <f t="shared" si="223"/>
        <v>0</v>
      </c>
      <c r="BK170" s="420">
        <f t="shared" si="224"/>
        <v>0</v>
      </c>
      <c r="BL170" s="772">
        <f t="shared" si="257"/>
        <v>18441</v>
      </c>
      <c r="BM170" s="417">
        <f t="shared" si="258"/>
        <v>13200</v>
      </c>
      <c r="BN170" s="417">
        <f t="shared" si="259"/>
        <v>0</v>
      </c>
      <c r="BO170" s="417">
        <f t="shared" si="259"/>
        <v>13200</v>
      </c>
      <c r="BP170" s="417">
        <f t="shared" si="260"/>
        <v>0</v>
      </c>
      <c r="BQ170" s="417">
        <f t="shared" si="261"/>
        <v>0</v>
      </c>
      <c r="BR170" s="417">
        <f t="shared" si="261"/>
        <v>0</v>
      </c>
      <c r="BS170" s="417">
        <f t="shared" si="262"/>
        <v>4461</v>
      </c>
      <c r="BT170" s="417">
        <f t="shared" si="262"/>
        <v>132</v>
      </c>
      <c r="BU170" s="417">
        <f t="shared" si="263"/>
        <v>648</v>
      </c>
      <c r="BV170" s="418">
        <f t="shared" si="264"/>
        <v>0.05</v>
      </c>
      <c r="BW170" s="418">
        <f t="shared" si="265"/>
        <v>0</v>
      </c>
      <c r="BX170" s="420">
        <f t="shared" si="265"/>
        <v>0.05</v>
      </c>
      <c r="BY170" s="419"/>
      <c r="BZ170" s="414"/>
      <c r="CA170" s="414"/>
      <c r="CB170" s="414"/>
      <c r="CC170" s="414"/>
      <c r="CD170" s="509"/>
      <c r="CE170" s="419"/>
      <c r="CF170" s="601"/>
      <c r="CG170" s="414"/>
      <c r="CH170" s="414"/>
      <c r="CI170" s="602"/>
      <c r="CJ170" s="603"/>
    </row>
    <row r="171" spans="1:88" s="221" customFormat="1" ht="12.75" customHeight="1">
      <c r="A171" s="155">
        <v>30</v>
      </c>
      <c r="B171" s="18">
        <v>4446</v>
      </c>
      <c r="C171" s="18">
        <v>600074587</v>
      </c>
      <c r="D171" s="18">
        <v>70695504</v>
      </c>
      <c r="E171" s="164" t="s">
        <v>204</v>
      </c>
      <c r="F171" s="18"/>
      <c r="G171" s="154"/>
      <c r="H171" s="608"/>
      <c r="I171" s="451">
        <v>5984018</v>
      </c>
      <c r="J171" s="444">
        <v>4401841</v>
      </c>
      <c r="K171" s="444">
        <v>3799451</v>
      </c>
      <c r="L171" s="444">
        <v>602390</v>
      </c>
      <c r="M171" s="444">
        <v>0</v>
      </c>
      <c r="N171" s="444">
        <v>0</v>
      </c>
      <c r="O171" s="444">
        <v>0</v>
      </c>
      <c r="P171" s="444">
        <v>1487822</v>
      </c>
      <c r="Q171" s="444">
        <v>44020</v>
      </c>
      <c r="R171" s="444">
        <v>50335</v>
      </c>
      <c r="S171" s="445">
        <v>8.7156000000000002</v>
      </c>
      <c r="T171" s="445">
        <v>6.9176000000000002</v>
      </c>
      <c r="U171" s="449">
        <v>1.7979999999999998</v>
      </c>
      <c r="V171" s="447">
        <f t="shared" ref="V171:CG171" si="266">SUM(V165:V170)</f>
        <v>0</v>
      </c>
      <c r="W171" s="444">
        <f t="shared" si="266"/>
        <v>0</v>
      </c>
      <c r="X171" s="444">
        <f t="shared" si="266"/>
        <v>0</v>
      </c>
      <c r="Y171" s="444">
        <f t="shared" si="266"/>
        <v>0</v>
      </c>
      <c r="Z171" s="444">
        <f t="shared" si="266"/>
        <v>0</v>
      </c>
      <c r="AA171" s="444">
        <f t="shared" si="266"/>
        <v>-3983</v>
      </c>
      <c r="AB171" s="444">
        <f t="shared" si="266"/>
        <v>0</v>
      </c>
      <c r="AC171" s="444">
        <f t="shared" si="266"/>
        <v>0</v>
      </c>
      <c r="AD171" s="444">
        <f t="shared" si="266"/>
        <v>0</v>
      </c>
      <c r="AE171" s="444">
        <f t="shared" si="266"/>
        <v>0</v>
      </c>
      <c r="AF171" s="444">
        <f t="shared" si="266"/>
        <v>-3983</v>
      </c>
      <c r="AG171" s="444">
        <f t="shared" si="266"/>
        <v>-3983</v>
      </c>
      <c r="AH171" s="444">
        <f t="shared" si="266"/>
        <v>0</v>
      </c>
      <c r="AI171" s="444">
        <f t="shared" si="266"/>
        <v>0</v>
      </c>
      <c r="AJ171" s="444">
        <f t="shared" si="266"/>
        <v>0</v>
      </c>
      <c r="AK171" s="444">
        <f t="shared" si="266"/>
        <v>0</v>
      </c>
      <c r="AL171" s="444">
        <f t="shared" si="266"/>
        <v>0</v>
      </c>
      <c r="AM171" s="444">
        <f t="shared" si="266"/>
        <v>0</v>
      </c>
      <c r="AN171" s="444">
        <f t="shared" si="266"/>
        <v>0</v>
      </c>
      <c r="AO171" s="444">
        <f t="shared" si="266"/>
        <v>0</v>
      </c>
      <c r="AP171" s="444">
        <f t="shared" si="266"/>
        <v>0</v>
      </c>
      <c r="AQ171" s="444">
        <f t="shared" si="266"/>
        <v>-3983</v>
      </c>
      <c r="AR171" s="444">
        <f t="shared" si="266"/>
        <v>-3983</v>
      </c>
      <c r="AS171" s="444">
        <f t="shared" si="266"/>
        <v>-1346</v>
      </c>
      <c r="AT171" s="444">
        <f t="shared" si="266"/>
        <v>-40</v>
      </c>
      <c r="AU171" s="444">
        <f t="shared" si="266"/>
        <v>0</v>
      </c>
      <c r="AV171" s="444">
        <f t="shared" si="266"/>
        <v>0</v>
      </c>
      <c r="AW171" s="444">
        <f t="shared" si="266"/>
        <v>0</v>
      </c>
      <c r="AX171" s="444">
        <f t="shared" si="266"/>
        <v>0</v>
      </c>
      <c r="AY171" s="444">
        <f t="shared" si="266"/>
        <v>-5369</v>
      </c>
      <c r="AZ171" s="445">
        <f t="shared" si="266"/>
        <v>0</v>
      </c>
      <c r="BA171" s="445">
        <f t="shared" si="266"/>
        <v>0</v>
      </c>
      <c r="BB171" s="445">
        <f t="shared" si="266"/>
        <v>0</v>
      </c>
      <c r="BC171" s="445">
        <f t="shared" si="266"/>
        <v>0</v>
      </c>
      <c r="BD171" s="445">
        <f t="shared" si="266"/>
        <v>-0.01</v>
      </c>
      <c r="BE171" s="445">
        <f t="shared" si="266"/>
        <v>0</v>
      </c>
      <c r="BF171" s="445">
        <f t="shared" si="266"/>
        <v>0</v>
      </c>
      <c r="BG171" s="445">
        <f t="shared" si="266"/>
        <v>0</v>
      </c>
      <c r="BH171" s="445">
        <f t="shared" si="266"/>
        <v>0</v>
      </c>
      <c r="BI171" s="445">
        <f t="shared" si="266"/>
        <v>0</v>
      </c>
      <c r="BJ171" s="445">
        <f t="shared" si="266"/>
        <v>-0.01</v>
      </c>
      <c r="BK171" s="39">
        <f t="shared" si="266"/>
        <v>-0.01</v>
      </c>
      <c r="BL171" s="451">
        <f t="shared" si="266"/>
        <v>5978649</v>
      </c>
      <c r="BM171" s="444">
        <f t="shared" si="266"/>
        <v>4397858</v>
      </c>
      <c r="BN171" s="444">
        <f t="shared" si="266"/>
        <v>3799451</v>
      </c>
      <c r="BO171" s="444">
        <f t="shared" si="266"/>
        <v>598407</v>
      </c>
      <c r="BP171" s="444">
        <f t="shared" si="266"/>
        <v>0</v>
      </c>
      <c r="BQ171" s="444">
        <f t="shared" si="266"/>
        <v>0</v>
      </c>
      <c r="BR171" s="444">
        <f t="shared" si="266"/>
        <v>0</v>
      </c>
      <c r="BS171" s="444">
        <f t="shared" si="266"/>
        <v>1486476</v>
      </c>
      <c r="BT171" s="444">
        <f t="shared" si="266"/>
        <v>43980</v>
      </c>
      <c r="BU171" s="444">
        <f t="shared" si="266"/>
        <v>50335</v>
      </c>
      <c r="BV171" s="445">
        <f t="shared" si="266"/>
        <v>8.7056000000000004</v>
      </c>
      <c r="BW171" s="445">
        <f t="shared" si="266"/>
        <v>6.9176000000000002</v>
      </c>
      <c r="BX171" s="39">
        <f t="shared" si="266"/>
        <v>1.788</v>
      </c>
      <c r="BY171" s="806">
        <f t="shared" si="266"/>
        <v>0</v>
      </c>
      <c r="BZ171" s="709">
        <f t="shared" si="266"/>
        <v>0</v>
      </c>
      <c r="CA171" s="709">
        <f t="shared" si="266"/>
        <v>0</v>
      </c>
      <c r="CB171" s="709">
        <f t="shared" si="266"/>
        <v>0</v>
      </c>
      <c r="CC171" s="709">
        <f t="shared" si="266"/>
        <v>0</v>
      </c>
      <c r="CD171" s="807">
        <f t="shared" si="266"/>
        <v>0</v>
      </c>
      <c r="CE171" s="919">
        <f t="shared" si="266"/>
        <v>182977</v>
      </c>
      <c r="CF171" s="920">
        <f t="shared" si="266"/>
        <v>128500</v>
      </c>
      <c r="CG171" s="920">
        <f t="shared" si="266"/>
        <v>43433</v>
      </c>
      <c r="CH171" s="920">
        <f t="shared" ref="CH171:CJ171" si="267">SUM(CH165:CH170)</f>
        <v>1285</v>
      </c>
      <c r="CI171" s="920">
        <f t="shared" si="267"/>
        <v>9759</v>
      </c>
      <c r="CJ171" s="921">
        <f t="shared" si="267"/>
        <v>0.37810000000000005</v>
      </c>
    </row>
    <row r="172" spans="1:88" s="221" customFormat="1" ht="12.75" customHeight="1">
      <c r="A172" s="209">
        <v>31</v>
      </c>
      <c r="B172" s="210">
        <v>4431</v>
      </c>
      <c r="C172" s="210">
        <v>600074820</v>
      </c>
      <c r="D172" s="210">
        <v>70981515</v>
      </c>
      <c r="E172" s="208" t="s">
        <v>205</v>
      </c>
      <c r="F172" s="210">
        <v>3111</v>
      </c>
      <c r="G172" s="165" t="s">
        <v>290</v>
      </c>
      <c r="H172" s="621" t="s">
        <v>271</v>
      </c>
      <c r="I172" s="510">
        <v>3293295</v>
      </c>
      <c r="J172" s="414">
        <v>2421599</v>
      </c>
      <c r="K172" s="414">
        <v>2245181</v>
      </c>
      <c r="L172" s="414">
        <v>176418</v>
      </c>
      <c r="M172" s="414">
        <v>10000</v>
      </c>
      <c r="N172" s="414">
        <v>10000</v>
      </c>
      <c r="O172" s="414">
        <v>0</v>
      </c>
      <c r="P172" s="68">
        <v>821880</v>
      </c>
      <c r="Q172" s="68">
        <v>24216</v>
      </c>
      <c r="R172" s="414">
        <v>15600</v>
      </c>
      <c r="S172" s="415">
        <v>4.7068000000000003</v>
      </c>
      <c r="T172" s="416">
        <v>4</v>
      </c>
      <c r="U172" s="422">
        <v>0.70679999999999998</v>
      </c>
      <c r="V172" s="423">
        <f t="shared" si="207"/>
        <v>0</v>
      </c>
      <c r="W172" s="417">
        <f t="shared" si="208"/>
        <v>0</v>
      </c>
      <c r="X172" s="417">
        <v>0</v>
      </c>
      <c r="Y172" s="417">
        <v>0</v>
      </c>
      <c r="Z172" s="417">
        <v>0</v>
      </c>
      <c r="AA172" s="417">
        <v>0</v>
      </c>
      <c r="AB172" s="417">
        <v>0</v>
      </c>
      <c r="AC172" s="417">
        <v>0</v>
      </c>
      <c r="AD172" s="417">
        <v>0</v>
      </c>
      <c r="AE172" s="417">
        <f t="shared" si="209"/>
        <v>0</v>
      </c>
      <c r="AF172" s="417">
        <f t="shared" si="210"/>
        <v>0</v>
      </c>
      <c r="AG172" s="417">
        <f t="shared" si="211"/>
        <v>0</v>
      </c>
      <c r="AH172" s="417">
        <v>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212"/>
        <v>0</v>
      </c>
      <c r="AN172" s="417">
        <f t="shared" si="213"/>
        <v>0</v>
      </c>
      <c r="AO172" s="417">
        <f t="shared" si="214"/>
        <v>0</v>
      </c>
      <c r="AP172" s="417">
        <f t="shared" si="215"/>
        <v>0</v>
      </c>
      <c r="AQ172" s="417">
        <f t="shared" si="216"/>
        <v>0</v>
      </c>
      <c r="AR172" s="417">
        <f t="shared" si="217"/>
        <v>0</v>
      </c>
      <c r="AS172" s="68">
        <f t="shared" si="218"/>
        <v>0</v>
      </c>
      <c r="AT172" s="68">
        <f t="shared" si="219"/>
        <v>0</v>
      </c>
      <c r="AU172" s="417">
        <v>0</v>
      </c>
      <c r="AV172" s="417">
        <v>0</v>
      </c>
      <c r="AW172" s="417">
        <v>0</v>
      </c>
      <c r="AX172" s="417">
        <f t="shared" si="220"/>
        <v>0</v>
      </c>
      <c r="AY172" s="417">
        <f t="shared" si="221"/>
        <v>0</v>
      </c>
      <c r="AZ172" s="418">
        <v>0</v>
      </c>
      <c r="BA172" s="418">
        <v>0</v>
      </c>
      <c r="BB172" s="418">
        <v>0</v>
      </c>
      <c r="BC172" s="418">
        <v>0</v>
      </c>
      <c r="BD172" s="418">
        <v>0</v>
      </c>
      <c r="BE172" s="418">
        <v>0</v>
      </c>
      <c r="BF172" s="418">
        <v>0</v>
      </c>
      <c r="BG172" s="418">
        <v>0</v>
      </c>
      <c r="BH172" s="418">
        <v>0</v>
      </c>
      <c r="BI172" s="418">
        <f t="shared" si="222"/>
        <v>0</v>
      </c>
      <c r="BJ172" s="418">
        <f t="shared" si="223"/>
        <v>0</v>
      </c>
      <c r="BK172" s="420">
        <f t="shared" si="224"/>
        <v>0</v>
      </c>
      <c r="BL172" s="772">
        <f t="shared" ref="BL172:BL177" si="268">I172+AY172</f>
        <v>3293295</v>
      </c>
      <c r="BM172" s="417">
        <f t="shared" ref="BM172:BM177" si="269">J172+AG172</f>
        <v>2421599</v>
      </c>
      <c r="BN172" s="417">
        <f t="shared" ref="BN172:BO177" si="270">K172+AE172</f>
        <v>2245181</v>
      </c>
      <c r="BO172" s="417">
        <f t="shared" si="270"/>
        <v>176418</v>
      </c>
      <c r="BP172" s="417">
        <f t="shared" ref="BP172:BP177" si="271">M172+AO172</f>
        <v>10000</v>
      </c>
      <c r="BQ172" s="417">
        <f t="shared" ref="BQ172:BR177" si="272">N172+AM172</f>
        <v>10000</v>
      </c>
      <c r="BR172" s="417">
        <f t="shared" si="272"/>
        <v>0</v>
      </c>
      <c r="BS172" s="417">
        <f t="shared" ref="BS172:BT177" si="273">P172+AS172</f>
        <v>821880</v>
      </c>
      <c r="BT172" s="417">
        <f t="shared" si="273"/>
        <v>24216</v>
      </c>
      <c r="BU172" s="417">
        <f t="shared" ref="BU172:BU177" si="274">R172+AX172</f>
        <v>15600</v>
      </c>
      <c r="BV172" s="418">
        <f t="shared" ref="BV172:BV177" si="275">S172+BK172</f>
        <v>4.7068000000000003</v>
      </c>
      <c r="BW172" s="418">
        <f t="shared" ref="BW172:BX177" si="276">T172+BI172</f>
        <v>4</v>
      </c>
      <c r="BX172" s="420">
        <f t="shared" si="276"/>
        <v>0.70679999999999998</v>
      </c>
      <c r="BY172" s="419"/>
      <c r="BZ172" s="414"/>
      <c r="CA172" s="414"/>
      <c r="CB172" s="414"/>
      <c r="CC172" s="414"/>
      <c r="CD172" s="509"/>
      <c r="CE172" s="419">
        <v>81497</v>
      </c>
      <c r="CF172" s="414">
        <v>56610</v>
      </c>
      <c r="CG172" s="414">
        <v>19134</v>
      </c>
      <c r="CH172" s="414">
        <v>566</v>
      </c>
      <c r="CI172" s="414">
        <v>5187</v>
      </c>
      <c r="CJ172" s="509">
        <v>0.2268</v>
      </c>
    </row>
    <row r="173" spans="1:88" s="221" customFormat="1" ht="12.75" customHeight="1">
      <c r="A173" s="209">
        <v>31</v>
      </c>
      <c r="B173" s="210">
        <v>4431</v>
      </c>
      <c r="C173" s="210">
        <v>600074820</v>
      </c>
      <c r="D173" s="210">
        <v>70981515</v>
      </c>
      <c r="E173" s="208" t="s">
        <v>205</v>
      </c>
      <c r="F173" s="210">
        <v>3117</v>
      </c>
      <c r="G173" s="165" t="s">
        <v>293</v>
      </c>
      <c r="H173" s="621" t="s">
        <v>271</v>
      </c>
      <c r="I173" s="510">
        <v>4725907</v>
      </c>
      <c r="J173" s="414">
        <v>3217775</v>
      </c>
      <c r="K173" s="414">
        <v>2647045</v>
      </c>
      <c r="L173" s="414">
        <v>570730</v>
      </c>
      <c r="M173" s="414">
        <v>221840</v>
      </c>
      <c r="N173" s="414">
        <v>221840</v>
      </c>
      <c r="O173" s="414">
        <v>0</v>
      </c>
      <c r="P173" s="68">
        <v>1162590</v>
      </c>
      <c r="Q173" s="68">
        <v>32177</v>
      </c>
      <c r="R173" s="414">
        <v>91525</v>
      </c>
      <c r="S173" s="415">
        <v>5.9725999999999999</v>
      </c>
      <c r="T173" s="416">
        <v>4.5</v>
      </c>
      <c r="U173" s="422">
        <v>1.4725999999999999</v>
      </c>
      <c r="V173" s="423">
        <f t="shared" si="207"/>
        <v>100000</v>
      </c>
      <c r="W173" s="417">
        <f t="shared" si="208"/>
        <v>0</v>
      </c>
      <c r="X173" s="417">
        <v>0</v>
      </c>
      <c r="Y173" s="417">
        <v>0</v>
      </c>
      <c r="Z173" s="417">
        <v>0</v>
      </c>
      <c r="AA173" s="417">
        <v>0</v>
      </c>
      <c r="AB173" s="417">
        <v>0</v>
      </c>
      <c r="AC173" s="417">
        <v>0</v>
      </c>
      <c r="AD173" s="417">
        <v>0</v>
      </c>
      <c r="AE173" s="417">
        <f t="shared" si="209"/>
        <v>100000</v>
      </c>
      <c r="AF173" s="417">
        <f t="shared" si="210"/>
        <v>0</v>
      </c>
      <c r="AG173" s="417">
        <f t="shared" si="211"/>
        <v>100000</v>
      </c>
      <c r="AH173" s="417">
        <v>-100000</v>
      </c>
      <c r="AI173" s="417">
        <v>0</v>
      </c>
      <c r="AJ173" s="417">
        <v>0</v>
      </c>
      <c r="AK173" s="417">
        <v>0</v>
      </c>
      <c r="AL173" s="417">
        <v>0</v>
      </c>
      <c r="AM173" s="417">
        <f t="shared" si="212"/>
        <v>-100000</v>
      </c>
      <c r="AN173" s="417">
        <f t="shared" si="213"/>
        <v>0</v>
      </c>
      <c r="AO173" s="417">
        <f t="shared" si="214"/>
        <v>-100000</v>
      </c>
      <c r="AP173" s="417">
        <f t="shared" si="215"/>
        <v>0</v>
      </c>
      <c r="AQ173" s="417">
        <f t="shared" si="216"/>
        <v>0</v>
      </c>
      <c r="AR173" s="417">
        <f t="shared" si="217"/>
        <v>0</v>
      </c>
      <c r="AS173" s="68">
        <f t="shared" si="218"/>
        <v>0</v>
      </c>
      <c r="AT173" s="68">
        <f t="shared" si="219"/>
        <v>1000</v>
      </c>
      <c r="AU173" s="417">
        <v>0</v>
      </c>
      <c r="AV173" s="417">
        <v>0</v>
      </c>
      <c r="AW173" s="417">
        <v>0</v>
      </c>
      <c r="AX173" s="417">
        <f t="shared" si="220"/>
        <v>0</v>
      </c>
      <c r="AY173" s="417">
        <f t="shared" si="221"/>
        <v>1000</v>
      </c>
      <c r="AZ173" s="418">
        <v>0.17</v>
      </c>
      <c r="BA173" s="418">
        <v>0</v>
      </c>
      <c r="BB173" s="418">
        <v>0</v>
      </c>
      <c r="BC173" s="418">
        <v>0</v>
      </c>
      <c r="BD173" s="418">
        <v>0</v>
      </c>
      <c r="BE173" s="418">
        <v>0</v>
      </c>
      <c r="BF173" s="418">
        <v>0</v>
      </c>
      <c r="BG173" s="418">
        <v>0</v>
      </c>
      <c r="BH173" s="418">
        <v>0</v>
      </c>
      <c r="BI173" s="418">
        <f t="shared" si="222"/>
        <v>0.17</v>
      </c>
      <c r="BJ173" s="418">
        <f t="shared" si="223"/>
        <v>0</v>
      </c>
      <c r="BK173" s="420">
        <f t="shared" si="224"/>
        <v>0.17</v>
      </c>
      <c r="BL173" s="772">
        <f t="shared" si="268"/>
        <v>4726907</v>
      </c>
      <c r="BM173" s="417">
        <f t="shared" si="269"/>
        <v>3317775</v>
      </c>
      <c r="BN173" s="417">
        <f t="shared" si="270"/>
        <v>2747045</v>
      </c>
      <c r="BO173" s="417">
        <f t="shared" si="270"/>
        <v>570730</v>
      </c>
      <c r="BP173" s="417">
        <f t="shared" si="271"/>
        <v>121840</v>
      </c>
      <c r="BQ173" s="417">
        <f t="shared" si="272"/>
        <v>121840</v>
      </c>
      <c r="BR173" s="417">
        <f t="shared" si="272"/>
        <v>0</v>
      </c>
      <c r="BS173" s="417">
        <f t="shared" si="273"/>
        <v>1162590</v>
      </c>
      <c r="BT173" s="417">
        <f t="shared" si="273"/>
        <v>33177</v>
      </c>
      <c r="BU173" s="417">
        <f t="shared" si="274"/>
        <v>91525</v>
      </c>
      <c r="BV173" s="418">
        <f t="shared" si="275"/>
        <v>6.1425999999999998</v>
      </c>
      <c r="BW173" s="418">
        <f t="shared" si="276"/>
        <v>4.67</v>
      </c>
      <c r="BX173" s="420">
        <f t="shared" si="276"/>
        <v>1.4725999999999999</v>
      </c>
      <c r="BY173" s="419"/>
      <c r="BZ173" s="414"/>
      <c r="CA173" s="414"/>
      <c r="CB173" s="414"/>
      <c r="CC173" s="414"/>
      <c r="CD173" s="509"/>
      <c r="CE173" s="414">
        <v>263657</v>
      </c>
      <c r="CF173" s="414">
        <v>183186</v>
      </c>
      <c r="CG173" s="414">
        <v>61917</v>
      </c>
      <c r="CH173" s="414">
        <v>1832</v>
      </c>
      <c r="CI173" s="414">
        <v>16722</v>
      </c>
      <c r="CJ173" s="509">
        <v>0.4726999999999999</v>
      </c>
    </row>
    <row r="174" spans="1:88" s="221" customFormat="1" ht="12.75" customHeight="1">
      <c r="A174" s="209">
        <v>31</v>
      </c>
      <c r="B174" s="210">
        <v>4431</v>
      </c>
      <c r="C174" s="210">
        <v>600074820</v>
      </c>
      <c r="D174" s="210">
        <v>70981515</v>
      </c>
      <c r="E174" s="208" t="s">
        <v>205</v>
      </c>
      <c r="F174" s="210">
        <v>3117</v>
      </c>
      <c r="G174" s="165" t="s">
        <v>291</v>
      </c>
      <c r="H174" s="621" t="s">
        <v>272</v>
      </c>
      <c r="I174" s="510">
        <v>1689285</v>
      </c>
      <c r="J174" s="414">
        <v>1253178</v>
      </c>
      <c r="K174" s="414">
        <v>1253178</v>
      </c>
      <c r="L174" s="414">
        <v>0</v>
      </c>
      <c r="M174" s="414">
        <v>0</v>
      </c>
      <c r="N174" s="414">
        <v>0</v>
      </c>
      <c r="O174" s="414">
        <v>0</v>
      </c>
      <c r="P174" s="68">
        <v>423575</v>
      </c>
      <c r="Q174" s="68">
        <v>12532</v>
      </c>
      <c r="R174" s="414">
        <v>0</v>
      </c>
      <c r="S174" s="415">
        <v>3.3899999999999997</v>
      </c>
      <c r="T174" s="416">
        <v>3.3899999999999997</v>
      </c>
      <c r="U174" s="422">
        <v>0</v>
      </c>
      <c r="V174" s="423">
        <f t="shared" si="207"/>
        <v>0</v>
      </c>
      <c r="W174" s="417">
        <f t="shared" si="208"/>
        <v>0</v>
      </c>
      <c r="X174" s="417">
        <v>0</v>
      </c>
      <c r="Y174" s="417">
        <v>0</v>
      </c>
      <c r="Z174" s="417">
        <v>0</v>
      </c>
      <c r="AA174" s="417">
        <v>0</v>
      </c>
      <c r="AB174" s="417">
        <v>0</v>
      </c>
      <c r="AC174" s="417">
        <v>0</v>
      </c>
      <c r="AD174" s="417">
        <v>0</v>
      </c>
      <c r="AE174" s="417">
        <f t="shared" si="209"/>
        <v>0</v>
      </c>
      <c r="AF174" s="417">
        <f t="shared" si="210"/>
        <v>0</v>
      </c>
      <c r="AG174" s="417">
        <f t="shared" si="211"/>
        <v>0</v>
      </c>
      <c r="AH174" s="417">
        <v>0</v>
      </c>
      <c r="AI174" s="417">
        <v>0</v>
      </c>
      <c r="AJ174" s="417">
        <v>0</v>
      </c>
      <c r="AK174" s="417">
        <v>0</v>
      </c>
      <c r="AL174" s="417">
        <v>0</v>
      </c>
      <c r="AM174" s="417">
        <f t="shared" si="212"/>
        <v>0</v>
      </c>
      <c r="AN174" s="417">
        <f t="shared" si="213"/>
        <v>0</v>
      </c>
      <c r="AO174" s="417">
        <f t="shared" si="214"/>
        <v>0</v>
      </c>
      <c r="AP174" s="417">
        <f t="shared" si="215"/>
        <v>0</v>
      </c>
      <c r="AQ174" s="417">
        <f t="shared" si="216"/>
        <v>0</v>
      </c>
      <c r="AR174" s="417">
        <f t="shared" si="217"/>
        <v>0</v>
      </c>
      <c r="AS174" s="68">
        <f t="shared" si="218"/>
        <v>0</v>
      </c>
      <c r="AT174" s="68">
        <f t="shared" si="219"/>
        <v>0</v>
      </c>
      <c r="AU174" s="417">
        <v>0</v>
      </c>
      <c r="AV174" s="417">
        <v>0</v>
      </c>
      <c r="AW174" s="417">
        <v>0</v>
      </c>
      <c r="AX174" s="417">
        <f t="shared" si="220"/>
        <v>0</v>
      </c>
      <c r="AY174" s="417">
        <f t="shared" si="221"/>
        <v>0</v>
      </c>
      <c r="AZ174" s="418">
        <v>0</v>
      </c>
      <c r="BA174" s="418">
        <v>0</v>
      </c>
      <c r="BB174" s="418">
        <v>0</v>
      </c>
      <c r="BC174" s="418">
        <v>0</v>
      </c>
      <c r="BD174" s="418">
        <v>0</v>
      </c>
      <c r="BE174" s="418">
        <v>0</v>
      </c>
      <c r="BF174" s="418">
        <v>0</v>
      </c>
      <c r="BG174" s="418">
        <v>0</v>
      </c>
      <c r="BH174" s="418">
        <v>0</v>
      </c>
      <c r="BI174" s="418">
        <f t="shared" si="222"/>
        <v>0</v>
      </c>
      <c r="BJ174" s="418">
        <f t="shared" si="223"/>
        <v>0</v>
      </c>
      <c r="BK174" s="420">
        <f t="shared" si="224"/>
        <v>0</v>
      </c>
      <c r="BL174" s="772">
        <f t="shared" si="268"/>
        <v>1689285</v>
      </c>
      <c r="BM174" s="417">
        <f t="shared" si="269"/>
        <v>1253178</v>
      </c>
      <c r="BN174" s="417">
        <f t="shared" si="270"/>
        <v>1253178</v>
      </c>
      <c r="BO174" s="417">
        <f t="shared" si="270"/>
        <v>0</v>
      </c>
      <c r="BP174" s="417">
        <f t="shared" si="271"/>
        <v>0</v>
      </c>
      <c r="BQ174" s="417">
        <f t="shared" si="272"/>
        <v>0</v>
      </c>
      <c r="BR174" s="417">
        <f t="shared" si="272"/>
        <v>0</v>
      </c>
      <c r="BS174" s="417">
        <f t="shared" si="273"/>
        <v>423575</v>
      </c>
      <c r="BT174" s="417">
        <f t="shared" si="273"/>
        <v>12532</v>
      </c>
      <c r="BU174" s="417">
        <f t="shared" si="274"/>
        <v>0</v>
      </c>
      <c r="BV174" s="418">
        <f t="shared" si="275"/>
        <v>3.3899999999999997</v>
      </c>
      <c r="BW174" s="418">
        <f t="shared" si="276"/>
        <v>3.3899999999999997</v>
      </c>
      <c r="BX174" s="420">
        <f t="shared" si="276"/>
        <v>0</v>
      </c>
      <c r="BY174" s="419"/>
      <c r="BZ174" s="414"/>
      <c r="CA174" s="414"/>
      <c r="CB174" s="414"/>
      <c r="CC174" s="414"/>
      <c r="CD174" s="509"/>
      <c r="CE174" s="419"/>
      <c r="CF174" s="414"/>
      <c r="CG174" s="414"/>
      <c r="CH174" s="414"/>
      <c r="CI174" s="414"/>
      <c r="CJ174" s="509"/>
    </row>
    <row r="175" spans="1:88" s="221" customFormat="1" ht="12.75" customHeight="1">
      <c r="A175" s="209">
        <v>31</v>
      </c>
      <c r="B175" s="210">
        <v>4431</v>
      </c>
      <c r="C175" s="210">
        <v>600074820</v>
      </c>
      <c r="D175" s="210">
        <v>70981515</v>
      </c>
      <c r="E175" s="208" t="s">
        <v>205</v>
      </c>
      <c r="F175" s="210">
        <v>3141</v>
      </c>
      <c r="G175" s="165" t="s">
        <v>294</v>
      </c>
      <c r="H175" s="621" t="s">
        <v>272</v>
      </c>
      <c r="I175" s="510">
        <v>1114830</v>
      </c>
      <c r="J175" s="414">
        <v>813667</v>
      </c>
      <c r="K175" s="414">
        <v>0</v>
      </c>
      <c r="L175" s="414">
        <v>813667</v>
      </c>
      <c r="M175" s="414">
        <v>10000</v>
      </c>
      <c r="N175" s="414">
        <v>0</v>
      </c>
      <c r="O175" s="414">
        <v>10000</v>
      </c>
      <c r="P175" s="68">
        <v>278399</v>
      </c>
      <c r="Q175" s="68">
        <v>8136</v>
      </c>
      <c r="R175" s="414">
        <v>4628</v>
      </c>
      <c r="S175" s="415">
        <v>2.4699999999999998</v>
      </c>
      <c r="T175" s="416">
        <v>0</v>
      </c>
      <c r="U175" s="422">
        <v>2.4699999999999998</v>
      </c>
      <c r="V175" s="423">
        <f t="shared" si="207"/>
        <v>0</v>
      </c>
      <c r="W175" s="417">
        <f t="shared" si="208"/>
        <v>0</v>
      </c>
      <c r="X175" s="417">
        <v>0</v>
      </c>
      <c r="Y175" s="417">
        <v>0</v>
      </c>
      <c r="Z175" s="417">
        <v>0</v>
      </c>
      <c r="AA175" s="417">
        <v>-5701</v>
      </c>
      <c r="AB175" s="417">
        <v>0</v>
      </c>
      <c r="AC175" s="417">
        <v>0</v>
      </c>
      <c r="AD175" s="417">
        <v>0</v>
      </c>
      <c r="AE175" s="417">
        <f t="shared" si="209"/>
        <v>0</v>
      </c>
      <c r="AF175" s="417">
        <f t="shared" si="210"/>
        <v>-5701</v>
      </c>
      <c r="AG175" s="417">
        <f t="shared" si="211"/>
        <v>-5701</v>
      </c>
      <c r="AH175" s="417">
        <v>0</v>
      </c>
      <c r="AI175" s="417">
        <v>0</v>
      </c>
      <c r="AJ175" s="417">
        <v>0</v>
      </c>
      <c r="AK175" s="417">
        <v>0</v>
      </c>
      <c r="AL175" s="417">
        <v>0</v>
      </c>
      <c r="AM175" s="417">
        <f t="shared" si="212"/>
        <v>0</v>
      </c>
      <c r="AN175" s="417">
        <f t="shared" si="213"/>
        <v>0</v>
      </c>
      <c r="AO175" s="417">
        <f t="shared" si="214"/>
        <v>0</v>
      </c>
      <c r="AP175" s="417">
        <f t="shared" si="215"/>
        <v>0</v>
      </c>
      <c r="AQ175" s="417">
        <f t="shared" si="216"/>
        <v>-5701</v>
      </c>
      <c r="AR175" s="417">
        <f t="shared" si="217"/>
        <v>-5701</v>
      </c>
      <c r="AS175" s="68">
        <f t="shared" si="218"/>
        <v>-1927</v>
      </c>
      <c r="AT175" s="68">
        <f t="shared" si="219"/>
        <v>-57</v>
      </c>
      <c r="AU175" s="417">
        <v>0</v>
      </c>
      <c r="AV175" s="417">
        <v>0</v>
      </c>
      <c r="AW175" s="417">
        <v>0</v>
      </c>
      <c r="AX175" s="417">
        <f t="shared" si="220"/>
        <v>0</v>
      </c>
      <c r="AY175" s="417">
        <f t="shared" si="221"/>
        <v>-7685</v>
      </c>
      <c r="AZ175" s="418">
        <v>0</v>
      </c>
      <c r="BA175" s="418">
        <v>0</v>
      </c>
      <c r="BB175" s="418">
        <v>0</v>
      </c>
      <c r="BC175" s="418">
        <v>0</v>
      </c>
      <c r="BD175" s="418">
        <v>-0.01</v>
      </c>
      <c r="BE175" s="418">
        <v>0</v>
      </c>
      <c r="BF175" s="418">
        <v>0</v>
      </c>
      <c r="BG175" s="418">
        <v>0</v>
      </c>
      <c r="BH175" s="418">
        <v>0</v>
      </c>
      <c r="BI175" s="418">
        <f t="shared" si="222"/>
        <v>0</v>
      </c>
      <c r="BJ175" s="418">
        <f t="shared" si="223"/>
        <v>-0.01</v>
      </c>
      <c r="BK175" s="420">
        <f t="shared" si="224"/>
        <v>-0.01</v>
      </c>
      <c r="BL175" s="772">
        <f t="shared" si="268"/>
        <v>1107145</v>
      </c>
      <c r="BM175" s="417">
        <f t="shared" si="269"/>
        <v>807966</v>
      </c>
      <c r="BN175" s="417">
        <f t="shared" si="270"/>
        <v>0</v>
      </c>
      <c r="BO175" s="417">
        <f t="shared" si="270"/>
        <v>807966</v>
      </c>
      <c r="BP175" s="417">
        <f t="shared" si="271"/>
        <v>10000</v>
      </c>
      <c r="BQ175" s="417">
        <f t="shared" si="272"/>
        <v>0</v>
      </c>
      <c r="BR175" s="417">
        <f t="shared" si="272"/>
        <v>10000</v>
      </c>
      <c r="BS175" s="417">
        <f t="shared" si="273"/>
        <v>276472</v>
      </c>
      <c r="BT175" s="417">
        <f t="shared" si="273"/>
        <v>8079</v>
      </c>
      <c r="BU175" s="417">
        <f t="shared" si="274"/>
        <v>4628</v>
      </c>
      <c r="BV175" s="418">
        <f t="shared" si="275"/>
        <v>2.46</v>
      </c>
      <c r="BW175" s="418">
        <f t="shared" si="276"/>
        <v>0</v>
      </c>
      <c r="BX175" s="420">
        <f t="shared" si="276"/>
        <v>2.46</v>
      </c>
      <c r="BY175" s="419"/>
      <c r="BZ175" s="414"/>
      <c r="CA175" s="414"/>
      <c r="CB175" s="414"/>
      <c r="CC175" s="414"/>
      <c r="CD175" s="509"/>
      <c r="CE175" s="419"/>
      <c r="CF175" s="601"/>
      <c r="CG175" s="414"/>
      <c r="CH175" s="414"/>
      <c r="CI175" s="601"/>
      <c r="CJ175" s="603"/>
    </row>
    <row r="176" spans="1:88" s="221" customFormat="1" ht="12.75" customHeight="1">
      <c r="A176" s="209">
        <v>31</v>
      </c>
      <c r="B176" s="210">
        <v>4431</v>
      </c>
      <c r="C176" s="210">
        <v>600074820</v>
      </c>
      <c r="D176" s="210">
        <v>70981515</v>
      </c>
      <c r="E176" s="208" t="s">
        <v>205</v>
      </c>
      <c r="F176" s="210">
        <v>3143</v>
      </c>
      <c r="G176" s="165" t="s">
        <v>595</v>
      </c>
      <c r="H176" s="609" t="s">
        <v>271</v>
      </c>
      <c r="I176" s="510">
        <v>1023072</v>
      </c>
      <c r="J176" s="414">
        <v>758955</v>
      </c>
      <c r="K176" s="414">
        <v>758955</v>
      </c>
      <c r="L176" s="414">
        <v>0</v>
      </c>
      <c r="M176" s="414">
        <v>0</v>
      </c>
      <c r="N176" s="414">
        <v>0</v>
      </c>
      <c r="O176" s="414">
        <v>0</v>
      </c>
      <c r="P176" s="68">
        <v>256527</v>
      </c>
      <c r="Q176" s="68">
        <v>7590</v>
      </c>
      <c r="R176" s="414">
        <v>0</v>
      </c>
      <c r="S176" s="415">
        <v>1.6786000000000001</v>
      </c>
      <c r="T176" s="416">
        <v>1.6786000000000001</v>
      </c>
      <c r="U176" s="422">
        <v>0</v>
      </c>
      <c r="V176" s="423">
        <f t="shared" si="207"/>
        <v>0</v>
      </c>
      <c r="W176" s="417">
        <f t="shared" si="208"/>
        <v>0</v>
      </c>
      <c r="X176" s="417">
        <v>0</v>
      </c>
      <c r="Y176" s="417">
        <v>0</v>
      </c>
      <c r="Z176" s="417">
        <v>0</v>
      </c>
      <c r="AA176" s="417">
        <v>0</v>
      </c>
      <c r="AB176" s="417">
        <v>0</v>
      </c>
      <c r="AC176" s="417">
        <v>0</v>
      </c>
      <c r="AD176" s="417">
        <v>0</v>
      </c>
      <c r="AE176" s="417">
        <f t="shared" si="209"/>
        <v>0</v>
      </c>
      <c r="AF176" s="417">
        <f t="shared" si="210"/>
        <v>0</v>
      </c>
      <c r="AG176" s="417">
        <f t="shared" si="211"/>
        <v>0</v>
      </c>
      <c r="AH176" s="417">
        <v>0</v>
      </c>
      <c r="AI176" s="417">
        <v>0</v>
      </c>
      <c r="AJ176" s="417">
        <v>0</v>
      </c>
      <c r="AK176" s="417">
        <v>0</v>
      </c>
      <c r="AL176" s="417">
        <v>0</v>
      </c>
      <c r="AM176" s="417">
        <f t="shared" si="212"/>
        <v>0</v>
      </c>
      <c r="AN176" s="417">
        <f t="shared" si="213"/>
        <v>0</v>
      </c>
      <c r="AO176" s="417">
        <f t="shared" si="214"/>
        <v>0</v>
      </c>
      <c r="AP176" s="417">
        <f t="shared" si="215"/>
        <v>0</v>
      </c>
      <c r="AQ176" s="417">
        <f t="shared" si="216"/>
        <v>0</v>
      </c>
      <c r="AR176" s="417">
        <f t="shared" si="217"/>
        <v>0</v>
      </c>
      <c r="AS176" s="68">
        <f t="shared" si="218"/>
        <v>0</v>
      </c>
      <c r="AT176" s="68">
        <f t="shared" si="219"/>
        <v>0</v>
      </c>
      <c r="AU176" s="417">
        <v>0</v>
      </c>
      <c r="AV176" s="417">
        <v>0</v>
      </c>
      <c r="AW176" s="417">
        <v>0</v>
      </c>
      <c r="AX176" s="417">
        <f t="shared" si="220"/>
        <v>0</v>
      </c>
      <c r="AY176" s="417">
        <f t="shared" si="221"/>
        <v>0</v>
      </c>
      <c r="AZ176" s="418">
        <v>0</v>
      </c>
      <c r="BA176" s="418">
        <v>0</v>
      </c>
      <c r="BB176" s="418">
        <v>0</v>
      </c>
      <c r="BC176" s="418">
        <v>0</v>
      </c>
      <c r="BD176" s="418">
        <v>0</v>
      </c>
      <c r="BE176" s="418">
        <v>0</v>
      </c>
      <c r="BF176" s="418">
        <v>0</v>
      </c>
      <c r="BG176" s="418">
        <v>0</v>
      </c>
      <c r="BH176" s="418">
        <v>0</v>
      </c>
      <c r="BI176" s="418">
        <f t="shared" si="222"/>
        <v>0</v>
      </c>
      <c r="BJ176" s="418">
        <f t="shared" si="223"/>
        <v>0</v>
      </c>
      <c r="BK176" s="420">
        <f t="shared" si="224"/>
        <v>0</v>
      </c>
      <c r="BL176" s="772">
        <f t="shared" si="268"/>
        <v>1023072</v>
      </c>
      <c r="BM176" s="417">
        <f t="shared" si="269"/>
        <v>758955</v>
      </c>
      <c r="BN176" s="417">
        <f t="shared" si="270"/>
        <v>758955</v>
      </c>
      <c r="BO176" s="417">
        <f t="shared" si="270"/>
        <v>0</v>
      </c>
      <c r="BP176" s="417">
        <f t="shared" si="271"/>
        <v>0</v>
      </c>
      <c r="BQ176" s="417">
        <f t="shared" si="272"/>
        <v>0</v>
      </c>
      <c r="BR176" s="417">
        <f t="shared" si="272"/>
        <v>0</v>
      </c>
      <c r="BS176" s="417">
        <f t="shared" si="273"/>
        <v>256527</v>
      </c>
      <c r="BT176" s="417">
        <f t="shared" si="273"/>
        <v>7590</v>
      </c>
      <c r="BU176" s="417">
        <f t="shared" si="274"/>
        <v>0</v>
      </c>
      <c r="BV176" s="418">
        <f t="shared" si="275"/>
        <v>1.6786000000000001</v>
      </c>
      <c r="BW176" s="418">
        <f t="shared" si="276"/>
        <v>1.6786000000000001</v>
      </c>
      <c r="BX176" s="420">
        <f t="shared" si="276"/>
        <v>0</v>
      </c>
      <c r="BY176" s="419"/>
      <c r="BZ176" s="414"/>
      <c r="CA176" s="414"/>
      <c r="CB176" s="414"/>
      <c r="CC176" s="414"/>
      <c r="CD176" s="509"/>
      <c r="CE176" s="419"/>
      <c r="CF176" s="414"/>
      <c r="CG176" s="414"/>
      <c r="CH176" s="414"/>
      <c r="CI176" s="414"/>
      <c r="CJ176" s="509"/>
    </row>
    <row r="177" spans="1:88" s="221" customFormat="1" ht="12.75" customHeight="1">
      <c r="A177" s="209">
        <v>31</v>
      </c>
      <c r="B177" s="210">
        <v>4431</v>
      </c>
      <c r="C177" s="210">
        <v>600074820</v>
      </c>
      <c r="D177" s="210">
        <v>70981515</v>
      </c>
      <c r="E177" s="208" t="s">
        <v>205</v>
      </c>
      <c r="F177" s="210">
        <v>3143</v>
      </c>
      <c r="G177" s="165" t="s">
        <v>596</v>
      </c>
      <c r="H177" s="609" t="s">
        <v>272</v>
      </c>
      <c r="I177" s="510">
        <v>30736</v>
      </c>
      <c r="J177" s="414">
        <v>22000</v>
      </c>
      <c r="K177" s="414">
        <v>0</v>
      </c>
      <c r="L177" s="414">
        <v>22000</v>
      </c>
      <c r="M177" s="414">
        <v>0</v>
      </c>
      <c r="N177" s="414">
        <v>0</v>
      </c>
      <c r="O177" s="414">
        <v>0</v>
      </c>
      <c r="P177" s="68">
        <v>7436</v>
      </c>
      <c r="Q177" s="68">
        <v>220</v>
      </c>
      <c r="R177" s="414">
        <v>1080</v>
      </c>
      <c r="S177" s="415">
        <v>0.09</v>
      </c>
      <c r="T177" s="416">
        <v>0</v>
      </c>
      <c r="U177" s="422">
        <v>0.09</v>
      </c>
      <c r="V177" s="423">
        <f t="shared" si="207"/>
        <v>0</v>
      </c>
      <c r="W177" s="417">
        <f t="shared" si="208"/>
        <v>0</v>
      </c>
      <c r="X177" s="417">
        <v>0</v>
      </c>
      <c r="Y177" s="417">
        <v>0</v>
      </c>
      <c r="Z177" s="417">
        <v>0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si="209"/>
        <v>0</v>
      </c>
      <c r="AF177" s="417">
        <f t="shared" si="210"/>
        <v>0</v>
      </c>
      <c r="AG177" s="417">
        <f t="shared" si="211"/>
        <v>0</v>
      </c>
      <c r="AH177" s="417">
        <v>0</v>
      </c>
      <c r="AI177" s="417">
        <v>0</v>
      </c>
      <c r="AJ177" s="417">
        <v>0</v>
      </c>
      <c r="AK177" s="417">
        <v>0</v>
      </c>
      <c r="AL177" s="417">
        <v>0</v>
      </c>
      <c r="AM177" s="417">
        <f t="shared" si="212"/>
        <v>0</v>
      </c>
      <c r="AN177" s="417">
        <f t="shared" si="213"/>
        <v>0</v>
      </c>
      <c r="AO177" s="417">
        <f t="shared" si="214"/>
        <v>0</v>
      </c>
      <c r="AP177" s="417">
        <f t="shared" si="215"/>
        <v>0</v>
      </c>
      <c r="AQ177" s="417">
        <f t="shared" si="216"/>
        <v>0</v>
      </c>
      <c r="AR177" s="417">
        <f t="shared" si="217"/>
        <v>0</v>
      </c>
      <c r="AS177" s="68">
        <f t="shared" si="218"/>
        <v>0</v>
      </c>
      <c r="AT177" s="68">
        <f t="shared" si="219"/>
        <v>0</v>
      </c>
      <c r="AU177" s="417">
        <v>0</v>
      </c>
      <c r="AV177" s="417">
        <v>0</v>
      </c>
      <c r="AW177" s="417">
        <v>0</v>
      </c>
      <c r="AX177" s="417">
        <f t="shared" si="220"/>
        <v>0</v>
      </c>
      <c r="AY177" s="417">
        <f t="shared" si="221"/>
        <v>0</v>
      </c>
      <c r="AZ177" s="418">
        <v>0</v>
      </c>
      <c r="BA177" s="418">
        <v>0</v>
      </c>
      <c r="BB177" s="418">
        <v>0</v>
      </c>
      <c r="BC177" s="418">
        <v>0</v>
      </c>
      <c r="BD177" s="418">
        <v>0</v>
      </c>
      <c r="BE177" s="418">
        <v>0</v>
      </c>
      <c r="BF177" s="418">
        <v>0</v>
      </c>
      <c r="BG177" s="418">
        <v>0</v>
      </c>
      <c r="BH177" s="418">
        <v>0</v>
      </c>
      <c r="BI177" s="418">
        <f t="shared" si="222"/>
        <v>0</v>
      </c>
      <c r="BJ177" s="418">
        <f t="shared" si="223"/>
        <v>0</v>
      </c>
      <c r="BK177" s="420">
        <f t="shared" si="224"/>
        <v>0</v>
      </c>
      <c r="BL177" s="772">
        <f t="shared" si="268"/>
        <v>30736</v>
      </c>
      <c r="BM177" s="417">
        <f t="shared" si="269"/>
        <v>22000</v>
      </c>
      <c r="BN177" s="417">
        <f t="shared" si="270"/>
        <v>0</v>
      </c>
      <c r="BO177" s="417">
        <f t="shared" si="270"/>
        <v>22000</v>
      </c>
      <c r="BP177" s="417">
        <f t="shared" si="271"/>
        <v>0</v>
      </c>
      <c r="BQ177" s="417">
        <f t="shared" si="272"/>
        <v>0</v>
      </c>
      <c r="BR177" s="417">
        <f t="shared" si="272"/>
        <v>0</v>
      </c>
      <c r="BS177" s="417">
        <f t="shared" si="273"/>
        <v>7436</v>
      </c>
      <c r="BT177" s="417">
        <f t="shared" si="273"/>
        <v>220</v>
      </c>
      <c r="BU177" s="417">
        <f t="shared" si="274"/>
        <v>1080</v>
      </c>
      <c r="BV177" s="418">
        <f t="shared" si="275"/>
        <v>0.09</v>
      </c>
      <c r="BW177" s="418">
        <f t="shared" si="276"/>
        <v>0</v>
      </c>
      <c r="BX177" s="420">
        <f t="shared" si="276"/>
        <v>0.09</v>
      </c>
      <c r="BY177" s="419"/>
      <c r="BZ177" s="414"/>
      <c r="CA177" s="414"/>
      <c r="CB177" s="414"/>
      <c r="CC177" s="414"/>
      <c r="CD177" s="509"/>
      <c r="CE177" s="419"/>
      <c r="CF177" s="601"/>
      <c r="CG177" s="414"/>
      <c r="CH177" s="414"/>
      <c r="CI177" s="602"/>
      <c r="CJ177" s="603"/>
    </row>
    <row r="178" spans="1:88" s="221" customFormat="1" ht="12.75" customHeight="1">
      <c r="A178" s="155">
        <v>31</v>
      </c>
      <c r="B178" s="18">
        <v>4431</v>
      </c>
      <c r="C178" s="18">
        <v>600074820</v>
      </c>
      <c r="D178" s="18">
        <v>70981515</v>
      </c>
      <c r="E178" s="164" t="s">
        <v>206</v>
      </c>
      <c r="F178" s="18"/>
      <c r="G178" s="154"/>
      <c r="H178" s="608"/>
      <c r="I178" s="450">
        <v>11877125</v>
      </c>
      <c r="J178" s="442">
        <v>8487174</v>
      </c>
      <c r="K178" s="442">
        <v>6904359</v>
      </c>
      <c r="L178" s="442">
        <v>1582815</v>
      </c>
      <c r="M178" s="442">
        <v>241840</v>
      </c>
      <c r="N178" s="442">
        <v>231840</v>
      </c>
      <c r="O178" s="442">
        <v>10000</v>
      </c>
      <c r="P178" s="442">
        <v>2950407</v>
      </c>
      <c r="Q178" s="442">
        <v>84871</v>
      </c>
      <c r="R178" s="442">
        <v>112833</v>
      </c>
      <c r="S178" s="443">
        <v>18.308</v>
      </c>
      <c r="T178" s="443">
        <v>13.5686</v>
      </c>
      <c r="U178" s="448">
        <v>4.7393999999999998</v>
      </c>
      <c r="V178" s="446">
        <f t="shared" ref="V178:CG178" si="277">SUM(V172:V177)</f>
        <v>100000</v>
      </c>
      <c r="W178" s="442">
        <f t="shared" si="277"/>
        <v>0</v>
      </c>
      <c r="X178" s="442">
        <f t="shared" si="277"/>
        <v>0</v>
      </c>
      <c r="Y178" s="442">
        <f t="shared" si="277"/>
        <v>0</v>
      </c>
      <c r="Z178" s="442">
        <f t="shared" si="277"/>
        <v>0</v>
      </c>
      <c r="AA178" s="442">
        <f t="shared" si="277"/>
        <v>-5701</v>
      </c>
      <c r="AB178" s="442">
        <f t="shared" si="277"/>
        <v>0</v>
      </c>
      <c r="AC178" s="442">
        <f t="shared" si="277"/>
        <v>0</v>
      </c>
      <c r="AD178" s="442">
        <f t="shared" si="277"/>
        <v>0</v>
      </c>
      <c r="AE178" s="442">
        <f t="shared" si="277"/>
        <v>100000</v>
      </c>
      <c r="AF178" s="442">
        <f t="shared" si="277"/>
        <v>-5701</v>
      </c>
      <c r="AG178" s="442">
        <f t="shared" si="277"/>
        <v>94299</v>
      </c>
      <c r="AH178" s="442">
        <f t="shared" si="277"/>
        <v>-100000</v>
      </c>
      <c r="AI178" s="442">
        <f t="shared" si="277"/>
        <v>0</v>
      </c>
      <c r="AJ178" s="442">
        <f t="shared" si="277"/>
        <v>0</v>
      </c>
      <c r="AK178" s="442">
        <f t="shared" si="277"/>
        <v>0</v>
      </c>
      <c r="AL178" s="442">
        <f t="shared" si="277"/>
        <v>0</v>
      </c>
      <c r="AM178" s="442">
        <f t="shared" si="277"/>
        <v>-100000</v>
      </c>
      <c r="AN178" s="442">
        <f t="shared" si="277"/>
        <v>0</v>
      </c>
      <c r="AO178" s="442">
        <f t="shared" si="277"/>
        <v>-100000</v>
      </c>
      <c r="AP178" s="442">
        <f t="shared" si="277"/>
        <v>0</v>
      </c>
      <c r="AQ178" s="442">
        <f t="shared" si="277"/>
        <v>-5701</v>
      </c>
      <c r="AR178" s="442">
        <f t="shared" si="277"/>
        <v>-5701</v>
      </c>
      <c r="AS178" s="442">
        <f t="shared" si="277"/>
        <v>-1927</v>
      </c>
      <c r="AT178" s="442">
        <f t="shared" si="277"/>
        <v>943</v>
      </c>
      <c r="AU178" s="442">
        <f t="shared" si="277"/>
        <v>0</v>
      </c>
      <c r="AV178" s="442">
        <f t="shared" si="277"/>
        <v>0</v>
      </c>
      <c r="AW178" s="442">
        <f t="shared" si="277"/>
        <v>0</v>
      </c>
      <c r="AX178" s="442">
        <f t="shared" si="277"/>
        <v>0</v>
      </c>
      <c r="AY178" s="442">
        <f t="shared" si="277"/>
        <v>-6685</v>
      </c>
      <c r="AZ178" s="443">
        <f t="shared" si="277"/>
        <v>0.17</v>
      </c>
      <c r="BA178" s="443">
        <f t="shared" si="277"/>
        <v>0</v>
      </c>
      <c r="BB178" s="443">
        <f t="shared" si="277"/>
        <v>0</v>
      </c>
      <c r="BC178" s="443">
        <f t="shared" si="277"/>
        <v>0</v>
      </c>
      <c r="BD178" s="443">
        <f t="shared" si="277"/>
        <v>-0.01</v>
      </c>
      <c r="BE178" s="443">
        <f t="shared" si="277"/>
        <v>0</v>
      </c>
      <c r="BF178" s="443">
        <f t="shared" si="277"/>
        <v>0</v>
      </c>
      <c r="BG178" s="443">
        <f t="shared" si="277"/>
        <v>0</v>
      </c>
      <c r="BH178" s="443">
        <f t="shared" si="277"/>
        <v>0</v>
      </c>
      <c r="BI178" s="443">
        <f t="shared" si="277"/>
        <v>0.17</v>
      </c>
      <c r="BJ178" s="443">
        <f t="shared" si="277"/>
        <v>-0.01</v>
      </c>
      <c r="BK178" s="40">
        <f t="shared" si="277"/>
        <v>0.16</v>
      </c>
      <c r="BL178" s="450">
        <f t="shared" si="277"/>
        <v>11870440</v>
      </c>
      <c r="BM178" s="442">
        <f t="shared" si="277"/>
        <v>8581473</v>
      </c>
      <c r="BN178" s="442">
        <f t="shared" si="277"/>
        <v>7004359</v>
      </c>
      <c r="BO178" s="442">
        <f t="shared" si="277"/>
        <v>1577114</v>
      </c>
      <c r="BP178" s="442">
        <f t="shared" si="277"/>
        <v>141840</v>
      </c>
      <c r="BQ178" s="442">
        <f t="shared" si="277"/>
        <v>131840</v>
      </c>
      <c r="BR178" s="442">
        <f t="shared" si="277"/>
        <v>10000</v>
      </c>
      <c r="BS178" s="442">
        <f t="shared" si="277"/>
        <v>2948480</v>
      </c>
      <c r="BT178" s="442">
        <f t="shared" si="277"/>
        <v>85814</v>
      </c>
      <c r="BU178" s="442">
        <f t="shared" si="277"/>
        <v>112833</v>
      </c>
      <c r="BV178" s="443">
        <f t="shared" si="277"/>
        <v>18.468</v>
      </c>
      <c r="BW178" s="443">
        <f t="shared" si="277"/>
        <v>13.738599999999998</v>
      </c>
      <c r="BX178" s="40">
        <f t="shared" si="277"/>
        <v>4.7294</v>
      </c>
      <c r="BY178" s="804">
        <f t="shared" si="277"/>
        <v>0</v>
      </c>
      <c r="BZ178" s="708">
        <f t="shared" si="277"/>
        <v>0</v>
      </c>
      <c r="CA178" s="708">
        <f t="shared" si="277"/>
        <v>0</v>
      </c>
      <c r="CB178" s="708">
        <f t="shared" si="277"/>
        <v>0</v>
      </c>
      <c r="CC178" s="708">
        <f t="shared" si="277"/>
        <v>0</v>
      </c>
      <c r="CD178" s="805">
        <f t="shared" si="277"/>
        <v>0</v>
      </c>
      <c r="CE178" s="916">
        <f t="shared" si="277"/>
        <v>345154</v>
      </c>
      <c r="CF178" s="917">
        <f t="shared" si="277"/>
        <v>239796</v>
      </c>
      <c r="CG178" s="917">
        <f t="shared" si="277"/>
        <v>81051</v>
      </c>
      <c r="CH178" s="917">
        <f t="shared" ref="CH178:CJ178" si="278">SUM(CH172:CH177)</f>
        <v>2398</v>
      </c>
      <c r="CI178" s="917">
        <f t="shared" si="278"/>
        <v>21909</v>
      </c>
      <c r="CJ178" s="918">
        <f t="shared" si="278"/>
        <v>0.6994999999999999</v>
      </c>
    </row>
    <row r="179" spans="1:88" s="221" customFormat="1" ht="12.75" customHeight="1">
      <c r="A179" s="209">
        <v>32</v>
      </c>
      <c r="B179" s="210">
        <v>4416</v>
      </c>
      <c r="C179" s="210">
        <v>600074153</v>
      </c>
      <c r="D179" s="210">
        <v>71013105</v>
      </c>
      <c r="E179" s="208" t="s">
        <v>207</v>
      </c>
      <c r="F179" s="210">
        <v>3111</v>
      </c>
      <c r="G179" s="165" t="s">
        <v>290</v>
      </c>
      <c r="H179" s="621" t="s">
        <v>271</v>
      </c>
      <c r="I179" s="510">
        <v>3750221</v>
      </c>
      <c r="J179" s="414">
        <v>2770787</v>
      </c>
      <c r="K179" s="414">
        <v>2444204</v>
      </c>
      <c r="L179" s="414">
        <v>326583</v>
      </c>
      <c r="M179" s="414">
        <v>0</v>
      </c>
      <c r="N179" s="414">
        <v>0</v>
      </c>
      <c r="O179" s="414">
        <v>0</v>
      </c>
      <c r="P179" s="68">
        <v>936526</v>
      </c>
      <c r="Q179" s="68">
        <v>27708</v>
      </c>
      <c r="R179" s="414">
        <v>15200</v>
      </c>
      <c r="S179" s="415">
        <v>5.0994999999999999</v>
      </c>
      <c r="T179" s="416">
        <v>4</v>
      </c>
      <c r="U179" s="422">
        <v>1.0994999999999999</v>
      </c>
      <c r="V179" s="423">
        <f t="shared" si="207"/>
        <v>0</v>
      </c>
      <c r="W179" s="417">
        <f t="shared" si="208"/>
        <v>0</v>
      </c>
      <c r="X179" s="417">
        <v>0</v>
      </c>
      <c r="Y179" s="417">
        <v>0</v>
      </c>
      <c r="Z179" s="417">
        <v>0</v>
      </c>
      <c r="AA179" s="417">
        <v>0</v>
      </c>
      <c r="AB179" s="417">
        <v>0</v>
      </c>
      <c r="AC179" s="417">
        <v>0</v>
      </c>
      <c r="AD179" s="417">
        <v>0</v>
      </c>
      <c r="AE179" s="417">
        <f t="shared" si="209"/>
        <v>0</v>
      </c>
      <c r="AF179" s="417">
        <f t="shared" si="210"/>
        <v>0</v>
      </c>
      <c r="AG179" s="417">
        <f t="shared" si="211"/>
        <v>0</v>
      </c>
      <c r="AH179" s="417">
        <v>0</v>
      </c>
      <c r="AI179" s="417">
        <v>0</v>
      </c>
      <c r="AJ179" s="417">
        <v>0</v>
      </c>
      <c r="AK179" s="417">
        <v>0</v>
      </c>
      <c r="AL179" s="417">
        <v>0</v>
      </c>
      <c r="AM179" s="417">
        <f t="shared" si="212"/>
        <v>0</v>
      </c>
      <c r="AN179" s="417">
        <f t="shared" si="213"/>
        <v>0</v>
      </c>
      <c r="AO179" s="417">
        <f t="shared" si="214"/>
        <v>0</v>
      </c>
      <c r="AP179" s="417">
        <f t="shared" si="215"/>
        <v>0</v>
      </c>
      <c r="AQ179" s="417">
        <f t="shared" si="216"/>
        <v>0</v>
      </c>
      <c r="AR179" s="417">
        <f t="shared" si="217"/>
        <v>0</v>
      </c>
      <c r="AS179" s="68">
        <f t="shared" si="218"/>
        <v>0</v>
      </c>
      <c r="AT179" s="68">
        <f t="shared" si="219"/>
        <v>0</v>
      </c>
      <c r="AU179" s="417">
        <v>0</v>
      </c>
      <c r="AV179" s="417">
        <v>0</v>
      </c>
      <c r="AW179" s="417">
        <v>0</v>
      </c>
      <c r="AX179" s="417">
        <f t="shared" si="220"/>
        <v>0</v>
      </c>
      <c r="AY179" s="417">
        <f t="shared" si="221"/>
        <v>0</v>
      </c>
      <c r="AZ179" s="418">
        <v>0</v>
      </c>
      <c r="BA179" s="418">
        <v>0</v>
      </c>
      <c r="BB179" s="418">
        <v>0</v>
      </c>
      <c r="BC179" s="418">
        <v>0</v>
      </c>
      <c r="BD179" s="418">
        <v>0</v>
      </c>
      <c r="BE179" s="418">
        <v>0</v>
      </c>
      <c r="BF179" s="418">
        <v>0</v>
      </c>
      <c r="BG179" s="418">
        <v>0</v>
      </c>
      <c r="BH179" s="418">
        <v>0</v>
      </c>
      <c r="BI179" s="418">
        <f t="shared" si="222"/>
        <v>0</v>
      </c>
      <c r="BJ179" s="418">
        <f t="shared" si="223"/>
        <v>0</v>
      </c>
      <c r="BK179" s="420">
        <f t="shared" si="224"/>
        <v>0</v>
      </c>
      <c r="BL179" s="772">
        <f>I179+AY179</f>
        <v>3750221</v>
      </c>
      <c r="BM179" s="417">
        <f>J179+AG179</f>
        <v>2770787</v>
      </c>
      <c r="BN179" s="417">
        <f t="shared" ref="BN179:BO181" si="279">K179+AE179</f>
        <v>2444204</v>
      </c>
      <c r="BO179" s="417">
        <f t="shared" si="279"/>
        <v>326583</v>
      </c>
      <c r="BP179" s="417">
        <f>M179+AO179</f>
        <v>0</v>
      </c>
      <c r="BQ179" s="417">
        <f t="shared" ref="BQ179:BR181" si="280">N179+AM179</f>
        <v>0</v>
      </c>
      <c r="BR179" s="417">
        <f t="shared" si="280"/>
        <v>0</v>
      </c>
      <c r="BS179" s="417">
        <f t="shared" ref="BS179:BT181" si="281">P179+AS179</f>
        <v>936526</v>
      </c>
      <c r="BT179" s="417">
        <f t="shared" si="281"/>
        <v>27708</v>
      </c>
      <c r="BU179" s="417">
        <f>R179+AX179</f>
        <v>15200</v>
      </c>
      <c r="BV179" s="418">
        <f>S179+BK179</f>
        <v>5.0994999999999999</v>
      </c>
      <c r="BW179" s="418">
        <f t="shared" ref="BW179:BX181" si="282">T179+BI179</f>
        <v>4</v>
      </c>
      <c r="BX179" s="420">
        <f t="shared" si="282"/>
        <v>1.0994999999999999</v>
      </c>
      <c r="BY179" s="419"/>
      <c r="BZ179" s="414"/>
      <c r="CA179" s="414"/>
      <c r="CB179" s="414"/>
      <c r="CC179" s="414"/>
      <c r="CD179" s="509"/>
      <c r="CE179" s="419">
        <v>146312</v>
      </c>
      <c r="CF179" s="414">
        <v>104791</v>
      </c>
      <c r="CG179" s="414">
        <v>35419</v>
      </c>
      <c r="CH179" s="414">
        <v>1048</v>
      </c>
      <c r="CI179" s="414">
        <v>5054</v>
      </c>
      <c r="CJ179" s="509">
        <v>0.3528</v>
      </c>
    </row>
    <row r="180" spans="1:88" s="221" customFormat="1" ht="12.75" customHeight="1">
      <c r="A180" s="209">
        <v>32</v>
      </c>
      <c r="B180" s="210">
        <v>4416</v>
      </c>
      <c r="C180" s="210">
        <v>600074153</v>
      </c>
      <c r="D180" s="210">
        <v>71013105</v>
      </c>
      <c r="E180" s="208" t="s">
        <v>207</v>
      </c>
      <c r="F180" s="210">
        <v>3111</v>
      </c>
      <c r="G180" s="165" t="s">
        <v>291</v>
      </c>
      <c r="H180" s="621" t="s">
        <v>272</v>
      </c>
      <c r="I180" s="510">
        <v>499840</v>
      </c>
      <c r="J180" s="414">
        <v>370801</v>
      </c>
      <c r="K180" s="414">
        <v>370801</v>
      </c>
      <c r="L180" s="414">
        <v>0</v>
      </c>
      <c r="M180" s="414">
        <v>0</v>
      </c>
      <c r="N180" s="414">
        <v>0</v>
      </c>
      <c r="O180" s="414">
        <v>0</v>
      </c>
      <c r="P180" s="68">
        <v>125331</v>
      </c>
      <c r="Q180" s="68">
        <v>3708</v>
      </c>
      <c r="R180" s="414">
        <v>0</v>
      </c>
      <c r="S180" s="415">
        <v>1</v>
      </c>
      <c r="T180" s="416">
        <v>1</v>
      </c>
      <c r="U180" s="422">
        <v>0</v>
      </c>
      <c r="V180" s="423">
        <f t="shared" si="207"/>
        <v>0</v>
      </c>
      <c r="W180" s="417">
        <f t="shared" si="208"/>
        <v>0</v>
      </c>
      <c r="X180" s="417">
        <v>0</v>
      </c>
      <c r="Y180" s="417">
        <v>0</v>
      </c>
      <c r="Z180" s="417">
        <v>0</v>
      </c>
      <c r="AA180" s="417">
        <v>0</v>
      </c>
      <c r="AB180" s="417">
        <v>0</v>
      </c>
      <c r="AC180" s="417">
        <v>0</v>
      </c>
      <c r="AD180" s="417">
        <v>0</v>
      </c>
      <c r="AE180" s="417">
        <f t="shared" si="209"/>
        <v>0</v>
      </c>
      <c r="AF180" s="417">
        <f t="shared" si="210"/>
        <v>0</v>
      </c>
      <c r="AG180" s="417">
        <f t="shared" si="211"/>
        <v>0</v>
      </c>
      <c r="AH180" s="417">
        <v>0</v>
      </c>
      <c r="AI180" s="417">
        <v>0</v>
      </c>
      <c r="AJ180" s="417">
        <v>0</v>
      </c>
      <c r="AK180" s="417">
        <v>0</v>
      </c>
      <c r="AL180" s="417">
        <v>0</v>
      </c>
      <c r="AM180" s="417">
        <f t="shared" si="212"/>
        <v>0</v>
      </c>
      <c r="AN180" s="417">
        <f t="shared" si="213"/>
        <v>0</v>
      </c>
      <c r="AO180" s="417">
        <f t="shared" si="214"/>
        <v>0</v>
      </c>
      <c r="AP180" s="417">
        <f t="shared" si="215"/>
        <v>0</v>
      </c>
      <c r="AQ180" s="417">
        <f t="shared" si="216"/>
        <v>0</v>
      </c>
      <c r="AR180" s="417">
        <f t="shared" si="217"/>
        <v>0</v>
      </c>
      <c r="AS180" s="68">
        <f t="shared" si="218"/>
        <v>0</v>
      </c>
      <c r="AT180" s="68">
        <f t="shared" si="219"/>
        <v>0</v>
      </c>
      <c r="AU180" s="417">
        <v>0</v>
      </c>
      <c r="AV180" s="417">
        <v>0</v>
      </c>
      <c r="AW180" s="417">
        <v>0</v>
      </c>
      <c r="AX180" s="417">
        <f t="shared" si="220"/>
        <v>0</v>
      </c>
      <c r="AY180" s="417">
        <f t="shared" si="221"/>
        <v>0</v>
      </c>
      <c r="AZ180" s="418">
        <v>0</v>
      </c>
      <c r="BA180" s="418">
        <v>0</v>
      </c>
      <c r="BB180" s="418">
        <v>0</v>
      </c>
      <c r="BC180" s="418">
        <v>0</v>
      </c>
      <c r="BD180" s="418">
        <v>0</v>
      </c>
      <c r="BE180" s="418">
        <v>0</v>
      </c>
      <c r="BF180" s="418">
        <v>0</v>
      </c>
      <c r="BG180" s="418">
        <v>0</v>
      </c>
      <c r="BH180" s="418">
        <v>0</v>
      </c>
      <c r="BI180" s="418">
        <f t="shared" si="222"/>
        <v>0</v>
      </c>
      <c r="BJ180" s="418">
        <f t="shared" si="223"/>
        <v>0</v>
      </c>
      <c r="BK180" s="420">
        <f t="shared" si="224"/>
        <v>0</v>
      </c>
      <c r="BL180" s="772">
        <f>I180+AY180</f>
        <v>499840</v>
      </c>
      <c r="BM180" s="417">
        <f>J180+AG180</f>
        <v>370801</v>
      </c>
      <c r="BN180" s="417">
        <f t="shared" si="279"/>
        <v>370801</v>
      </c>
      <c r="BO180" s="417">
        <f t="shared" si="279"/>
        <v>0</v>
      </c>
      <c r="BP180" s="417">
        <f>M180+AO180</f>
        <v>0</v>
      </c>
      <c r="BQ180" s="417">
        <f t="shared" si="280"/>
        <v>0</v>
      </c>
      <c r="BR180" s="417">
        <f t="shared" si="280"/>
        <v>0</v>
      </c>
      <c r="BS180" s="417">
        <f t="shared" si="281"/>
        <v>125331</v>
      </c>
      <c r="BT180" s="417">
        <f t="shared" si="281"/>
        <v>3708</v>
      </c>
      <c r="BU180" s="417">
        <f>R180+AX180</f>
        <v>0</v>
      </c>
      <c r="BV180" s="418">
        <f>S180+BK180</f>
        <v>1</v>
      </c>
      <c r="BW180" s="418">
        <f t="shared" si="282"/>
        <v>1</v>
      </c>
      <c r="BX180" s="420">
        <f t="shared" si="282"/>
        <v>0</v>
      </c>
      <c r="BY180" s="419"/>
      <c r="BZ180" s="414"/>
      <c r="CA180" s="414"/>
      <c r="CB180" s="414"/>
      <c r="CC180" s="414"/>
      <c r="CD180" s="509"/>
      <c r="CE180" s="419"/>
      <c r="CF180" s="414"/>
      <c r="CG180" s="414"/>
      <c r="CH180" s="414"/>
      <c r="CI180" s="414"/>
      <c r="CJ180" s="509"/>
    </row>
    <row r="181" spans="1:88" s="221" customFormat="1" ht="12.75" customHeight="1">
      <c r="A181" s="209">
        <v>32</v>
      </c>
      <c r="B181" s="210">
        <v>4416</v>
      </c>
      <c r="C181" s="210">
        <v>600074153</v>
      </c>
      <c r="D181" s="210">
        <v>71013105</v>
      </c>
      <c r="E181" s="204" t="s">
        <v>207</v>
      </c>
      <c r="F181" s="210">
        <v>3141</v>
      </c>
      <c r="G181" s="165" t="s">
        <v>294</v>
      </c>
      <c r="H181" s="621" t="s">
        <v>272</v>
      </c>
      <c r="I181" s="510">
        <v>564105</v>
      </c>
      <c r="J181" s="414">
        <v>417048</v>
      </c>
      <c r="K181" s="414">
        <v>0</v>
      </c>
      <c r="L181" s="414">
        <v>417048</v>
      </c>
      <c r="M181" s="414">
        <v>0</v>
      </c>
      <c r="N181" s="414">
        <v>0</v>
      </c>
      <c r="O181" s="414">
        <v>0</v>
      </c>
      <c r="P181" s="68">
        <v>140962</v>
      </c>
      <c r="Q181" s="68">
        <v>4171</v>
      </c>
      <c r="R181" s="414">
        <v>1924</v>
      </c>
      <c r="S181" s="415">
        <v>1.25</v>
      </c>
      <c r="T181" s="416">
        <v>0</v>
      </c>
      <c r="U181" s="422">
        <v>1.25</v>
      </c>
      <c r="V181" s="423">
        <f t="shared" si="207"/>
        <v>0</v>
      </c>
      <c r="W181" s="417">
        <f t="shared" si="208"/>
        <v>0</v>
      </c>
      <c r="X181" s="417">
        <v>0</v>
      </c>
      <c r="Y181" s="417">
        <v>0</v>
      </c>
      <c r="Z181" s="417">
        <v>0</v>
      </c>
      <c r="AA181" s="417">
        <v>7157</v>
      </c>
      <c r="AB181" s="417">
        <v>0</v>
      </c>
      <c r="AC181" s="417">
        <v>0</v>
      </c>
      <c r="AD181" s="417">
        <v>0</v>
      </c>
      <c r="AE181" s="417">
        <f t="shared" si="209"/>
        <v>0</v>
      </c>
      <c r="AF181" s="417">
        <f t="shared" si="210"/>
        <v>7157</v>
      </c>
      <c r="AG181" s="417">
        <f t="shared" si="211"/>
        <v>7157</v>
      </c>
      <c r="AH181" s="417">
        <v>0</v>
      </c>
      <c r="AI181" s="417">
        <v>0</v>
      </c>
      <c r="AJ181" s="417">
        <v>0</v>
      </c>
      <c r="AK181" s="417">
        <v>0</v>
      </c>
      <c r="AL181" s="417">
        <v>0</v>
      </c>
      <c r="AM181" s="417">
        <f t="shared" si="212"/>
        <v>0</v>
      </c>
      <c r="AN181" s="417">
        <f t="shared" si="213"/>
        <v>0</v>
      </c>
      <c r="AO181" s="417">
        <f t="shared" si="214"/>
        <v>0</v>
      </c>
      <c r="AP181" s="417">
        <f t="shared" si="215"/>
        <v>0</v>
      </c>
      <c r="AQ181" s="417">
        <f t="shared" si="216"/>
        <v>7157</v>
      </c>
      <c r="AR181" s="417">
        <f t="shared" si="217"/>
        <v>7157</v>
      </c>
      <c r="AS181" s="68">
        <f t="shared" si="218"/>
        <v>2419</v>
      </c>
      <c r="AT181" s="68">
        <f t="shared" si="219"/>
        <v>72</v>
      </c>
      <c r="AU181" s="417">
        <v>0</v>
      </c>
      <c r="AV181" s="417">
        <v>0</v>
      </c>
      <c r="AW181" s="417">
        <v>0</v>
      </c>
      <c r="AX181" s="417">
        <f t="shared" si="220"/>
        <v>0</v>
      </c>
      <c r="AY181" s="417">
        <f t="shared" si="221"/>
        <v>9648</v>
      </c>
      <c r="AZ181" s="418">
        <v>0</v>
      </c>
      <c r="BA181" s="418">
        <v>0</v>
      </c>
      <c r="BB181" s="418">
        <v>0</v>
      </c>
      <c r="BC181" s="418">
        <v>0</v>
      </c>
      <c r="BD181" s="418">
        <v>0.02</v>
      </c>
      <c r="BE181" s="418">
        <v>0</v>
      </c>
      <c r="BF181" s="418">
        <v>0</v>
      </c>
      <c r="BG181" s="418">
        <v>0</v>
      </c>
      <c r="BH181" s="418">
        <v>0</v>
      </c>
      <c r="BI181" s="418">
        <f t="shared" si="222"/>
        <v>0</v>
      </c>
      <c r="BJ181" s="418">
        <f t="shared" si="223"/>
        <v>0.02</v>
      </c>
      <c r="BK181" s="420">
        <f t="shared" si="224"/>
        <v>0.02</v>
      </c>
      <c r="BL181" s="772">
        <f>I181+AY181</f>
        <v>573753</v>
      </c>
      <c r="BM181" s="417">
        <f>J181+AG181</f>
        <v>424205</v>
      </c>
      <c r="BN181" s="417">
        <f t="shared" si="279"/>
        <v>0</v>
      </c>
      <c r="BO181" s="417">
        <f t="shared" si="279"/>
        <v>424205</v>
      </c>
      <c r="BP181" s="417">
        <f>M181+AO181</f>
        <v>0</v>
      </c>
      <c r="BQ181" s="417">
        <f t="shared" si="280"/>
        <v>0</v>
      </c>
      <c r="BR181" s="417">
        <f t="shared" si="280"/>
        <v>0</v>
      </c>
      <c r="BS181" s="417">
        <f t="shared" si="281"/>
        <v>143381</v>
      </c>
      <c r="BT181" s="417">
        <f t="shared" si="281"/>
        <v>4243</v>
      </c>
      <c r="BU181" s="417">
        <f>R181+AX181</f>
        <v>1924</v>
      </c>
      <c r="BV181" s="418">
        <f>S181+BK181</f>
        <v>1.27</v>
      </c>
      <c r="BW181" s="418">
        <f t="shared" si="282"/>
        <v>0</v>
      </c>
      <c r="BX181" s="420">
        <f t="shared" si="282"/>
        <v>1.27</v>
      </c>
      <c r="BY181" s="419"/>
      <c r="BZ181" s="414"/>
      <c r="CA181" s="414"/>
      <c r="CB181" s="414"/>
      <c r="CC181" s="414"/>
      <c r="CD181" s="509"/>
      <c r="CE181" s="419"/>
      <c r="CF181" s="601"/>
      <c r="CG181" s="414"/>
      <c r="CH181" s="414"/>
      <c r="CI181" s="601"/>
      <c r="CJ181" s="603"/>
    </row>
    <row r="182" spans="1:88" s="221" customFormat="1" ht="12.75" customHeight="1">
      <c r="A182" s="155">
        <v>32</v>
      </c>
      <c r="B182" s="18">
        <v>4416</v>
      </c>
      <c r="C182" s="18">
        <v>600074153</v>
      </c>
      <c r="D182" s="18">
        <v>71013105</v>
      </c>
      <c r="E182" s="164" t="s">
        <v>208</v>
      </c>
      <c r="F182" s="18"/>
      <c r="G182" s="154"/>
      <c r="H182" s="608"/>
      <c r="I182" s="451">
        <v>4814166</v>
      </c>
      <c r="J182" s="444">
        <v>3558636</v>
      </c>
      <c r="K182" s="444">
        <v>2815005</v>
      </c>
      <c r="L182" s="444">
        <v>743631</v>
      </c>
      <c r="M182" s="444">
        <v>0</v>
      </c>
      <c r="N182" s="444">
        <v>0</v>
      </c>
      <c r="O182" s="444">
        <v>0</v>
      </c>
      <c r="P182" s="444">
        <v>1202819</v>
      </c>
      <c r="Q182" s="444">
        <v>35587</v>
      </c>
      <c r="R182" s="444">
        <v>17124</v>
      </c>
      <c r="S182" s="445">
        <v>7.3494999999999999</v>
      </c>
      <c r="T182" s="445">
        <v>5</v>
      </c>
      <c r="U182" s="449">
        <v>2.3494999999999999</v>
      </c>
      <c r="V182" s="447">
        <f t="shared" ref="V182:CG182" si="283">SUM(V179:V181)</f>
        <v>0</v>
      </c>
      <c r="W182" s="444">
        <f t="shared" si="283"/>
        <v>0</v>
      </c>
      <c r="X182" s="444">
        <f t="shared" si="283"/>
        <v>0</v>
      </c>
      <c r="Y182" s="444">
        <f t="shared" si="283"/>
        <v>0</v>
      </c>
      <c r="Z182" s="444">
        <f t="shared" si="283"/>
        <v>0</v>
      </c>
      <c r="AA182" s="444">
        <f t="shared" si="283"/>
        <v>7157</v>
      </c>
      <c r="AB182" s="444">
        <f t="shared" si="283"/>
        <v>0</v>
      </c>
      <c r="AC182" s="444">
        <f t="shared" si="283"/>
        <v>0</v>
      </c>
      <c r="AD182" s="444">
        <f t="shared" si="283"/>
        <v>0</v>
      </c>
      <c r="AE182" s="444">
        <f t="shared" si="283"/>
        <v>0</v>
      </c>
      <c r="AF182" s="444">
        <f t="shared" si="283"/>
        <v>7157</v>
      </c>
      <c r="AG182" s="444">
        <f t="shared" si="283"/>
        <v>7157</v>
      </c>
      <c r="AH182" s="444">
        <f t="shared" si="283"/>
        <v>0</v>
      </c>
      <c r="AI182" s="444">
        <f t="shared" si="283"/>
        <v>0</v>
      </c>
      <c r="AJ182" s="444">
        <f t="shared" si="283"/>
        <v>0</v>
      </c>
      <c r="AK182" s="444">
        <f t="shared" si="283"/>
        <v>0</v>
      </c>
      <c r="AL182" s="444">
        <f t="shared" si="283"/>
        <v>0</v>
      </c>
      <c r="AM182" s="444">
        <f t="shared" si="283"/>
        <v>0</v>
      </c>
      <c r="AN182" s="444">
        <f t="shared" si="283"/>
        <v>0</v>
      </c>
      <c r="AO182" s="444">
        <f t="shared" si="283"/>
        <v>0</v>
      </c>
      <c r="AP182" s="444">
        <f t="shared" si="283"/>
        <v>0</v>
      </c>
      <c r="AQ182" s="444">
        <f t="shared" si="283"/>
        <v>7157</v>
      </c>
      <c r="AR182" s="444">
        <f t="shared" si="283"/>
        <v>7157</v>
      </c>
      <c r="AS182" s="444">
        <f t="shared" si="283"/>
        <v>2419</v>
      </c>
      <c r="AT182" s="444">
        <f t="shared" si="283"/>
        <v>72</v>
      </c>
      <c r="AU182" s="444">
        <f t="shared" si="283"/>
        <v>0</v>
      </c>
      <c r="AV182" s="444">
        <f t="shared" si="283"/>
        <v>0</v>
      </c>
      <c r="AW182" s="444">
        <f t="shared" si="283"/>
        <v>0</v>
      </c>
      <c r="AX182" s="444">
        <f t="shared" si="283"/>
        <v>0</v>
      </c>
      <c r="AY182" s="444">
        <f t="shared" si="283"/>
        <v>9648</v>
      </c>
      <c r="AZ182" s="445">
        <f t="shared" si="283"/>
        <v>0</v>
      </c>
      <c r="BA182" s="445">
        <f t="shared" si="283"/>
        <v>0</v>
      </c>
      <c r="BB182" s="445">
        <f t="shared" si="283"/>
        <v>0</v>
      </c>
      <c r="BC182" s="445">
        <f t="shared" si="283"/>
        <v>0</v>
      </c>
      <c r="BD182" s="445">
        <f t="shared" si="283"/>
        <v>0.02</v>
      </c>
      <c r="BE182" s="445">
        <f t="shared" si="283"/>
        <v>0</v>
      </c>
      <c r="BF182" s="445">
        <f t="shared" si="283"/>
        <v>0</v>
      </c>
      <c r="BG182" s="445">
        <f t="shared" si="283"/>
        <v>0</v>
      </c>
      <c r="BH182" s="445">
        <f t="shared" si="283"/>
        <v>0</v>
      </c>
      <c r="BI182" s="445">
        <f t="shared" si="283"/>
        <v>0</v>
      </c>
      <c r="BJ182" s="445">
        <f t="shared" si="283"/>
        <v>0.02</v>
      </c>
      <c r="BK182" s="39">
        <f t="shared" si="283"/>
        <v>0.02</v>
      </c>
      <c r="BL182" s="451">
        <f t="shared" si="283"/>
        <v>4823814</v>
      </c>
      <c r="BM182" s="444">
        <f t="shared" si="283"/>
        <v>3565793</v>
      </c>
      <c r="BN182" s="444">
        <f t="shared" si="283"/>
        <v>2815005</v>
      </c>
      <c r="BO182" s="444">
        <f t="shared" si="283"/>
        <v>750788</v>
      </c>
      <c r="BP182" s="444">
        <f t="shared" si="283"/>
        <v>0</v>
      </c>
      <c r="BQ182" s="444">
        <f t="shared" si="283"/>
        <v>0</v>
      </c>
      <c r="BR182" s="444">
        <f t="shared" si="283"/>
        <v>0</v>
      </c>
      <c r="BS182" s="444">
        <f t="shared" si="283"/>
        <v>1205238</v>
      </c>
      <c r="BT182" s="444">
        <f t="shared" si="283"/>
        <v>35659</v>
      </c>
      <c r="BU182" s="444">
        <f t="shared" si="283"/>
        <v>17124</v>
      </c>
      <c r="BV182" s="445">
        <f t="shared" si="283"/>
        <v>7.3695000000000004</v>
      </c>
      <c r="BW182" s="445">
        <f t="shared" si="283"/>
        <v>5</v>
      </c>
      <c r="BX182" s="39">
        <f t="shared" si="283"/>
        <v>2.3694999999999999</v>
      </c>
      <c r="BY182" s="806">
        <f t="shared" si="283"/>
        <v>0</v>
      </c>
      <c r="BZ182" s="709">
        <f t="shared" si="283"/>
        <v>0</v>
      </c>
      <c r="CA182" s="709">
        <f t="shared" si="283"/>
        <v>0</v>
      </c>
      <c r="CB182" s="709">
        <f t="shared" si="283"/>
        <v>0</v>
      </c>
      <c r="CC182" s="709">
        <f t="shared" si="283"/>
        <v>0</v>
      </c>
      <c r="CD182" s="807">
        <f t="shared" si="283"/>
        <v>0</v>
      </c>
      <c r="CE182" s="919">
        <f t="shared" si="283"/>
        <v>146312</v>
      </c>
      <c r="CF182" s="920">
        <f t="shared" si="283"/>
        <v>104791</v>
      </c>
      <c r="CG182" s="920">
        <f t="shared" si="283"/>
        <v>35419</v>
      </c>
      <c r="CH182" s="920">
        <f t="shared" ref="CH182:CJ182" si="284">SUM(CH179:CH181)</f>
        <v>1048</v>
      </c>
      <c r="CI182" s="920">
        <f t="shared" si="284"/>
        <v>5054</v>
      </c>
      <c r="CJ182" s="921">
        <f t="shared" si="284"/>
        <v>0.3528</v>
      </c>
    </row>
    <row r="183" spans="1:88" s="221" customFormat="1" ht="12.75" customHeight="1">
      <c r="A183" s="209">
        <v>33</v>
      </c>
      <c r="B183" s="210">
        <v>4447</v>
      </c>
      <c r="C183" s="210">
        <v>600074749</v>
      </c>
      <c r="D183" s="210">
        <v>70695962</v>
      </c>
      <c r="E183" s="208" t="s">
        <v>209</v>
      </c>
      <c r="F183" s="210">
        <v>3113</v>
      </c>
      <c r="G183" s="165" t="s">
        <v>293</v>
      </c>
      <c r="H183" s="621" t="s">
        <v>271</v>
      </c>
      <c r="I183" s="510">
        <v>13054092</v>
      </c>
      <c r="J183" s="414">
        <v>9548451</v>
      </c>
      <c r="K183" s="414">
        <v>8390822</v>
      </c>
      <c r="L183" s="414">
        <v>1157629</v>
      </c>
      <c r="M183" s="414">
        <v>0</v>
      </c>
      <c r="N183" s="414">
        <v>0</v>
      </c>
      <c r="O183" s="414">
        <v>0</v>
      </c>
      <c r="P183" s="68">
        <v>3227376</v>
      </c>
      <c r="Q183" s="68">
        <v>95485</v>
      </c>
      <c r="R183" s="414">
        <v>182780</v>
      </c>
      <c r="S183" s="415">
        <v>15.298399999999999</v>
      </c>
      <c r="T183" s="416">
        <v>11.9999</v>
      </c>
      <c r="U183" s="422">
        <v>3.2984999999999998</v>
      </c>
      <c r="V183" s="423">
        <f t="shared" si="207"/>
        <v>0</v>
      </c>
      <c r="W183" s="417">
        <f t="shared" si="208"/>
        <v>0</v>
      </c>
      <c r="X183" s="417">
        <v>0</v>
      </c>
      <c r="Y183" s="417">
        <v>0</v>
      </c>
      <c r="Z183" s="417">
        <v>-126705</v>
      </c>
      <c r="AA183" s="417">
        <v>0</v>
      </c>
      <c r="AB183" s="417">
        <v>0</v>
      </c>
      <c r="AC183" s="417">
        <v>0</v>
      </c>
      <c r="AD183" s="417">
        <v>0</v>
      </c>
      <c r="AE183" s="417">
        <f t="shared" si="209"/>
        <v>-126705</v>
      </c>
      <c r="AF183" s="417">
        <f t="shared" si="210"/>
        <v>0</v>
      </c>
      <c r="AG183" s="417">
        <f t="shared" si="211"/>
        <v>-126705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212"/>
        <v>0</v>
      </c>
      <c r="AN183" s="417">
        <f t="shared" si="213"/>
        <v>0</v>
      </c>
      <c r="AO183" s="417">
        <f t="shared" si="214"/>
        <v>0</v>
      </c>
      <c r="AP183" s="417">
        <f t="shared" si="215"/>
        <v>-126705</v>
      </c>
      <c r="AQ183" s="417">
        <f t="shared" si="216"/>
        <v>0</v>
      </c>
      <c r="AR183" s="417">
        <f t="shared" si="217"/>
        <v>-126705</v>
      </c>
      <c r="AS183" s="68">
        <f t="shared" si="218"/>
        <v>-42826</v>
      </c>
      <c r="AT183" s="68">
        <f t="shared" si="219"/>
        <v>-1267</v>
      </c>
      <c r="AU183" s="417">
        <v>0</v>
      </c>
      <c r="AV183" s="417">
        <v>0</v>
      </c>
      <c r="AW183" s="417">
        <v>0</v>
      </c>
      <c r="AX183" s="417">
        <f t="shared" si="220"/>
        <v>0</v>
      </c>
      <c r="AY183" s="417">
        <f t="shared" si="221"/>
        <v>-170798</v>
      </c>
      <c r="AZ183" s="418">
        <v>0</v>
      </c>
      <c r="BA183" s="418">
        <v>0</v>
      </c>
      <c r="BB183" s="418">
        <v>0</v>
      </c>
      <c r="BC183" s="418">
        <v>-0.24</v>
      </c>
      <c r="BD183" s="418">
        <v>0</v>
      </c>
      <c r="BE183" s="418">
        <v>0</v>
      </c>
      <c r="BF183" s="418">
        <v>0</v>
      </c>
      <c r="BG183" s="418">
        <v>0</v>
      </c>
      <c r="BH183" s="418">
        <v>0</v>
      </c>
      <c r="BI183" s="418">
        <f t="shared" si="222"/>
        <v>-0.24</v>
      </c>
      <c r="BJ183" s="418">
        <f t="shared" si="223"/>
        <v>0</v>
      </c>
      <c r="BK183" s="420">
        <f t="shared" si="224"/>
        <v>-0.24</v>
      </c>
      <c r="BL183" s="772">
        <f>I183+AY183</f>
        <v>12883294</v>
      </c>
      <c r="BM183" s="417">
        <f>J183+AG183</f>
        <v>9421746</v>
      </c>
      <c r="BN183" s="417">
        <f t="shared" ref="BN183:BO187" si="285">K183+AE183</f>
        <v>8264117</v>
      </c>
      <c r="BO183" s="417">
        <f t="shared" si="285"/>
        <v>1157629</v>
      </c>
      <c r="BP183" s="417">
        <f>M183+AO183</f>
        <v>0</v>
      </c>
      <c r="BQ183" s="417">
        <f t="shared" ref="BQ183:BR187" si="286">N183+AM183</f>
        <v>0</v>
      </c>
      <c r="BR183" s="417">
        <f t="shared" si="286"/>
        <v>0</v>
      </c>
      <c r="BS183" s="417">
        <f t="shared" ref="BS183:BT187" si="287">P183+AS183</f>
        <v>3184550</v>
      </c>
      <c r="BT183" s="417">
        <f t="shared" si="287"/>
        <v>94218</v>
      </c>
      <c r="BU183" s="417">
        <f>R183+AX183</f>
        <v>182780</v>
      </c>
      <c r="BV183" s="418">
        <f>S183+BK183</f>
        <v>15.058399999999999</v>
      </c>
      <c r="BW183" s="418">
        <f t="shared" ref="BW183:BX187" si="288">T183+BI183</f>
        <v>11.7599</v>
      </c>
      <c r="BX183" s="420">
        <f t="shared" si="288"/>
        <v>3.2984999999999998</v>
      </c>
      <c r="BY183" s="419"/>
      <c r="BZ183" s="414"/>
      <c r="CA183" s="414"/>
      <c r="CB183" s="414"/>
      <c r="CC183" s="414"/>
      <c r="CD183" s="509"/>
      <c r="CE183" s="419">
        <v>552015</v>
      </c>
      <c r="CF183" s="414">
        <v>371563</v>
      </c>
      <c r="CG183" s="414">
        <v>125588</v>
      </c>
      <c r="CH183" s="414">
        <v>3716</v>
      </c>
      <c r="CI183" s="414">
        <v>51148</v>
      </c>
      <c r="CJ183" s="509">
        <v>1.0588</v>
      </c>
    </row>
    <row r="184" spans="1:88" s="221" customFormat="1" ht="12.75" customHeight="1">
      <c r="A184" s="209">
        <v>33</v>
      </c>
      <c r="B184" s="210">
        <v>4447</v>
      </c>
      <c r="C184" s="210">
        <v>600074749</v>
      </c>
      <c r="D184" s="210">
        <v>70695962</v>
      </c>
      <c r="E184" s="208" t="s">
        <v>209</v>
      </c>
      <c r="F184" s="210">
        <v>3113</v>
      </c>
      <c r="G184" s="165" t="s">
        <v>291</v>
      </c>
      <c r="H184" s="621" t="s">
        <v>272</v>
      </c>
      <c r="I184" s="510">
        <v>1671327</v>
      </c>
      <c r="J184" s="414">
        <v>1232810</v>
      </c>
      <c r="K184" s="414">
        <v>1232810</v>
      </c>
      <c r="L184" s="414">
        <v>0</v>
      </c>
      <c r="M184" s="414">
        <v>0</v>
      </c>
      <c r="N184" s="414">
        <v>0</v>
      </c>
      <c r="O184" s="414">
        <v>0</v>
      </c>
      <c r="P184" s="68">
        <v>416689</v>
      </c>
      <c r="Q184" s="68">
        <v>12328</v>
      </c>
      <c r="R184" s="414">
        <v>9500</v>
      </c>
      <c r="S184" s="415">
        <v>3.4699999999999998</v>
      </c>
      <c r="T184" s="416">
        <v>3.4699999999999998</v>
      </c>
      <c r="U184" s="422">
        <v>0</v>
      </c>
      <c r="V184" s="423">
        <f t="shared" si="207"/>
        <v>0</v>
      </c>
      <c r="W184" s="417">
        <f t="shared" si="208"/>
        <v>0</v>
      </c>
      <c r="X184" s="417">
        <v>0</v>
      </c>
      <c r="Y184" s="417">
        <v>0</v>
      </c>
      <c r="Z184" s="417">
        <v>0</v>
      </c>
      <c r="AA184" s="417">
        <v>0</v>
      </c>
      <c r="AB184" s="417">
        <v>0</v>
      </c>
      <c r="AC184" s="417">
        <v>0</v>
      </c>
      <c r="AD184" s="417">
        <v>0</v>
      </c>
      <c r="AE184" s="417">
        <f t="shared" si="209"/>
        <v>0</v>
      </c>
      <c r="AF184" s="417">
        <f t="shared" si="210"/>
        <v>0</v>
      </c>
      <c r="AG184" s="417">
        <f t="shared" si="211"/>
        <v>0</v>
      </c>
      <c r="AH184" s="417">
        <v>0</v>
      </c>
      <c r="AI184" s="417">
        <v>0</v>
      </c>
      <c r="AJ184" s="417">
        <v>0</v>
      </c>
      <c r="AK184" s="417">
        <v>0</v>
      </c>
      <c r="AL184" s="417">
        <v>0</v>
      </c>
      <c r="AM184" s="417">
        <f t="shared" si="212"/>
        <v>0</v>
      </c>
      <c r="AN184" s="417">
        <f t="shared" si="213"/>
        <v>0</v>
      </c>
      <c r="AO184" s="417">
        <f t="shared" si="214"/>
        <v>0</v>
      </c>
      <c r="AP184" s="417">
        <f t="shared" si="215"/>
        <v>0</v>
      </c>
      <c r="AQ184" s="417">
        <f t="shared" si="216"/>
        <v>0</v>
      </c>
      <c r="AR184" s="417">
        <f t="shared" si="217"/>
        <v>0</v>
      </c>
      <c r="AS184" s="68">
        <f t="shared" si="218"/>
        <v>0</v>
      </c>
      <c r="AT184" s="68">
        <f t="shared" si="219"/>
        <v>0</v>
      </c>
      <c r="AU184" s="417">
        <v>4500</v>
      </c>
      <c r="AV184" s="417">
        <v>0</v>
      </c>
      <c r="AW184" s="417">
        <v>0</v>
      </c>
      <c r="AX184" s="417">
        <f t="shared" si="220"/>
        <v>4500</v>
      </c>
      <c r="AY184" s="417">
        <f t="shared" si="221"/>
        <v>4500</v>
      </c>
      <c r="AZ184" s="418">
        <v>0</v>
      </c>
      <c r="BA184" s="418">
        <v>0</v>
      </c>
      <c r="BB184" s="418">
        <v>0</v>
      </c>
      <c r="BC184" s="418">
        <v>0</v>
      </c>
      <c r="BD184" s="418">
        <v>0</v>
      </c>
      <c r="BE184" s="418">
        <v>0</v>
      </c>
      <c r="BF184" s="418">
        <v>0</v>
      </c>
      <c r="BG184" s="418">
        <v>0</v>
      </c>
      <c r="BH184" s="418">
        <v>0</v>
      </c>
      <c r="BI184" s="418">
        <f t="shared" si="222"/>
        <v>0</v>
      </c>
      <c r="BJ184" s="418">
        <f t="shared" si="223"/>
        <v>0</v>
      </c>
      <c r="BK184" s="420">
        <f t="shared" si="224"/>
        <v>0</v>
      </c>
      <c r="BL184" s="772">
        <f>I184+AY184</f>
        <v>1675827</v>
      </c>
      <c r="BM184" s="417">
        <f>J184+AG184</f>
        <v>1232810</v>
      </c>
      <c r="BN184" s="417">
        <f t="shared" si="285"/>
        <v>1232810</v>
      </c>
      <c r="BO184" s="417">
        <f t="shared" si="285"/>
        <v>0</v>
      </c>
      <c r="BP184" s="417">
        <f>M184+AO184</f>
        <v>0</v>
      </c>
      <c r="BQ184" s="417">
        <f t="shared" si="286"/>
        <v>0</v>
      </c>
      <c r="BR184" s="417">
        <f t="shared" si="286"/>
        <v>0</v>
      </c>
      <c r="BS184" s="417">
        <f t="shared" si="287"/>
        <v>416689</v>
      </c>
      <c r="BT184" s="417">
        <f t="shared" si="287"/>
        <v>12328</v>
      </c>
      <c r="BU184" s="417">
        <f>R184+AX184</f>
        <v>14000</v>
      </c>
      <c r="BV184" s="418">
        <f>S184+BK184</f>
        <v>3.4699999999999998</v>
      </c>
      <c r="BW184" s="418">
        <f t="shared" si="288"/>
        <v>3.4699999999999998</v>
      </c>
      <c r="BX184" s="420">
        <f t="shared" si="288"/>
        <v>0</v>
      </c>
      <c r="BY184" s="419"/>
      <c r="BZ184" s="414"/>
      <c r="CA184" s="414"/>
      <c r="CB184" s="414"/>
      <c r="CC184" s="414"/>
      <c r="CD184" s="509"/>
      <c r="CE184" s="419"/>
      <c r="CF184" s="414"/>
      <c r="CG184" s="414"/>
      <c r="CH184" s="414"/>
      <c r="CI184" s="414"/>
      <c r="CJ184" s="509"/>
    </row>
    <row r="185" spans="1:88" s="221" customFormat="1" ht="12.75" customHeight="1">
      <c r="A185" s="209">
        <v>33</v>
      </c>
      <c r="B185" s="210">
        <v>4447</v>
      </c>
      <c r="C185" s="210">
        <v>600074749</v>
      </c>
      <c r="D185" s="210">
        <v>70695962</v>
      </c>
      <c r="E185" s="208" t="s">
        <v>209</v>
      </c>
      <c r="F185" s="210">
        <v>3141</v>
      </c>
      <c r="G185" s="165" t="s">
        <v>294</v>
      </c>
      <c r="H185" s="621" t="s">
        <v>272</v>
      </c>
      <c r="I185" s="510">
        <v>803203</v>
      </c>
      <c r="J185" s="414">
        <v>592492</v>
      </c>
      <c r="K185" s="414">
        <v>0</v>
      </c>
      <c r="L185" s="414">
        <v>592492</v>
      </c>
      <c r="M185" s="414">
        <v>0</v>
      </c>
      <c r="N185" s="414">
        <v>0</v>
      </c>
      <c r="O185" s="414">
        <v>0</v>
      </c>
      <c r="P185" s="68">
        <v>200262</v>
      </c>
      <c r="Q185" s="68">
        <v>5925</v>
      </c>
      <c r="R185" s="414">
        <v>4524</v>
      </c>
      <c r="S185" s="415">
        <v>1.7799999999999998</v>
      </c>
      <c r="T185" s="416">
        <v>0</v>
      </c>
      <c r="U185" s="422">
        <v>1.7799999999999998</v>
      </c>
      <c r="V185" s="423">
        <f t="shared" si="207"/>
        <v>0</v>
      </c>
      <c r="W185" s="417">
        <f t="shared" si="208"/>
        <v>0</v>
      </c>
      <c r="X185" s="417">
        <v>0</v>
      </c>
      <c r="Y185" s="417">
        <v>0</v>
      </c>
      <c r="Z185" s="417">
        <v>0</v>
      </c>
      <c r="AA185" s="417">
        <v>6845</v>
      </c>
      <c r="AB185" s="417">
        <v>0</v>
      </c>
      <c r="AC185" s="417">
        <v>0</v>
      </c>
      <c r="AD185" s="417">
        <v>0</v>
      </c>
      <c r="AE185" s="417">
        <f t="shared" si="209"/>
        <v>0</v>
      </c>
      <c r="AF185" s="417">
        <f t="shared" si="210"/>
        <v>6845</v>
      </c>
      <c r="AG185" s="417">
        <f t="shared" si="211"/>
        <v>6845</v>
      </c>
      <c r="AH185" s="417">
        <v>0</v>
      </c>
      <c r="AI185" s="417">
        <v>0</v>
      </c>
      <c r="AJ185" s="417">
        <v>0</v>
      </c>
      <c r="AK185" s="417">
        <v>0</v>
      </c>
      <c r="AL185" s="417">
        <v>0</v>
      </c>
      <c r="AM185" s="417">
        <f t="shared" si="212"/>
        <v>0</v>
      </c>
      <c r="AN185" s="417">
        <f t="shared" si="213"/>
        <v>0</v>
      </c>
      <c r="AO185" s="417">
        <f t="shared" si="214"/>
        <v>0</v>
      </c>
      <c r="AP185" s="417">
        <f t="shared" si="215"/>
        <v>0</v>
      </c>
      <c r="AQ185" s="417">
        <f t="shared" si="216"/>
        <v>6845</v>
      </c>
      <c r="AR185" s="417">
        <f t="shared" si="217"/>
        <v>6845</v>
      </c>
      <c r="AS185" s="68">
        <f t="shared" si="218"/>
        <v>2314</v>
      </c>
      <c r="AT185" s="68">
        <f t="shared" si="219"/>
        <v>68</v>
      </c>
      <c r="AU185" s="417">
        <v>0</v>
      </c>
      <c r="AV185" s="417">
        <v>0</v>
      </c>
      <c r="AW185" s="417">
        <v>0</v>
      </c>
      <c r="AX185" s="417">
        <f t="shared" si="220"/>
        <v>0</v>
      </c>
      <c r="AY185" s="417">
        <f t="shared" si="221"/>
        <v>9227</v>
      </c>
      <c r="AZ185" s="418">
        <v>0</v>
      </c>
      <c r="BA185" s="418">
        <v>0</v>
      </c>
      <c r="BB185" s="418">
        <v>0</v>
      </c>
      <c r="BC185" s="418">
        <v>0</v>
      </c>
      <c r="BD185" s="418">
        <v>0.02</v>
      </c>
      <c r="BE185" s="418">
        <v>0</v>
      </c>
      <c r="BF185" s="418">
        <v>0</v>
      </c>
      <c r="BG185" s="418">
        <v>0</v>
      </c>
      <c r="BH185" s="418">
        <v>0</v>
      </c>
      <c r="BI185" s="418">
        <f t="shared" si="222"/>
        <v>0</v>
      </c>
      <c r="BJ185" s="418">
        <f t="shared" si="223"/>
        <v>0.02</v>
      </c>
      <c r="BK185" s="420">
        <f t="shared" si="224"/>
        <v>0.02</v>
      </c>
      <c r="BL185" s="772">
        <f>I185+AY185</f>
        <v>812430</v>
      </c>
      <c r="BM185" s="417">
        <f>J185+AG185</f>
        <v>599337</v>
      </c>
      <c r="BN185" s="417">
        <f t="shared" si="285"/>
        <v>0</v>
      </c>
      <c r="BO185" s="417">
        <f t="shared" si="285"/>
        <v>599337</v>
      </c>
      <c r="BP185" s="417">
        <f>M185+AO185</f>
        <v>0</v>
      </c>
      <c r="BQ185" s="417">
        <f t="shared" si="286"/>
        <v>0</v>
      </c>
      <c r="BR185" s="417">
        <f t="shared" si="286"/>
        <v>0</v>
      </c>
      <c r="BS185" s="417">
        <f t="shared" si="287"/>
        <v>202576</v>
      </c>
      <c r="BT185" s="417">
        <f t="shared" si="287"/>
        <v>5993</v>
      </c>
      <c r="BU185" s="417">
        <f>R185+AX185</f>
        <v>4524</v>
      </c>
      <c r="BV185" s="418">
        <f>S185+BK185</f>
        <v>1.7999999999999998</v>
      </c>
      <c r="BW185" s="418">
        <f t="shared" si="288"/>
        <v>0</v>
      </c>
      <c r="BX185" s="420">
        <f t="shared" si="288"/>
        <v>1.7999999999999998</v>
      </c>
      <c r="BY185" s="419"/>
      <c r="BZ185" s="414"/>
      <c r="CA185" s="414"/>
      <c r="CB185" s="414"/>
      <c r="CC185" s="414"/>
      <c r="CD185" s="509"/>
      <c r="CE185" s="419"/>
      <c r="CF185" s="601"/>
      <c r="CG185" s="414"/>
      <c r="CH185" s="414"/>
      <c r="CI185" s="601"/>
      <c r="CJ185" s="603"/>
    </row>
    <row r="186" spans="1:88" s="221" customFormat="1" ht="12.75" customHeight="1">
      <c r="A186" s="209">
        <v>33</v>
      </c>
      <c r="B186" s="210">
        <v>4447</v>
      </c>
      <c r="C186" s="210">
        <v>600074749</v>
      </c>
      <c r="D186" s="210">
        <v>70695962</v>
      </c>
      <c r="E186" s="208" t="s">
        <v>833</v>
      </c>
      <c r="F186" s="210">
        <v>3143</v>
      </c>
      <c r="G186" s="165" t="s">
        <v>595</v>
      </c>
      <c r="H186" s="609" t="s">
        <v>271</v>
      </c>
      <c r="I186" s="510">
        <v>1143905</v>
      </c>
      <c r="J186" s="414">
        <v>848594</v>
      </c>
      <c r="K186" s="414">
        <v>848594</v>
      </c>
      <c r="L186" s="414">
        <v>0</v>
      </c>
      <c r="M186" s="414">
        <v>0</v>
      </c>
      <c r="N186" s="414">
        <v>0</v>
      </c>
      <c r="O186" s="414">
        <v>0</v>
      </c>
      <c r="P186" s="68">
        <v>286825</v>
      </c>
      <c r="Q186" s="68">
        <v>8486</v>
      </c>
      <c r="R186" s="414">
        <v>0</v>
      </c>
      <c r="S186" s="415">
        <v>1.8332999999999999</v>
      </c>
      <c r="T186" s="416">
        <v>1.8332999999999999</v>
      </c>
      <c r="U186" s="422">
        <v>0</v>
      </c>
      <c r="V186" s="423">
        <f t="shared" si="207"/>
        <v>0</v>
      </c>
      <c r="W186" s="417">
        <f t="shared" si="208"/>
        <v>0</v>
      </c>
      <c r="X186" s="417">
        <v>0</v>
      </c>
      <c r="Y186" s="417">
        <v>0</v>
      </c>
      <c r="Z186" s="417">
        <v>0</v>
      </c>
      <c r="AA186" s="417">
        <v>0</v>
      </c>
      <c r="AB186" s="417">
        <v>0</v>
      </c>
      <c r="AC186" s="417">
        <v>0</v>
      </c>
      <c r="AD186" s="417">
        <v>0</v>
      </c>
      <c r="AE186" s="417">
        <f t="shared" si="209"/>
        <v>0</v>
      </c>
      <c r="AF186" s="417">
        <f t="shared" si="210"/>
        <v>0</v>
      </c>
      <c r="AG186" s="417">
        <f t="shared" si="211"/>
        <v>0</v>
      </c>
      <c r="AH186" s="417">
        <v>0</v>
      </c>
      <c r="AI186" s="417">
        <v>0</v>
      </c>
      <c r="AJ186" s="417">
        <v>0</v>
      </c>
      <c r="AK186" s="417">
        <v>0</v>
      </c>
      <c r="AL186" s="417">
        <v>0</v>
      </c>
      <c r="AM186" s="417">
        <f t="shared" si="212"/>
        <v>0</v>
      </c>
      <c r="AN186" s="417">
        <f t="shared" si="213"/>
        <v>0</v>
      </c>
      <c r="AO186" s="417">
        <f t="shared" si="214"/>
        <v>0</v>
      </c>
      <c r="AP186" s="417">
        <f t="shared" si="215"/>
        <v>0</v>
      </c>
      <c r="AQ186" s="417">
        <f t="shared" si="216"/>
        <v>0</v>
      </c>
      <c r="AR186" s="417">
        <f t="shared" si="217"/>
        <v>0</v>
      </c>
      <c r="AS186" s="68">
        <f t="shared" si="218"/>
        <v>0</v>
      </c>
      <c r="AT186" s="68">
        <f t="shared" si="219"/>
        <v>0</v>
      </c>
      <c r="AU186" s="417">
        <v>0</v>
      </c>
      <c r="AV186" s="417">
        <v>0</v>
      </c>
      <c r="AW186" s="417">
        <v>0</v>
      </c>
      <c r="AX186" s="417">
        <f t="shared" si="220"/>
        <v>0</v>
      </c>
      <c r="AY186" s="417">
        <f t="shared" si="221"/>
        <v>0</v>
      </c>
      <c r="AZ186" s="418">
        <v>0</v>
      </c>
      <c r="BA186" s="418">
        <v>0</v>
      </c>
      <c r="BB186" s="418">
        <v>0</v>
      </c>
      <c r="BC186" s="418">
        <v>0</v>
      </c>
      <c r="BD186" s="418">
        <v>0</v>
      </c>
      <c r="BE186" s="418">
        <v>0</v>
      </c>
      <c r="BF186" s="418">
        <v>0</v>
      </c>
      <c r="BG186" s="418">
        <v>0</v>
      </c>
      <c r="BH186" s="418">
        <v>0</v>
      </c>
      <c r="BI186" s="418">
        <f t="shared" si="222"/>
        <v>0</v>
      </c>
      <c r="BJ186" s="418">
        <f t="shared" si="223"/>
        <v>0</v>
      </c>
      <c r="BK186" s="420">
        <f t="shared" si="224"/>
        <v>0</v>
      </c>
      <c r="BL186" s="772">
        <f>I186+AY186</f>
        <v>1143905</v>
      </c>
      <c r="BM186" s="417">
        <f>J186+AG186</f>
        <v>848594</v>
      </c>
      <c r="BN186" s="417">
        <f t="shared" si="285"/>
        <v>848594</v>
      </c>
      <c r="BO186" s="417">
        <f t="shared" si="285"/>
        <v>0</v>
      </c>
      <c r="BP186" s="417">
        <f>M186+AO186</f>
        <v>0</v>
      </c>
      <c r="BQ186" s="417">
        <f t="shared" si="286"/>
        <v>0</v>
      </c>
      <c r="BR186" s="417">
        <f t="shared" si="286"/>
        <v>0</v>
      </c>
      <c r="BS186" s="417">
        <f t="shared" si="287"/>
        <v>286825</v>
      </c>
      <c r="BT186" s="417">
        <f t="shared" si="287"/>
        <v>8486</v>
      </c>
      <c r="BU186" s="417">
        <f>R186+AX186</f>
        <v>0</v>
      </c>
      <c r="BV186" s="418">
        <f>S186+BK186</f>
        <v>1.8332999999999999</v>
      </c>
      <c r="BW186" s="418">
        <f t="shared" si="288"/>
        <v>1.8332999999999999</v>
      </c>
      <c r="BX186" s="420">
        <f t="shared" si="288"/>
        <v>0</v>
      </c>
      <c r="BY186" s="419"/>
      <c r="BZ186" s="414"/>
      <c r="CA186" s="414"/>
      <c r="CB186" s="414"/>
      <c r="CC186" s="414"/>
      <c r="CD186" s="509"/>
      <c r="CE186" s="419"/>
      <c r="CF186" s="414"/>
      <c r="CG186" s="414"/>
      <c r="CH186" s="414"/>
      <c r="CI186" s="414"/>
      <c r="CJ186" s="509"/>
    </row>
    <row r="187" spans="1:88" s="221" customFormat="1" ht="12.75" customHeight="1">
      <c r="A187" s="209">
        <v>33</v>
      </c>
      <c r="B187" s="210">
        <v>4447</v>
      </c>
      <c r="C187" s="210">
        <v>600074749</v>
      </c>
      <c r="D187" s="210">
        <v>70695962</v>
      </c>
      <c r="E187" s="208" t="s">
        <v>833</v>
      </c>
      <c r="F187" s="210">
        <v>3143</v>
      </c>
      <c r="G187" s="165" t="s">
        <v>596</v>
      </c>
      <c r="H187" s="609" t="s">
        <v>272</v>
      </c>
      <c r="I187" s="510">
        <v>30736</v>
      </c>
      <c r="J187" s="414">
        <v>22000</v>
      </c>
      <c r="K187" s="414">
        <v>0</v>
      </c>
      <c r="L187" s="414">
        <v>22000</v>
      </c>
      <c r="M187" s="414">
        <v>0</v>
      </c>
      <c r="N187" s="414">
        <v>0</v>
      </c>
      <c r="O187" s="414">
        <v>0</v>
      </c>
      <c r="P187" s="68">
        <v>7436</v>
      </c>
      <c r="Q187" s="68">
        <v>220</v>
      </c>
      <c r="R187" s="414">
        <v>1080</v>
      </c>
      <c r="S187" s="415">
        <v>0.09</v>
      </c>
      <c r="T187" s="416">
        <v>0</v>
      </c>
      <c r="U187" s="422">
        <v>0.09</v>
      </c>
      <c r="V187" s="423">
        <f t="shared" si="207"/>
        <v>0</v>
      </c>
      <c r="W187" s="417">
        <f t="shared" si="208"/>
        <v>0</v>
      </c>
      <c r="X187" s="417">
        <v>0</v>
      </c>
      <c r="Y187" s="417">
        <v>0</v>
      </c>
      <c r="Z187" s="417">
        <v>0</v>
      </c>
      <c r="AA187" s="417">
        <v>0</v>
      </c>
      <c r="AB187" s="417">
        <v>0</v>
      </c>
      <c r="AC187" s="417">
        <v>0</v>
      </c>
      <c r="AD187" s="417">
        <v>0</v>
      </c>
      <c r="AE187" s="417">
        <f t="shared" si="209"/>
        <v>0</v>
      </c>
      <c r="AF187" s="417">
        <f t="shared" si="210"/>
        <v>0</v>
      </c>
      <c r="AG187" s="417">
        <f t="shared" si="211"/>
        <v>0</v>
      </c>
      <c r="AH187" s="417">
        <v>0</v>
      </c>
      <c r="AI187" s="417">
        <v>0</v>
      </c>
      <c r="AJ187" s="417">
        <v>0</v>
      </c>
      <c r="AK187" s="417">
        <v>0</v>
      </c>
      <c r="AL187" s="417">
        <v>0</v>
      </c>
      <c r="AM187" s="417">
        <f t="shared" si="212"/>
        <v>0</v>
      </c>
      <c r="AN187" s="417">
        <f t="shared" si="213"/>
        <v>0</v>
      </c>
      <c r="AO187" s="417">
        <f t="shared" si="214"/>
        <v>0</v>
      </c>
      <c r="AP187" s="417">
        <f t="shared" si="215"/>
        <v>0</v>
      </c>
      <c r="AQ187" s="417">
        <f t="shared" si="216"/>
        <v>0</v>
      </c>
      <c r="AR187" s="417">
        <f t="shared" si="217"/>
        <v>0</v>
      </c>
      <c r="AS187" s="68">
        <f t="shared" si="218"/>
        <v>0</v>
      </c>
      <c r="AT187" s="68">
        <f t="shared" si="219"/>
        <v>0</v>
      </c>
      <c r="AU187" s="417">
        <v>0</v>
      </c>
      <c r="AV187" s="417">
        <v>0</v>
      </c>
      <c r="AW187" s="417">
        <v>0</v>
      </c>
      <c r="AX187" s="417">
        <f t="shared" si="220"/>
        <v>0</v>
      </c>
      <c r="AY187" s="417">
        <f t="shared" si="221"/>
        <v>0</v>
      </c>
      <c r="AZ187" s="418">
        <v>0</v>
      </c>
      <c r="BA187" s="418">
        <v>0</v>
      </c>
      <c r="BB187" s="418">
        <v>0</v>
      </c>
      <c r="BC187" s="418">
        <v>0</v>
      </c>
      <c r="BD187" s="418">
        <v>0</v>
      </c>
      <c r="BE187" s="418">
        <v>0</v>
      </c>
      <c r="BF187" s="418">
        <v>0</v>
      </c>
      <c r="BG187" s="418">
        <v>0</v>
      </c>
      <c r="BH187" s="418">
        <v>0</v>
      </c>
      <c r="BI187" s="418">
        <f t="shared" si="222"/>
        <v>0</v>
      </c>
      <c r="BJ187" s="418">
        <f t="shared" si="223"/>
        <v>0</v>
      </c>
      <c r="BK187" s="420">
        <f t="shared" si="224"/>
        <v>0</v>
      </c>
      <c r="BL187" s="772">
        <f>I187+AY187</f>
        <v>30736</v>
      </c>
      <c r="BM187" s="417">
        <f>J187+AG187</f>
        <v>22000</v>
      </c>
      <c r="BN187" s="417">
        <f t="shared" si="285"/>
        <v>0</v>
      </c>
      <c r="BO187" s="417">
        <f t="shared" si="285"/>
        <v>22000</v>
      </c>
      <c r="BP187" s="417">
        <f>M187+AO187</f>
        <v>0</v>
      </c>
      <c r="BQ187" s="417">
        <f t="shared" si="286"/>
        <v>0</v>
      </c>
      <c r="BR187" s="417">
        <f t="shared" si="286"/>
        <v>0</v>
      </c>
      <c r="BS187" s="417">
        <f t="shared" si="287"/>
        <v>7436</v>
      </c>
      <c r="BT187" s="417">
        <f t="shared" si="287"/>
        <v>220</v>
      </c>
      <c r="BU187" s="417">
        <f>R187+AX187</f>
        <v>1080</v>
      </c>
      <c r="BV187" s="418">
        <f>S187+BK187</f>
        <v>0.09</v>
      </c>
      <c r="BW187" s="418">
        <f t="shared" si="288"/>
        <v>0</v>
      </c>
      <c r="BX187" s="420">
        <f t="shared" si="288"/>
        <v>0.09</v>
      </c>
      <c r="BY187" s="419"/>
      <c r="BZ187" s="414"/>
      <c r="CA187" s="414"/>
      <c r="CB187" s="414"/>
      <c r="CC187" s="414"/>
      <c r="CD187" s="509"/>
      <c r="CE187" s="419"/>
      <c r="CF187" s="601"/>
      <c r="CG187" s="414"/>
      <c r="CH187" s="414"/>
      <c r="CI187" s="602"/>
      <c r="CJ187" s="603"/>
    </row>
    <row r="188" spans="1:88" s="221" customFormat="1" ht="12.75" customHeight="1">
      <c r="A188" s="155">
        <v>33</v>
      </c>
      <c r="B188" s="18">
        <v>4447</v>
      </c>
      <c r="C188" s="18">
        <v>600074749</v>
      </c>
      <c r="D188" s="18">
        <v>70695962</v>
      </c>
      <c r="E188" s="164" t="s">
        <v>210</v>
      </c>
      <c r="F188" s="18"/>
      <c r="G188" s="154"/>
      <c r="H188" s="608"/>
      <c r="I188" s="451">
        <v>16703263</v>
      </c>
      <c r="J188" s="444">
        <v>12244347</v>
      </c>
      <c r="K188" s="444">
        <v>10472226</v>
      </c>
      <c r="L188" s="444">
        <v>1772121</v>
      </c>
      <c r="M188" s="444">
        <v>0</v>
      </c>
      <c r="N188" s="444">
        <v>0</v>
      </c>
      <c r="O188" s="444">
        <v>0</v>
      </c>
      <c r="P188" s="444">
        <v>4138588</v>
      </c>
      <c r="Q188" s="444">
        <v>122444</v>
      </c>
      <c r="R188" s="444">
        <v>197884</v>
      </c>
      <c r="S188" s="445">
        <v>22.471700000000002</v>
      </c>
      <c r="T188" s="445">
        <v>17.3032</v>
      </c>
      <c r="U188" s="449">
        <v>5.1684999999999999</v>
      </c>
      <c r="V188" s="447">
        <f t="shared" ref="V188:CG188" si="289">SUM(V183:V187)</f>
        <v>0</v>
      </c>
      <c r="W188" s="444">
        <f t="shared" si="289"/>
        <v>0</v>
      </c>
      <c r="X188" s="444">
        <f t="shared" si="289"/>
        <v>0</v>
      </c>
      <c r="Y188" s="444">
        <f t="shared" si="289"/>
        <v>0</v>
      </c>
      <c r="Z188" s="444">
        <f t="shared" si="289"/>
        <v>-126705</v>
      </c>
      <c r="AA188" s="444">
        <f t="shared" si="289"/>
        <v>6845</v>
      </c>
      <c r="AB188" s="444">
        <f t="shared" si="289"/>
        <v>0</v>
      </c>
      <c r="AC188" s="444">
        <f t="shared" si="289"/>
        <v>0</v>
      </c>
      <c r="AD188" s="444">
        <f t="shared" si="289"/>
        <v>0</v>
      </c>
      <c r="AE188" s="444">
        <f t="shared" si="289"/>
        <v>-126705</v>
      </c>
      <c r="AF188" s="444">
        <f t="shared" si="289"/>
        <v>6845</v>
      </c>
      <c r="AG188" s="444">
        <f t="shared" si="289"/>
        <v>-119860</v>
      </c>
      <c r="AH188" s="444">
        <f t="shared" si="289"/>
        <v>0</v>
      </c>
      <c r="AI188" s="444">
        <f t="shared" si="289"/>
        <v>0</v>
      </c>
      <c r="AJ188" s="444">
        <f t="shared" si="289"/>
        <v>0</v>
      </c>
      <c r="AK188" s="444">
        <f t="shared" si="289"/>
        <v>0</v>
      </c>
      <c r="AL188" s="444">
        <f t="shared" si="289"/>
        <v>0</v>
      </c>
      <c r="AM188" s="444">
        <f t="shared" si="289"/>
        <v>0</v>
      </c>
      <c r="AN188" s="444">
        <f t="shared" si="289"/>
        <v>0</v>
      </c>
      <c r="AO188" s="444">
        <f t="shared" si="289"/>
        <v>0</v>
      </c>
      <c r="AP188" s="444">
        <f t="shared" si="289"/>
        <v>-126705</v>
      </c>
      <c r="AQ188" s="444">
        <f t="shared" si="289"/>
        <v>6845</v>
      </c>
      <c r="AR188" s="444">
        <f t="shared" si="289"/>
        <v>-119860</v>
      </c>
      <c r="AS188" s="444">
        <f t="shared" si="289"/>
        <v>-40512</v>
      </c>
      <c r="AT188" s="444">
        <f t="shared" si="289"/>
        <v>-1199</v>
      </c>
      <c r="AU188" s="444">
        <f t="shared" si="289"/>
        <v>4500</v>
      </c>
      <c r="AV188" s="444">
        <f t="shared" si="289"/>
        <v>0</v>
      </c>
      <c r="AW188" s="444">
        <f t="shared" si="289"/>
        <v>0</v>
      </c>
      <c r="AX188" s="444">
        <f t="shared" si="289"/>
        <v>4500</v>
      </c>
      <c r="AY188" s="444">
        <f t="shared" si="289"/>
        <v>-157071</v>
      </c>
      <c r="AZ188" s="445">
        <f t="shared" si="289"/>
        <v>0</v>
      </c>
      <c r="BA188" s="445">
        <f t="shared" si="289"/>
        <v>0</v>
      </c>
      <c r="BB188" s="445">
        <f t="shared" si="289"/>
        <v>0</v>
      </c>
      <c r="BC188" s="445">
        <f t="shared" si="289"/>
        <v>-0.24</v>
      </c>
      <c r="BD188" s="445">
        <f t="shared" si="289"/>
        <v>0.02</v>
      </c>
      <c r="BE188" s="445">
        <f t="shared" si="289"/>
        <v>0</v>
      </c>
      <c r="BF188" s="445">
        <f t="shared" si="289"/>
        <v>0</v>
      </c>
      <c r="BG188" s="445">
        <f t="shared" si="289"/>
        <v>0</v>
      </c>
      <c r="BH188" s="445">
        <f t="shared" si="289"/>
        <v>0</v>
      </c>
      <c r="BI188" s="445">
        <f t="shared" si="289"/>
        <v>-0.24</v>
      </c>
      <c r="BJ188" s="445">
        <f t="shared" si="289"/>
        <v>0.02</v>
      </c>
      <c r="BK188" s="39">
        <f t="shared" si="289"/>
        <v>-0.22</v>
      </c>
      <c r="BL188" s="451">
        <f t="shared" si="289"/>
        <v>16546192</v>
      </c>
      <c r="BM188" s="444">
        <f t="shared" si="289"/>
        <v>12124487</v>
      </c>
      <c r="BN188" s="444">
        <f t="shared" si="289"/>
        <v>10345521</v>
      </c>
      <c r="BO188" s="444">
        <f t="shared" si="289"/>
        <v>1778966</v>
      </c>
      <c r="BP188" s="444">
        <f t="shared" si="289"/>
        <v>0</v>
      </c>
      <c r="BQ188" s="444">
        <f t="shared" si="289"/>
        <v>0</v>
      </c>
      <c r="BR188" s="444">
        <f t="shared" si="289"/>
        <v>0</v>
      </c>
      <c r="BS188" s="444">
        <f t="shared" si="289"/>
        <v>4098076</v>
      </c>
      <c r="BT188" s="444">
        <f t="shared" si="289"/>
        <v>121245</v>
      </c>
      <c r="BU188" s="444">
        <f t="shared" si="289"/>
        <v>202384</v>
      </c>
      <c r="BV188" s="445">
        <f t="shared" si="289"/>
        <v>22.2517</v>
      </c>
      <c r="BW188" s="445">
        <f t="shared" si="289"/>
        <v>17.063200000000002</v>
      </c>
      <c r="BX188" s="39">
        <f t="shared" si="289"/>
        <v>5.1884999999999994</v>
      </c>
      <c r="BY188" s="806">
        <f t="shared" si="289"/>
        <v>0</v>
      </c>
      <c r="BZ188" s="709">
        <f t="shared" si="289"/>
        <v>0</v>
      </c>
      <c r="CA188" s="709">
        <f t="shared" si="289"/>
        <v>0</v>
      </c>
      <c r="CB188" s="709">
        <f t="shared" si="289"/>
        <v>0</v>
      </c>
      <c r="CC188" s="709">
        <f t="shared" si="289"/>
        <v>0</v>
      </c>
      <c r="CD188" s="807">
        <f t="shared" si="289"/>
        <v>0</v>
      </c>
      <c r="CE188" s="919">
        <f t="shared" si="289"/>
        <v>552015</v>
      </c>
      <c r="CF188" s="920">
        <f t="shared" si="289"/>
        <v>371563</v>
      </c>
      <c r="CG188" s="920">
        <f t="shared" si="289"/>
        <v>125588</v>
      </c>
      <c r="CH188" s="920">
        <f t="shared" ref="CH188:CJ188" si="290">SUM(CH183:CH187)</f>
        <v>3716</v>
      </c>
      <c r="CI188" s="920">
        <f t="shared" si="290"/>
        <v>51148</v>
      </c>
      <c r="CJ188" s="921">
        <f t="shared" si="290"/>
        <v>1.0588</v>
      </c>
    </row>
    <row r="189" spans="1:88" s="221" customFormat="1" ht="12.75" customHeight="1">
      <c r="A189" s="209">
        <v>34</v>
      </c>
      <c r="B189" s="210">
        <v>4449</v>
      </c>
      <c r="C189" s="210">
        <v>650037090</v>
      </c>
      <c r="D189" s="210">
        <v>72744171</v>
      </c>
      <c r="E189" s="208" t="s">
        <v>211</v>
      </c>
      <c r="F189" s="210">
        <v>3111</v>
      </c>
      <c r="G189" s="165" t="s">
        <v>290</v>
      </c>
      <c r="H189" s="621" t="s">
        <v>271</v>
      </c>
      <c r="I189" s="510">
        <v>3080435</v>
      </c>
      <c r="J189" s="414">
        <v>2275100</v>
      </c>
      <c r="K189" s="414">
        <v>2098682</v>
      </c>
      <c r="L189" s="414">
        <v>176418</v>
      </c>
      <c r="M189" s="414">
        <v>0</v>
      </c>
      <c r="N189" s="414">
        <v>0</v>
      </c>
      <c r="O189" s="414">
        <v>0</v>
      </c>
      <c r="P189" s="68">
        <v>768984</v>
      </c>
      <c r="Q189" s="68">
        <v>22751</v>
      </c>
      <c r="R189" s="414">
        <v>13600</v>
      </c>
      <c r="S189" s="415">
        <v>4.7068000000000003</v>
      </c>
      <c r="T189" s="416">
        <v>4</v>
      </c>
      <c r="U189" s="422">
        <v>0.70679999999999998</v>
      </c>
      <c r="V189" s="423">
        <f t="shared" si="207"/>
        <v>0</v>
      </c>
      <c r="W189" s="417">
        <f t="shared" si="208"/>
        <v>0</v>
      </c>
      <c r="X189" s="417">
        <v>0</v>
      </c>
      <c r="Y189" s="417">
        <v>0</v>
      </c>
      <c r="Z189" s="417">
        <v>0</v>
      </c>
      <c r="AA189" s="417">
        <v>0</v>
      </c>
      <c r="AB189" s="417">
        <v>0</v>
      </c>
      <c r="AC189" s="417">
        <v>0</v>
      </c>
      <c r="AD189" s="417">
        <v>0</v>
      </c>
      <c r="AE189" s="417">
        <f t="shared" si="209"/>
        <v>0</v>
      </c>
      <c r="AF189" s="417">
        <f t="shared" si="210"/>
        <v>0</v>
      </c>
      <c r="AG189" s="417">
        <f t="shared" si="211"/>
        <v>0</v>
      </c>
      <c r="AH189" s="417">
        <v>0</v>
      </c>
      <c r="AI189" s="417">
        <v>0</v>
      </c>
      <c r="AJ189" s="417">
        <v>0</v>
      </c>
      <c r="AK189" s="417">
        <v>0</v>
      </c>
      <c r="AL189" s="417">
        <v>0</v>
      </c>
      <c r="AM189" s="417">
        <f t="shared" si="212"/>
        <v>0</v>
      </c>
      <c r="AN189" s="417">
        <f t="shared" si="213"/>
        <v>0</v>
      </c>
      <c r="AO189" s="417">
        <f t="shared" si="214"/>
        <v>0</v>
      </c>
      <c r="AP189" s="417">
        <f t="shared" si="215"/>
        <v>0</v>
      </c>
      <c r="AQ189" s="417">
        <f t="shared" si="216"/>
        <v>0</v>
      </c>
      <c r="AR189" s="417">
        <f t="shared" si="217"/>
        <v>0</v>
      </c>
      <c r="AS189" s="68">
        <f t="shared" si="218"/>
        <v>0</v>
      </c>
      <c r="AT189" s="68">
        <f t="shared" si="219"/>
        <v>0</v>
      </c>
      <c r="AU189" s="417">
        <v>0</v>
      </c>
      <c r="AV189" s="417">
        <v>0</v>
      </c>
      <c r="AW189" s="417">
        <v>0</v>
      </c>
      <c r="AX189" s="417">
        <f t="shared" si="220"/>
        <v>0</v>
      </c>
      <c r="AY189" s="417">
        <f t="shared" si="221"/>
        <v>0</v>
      </c>
      <c r="AZ189" s="418">
        <v>0</v>
      </c>
      <c r="BA189" s="418">
        <v>0</v>
      </c>
      <c r="BB189" s="418">
        <v>0</v>
      </c>
      <c r="BC189" s="418">
        <v>0</v>
      </c>
      <c r="BD189" s="418">
        <v>0</v>
      </c>
      <c r="BE189" s="418">
        <v>0</v>
      </c>
      <c r="BF189" s="418">
        <v>0</v>
      </c>
      <c r="BG189" s="418">
        <v>0</v>
      </c>
      <c r="BH189" s="418">
        <v>0</v>
      </c>
      <c r="BI189" s="418">
        <f t="shared" si="222"/>
        <v>0</v>
      </c>
      <c r="BJ189" s="418">
        <f t="shared" si="223"/>
        <v>0</v>
      </c>
      <c r="BK189" s="420">
        <f t="shared" si="224"/>
        <v>0</v>
      </c>
      <c r="BL189" s="772">
        <f t="shared" ref="BL189:BL194" si="291">I189+AY189</f>
        <v>3080435</v>
      </c>
      <c r="BM189" s="417">
        <f t="shared" ref="BM189:BM194" si="292">J189+AG189</f>
        <v>2275100</v>
      </c>
      <c r="BN189" s="417">
        <f t="shared" ref="BN189:BO194" si="293">K189+AE189</f>
        <v>2098682</v>
      </c>
      <c r="BO189" s="417">
        <f t="shared" si="293"/>
        <v>176418</v>
      </c>
      <c r="BP189" s="417">
        <f t="shared" ref="BP189:BP194" si="294">M189+AO189</f>
        <v>0</v>
      </c>
      <c r="BQ189" s="417">
        <f t="shared" ref="BQ189:BR194" si="295">N189+AM189</f>
        <v>0</v>
      </c>
      <c r="BR189" s="417">
        <f t="shared" si="295"/>
        <v>0</v>
      </c>
      <c r="BS189" s="417">
        <f t="shared" ref="BS189:BT194" si="296">P189+AS189</f>
        <v>768984</v>
      </c>
      <c r="BT189" s="417">
        <f t="shared" si="296"/>
        <v>22751</v>
      </c>
      <c r="BU189" s="417">
        <f t="shared" ref="BU189:BU194" si="297">R189+AX189</f>
        <v>13600</v>
      </c>
      <c r="BV189" s="418">
        <f t="shared" ref="BV189:BV194" si="298">S189+BK189</f>
        <v>4.7068000000000003</v>
      </c>
      <c r="BW189" s="418">
        <f t="shared" ref="BW189:BX194" si="299">T189+BI189</f>
        <v>4</v>
      </c>
      <c r="BX189" s="420">
        <f t="shared" si="299"/>
        <v>0.70679999999999998</v>
      </c>
      <c r="BY189" s="419"/>
      <c r="BZ189" s="414"/>
      <c r="CA189" s="414"/>
      <c r="CB189" s="414"/>
      <c r="CC189" s="414"/>
      <c r="CD189" s="509"/>
      <c r="CE189" s="419">
        <v>80832</v>
      </c>
      <c r="CF189" s="414">
        <v>56610</v>
      </c>
      <c r="CG189" s="414">
        <v>19134</v>
      </c>
      <c r="CH189" s="414">
        <v>566</v>
      </c>
      <c r="CI189" s="414">
        <v>4522</v>
      </c>
      <c r="CJ189" s="509">
        <v>0.2268</v>
      </c>
    </row>
    <row r="190" spans="1:88" s="221" customFormat="1" ht="12.75" customHeight="1">
      <c r="A190" s="209">
        <v>34</v>
      </c>
      <c r="B190" s="210">
        <v>4449</v>
      </c>
      <c r="C190" s="210">
        <v>650037090</v>
      </c>
      <c r="D190" s="210">
        <v>72744171</v>
      </c>
      <c r="E190" s="208" t="s">
        <v>211</v>
      </c>
      <c r="F190" s="210">
        <v>3113</v>
      </c>
      <c r="G190" s="165" t="s">
        <v>293</v>
      </c>
      <c r="H190" s="621" t="s">
        <v>271</v>
      </c>
      <c r="I190" s="510">
        <v>13465941</v>
      </c>
      <c r="J190" s="414">
        <v>9716424</v>
      </c>
      <c r="K190" s="414">
        <v>8187699</v>
      </c>
      <c r="L190" s="414">
        <v>1528725</v>
      </c>
      <c r="M190" s="414">
        <v>125920</v>
      </c>
      <c r="N190" s="414">
        <v>105920</v>
      </c>
      <c r="O190" s="414">
        <v>20000</v>
      </c>
      <c r="P190" s="68">
        <v>3326712</v>
      </c>
      <c r="Q190" s="68">
        <v>97165</v>
      </c>
      <c r="R190" s="414">
        <v>199720</v>
      </c>
      <c r="S190" s="415">
        <v>16.681000000000001</v>
      </c>
      <c r="T190" s="416">
        <v>12.1363</v>
      </c>
      <c r="U190" s="422">
        <v>4.5446999999999997</v>
      </c>
      <c r="V190" s="423">
        <f t="shared" si="207"/>
        <v>55920</v>
      </c>
      <c r="W190" s="417">
        <f t="shared" si="208"/>
        <v>0</v>
      </c>
      <c r="X190" s="417">
        <v>0</v>
      </c>
      <c r="Y190" s="417">
        <v>0</v>
      </c>
      <c r="Z190" s="417">
        <v>0</v>
      </c>
      <c r="AA190" s="417">
        <v>0</v>
      </c>
      <c r="AB190" s="417">
        <v>0</v>
      </c>
      <c r="AC190" s="417">
        <v>0</v>
      </c>
      <c r="AD190" s="417">
        <v>0</v>
      </c>
      <c r="AE190" s="417">
        <f t="shared" si="209"/>
        <v>55920</v>
      </c>
      <c r="AF190" s="417">
        <f t="shared" si="210"/>
        <v>0</v>
      </c>
      <c r="AG190" s="417">
        <f t="shared" si="211"/>
        <v>55920</v>
      </c>
      <c r="AH190" s="417">
        <v>-55920</v>
      </c>
      <c r="AI190" s="417">
        <v>0</v>
      </c>
      <c r="AJ190" s="417">
        <v>0</v>
      </c>
      <c r="AK190" s="417">
        <v>0</v>
      </c>
      <c r="AL190" s="417">
        <v>0</v>
      </c>
      <c r="AM190" s="417">
        <f t="shared" si="212"/>
        <v>-55920</v>
      </c>
      <c r="AN190" s="417">
        <f t="shared" si="213"/>
        <v>0</v>
      </c>
      <c r="AO190" s="417">
        <f t="shared" si="214"/>
        <v>-55920</v>
      </c>
      <c r="AP190" s="417">
        <f t="shared" si="215"/>
        <v>0</v>
      </c>
      <c r="AQ190" s="417">
        <f t="shared" si="216"/>
        <v>0</v>
      </c>
      <c r="AR190" s="417">
        <f t="shared" si="217"/>
        <v>0</v>
      </c>
      <c r="AS190" s="68">
        <f t="shared" si="218"/>
        <v>0</v>
      </c>
      <c r="AT190" s="68">
        <f t="shared" si="219"/>
        <v>559</v>
      </c>
      <c r="AU190" s="417">
        <v>0</v>
      </c>
      <c r="AV190" s="417">
        <v>0</v>
      </c>
      <c r="AW190" s="417">
        <v>0</v>
      </c>
      <c r="AX190" s="417">
        <f t="shared" si="220"/>
        <v>0</v>
      </c>
      <c r="AY190" s="417">
        <f t="shared" si="221"/>
        <v>559</v>
      </c>
      <c r="AZ190" s="418">
        <v>0.01</v>
      </c>
      <c r="BA190" s="418">
        <v>0</v>
      </c>
      <c r="BB190" s="418">
        <v>0</v>
      </c>
      <c r="BC190" s="418">
        <v>0</v>
      </c>
      <c r="BD190" s="418">
        <v>0</v>
      </c>
      <c r="BE190" s="418">
        <v>0</v>
      </c>
      <c r="BF190" s="418">
        <v>0</v>
      </c>
      <c r="BG190" s="418">
        <v>0</v>
      </c>
      <c r="BH190" s="418">
        <v>0</v>
      </c>
      <c r="BI190" s="418">
        <f t="shared" si="222"/>
        <v>0.01</v>
      </c>
      <c r="BJ190" s="418">
        <f t="shared" si="223"/>
        <v>0</v>
      </c>
      <c r="BK190" s="420">
        <f t="shared" si="224"/>
        <v>0.01</v>
      </c>
      <c r="BL190" s="772">
        <f t="shared" si="291"/>
        <v>13466500</v>
      </c>
      <c r="BM190" s="417">
        <f t="shared" si="292"/>
        <v>9772344</v>
      </c>
      <c r="BN190" s="417">
        <f t="shared" si="293"/>
        <v>8243619</v>
      </c>
      <c r="BO190" s="417">
        <f t="shared" si="293"/>
        <v>1528725</v>
      </c>
      <c r="BP190" s="417">
        <f t="shared" si="294"/>
        <v>70000</v>
      </c>
      <c r="BQ190" s="417">
        <f t="shared" si="295"/>
        <v>50000</v>
      </c>
      <c r="BR190" s="417">
        <f t="shared" si="295"/>
        <v>20000</v>
      </c>
      <c r="BS190" s="417">
        <f t="shared" si="296"/>
        <v>3326712</v>
      </c>
      <c r="BT190" s="417">
        <f t="shared" si="296"/>
        <v>97724</v>
      </c>
      <c r="BU190" s="417">
        <f t="shared" si="297"/>
        <v>199720</v>
      </c>
      <c r="BV190" s="418">
        <f t="shared" si="298"/>
        <v>16.691000000000003</v>
      </c>
      <c r="BW190" s="418">
        <f t="shared" si="299"/>
        <v>12.1463</v>
      </c>
      <c r="BX190" s="420">
        <f t="shared" si="299"/>
        <v>4.5446999999999997</v>
      </c>
      <c r="BY190" s="419"/>
      <c r="BZ190" s="414"/>
      <c r="CA190" s="414"/>
      <c r="CB190" s="414"/>
      <c r="CC190" s="414"/>
      <c r="CD190" s="509"/>
      <c r="CE190" s="414">
        <v>717227</v>
      </c>
      <c r="CF190" s="414">
        <v>497051</v>
      </c>
      <c r="CG190" s="414">
        <v>168003</v>
      </c>
      <c r="CH190" s="414">
        <v>4971</v>
      </c>
      <c r="CI190" s="414">
        <v>47202</v>
      </c>
      <c r="CJ190" s="509">
        <v>1.4682999999999997</v>
      </c>
    </row>
    <row r="191" spans="1:88" s="221" customFormat="1" ht="12.75" customHeight="1">
      <c r="A191" s="209">
        <v>34</v>
      </c>
      <c r="B191" s="210">
        <v>4449</v>
      </c>
      <c r="C191" s="210">
        <v>650037090</v>
      </c>
      <c r="D191" s="210">
        <v>72744171</v>
      </c>
      <c r="E191" s="208" t="s">
        <v>211</v>
      </c>
      <c r="F191" s="210">
        <v>3113</v>
      </c>
      <c r="G191" s="165" t="s">
        <v>291</v>
      </c>
      <c r="H191" s="621" t="s">
        <v>272</v>
      </c>
      <c r="I191" s="510">
        <v>2071634</v>
      </c>
      <c r="J191" s="414">
        <v>1536821</v>
      </c>
      <c r="K191" s="414">
        <v>1536821</v>
      </c>
      <c r="L191" s="414">
        <v>0</v>
      </c>
      <c r="M191" s="414">
        <v>0</v>
      </c>
      <c r="N191" s="414">
        <v>0</v>
      </c>
      <c r="O191" s="414">
        <v>0</v>
      </c>
      <c r="P191" s="68">
        <v>519445</v>
      </c>
      <c r="Q191" s="68">
        <v>15368</v>
      </c>
      <c r="R191" s="414">
        <v>0</v>
      </c>
      <c r="S191" s="415">
        <v>4.12</v>
      </c>
      <c r="T191" s="416">
        <v>4.12</v>
      </c>
      <c r="U191" s="422">
        <v>0</v>
      </c>
      <c r="V191" s="423">
        <f t="shared" si="207"/>
        <v>0</v>
      </c>
      <c r="W191" s="417">
        <f t="shared" si="208"/>
        <v>0</v>
      </c>
      <c r="X191" s="417">
        <v>46350</v>
      </c>
      <c r="Y191" s="417">
        <v>0</v>
      </c>
      <c r="Z191" s="417">
        <v>0</v>
      </c>
      <c r="AA191" s="417">
        <v>0</v>
      </c>
      <c r="AB191" s="417">
        <v>0</v>
      </c>
      <c r="AC191" s="417">
        <v>0</v>
      </c>
      <c r="AD191" s="417">
        <v>0</v>
      </c>
      <c r="AE191" s="417">
        <f t="shared" si="209"/>
        <v>46350</v>
      </c>
      <c r="AF191" s="417">
        <f t="shared" si="210"/>
        <v>0</v>
      </c>
      <c r="AG191" s="417">
        <f t="shared" si="211"/>
        <v>46350</v>
      </c>
      <c r="AH191" s="417">
        <v>0</v>
      </c>
      <c r="AI191" s="417">
        <v>0</v>
      </c>
      <c r="AJ191" s="417">
        <v>0</v>
      </c>
      <c r="AK191" s="417">
        <v>0</v>
      </c>
      <c r="AL191" s="417">
        <v>0</v>
      </c>
      <c r="AM191" s="417">
        <f t="shared" si="212"/>
        <v>0</v>
      </c>
      <c r="AN191" s="417">
        <f t="shared" si="213"/>
        <v>0</v>
      </c>
      <c r="AO191" s="417">
        <f t="shared" si="214"/>
        <v>0</v>
      </c>
      <c r="AP191" s="417">
        <f t="shared" si="215"/>
        <v>46350</v>
      </c>
      <c r="AQ191" s="417">
        <f t="shared" si="216"/>
        <v>0</v>
      </c>
      <c r="AR191" s="417">
        <f t="shared" si="217"/>
        <v>46350</v>
      </c>
      <c r="AS191" s="68">
        <f t="shared" si="218"/>
        <v>15666</v>
      </c>
      <c r="AT191" s="68">
        <f t="shared" si="219"/>
        <v>464</v>
      </c>
      <c r="AU191" s="417">
        <v>0</v>
      </c>
      <c r="AV191" s="417">
        <v>0</v>
      </c>
      <c r="AW191" s="417">
        <v>0</v>
      </c>
      <c r="AX191" s="417">
        <f t="shared" si="220"/>
        <v>0</v>
      </c>
      <c r="AY191" s="417">
        <f t="shared" si="221"/>
        <v>62480</v>
      </c>
      <c r="AZ191" s="418">
        <v>0</v>
      </c>
      <c r="BA191" s="418">
        <v>0</v>
      </c>
      <c r="BB191" s="418">
        <v>0.13</v>
      </c>
      <c r="BC191" s="418">
        <v>0</v>
      </c>
      <c r="BD191" s="418">
        <v>0</v>
      </c>
      <c r="BE191" s="418">
        <v>0</v>
      </c>
      <c r="BF191" s="418">
        <v>0</v>
      </c>
      <c r="BG191" s="418">
        <v>0</v>
      </c>
      <c r="BH191" s="418">
        <v>0</v>
      </c>
      <c r="BI191" s="418">
        <f t="shared" si="222"/>
        <v>0.13</v>
      </c>
      <c r="BJ191" s="418">
        <f t="shared" si="223"/>
        <v>0</v>
      </c>
      <c r="BK191" s="420">
        <f t="shared" si="224"/>
        <v>0.13</v>
      </c>
      <c r="BL191" s="772">
        <f t="shared" si="291"/>
        <v>2134114</v>
      </c>
      <c r="BM191" s="417">
        <f t="shared" si="292"/>
        <v>1583171</v>
      </c>
      <c r="BN191" s="417">
        <f t="shared" si="293"/>
        <v>1583171</v>
      </c>
      <c r="BO191" s="417">
        <f t="shared" si="293"/>
        <v>0</v>
      </c>
      <c r="BP191" s="417">
        <f t="shared" si="294"/>
        <v>0</v>
      </c>
      <c r="BQ191" s="417">
        <f t="shared" si="295"/>
        <v>0</v>
      </c>
      <c r="BR191" s="417">
        <f t="shared" si="295"/>
        <v>0</v>
      </c>
      <c r="BS191" s="417">
        <f t="shared" si="296"/>
        <v>535111</v>
      </c>
      <c r="BT191" s="417">
        <f t="shared" si="296"/>
        <v>15832</v>
      </c>
      <c r="BU191" s="417">
        <f t="shared" si="297"/>
        <v>0</v>
      </c>
      <c r="BV191" s="418">
        <f t="shared" si="298"/>
        <v>4.25</v>
      </c>
      <c r="BW191" s="418">
        <f t="shared" si="299"/>
        <v>4.25</v>
      </c>
      <c r="BX191" s="420">
        <f t="shared" si="299"/>
        <v>0</v>
      </c>
      <c r="BY191" s="419"/>
      <c r="BZ191" s="414"/>
      <c r="CA191" s="414"/>
      <c r="CB191" s="414"/>
      <c r="CC191" s="414"/>
      <c r="CD191" s="509"/>
      <c r="CE191" s="419"/>
      <c r="CF191" s="414"/>
      <c r="CG191" s="414"/>
      <c r="CH191" s="414"/>
      <c r="CI191" s="414"/>
      <c r="CJ191" s="509"/>
    </row>
    <row r="192" spans="1:88" s="221" customFormat="1" ht="12.75" customHeight="1">
      <c r="A192" s="209">
        <v>34</v>
      </c>
      <c r="B192" s="210">
        <v>4449</v>
      </c>
      <c r="C192" s="210">
        <v>650037090</v>
      </c>
      <c r="D192" s="210">
        <v>72744171</v>
      </c>
      <c r="E192" s="208" t="s">
        <v>211</v>
      </c>
      <c r="F192" s="210">
        <v>3141</v>
      </c>
      <c r="G192" s="165" t="s">
        <v>294</v>
      </c>
      <c r="H192" s="621" t="s">
        <v>272</v>
      </c>
      <c r="I192" s="510">
        <v>1284749</v>
      </c>
      <c r="J192" s="414">
        <v>948680</v>
      </c>
      <c r="K192" s="414">
        <v>0</v>
      </c>
      <c r="L192" s="414">
        <v>948680</v>
      </c>
      <c r="M192" s="414">
        <v>0</v>
      </c>
      <c r="N192" s="414">
        <v>0</v>
      </c>
      <c r="O192" s="414">
        <v>0</v>
      </c>
      <c r="P192" s="68">
        <v>320654</v>
      </c>
      <c r="Q192" s="68">
        <v>9487</v>
      </c>
      <c r="R192" s="414">
        <v>5928</v>
      </c>
      <c r="S192" s="415">
        <v>2.84</v>
      </c>
      <c r="T192" s="416">
        <v>0</v>
      </c>
      <c r="U192" s="422">
        <v>2.84</v>
      </c>
      <c r="V192" s="423">
        <f t="shared" si="207"/>
        <v>0</v>
      </c>
      <c r="W192" s="417">
        <f t="shared" si="208"/>
        <v>0</v>
      </c>
      <c r="X192" s="417">
        <v>0</v>
      </c>
      <c r="Y192" s="417">
        <v>0</v>
      </c>
      <c r="Z192" s="417">
        <v>0</v>
      </c>
      <c r="AA192" s="417">
        <v>-1746</v>
      </c>
      <c r="AB192" s="417">
        <v>0</v>
      </c>
      <c r="AC192" s="417">
        <v>0</v>
      </c>
      <c r="AD192" s="417">
        <v>0</v>
      </c>
      <c r="AE192" s="417">
        <f t="shared" si="209"/>
        <v>0</v>
      </c>
      <c r="AF192" s="417">
        <f t="shared" si="210"/>
        <v>-1746</v>
      </c>
      <c r="AG192" s="417">
        <f t="shared" si="211"/>
        <v>-1746</v>
      </c>
      <c r="AH192" s="417">
        <v>0</v>
      </c>
      <c r="AI192" s="417">
        <v>0</v>
      </c>
      <c r="AJ192" s="417">
        <v>0</v>
      </c>
      <c r="AK192" s="417">
        <v>0</v>
      </c>
      <c r="AL192" s="417">
        <v>0</v>
      </c>
      <c r="AM192" s="417">
        <f t="shared" si="212"/>
        <v>0</v>
      </c>
      <c r="AN192" s="417">
        <f t="shared" si="213"/>
        <v>0</v>
      </c>
      <c r="AO192" s="417">
        <f t="shared" si="214"/>
        <v>0</v>
      </c>
      <c r="AP192" s="417">
        <f t="shared" si="215"/>
        <v>0</v>
      </c>
      <c r="AQ192" s="417">
        <f t="shared" si="216"/>
        <v>-1746</v>
      </c>
      <c r="AR192" s="417">
        <f t="shared" si="217"/>
        <v>-1746</v>
      </c>
      <c r="AS192" s="68">
        <f t="shared" si="218"/>
        <v>-590</v>
      </c>
      <c r="AT192" s="68">
        <f t="shared" si="219"/>
        <v>-17</v>
      </c>
      <c r="AU192" s="417">
        <v>0</v>
      </c>
      <c r="AV192" s="417">
        <v>0</v>
      </c>
      <c r="AW192" s="417">
        <v>0</v>
      </c>
      <c r="AX192" s="417">
        <f t="shared" si="220"/>
        <v>0</v>
      </c>
      <c r="AY192" s="417">
        <f t="shared" si="221"/>
        <v>-2353</v>
      </c>
      <c r="AZ192" s="418">
        <v>0</v>
      </c>
      <c r="BA192" s="418">
        <v>0</v>
      </c>
      <c r="BB192" s="418">
        <v>0</v>
      </c>
      <c r="BC192" s="418">
        <v>0</v>
      </c>
      <c r="BD192" s="418">
        <v>-0.01</v>
      </c>
      <c r="BE192" s="418">
        <v>0</v>
      </c>
      <c r="BF192" s="418">
        <v>0</v>
      </c>
      <c r="BG192" s="418">
        <v>0</v>
      </c>
      <c r="BH192" s="418">
        <v>0</v>
      </c>
      <c r="BI192" s="418">
        <f t="shared" si="222"/>
        <v>0</v>
      </c>
      <c r="BJ192" s="418">
        <f t="shared" si="223"/>
        <v>-0.01</v>
      </c>
      <c r="BK192" s="420">
        <f t="shared" si="224"/>
        <v>-0.01</v>
      </c>
      <c r="BL192" s="772">
        <f t="shared" si="291"/>
        <v>1282396</v>
      </c>
      <c r="BM192" s="417">
        <f t="shared" si="292"/>
        <v>946934</v>
      </c>
      <c r="BN192" s="417">
        <f t="shared" si="293"/>
        <v>0</v>
      </c>
      <c r="BO192" s="417">
        <f t="shared" si="293"/>
        <v>946934</v>
      </c>
      <c r="BP192" s="417">
        <f t="shared" si="294"/>
        <v>0</v>
      </c>
      <c r="BQ192" s="417">
        <f t="shared" si="295"/>
        <v>0</v>
      </c>
      <c r="BR192" s="417">
        <f t="shared" si="295"/>
        <v>0</v>
      </c>
      <c r="BS192" s="417">
        <f t="shared" si="296"/>
        <v>320064</v>
      </c>
      <c r="BT192" s="417">
        <f t="shared" si="296"/>
        <v>9470</v>
      </c>
      <c r="BU192" s="417">
        <f t="shared" si="297"/>
        <v>5928</v>
      </c>
      <c r="BV192" s="418">
        <f t="shared" si="298"/>
        <v>2.83</v>
      </c>
      <c r="BW192" s="418">
        <f t="shared" si="299"/>
        <v>0</v>
      </c>
      <c r="BX192" s="420">
        <f t="shared" si="299"/>
        <v>2.83</v>
      </c>
      <c r="BY192" s="419"/>
      <c r="BZ192" s="414"/>
      <c r="CA192" s="414"/>
      <c r="CB192" s="414"/>
      <c r="CC192" s="414"/>
      <c r="CD192" s="509"/>
      <c r="CE192" s="419"/>
      <c r="CF192" s="601"/>
      <c r="CG192" s="414"/>
      <c r="CH192" s="414"/>
      <c r="CI192" s="601"/>
      <c r="CJ192" s="603"/>
    </row>
    <row r="193" spans="1:88" s="221" customFormat="1" ht="12.75" customHeight="1">
      <c r="A193" s="209">
        <v>34</v>
      </c>
      <c r="B193" s="210">
        <v>4449</v>
      </c>
      <c r="C193" s="210">
        <v>650037090</v>
      </c>
      <c r="D193" s="210">
        <v>72744171</v>
      </c>
      <c r="E193" s="208" t="s">
        <v>211</v>
      </c>
      <c r="F193" s="210">
        <v>3143</v>
      </c>
      <c r="G193" s="165" t="s">
        <v>595</v>
      </c>
      <c r="H193" s="609" t="s">
        <v>271</v>
      </c>
      <c r="I193" s="510">
        <v>1588765</v>
      </c>
      <c r="J193" s="414">
        <v>1178609</v>
      </c>
      <c r="K193" s="414">
        <v>1178609</v>
      </c>
      <c r="L193" s="414">
        <v>0</v>
      </c>
      <c r="M193" s="414">
        <v>0</v>
      </c>
      <c r="N193" s="414">
        <v>0</v>
      </c>
      <c r="O193" s="414">
        <v>0</v>
      </c>
      <c r="P193" s="68">
        <v>398370</v>
      </c>
      <c r="Q193" s="68">
        <v>11786</v>
      </c>
      <c r="R193" s="414">
        <v>0</v>
      </c>
      <c r="S193" s="415">
        <v>2.5</v>
      </c>
      <c r="T193" s="416">
        <v>2.5</v>
      </c>
      <c r="U193" s="422">
        <v>0</v>
      </c>
      <c r="V193" s="423">
        <f t="shared" si="207"/>
        <v>0</v>
      </c>
      <c r="W193" s="417">
        <f t="shared" si="208"/>
        <v>0</v>
      </c>
      <c r="X193" s="417">
        <v>0</v>
      </c>
      <c r="Y193" s="417">
        <v>0</v>
      </c>
      <c r="Z193" s="417">
        <v>0</v>
      </c>
      <c r="AA193" s="417">
        <v>0</v>
      </c>
      <c r="AB193" s="417">
        <v>0</v>
      </c>
      <c r="AC193" s="417">
        <v>0</v>
      </c>
      <c r="AD193" s="417">
        <v>0</v>
      </c>
      <c r="AE193" s="417">
        <f t="shared" si="209"/>
        <v>0</v>
      </c>
      <c r="AF193" s="417">
        <f t="shared" si="210"/>
        <v>0</v>
      </c>
      <c r="AG193" s="417">
        <f t="shared" si="211"/>
        <v>0</v>
      </c>
      <c r="AH193" s="417">
        <v>0</v>
      </c>
      <c r="AI193" s="417">
        <v>0</v>
      </c>
      <c r="AJ193" s="417">
        <v>0</v>
      </c>
      <c r="AK193" s="417">
        <v>0</v>
      </c>
      <c r="AL193" s="417">
        <v>0</v>
      </c>
      <c r="AM193" s="417">
        <f t="shared" si="212"/>
        <v>0</v>
      </c>
      <c r="AN193" s="417">
        <f t="shared" si="213"/>
        <v>0</v>
      </c>
      <c r="AO193" s="417">
        <f t="shared" si="214"/>
        <v>0</v>
      </c>
      <c r="AP193" s="417">
        <f t="shared" si="215"/>
        <v>0</v>
      </c>
      <c r="AQ193" s="417">
        <f t="shared" si="216"/>
        <v>0</v>
      </c>
      <c r="AR193" s="417">
        <f t="shared" si="217"/>
        <v>0</v>
      </c>
      <c r="AS193" s="68">
        <f t="shared" si="218"/>
        <v>0</v>
      </c>
      <c r="AT193" s="68">
        <f t="shared" si="219"/>
        <v>0</v>
      </c>
      <c r="AU193" s="417">
        <v>0</v>
      </c>
      <c r="AV193" s="417">
        <v>0</v>
      </c>
      <c r="AW193" s="417">
        <v>0</v>
      </c>
      <c r="AX193" s="417">
        <f t="shared" si="220"/>
        <v>0</v>
      </c>
      <c r="AY193" s="417">
        <f t="shared" si="221"/>
        <v>0</v>
      </c>
      <c r="AZ193" s="418">
        <v>0</v>
      </c>
      <c r="BA193" s="418">
        <v>0</v>
      </c>
      <c r="BB193" s="418">
        <v>0</v>
      </c>
      <c r="BC193" s="418">
        <v>0</v>
      </c>
      <c r="BD193" s="418">
        <v>0</v>
      </c>
      <c r="BE193" s="418">
        <v>0</v>
      </c>
      <c r="BF193" s="418">
        <v>0</v>
      </c>
      <c r="BG193" s="418">
        <v>0</v>
      </c>
      <c r="BH193" s="418">
        <v>0</v>
      </c>
      <c r="BI193" s="418">
        <f t="shared" si="222"/>
        <v>0</v>
      </c>
      <c r="BJ193" s="418">
        <f t="shared" si="223"/>
        <v>0</v>
      </c>
      <c r="BK193" s="420">
        <f t="shared" si="224"/>
        <v>0</v>
      </c>
      <c r="BL193" s="772">
        <f t="shared" si="291"/>
        <v>1588765</v>
      </c>
      <c r="BM193" s="417">
        <f t="shared" si="292"/>
        <v>1178609</v>
      </c>
      <c r="BN193" s="417">
        <f t="shared" si="293"/>
        <v>1178609</v>
      </c>
      <c r="BO193" s="417">
        <f t="shared" si="293"/>
        <v>0</v>
      </c>
      <c r="BP193" s="417">
        <f t="shared" si="294"/>
        <v>0</v>
      </c>
      <c r="BQ193" s="417">
        <f t="shared" si="295"/>
        <v>0</v>
      </c>
      <c r="BR193" s="417">
        <f t="shared" si="295"/>
        <v>0</v>
      </c>
      <c r="BS193" s="417">
        <f t="shared" si="296"/>
        <v>398370</v>
      </c>
      <c r="BT193" s="417">
        <f t="shared" si="296"/>
        <v>11786</v>
      </c>
      <c r="BU193" s="417">
        <f t="shared" si="297"/>
        <v>0</v>
      </c>
      <c r="BV193" s="418">
        <f t="shared" si="298"/>
        <v>2.5</v>
      </c>
      <c r="BW193" s="418">
        <f t="shared" si="299"/>
        <v>2.5</v>
      </c>
      <c r="BX193" s="420">
        <f t="shared" si="299"/>
        <v>0</v>
      </c>
      <c r="BY193" s="419"/>
      <c r="BZ193" s="414"/>
      <c r="CA193" s="414"/>
      <c r="CB193" s="414"/>
      <c r="CC193" s="414"/>
      <c r="CD193" s="509"/>
      <c r="CE193" s="419"/>
      <c r="CF193" s="414"/>
      <c r="CG193" s="414"/>
      <c r="CH193" s="414"/>
      <c r="CI193" s="414"/>
      <c r="CJ193" s="509"/>
    </row>
    <row r="194" spans="1:88" s="221" customFormat="1" ht="12.75" customHeight="1">
      <c r="A194" s="209">
        <v>34</v>
      </c>
      <c r="B194" s="210">
        <v>4449</v>
      </c>
      <c r="C194" s="210">
        <v>650037090</v>
      </c>
      <c r="D194" s="210">
        <v>72744171</v>
      </c>
      <c r="E194" s="208" t="s">
        <v>211</v>
      </c>
      <c r="F194" s="210">
        <v>3143</v>
      </c>
      <c r="G194" s="165" t="s">
        <v>596</v>
      </c>
      <c r="H194" s="609" t="s">
        <v>272</v>
      </c>
      <c r="I194" s="510">
        <v>46873</v>
      </c>
      <c r="J194" s="414">
        <v>33550</v>
      </c>
      <c r="K194" s="414">
        <v>0</v>
      </c>
      <c r="L194" s="414">
        <v>33550</v>
      </c>
      <c r="M194" s="414">
        <v>0</v>
      </c>
      <c r="N194" s="414">
        <v>0</v>
      </c>
      <c r="O194" s="414">
        <v>0</v>
      </c>
      <c r="P194" s="68">
        <v>11340</v>
      </c>
      <c r="Q194" s="68">
        <v>336</v>
      </c>
      <c r="R194" s="414">
        <v>1647</v>
      </c>
      <c r="S194" s="415">
        <v>0.12</v>
      </c>
      <c r="T194" s="416">
        <v>0</v>
      </c>
      <c r="U194" s="422">
        <v>0.12</v>
      </c>
      <c r="V194" s="423">
        <f t="shared" si="207"/>
        <v>0</v>
      </c>
      <c r="W194" s="417">
        <f t="shared" si="208"/>
        <v>0</v>
      </c>
      <c r="X194" s="417">
        <v>0</v>
      </c>
      <c r="Y194" s="417">
        <v>0</v>
      </c>
      <c r="Z194" s="417">
        <v>0</v>
      </c>
      <c r="AA194" s="417">
        <v>0</v>
      </c>
      <c r="AB194" s="417">
        <v>0</v>
      </c>
      <c r="AC194" s="417">
        <v>0</v>
      </c>
      <c r="AD194" s="417">
        <v>0</v>
      </c>
      <c r="AE194" s="417">
        <f t="shared" si="209"/>
        <v>0</v>
      </c>
      <c r="AF194" s="417">
        <f t="shared" si="210"/>
        <v>0</v>
      </c>
      <c r="AG194" s="417">
        <f t="shared" si="211"/>
        <v>0</v>
      </c>
      <c r="AH194" s="417">
        <v>0</v>
      </c>
      <c r="AI194" s="417">
        <v>0</v>
      </c>
      <c r="AJ194" s="417">
        <v>0</v>
      </c>
      <c r="AK194" s="417">
        <v>0</v>
      </c>
      <c r="AL194" s="417">
        <v>0</v>
      </c>
      <c r="AM194" s="417">
        <f t="shared" si="212"/>
        <v>0</v>
      </c>
      <c r="AN194" s="417">
        <f t="shared" si="213"/>
        <v>0</v>
      </c>
      <c r="AO194" s="417">
        <f t="shared" si="214"/>
        <v>0</v>
      </c>
      <c r="AP194" s="417">
        <f t="shared" si="215"/>
        <v>0</v>
      </c>
      <c r="AQ194" s="417">
        <f t="shared" si="216"/>
        <v>0</v>
      </c>
      <c r="AR194" s="417">
        <f t="shared" si="217"/>
        <v>0</v>
      </c>
      <c r="AS194" s="68">
        <f t="shared" si="218"/>
        <v>0</v>
      </c>
      <c r="AT194" s="68">
        <f t="shared" si="219"/>
        <v>0</v>
      </c>
      <c r="AU194" s="417">
        <v>0</v>
      </c>
      <c r="AV194" s="417">
        <v>0</v>
      </c>
      <c r="AW194" s="417">
        <v>0</v>
      </c>
      <c r="AX194" s="417">
        <f t="shared" si="220"/>
        <v>0</v>
      </c>
      <c r="AY194" s="417">
        <f t="shared" si="221"/>
        <v>0</v>
      </c>
      <c r="AZ194" s="418">
        <v>0</v>
      </c>
      <c r="BA194" s="418">
        <v>0</v>
      </c>
      <c r="BB194" s="418">
        <v>0</v>
      </c>
      <c r="BC194" s="418">
        <v>0</v>
      </c>
      <c r="BD194" s="418">
        <v>0</v>
      </c>
      <c r="BE194" s="418">
        <v>0</v>
      </c>
      <c r="BF194" s="418">
        <v>0</v>
      </c>
      <c r="BG194" s="418">
        <v>0</v>
      </c>
      <c r="BH194" s="418">
        <v>0</v>
      </c>
      <c r="BI194" s="418">
        <f t="shared" si="222"/>
        <v>0</v>
      </c>
      <c r="BJ194" s="418">
        <f t="shared" si="223"/>
        <v>0</v>
      </c>
      <c r="BK194" s="420">
        <f t="shared" si="224"/>
        <v>0</v>
      </c>
      <c r="BL194" s="772">
        <f t="shared" si="291"/>
        <v>46873</v>
      </c>
      <c r="BM194" s="417">
        <f t="shared" si="292"/>
        <v>33550</v>
      </c>
      <c r="BN194" s="417">
        <f t="shared" si="293"/>
        <v>0</v>
      </c>
      <c r="BO194" s="417">
        <f t="shared" si="293"/>
        <v>33550</v>
      </c>
      <c r="BP194" s="417">
        <f t="shared" si="294"/>
        <v>0</v>
      </c>
      <c r="BQ194" s="417">
        <f t="shared" si="295"/>
        <v>0</v>
      </c>
      <c r="BR194" s="417">
        <f t="shared" si="295"/>
        <v>0</v>
      </c>
      <c r="BS194" s="417">
        <f t="shared" si="296"/>
        <v>11340</v>
      </c>
      <c r="BT194" s="417">
        <f t="shared" si="296"/>
        <v>336</v>
      </c>
      <c r="BU194" s="417">
        <f t="shared" si="297"/>
        <v>1647</v>
      </c>
      <c r="BV194" s="418">
        <f t="shared" si="298"/>
        <v>0.12</v>
      </c>
      <c r="BW194" s="418">
        <f t="shared" si="299"/>
        <v>0</v>
      </c>
      <c r="BX194" s="420">
        <f t="shared" si="299"/>
        <v>0.12</v>
      </c>
      <c r="BY194" s="419"/>
      <c r="BZ194" s="414"/>
      <c r="CA194" s="414"/>
      <c r="CB194" s="414"/>
      <c r="CC194" s="414"/>
      <c r="CD194" s="509"/>
      <c r="CE194" s="419"/>
      <c r="CF194" s="414"/>
      <c r="CG194" s="414"/>
      <c r="CH194" s="414"/>
      <c r="CI194" s="414"/>
      <c r="CJ194" s="509"/>
    </row>
    <row r="195" spans="1:88" s="221" customFormat="1" ht="12.75" customHeight="1">
      <c r="A195" s="155">
        <v>34</v>
      </c>
      <c r="B195" s="18">
        <v>4449</v>
      </c>
      <c r="C195" s="18">
        <v>650037090</v>
      </c>
      <c r="D195" s="18">
        <v>72744171</v>
      </c>
      <c r="E195" s="164" t="s">
        <v>212</v>
      </c>
      <c r="F195" s="18"/>
      <c r="G195" s="154"/>
      <c r="H195" s="608"/>
      <c r="I195" s="451">
        <v>21538397</v>
      </c>
      <c r="J195" s="444">
        <v>15689184</v>
      </c>
      <c r="K195" s="444">
        <v>13001811</v>
      </c>
      <c r="L195" s="444">
        <v>2687373</v>
      </c>
      <c r="M195" s="444">
        <v>125920</v>
      </c>
      <c r="N195" s="444">
        <v>105920</v>
      </c>
      <c r="O195" s="444">
        <v>20000</v>
      </c>
      <c r="P195" s="444">
        <v>5345505</v>
      </c>
      <c r="Q195" s="444">
        <v>156893</v>
      </c>
      <c r="R195" s="444">
        <v>220895</v>
      </c>
      <c r="S195" s="445">
        <v>30.967800000000004</v>
      </c>
      <c r="T195" s="445">
        <v>22.7563</v>
      </c>
      <c r="U195" s="449">
        <v>8.2114999999999991</v>
      </c>
      <c r="V195" s="447">
        <f t="shared" ref="V195:CG195" si="300">SUM(V189:V194)</f>
        <v>55920</v>
      </c>
      <c r="W195" s="444">
        <f t="shared" si="300"/>
        <v>0</v>
      </c>
      <c r="X195" s="444">
        <f t="shared" si="300"/>
        <v>46350</v>
      </c>
      <c r="Y195" s="444">
        <f t="shared" si="300"/>
        <v>0</v>
      </c>
      <c r="Z195" s="444">
        <f t="shared" si="300"/>
        <v>0</v>
      </c>
      <c r="AA195" s="444">
        <f t="shared" si="300"/>
        <v>-1746</v>
      </c>
      <c r="AB195" s="444">
        <f t="shared" si="300"/>
        <v>0</v>
      </c>
      <c r="AC195" s="444">
        <f t="shared" si="300"/>
        <v>0</v>
      </c>
      <c r="AD195" s="444">
        <f t="shared" si="300"/>
        <v>0</v>
      </c>
      <c r="AE195" s="444">
        <f t="shared" si="300"/>
        <v>102270</v>
      </c>
      <c r="AF195" s="444">
        <f t="shared" si="300"/>
        <v>-1746</v>
      </c>
      <c r="AG195" s="444">
        <f t="shared" si="300"/>
        <v>100524</v>
      </c>
      <c r="AH195" s="444">
        <f t="shared" si="300"/>
        <v>-55920</v>
      </c>
      <c r="AI195" s="444">
        <f t="shared" si="300"/>
        <v>0</v>
      </c>
      <c r="AJ195" s="444">
        <f t="shared" si="300"/>
        <v>0</v>
      </c>
      <c r="AK195" s="444">
        <f t="shared" si="300"/>
        <v>0</v>
      </c>
      <c r="AL195" s="444">
        <f t="shared" si="300"/>
        <v>0</v>
      </c>
      <c r="AM195" s="444">
        <f t="shared" si="300"/>
        <v>-55920</v>
      </c>
      <c r="AN195" s="444">
        <f t="shared" si="300"/>
        <v>0</v>
      </c>
      <c r="AO195" s="444">
        <f t="shared" si="300"/>
        <v>-55920</v>
      </c>
      <c r="AP195" s="444">
        <f t="shared" si="300"/>
        <v>46350</v>
      </c>
      <c r="AQ195" s="444">
        <f t="shared" si="300"/>
        <v>-1746</v>
      </c>
      <c r="AR195" s="444">
        <f t="shared" si="300"/>
        <v>44604</v>
      </c>
      <c r="AS195" s="444">
        <f t="shared" si="300"/>
        <v>15076</v>
      </c>
      <c r="AT195" s="444">
        <f t="shared" si="300"/>
        <v>1006</v>
      </c>
      <c r="AU195" s="444">
        <f t="shared" si="300"/>
        <v>0</v>
      </c>
      <c r="AV195" s="444">
        <f t="shared" si="300"/>
        <v>0</v>
      </c>
      <c r="AW195" s="444">
        <f t="shared" si="300"/>
        <v>0</v>
      </c>
      <c r="AX195" s="444">
        <f t="shared" si="300"/>
        <v>0</v>
      </c>
      <c r="AY195" s="444">
        <f t="shared" si="300"/>
        <v>60686</v>
      </c>
      <c r="AZ195" s="445">
        <f t="shared" si="300"/>
        <v>0.01</v>
      </c>
      <c r="BA195" s="445">
        <f t="shared" si="300"/>
        <v>0</v>
      </c>
      <c r="BB195" s="445">
        <f t="shared" si="300"/>
        <v>0.13</v>
      </c>
      <c r="BC195" s="445">
        <f t="shared" si="300"/>
        <v>0</v>
      </c>
      <c r="BD195" s="445">
        <f t="shared" si="300"/>
        <v>-0.01</v>
      </c>
      <c r="BE195" s="445">
        <f t="shared" si="300"/>
        <v>0</v>
      </c>
      <c r="BF195" s="445">
        <f t="shared" si="300"/>
        <v>0</v>
      </c>
      <c r="BG195" s="445">
        <f t="shared" si="300"/>
        <v>0</v>
      </c>
      <c r="BH195" s="445">
        <f t="shared" si="300"/>
        <v>0</v>
      </c>
      <c r="BI195" s="445">
        <f t="shared" si="300"/>
        <v>0.14000000000000001</v>
      </c>
      <c r="BJ195" s="445">
        <f t="shared" si="300"/>
        <v>-0.01</v>
      </c>
      <c r="BK195" s="39">
        <f t="shared" si="300"/>
        <v>0.13</v>
      </c>
      <c r="BL195" s="451">
        <f t="shared" si="300"/>
        <v>21599083</v>
      </c>
      <c r="BM195" s="444">
        <f t="shared" si="300"/>
        <v>15789708</v>
      </c>
      <c r="BN195" s="444">
        <f t="shared" si="300"/>
        <v>13104081</v>
      </c>
      <c r="BO195" s="444">
        <f t="shared" si="300"/>
        <v>2685627</v>
      </c>
      <c r="BP195" s="444">
        <f t="shared" si="300"/>
        <v>70000</v>
      </c>
      <c r="BQ195" s="444">
        <f t="shared" si="300"/>
        <v>50000</v>
      </c>
      <c r="BR195" s="444">
        <f t="shared" si="300"/>
        <v>20000</v>
      </c>
      <c r="BS195" s="444">
        <f t="shared" si="300"/>
        <v>5360581</v>
      </c>
      <c r="BT195" s="444">
        <f t="shared" si="300"/>
        <v>157899</v>
      </c>
      <c r="BU195" s="444">
        <f t="shared" si="300"/>
        <v>220895</v>
      </c>
      <c r="BV195" s="445">
        <f t="shared" si="300"/>
        <v>31.097800000000003</v>
      </c>
      <c r="BW195" s="445">
        <f t="shared" si="300"/>
        <v>22.8963</v>
      </c>
      <c r="BX195" s="39">
        <f t="shared" si="300"/>
        <v>8.2014999999999993</v>
      </c>
      <c r="BY195" s="806">
        <f t="shared" si="300"/>
        <v>0</v>
      </c>
      <c r="BZ195" s="709">
        <f t="shared" si="300"/>
        <v>0</v>
      </c>
      <c r="CA195" s="709">
        <f t="shared" si="300"/>
        <v>0</v>
      </c>
      <c r="CB195" s="709">
        <f t="shared" si="300"/>
        <v>0</v>
      </c>
      <c r="CC195" s="709">
        <f t="shared" si="300"/>
        <v>0</v>
      </c>
      <c r="CD195" s="807">
        <f t="shared" si="300"/>
        <v>0</v>
      </c>
      <c r="CE195" s="919">
        <f t="shared" si="300"/>
        <v>798059</v>
      </c>
      <c r="CF195" s="920">
        <f t="shared" si="300"/>
        <v>553661</v>
      </c>
      <c r="CG195" s="920">
        <f t="shared" si="300"/>
        <v>187137</v>
      </c>
      <c r="CH195" s="920">
        <f t="shared" ref="CH195:CJ195" si="301">SUM(CH189:CH194)</f>
        <v>5537</v>
      </c>
      <c r="CI195" s="920">
        <f t="shared" si="301"/>
        <v>51724</v>
      </c>
      <c r="CJ195" s="921">
        <f t="shared" si="301"/>
        <v>1.6950999999999996</v>
      </c>
    </row>
    <row r="196" spans="1:88" s="221" customFormat="1" ht="12.75" customHeight="1">
      <c r="A196" s="209">
        <v>35</v>
      </c>
      <c r="B196" s="210">
        <v>4401</v>
      </c>
      <c r="C196" s="210">
        <v>600074196</v>
      </c>
      <c r="D196" s="210">
        <v>71011129</v>
      </c>
      <c r="E196" s="208" t="s">
        <v>213</v>
      </c>
      <c r="F196" s="210">
        <v>3111</v>
      </c>
      <c r="G196" s="165" t="s">
        <v>290</v>
      </c>
      <c r="H196" s="621" t="s">
        <v>271</v>
      </c>
      <c r="I196" s="510">
        <v>3478432</v>
      </c>
      <c r="J196" s="414">
        <v>2479831</v>
      </c>
      <c r="K196" s="414">
        <v>2233248</v>
      </c>
      <c r="L196" s="414">
        <v>246583</v>
      </c>
      <c r="M196" s="414">
        <v>90000</v>
      </c>
      <c r="N196" s="414">
        <v>10000</v>
      </c>
      <c r="O196" s="414">
        <v>80000</v>
      </c>
      <c r="P196" s="68">
        <v>868603</v>
      </c>
      <c r="Q196" s="68">
        <v>24798</v>
      </c>
      <c r="R196" s="414">
        <v>15200</v>
      </c>
      <c r="S196" s="415">
        <v>4.8195000000000006</v>
      </c>
      <c r="T196" s="416">
        <v>4</v>
      </c>
      <c r="U196" s="422">
        <v>0.81950000000000001</v>
      </c>
      <c r="V196" s="423">
        <f t="shared" si="207"/>
        <v>0</v>
      </c>
      <c r="W196" s="417">
        <f t="shared" si="208"/>
        <v>0</v>
      </c>
      <c r="X196" s="417">
        <v>0</v>
      </c>
      <c r="Y196" s="417">
        <v>0</v>
      </c>
      <c r="Z196" s="417">
        <v>0</v>
      </c>
      <c r="AA196" s="417">
        <v>0</v>
      </c>
      <c r="AB196" s="417">
        <v>0</v>
      </c>
      <c r="AC196" s="417">
        <v>0</v>
      </c>
      <c r="AD196" s="417">
        <v>0</v>
      </c>
      <c r="AE196" s="417">
        <f t="shared" si="209"/>
        <v>0</v>
      </c>
      <c r="AF196" s="417">
        <f t="shared" si="210"/>
        <v>0</v>
      </c>
      <c r="AG196" s="417">
        <f t="shared" si="211"/>
        <v>0</v>
      </c>
      <c r="AH196" s="417">
        <v>0</v>
      </c>
      <c r="AI196" s="417">
        <v>0</v>
      </c>
      <c r="AJ196" s="417">
        <v>0</v>
      </c>
      <c r="AK196" s="417">
        <v>0</v>
      </c>
      <c r="AL196" s="417">
        <v>0</v>
      </c>
      <c r="AM196" s="417">
        <f t="shared" si="212"/>
        <v>0</v>
      </c>
      <c r="AN196" s="417">
        <f t="shared" si="213"/>
        <v>0</v>
      </c>
      <c r="AO196" s="417">
        <f t="shared" si="214"/>
        <v>0</v>
      </c>
      <c r="AP196" s="417">
        <f t="shared" si="215"/>
        <v>0</v>
      </c>
      <c r="AQ196" s="417">
        <f t="shared" si="216"/>
        <v>0</v>
      </c>
      <c r="AR196" s="417">
        <f t="shared" si="217"/>
        <v>0</v>
      </c>
      <c r="AS196" s="68">
        <f t="shared" si="218"/>
        <v>0</v>
      </c>
      <c r="AT196" s="68">
        <f t="shared" si="219"/>
        <v>0</v>
      </c>
      <c r="AU196" s="417">
        <v>0</v>
      </c>
      <c r="AV196" s="417">
        <v>0</v>
      </c>
      <c r="AW196" s="417">
        <v>0</v>
      </c>
      <c r="AX196" s="417">
        <f t="shared" si="220"/>
        <v>0</v>
      </c>
      <c r="AY196" s="417">
        <f t="shared" si="221"/>
        <v>0</v>
      </c>
      <c r="AZ196" s="418">
        <v>0</v>
      </c>
      <c r="BA196" s="418">
        <v>0</v>
      </c>
      <c r="BB196" s="418">
        <v>0</v>
      </c>
      <c r="BC196" s="418">
        <v>0</v>
      </c>
      <c r="BD196" s="418">
        <v>0</v>
      </c>
      <c r="BE196" s="418">
        <v>0</v>
      </c>
      <c r="BF196" s="418">
        <v>0</v>
      </c>
      <c r="BG196" s="418">
        <v>0</v>
      </c>
      <c r="BH196" s="418">
        <v>0</v>
      </c>
      <c r="BI196" s="418">
        <f t="shared" si="222"/>
        <v>0</v>
      </c>
      <c r="BJ196" s="418">
        <f t="shared" si="223"/>
        <v>0</v>
      </c>
      <c r="BK196" s="420">
        <f t="shared" si="224"/>
        <v>0</v>
      </c>
      <c r="BL196" s="772">
        <f>I196+AY196</f>
        <v>3478432</v>
      </c>
      <c r="BM196" s="417">
        <f>J196+AG196</f>
        <v>2479831</v>
      </c>
      <c r="BN196" s="417">
        <f t="shared" ref="BN196:BO198" si="302">K196+AE196</f>
        <v>2233248</v>
      </c>
      <c r="BO196" s="417">
        <f t="shared" si="302"/>
        <v>246583</v>
      </c>
      <c r="BP196" s="417">
        <f>M196+AO196</f>
        <v>90000</v>
      </c>
      <c r="BQ196" s="417">
        <f t="shared" ref="BQ196:BR198" si="303">N196+AM196</f>
        <v>10000</v>
      </c>
      <c r="BR196" s="417">
        <f t="shared" si="303"/>
        <v>80000</v>
      </c>
      <c r="BS196" s="417">
        <f t="shared" ref="BS196:BT198" si="304">P196+AS196</f>
        <v>868603</v>
      </c>
      <c r="BT196" s="417">
        <f t="shared" si="304"/>
        <v>24798</v>
      </c>
      <c r="BU196" s="417">
        <f>R196+AX196</f>
        <v>15200</v>
      </c>
      <c r="BV196" s="418">
        <f>S196+BK196</f>
        <v>4.8195000000000006</v>
      </c>
      <c r="BW196" s="418">
        <f t="shared" ref="BW196:BX198" si="305">T196+BI196</f>
        <v>4</v>
      </c>
      <c r="BX196" s="420">
        <f t="shared" si="305"/>
        <v>0.81950000000000001</v>
      </c>
      <c r="BY196" s="419"/>
      <c r="BZ196" s="414"/>
      <c r="CA196" s="414"/>
      <c r="CB196" s="414"/>
      <c r="CC196" s="414"/>
      <c r="CD196" s="509"/>
      <c r="CE196" s="419">
        <v>146312</v>
      </c>
      <c r="CF196" s="414">
        <v>104791</v>
      </c>
      <c r="CG196" s="414">
        <v>35419</v>
      </c>
      <c r="CH196" s="414">
        <v>1048</v>
      </c>
      <c r="CI196" s="414">
        <v>5054</v>
      </c>
      <c r="CJ196" s="509">
        <v>0.3528</v>
      </c>
    </row>
    <row r="197" spans="1:88" s="221" customFormat="1" ht="12.75" customHeight="1">
      <c r="A197" s="209">
        <v>35</v>
      </c>
      <c r="B197" s="210">
        <v>4401</v>
      </c>
      <c r="C197" s="210">
        <v>600074196</v>
      </c>
      <c r="D197" s="210">
        <v>71011129</v>
      </c>
      <c r="E197" s="208" t="s">
        <v>213</v>
      </c>
      <c r="F197" s="210">
        <v>3111</v>
      </c>
      <c r="G197" s="165" t="s">
        <v>291</v>
      </c>
      <c r="H197" s="621" t="s">
        <v>272</v>
      </c>
      <c r="I197" s="510">
        <v>379512</v>
      </c>
      <c r="J197" s="414">
        <v>281537</v>
      </c>
      <c r="K197" s="414">
        <v>281537</v>
      </c>
      <c r="L197" s="414">
        <v>0</v>
      </c>
      <c r="M197" s="414">
        <v>0</v>
      </c>
      <c r="N197" s="414">
        <v>0</v>
      </c>
      <c r="O197" s="414">
        <v>0</v>
      </c>
      <c r="P197" s="68">
        <v>95160</v>
      </c>
      <c r="Q197" s="68">
        <v>2815</v>
      </c>
      <c r="R197" s="414">
        <v>0</v>
      </c>
      <c r="S197" s="415">
        <v>0.76</v>
      </c>
      <c r="T197" s="416">
        <v>0.76</v>
      </c>
      <c r="U197" s="422">
        <v>0</v>
      </c>
      <c r="V197" s="423">
        <f t="shared" si="207"/>
        <v>0</v>
      </c>
      <c r="W197" s="417">
        <f t="shared" si="208"/>
        <v>0</v>
      </c>
      <c r="X197" s="417">
        <v>0</v>
      </c>
      <c r="Y197" s="417">
        <v>0</v>
      </c>
      <c r="Z197" s="417">
        <v>0</v>
      </c>
      <c r="AA197" s="417">
        <v>0</v>
      </c>
      <c r="AB197" s="417">
        <v>0</v>
      </c>
      <c r="AC197" s="417">
        <v>0</v>
      </c>
      <c r="AD197" s="417">
        <v>0</v>
      </c>
      <c r="AE197" s="417">
        <f t="shared" si="209"/>
        <v>0</v>
      </c>
      <c r="AF197" s="417">
        <f t="shared" si="210"/>
        <v>0</v>
      </c>
      <c r="AG197" s="417">
        <f t="shared" si="211"/>
        <v>0</v>
      </c>
      <c r="AH197" s="417">
        <v>0</v>
      </c>
      <c r="AI197" s="417">
        <v>0</v>
      </c>
      <c r="AJ197" s="417">
        <v>0</v>
      </c>
      <c r="AK197" s="417">
        <v>0</v>
      </c>
      <c r="AL197" s="417">
        <v>0</v>
      </c>
      <c r="AM197" s="417">
        <f t="shared" si="212"/>
        <v>0</v>
      </c>
      <c r="AN197" s="417">
        <f t="shared" si="213"/>
        <v>0</v>
      </c>
      <c r="AO197" s="417">
        <f t="shared" si="214"/>
        <v>0</v>
      </c>
      <c r="AP197" s="417">
        <f t="shared" si="215"/>
        <v>0</v>
      </c>
      <c r="AQ197" s="417">
        <f t="shared" si="216"/>
        <v>0</v>
      </c>
      <c r="AR197" s="417">
        <f t="shared" si="217"/>
        <v>0</v>
      </c>
      <c r="AS197" s="68">
        <f t="shared" si="218"/>
        <v>0</v>
      </c>
      <c r="AT197" s="68">
        <f t="shared" si="219"/>
        <v>0</v>
      </c>
      <c r="AU197" s="417">
        <v>0</v>
      </c>
      <c r="AV197" s="417">
        <v>0</v>
      </c>
      <c r="AW197" s="417">
        <v>0</v>
      </c>
      <c r="AX197" s="417">
        <f t="shared" si="220"/>
        <v>0</v>
      </c>
      <c r="AY197" s="417">
        <f t="shared" si="221"/>
        <v>0</v>
      </c>
      <c r="AZ197" s="418">
        <v>0</v>
      </c>
      <c r="BA197" s="418">
        <v>0</v>
      </c>
      <c r="BB197" s="418">
        <v>0</v>
      </c>
      <c r="BC197" s="418">
        <v>0</v>
      </c>
      <c r="BD197" s="418">
        <v>0</v>
      </c>
      <c r="BE197" s="418">
        <v>0</v>
      </c>
      <c r="BF197" s="418">
        <v>0</v>
      </c>
      <c r="BG197" s="418">
        <v>0</v>
      </c>
      <c r="BH197" s="418">
        <v>0</v>
      </c>
      <c r="BI197" s="418">
        <f t="shared" si="222"/>
        <v>0</v>
      </c>
      <c r="BJ197" s="418">
        <f t="shared" si="223"/>
        <v>0</v>
      </c>
      <c r="BK197" s="420">
        <f t="shared" si="224"/>
        <v>0</v>
      </c>
      <c r="BL197" s="772">
        <f>I197+AY197</f>
        <v>379512</v>
      </c>
      <c r="BM197" s="417">
        <f>J197+AG197</f>
        <v>281537</v>
      </c>
      <c r="BN197" s="417">
        <f t="shared" si="302"/>
        <v>281537</v>
      </c>
      <c r="BO197" s="417">
        <f t="shared" si="302"/>
        <v>0</v>
      </c>
      <c r="BP197" s="417">
        <f>M197+AO197</f>
        <v>0</v>
      </c>
      <c r="BQ197" s="417">
        <f t="shared" si="303"/>
        <v>0</v>
      </c>
      <c r="BR197" s="417">
        <f t="shared" si="303"/>
        <v>0</v>
      </c>
      <c r="BS197" s="417">
        <f t="shared" si="304"/>
        <v>95160</v>
      </c>
      <c r="BT197" s="417">
        <f t="shared" si="304"/>
        <v>2815</v>
      </c>
      <c r="BU197" s="417">
        <f>R197+AX197</f>
        <v>0</v>
      </c>
      <c r="BV197" s="418">
        <f>S197+BK197</f>
        <v>0.76</v>
      </c>
      <c r="BW197" s="418">
        <f t="shared" si="305"/>
        <v>0.76</v>
      </c>
      <c r="BX197" s="420">
        <f t="shared" si="305"/>
        <v>0</v>
      </c>
      <c r="BY197" s="419"/>
      <c r="BZ197" s="414"/>
      <c r="CA197" s="414"/>
      <c r="CB197" s="414"/>
      <c r="CC197" s="414"/>
      <c r="CD197" s="509"/>
      <c r="CE197" s="419"/>
      <c r="CF197" s="414"/>
      <c r="CG197" s="414"/>
      <c r="CH197" s="414"/>
      <c r="CI197" s="414"/>
      <c r="CJ197" s="509"/>
    </row>
    <row r="198" spans="1:88" s="221" customFormat="1" ht="12.75" customHeight="1">
      <c r="A198" s="209">
        <v>35</v>
      </c>
      <c r="B198" s="210">
        <v>4401</v>
      </c>
      <c r="C198" s="210">
        <v>600074196</v>
      </c>
      <c r="D198" s="210">
        <v>71011129</v>
      </c>
      <c r="E198" s="204" t="s">
        <v>213</v>
      </c>
      <c r="F198" s="210">
        <v>3141</v>
      </c>
      <c r="G198" s="165" t="s">
        <v>294</v>
      </c>
      <c r="H198" s="621" t="s">
        <v>272</v>
      </c>
      <c r="I198" s="510">
        <v>230461</v>
      </c>
      <c r="J198" s="414">
        <v>170007</v>
      </c>
      <c r="K198" s="414">
        <v>0</v>
      </c>
      <c r="L198" s="414">
        <v>170007</v>
      </c>
      <c r="M198" s="414">
        <v>0</v>
      </c>
      <c r="N198" s="414">
        <v>0</v>
      </c>
      <c r="O198" s="414">
        <v>0</v>
      </c>
      <c r="P198" s="68">
        <v>57462</v>
      </c>
      <c r="Q198" s="68">
        <v>1700</v>
      </c>
      <c r="R198" s="414">
        <v>1292</v>
      </c>
      <c r="S198" s="415">
        <v>0.51</v>
      </c>
      <c r="T198" s="416">
        <v>0</v>
      </c>
      <c r="U198" s="422">
        <v>0.51</v>
      </c>
      <c r="V198" s="423">
        <f t="shared" si="207"/>
        <v>0</v>
      </c>
      <c r="W198" s="417">
        <f t="shared" si="208"/>
        <v>0</v>
      </c>
      <c r="X198" s="417">
        <v>0</v>
      </c>
      <c r="Y198" s="417">
        <v>0</v>
      </c>
      <c r="Z198" s="417">
        <v>0</v>
      </c>
      <c r="AA198" s="417">
        <v>-4331</v>
      </c>
      <c r="AB198" s="417">
        <v>0</v>
      </c>
      <c r="AC198" s="417">
        <v>0</v>
      </c>
      <c r="AD198" s="417">
        <v>0</v>
      </c>
      <c r="AE198" s="417">
        <f t="shared" si="209"/>
        <v>0</v>
      </c>
      <c r="AF198" s="417">
        <f t="shared" si="210"/>
        <v>-4331</v>
      </c>
      <c r="AG198" s="417">
        <f t="shared" si="211"/>
        <v>-4331</v>
      </c>
      <c r="AH198" s="417">
        <v>0</v>
      </c>
      <c r="AI198" s="417">
        <v>0</v>
      </c>
      <c r="AJ198" s="417">
        <v>0</v>
      </c>
      <c r="AK198" s="417">
        <v>0</v>
      </c>
      <c r="AL198" s="417">
        <v>0</v>
      </c>
      <c r="AM198" s="417">
        <f t="shared" si="212"/>
        <v>0</v>
      </c>
      <c r="AN198" s="417">
        <f t="shared" si="213"/>
        <v>0</v>
      </c>
      <c r="AO198" s="417">
        <f t="shared" si="214"/>
        <v>0</v>
      </c>
      <c r="AP198" s="417">
        <f t="shared" si="215"/>
        <v>0</v>
      </c>
      <c r="AQ198" s="417">
        <f t="shared" si="216"/>
        <v>-4331</v>
      </c>
      <c r="AR198" s="417">
        <f t="shared" si="217"/>
        <v>-4331</v>
      </c>
      <c r="AS198" s="68">
        <f t="shared" si="218"/>
        <v>-1464</v>
      </c>
      <c r="AT198" s="68">
        <f t="shared" si="219"/>
        <v>-43</v>
      </c>
      <c r="AU198" s="417">
        <v>0</v>
      </c>
      <c r="AV198" s="417">
        <v>0</v>
      </c>
      <c r="AW198" s="417">
        <v>0</v>
      </c>
      <c r="AX198" s="417">
        <f t="shared" si="220"/>
        <v>0</v>
      </c>
      <c r="AY198" s="417">
        <f t="shared" si="221"/>
        <v>-5838</v>
      </c>
      <c r="AZ198" s="418">
        <v>0</v>
      </c>
      <c r="BA198" s="418">
        <v>0</v>
      </c>
      <c r="BB198" s="418">
        <v>0</v>
      </c>
      <c r="BC198" s="418">
        <v>0</v>
      </c>
      <c r="BD198" s="418">
        <v>-0.01</v>
      </c>
      <c r="BE198" s="418">
        <v>0</v>
      </c>
      <c r="BF198" s="418">
        <v>0</v>
      </c>
      <c r="BG198" s="418">
        <v>0</v>
      </c>
      <c r="BH198" s="418">
        <v>0</v>
      </c>
      <c r="BI198" s="418">
        <f t="shared" si="222"/>
        <v>0</v>
      </c>
      <c r="BJ198" s="418">
        <f t="shared" si="223"/>
        <v>-0.01</v>
      </c>
      <c r="BK198" s="420">
        <f t="shared" si="224"/>
        <v>-0.01</v>
      </c>
      <c r="BL198" s="772">
        <f>I198+AY198</f>
        <v>224623</v>
      </c>
      <c r="BM198" s="417">
        <f>J198+AG198</f>
        <v>165676</v>
      </c>
      <c r="BN198" s="417">
        <f t="shared" si="302"/>
        <v>0</v>
      </c>
      <c r="BO198" s="417">
        <f t="shared" si="302"/>
        <v>165676</v>
      </c>
      <c r="BP198" s="417">
        <f>M198+AO198</f>
        <v>0</v>
      </c>
      <c r="BQ198" s="417">
        <f t="shared" si="303"/>
        <v>0</v>
      </c>
      <c r="BR198" s="417">
        <f t="shared" si="303"/>
        <v>0</v>
      </c>
      <c r="BS198" s="417">
        <f t="shared" si="304"/>
        <v>55998</v>
      </c>
      <c r="BT198" s="417">
        <f t="shared" si="304"/>
        <v>1657</v>
      </c>
      <c r="BU198" s="417">
        <f>R198+AX198</f>
        <v>1292</v>
      </c>
      <c r="BV198" s="418">
        <f>S198+BK198</f>
        <v>0.5</v>
      </c>
      <c r="BW198" s="418">
        <f t="shared" si="305"/>
        <v>0</v>
      </c>
      <c r="BX198" s="420">
        <f t="shared" si="305"/>
        <v>0.5</v>
      </c>
      <c r="BY198" s="419"/>
      <c r="BZ198" s="414"/>
      <c r="CA198" s="414"/>
      <c r="CB198" s="414"/>
      <c r="CC198" s="414"/>
      <c r="CD198" s="509"/>
      <c r="CE198" s="419"/>
      <c r="CF198" s="601"/>
      <c r="CG198" s="414"/>
      <c r="CH198" s="414"/>
      <c r="CI198" s="601"/>
      <c r="CJ198" s="603"/>
    </row>
    <row r="199" spans="1:88" s="221" customFormat="1" ht="12.75" customHeight="1">
      <c r="A199" s="155">
        <v>35</v>
      </c>
      <c r="B199" s="18">
        <v>4401</v>
      </c>
      <c r="C199" s="18">
        <v>600074196</v>
      </c>
      <c r="D199" s="18">
        <v>71011129</v>
      </c>
      <c r="E199" s="164" t="s">
        <v>214</v>
      </c>
      <c r="F199" s="18"/>
      <c r="G199" s="154"/>
      <c r="H199" s="608"/>
      <c r="I199" s="451">
        <v>4088405</v>
      </c>
      <c r="J199" s="444">
        <v>2931375</v>
      </c>
      <c r="K199" s="444">
        <v>2514785</v>
      </c>
      <c r="L199" s="444">
        <v>416590</v>
      </c>
      <c r="M199" s="444">
        <v>90000</v>
      </c>
      <c r="N199" s="444">
        <v>10000</v>
      </c>
      <c r="O199" s="444">
        <v>80000</v>
      </c>
      <c r="P199" s="444">
        <v>1021225</v>
      </c>
      <c r="Q199" s="444">
        <v>29313</v>
      </c>
      <c r="R199" s="444">
        <v>16492</v>
      </c>
      <c r="S199" s="445">
        <v>6.0895000000000001</v>
      </c>
      <c r="T199" s="445">
        <v>4.76</v>
      </c>
      <c r="U199" s="449">
        <v>1.3294999999999999</v>
      </c>
      <c r="V199" s="447">
        <f t="shared" ref="V199:CG199" si="306">SUM(V196:V198)</f>
        <v>0</v>
      </c>
      <c r="W199" s="444">
        <f t="shared" si="306"/>
        <v>0</v>
      </c>
      <c r="X199" s="444">
        <f t="shared" si="306"/>
        <v>0</v>
      </c>
      <c r="Y199" s="444">
        <f t="shared" si="306"/>
        <v>0</v>
      </c>
      <c r="Z199" s="444">
        <f t="shared" si="306"/>
        <v>0</v>
      </c>
      <c r="AA199" s="444">
        <f t="shared" si="306"/>
        <v>-4331</v>
      </c>
      <c r="AB199" s="444">
        <f t="shared" si="306"/>
        <v>0</v>
      </c>
      <c r="AC199" s="444">
        <f t="shared" si="306"/>
        <v>0</v>
      </c>
      <c r="AD199" s="444">
        <f t="shared" si="306"/>
        <v>0</v>
      </c>
      <c r="AE199" s="444">
        <f t="shared" si="306"/>
        <v>0</v>
      </c>
      <c r="AF199" s="444">
        <f t="shared" si="306"/>
        <v>-4331</v>
      </c>
      <c r="AG199" s="444">
        <f t="shared" si="306"/>
        <v>-4331</v>
      </c>
      <c r="AH199" s="444">
        <f t="shared" si="306"/>
        <v>0</v>
      </c>
      <c r="AI199" s="444">
        <f t="shared" si="306"/>
        <v>0</v>
      </c>
      <c r="AJ199" s="444">
        <f t="shared" si="306"/>
        <v>0</v>
      </c>
      <c r="AK199" s="444">
        <f t="shared" si="306"/>
        <v>0</v>
      </c>
      <c r="AL199" s="444">
        <f t="shared" si="306"/>
        <v>0</v>
      </c>
      <c r="AM199" s="444">
        <f t="shared" si="306"/>
        <v>0</v>
      </c>
      <c r="AN199" s="444">
        <f t="shared" si="306"/>
        <v>0</v>
      </c>
      <c r="AO199" s="444">
        <f t="shared" si="306"/>
        <v>0</v>
      </c>
      <c r="AP199" s="444">
        <f t="shared" si="306"/>
        <v>0</v>
      </c>
      <c r="AQ199" s="444">
        <f t="shared" si="306"/>
        <v>-4331</v>
      </c>
      <c r="AR199" s="444">
        <f t="shared" si="306"/>
        <v>-4331</v>
      </c>
      <c r="AS199" s="444">
        <f t="shared" si="306"/>
        <v>-1464</v>
      </c>
      <c r="AT199" s="444">
        <f t="shared" si="306"/>
        <v>-43</v>
      </c>
      <c r="AU199" s="444">
        <f t="shared" si="306"/>
        <v>0</v>
      </c>
      <c r="AV199" s="444">
        <f t="shared" si="306"/>
        <v>0</v>
      </c>
      <c r="AW199" s="444">
        <f t="shared" si="306"/>
        <v>0</v>
      </c>
      <c r="AX199" s="444">
        <f t="shared" si="306"/>
        <v>0</v>
      </c>
      <c r="AY199" s="444">
        <f t="shared" si="306"/>
        <v>-5838</v>
      </c>
      <c r="AZ199" s="445">
        <f t="shared" si="306"/>
        <v>0</v>
      </c>
      <c r="BA199" s="445">
        <f t="shared" si="306"/>
        <v>0</v>
      </c>
      <c r="BB199" s="445">
        <f t="shared" si="306"/>
        <v>0</v>
      </c>
      <c r="BC199" s="445">
        <f t="shared" si="306"/>
        <v>0</v>
      </c>
      <c r="BD199" s="445">
        <f t="shared" si="306"/>
        <v>-0.01</v>
      </c>
      <c r="BE199" s="445">
        <f t="shared" si="306"/>
        <v>0</v>
      </c>
      <c r="BF199" s="445">
        <f t="shared" si="306"/>
        <v>0</v>
      </c>
      <c r="BG199" s="445">
        <f t="shared" si="306"/>
        <v>0</v>
      </c>
      <c r="BH199" s="445">
        <f t="shared" si="306"/>
        <v>0</v>
      </c>
      <c r="BI199" s="445">
        <f t="shared" si="306"/>
        <v>0</v>
      </c>
      <c r="BJ199" s="445">
        <f t="shared" si="306"/>
        <v>-0.01</v>
      </c>
      <c r="BK199" s="39">
        <f t="shared" si="306"/>
        <v>-0.01</v>
      </c>
      <c r="BL199" s="451">
        <f t="shared" si="306"/>
        <v>4082567</v>
      </c>
      <c r="BM199" s="444">
        <f t="shared" si="306"/>
        <v>2927044</v>
      </c>
      <c r="BN199" s="444">
        <f t="shared" si="306"/>
        <v>2514785</v>
      </c>
      <c r="BO199" s="444">
        <f t="shared" si="306"/>
        <v>412259</v>
      </c>
      <c r="BP199" s="444">
        <f t="shared" si="306"/>
        <v>90000</v>
      </c>
      <c r="BQ199" s="444">
        <f t="shared" si="306"/>
        <v>10000</v>
      </c>
      <c r="BR199" s="444">
        <f t="shared" si="306"/>
        <v>80000</v>
      </c>
      <c r="BS199" s="444">
        <f t="shared" si="306"/>
        <v>1019761</v>
      </c>
      <c r="BT199" s="444">
        <f t="shared" si="306"/>
        <v>29270</v>
      </c>
      <c r="BU199" s="444">
        <f t="shared" si="306"/>
        <v>16492</v>
      </c>
      <c r="BV199" s="445">
        <f t="shared" si="306"/>
        <v>6.0795000000000003</v>
      </c>
      <c r="BW199" s="445">
        <f t="shared" si="306"/>
        <v>4.76</v>
      </c>
      <c r="BX199" s="39">
        <f t="shared" si="306"/>
        <v>1.3195000000000001</v>
      </c>
      <c r="BY199" s="806">
        <f t="shared" si="306"/>
        <v>0</v>
      </c>
      <c r="BZ199" s="709">
        <f t="shared" si="306"/>
        <v>0</v>
      </c>
      <c r="CA199" s="709">
        <f t="shared" si="306"/>
        <v>0</v>
      </c>
      <c r="CB199" s="709">
        <f t="shared" si="306"/>
        <v>0</v>
      </c>
      <c r="CC199" s="709">
        <f t="shared" si="306"/>
        <v>0</v>
      </c>
      <c r="CD199" s="807">
        <f t="shared" si="306"/>
        <v>0</v>
      </c>
      <c r="CE199" s="919">
        <f t="shared" si="306"/>
        <v>146312</v>
      </c>
      <c r="CF199" s="920">
        <f t="shared" si="306"/>
        <v>104791</v>
      </c>
      <c r="CG199" s="920">
        <f t="shared" si="306"/>
        <v>35419</v>
      </c>
      <c r="CH199" s="920">
        <f t="shared" ref="CH199:CJ199" si="307">SUM(CH196:CH198)</f>
        <v>1048</v>
      </c>
      <c r="CI199" s="920">
        <f t="shared" si="307"/>
        <v>5054</v>
      </c>
      <c r="CJ199" s="921">
        <f t="shared" si="307"/>
        <v>0.3528</v>
      </c>
    </row>
    <row r="200" spans="1:88" s="221" customFormat="1" ht="12.75" customHeight="1">
      <c r="A200" s="209">
        <v>36</v>
      </c>
      <c r="B200" s="210">
        <v>4453</v>
      </c>
      <c r="C200" s="210">
        <v>600074790</v>
      </c>
      <c r="D200" s="210">
        <v>71011111</v>
      </c>
      <c r="E200" s="208" t="s">
        <v>215</v>
      </c>
      <c r="F200" s="210">
        <v>3113</v>
      </c>
      <c r="G200" s="165" t="s">
        <v>293</v>
      </c>
      <c r="H200" s="621" t="s">
        <v>271</v>
      </c>
      <c r="I200" s="510">
        <v>12639428</v>
      </c>
      <c r="J200" s="414">
        <v>9199490</v>
      </c>
      <c r="K200" s="414">
        <v>7935352</v>
      </c>
      <c r="L200" s="414">
        <v>1264138</v>
      </c>
      <c r="M200" s="414">
        <v>30000</v>
      </c>
      <c r="N200" s="414">
        <v>20000</v>
      </c>
      <c r="O200" s="414">
        <v>10000</v>
      </c>
      <c r="P200" s="68">
        <v>3119567</v>
      </c>
      <c r="Q200" s="68">
        <v>91996</v>
      </c>
      <c r="R200" s="414">
        <v>198375</v>
      </c>
      <c r="S200" s="415">
        <v>15.379299999999999</v>
      </c>
      <c r="T200" s="416">
        <v>11.767200000000001</v>
      </c>
      <c r="U200" s="422">
        <v>3.6120999999999999</v>
      </c>
      <c r="V200" s="423">
        <f t="shared" si="207"/>
        <v>5000</v>
      </c>
      <c r="W200" s="417">
        <f t="shared" si="208"/>
        <v>-5000</v>
      </c>
      <c r="X200" s="417">
        <v>0</v>
      </c>
      <c r="Y200" s="417">
        <v>18536</v>
      </c>
      <c r="Z200" s="417">
        <v>0</v>
      </c>
      <c r="AA200" s="417">
        <v>0</v>
      </c>
      <c r="AB200" s="417">
        <v>0</v>
      </c>
      <c r="AC200" s="417">
        <v>0</v>
      </c>
      <c r="AD200" s="417">
        <v>0</v>
      </c>
      <c r="AE200" s="417">
        <f t="shared" si="209"/>
        <v>23536</v>
      </c>
      <c r="AF200" s="417">
        <f t="shared" si="210"/>
        <v>-5000</v>
      </c>
      <c r="AG200" s="417">
        <f t="shared" si="211"/>
        <v>18536</v>
      </c>
      <c r="AH200" s="417">
        <v>-5000</v>
      </c>
      <c r="AI200" s="417">
        <v>5000</v>
      </c>
      <c r="AJ200" s="417">
        <v>0</v>
      </c>
      <c r="AK200" s="417">
        <v>0</v>
      </c>
      <c r="AL200" s="417">
        <v>0</v>
      </c>
      <c r="AM200" s="417">
        <f t="shared" si="212"/>
        <v>-5000</v>
      </c>
      <c r="AN200" s="417">
        <f t="shared" si="213"/>
        <v>5000</v>
      </c>
      <c r="AO200" s="417">
        <f t="shared" si="214"/>
        <v>0</v>
      </c>
      <c r="AP200" s="417">
        <f t="shared" si="215"/>
        <v>18536</v>
      </c>
      <c r="AQ200" s="417">
        <f t="shared" si="216"/>
        <v>0</v>
      </c>
      <c r="AR200" s="417">
        <f t="shared" si="217"/>
        <v>18536</v>
      </c>
      <c r="AS200" s="68">
        <f t="shared" si="218"/>
        <v>6265</v>
      </c>
      <c r="AT200" s="68">
        <f t="shared" si="219"/>
        <v>185</v>
      </c>
      <c r="AU200" s="417">
        <v>0</v>
      </c>
      <c r="AV200" s="417">
        <v>0</v>
      </c>
      <c r="AW200" s="417">
        <v>0</v>
      </c>
      <c r="AX200" s="417">
        <f t="shared" si="220"/>
        <v>0</v>
      </c>
      <c r="AY200" s="417">
        <f t="shared" si="221"/>
        <v>24986</v>
      </c>
      <c r="AZ200" s="418">
        <v>0.01</v>
      </c>
      <c r="BA200" s="418">
        <v>-0.02</v>
      </c>
      <c r="BB200" s="418">
        <v>0</v>
      </c>
      <c r="BC200" s="418">
        <v>0</v>
      </c>
      <c r="BD200" s="418">
        <v>0</v>
      </c>
      <c r="BE200" s="418">
        <v>0.03</v>
      </c>
      <c r="BF200" s="418">
        <v>0</v>
      </c>
      <c r="BG200" s="418">
        <v>0</v>
      </c>
      <c r="BH200" s="418">
        <v>0</v>
      </c>
      <c r="BI200" s="418">
        <f t="shared" si="222"/>
        <v>0.04</v>
      </c>
      <c r="BJ200" s="418">
        <f t="shared" si="223"/>
        <v>-0.02</v>
      </c>
      <c r="BK200" s="420">
        <f t="shared" si="224"/>
        <v>0.02</v>
      </c>
      <c r="BL200" s="772">
        <f>I200+AY200</f>
        <v>12664414</v>
      </c>
      <c r="BM200" s="417">
        <f>J200+AG200</f>
        <v>9218026</v>
      </c>
      <c r="BN200" s="417">
        <f t="shared" ref="BN200:BO204" si="308">K200+AE200</f>
        <v>7958888</v>
      </c>
      <c r="BO200" s="417">
        <f t="shared" si="308"/>
        <v>1259138</v>
      </c>
      <c r="BP200" s="417">
        <f>M200+AO200</f>
        <v>30000</v>
      </c>
      <c r="BQ200" s="417">
        <f t="shared" ref="BQ200:BR204" si="309">N200+AM200</f>
        <v>15000</v>
      </c>
      <c r="BR200" s="417">
        <f t="shared" si="309"/>
        <v>15000</v>
      </c>
      <c r="BS200" s="417">
        <f t="shared" ref="BS200:BT204" si="310">P200+AS200</f>
        <v>3125832</v>
      </c>
      <c r="BT200" s="417">
        <f t="shared" si="310"/>
        <v>92181</v>
      </c>
      <c r="BU200" s="417">
        <f>R200+AX200</f>
        <v>198375</v>
      </c>
      <c r="BV200" s="418">
        <f>S200+BK200</f>
        <v>15.399299999999998</v>
      </c>
      <c r="BW200" s="418">
        <f t="shared" ref="BW200:BX204" si="311">T200+BI200</f>
        <v>11.8072</v>
      </c>
      <c r="BX200" s="420">
        <f t="shared" si="311"/>
        <v>3.5920999999999998</v>
      </c>
      <c r="BY200" s="419"/>
      <c r="BZ200" s="414"/>
      <c r="CA200" s="414"/>
      <c r="CB200" s="414"/>
      <c r="CC200" s="414"/>
      <c r="CD200" s="509"/>
      <c r="CE200" s="419">
        <v>596862</v>
      </c>
      <c r="CF200" s="414">
        <v>408960</v>
      </c>
      <c r="CG200" s="414">
        <v>138228</v>
      </c>
      <c r="CH200" s="414">
        <v>4090</v>
      </c>
      <c r="CI200" s="414">
        <v>45584</v>
      </c>
      <c r="CJ200" s="509">
        <v>1.1691</v>
      </c>
    </row>
    <row r="201" spans="1:88" s="221" customFormat="1" ht="12.75" customHeight="1">
      <c r="A201" s="209">
        <v>36</v>
      </c>
      <c r="B201" s="210">
        <v>4453</v>
      </c>
      <c r="C201" s="210">
        <v>600074790</v>
      </c>
      <c r="D201" s="210">
        <v>71011111</v>
      </c>
      <c r="E201" s="208" t="s">
        <v>215</v>
      </c>
      <c r="F201" s="210">
        <v>3113</v>
      </c>
      <c r="G201" s="165" t="s">
        <v>291</v>
      </c>
      <c r="H201" s="621" t="s">
        <v>272</v>
      </c>
      <c r="I201" s="510">
        <v>0</v>
      </c>
      <c r="J201" s="414">
        <v>0</v>
      </c>
      <c r="K201" s="414">
        <v>0</v>
      </c>
      <c r="L201" s="414">
        <v>0</v>
      </c>
      <c r="M201" s="414">
        <v>0</v>
      </c>
      <c r="N201" s="414">
        <v>0</v>
      </c>
      <c r="O201" s="414">
        <v>0</v>
      </c>
      <c r="P201" s="68">
        <v>0</v>
      </c>
      <c r="Q201" s="68">
        <v>0</v>
      </c>
      <c r="R201" s="414">
        <v>0</v>
      </c>
      <c r="S201" s="415">
        <v>0</v>
      </c>
      <c r="T201" s="416">
        <v>0</v>
      </c>
      <c r="U201" s="422">
        <v>0</v>
      </c>
      <c r="V201" s="423">
        <f t="shared" si="207"/>
        <v>0</v>
      </c>
      <c r="W201" s="417">
        <f t="shared" si="208"/>
        <v>0</v>
      </c>
      <c r="X201" s="417">
        <v>0</v>
      </c>
      <c r="Y201" s="417">
        <v>0</v>
      </c>
      <c r="Z201" s="417">
        <v>0</v>
      </c>
      <c r="AA201" s="417">
        <v>0</v>
      </c>
      <c r="AB201" s="417">
        <v>0</v>
      </c>
      <c r="AC201" s="417">
        <v>0</v>
      </c>
      <c r="AD201" s="417">
        <v>0</v>
      </c>
      <c r="AE201" s="417">
        <f t="shared" si="209"/>
        <v>0</v>
      </c>
      <c r="AF201" s="417">
        <f t="shared" si="210"/>
        <v>0</v>
      </c>
      <c r="AG201" s="417">
        <f t="shared" si="211"/>
        <v>0</v>
      </c>
      <c r="AH201" s="417">
        <v>0</v>
      </c>
      <c r="AI201" s="417">
        <v>0</v>
      </c>
      <c r="AJ201" s="417">
        <v>0</v>
      </c>
      <c r="AK201" s="417">
        <v>0</v>
      </c>
      <c r="AL201" s="417">
        <v>0</v>
      </c>
      <c r="AM201" s="417">
        <f t="shared" si="212"/>
        <v>0</v>
      </c>
      <c r="AN201" s="417">
        <f t="shared" si="213"/>
        <v>0</v>
      </c>
      <c r="AO201" s="417">
        <f t="shared" si="214"/>
        <v>0</v>
      </c>
      <c r="AP201" s="417">
        <f t="shared" si="215"/>
        <v>0</v>
      </c>
      <c r="AQ201" s="417">
        <f t="shared" si="216"/>
        <v>0</v>
      </c>
      <c r="AR201" s="417">
        <f t="shared" si="217"/>
        <v>0</v>
      </c>
      <c r="AS201" s="68">
        <f t="shared" si="218"/>
        <v>0</v>
      </c>
      <c r="AT201" s="68">
        <f t="shared" si="219"/>
        <v>0</v>
      </c>
      <c r="AU201" s="417">
        <v>0</v>
      </c>
      <c r="AV201" s="417">
        <v>0</v>
      </c>
      <c r="AW201" s="417">
        <v>0</v>
      </c>
      <c r="AX201" s="417">
        <f t="shared" si="220"/>
        <v>0</v>
      </c>
      <c r="AY201" s="417">
        <f t="shared" si="221"/>
        <v>0</v>
      </c>
      <c r="AZ201" s="418">
        <v>0</v>
      </c>
      <c r="BA201" s="418">
        <v>0</v>
      </c>
      <c r="BB201" s="418">
        <v>0</v>
      </c>
      <c r="BC201" s="418">
        <v>0</v>
      </c>
      <c r="BD201" s="418">
        <v>0</v>
      </c>
      <c r="BE201" s="418">
        <v>0</v>
      </c>
      <c r="BF201" s="418">
        <v>0</v>
      </c>
      <c r="BG201" s="418">
        <v>0</v>
      </c>
      <c r="BH201" s="418">
        <v>0</v>
      </c>
      <c r="BI201" s="418">
        <f t="shared" si="222"/>
        <v>0</v>
      </c>
      <c r="BJ201" s="418">
        <f t="shared" si="223"/>
        <v>0</v>
      </c>
      <c r="BK201" s="420">
        <f t="shared" si="224"/>
        <v>0</v>
      </c>
      <c r="BL201" s="772">
        <f>I201+AY201</f>
        <v>0</v>
      </c>
      <c r="BM201" s="417">
        <f>J201+AG201</f>
        <v>0</v>
      </c>
      <c r="BN201" s="417">
        <f t="shared" si="308"/>
        <v>0</v>
      </c>
      <c r="BO201" s="417">
        <f t="shared" si="308"/>
        <v>0</v>
      </c>
      <c r="BP201" s="417">
        <f>M201+AO201</f>
        <v>0</v>
      </c>
      <c r="BQ201" s="417">
        <f t="shared" si="309"/>
        <v>0</v>
      </c>
      <c r="BR201" s="417">
        <f t="shared" si="309"/>
        <v>0</v>
      </c>
      <c r="BS201" s="417">
        <f t="shared" si="310"/>
        <v>0</v>
      </c>
      <c r="BT201" s="417">
        <f t="shared" si="310"/>
        <v>0</v>
      </c>
      <c r="BU201" s="417">
        <f>R201+AX201</f>
        <v>0</v>
      </c>
      <c r="BV201" s="418">
        <f>S201+BK201</f>
        <v>0</v>
      </c>
      <c r="BW201" s="418">
        <f t="shared" si="311"/>
        <v>0</v>
      </c>
      <c r="BX201" s="420">
        <f t="shared" si="311"/>
        <v>0</v>
      </c>
      <c r="BY201" s="419"/>
      <c r="BZ201" s="414"/>
      <c r="CA201" s="414"/>
      <c r="CB201" s="414"/>
      <c r="CC201" s="414"/>
      <c r="CD201" s="509"/>
      <c r="CE201" s="419"/>
      <c r="CF201" s="414"/>
      <c r="CG201" s="414"/>
      <c r="CH201" s="414"/>
      <c r="CI201" s="414"/>
      <c r="CJ201" s="509"/>
    </row>
    <row r="202" spans="1:88" s="221" customFormat="1" ht="12.75" customHeight="1">
      <c r="A202" s="209">
        <v>36</v>
      </c>
      <c r="B202" s="210">
        <v>4453</v>
      </c>
      <c r="C202" s="210">
        <v>600074790</v>
      </c>
      <c r="D202" s="210">
        <v>71011111</v>
      </c>
      <c r="E202" s="208" t="s">
        <v>215</v>
      </c>
      <c r="F202" s="210">
        <v>3141</v>
      </c>
      <c r="G202" s="165" t="s">
        <v>294</v>
      </c>
      <c r="H202" s="621" t="s">
        <v>272</v>
      </c>
      <c r="I202" s="510">
        <v>1477182</v>
      </c>
      <c r="J202" s="414">
        <v>1089628</v>
      </c>
      <c r="K202" s="414">
        <v>0</v>
      </c>
      <c r="L202" s="414">
        <v>1089628</v>
      </c>
      <c r="M202" s="414">
        <v>0</v>
      </c>
      <c r="N202" s="414">
        <v>0</v>
      </c>
      <c r="O202" s="414">
        <v>0</v>
      </c>
      <c r="P202" s="68">
        <v>368294</v>
      </c>
      <c r="Q202" s="68">
        <v>10896</v>
      </c>
      <c r="R202" s="414">
        <v>8364</v>
      </c>
      <c r="S202" s="415">
        <v>3.27</v>
      </c>
      <c r="T202" s="416">
        <v>0</v>
      </c>
      <c r="U202" s="422">
        <v>3.27</v>
      </c>
      <c r="V202" s="423">
        <f t="shared" si="207"/>
        <v>0</v>
      </c>
      <c r="W202" s="417">
        <f t="shared" si="208"/>
        <v>0</v>
      </c>
      <c r="X202" s="417">
        <v>0</v>
      </c>
      <c r="Y202" s="417">
        <v>0</v>
      </c>
      <c r="Z202" s="417">
        <v>0</v>
      </c>
      <c r="AA202" s="417">
        <v>-25702</v>
      </c>
      <c r="AB202" s="417">
        <v>0</v>
      </c>
      <c r="AC202" s="417">
        <v>0</v>
      </c>
      <c r="AD202" s="417">
        <v>0</v>
      </c>
      <c r="AE202" s="417">
        <f t="shared" si="209"/>
        <v>0</v>
      </c>
      <c r="AF202" s="417">
        <f t="shared" si="210"/>
        <v>-25702</v>
      </c>
      <c r="AG202" s="417">
        <f t="shared" si="211"/>
        <v>-25702</v>
      </c>
      <c r="AH202" s="417">
        <v>0</v>
      </c>
      <c r="AI202" s="417">
        <v>0</v>
      </c>
      <c r="AJ202" s="417">
        <v>0</v>
      </c>
      <c r="AK202" s="417">
        <v>0</v>
      </c>
      <c r="AL202" s="417">
        <v>0</v>
      </c>
      <c r="AM202" s="417">
        <f t="shared" si="212"/>
        <v>0</v>
      </c>
      <c r="AN202" s="417">
        <f t="shared" si="213"/>
        <v>0</v>
      </c>
      <c r="AO202" s="417">
        <f t="shared" si="214"/>
        <v>0</v>
      </c>
      <c r="AP202" s="417">
        <f t="shared" si="215"/>
        <v>0</v>
      </c>
      <c r="AQ202" s="417">
        <f t="shared" si="216"/>
        <v>-25702</v>
      </c>
      <c r="AR202" s="417">
        <f t="shared" si="217"/>
        <v>-25702</v>
      </c>
      <c r="AS202" s="68">
        <f t="shared" si="218"/>
        <v>-8687</v>
      </c>
      <c r="AT202" s="68">
        <f t="shared" si="219"/>
        <v>-257</v>
      </c>
      <c r="AU202" s="417">
        <v>0</v>
      </c>
      <c r="AV202" s="417">
        <v>0</v>
      </c>
      <c r="AW202" s="417">
        <v>0</v>
      </c>
      <c r="AX202" s="417">
        <f t="shared" si="220"/>
        <v>0</v>
      </c>
      <c r="AY202" s="417">
        <f t="shared" si="221"/>
        <v>-34646</v>
      </c>
      <c r="AZ202" s="418">
        <v>0</v>
      </c>
      <c r="BA202" s="418">
        <v>0</v>
      </c>
      <c r="BB202" s="418">
        <v>0</v>
      </c>
      <c r="BC202" s="418">
        <v>0</v>
      </c>
      <c r="BD202" s="418">
        <v>-0.08</v>
      </c>
      <c r="BE202" s="418">
        <v>0</v>
      </c>
      <c r="BF202" s="418">
        <v>0</v>
      </c>
      <c r="BG202" s="418">
        <v>0</v>
      </c>
      <c r="BH202" s="418">
        <v>0</v>
      </c>
      <c r="BI202" s="418">
        <f t="shared" si="222"/>
        <v>0</v>
      </c>
      <c r="BJ202" s="418">
        <f t="shared" si="223"/>
        <v>-0.08</v>
      </c>
      <c r="BK202" s="420">
        <f t="shared" si="224"/>
        <v>-0.08</v>
      </c>
      <c r="BL202" s="772">
        <f>I202+AY202</f>
        <v>1442536</v>
      </c>
      <c r="BM202" s="417">
        <f>J202+AG202</f>
        <v>1063926</v>
      </c>
      <c r="BN202" s="417">
        <f t="shared" si="308"/>
        <v>0</v>
      </c>
      <c r="BO202" s="417">
        <f t="shared" si="308"/>
        <v>1063926</v>
      </c>
      <c r="BP202" s="417">
        <f>M202+AO202</f>
        <v>0</v>
      </c>
      <c r="BQ202" s="417">
        <f t="shared" si="309"/>
        <v>0</v>
      </c>
      <c r="BR202" s="417">
        <f t="shared" si="309"/>
        <v>0</v>
      </c>
      <c r="BS202" s="417">
        <f t="shared" si="310"/>
        <v>359607</v>
      </c>
      <c r="BT202" s="417">
        <f t="shared" si="310"/>
        <v>10639</v>
      </c>
      <c r="BU202" s="417">
        <f>R202+AX202</f>
        <v>8364</v>
      </c>
      <c r="BV202" s="418">
        <f>S202+BK202</f>
        <v>3.19</v>
      </c>
      <c r="BW202" s="418">
        <f t="shared" si="311"/>
        <v>0</v>
      </c>
      <c r="BX202" s="420">
        <f t="shared" si="311"/>
        <v>3.19</v>
      </c>
      <c r="BY202" s="419"/>
      <c r="BZ202" s="414"/>
      <c r="CA202" s="414"/>
      <c r="CB202" s="414"/>
      <c r="CC202" s="414"/>
      <c r="CD202" s="509"/>
      <c r="CE202" s="419"/>
      <c r="CF202" s="601"/>
      <c r="CG202" s="414"/>
      <c r="CH202" s="414"/>
      <c r="CI202" s="601"/>
      <c r="CJ202" s="603"/>
    </row>
    <row r="203" spans="1:88" s="221" customFormat="1" ht="12.75" customHeight="1">
      <c r="A203" s="209">
        <v>36</v>
      </c>
      <c r="B203" s="210">
        <v>4453</v>
      </c>
      <c r="C203" s="210">
        <v>600074790</v>
      </c>
      <c r="D203" s="210">
        <v>71011111</v>
      </c>
      <c r="E203" s="204" t="s">
        <v>215</v>
      </c>
      <c r="F203" s="210">
        <v>3143</v>
      </c>
      <c r="G203" s="165" t="s">
        <v>595</v>
      </c>
      <c r="H203" s="609" t="s">
        <v>271</v>
      </c>
      <c r="I203" s="510">
        <v>726493</v>
      </c>
      <c r="J203" s="414">
        <v>538942</v>
      </c>
      <c r="K203" s="414">
        <v>538942</v>
      </c>
      <c r="L203" s="414">
        <v>0</v>
      </c>
      <c r="M203" s="414">
        <v>0</v>
      </c>
      <c r="N203" s="414">
        <v>0</v>
      </c>
      <c r="O203" s="414">
        <v>0</v>
      </c>
      <c r="P203" s="68">
        <v>182162</v>
      </c>
      <c r="Q203" s="68">
        <v>5389</v>
      </c>
      <c r="R203" s="414">
        <v>0</v>
      </c>
      <c r="S203" s="415">
        <v>1.2916000000000001</v>
      </c>
      <c r="T203" s="416">
        <v>1.2916000000000001</v>
      </c>
      <c r="U203" s="422">
        <v>0</v>
      </c>
      <c r="V203" s="423">
        <f t="shared" si="207"/>
        <v>0</v>
      </c>
      <c r="W203" s="417">
        <f t="shared" si="208"/>
        <v>0</v>
      </c>
      <c r="X203" s="417">
        <v>0</v>
      </c>
      <c r="Y203" s="417">
        <v>0</v>
      </c>
      <c r="Z203" s="417">
        <v>0</v>
      </c>
      <c r="AA203" s="417">
        <v>0</v>
      </c>
      <c r="AB203" s="417">
        <v>0</v>
      </c>
      <c r="AC203" s="417">
        <v>0</v>
      </c>
      <c r="AD203" s="417">
        <v>0</v>
      </c>
      <c r="AE203" s="417">
        <f t="shared" si="209"/>
        <v>0</v>
      </c>
      <c r="AF203" s="417">
        <f t="shared" si="210"/>
        <v>0</v>
      </c>
      <c r="AG203" s="417">
        <f t="shared" si="211"/>
        <v>0</v>
      </c>
      <c r="AH203" s="417">
        <v>0</v>
      </c>
      <c r="AI203" s="417">
        <v>0</v>
      </c>
      <c r="AJ203" s="417">
        <v>0</v>
      </c>
      <c r="AK203" s="417">
        <v>0</v>
      </c>
      <c r="AL203" s="417">
        <v>0</v>
      </c>
      <c r="AM203" s="417">
        <f t="shared" si="212"/>
        <v>0</v>
      </c>
      <c r="AN203" s="417">
        <f t="shared" si="213"/>
        <v>0</v>
      </c>
      <c r="AO203" s="417">
        <f t="shared" si="214"/>
        <v>0</v>
      </c>
      <c r="AP203" s="417">
        <f t="shared" si="215"/>
        <v>0</v>
      </c>
      <c r="AQ203" s="417">
        <f t="shared" si="216"/>
        <v>0</v>
      </c>
      <c r="AR203" s="417">
        <f t="shared" si="217"/>
        <v>0</v>
      </c>
      <c r="AS203" s="68">
        <f t="shared" si="218"/>
        <v>0</v>
      </c>
      <c r="AT203" s="68">
        <f t="shared" si="219"/>
        <v>0</v>
      </c>
      <c r="AU203" s="417">
        <v>0</v>
      </c>
      <c r="AV203" s="417">
        <v>0</v>
      </c>
      <c r="AW203" s="417">
        <v>0</v>
      </c>
      <c r="AX203" s="417">
        <f t="shared" si="220"/>
        <v>0</v>
      </c>
      <c r="AY203" s="417">
        <f t="shared" si="221"/>
        <v>0</v>
      </c>
      <c r="AZ203" s="418">
        <v>0</v>
      </c>
      <c r="BA203" s="418">
        <v>0</v>
      </c>
      <c r="BB203" s="418">
        <v>0</v>
      </c>
      <c r="BC203" s="418">
        <v>0</v>
      </c>
      <c r="BD203" s="418">
        <v>0</v>
      </c>
      <c r="BE203" s="418">
        <v>0</v>
      </c>
      <c r="BF203" s="418">
        <v>0</v>
      </c>
      <c r="BG203" s="418">
        <v>0</v>
      </c>
      <c r="BH203" s="418">
        <v>0</v>
      </c>
      <c r="BI203" s="418">
        <f t="shared" si="222"/>
        <v>0</v>
      </c>
      <c r="BJ203" s="418">
        <f t="shared" si="223"/>
        <v>0</v>
      </c>
      <c r="BK203" s="420">
        <f t="shared" si="224"/>
        <v>0</v>
      </c>
      <c r="BL203" s="772">
        <f>I203+AY203</f>
        <v>726493</v>
      </c>
      <c r="BM203" s="417">
        <f>J203+AG203</f>
        <v>538942</v>
      </c>
      <c r="BN203" s="417">
        <f t="shared" si="308"/>
        <v>538942</v>
      </c>
      <c r="BO203" s="417">
        <f t="shared" si="308"/>
        <v>0</v>
      </c>
      <c r="BP203" s="417">
        <f>M203+AO203</f>
        <v>0</v>
      </c>
      <c r="BQ203" s="417">
        <f t="shared" si="309"/>
        <v>0</v>
      </c>
      <c r="BR203" s="417">
        <f t="shared" si="309"/>
        <v>0</v>
      </c>
      <c r="BS203" s="417">
        <f t="shared" si="310"/>
        <v>182162</v>
      </c>
      <c r="BT203" s="417">
        <f t="shared" si="310"/>
        <v>5389</v>
      </c>
      <c r="BU203" s="417">
        <f>R203+AX203</f>
        <v>0</v>
      </c>
      <c r="BV203" s="418">
        <f>S203+BK203</f>
        <v>1.2916000000000001</v>
      </c>
      <c r="BW203" s="418">
        <f t="shared" si="311"/>
        <v>1.2916000000000001</v>
      </c>
      <c r="BX203" s="420">
        <f t="shared" si="311"/>
        <v>0</v>
      </c>
      <c r="BY203" s="419"/>
      <c r="BZ203" s="414"/>
      <c r="CA203" s="414"/>
      <c r="CB203" s="414"/>
      <c r="CC203" s="414"/>
      <c r="CD203" s="509"/>
      <c r="CE203" s="419"/>
      <c r="CF203" s="414"/>
      <c r="CG203" s="414"/>
      <c r="CH203" s="414"/>
      <c r="CI203" s="414"/>
      <c r="CJ203" s="509"/>
    </row>
    <row r="204" spans="1:88" s="221" customFormat="1" ht="12.75" customHeight="1">
      <c r="A204" s="209">
        <v>36</v>
      </c>
      <c r="B204" s="210">
        <v>4453</v>
      </c>
      <c r="C204" s="210">
        <v>600074790</v>
      </c>
      <c r="D204" s="210">
        <v>71011111</v>
      </c>
      <c r="E204" s="204" t="s">
        <v>215</v>
      </c>
      <c r="F204" s="210">
        <v>3143</v>
      </c>
      <c r="G204" s="165" t="s">
        <v>596</v>
      </c>
      <c r="H204" s="609" t="s">
        <v>272</v>
      </c>
      <c r="I204" s="510">
        <v>36115</v>
      </c>
      <c r="J204" s="414">
        <v>25850</v>
      </c>
      <c r="K204" s="414">
        <v>0</v>
      </c>
      <c r="L204" s="414">
        <v>25850</v>
      </c>
      <c r="M204" s="414">
        <v>0</v>
      </c>
      <c r="N204" s="414">
        <v>0</v>
      </c>
      <c r="O204" s="414">
        <v>0</v>
      </c>
      <c r="P204" s="68">
        <v>8738</v>
      </c>
      <c r="Q204" s="68">
        <v>258</v>
      </c>
      <c r="R204" s="414">
        <v>1269</v>
      </c>
      <c r="S204" s="415">
        <v>0.1</v>
      </c>
      <c r="T204" s="416">
        <v>0</v>
      </c>
      <c r="U204" s="422">
        <v>0.1</v>
      </c>
      <c r="V204" s="423">
        <f t="shared" si="207"/>
        <v>0</v>
      </c>
      <c r="W204" s="417">
        <f t="shared" si="208"/>
        <v>0</v>
      </c>
      <c r="X204" s="417">
        <v>0</v>
      </c>
      <c r="Y204" s="417">
        <v>0</v>
      </c>
      <c r="Z204" s="417">
        <v>0</v>
      </c>
      <c r="AA204" s="417">
        <v>0</v>
      </c>
      <c r="AB204" s="417">
        <v>0</v>
      </c>
      <c r="AC204" s="417">
        <v>0</v>
      </c>
      <c r="AD204" s="417">
        <v>0</v>
      </c>
      <c r="AE204" s="417">
        <f t="shared" si="209"/>
        <v>0</v>
      </c>
      <c r="AF204" s="417">
        <f t="shared" si="210"/>
        <v>0</v>
      </c>
      <c r="AG204" s="417">
        <f t="shared" si="211"/>
        <v>0</v>
      </c>
      <c r="AH204" s="417">
        <v>0</v>
      </c>
      <c r="AI204" s="417">
        <v>0</v>
      </c>
      <c r="AJ204" s="417">
        <v>0</v>
      </c>
      <c r="AK204" s="417">
        <v>0</v>
      </c>
      <c r="AL204" s="417">
        <v>0</v>
      </c>
      <c r="AM204" s="417">
        <f t="shared" si="212"/>
        <v>0</v>
      </c>
      <c r="AN204" s="417">
        <f t="shared" si="213"/>
        <v>0</v>
      </c>
      <c r="AO204" s="417">
        <f t="shared" si="214"/>
        <v>0</v>
      </c>
      <c r="AP204" s="417">
        <f t="shared" si="215"/>
        <v>0</v>
      </c>
      <c r="AQ204" s="417">
        <f t="shared" si="216"/>
        <v>0</v>
      </c>
      <c r="AR204" s="417">
        <f t="shared" si="217"/>
        <v>0</v>
      </c>
      <c r="AS204" s="68">
        <f t="shared" si="218"/>
        <v>0</v>
      </c>
      <c r="AT204" s="68">
        <f t="shared" si="219"/>
        <v>0</v>
      </c>
      <c r="AU204" s="417">
        <v>0</v>
      </c>
      <c r="AV204" s="417">
        <v>0</v>
      </c>
      <c r="AW204" s="417">
        <v>0</v>
      </c>
      <c r="AX204" s="417">
        <f t="shared" si="220"/>
        <v>0</v>
      </c>
      <c r="AY204" s="417">
        <f t="shared" si="221"/>
        <v>0</v>
      </c>
      <c r="AZ204" s="418">
        <v>0</v>
      </c>
      <c r="BA204" s="418">
        <v>0</v>
      </c>
      <c r="BB204" s="418">
        <v>0</v>
      </c>
      <c r="BC204" s="418">
        <v>0</v>
      </c>
      <c r="BD204" s="418">
        <v>0</v>
      </c>
      <c r="BE204" s="418">
        <v>0</v>
      </c>
      <c r="BF204" s="418">
        <v>0</v>
      </c>
      <c r="BG204" s="418">
        <v>0</v>
      </c>
      <c r="BH204" s="418">
        <v>0</v>
      </c>
      <c r="BI204" s="418">
        <f t="shared" si="222"/>
        <v>0</v>
      </c>
      <c r="BJ204" s="418">
        <f t="shared" si="223"/>
        <v>0</v>
      </c>
      <c r="BK204" s="420">
        <f t="shared" si="224"/>
        <v>0</v>
      </c>
      <c r="BL204" s="772">
        <f>I204+AY204</f>
        <v>36115</v>
      </c>
      <c r="BM204" s="417">
        <f>J204+AG204</f>
        <v>25850</v>
      </c>
      <c r="BN204" s="417">
        <f t="shared" si="308"/>
        <v>0</v>
      </c>
      <c r="BO204" s="417">
        <f t="shared" si="308"/>
        <v>25850</v>
      </c>
      <c r="BP204" s="417">
        <f>M204+AO204</f>
        <v>0</v>
      </c>
      <c r="BQ204" s="417">
        <f t="shared" si="309"/>
        <v>0</v>
      </c>
      <c r="BR204" s="417">
        <f t="shared" si="309"/>
        <v>0</v>
      </c>
      <c r="BS204" s="417">
        <f t="shared" si="310"/>
        <v>8738</v>
      </c>
      <c r="BT204" s="417">
        <f t="shared" si="310"/>
        <v>258</v>
      </c>
      <c r="BU204" s="417">
        <f>R204+AX204</f>
        <v>1269</v>
      </c>
      <c r="BV204" s="418">
        <f>S204+BK204</f>
        <v>0.1</v>
      </c>
      <c r="BW204" s="418">
        <f t="shared" si="311"/>
        <v>0</v>
      </c>
      <c r="BX204" s="420">
        <f t="shared" si="311"/>
        <v>0.1</v>
      </c>
      <c r="BY204" s="419"/>
      <c r="BZ204" s="414"/>
      <c r="CA204" s="414"/>
      <c r="CB204" s="414"/>
      <c r="CC204" s="414"/>
      <c r="CD204" s="509"/>
      <c r="CE204" s="419"/>
      <c r="CF204" s="601"/>
      <c r="CG204" s="414"/>
      <c r="CH204" s="414"/>
      <c r="CI204" s="602"/>
      <c r="CJ204" s="603"/>
    </row>
    <row r="205" spans="1:88" s="221" customFormat="1" ht="12.75" customHeight="1">
      <c r="A205" s="155">
        <v>36</v>
      </c>
      <c r="B205" s="18">
        <v>4453</v>
      </c>
      <c r="C205" s="18">
        <v>600074790</v>
      </c>
      <c r="D205" s="18">
        <v>71011111</v>
      </c>
      <c r="E205" s="164" t="s">
        <v>216</v>
      </c>
      <c r="F205" s="18"/>
      <c r="G205" s="154"/>
      <c r="H205" s="608"/>
      <c r="I205" s="451">
        <v>14879218</v>
      </c>
      <c r="J205" s="444">
        <v>10853910</v>
      </c>
      <c r="K205" s="444">
        <v>8474294</v>
      </c>
      <c r="L205" s="444">
        <v>2379616</v>
      </c>
      <c r="M205" s="444">
        <v>30000</v>
      </c>
      <c r="N205" s="444">
        <v>20000</v>
      </c>
      <c r="O205" s="444">
        <v>10000</v>
      </c>
      <c r="P205" s="444">
        <v>3678761</v>
      </c>
      <c r="Q205" s="444">
        <v>108539</v>
      </c>
      <c r="R205" s="444">
        <v>208008</v>
      </c>
      <c r="S205" s="445">
        <v>20.040900000000001</v>
      </c>
      <c r="T205" s="445">
        <v>13.058800000000002</v>
      </c>
      <c r="U205" s="449">
        <v>6.9820999999999991</v>
      </c>
      <c r="V205" s="447">
        <f t="shared" ref="V205:CG205" si="312">SUM(V200:V204)</f>
        <v>5000</v>
      </c>
      <c r="W205" s="444">
        <f t="shared" si="312"/>
        <v>-5000</v>
      </c>
      <c r="X205" s="444">
        <f t="shared" si="312"/>
        <v>0</v>
      </c>
      <c r="Y205" s="444">
        <f t="shared" si="312"/>
        <v>18536</v>
      </c>
      <c r="Z205" s="444">
        <f t="shared" si="312"/>
        <v>0</v>
      </c>
      <c r="AA205" s="444">
        <f t="shared" si="312"/>
        <v>-25702</v>
      </c>
      <c r="AB205" s="444">
        <f t="shared" si="312"/>
        <v>0</v>
      </c>
      <c r="AC205" s="444">
        <f t="shared" si="312"/>
        <v>0</v>
      </c>
      <c r="AD205" s="444">
        <f t="shared" si="312"/>
        <v>0</v>
      </c>
      <c r="AE205" s="444">
        <f t="shared" si="312"/>
        <v>23536</v>
      </c>
      <c r="AF205" s="444">
        <f t="shared" si="312"/>
        <v>-30702</v>
      </c>
      <c r="AG205" s="444">
        <f t="shared" si="312"/>
        <v>-7166</v>
      </c>
      <c r="AH205" s="444">
        <f t="shared" si="312"/>
        <v>-5000</v>
      </c>
      <c r="AI205" s="444">
        <f t="shared" si="312"/>
        <v>5000</v>
      </c>
      <c r="AJ205" s="444">
        <f t="shared" si="312"/>
        <v>0</v>
      </c>
      <c r="AK205" s="444">
        <f t="shared" si="312"/>
        <v>0</v>
      </c>
      <c r="AL205" s="444">
        <f t="shared" si="312"/>
        <v>0</v>
      </c>
      <c r="AM205" s="444">
        <f t="shared" si="312"/>
        <v>-5000</v>
      </c>
      <c r="AN205" s="444">
        <f t="shared" si="312"/>
        <v>5000</v>
      </c>
      <c r="AO205" s="444">
        <f t="shared" si="312"/>
        <v>0</v>
      </c>
      <c r="AP205" s="444">
        <f t="shared" si="312"/>
        <v>18536</v>
      </c>
      <c r="AQ205" s="444">
        <f t="shared" si="312"/>
        <v>-25702</v>
      </c>
      <c r="AR205" s="444">
        <f t="shared" si="312"/>
        <v>-7166</v>
      </c>
      <c r="AS205" s="444">
        <f t="shared" si="312"/>
        <v>-2422</v>
      </c>
      <c r="AT205" s="444">
        <f t="shared" si="312"/>
        <v>-72</v>
      </c>
      <c r="AU205" s="444">
        <f t="shared" si="312"/>
        <v>0</v>
      </c>
      <c r="AV205" s="444">
        <f t="shared" si="312"/>
        <v>0</v>
      </c>
      <c r="AW205" s="444">
        <f t="shared" si="312"/>
        <v>0</v>
      </c>
      <c r="AX205" s="444">
        <f t="shared" si="312"/>
        <v>0</v>
      </c>
      <c r="AY205" s="444">
        <f t="shared" si="312"/>
        <v>-9660</v>
      </c>
      <c r="AZ205" s="445">
        <f t="shared" si="312"/>
        <v>0.01</v>
      </c>
      <c r="BA205" s="445">
        <f t="shared" si="312"/>
        <v>-0.02</v>
      </c>
      <c r="BB205" s="445">
        <f t="shared" si="312"/>
        <v>0</v>
      </c>
      <c r="BC205" s="445">
        <f t="shared" si="312"/>
        <v>0</v>
      </c>
      <c r="BD205" s="445">
        <f t="shared" si="312"/>
        <v>-0.08</v>
      </c>
      <c r="BE205" s="445">
        <f t="shared" si="312"/>
        <v>0.03</v>
      </c>
      <c r="BF205" s="445">
        <f t="shared" si="312"/>
        <v>0</v>
      </c>
      <c r="BG205" s="445">
        <f t="shared" si="312"/>
        <v>0</v>
      </c>
      <c r="BH205" s="445">
        <f t="shared" si="312"/>
        <v>0</v>
      </c>
      <c r="BI205" s="445">
        <f t="shared" si="312"/>
        <v>0.04</v>
      </c>
      <c r="BJ205" s="445">
        <f t="shared" si="312"/>
        <v>-0.1</v>
      </c>
      <c r="BK205" s="39">
        <f t="shared" si="312"/>
        <v>-0.06</v>
      </c>
      <c r="BL205" s="451">
        <f t="shared" si="312"/>
        <v>14869558</v>
      </c>
      <c r="BM205" s="444">
        <f t="shared" si="312"/>
        <v>10846744</v>
      </c>
      <c r="BN205" s="444">
        <f t="shared" si="312"/>
        <v>8497830</v>
      </c>
      <c r="BO205" s="444">
        <f t="shared" si="312"/>
        <v>2348914</v>
      </c>
      <c r="BP205" s="444">
        <f t="shared" si="312"/>
        <v>30000</v>
      </c>
      <c r="BQ205" s="444">
        <f t="shared" si="312"/>
        <v>15000</v>
      </c>
      <c r="BR205" s="444">
        <f t="shared" si="312"/>
        <v>15000</v>
      </c>
      <c r="BS205" s="444">
        <f t="shared" si="312"/>
        <v>3676339</v>
      </c>
      <c r="BT205" s="444">
        <f t="shared" si="312"/>
        <v>108467</v>
      </c>
      <c r="BU205" s="444">
        <f t="shared" si="312"/>
        <v>208008</v>
      </c>
      <c r="BV205" s="445">
        <f t="shared" si="312"/>
        <v>19.980899999999998</v>
      </c>
      <c r="BW205" s="445">
        <f t="shared" si="312"/>
        <v>13.098800000000001</v>
      </c>
      <c r="BX205" s="39">
        <f t="shared" si="312"/>
        <v>6.8820999999999994</v>
      </c>
      <c r="BY205" s="806">
        <f t="shared" si="312"/>
        <v>0</v>
      </c>
      <c r="BZ205" s="709">
        <f t="shared" si="312"/>
        <v>0</v>
      </c>
      <c r="CA205" s="709">
        <f t="shared" si="312"/>
        <v>0</v>
      </c>
      <c r="CB205" s="709">
        <f t="shared" si="312"/>
        <v>0</v>
      </c>
      <c r="CC205" s="709">
        <f t="shared" si="312"/>
        <v>0</v>
      </c>
      <c r="CD205" s="807">
        <f t="shared" si="312"/>
        <v>0</v>
      </c>
      <c r="CE205" s="919">
        <f t="shared" si="312"/>
        <v>596862</v>
      </c>
      <c r="CF205" s="920">
        <f t="shared" si="312"/>
        <v>408960</v>
      </c>
      <c r="CG205" s="920">
        <f t="shared" si="312"/>
        <v>138228</v>
      </c>
      <c r="CH205" s="920">
        <f t="shared" ref="CH205:CJ205" si="313">SUM(CH200:CH204)</f>
        <v>4090</v>
      </c>
      <c r="CI205" s="920">
        <f t="shared" si="313"/>
        <v>45584</v>
      </c>
      <c r="CJ205" s="921">
        <f t="shared" si="313"/>
        <v>1.1691</v>
      </c>
    </row>
    <row r="206" spans="1:88" s="221" customFormat="1" ht="12.75" customHeight="1">
      <c r="A206" s="209">
        <v>37</v>
      </c>
      <c r="B206" s="210">
        <v>4467</v>
      </c>
      <c r="C206" s="210">
        <v>600074935</v>
      </c>
      <c r="D206" s="210">
        <v>48282545</v>
      </c>
      <c r="E206" s="208" t="s">
        <v>799</v>
      </c>
      <c r="F206" s="210">
        <v>3111</v>
      </c>
      <c r="G206" s="165" t="s">
        <v>290</v>
      </c>
      <c r="H206" s="621" t="s">
        <v>271</v>
      </c>
      <c r="I206" s="510">
        <v>17418426</v>
      </c>
      <c r="J206" s="414">
        <v>12850316</v>
      </c>
      <c r="K206" s="414">
        <v>11870136</v>
      </c>
      <c r="L206" s="414">
        <v>980180</v>
      </c>
      <c r="M206" s="414">
        <v>0</v>
      </c>
      <c r="N206" s="414">
        <v>0</v>
      </c>
      <c r="O206" s="414">
        <v>0</v>
      </c>
      <c r="P206" s="68">
        <v>4343407</v>
      </c>
      <c r="Q206" s="68">
        <v>128503</v>
      </c>
      <c r="R206" s="414">
        <v>96200</v>
      </c>
      <c r="S206" s="415">
        <v>24.184999999999999</v>
      </c>
      <c r="T206" s="416">
        <v>20.257999999999999</v>
      </c>
      <c r="U206" s="422">
        <v>3.9269999999999996</v>
      </c>
      <c r="V206" s="423">
        <f t="shared" ref="V206:V268" si="314">AH206*-1</f>
        <v>0</v>
      </c>
      <c r="W206" s="417">
        <f t="shared" ref="W206:W268" si="315">AI206*-1</f>
        <v>0</v>
      </c>
      <c r="X206" s="417">
        <v>0</v>
      </c>
      <c r="Y206" s="417">
        <v>0</v>
      </c>
      <c r="Z206" s="417">
        <v>0</v>
      </c>
      <c r="AA206" s="417">
        <v>0</v>
      </c>
      <c r="AB206" s="417">
        <v>0</v>
      </c>
      <c r="AC206" s="417">
        <v>0</v>
      </c>
      <c r="AD206" s="417">
        <v>0</v>
      </c>
      <c r="AE206" s="417">
        <f t="shared" ref="AE206:AE268" si="316">V206+X206+Y206+Z206+AC206</f>
        <v>0</v>
      </c>
      <c r="AF206" s="417">
        <f t="shared" ref="AF206:AF268" si="317">W206+AA206+AD206+AB206</f>
        <v>0</v>
      </c>
      <c r="AG206" s="417">
        <f t="shared" ref="AG206:AG268" si="318">SUM(AE206:AF206)</f>
        <v>0</v>
      </c>
      <c r="AH206" s="417">
        <v>0</v>
      </c>
      <c r="AI206" s="417">
        <v>0</v>
      </c>
      <c r="AJ206" s="417">
        <v>0</v>
      </c>
      <c r="AK206" s="417">
        <v>0</v>
      </c>
      <c r="AL206" s="417">
        <v>0</v>
      </c>
      <c r="AM206" s="417">
        <f t="shared" ref="AM206:AM268" si="319">AH206+AJ206+AK206</f>
        <v>0</v>
      </c>
      <c r="AN206" s="417">
        <f t="shared" ref="AN206:AN268" si="320">AI206+AL206</f>
        <v>0</v>
      </c>
      <c r="AO206" s="417">
        <f t="shared" ref="AO206:AO268" si="321">SUM(AM206:AN206)</f>
        <v>0</v>
      </c>
      <c r="AP206" s="417">
        <f t="shared" ref="AP206:AP268" si="322">AE206+AM206</f>
        <v>0</v>
      </c>
      <c r="AQ206" s="417">
        <f t="shared" ref="AQ206:AQ268" si="323">AF206+AN206</f>
        <v>0</v>
      </c>
      <c r="AR206" s="417">
        <f t="shared" ref="AR206:AR268" si="324">SUM(AP206:AQ206)</f>
        <v>0</v>
      </c>
      <c r="AS206" s="68">
        <f t="shared" ref="AS206:AS268" si="325">ROUND((AG206+AH206+AI206+AJ206)*33.8%,0)</f>
        <v>0</v>
      </c>
      <c r="AT206" s="68">
        <f t="shared" ref="AT206:AT268" si="326">ROUND(AG206*1%,0)</f>
        <v>0</v>
      </c>
      <c r="AU206" s="417">
        <v>0</v>
      </c>
      <c r="AV206" s="417">
        <v>0</v>
      </c>
      <c r="AW206" s="417">
        <v>0</v>
      </c>
      <c r="AX206" s="417">
        <f t="shared" ref="AX206:AX268" si="327">SUM(AU206:AW206)</f>
        <v>0</v>
      </c>
      <c r="AY206" s="417">
        <f t="shared" ref="AY206:AY268" si="328">AR206+AS206+AT206+AX206</f>
        <v>0</v>
      </c>
      <c r="AZ206" s="418">
        <v>0</v>
      </c>
      <c r="BA206" s="418">
        <v>0</v>
      </c>
      <c r="BB206" s="418">
        <v>0</v>
      </c>
      <c r="BC206" s="418">
        <v>0</v>
      </c>
      <c r="BD206" s="418">
        <v>0</v>
      </c>
      <c r="BE206" s="418">
        <v>0</v>
      </c>
      <c r="BF206" s="418">
        <v>0</v>
      </c>
      <c r="BG206" s="418">
        <v>0</v>
      </c>
      <c r="BH206" s="418">
        <v>0</v>
      </c>
      <c r="BI206" s="418">
        <f t="shared" ref="BI206:BI268" si="329">AZ206+BB206+BC206+BE206+BG206</f>
        <v>0</v>
      </c>
      <c r="BJ206" s="418">
        <f t="shared" ref="BJ206:BJ268" si="330">BA206+BD206+BH206+BF206</f>
        <v>0</v>
      </c>
      <c r="BK206" s="420">
        <f t="shared" ref="BK206:BK268" si="331">SUM(BI206:BJ206)</f>
        <v>0</v>
      </c>
      <c r="BL206" s="772">
        <f t="shared" ref="BL206:BL213" si="332">I206+AY206</f>
        <v>17418426</v>
      </c>
      <c r="BM206" s="417">
        <f t="shared" ref="BM206:BM213" si="333">J206+AG206</f>
        <v>12850316</v>
      </c>
      <c r="BN206" s="417">
        <f t="shared" ref="BN206:BO213" si="334">K206+AE206</f>
        <v>11870136</v>
      </c>
      <c r="BO206" s="417">
        <f t="shared" si="334"/>
        <v>980180</v>
      </c>
      <c r="BP206" s="417">
        <f t="shared" ref="BP206:BP213" si="335">M206+AO206</f>
        <v>0</v>
      </c>
      <c r="BQ206" s="417">
        <f t="shared" ref="BQ206:BR213" si="336">N206+AM206</f>
        <v>0</v>
      </c>
      <c r="BR206" s="417">
        <f t="shared" si="336"/>
        <v>0</v>
      </c>
      <c r="BS206" s="417">
        <f t="shared" ref="BS206:BT213" si="337">P206+AS206</f>
        <v>4343407</v>
      </c>
      <c r="BT206" s="417">
        <f t="shared" si="337"/>
        <v>128503</v>
      </c>
      <c r="BU206" s="417">
        <f t="shared" ref="BU206:BU213" si="338">R206+AX206</f>
        <v>96200</v>
      </c>
      <c r="BV206" s="418">
        <f t="shared" ref="BV206:BV213" si="339">S206+BK206</f>
        <v>24.184999999999999</v>
      </c>
      <c r="BW206" s="418">
        <f t="shared" ref="BW206:BX213" si="340">T206+BI206</f>
        <v>20.257999999999999</v>
      </c>
      <c r="BX206" s="420">
        <f t="shared" si="340"/>
        <v>3.9269999999999996</v>
      </c>
      <c r="BY206" s="419"/>
      <c r="BZ206" s="414"/>
      <c r="CA206" s="414"/>
      <c r="CB206" s="414"/>
      <c r="CC206" s="414"/>
      <c r="CD206" s="509"/>
      <c r="CE206" s="419">
        <v>455940</v>
      </c>
      <c r="CF206" s="414">
        <v>314500</v>
      </c>
      <c r="CG206" s="414">
        <v>106301</v>
      </c>
      <c r="CH206" s="414">
        <v>3145</v>
      </c>
      <c r="CI206" s="414">
        <v>31994</v>
      </c>
      <c r="CJ206" s="509">
        <v>1.26</v>
      </c>
    </row>
    <row r="207" spans="1:88" s="221" customFormat="1" ht="12.75" customHeight="1">
      <c r="A207" s="209">
        <v>37</v>
      </c>
      <c r="B207" s="210">
        <v>4467</v>
      </c>
      <c r="C207" s="210">
        <v>600074935</v>
      </c>
      <c r="D207" s="210">
        <v>48282545</v>
      </c>
      <c r="E207" s="208" t="s">
        <v>799</v>
      </c>
      <c r="F207" s="210">
        <v>3113</v>
      </c>
      <c r="G207" s="165" t="s">
        <v>293</v>
      </c>
      <c r="H207" s="621" t="s">
        <v>271</v>
      </c>
      <c r="I207" s="510">
        <v>55736029</v>
      </c>
      <c r="J207" s="414">
        <v>40387574</v>
      </c>
      <c r="K207" s="414">
        <v>36195527</v>
      </c>
      <c r="L207" s="414">
        <v>4192047</v>
      </c>
      <c r="M207" s="414">
        <v>240000</v>
      </c>
      <c r="N207" s="414">
        <v>120000</v>
      </c>
      <c r="O207" s="414">
        <v>120000</v>
      </c>
      <c r="P207" s="68">
        <v>13732119</v>
      </c>
      <c r="Q207" s="68">
        <v>403876</v>
      </c>
      <c r="R207" s="414">
        <v>972460</v>
      </c>
      <c r="S207" s="415">
        <v>65.775000000000006</v>
      </c>
      <c r="T207" s="416">
        <v>52.657499999999999</v>
      </c>
      <c r="U207" s="422">
        <v>13.1175</v>
      </c>
      <c r="V207" s="423">
        <f t="shared" si="314"/>
        <v>0</v>
      </c>
      <c r="W207" s="417">
        <f t="shared" si="315"/>
        <v>-110000</v>
      </c>
      <c r="X207" s="417">
        <v>0</v>
      </c>
      <c r="Y207" s="417">
        <v>0</v>
      </c>
      <c r="Z207" s="417">
        <v>-114066</v>
      </c>
      <c r="AA207" s="417">
        <v>0</v>
      </c>
      <c r="AB207" s="417">
        <v>0</v>
      </c>
      <c r="AC207" s="417">
        <v>0</v>
      </c>
      <c r="AD207" s="417">
        <v>0</v>
      </c>
      <c r="AE207" s="417">
        <f t="shared" si="316"/>
        <v>-114066</v>
      </c>
      <c r="AF207" s="417">
        <f t="shared" si="317"/>
        <v>-110000</v>
      </c>
      <c r="AG207" s="417">
        <f t="shared" si="318"/>
        <v>-224066</v>
      </c>
      <c r="AH207" s="417">
        <v>0</v>
      </c>
      <c r="AI207" s="417">
        <v>110000</v>
      </c>
      <c r="AJ207" s="417">
        <v>0</v>
      </c>
      <c r="AK207" s="417">
        <v>0</v>
      </c>
      <c r="AL207" s="417">
        <v>0</v>
      </c>
      <c r="AM207" s="417">
        <f t="shared" si="319"/>
        <v>0</v>
      </c>
      <c r="AN207" s="417">
        <f t="shared" si="320"/>
        <v>110000</v>
      </c>
      <c r="AO207" s="417">
        <f t="shared" si="321"/>
        <v>110000</v>
      </c>
      <c r="AP207" s="417">
        <f t="shared" si="322"/>
        <v>-114066</v>
      </c>
      <c r="AQ207" s="417">
        <f t="shared" si="323"/>
        <v>0</v>
      </c>
      <c r="AR207" s="417">
        <f t="shared" si="324"/>
        <v>-114066</v>
      </c>
      <c r="AS207" s="68">
        <f t="shared" si="325"/>
        <v>-38554</v>
      </c>
      <c r="AT207" s="68">
        <f t="shared" si="326"/>
        <v>-2241</v>
      </c>
      <c r="AU207" s="417">
        <v>0</v>
      </c>
      <c r="AV207" s="417">
        <v>0</v>
      </c>
      <c r="AW207" s="417">
        <v>0</v>
      </c>
      <c r="AX207" s="417">
        <f t="shared" si="327"/>
        <v>0</v>
      </c>
      <c r="AY207" s="417">
        <f t="shared" si="328"/>
        <v>-154861</v>
      </c>
      <c r="AZ207" s="418">
        <v>-0.4</v>
      </c>
      <c r="BA207" s="418">
        <v>0</v>
      </c>
      <c r="BB207" s="418">
        <v>0</v>
      </c>
      <c r="BC207" s="418">
        <v>-0.23</v>
      </c>
      <c r="BD207" s="418">
        <v>0</v>
      </c>
      <c r="BE207" s="418">
        <v>0</v>
      </c>
      <c r="BF207" s="418">
        <v>0</v>
      </c>
      <c r="BG207" s="418">
        <v>0</v>
      </c>
      <c r="BH207" s="418">
        <v>0</v>
      </c>
      <c r="BI207" s="418">
        <f t="shared" si="329"/>
        <v>-0.63</v>
      </c>
      <c r="BJ207" s="418">
        <f t="shared" si="330"/>
        <v>0</v>
      </c>
      <c r="BK207" s="420">
        <f t="shared" si="331"/>
        <v>-0.63</v>
      </c>
      <c r="BL207" s="772">
        <f t="shared" si="332"/>
        <v>55581168</v>
      </c>
      <c r="BM207" s="417">
        <f t="shared" si="333"/>
        <v>40163508</v>
      </c>
      <c r="BN207" s="417">
        <f t="shared" si="334"/>
        <v>36081461</v>
      </c>
      <c r="BO207" s="417">
        <f t="shared" si="334"/>
        <v>4082047</v>
      </c>
      <c r="BP207" s="417">
        <f t="shared" si="335"/>
        <v>350000</v>
      </c>
      <c r="BQ207" s="417">
        <f t="shared" si="336"/>
        <v>120000</v>
      </c>
      <c r="BR207" s="417">
        <f t="shared" si="336"/>
        <v>230000</v>
      </c>
      <c r="BS207" s="417">
        <f t="shared" si="337"/>
        <v>13693565</v>
      </c>
      <c r="BT207" s="417">
        <f t="shared" si="337"/>
        <v>401635</v>
      </c>
      <c r="BU207" s="417">
        <f t="shared" si="338"/>
        <v>972460</v>
      </c>
      <c r="BV207" s="418">
        <f t="shared" si="339"/>
        <v>65.14500000000001</v>
      </c>
      <c r="BW207" s="418">
        <f t="shared" si="340"/>
        <v>52.027499999999996</v>
      </c>
      <c r="BX207" s="420">
        <f t="shared" si="340"/>
        <v>13.1175</v>
      </c>
      <c r="BY207" s="419"/>
      <c r="BZ207" s="414"/>
      <c r="CA207" s="414"/>
      <c r="CB207" s="414"/>
      <c r="CC207" s="414"/>
      <c r="CD207" s="509"/>
      <c r="CE207" s="414">
        <v>2093480</v>
      </c>
      <c r="CF207" s="414">
        <v>1384072</v>
      </c>
      <c r="CG207" s="414">
        <v>467816</v>
      </c>
      <c r="CH207" s="414">
        <v>13841</v>
      </c>
      <c r="CI207" s="414">
        <v>227751</v>
      </c>
      <c r="CJ207" s="509">
        <v>4.3519000000000005</v>
      </c>
    </row>
    <row r="208" spans="1:88" s="221" customFormat="1" ht="12.75" customHeight="1">
      <c r="A208" s="209">
        <v>37</v>
      </c>
      <c r="B208" s="210">
        <v>4467</v>
      </c>
      <c r="C208" s="210">
        <v>600074935</v>
      </c>
      <c r="D208" s="210">
        <v>48282545</v>
      </c>
      <c r="E208" s="208" t="s">
        <v>799</v>
      </c>
      <c r="F208" s="210">
        <v>3113</v>
      </c>
      <c r="G208" s="165" t="s">
        <v>292</v>
      </c>
      <c r="H208" s="621" t="s">
        <v>271</v>
      </c>
      <c r="I208" s="510">
        <v>2241615</v>
      </c>
      <c r="J208" s="414">
        <v>1662919</v>
      </c>
      <c r="K208" s="414">
        <v>1662919</v>
      </c>
      <c r="L208" s="414">
        <v>0</v>
      </c>
      <c r="M208" s="414">
        <v>0</v>
      </c>
      <c r="N208" s="414">
        <v>0</v>
      </c>
      <c r="O208" s="414">
        <v>0</v>
      </c>
      <c r="P208" s="68">
        <v>562067</v>
      </c>
      <c r="Q208" s="68">
        <v>16629</v>
      </c>
      <c r="R208" s="414">
        <v>0</v>
      </c>
      <c r="S208" s="415">
        <v>3.9167000000000001</v>
      </c>
      <c r="T208" s="416">
        <v>3.9167000000000001</v>
      </c>
      <c r="U208" s="422">
        <v>0</v>
      </c>
      <c r="V208" s="423">
        <f t="shared" si="314"/>
        <v>0</v>
      </c>
      <c r="W208" s="417">
        <f t="shared" si="315"/>
        <v>0</v>
      </c>
      <c r="X208" s="417">
        <v>0</v>
      </c>
      <c r="Y208" s="417">
        <v>0</v>
      </c>
      <c r="Z208" s="417">
        <v>0</v>
      </c>
      <c r="AA208" s="417">
        <v>0</v>
      </c>
      <c r="AB208" s="417">
        <v>0</v>
      </c>
      <c r="AC208" s="417">
        <v>0</v>
      </c>
      <c r="AD208" s="417">
        <v>0</v>
      </c>
      <c r="AE208" s="417">
        <f t="shared" si="316"/>
        <v>0</v>
      </c>
      <c r="AF208" s="417">
        <f t="shared" si="317"/>
        <v>0</v>
      </c>
      <c r="AG208" s="417">
        <f t="shared" si="318"/>
        <v>0</v>
      </c>
      <c r="AH208" s="417">
        <v>0</v>
      </c>
      <c r="AI208" s="417">
        <v>0</v>
      </c>
      <c r="AJ208" s="417">
        <v>0</v>
      </c>
      <c r="AK208" s="417">
        <v>0</v>
      </c>
      <c r="AL208" s="417">
        <v>0</v>
      </c>
      <c r="AM208" s="417">
        <f t="shared" si="319"/>
        <v>0</v>
      </c>
      <c r="AN208" s="417">
        <f t="shared" si="320"/>
        <v>0</v>
      </c>
      <c r="AO208" s="417">
        <f t="shared" si="321"/>
        <v>0</v>
      </c>
      <c r="AP208" s="417">
        <f t="shared" si="322"/>
        <v>0</v>
      </c>
      <c r="AQ208" s="417">
        <f t="shared" si="323"/>
        <v>0</v>
      </c>
      <c r="AR208" s="417">
        <f t="shared" si="324"/>
        <v>0</v>
      </c>
      <c r="AS208" s="68">
        <f t="shared" si="325"/>
        <v>0</v>
      </c>
      <c r="AT208" s="68">
        <f t="shared" si="326"/>
        <v>0</v>
      </c>
      <c r="AU208" s="417">
        <v>0</v>
      </c>
      <c r="AV208" s="417">
        <v>0</v>
      </c>
      <c r="AW208" s="417">
        <v>0</v>
      </c>
      <c r="AX208" s="417">
        <f t="shared" si="327"/>
        <v>0</v>
      </c>
      <c r="AY208" s="417">
        <f t="shared" si="328"/>
        <v>0</v>
      </c>
      <c r="AZ208" s="418">
        <v>0</v>
      </c>
      <c r="BA208" s="418">
        <v>0</v>
      </c>
      <c r="BB208" s="418">
        <v>0</v>
      </c>
      <c r="BC208" s="418">
        <v>0</v>
      </c>
      <c r="BD208" s="418">
        <v>0</v>
      </c>
      <c r="BE208" s="418">
        <v>0</v>
      </c>
      <c r="BF208" s="418">
        <v>0</v>
      </c>
      <c r="BG208" s="418">
        <v>0</v>
      </c>
      <c r="BH208" s="418">
        <v>0</v>
      </c>
      <c r="BI208" s="418">
        <f t="shared" si="329"/>
        <v>0</v>
      </c>
      <c r="BJ208" s="418">
        <f t="shared" si="330"/>
        <v>0</v>
      </c>
      <c r="BK208" s="420">
        <f t="shared" si="331"/>
        <v>0</v>
      </c>
      <c r="BL208" s="772">
        <f t="shared" si="332"/>
        <v>2241615</v>
      </c>
      <c r="BM208" s="417">
        <f t="shared" si="333"/>
        <v>1662919</v>
      </c>
      <c r="BN208" s="417">
        <f t="shared" si="334"/>
        <v>1662919</v>
      </c>
      <c r="BO208" s="417">
        <f t="shared" si="334"/>
        <v>0</v>
      </c>
      <c r="BP208" s="417">
        <f t="shared" si="335"/>
        <v>0</v>
      </c>
      <c r="BQ208" s="417">
        <f t="shared" si="336"/>
        <v>0</v>
      </c>
      <c r="BR208" s="417">
        <f t="shared" si="336"/>
        <v>0</v>
      </c>
      <c r="BS208" s="417">
        <f t="shared" si="337"/>
        <v>562067</v>
      </c>
      <c r="BT208" s="417">
        <f t="shared" si="337"/>
        <v>16629</v>
      </c>
      <c r="BU208" s="417">
        <f t="shared" si="338"/>
        <v>0</v>
      </c>
      <c r="BV208" s="418">
        <f t="shared" si="339"/>
        <v>3.9167000000000001</v>
      </c>
      <c r="BW208" s="418">
        <f t="shared" si="340"/>
        <v>3.9167000000000001</v>
      </c>
      <c r="BX208" s="420">
        <f t="shared" si="340"/>
        <v>0</v>
      </c>
      <c r="BY208" s="419"/>
      <c r="BZ208" s="414"/>
      <c r="CA208" s="414"/>
      <c r="CB208" s="414"/>
      <c r="CC208" s="414"/>
      <c r="CD208" s="509"/>
      <c r="CE208" s="419"/>
      <c r="CF208" s="414"/>
      <c r="CG208" s="414"/>
      <c r="CH208" s="414"/>
      <c r="CI208" s="414"/>
      <c r="CJ208" s="509"/>
    </row>
    <row r="209" spans="1:88" s="221" customFormat="1" ht="12.75" customHeight="1">
      <c r="A209" s="209">
        <v>37</v>
      </c>
      <c r="B209" s="210">
        <v>4467</v>
      </c>
      <c r="C209" s="210">
        <v>600074935</v>
      </c>
      <c r="D209" s="210">
        <v>48282545</v>
      </c>
      <c r="E209" s="208" t="s">
        <v>799</v>
      </c>
      <c r="F209" s="210">
        <v>3113</v>
      </c>
      <c r="G209" s="165" t="s">
        <v>291</v>
      </c>
      <c r="H209" s="621" t="s">
        <v>272</v>
      </c>
      <c r="I209" s="510">
        <v>7425187</v>
      </c>
      <c r="J209" s="414">
        <v>5474916</v>
      </c>
      <c r="K209" s="414">
        <v>5474916</v>
      </c>
      <c r="L209" s="414">
        <v>0</v>
      </c>
      <c r="M209" s="414">
        <v>0</v>
      </c>
      <c r="N209" s="414">
        <v>0</v>
      </c>
      <c r="O209" s="414">
        <v>0</v>
      </c>
      <c r="P209" s="68">
        <v>1850522</v>
      </c>
      <c r="Q209" s="68">
        <v>54749</v>
      </c>
      <c r="R209" s="414">
        <v>45000</v>
      </c>
      <c r="S209" s="415">
        <v>15.03</v>
      </c>
      <c r="T209" s="416">
        <v>15.03</v>
      </c>
      <c r="U209" s="422">
        <v>0</v>
      </c>
      <c r="V209" s="423">
        <f t="shared" si="314"/>
        <v>0</v>
      </c>
      <c r="W209" s="417">
        <f t="shared" si="315"/>
        <v>0</v>
      </c>
      <c r="X209" s="417">
        <v>27810</v>
      </c>
      <c r="Y209" s="417">
        <v>0</v>
      </c>
      <c r="Z209" s="417">
        <v>0</v>
      </c>
      <c r="AA209" s="417">
        <v>0</v>
      </c>
      <c r="AB209" s="417">
        <v>0</v>
      </c>
      <c r="AC209" s="417">
        <v>0</v>
      </c>
      <c r="AD209" s="417">
        <v>0</v>
      </c>
      <c r="AE209" s="417">
        <f t="shared" si="316"/>
        <v>27810</v>
      </c>
      <c r="AF209" s="417">
        <f t="shared" si="317"/>
        <v>0</v>
      </c>
      <c r="AG209" s="417">
        <f t="shared" si="318"/>
        <v>27810</v>
      </c>
      <c r="AH209" s="417">
        <v>0</v>
      </c>
      <c r="AI209" s="417">
        <v>0</v>
      </c>
      <c r="AJ209" s="417">
        <v>0</v>
      </c>
      <c r="AK209" s="417">
        <v>0</v>
      </c>
      <c r="AL209" s="417">
        <v>0</v>
      </c>
      <c r="AM209" s="417">
        <f t="shared" si="319"/>
        <v>0</v>
      </c>
      <c r="AN209" s="417">
        <f t="shared" si="320"/>
        <v>0</v>
      </c>
      <c r="AO209" s="417">
        <f t="shared" si="321"/>
        <v>0</v>
      </c>
      <c r="AP209" s="417">
        <f t="shared" si="322"/>
        <v>27810</v>
      </c>
      <c r="AQ209" s="417">
        <f t="shared" si="323"/>
        <v>0</v>
      </c>
      <c r="AR209" s="417">
        <f t="shared" si="324"/>
        <v>27810</v>
      </c>
      <c r="AS209" s="68">
        <f t="shared" si="325"/>
        <v>9400</v>
      </c>
      <c r="AT209" s="68">
        <f t="shared" si="326"/>
        <v>278</v>
      </c>
      <c r="AU209" s="417">
        <v>700</v>
      </c>
      <c r="AV209" s="417">
        <v>0</v>
      </c>
      <c r="AW209" s="417">
        <v>0</v>
      </c>
      <c r="AX209" s="417">
        <f t="shared" si="327"/>
        <v>700</v>
      </c>
      <c r="AY209" s="417">
        <f t="shared" si="328"/>
        <v>38188</v>
      </c>
      <c r="AZ209" s="418">
        <v>0</v>
      </c>
      <c r="BA209" s="418">
        <v>0</v>
      </c>
      <c r="BB209" s="418">
        <v>0.04</v>
      </c>
      <c r="BC209" s="418">
        <v>0</v>
      </c>
      <c r="BD209" s="418">
        <v>0</v>
      </c>
      <c r="BE209" s="418">
        <v>0</v>
      </c>
      <c r="BF209" s="418">
        <v>0</v>
      </c>
      <c r="BG209" s="418">
        <v>0</v>
      </c>
      <c r="BH209" s="418">
        <v>0</v>
      </c>
      <c r="BI209" s="418">
        <f t="shared" si="329"/>
        <v>0.04</v>
      </c>
      <c r="BJ209" s="418">
        <f t="shared" si="330"/>
        <v>0</v>
      </c>
      <c r="BK209" s="420">
        <f t="shared" si="331"/>
        <v>0.04</v>
      </c>
      <c r="BL209" s="772">
        <f t="shared" si="332"/>
        <v>7463375</v>
      </c>
      <c r="BM209" s="417">
        <f t="shared" si="333"/>
        <v>5502726</v>
      </c>
      <c r="BN209" s="417">
        <f t="shared" si="334"/>
        <v>5502726</v>
      </c>
      <c r="BO209" s="417">
        <f t="shared" si="334"/>
        <v>0</v>
      </c>
      <c r="BP209" s="417">
        <f t="shared" si="335"/>
        <v>0</v>
      </c>
      <c r="BQ209" s="417">
        <f t="shared" si="336"/>
        <v>0</v>
      </c>
      <c r="BR209" s="417">
        <f t="shared" si="336"/>
        <v>0</v>
      </c>
      <c r="BS209" s="417">
        <f t="shared" si="337"/>
        <v>1859922</v>
      </c>
      <c r="BT209" s="417">
        <f t="shared" si="337"/>
        <v>55027</v>
      </c>
      <c r="BU209" s="417">
        <f t="shared" si="338"/>
        <v>45700</v>
      </c>
      <c r="BV209" s="418">
        <f t="shared" si="339"/>
        <v>15.069999999999999</v>
      </c>
      <c r="BW209" s="418">
        <f t="shared" si="340"/>
        <v>15.069999999999999</v>
      </c>
      <c r="BX209" s="420">
        <f t="shared" si="340"/>
        <v>0</v>
      </c>
      <c r="BY209" s="419"/>
      <c r="BZ209" s="414"/>
      <c r="CA209" s="414"/>
      <c r="CB209" s="414"/>
      <c r="CC209" s="414"/>
      <c r="CD209" s="509"/>
      <c r="CE209" s="419"/>
      <c r="CF209" s="414"/>
      <c r="CG209" s="414"/>
      <c r="CH209" s="414"/>
      <c r="CI209" s="414"/>
      <c r="CJ209" s="509"/>
    </row>
    <row r="210" spans="1:88" s="221" customFormat="1" ht="12.75" customHeight="1">
      <c r="A210" s="209">
        <v>37</v>
      </c>
      <c r="B210" s="210">
        <v>4467</v>
      </c>
      <c r="C210" s="210">
        <v>600074935</v>
      </c>
      <c r="D210" s="210">
        <v>48282545</v>
      </c>
      <c r="E210" s="208" t="s">
        <v>799</v>
      </c>
      <c r="F210" s="210">
        <v>3141</v>
      </c>
      <c r="G210" s="165" t="s">
        <v>294</v>
      </c>
      <c r="H210" s="621" t="s">
        <v>272</v>
      </c>
      <c r="I210" s="510">
        <v>6274855</v>
      </c>
      <c r="J210" s="414">
        <v>4623783</v>
      </c>
      <c r="K210" s="414">
        <v>0</v>
      </c>
      <c r="L210" s="414">
        <v>4623783</v>
      </c>
      <c r="M210" s="414">
        <v>0</v>
      </c>
      <c r="N210" s="414">
        <v>0</v>
      </c>
      <c r="O210" s="414">
        <v>0</v>
      </c>
      <c r="P210" s="68">
        <v>1562838</v>
      </c>
      <c r="Q210" s="68">
        <v>46238</v>
      </c>
      <c r="R210" s="414">
        <v>41996</v>
      </c>
      <c r="S210" s="415">
        <v>13.870000000000001</v>
      </c>
      <c r="T210" s="416">
        <v>0</v>
      </c>
      <c r="U210" s="422">
        <v>13.870000000000001</v>
      </c>
      <c r="V210" s="423">
        <f t="shared" si="314"/>
        <v>0</v>
      </c>
      <c r="W210" s="417">
        <f t="shared" si="315"/>
        <v>0</v>
      </c>
      <c r="X210" s="417">
        <v>0</v>
      </c>
      <c r="Y210" s="417">
        <v>0</v>
      </c>
      <c r="Z210" s="417">
        <v>0</v>
      </c>
      <c r="AA210" s="417">
        <v>-63940</v>
      </c>
      <c r="AB210" s="417">
        <v>0</v>
      </c>
      <c r="AC210" s="417">
        <v>0</v>
      </c>
      <c r="AD210" s="417">
        <v>0</v>
      </c>
      <c r="AE210" s="417">
        <f t="shared" si="316"/>
        <v>0</v>
      </c>
      <c r="AF210" s="417">
        <f t="shared" si="317"/>
        <v>-63940</v>
      </c>
      <c r="AG210" s="417">
        <f t="shared" si="318"/>
        <v>-63940</v>
      </c>
      <c r="AH210" s="417">
        <v>0</v>
      </c>
      <c r="AI210" s="417">
        <v>0</v>
      </c>
      <c r="AJ210" s="417">
        <v>0</v>
      </c>
      <c r="AK210" s="417">
        <v>0</v>
      </c>
      <c r="AL210" s="417">
        <v>0</v>
      </c>
      <c r="AM210" s="417">
        <f t="shared" si="319"/>
        <v>0</v>
      </c>
      <c r="AN210" s="417">
        <f t="shared" si="320"/>
        <v>0</v>
      </c>
      <c r="AO210" s="417">
        <f t="shared" si="321"/>
        <v>0</v>
      </c>
      <c r="AP210" s="417">
        <f t="shared" si="322"/>
        <v>0</v>
      </c>
      <c r="AQ210" s="417">
        <f t="shared" si="323"/>
        <v>-63940</v>
      </c>
      <c r="AR210" s="417">
        <f t="shared" si="324"/>
        <v>-63940</v>
      </c>
      <c r="AS210" s="68">
        <f t="shared" si="325"/>
        <v>-21612</v>
      </c>
      <c r="AT210" s="68">
        <f t="shared" si="326"/>
        <v>-639</v>
      </c>
      <c r="AU210" s="417">
        <v>0</v>
      </c>
      <c r="AV210" s="417">
        <v>0</v>
      </c>
      <c r="AW210" s="417">
        <v>0</v>
      </c>
      <c r="AX210" s="417">
        <f t="shared" si="327"/>
        <v>0</v>
      </c>
      <c r="AY210" s="417">
        <f t="shared" si="328"/>
        <v>-86191</v>
      </c>
      <c r="AZ210" s="418">
        <v>0</v>
      </c>
      <c r="BA210" s="418">
        <v>0</v>
      </c>
      <c r="BB210" s="418">
        <v>0</v>
      </c>
      <c r="BC210" s="418">
        <v>0</v>
      </c>
      <c r="BD210" s="418">
        <v>-0.21</v>
      </c>
      <c r="BE210" s="418">
        <v>0</v>
      </c>
      <c r="BF210" s="418">
        <v>0</v>
      </c>
      <c r="BG210" s="418">
        <v>0</v>
      </c>
      <c r="BH210" s="418">
        <v>0</v>
      </c>
      <c r="BI210" s="418">
        <f t="shared" si="329"/>
        <v>0</v>
      </c>
      <c r="BJ210" s="418">
        <f t="shared" si="330"/>
        <v>-0.21</v>
      </c>
      <c r="BK210" s="420">
        <f t="shared" si="331"/>
        <v>-0.21</v>
      </c>
      <c r="BL210" s="772">
        <f t="shared" si="332"/>
        <v>6188664</v>
      </c>
      <c r="BM210" s="417">
        <f t="shared" si="333"/>
        <v>4559843</v>
      </c>
      <c r="BN210" s="417">
        <f t="shared" si="334"/>
        <v>0</v>
      </c>
      <c r="BO210" s="417">
        <f t="shared" si="334"/>
        <v>4559843</v>
      </c>
      <c r="BP210" s="417">
        <f t="shared" si="335"/>
        <v>0</v>
      </c>
      <c r="BQ210" s="417">
        <f t="shared" si="336"/>
        <v>0</v>
      </c>
      <c r="BR210" s="417">
        <f t="shared" si="336"/>
        <v>0</v>
      </c>
      <c r="BS210" s="417">
        <f t="shared" si="337"/>
        <v>1541226</v>
      </c>
      <c r="BT210" s="417">
        <f t="shared" si="337"/>
        <v>45599</v>
      </c>
      <c r="BU210" s="417">
        <f t="shared" si="338"/>
        <v>41996</v>
      </c>
      <c r="BV210" s="418">
        <f t="shared" si="339"/>
        <v>13.66</v>
      </c>
      <c r="BW210" s="418">
        <f t="shared" si="340"/>
        <v>0</v>
      </c>
      <c r="BX210" s="420">
        <f t="shared" si="340"/>
        <v>13.66</v>
      </c>
      <c r="BY210" s="419"/>
      <c r="BZ210" s="414"/>
      <c r="CA210" s="414"/>
      <c r="CB210" s="414"/>
      <c r="CC210" s="414"/>
      <c r="CD210" s="509"/>
      <c r="CE210" s="419"/>
      <c r="CF210" s="414"/>
      <c r="CG210" s="414"/>
      <c r="CH210" s="414"/>
      <c r="CI210" s="414"/>
      <c r="CJ210" s="509"/>
    </row>
    <row r="211" spans="1:88" s="221" customFormat="1" ht="12.75" customHeight="1">
      <c r="A211" s="209">
        <v>37</v>
      </c>
      <c r="B211" s="210">
        <v>4467</v>
      </c>
      <c r="C211" s="210">
        <v>600074935</v>
      </c>
      <c r="D211" s="210">
        <v>48282545</v>
      </c>
      <c r="E211" s="208" t="s">
        <v>799</v>
      </c>
      <c r="F211" s="210">
        <v>3143</v>
      </c>
      <c r="G211" s="165" t="s">
        <v>595</v>
      </c>
      <c r="H211" s="609" t="s">
        <v>271</v>
      </c>
      <c r="I211" s="510">
        <v>4811717</v>
      </c>
      <c r="J211" s="414">
        <v>3569523</v>
      </c>
      <c r="K211" s="414">
        <v>3569523</v>
      </c>
      <c r="L211" s="414">
        <v>0</v>
      </c>
      <c r="M211" s="414">
        <v>0</v>
      </c>
      <c r="N211" s="414">
        <v>0</v>
      </c>
      <c r="O211" s="414">
        <v>0</v>
      </c>
      <c r="P211" s="68">
        <v>1206499</v>
      </c>
      <c r="Q211" s="68">
        <v>35695</v>
      </c>
      <c r="R211" s="414">
        <v>0</v>
      </c>
      <c r="S211" s="415">
        <v>6.9642999999999997</v>
      </c>
      <c r="T211" s="416">
        <v>6.9642999999999997</v>
      </c>
      <c r="U211" s="422">
        <v>0</v>
      </c>
      <c r="V211" s="423">
        <f t="shared" si="314"/>
        <v>0</v>
      </c>
      <c r="W211" s="417">
        <f t="shared" si="315"/>
        <v>0</v>
      </c>
      <c r="X211" s="417">
        <v>0</v>
      </c>
      <c r="Y211" s="417">
        <v>0</v>
      </c>
      <c r="Z211" s="417">
        <v>0</v>
      </c>
      <c r="AA211" s="417">
        <v>0</v>
      </c>
      <c r="AB211" s="417">
        <v>0</v>
      </c>
      <c r="AC211" s="417">
        <v>0</v>
      </c>
      <c r="AD211" s="417">
        <v>0</v>
      </c>
      <c r="AE211" s="417">
        <f t="shared" si="316"/>
        <v>0</v>
      </c>
      <c r="AF211" s="417">
        <f t="shared" si="317"/>
        <v>0</v>
      </c>
      <c r="AG211" s="417">
        <f t="shared" si="318"/>
        <v>0</v>
      </c>
      <c r="AH211" s="417">
        <v>0</v>
      </c>
      <c r="AI211" s="417">
        <v>0</v>
      </c>
      <c r="AJ211" s="417">
        <v>0</v>
      </c>
      <c r="AK211" s="417">
        <v>0</v>
      </c>
      <c r="AL211" s="417">
        <v>0</v>
      </c>
      <c r="AM211" s="417">
        <f t="shared" si="319"/>
        <v>0</v>
      </c>
      <c r="AN211" s="417">
        <f t="shared" si="320"/>
        <v>0</v>
      </c>
      <c r="AO211" s="417">
        <f t="shared" si="321"/>
        <v>0</v>
      </c>
      <c r="AP211" s="417">
        <f t="shared" si="322"/>
        <v>0</v>
      </c>
      <c r="AQ211" s="417">
        <f t="shared" si="323"/>
        <v>0</v>
      </c>
      <c r="AR211" s="417">
        <f t="shared" si="324"/>
        <v>0</v>
      </c>
      <c r="AS211" s="68">
        <f t="shared" si="325"/>
        <v>0</v>
      </c>
      <c r="AT211" s="68">
        <f t="shared" si="326"/>
        <v>0</v>
      </c>
      <c r="AU211" s="417">
        <v>0</v>
      </c>
      <c r="AV211" s="417">
        <v>0</v>
      </c>
      <c r="AW211" s="417">
        <v>0</v>
      </c>
      <c r="AX211" s="417">
        <f t="shared" si="327"/>
        <v>0</v>
      </c>
      <c r="AY211" s="417">
        <f t="shared" si="328"/>
        <v>0</v>
      </c>
      <c r="AZ211" s="418">
        <v>0</v>
      </c>
      <c r="BA211" s="418">
        <v>0</v>
      </c>
      <c r="BB211" s="418">
        <v>0</v>
      </c>
      <c r="BC211" s="418">
        <v>0</v>
      </c>
      <c r="BD211" s="418">
        <v>0</v>
      </c>
      <c r="BE211" s="418">
        <v>0</v>
      </c>
      <c r="BF211" s="418">
        <v>0</v>
      </c>
      <c r="BG211" s="418">
        <v>0</v>
      </c>
      <c r="BH211" s="418">
        <v>0</v>
      </c>
      <c r="BI211" s="418">
        <f t="shared" si="329"/>
        <v>0</v>
      </c>
      <c r="BJ211" s="418">
        <f t="shared" si="330"/>
        <v>0</v>
      </c>
      <c r="BK211" s="420">
        <f t="shared" si="331"/>
        <v>0</v>
      </c>
      <c r="BL211" s="772">
        <f t="shared" si="332"/>
        <v>4811717</v>
      </c>
      <c r="BM211" s="417">
        <f t="shared" si="333"/>
        <v>3569523</v>
      </c>
      <c r="BN211" s="417">
        <f t="shared" si="334"/>
        <v>3569523</v>
      </c>
      <c r="BO211" s="417">
        <f t="shared" si="334"/>
        <v>0</v>
      </c>
      <c r="BP211" s="417">
        <f t="shared" si="335"/>
        <v>0</v>
      </c>
      <c r="BQ211" s="417">
        <f t="shared" si="336"/>
        <v>0</v>
      </c>
      <c r="BR211" s="417">
        <f t="shared" si="336"/>
        <v>0</v>
      </c>
      <c r="BS211" s="417">
        <f t="shared" si="337"/>
        <v>1206499</v>
      </c>
      <c r="BT211" s="417">
        <f t="shared" si="337"/>
        <v>35695</v>
      </c>
      <c r="BU211" s="417">
        <f t="shared" si="338"/>
        <v>0</v>
      </c>
      <c r="BV211" s="418">
        <f t="shared" si="339"/>
        <v>6.9642999999999997</v>
      </c>
      <c r="BW211" s="418">
        <f t="shared" si="340"/>
        <v>6.9642999999999997</v>
      </c>
      <c r="BX211" s="420">
        <f t="shared" si="340"/>
        <v>0</v>
      </c>
      <c r="BY211" s="419"/>
      <c r="BZ211" s="414"/>
      <c r="CA211" s="414"/>
      <c r="CB211" s="414"/>
      <c r="CC211" s="414"/>
      <c r="CD211" s="509"/>
      <c r="CE211" s="419"/>
      <c r="CF211" s="414"/>
      <c r="CG211" s="414"/>
      <c r="CH211" s="414"/>
      <c r="CI211" s="414"/>
      <c r="CJ211" s="509"/>
    </row>
    <row r="212" spans="1:88" s="221" customFormat="1" ht="12.75" customHeight="1">
      <c r="A212" s="209">
        <v>37</v>
      </c>
      <c r="B212" s="210">
        <v>4467</v>
      </c>
      <c r="C212" s="210">
        <v>600074935</v>
      </c>
      <c r="D212" s="210">
        <v>48282545</v>
      </c>
      <c r="E212" s="208" t="s">
        <v>799</v>
      </c>
      <c r="F212" s="210">
        <v>3143</v>
      </c>
      <c r="G212" s="165" t="s">
        <v>596</v>
      </c>
      <c r="H212" s="609" t="s">
        <v>272</v>
      </c>
      <c r="I212" s="510">
        <v>151376</v>
      </c>
      <c r="J212" s="414">
        <v>108350</v>
      </c>
      <c r="K212" s="414">
        <v>0</v>
      </c>
      <c r="L212" s="414">
        <v>108350</v>
      </c>
      <c r="M212" s="414">
        <v>0</v>
      </c>
      <c r="N212" s="414">
        <v>0</v>
      </c>
      <c r="O212" s="414">
        <v>0</v>
      </c>
      <c r="P212" s="68">
        <v>36623</v>
      </c>
      <c r="Q212" s="68">
        <v>1084</v>
      </c>
      <c r="R212" s="414">
        <v>5319</v>
      </c>
      <c r="S212" s="415">
        <v>0.41000000000000003</v>
      </c>
      <c r="T212" s="416">
        <v>0</v>
      </c>
      <c r="U212" s="422">
        <v>0.41000000000000003</v>
      </c>
      <c r="V212" s="423">
        <f t="shared" si="314"/>
        <v>0</v>
      </c>
      <c r="W212" s="417">
        <f t="shared" si="315"/>
        <v>0</v>
      </c>
      <c r="X212" s="417">
        <v>0</v>
      </c>
      <c r="Y212" s="417">
        <v>0</v>
      </c>
      <c r="Z212" s="417">
        <v>0</v>
      </c>
      <c r="AA212" s="417">
        <v>0</v>
      </c>
      <c r="AB212" s="417">
        <v>0</v>
      </c>
      <c r="AC212" s="417">
        <v>0</v>
      </c>
      <c r="AD212" s="417">
        <v>0</v>
      </c>
      <c r="AE212" s="417">
        <f t="shared" si="316"/>
        <v>0</v>
      </c>
      <c r="AF212" s="417">
        <f t="shared" si="317"/>
        <v>0</v>
      </c>
      <c r="AG212" s="417">
        <f t="shared" si="318"/>
        <v>0</v>
      </c>
      <c r="AH212" s="417">
        <v>0</v>
      </c>
      <c r="AI212" s="417">
        <v>0</v>
      </c>
      <c r="AJ212" s="417">
        <v>0</v>
      </c>
      <c r="AK212" s="417">
        <v>0</v>
      </c>
      <c r="AL212" s="417">
        <v>0</v>
      </c>
      <c r="AM212" s="417">
        <f t="shared" si="319"/>
        <v>0</v>
      </c>
      <c r="AN212" s="417">
        <f t="shared" si="320"/>
        <v>0</v>
      </c>
      <c r="AO212" s="417">
        <f t="shared" si="321"/>
        <v>0</v>
      </c>
      <c r="AP212" s="417">
        <f t="shared" si="322"/>
        <v>0</v>
      </c>
      <c r="AQ212" s="417">
        <f t="shared" si="323"/>
        <v>0</v>
      </c>
      <c r="AR212" s="417">
        <f t="shared" si="324"/>
        <v>0</v>
      </c>
      <c r="AS212" s="68">
        <f t="shared" si="325"/>
        <v>0</v>
      </c>
      <c r="AT212" s="68">
        <f t="shared" si="326"/>
        <v>0</v>
      </c>
      <c r="AU212" s="417">
        <v>0</v>
      </c>
      <c r="AV212" s="417">
        <v>0</v>
      </c>
      <c r="AW212" s="417">
        <v>0</v>
      </c>
      <c r="AX212" s="417">
        <f t="shared" si="327"/>
        <v>0</v>
      </c>
      <c r="AY212" s="417">
        <f t="shared" si="328"/>
        <v>0</v>
      </c>
      <c r="AZ212" s="418">
        <v>0</v>
      </c>
      <c r="BA212" s="418">
        <v>0</v>
      </c>
      <c r="BB212" s="418">
        <v>0</v>
      </c>
      <c r="BC212" s="418">
        <v>0</v>
      </c>
      <c r="BD212" s="418">
        <v>0</v>
      </c>
      <c r="BE212" s="418">
        <v>0</v>
      </c>
      <c r="BF212" s="418">
        <v>0</v>
      </c>
      <c r="BG212" s="418">
        <v>0</v>
      </c>
      <c r="BH212" s="418">
        <v>0</v>
      </c>
      <c r="BI212" s="418">
        <f t="shared" si="329"/>
        <v>0</v>
      </c>
      <c r="BJ212" s="418">
        <f t="shared" si="330"/>
        <v>0</v>
      </c>
      <c r="BK212" s="420">
        <f t="shared" si="331"/>
        <v>0</v>
      </c>
      <c r="BL212" s="772">
        <f t="shared" si="332"/>
        <v>151376</v>
      </c>
      <c r="BM212" s="417">
        <f t="shared" si="333"/>
        <v>108350</v>
      </c>
      <c r="BN212" s="417">
        <f t="shared" si="334"/>
        <v>0</v>
      </c>
      <c r="BO212" s="417">
        <f t="shared" si="334"/>
        <v>108350</v>
      </c>
      <c r="BP212" s="417">
        <f t="shared" si="335"/>
        <v>0</v>
      </c>
      <c r="BQ212" s="417">
        <f t="shared" si="336"/>
        <v>0</v>
      </c>
      <c r="BR212" s="417">
        <f t="shared" si="336"/>
        <v>0</v>
      </c>
      <c r="BS212" s="417">
        <f t="shared" si="337"/>
        <v>36623</v>
      </c>
      <c r="BT212" s="417">
        <f t="shared" si="337"/>
        <v>1084</v>
      </c>
      <c r="BU212" s="417">
        <f t="shared" si="338"/>
        <v>5319</v>
      </c>
      <c r="BV212" s="418">
        <f t="shared" si="339"/>
        <v>0.41000000000000003</v>
      </c>
      <c r="BW212" s="418">
        <f t="shared" si="340"/>
        <v>0</v>
      </c>
      <c r="BX212" s="420">
        <f t="shared" si="340"/>
        <v>0.41000000000000003</v>
      </c>
      <c r="BY212" s="419"/>
      <c r="BZ212" s="414"/>
      <c r="CA212" s="414"/>
      <c r="CB212" s="414"/>
      <c r="CC212" s="414"/>
      <c r="CD212" s="509"/>
      <c r="CE212" s="419"/>
      <c r="CF212" s="414"/>
      <c r="CG212" s="414"/>
      <c r="CH212" s="414"/>
      <c r="CI212" s="414"/>
      <c r="CJ212" s="509"/>
    </row>
    <row r="213" spans="1:88" s="221" customFormat="1" ht="12.75" customHeight="1">
      <c r="A213" s="209">
        <v>37</v>
      </c>
      <c r="B213" s="210">
        <v>4467</v>
      </c>
      <c r="C213" s="210">
        <v>600074935</v>
      </c>
      <c r="D213" s="210">
        <v>48282545</v>
      </c>
      <c r="E213" s="208" t="s">
        <v>799</v>
      </c>
      <c r="F213" s="210">
        <v>3233</v>
      </c>
      <c r="G213" s="165" t="s">
        <v>297</v>
      </c>
      <c r="H213" s="621" t="s">
        <v>272</v>
      </c>
      <c r="I213" s="510">
        <v>2420258</v>
      </c>
      <c r="J213" s="414">
        <v>1486086</v>
      </c>
      <c r="K213" s="414">
        <v>1163549</v>
      </c>
      <c r="L213" s="414">
        <v>322537</v>
      </c>
      <c r="M213" s="414">
        <v>310000</v>
      </c>
      <c r="N213" s="414">
        <v>300000</v>
      </c>
      <c r="O213" s="414">
        <v>10000</v>
      </c>
      <c r="P213" s="68">
        <v>607078</v>
      </c>
      <c r="Q213" s="68">
        <v>14861</v>
      </c>
      <c r="R213" s="414">
        <v>2233</v>
      </c>
      <c r="S213" s="415">
        <v>3.0399999999999996</v>
      </c>
      <c r="T213" s="416">
        <v>2</v>
      </c>
      <c r="U213" s="422">
        <v>1.04</v>
      </c>
      <c r="V213" s="423">
        <f t="shared" si="314"/>
        <v>35000</v>
      </c>
      <c r="W213" s="417">
        <f t="shared" si="315"/>
        <v>0</v>
      </c>
      <c r="X213" s="417">
        <v>0</v>
      </c>
      <c r="Y213" s="417">
        <v>0</v>
      </c>
      <c r="Z213" s="417">
        <v>0</v>
      </c>
      <c r="AA213" s="417">
        <v>0</v>
      </c>
      <c r="AB213" s="417">
        <v>0</v>
      </c>
      <c r="AC213" s="417">
        <v>0</v>
      </c>
      <c r="AD213" s="417">
        <v>0</v>
      </c>
      <c r="AE213" s="417">
        <f t="shared" si="316"/>
        <v>35000</v>
      </c>
      <c r="AF213" s="417">
        <f t="shared" si="317"/>
        <v>0</v>
      </c>
      <c r="AG213" s="417">
        <f t="shared" si="318"/>
        <v>35000</v>
      </c>
      <c r="AH213" s="417">
        <v>-35000</v>
      </c>
      <c r="AI213" s="417">
        <v>0</v>
      </c>
      <c r="AJ213" s="417">
        <v>0</v>
      </c>
      <c r="AK213" s="417">
        <v>0</v>
      </c>
      <c r="AL213" s="417">
        <v>0</v>
      </c>
      <c r="AM213" s="417">
        <f t="shared" si="319"/>
        <v>-35000</v>
      </c>
      <c r="AN213" s="417">
        <f t="shared" si="320"/>
        <v>0</v>
      </c>
      <c r="AO213" s="417">
        <f t="shared" si="321"/>
        <v>-35000</v>
      </c>
      <c r="AP213" s="417">
        <f t="shared" si="322"/>
        <v>0</v>
      </c>
      <c r="AQ213" s="417">
        <f t="shared" si="323"/>
        <v>0</v>
      </c>
      <c r="AR213" s="417">
        <f t="shared" si="324"/>
        <v>0</v>
      </c>
      <c r="AS213" s="68">
        <f t="shared" si="325"/>
        <v>0</v>
      </c>
      <c r="AT213" s="68">
        <f t="shared" si="326"/>
        <v>350</v>
      </c>
      <c r="AU213" s="417">
        <v>0</v>
      </c>
      <c r="AV213" s="417">
        <v>0</v>
      </c>
      <c r="AW213" s="417">
        <v>0</v>
      </c>
      <c r="AX213" s="417">
        <f t="shared" si="327"/>
        <v>0</v>
      </c>
      <c r="AY213" s="417">
        <f t="shared" si="328"/>
        <v>350</v>
      </c>
      <c r="AZ213" s="418">
        <v>0.08</v>
      </c>
      <c r="BA213" s="418">
        <v>0</v>
      </c>
      <c r="BB213" s="418">
        <v>0</v>
      </c>
      <c r="BC213" s="418">
        <v>0</v>
      </c>
      <c r="BD213" s="418">
        <v>0</v>
      </c>
      <c r="BE213" s="418">
        <v>0</v>
      </c>
      <c r="BF213" s="418">
        <v>0</v>
      </c>
      <c r="BG213" s="418">
        <v>0</v>
      </c>
      <c r="BH213" s="418">
        <v>0</v>
      </c>
      <c r="BI213" s="418">
        <f t="shared" si="329"/>
        <v>0.08</v>
      </c>
      <c r="BJ213" s="418">
        <f t="shared" si="330"/>
        <v>0</v>
      </c>
      <c r="BK213" s="420">
        <f t="shared" si="331"/>
        <v>0.08</v>
      </c>
      <c r="BL213" s="772">
        <f t="shared" si="332"/>
        <v>2420608</v>
      </c>
      <c r="BM213" s="417">
        <f t="shared" si="333"/>
        <v>1521086</v>
      </c>
      <c r="BN213" s="417">
        <f t="shared" si="334"/>
        <v>1198549</v>
      </c>
      <c r="BO213" s="417">
        <f t="shared" si="334"/>
        <v>322537</v>
      </c>
      <c r="BP213" s="417">
        <f t="shared" si="335"/>
        <v>275000</v>
      </c>
      <c r="BQ213" s="417">
        <f t="shared" si="336"/>
        <v>265000</v>
      </c>
      <c r="BR213" s="417">
        <f t="shared" si="336"/>
        <v>10000</v>
      </c>
      <c r="BS213" s="417">
        <f t="shared" si="337"/>
        <v>607078</v>
      </c>
      <c r="BT213" s="417">
        <f t="shared" si="337"/>
        <v>15211</v>
      </c>
      <c r="BU213" s="417">
        <f t="shared" si="338"/>
        <v>2233</v>
      </c>
      <c r="BV213" s="418">
        <f t="shared" si="339"/>
        <v>3.1199999999999997</v>
      </c>
      <c r="BW213" s="418">
        <f t="shared" si="340"/>
        <v>2.08</v>
      </c>
      <c r="BX213" s="420">
        <f t="shared" si="340"/>
        <v>1.04</v>
      </c>
      <c r="BY213" s="419"/>
      <c r="BZ213" s="414"/>
      <c r="CA213" s="414"/>
      <c r="CB213" s="414"/>
      <c r="CC213" s="414"/>
      <c r="CD213" s="509"/>
      <c r="CE213" s="419"/>
      <c r="CF213" s="602"/>
      <c r="CG213" s="414"/>
      <c r="CH213" s="414"/>
      <c r="CI213" s="1035"/>
      <c r="CJ213" s="605"/>
    </row>
    <row r="214" spans="1:88" s="221" customFormat="1" ht="12.75" customHeight="1">
      <c r="A214" s="155">
        <v>37</v>
      </c>
      <c r="B214" s="18">
        <v>4467</v>
      </c>
      <c r="C214" s="18">
        <v>600074935</v>
      </c>
      <c r="D214" s="18">
        <v>48282545</v>
      </c>
      <c r="E214" s="164" t="s">
        <v>217</v>
      </c>
      <c r="F214" s="18"/>
      <c r="G214" s="154"/>
      <c r="H214" s="608"/>
      <c r="I214" s="451">
        <v>96479463</v>
      </c>
      <c r="J214" s="444">
        <v>70163467</v>
      </c>
      <c r="K214" s="444">
        <v>59936570</v>
      </c>
      <c r="L214" s="444">
        <v>10226897</v>
      </c>
      <c r="M214" s="444">
        <v>550000</v>
      </c>
      <c r="N214" s="444">
        <v>420000</v>
      </c>
      <c r="O214" s="444">
        <v>130000</v>
      </c>
      <c r="P214" s="444">
        <v>23901153</v>
      </c>
      <c r="Q214" s="444">
        <v>701635</v>
      </c>
      <c r="R214" s="444">
        <v>1163208</v>
      </c>
      <c r="S214" s="445">
        <v>133.191</v>
      </c>
      <c r="T214" s="445">
        <v>100.8265</v>
      </c>
      <c r="U214" s="449">
        <v>32.3645</v>
      </c>
      <c r="V214" s="447">
        <f t="shared" ref="V214:CG214" si="341">SUM(V206:V213)</f>
        <v>35000</v>
      </c>
      <c r="W214" s="444">
        <f t="shared" si="341"/>
        <v>-110000</v>
      </c>
      <c r="X214" s="444">
        <f t="shared" si="341"/>
        <v>27810</v>
      </c>
      <c r="Y214" s="444">
        <f t="shared" si="341"/>
        <v>0</v>
      </c>
      <c r="Z214" s="444">
        <f t="shared" si="341"/>
        <v>-114066</v>
      </c>
      <c r="AA214" s="444">
        <f t="shared" si="341"/>
        <v>-63940</v>
      </c>
      <c r="AB214" s="444">
        <f t="shared" si="341"/>
        <v>0</v>
      </c>
      <c r="AC214" s="444">
        <f t="shared" si="341"/>
        <v>0</v>
      </c>
      <c r="AD214" s="444">
        <f t="shared" si="341"/>
        <v>0</v>
      </c>
      <c r="AE214" s="444">
        <f t="shared" si="341"/>
        <v>-51256</v>
      </c>
      <c r="AF214" s="444">
        <f t="shared" si="341"/>
        <v>-173940</v>
      </c>
      <c r="AG214" s="444">
        <f t="shared" si="341"/>
        <v>-225196</v>
      </c>
      <c r="AH214" s="444">
        <f t="shared" si="341"/>
        <v>-35000</v>
      </c>
      <c r="AI214" s="444">
        <f t="shared" si="341"/>
        <v>110000</v>
      </c>
      <c r="AJ214" s="444">
        <f t="shared" si="341"/>
        <v>0</v>
      </c>
      <c r="AK214" s="444">
        <f t="shared" si="341"/>
        <v>0</v>
      </c>
      <c r="AL214" s="444">
        <f t="shared" si="341"/>
        <v>0</v>
      </c>
      <c r="AM214" s="444">
        <f t="shared" si="341"/>
        <v>-35000</v>
      </c>
      <c r="AN214" s="444">
        <f t="shared" si="341"/>
        <v>110000</v>
      </c>
      <c r="AO214" s="444">
        <f t="shared" si="341"/>
        <v>75000</v>
      </c>
      <c r="AP214" s="444">
        <f t="shared" si="341"/>
        <v>-86256</v>
      </c>
      <c r="AQ214" s="444">
        <f t="shared" si="341"/>
        <v>-63940</v>
      </c>
      <c r="AR214" s="444">
        <f t="shared" si="341"/>
        <v>-150196</v>
      </c>
      <c r="AS214" s="444">
        <f t="shared" si="341"/>
        <v>-50766</v>
      </c>
      <c r="AT214" s="444">
        <f t="shared" si="341"/>
        <v>-2252</v>
      </c>
      <c r="AU214" s="444">
        <f t="shared" si="341"/>
        <v>700</v>
      </c>
      <c r="AV214" s="444">
        <f t="shared" si="341"/>
        <v>0</v>
      </c>
      <c r="AW214" s="444">
        <f t="shared" si="341"/>
        <v>0</v>
      </c>
      <c r="AX214" s="444">
        <f t="shared" si="341"/>
        <v>700</v>
      </c>
      <c r="AY214" s="444">
        <f t="shared" si="341"/>
        <v>-202514</v>
      </c>
      <c r="AZ214" s="445">
        <f t="shared" si="341"/>
        <v>-0.32</v>
      </c>
      <c r="BA214" s="445">
        <f t="shared" si="341"/>
        <v>0</v>
      </c>
      <c r="BB214" s="445">
        <f t="shared" si="341"/>
        <v>0.04</v>
      </c>
      <c r="BC214" s="445">
        <f t="shared" si="341"/>
        <v>-0.23</v>
      </c>
      <c r="BD214" s="445">
        <f t="shared" si="341"/>
        <v>-0.21</v>
      </c>
      <c r="BE214" s="445">
        <f t="shared" si="341"/>
        <v>0</v>
      </c>
      <c r="BF214" s="445">
        <f t="shared" si="341"/>
        <v>0</v>
      </c>
      <c r="BG214" s="445">
        <f t="shared" si="341"/>
        <v>0</v>
      </c>
      <c r="BH214" s="445">
        <f t="shared" si="341"/>
        <v>0</v>
      </c>
      <c r="BI214" s="445">
        <f t="shared" si="341"/>
        <v>-0.51</v>
      </c>
      <c r="BJ214" s="445">
        <f t="shared" si="341"/>
        <v>-0.21</v>
      </c>
      <c r="BK214" s="39">
        <f t="shared" si="341"/>
        <v>-0.72</v>
      </c>
      <c r="BL214" s="451">
        <f t="shared" si="341"/>
        <v>96276949</v>
      </c>
      <c r="BM214" s="444">
        <f t="shared" si="341"/>
        <v>69938271</v>
      </c>
      <c r="BN214" s="444">
        <f t="shared" si="341"/>
        <v>59885314</v>
      </c>
      <c r="BO214" s="444">
        <f t="shared" si="341"/>
        <v>10052957</v>
      </c>
      <c r="BP214" s="444">
        <f t="shared" si="341"/>
        <v>625000</v>
      </c>
      <c r="BQ214" s="444">
        <f t="shared" si="341"/>
        <v>385000</v>
      </c>
      <c r="BR214" s="444">
        <f t="shared" si="341"/>
        <v>240000</v>
      </c>
      <c r="BS214" s="444">
        <f t="shared" si="341"/>
        <v>23850387</v>
      </c>
      <c r="BT214" s="444">
        <f t="shared" si="341"/>
        <v>699383</v>
      </c>
      <c r="BU214" s="444">
        <f t="shared" si="341"/>
        <v>1163908</v>
      </c>
      <c r="BV214" s="445">
        <f t="shared" si="341"/>
        <v>132.471</v>
      </c>
      <c r="BW214" s="445">
        <f t="shared" si="341"/>
        <v>100.31649999999999</v>
      </c>
      <c r="BX214" s="39">
        <f t="shared" si="341"/>
        <v>32.154499999999999</v>
      </c>
      <c r="BY214" s="806">
        <f t="shared" si="341"/>
        <v>0</v>
      </c>
      <c r="BZ214" s="709">
        <f t="shared" si="341"/>
        <v>0</v>
      </c>
      <c r="CA214" s="709">
        <f t="shared" si="341"/>
        <v>0</v>
      </c>
      <c r="CB214" s="709">
        <f t="shared" si="341"/>
        <v>0</v>
      </c>
      <c r="CC214" s="709">
        <f t="shared" si="341"/>
        <v>0</v>
      </c>
      <c r="CD214" s="807">
        <f t="shared" si="341"/>
        <v>0</v>
      </c>
      <c r="CE214" s="919">
        <f t="shared" si="341"/>
        <v>2549420</v>
      </c>
      <c r="CF214" s="920">
        <f t="shared" si="341"/>
        <v>1698572</v>
      </c>
      <c r="CG214" s="920">
        <f t="shared" si="341"/>
        <v>574117</v>
      </c>
      <c r="CH214" s="920">
        <f t="shared" ref="CH214:CJ214" si="342">SUM(CH206:CH213)</f>
        <v>16986</v>
      </c>
      <c r="CI214" s="920">
        <f t="shared" si="342"/>
        <v>259745</v>
      </c>
      <c r="CJ214" s="921">
        <f t="shared" si="342"/>
        <v>5.6119000000000003</v>
      </c>
    </row>
    <row r="215" spans="1:88" s="221" customFormat="1" ht="12.75" customHeight="1">
      <c r="A215" s="209">
        <v>39</v>
      </c>
      <c r="B215" s="210">
        <v>4472</v>
      </c>
      <c r="C215" s="210">
        <v>600075095</v>
      </c>
      <c r="D215" s="210">
        <v>48282561</v>
      </c>
      <c r="E215" s="208" t="s">
        <v>218</v>
      </c>
      <c r="F215" s="210">
        <v>3231</v>
      </c>
      <c r="G215" s="165" t="s">
        <v>295</v>
      </c>
      <c r="H215" s="621" t="s">
        <v>271</v>
      </c>
      <c r="I215" s="510">
        <v>12227846</v>
      </c>
      <c r="J215" s="414">
        <v>9015095</v>
      </c>
      <c r="K215" s="414">
        <v>8549329</v>
      </c>
      <c r="L215" s="414">
        <v>465766</v>
      </c>
      <c r="M215" s="414">
        <v>40000</v>
      </c>
      <c r="N215" s="414">
        <v>0</v>
      </c>
      <c r="O215" s="414">
        <v>40000</v>
      </c>
      <c r="P215" s="68">
        <v>3060622</v>
      </c>
      <c r="Q215" s="68">
        <v>90151</v>
      </c>
      <c r="R215" s="414">
        <v>21978</v>
      </c>
      <c r="S215" s="415">
        <v>14.829399999999998</v>
      </c>
      <c r="T215" s="416">
        <v>13.5505</v>
      </c>
      <c r="U215" s="422">
        <v>1.2788999999999999</v>
      </c>
      <c r="V215" s="423">
        <f t="shared" si="314"/>
        <v>0</v>
      </c>
      <c r="W215" s="417">
        <f t="shared" si="315"/>
        <v>40000</v>
      </c>
      <c r="X215" s="417">
        <v>0</v>
      </c>
      <c r="Y215" s="417">
        <v>0</v>
      </c>
      <c r="Z215" s="417">
        <v>0</v>
      </c>
      <c r="AA215" s="417">
        <v>0</v>
      </c>
      <c r="AB215" s="417">
        <v>0</v>
      </c>
      <c r="AC215" s="417">
        <v>0</v>
      </c>
      <c r="AD215" s="417">
        <v>0</v>
      </c>
      <c r="AE215" s="417">
        <f t="shared" si="316"/>
        <v>0</v>
      </c>
      <c r="AF215" s="417">
        <f t="shared" si="317"/>
        <v>40000</v>
      </c>
      <c r="AG215" s="417">
        <f t="shared" si="318"/>
        <v>40000</v>
      </c>
      <c r="AH215" s="417">
        <v>0</v>
      </c>
      <c r="AI215" s="417">
        <v>-40000</v>
      </c>
      <c r="AJ215" s="417">
        <v>0</v>
      </c>
      <c r="AK215" s="417">
        <v>0</v>
      </c>
      <c r="AL215" s="417">
        <v>0</v>
      </c>
      <c r="AM215" s="417">
        <f t="shared" si="319"/>
        <v>0</v>
      </c>
      <c r="AN215" s="417">
        <f t="shared" si="320"/>
        <v>-40000</v>
      </c>
      <c r="AO215" s="417">
        <f t="shared" si="321"/>
        <v>-40000</v>
      </c>
      <c r="AP215" s="417">
        <f t="shared" si="322"/>
        <v>0</v>
      </c>
      <c r="AQ215" s="417">
        <f t="shared" si="323"/>
        <v>0</v>
      </c>
      <c r="AR215" s="417">
        <f t="shared" si="324"/>
        <v>0</v>
      </c>
      <c r="AS215" s="68">
        <f t="shared" si="325"/>
        <v>0</v>
      </c>
      <c r="AT215" s="68">
        <f t="shared" si="326"/>
        <v>400</v>
      </c>
      <c r="AU215" s="417">
        <v>0</v>
      </c>
      <c r="AV215" s="417">
        <v>0</v>
      </c>
      <c r="AW215" s="417">
        <v>0</v>
      </c>
      <c r="AX215" s="417">
        <f t="shared" si="327"/>
        <v>0</v>
      </c>
      <c r="AY215" s="417">
        <f t="shared" si="328"/>
        <v>400</v>
      </c>
      <c r="AZ215" s="418">
        <v>0</v>
      </c>
      <c r="BA215" s="418">
        <v>0.13</v>
      </c>
      <c r="BB215" s="418">
        <v>0</v>
      </c>
      <c r="BC215" s="418">
        <v>0</v>
      </c>
      <c r="BD215" s="418">
        <v>0</v>
      </c>
      <c r="BE215" s="418">
        <v>0</v>
      </c>
      <c r="BF215" s="418">
        <v>0</v>
      </c>
      <c r="BG215" s="418">
        <v>0</v>
      </c>
      <c r="BH215" s="418">
        <v>0</v>
      </c>
      <c r="BI215" s="418">
        <f t="shared" si="329"/>
        <v>0</v>
      </c>
      <c r="BJ215" s="418">
        <f t="shared" si="330"/>
        <v>0.13</v>
      </c>
      <c r="BK215" s="420">
        <f t="shared" si="331"/>
        <v>0.13</v>
      </c>
      <c r="BL215" s="772">
        <f>I215+AY215</f>
        <v>12228246</v>
      </c>
      <c r="BM215" s="417">
        <f>J215+AG215</f>
        <v>9055095</v>
      </c>
      <c r="BN215" s="417">
        <f>K215+AE215</f>
        <v>8549329</v>
      </c>
      <c r="BO215" s="417">
        <f>L215+AF215</f>
        <v>505766</v>
      </c>
      <c r="BP215" s="417">
        <f>M215+AO215</f>
        <v>0</v>
      </c>
      <c r="BQ215" s="417">
        <f>N215+AM215</f>
        <v>0</v>
      </c>
      <c r="BR215" s="417">
        <f>O215+AN215</f>
        <v>0</v>
      </c>
      <c r="BS215" s="417">
        <f>P215+AS215</f>
        <v>3060622</v>
      </c>
      <c r="BT215" s="417">
        <f>Q215+AT215</f>
        <v>90551</v>
      </c>
      <c r="BU215" s="417">
        <f>R215+AX215</f>
        <v>21978</v>
      </c>
      <c r="BV215" s="418">
        <f>S215+BK215</f>
        <v>14.959399999999999</v>
      </c>
      <c r="BW215" s="418">
        <f>T215+BI215</f>
        <v>13.5505</v>
      </c>
      <c r="BX215" s="420">
        <f>U215+BJ215</f>
        <v>1.4089</v>
      </c>
      <c r="BY215" s="419"/>
      <c r="BZ215" s="414"/>
      <c r="CA215" s="414"/>
      <c r="CB215" s="414"/>
      <c r="CC215" s="414"/>
      <c r="CD215" s="509"/>
      <c r="CE215" s="419">
        <v>231558</v>
      </c>
      <c r="CF215" s="414">
        <v>166450</v>
      </c>
      <c r="CG215" s="414">
        <v>56260</v>
      </c>
      <c r="CH215" s="414">
        <v>1665</v>
      </c>
      <c r="CI215" s="414">
        <v>7183</v>
      </c>
      <c r="CJ215" s="509">
        <v>0.46679999999999999</v>
      </c>
    </row>
    <row r="216" spans="1:88" s="221" customFormat="1" ht="12.75" customHeight="1">
      <c r="A216" s="155">
        <v>39</v>
      </c>
      <c r="B216" s="18">
        <v>4472</v>
      </c>
      <c r="C216" s="18">
        <v>600075095</v>
      </c>
      <c r="D216" s="18">
        <v>48282561</v>
      </c>
      <c r="E216" s="164" t="s">
        <v>219</v>
      </c>
      <c r="F216" s="18"/>
      <c r="G216" s="154"/>
      <c r="H216" s="608"/>
      <c r="I216" s="451">
        <v>12227846</v>
      </c>
      <c r="J216" s="444">
        <v>9015095</v>
      </c>
      <c r="K216" s="444">
        <v>8549329</v>
      </c>
      <c r="L216" s="444">
        <v>465766</v>
      </c>
      <c r="M216" s="444">
        <v>40000</v>
      </c>
      <c r="N216" s="444">
        <v>0</v>
      </c>
      <c r="O216" s="444">
        <v>40000</v>
      </c>
      <c r="P216" s="444">
        <v>3060622</v>
      </c>
      <c r="Q216" s="444">
        <v>90151</v>
      </c>
      <c r="R216" s="444">
        <v>21978</v>
      </c>
      <c r="S216" s="445">
        <v>14.829399999999998</v>
      </c>
      <c r="T216" s="445">
        <v>13.5505</v>
      </c>
      <c r="U216" s="449">
        <v>1.2788999999999999</v>
      </c>
      <c r="V216" s="447">
        <f t="shared" ref="V216:CG216" si="343">SUM(V215)</f>
        <v>0</v>
      </c>
      <c r="W216" s="444">
        <f t="shared" si="343"/>
        <v>40000</v>
      </c>
      <c r="X216" s="444">
        <f t="shared" si="343"/>
        <v>0</v>
      </c>
      <c r="Y216" s="444">
        <f t="shared" si="343"/>
        <v>0</v>
      </c>
      <c r="Z216" s="444">
        <f t="shared" si="343"/>
        <v>0</v>
      </c>
      <c r="AA216" s="444">
        <f t="shared" si="343"/>
        <v>0</v>
      </c>
      <c r="AB216" s="444">
        <f t="shared" si="343"/>
        <v>0</v>
      </c>
      <c r="AC216" s="444">
        <f t="shared" si="343"/>
        <v>0</v>
      </c>
      <c r="AD216" s="444">
        <f t="shared" si="343"/>
        <v>0</v>
      </c>
      <c r="AE216" s="444">
        <f t="shared" si="343"/>
        <v>0</v>
      </c>
      <c r="AF216" s="444">
        <f t="shared" si="343"/>
        <v>40000</v>
      </c>
      <c r="AG216" s="444">
        <f t="shared" si="343"/>
        <v>40000</v>
      </c>
      <c r="AH216" s="444">
        <f t="shared" si="343"/>
        <v>0</v>
      </c>
      <c r="AI216" s="444">
        <f t="shared" si="343"/>
        <v>-40000</v>
      </c>
      <c r="AJ216" s="444">
        <f t="shared" si="343"/>
        <v>0</v>
      </c>
      <c r="AK216" s="444">
        <f t="shared" si="343"/>
        <v>0</v>
      </c>
      <c r="AL216" s="444">
        <f t="shared" si="343"/>
        <v>0</v>
      </c>
      <c r="AM216" s="444">
        <f t="shared" si="343"/>
        <v>0</v>
      </c>
      <c r="AN216" s="444">
        <f t="shared" si="343"/>
        <v>-40000</v>
      </c>
      <c r="AO216" s="444">
        <f t="shared" si="343"/>
        <v>-40000</v>
      </c>
      <c r="AP216" s="444">
        <f t="shared" si="343"/>
        <v>0</v>
      </c>
      <c r="AQ216" s="444">
        <f t="shared" si="343"/>
        <v>0</v>
      </c>
      <c r="AR216" s="444">
        <f t="shared" si="343"/>
        <v>0</v>
      </c>
      <c r="AS216" s="444">
        <f t="shared" si="343"/>
        <v>0</v>
      </c>
      <c r="AT216" s="444">
        <f t="shared" si="343"/>
        <v>400</v>
      </c>
      <c r="AU216" s="444">
        <f t="shared" si="343"/>
        <v>0</v>
      </c>
      <c r="AV216" s="444">
        <f t="shared" si="343"/>
        <v>0</v>
      </c>
      <c r="AW216" s="444">
        <f t="shared" si="343"/>
        <v>0</v>
      </c>
      <c r="AX216" s="444">
        <f t="shared" si="343"/>
        <v>0</v>
      </c>
      <c r="AY216" s="444">
        <f t="shared" si="343"/>
        <v>400</v>
      </c>
      <c r="AZ216" s="445">
        <f t="shared" si="343"/>
        <v>0</v>
      </c>
      <c r="BA216" s="445">
        <f t="shared" si="343"/>
        <v>0.13</v>
      </c>
      <c r="BB216" s="445">
        <f t="shared" si="343"/>
        <v>0</v>
      </c>
      <c r="BC216" s="445">
        <f t="shared" si="343"/>
        <v>0</v>
      </c>
      <c r="BD216" s="445">
        <f t="shared" si="343"/>
        <v>0</v>
      </c>
      <c r="BE216" s="445">
        <f t="shared" si="343"/>
        <v>0</v>
      </c>
      <c r="BF216" s="445">
        <f t="shared" si="343"/>
        <v>0</v>
      </c>
      <c r="BG216" s="445">
        <f t="shared" si="343"/>
        <v>0</v>
      </c>
      <c r="BH216" s="445">
        <f t="shared" si="343"/>
        <v>0</v>
      </c>
      <c r="BI216" s="445">
        <f t="shared" si="343"/>
        <v>0</v>
      </c>
      <c r="BJ216" s="445">
        <f t="shared" si="343"/>
        <v>0.13</v>
      </c>
      <c r="BK216" s="39">
        <f t="shared" si="343"/>
        <v>0.13</v>
      </c>
      <c r="BL216" s="451">
        <f t="shared" si="343"/>
        <v>12228246</v>
      </c>
      <c r="BM216" s="444">
        <f t="shared" si="343"/>
        <v>9055095</v>
      </c>
      <c r="BN216" s="444">
        <f t="shared" si="343"/>
        <v>8549329</v>
      </c>
      <c r="BO216" s="444">
        <f t="shared" si="343"/>
        <v>505766</v>
      </c>
      <c r="BP216" s="444">
        <f t="shared" si="343"/>
        <v>0</v>
      </c>
      <c r="BQ216" s="444">
        <f t="shared" si="343"/>
        <v>0</v>
      </c>
      <c r="BR216" s="444">
        <f t="shared" si="343"/>
        <v>0</v>
      </c>
      <c r="BS216" s="444">
        <f t="shared" si="343"/>
        <v>3060622</v>
      </c>
      <c r="BT216" s="444">
        <f t="shared" si="343"/>
        <v>90551</v>
      </c>
      <c r="BU216" s="444">
        <f t="shared" si="343"/>
        <v>21978</v>
      </c>
      <c r="BV216" s="445">
        <f t="shared" si="343"/>
        <v>14.959399999999999</v>
      </c>
      <c r="BW216" s="445">
        <f t="shared" si="343"/>
        <v>13.5505</v>
      </c>
      <c r="BX216" s="39">
        <f t="shared" si="343"/>
        <v>1.4089</v>
      </c>
      <c r="BY216" s="806">
        <f t="shared" si="343"/>
        <v>0</v>
      </c>
      <c r="BZ216" s="709">
        <f t="shared" si="343"/>
        <v>0</v>
      </c>
      <c r="CA216" s="709">
        <f t="shared" si="343"/>
        <v>0</v>
      </c>
      <c r="CB216" s="709">
        <f t="shared" si="343"/>
        <v>0</v>
      </c>
      <c r="CC216" s="709">
        <f t="shared" si="343"/>
        <v>0</v>
      </c>
      <c r="CD216" s="807">
        <f t="shared" si="343"/>
        <v>0</v>
      </c>
      <c r="CE216" s="919">
        <f t="shared" si="343"/>
        <v>231558</v>
      </c>
      <c r="CF216" s="920">
        <f t="shared" si="343"/>
        <v>166450</v>
      </c>
      <c r="CG216" s="920">
        <f t="shared" si="343"/>
        <v>56260</v>
      </c>
      <c r="CH216" s="920">
        <f t="shared" ref="CH216:CJ216" si="344">SUM(CH215)</f>
        <v>1665</v>
      </c>
      <c r="CI216" s="920">
        <f t="shared" si="344"/>
        <v>7183</v>
      </c>
      <c r="CJ216" s="921">
        <f t="shared" si="344"/>
        <v>0.46679999999999999</v>
      </c>
    </row>
    <row r="217" spans="1:88" s="221" customFormat="1" ht="12.75" customHeight="1">
      <c r="A217" s="209">
        <v>40</v>
      </c>
      <c r="B217" s="210">
        <v>4418</v>
      </c>
      <c r="C217" s="210">
        <v>600074048</v>
      </c>
      <c r="D217" s="210">
        <v>72742411</v>
      </c>
      <c r="E217" s="208" t="s">
        <v>220</v>
      </c>
      <c r="F217" s="210">
        <v>3111</v>
      </c>
      <c r="G217" s="165" t="s">
        <v>290</v>
      </c>
      <c r="H217" s="621" t="s">
        <v>271</v>
      </c>
      <c r="I217" s="510">
        <v>2112145</v>
      </c>
      <c r="J217" s="414">
        <v>1527685</v>
      </c>
      <c r="K217" s="414">
        <v>1389412</v>
      </c>
      <c r="L217" s="414">
        <v>138273</v>
      </c>
      <c r="M217" s="414">
        <v>34100</v>
      </c>
      <c r="N217" s="414">
        <v>9100</v>
      </c>
      <c r="O217" s="414">
        <v>25000</v>
      </c>
      <c r="P217" s="68">
        <v>527883</v>
      </c>
      <c r="Q217" s="68">
        <v>15277</v>
      </c>
      <c r="R217" s="414">
        <v>7200</v>
      </c>
      <c r="S217" s="415">
        <v>2.8106</v>
      </c>
      <c r="T217" s="416">
        <v>2.3708999999999998</v>
      </c>
      <c r="U217" s="422">
        <v>0.43969999999999998</v>
      </c>
      <c r="V217" s="423">
        <f t="shared" si="314"/>
        <v>-6400</v>
      </c>
      <c r="W217" s="417">
        <f t="shared" si="315"/>
        <v>15000</v>
      </c>
      <c r="X217" s="417">
        <v>0</v>
      </c>
      <c r="Y217" s="417">
        <v>0</v>
      </c>
      <c r="Z217" s="417">
        <v>0</v>
      </c>
      <c r="AA217" s="417">
        <v>0</v>
      </c>
      <c r="AB217" s="417">
        <v>0</v>
      </c>
      <c r="AC217" s="417">
        <v>0</v>
      </c>
      <c r="AD217" s="417">
        <v>0</v>
      </c>
      <c r="AE217" s="417">
        <f t="shared" si="316"/>
        <v>-6400</v>
      </c>
      <c r="AF217" s="417">
        <f t="shared" si="317"/>
        <v>15000</v>
      </c>
      <c r="AG217" s="417">
        <f t="shared" si="318"/>
        <v>8600</v>
      </c>
      <c r="AH217" s="417">
        <v>6400</v>
      </c>
      <c r="AI217" s="417">
        <v>-15000</v>
      </c>
      <c r="AJ217" s="417">
        <v>0</v>
      </c>
      <c r="AK217" s="417">
        <v>0</v>
      </c>
      <c r="AL217" s="417">
        <v>0</v>
      </c>
      <c r="AM217" s="417">
        <f t="shared" si="319"/>
        <v>6400</v>
      </c>
      <c r="AN217" s="417">
        <f t="shared" si="320"/>
        <v>-15000</v>
      </c>
      <c r="AO217" s="417">
        <f t="shared" si="321"/>
        <v>-8600</v>
      </c>
      <c r="AP217" s="417">
        <f t="shared" si="322"/>
        <v>0</v>
      </c>
      <c r="AQ217" s="417">
        <f t="shared" si="323"/>
        <v>0</v>
      </c>
      <c r="AR217" s="417">
        <f t="shared" si="324"/>
        <v>0</v>
      </c>
      <c r="AS217" s="68">
        <f t="shared" si="325"/>
        <v>0</v>
      </c>
      <c r="AT217" s="68">
        <f t="shared" si="326"/>
        <v>86</v>
      </c>
      <c r="AU217" s="417">
        <v>0</v>
      </c>
      <c r="AV217" s="417">
        <v>0</v>
      </c>
      <c r="AW217" s="417">
        <v>0</v>
      </c>
      <c r="AX217" s="417">
        <f t="shared" si="327"/>
        <v>0</v>
      </c>
      <c r="AY217" s="417">
        <f t="shared" si="328"/>
        <v>86</v>
      </c>
      <c r="AZ217" s="418">
        <v>0</v>
      </c>
      <c r="BA217" s="418">
        <v>0.06</v>
      </c>
      <c r="BB217" s="418">
        <v>0</v>
      </c>
      <c r="BC217" s="418">
        <v>0</v>
      </c>
      <c r="BD217" s="418">
        <v>0</v>
      </c>
      <c r="BE217" s="418">
        <v>0</v>
      </c>
      <c r="BF217" s="418">
        <v>0</v>
      </c>
      <c r="BG217" s="418">
        <v>0</v>
      </c>
      <c r="BH217" s="418">
        <v>0</v>
      </c>
      <c r="BI217" s="418">
        <f t="shared" si="329"/>
        <v>0</v>
      </c>
      <c r="BJ217" s="418">
        <f t="shared" si="330"/>
        <v>0.06</v>
      </c>
      <c r="BK217" s="420">
        <f t="shared" si="331"/>
        <v>0.06</v>
      </c>
      <c r="BL217" s="772">
        <f>I217+AY217</f>
        <v>2112231</v>
      </c>
      <c r="BM217" s="417">
        <f>J217+AG217</f>
        <v>1536285</v>
      </c>
      <c r="BN217" s="417">
        <f t="shared" ref="BN217:BO219" si="345">K217+AE217</f>
        <v>1383012</v>
      </c>
      <c r="BO217" s="417">
        <f t="shared" si="345"/>
        <v>153273</v>
      </c>
      <c r="BP217" s="417">
        <f>M217+AO217</f>
        <v>25500</v>
      </c>
      <c r="BQ217" s="417">
        <f t="shared" ref="BQ217:BR219" si="346">N217+AM217</f>
        <v>15500</v>
      </c>
      <c r="BR217" s="417">
        <f t="shared" si="346"/>
        <v>10000</v>
      </c>
      <c r="BS217" s="417">
        <f t="shared" ref="BS217:BT219" si="347">P217+AS217</f>
        <v>527883</v>
      </c>
      <c r="BT217" s="417">
        <f t="shared" si="347"/>
        <v>15363</v>
      </c>
      <c r="BU217" s="417">
        <f>R217+AX217</f>
        <v>7200</v>
      </c>
      <c r="BV217" s="418">
        <f>S217+BK217</f>
        <v>2.8706</v>
      </c>
      <c r="BW217" s="418">
        <f t="shared" ref="BW217:BX219" si="348">T217+BI217</f>
        <v>2.3708999999999998</v>
      </c>
      <c r="BX217" s="420">
        <f t="shared" si="348"/>
        <v>0.49969999999999998</v>
      </c>
      <c r="BY217" s="419"/>
      <c r="BZ217" s="414"/>
      <c r="CA217" s="414"/>
      <c r="CB217" s="414"/>
      <c r="CC217" s="414"/>
      <c r="CD217" s="509"/>
      <c r="CE217" s="419">
        <v>73024</v>
      </c>
      <c r="CF217" s="414">
        <v>52396</v>
      </c>
      <c r="CG217" s="414">
        <v>17710</v>
      </c>
      <c r="CH217" s="414">
        <v>524</v>
      </c>
      <c r="CI217" s="414">
        <v>2394</v>
      </c>
      <c r="CJ217" s="509">
        <v>0.1764</v>
      </c>
    </row>
    <row r="218" spans="1:88" s="221" customFormat="1" ht="12.75" customHeight="1">
      <c r="A218" s="209">
        <v>40</v>
      </c>
      <c r="B218" s="210">
        <v>4418</v>
      </c>
      <c r="C218" s="210">
        <v>600074048</v>
      </c>
      <c r="D218" s="210">
        <v>72742411</v>
      </c>
      <c r="E218" s="208" t="s">
        <v>220</v>
      </c>
      <c r="F218" s="210">
        <v>3111</v>
      </c>
      <c r="G218" s="165" t="s">
        <v>291</v>
      </c>
      <c r="H218" s="621" t="s">
        <v>272</v>
      </c>
      <c r="I218" s="510">
        <v>0</v>
      </c>
      <c r="J218" s="414">
        <v>0</v>
      </c>
      <c r="K218" s="414">
        <v>0</v>
      </c>
      <c r="L218" s="414">
        <v>0</v>
      </c>
      <c r="M218" s="414">
        <v>0</v>
      </c>
      <c r="N218" s="414">
        <v>0</v>
      </c>
      <c r="O218" s="414">
        <v>0</v>
      </c>
      <c r="P218" s="68">
        <v>0</v>
      </c>
      <c r="Q218" s="68">
        <v>0</v>
      </c>
      <c r="R218" s="414">
        <v>0</v>
      </c>
      <c r="S218" s="415">
        <v>0</v>
      </c>
      <c r="T218" s="416">
        <v>0</v>
      </c>
      <c r="U218" s="422">
        <v>0</v>
      </c>
      <c r="V218" s="423">
        <f t="shared" si="314"/>
        <v>0</v>
      </c>
      <c r="W218" s="417">
        <f t="shared" si="315"/>
        <v>0</v>
      </c>
      <c r="X218" s="417">
        <v>0</v>
      </c>
      <c r="Y218" s="417">
        <v>0</v>
      </c>
      <c r="Z218" s="417">
        <v>0</v>
      </c>
      <c r="AA218" s="417">
        <v>0</v>
      </c>
      <c r="AB218" s="417">
        <v>0</v>
      </c>
      <c r="AC218" s="417">
        <v>0</v>
      </c>
      <c r="AD218" s="417">
        <v>0</v>
      </c>
      <c r="AE218" s="417">
        <f t="shared" si="316"/>
        <v>0</v>
      </c>
      <c r="AF218" s="417">
        <f t="shared" si="317"/>
        <v>0</v>
      </c>
      <c r="AG218" s="417">
        <f t="shared" si="318"/>
        <v>0</v>
      </c>
      <c r="AH218" s="417">
        <v>0</v>
      </c>
      <c r="AI218" s="417">
        <v>0</v>
      </c>
      <c r="AJ218" s="417">
        <v>0</v>
      </c>
      <c r="AK218" s="417">
        <v>0</v>
      </c>
      <c r="AL218" s="417">
        <v>0</v>
      </c>
      <c r="AM218" s="417">
        <f t="shared" si="319"/>
        <v>0</v>
      </c>
      <c r="AN218" s="417">
        <f t="shared" si="320"/>
        <v>0</v>
      </c>
      <c r="AO218" s="417">
        <f t="shared" si="321"/>
        <v>0</v>
      </c>
      <c r="AP218" s="417">
        <f t="shared" si="322"/>
        <v>0</v>
      </c>
      <c r="AQ218" s="417">
        <f t="shared" si="323"/>
        <v>0</v>
      </c>
      <c r="AR218" s="417">
        <f t="shared" si="324"/>
        <v>0</v>
      </c>
      <c r="AS218" s="68">
        <f t="shared" si="325"/>
        <v>0</v>
      </c>
      <c r="AT218" s="68">
        <f t="shared" si="326"/>
        <v>0</v>
      </c>
      <c r="AU218" s="417">
        <v>0</v>
      </c>
      <c r="AV218" s="417">
        <v>0</v>
      </c>
      <c r="AW218" s="417">
        <v>0</v>
      </c>
      <c r="AX218" s="417">
        <f t="shared" si="327"/>
        <v>0</v>
      </c>
      <c r="AY218" s="417">
        <f t="shared" si="328"/>
        <v>0</v>
      </c>
      <c r="AZ218" s="418">
        <v>0</v>
      </c>
      <c r="BA218" s="418">
        <v>0</v>
      </c>
      <c r="BB218" s="418">
        <v>0</v>
      </c>
      <c r="BC218" s="418">
        <v>0</v>
      </c>
      <c r="BD218" s="418">
        <v>0</v>
      </c>
      <c r="BE218" s="418">
        <v>0</v>
      </c>
      <c r="BF218" s="418">
        <v>0</v>
      </c>
      <c r="BG218" s="418">
        <v>0</v>
      </c>
      <c r="BH218" s="418">
        <v>0</v>
      </c>
      <c r="BI218" s="418">
        <f t="shared" si="329"/>
        <v>0</v>
      </c>
      <c r="BJ218" s="418">
        <f t="shared" si="330"/>
        <v>0</v>
      </c>
      <c r="BK218" s="420">
        <f t="shared" si="331"/>
        <v>0</v>
      </c>
      <c r="BL218" s="772">
        <f>I218+AY218</f>
        <v>0</v>
      </c>
      <c r="BM218" s="417">
        <f>J218+AG218</f>
        <v>0</v>
      </c>
      <c r="BN218" s="417">
        <f t="shared" si="345"/>
        <v>0</v>
      </c>
      <c r="BO218" s="417">
        <f t="shared" si="345"/>
        <v>0</v>
      </c>
      <c r="BP218" s="417">
        <f>M218+AO218</f>
        <v>0</v>
      </c>
      <c r="BQ218" s="417">
        <f t="shared" si="346"/>
        <v>0</v>
      </c>
      <c r="BR218" s="417">
        <f t="shared" si="346"/>
        <v>0</v>
      </c>
      <c r="BS218" s="417">
        <f t="shared" si="347"/>
        <v>0</v>
      </c>
      <c r="BT218" s="417">
        <f t="shared" si="347"/>
        <v>0</v>
      </c>
      <c r="BU218" s="417">
        <f>R218+AX218</f>
        <v>0</v>
      </c>
      <c r="BV218" s="418">
        <f>S218+BK218</f>
        <v>0</v>
      </c>
      <c r="BW218" s="418">
        <f t="shared" si="348"/>
        <v>0</v>
      </c>
      <c r="BX218" s="420">
        <f t="shared" si="348"/>
        <v>0</v>
      </c>
      <c r="BY218" s="419"/>
      <c r="BZ218" s="414"/>
      <c r="CA218" s="414"/>
      <c r="CB218" s="414"/>
      <c r="CC218" s="414"/>
      <c r="CD218" s="509"/>
      <c r="CE218" s="419"/>
      <c r="CF218" s="414"/>
      <c r="CG218" s="414"/>
      <c r="CH218" s="414"/>
      <c r="CI218" s="414"/>
      <c r="CJ218" s="509"/>
    </row>
    <row r="219" spans="1:88" s="221" customFormat="1" ht="12.75" customHeight="1">
      <c r="A219" s="209">
        <v>40</v>
      </c>
      <c r="B219" s="210">
        <v>4418</v>
      </c>
      <c r="C219" s="210">
        <v>600074048</v>
      </c>
      <c r="D219" s="210">
        <v>72742411</v>
      </c>
      <c r="E219" s="204" t="s">
        <v>220</v>
      </c>
      <c r="F219" s="210">
        <v>3141</v>
      </c>
      <c r="G219" s="165" t="s">
        <v>294</v>
      </c>
      <c r="H219" s="621" t="s">
        <v>272</v>
      </c>
      <c r="I219" s="510">
        <v>326370</v>
      </c>
      <c r="J219" s="414">
        <v>235067</v>
      </c>
      <c r="K219" s="414">
        <v>0</v>
      </c>
      <c r="L219" s="414">
        <v>235067</v>
      </c>
      <c r="M219" s="414">
        <v>6400</v>
      </c>
      <c r="N219" s="414">
        <v>0</v>
      </c>
      <c r="O219" s="414">
        <v>6400</v>
      </c>
      <c r="P219" s="68">
        <v>81616</v>
      </c>
      <c r="Q219" s="68">
        <v>2351</v>
      </c>
      <c r="R219" s="414">
        <v>936</v>
      </c>
      <c r="S219" s="415">
        <v>0.72</v>
      </c>
      <c r="T219" s="416">
        <v>0</v>
      </c>
      <c r="U219" s="422">
        <v>0.72</v>
      </c>
      <c r="V219" s="423">
        <f t="shared" si="314"/>
        <v>0</v>
      </c>
      <c r="W219" s="417">
        <f t="shared" si="315"/>
        <v>-8600</v>
      </c>
      <c r="X219" s="417">
        <v>0</v>
      </c>
      <c r="Y219" s="417">
        <v>0</v>
      </c>
      <c r="Z219" s="417">
        <v>0</v>
      </c>
      <c r="AA219" s="417">
        <v>0</v>
      </c>
      <c r="AB219" s="417">
        <v>0</v>
      </c>
      <c r="AC219" s="417">
        <v>0</v>
      </c>
      <c r="AD219" s="417">
        <v>0</v>
      </c>
      <c r="AE219" s="417">
        <f t="shared" si="316"/>
        <v>0</v>
      </c>
      <c r="AF219" s="417">
        <f t="shared" si="317"/>
        <v>-8600</v>
      </c>
      <c r="AG219" s="417">
        <f t="shared" si="318"/>
        <v>-8600</v>
      </c>
      <c r="AH219" s="417">
        <v>0</v>
      </c>
      <c r="AI219" s="417">
        <v>8600</v>
      </c>
      <c r="AJ219" s="417">
        <v>0</v>
      </c>
      <c r="AK219" s="417">
        <v>0</v>
      </c>
      <c r="AL219" s="417">
        <v>0</v>
      </c>
      <c r="AM219" s="417">
        <f t="shared" si="319"/>
        <v>0</v>
      </c>
      <c r="AN219" s="417">
        <f t="shared" si="320"/>
        <v>8600</v>
      </c>
      <c r="AO219" s="417">
        <f t="shared" si="321"/>
        <v>8600</v>
      </c>
      <c r="AP219" s="417">
        <f t="shared" si="322"/>
        <v>0</v>
      </c>
      <c r="AQ219" s="417">
        <f t="shared" si="323"/>
        <v>0</v>
      </c>
      <c r="AR219" s="417">
        <f t="shared" si="324"/>
        <v>0</v>
      </c>
      <c r="AS219" s="68">
        <f t="shared" si="325"/>
        <v>0</v>
      </c>
      <c r="AT219" s="68">
        <f t="shared" si="326"/>
        <v>-86</v>
      </c>
      <c r="AU219" s="417">
        <v>0</v>
      </c>
      <c r="AV219" s="417">
        <v>0</v>
      </c>
      <c r="AW219" s="417">
        <v>0</v>
      </c>
      <c r="AX219" s="417">
        <f t="shared" si="327"/>
        <v>0</v>
      </c>
      <c r="AY219" s="417">
        <f t="shared" si="328"/>
        <v>-86</v>
      </c>
      <c r="AZ219" s="418">
        <v>0</v>
      </c>
      <c r="BA219" s="418">
        <v>-0.01</v>
      </c>
      <c r="BB219" s="418">
        <v>0</v>
      </c>
      <c r="BC219" s="418">
        <v>0</v>
      </c>
      <c r="BD219" s="418">
        <v>0</v>
      </c>
      <c r="BE219" s="418">
        <v>0</v>
      </c>
      <c r="BF219" s="418">
        <v>0</v>
      </c>
      <c r="BG219" s="418">
        <v>0</v>
      </c>
      <c r="BH219" s="418">
        <v>0</v>
      </c>
      <c r="BI219" s="418">
        <f t="shared" si="329"/>
        <v>0</v>
      </c>
      <c r="BJ219" s="418">
        <f t="shared" si="330"/>
        <v>-0.01</v>
      </c>
      <c r="BK219" s="420">
        <f t="shared" si="331"/>
        <v>-0.01</v>
      </c>
      <c r="BL219" s="772">
        <f>I219+AY219</f>
        <v>326284</v>
      </c>
      <c r="BM219" s="417">
        <f>J219+AG219</f>
        <v>226467</v>
      </c>
      <c r="BN219" s="417">
        <f t="shared" si="345"/>
        <v>0</v>
      </c>
      <c r="BO219" s="417">
        <f t="shared" si="345"/>
        <v>226467</v>
      </c>
      <c r="BP219" s="417">
        <f>M219+AO219</f>
        <v>15000</v>
      </c>
      <c r="BQ219" s="417">
        <f t="shared" si="346"/>
        <v>0</v>
      </c>
      <c r="BR219" s="417">
        <f t="shared" si="346"/>
        <v>15000</v>
      </c>
      <c r="BS219" s="417">
        <f t="shared" si="347"/>
        <v>81616</v>
      </c>
      <c r="BT219" s="417">
        <f t="shared" si="347"/>
        <v>2265</v>
      </c>
      <c r="BU219" s="417">
        <f>R219+AX219</f>
        <v>936</v>
      </c>
      <c r="BV219" s="418">
        <f>S219+BK219</f>
        <v>0.71</v>
      </c>
      <c r="BW219" s="418">
        <f t="shared" si="348"/>
        <v>0</v>
      </c>
      <c r="BX219" s="420">
        <f t="shared" si="348"/>
        <v>0.71</v>
      </c>
      <c r="BY219" s="419"/>
      <c r="BZ219" s="414"/>
      <c r="CA219" s="414"/>
      <c r="CB219" s="414"/>
      <c r="CC219" s="414"/>
      <c r="CD219" s="509"/>
      <c r="CE219" s="419"/>
      <c r="CF219" s="601"/>
      <c r="CG219" s="414"/>
      <c r="CH219" s="414"/>
      <c r="CI219" s="601"/>
      <c r="CJ219" s="603"/>
    </row>
    <row r="220" spans="1:88" s="221" customFormat="1" ht="12.75" customHeight="1">
      <c r="A220" s="155">
        <v>40</v>
      </c>
      <c r="B220" s="18">
        <v>4418</v>
      </c>
      <c r="C220" s="18">
        <v>600074048</v>
      </c>
      <c r="D220" s="18">
        <v>72742411</v>
      </c>
      <c r="E220" s="164" t="s">
        <v>221</v>
      </c>
      <c r="F220" s="18"/>
      <c r="G220" s="154"/>
      <c r="H220" s="608"/>
      <c r="I220" s="451">
        <v>2438515</v>
      </c>
      <c r="J220" s="444">
        <v>1762752</v>
      </c>
      <c r="K220" s="444">
        <v>1389412</v>
      </c>
      <c r="L220" s="444">
        <v>373340</v>
      </c>
      <c r="M220" s="444">
        <v>40500</v>
      </c>
      <c r="N220" s="444">
        <v>9100</v>
      </c>
      <c r="O220" s="444">
        <v>31400</v>
      </c>
      <c r="P220" s="444">
        <v>609499</v>
      </c>
      <c r="Q220" s="444">
        <v>17628</v>
      </c>
      <c r="R220" s="444">
        <v>8136</v>
      </c>
      <c r="S220" s="445">
        <v>3.5305999999999997</v>
      </c>
      <c r="T220" s="445">
        <v>2.3708999999999998</v>
      </c>
      <c r="U220" s="449">
        <v>1.1597</v>
      </c>
      <c r="V220" s="447">
        <f t="shared" ref="V220:CG220" si="349">SUM(V217:V219)</f>
        <v>-6400</v>
      </c>
      <c r="W220" s="444">
        <f t="shared" si="349"/>
        <v>6400</v>
      </c>
      <c r="X220" s="444">
        <f t="shared" si="349"/>
        <v>0</v>
      </c>
      <c r="Y220" s="444">
        <f t="shared" si="349"/>
        <v>0</v>
      </c>
      <c r="Z220" s="444">
        <f t="shared" si="349"/>
        <v>0</v>
      </c>
      <c r="AA220" s="444">
        <f t="shared" si="349"/>
        <v>0</v>
      </c>
      <c r="AB220" s="444">
        <f t="shared" si="349"/>
        <v>0</v>
      </c>
      <c r="AC220" s="444">
        <f t="shared" si="349"/>
        <v>0</v>
      </c>
      <c r="AD220" s="444">
        <f t="shared" si="349"/>
        <v>0</v>
      </c>
      <c r="AE220" s="444">
        <f t="shared" si="349"/>
        <v>-6400</v>
      </c>
      <c r="AF220" s="444">
        <f t="shared" si="349"/>
        <v>6400</v>
      </c>
      <c r="AG220" s="444">
        <f t="shared" si="349"/>
        <v>0</v>
      </c>
      <c r="AH220" s="444">
        <f t="shared" si="349"/>
        <v>6400</v>
      </c>
      <c r="AI220" s="444">
        <f t="shared" si="349"/>
        <v>-6400</v>
      </c>
      <c r="AJ220" s="444">
        <f t="shared" si="349"/>
        <v>0</v>
      </c>
      <c r="AK220" s="444">
        <f t="shared" si="349"/>
        <v>0</v>
      </c>
      <c r="AL220" s="444">
        <f t="shared" si="349"/>
        <v>0</v>
      </c>
      <c r="AM220" s="444">
        <f t="shared" si="349"/>
        <v>6400</v>
      </c>
      <c r="AN220" s="444">
        <f t="shared" si="349"/>
        <v>-6400</v>
      </c>
      <c r="AO220" s="444">
        <f t="shared" si="349"/>
        <v>0</v>
      </c>
      <c r="AP220" s="444">
        <f t="shared" si="349"/>
        <v>0</v>
      </c>
      <c r="AQ220" s="444">
        <f t="shared" si="349"/>
        <v>0</v>
      </c>
      <c r="AR220" s="444">
        <f t="shared" si="349"/>
        <v>0</v>
      </c>
      <c r="AS220" s="444">
        <f t="shared" si="349"/>
        <v>0</v>
      </c>
      <c r="AT220" s="444">
        <f t="shared" si="349"/>
        <v>0</v>
      </c>
      <c r="AU220" s="444">
        <f t="shared" si="349"/>
        <v>0</v>
      </c>
      <c r="AV220" s="444">
        <f t="shared" si="349"/>
        <v>0</v>
      </c>
      <c r="AW220" s="444">
        <f t="shared" si="349"/>
        <v>0</v>
      </c>
      <c r="AX220" s="444">
        <f t="shared" si="349"/>
        <v>0</v>
      </c>
      <c r="AY220" s="444">
        <f t="shared" si="349"/>
        <v>0</v>
      </c>
      <c r="AZ220" s="445">
        <f t="shared" si="349"/>
        <v>0</v>
      </c>
      <c r="BA220" s="445">
        <f t="shared" si="349"/>
        <v>4.9999999999999996E-2</v>
      </c>
      <c r="BB220" s="445">
        <f t="shared" si="349"/>
        <v>0</v>
      </c>
      <c r="BC220" s="445">
        <f t="shared" si="349"/>
        <v>0</v>
      </c>
      <c r="BD220" s="445">
        <f t="shared" si="349"/>
        <v>0</v>
      </c>
      <c r="BE220" s="445">
        <f t="shared" si="349"/>
        <v>0</v>
      </c>
      <c r="BF220" s="445">
        <f t="shared" si="349"/>
        <v>0</v>
      </c>
      <c r="BG220" s="445">
        <f t="shared" si="349"/>
        <v>0</v>
      </c>
      <c r="BH220" s="445">
        <f t="shared" si="349"/>
        <v>0</v>
      </c>
      <c r="BI220" s="445">
        <f t="shared" si="349"/>
        <v>0</v>
      </c>
      <c r="BJ220" s="445">
        <f t="shared" si="349"/>
        <v>4.9999999999999996E-2</v>
      </c>
      <c r="BK220" s="39">
        <f t="shared" si="349"/>
        <v>4.9999999999999996E-2</v>
      </c>
      <c r="BL220" s="451">
        <f t="shared" si="349"/>
        <v>2438515</v>
      </c>
      <c r="BM220" s="444">
        <f t="shared" si="349"/>
        <v>1762752</v>
      </c>
      <c r="BN220" s="444">
        <f t="shared" si="349"/>
        <v>1383012</v>
      </c>
      <c r="BO220" s="444">
        <f t="shared" si="349"/>
        <v>379740</v>
      </c>
      <c r="BP220" s="444">
        <f t="shared" si="349"/>
        <v>40500</v>
      </c>
      <c r="BQ220" s="444">
        <f t="shared" si="349"/>
        <v>15500</v>
      </c>
      <c r="BR220" s="444">
        <f t="shared" si="349"/>
        <v>25000</v>
      </c>
      <c r="BS220" s="444">
        <f t="shared" si="349"/>
        <v>609499</v>
      </c>
      <c r="BT220" s="444">
        <f t="shared" si="349"/>
        <v>17628</v>
      </c>
      <c r="BU220" s="444">
        <f t="shared" si="349"/>
        <v>8136</v>
      </c>
      <c r="BV220" s="445">
        <f t="shared" si="349"/>
        <v>3.5806</v>
      </c>
      <c r="BW220" s="445">
        <f t="shared" si="349"/>
        <v>2.3708999999999998</v>
      </c>
      <c r="BX220" s="39">
        <f t="shared" si="349"/>
        <v>1.2097</v>
      </c>
      <c r="BY220" s="806">
        <f t="shared" si="349"/>
        <v>0</v>
      </c>
      <c r="BZ220" s="709">
        <f t="shared" si="349"/>
        <v>0</v>
      </c>
      <c r="CA220" s="709">
        <f t="shared" si="349"/>
        <v>0</v>
      </c>
      <c r="CB220" s="709">
        <f t="shared" si="349"/>
        <v>0</v>
      </c>
      <c r="CC220" s="709">
        <f t="shared" si="349"/>
        <v>0</v>
      </c>
      <c r="CD220" s="807">
        <f t="shared" si="349"/>
        <v>0</v>
      </c>
      <c r="CE220" s="919">
        <f t="shared" si="349"/>
        <v>73024</v>
      </c>
      <c r="CF220" s="920">
        <f t="shared" si="349"/>
        <v>52396</v>
      </c>
      <c r="CG220" s="920">
        <f t="shared" si="349"/>
        <v>17710</v>
      </c>
      <c r="CH220" s="920">
        <f t="shared" ref="CH220:CJ220" si="350">SUM(CH217:CH219)</f>
        <v>524</v>
      </c>
      <c r="CI220" s="920">
        <f t="shared" si="350"/>
        <v>2394</v>
      </c>
      <c r="CJ220" s="921">
        <f t="shared" si="350"/>
        <v>0.1764</v>
      </c>
    </row>
    <row r="221" spans="1:88" s="221" customFormat="1" ht="12.75" customHeight="1">
      <c r="A221" s="209">
        <v>41</v>
      </c>
      <c r="B221" s="210">
        <v>4432</v>
      </c>
      <c r="C221" s="210">
        <v>600074625</v>
      </c>
      <c r="D221" s="210">
        <v>70695903</v>
      </c>
      <c r="E221" s="208" t="s">
        <v>222</v>
      </c>
      <c r="F221" s="210">
        <v>3111</v>
      </c>
      <c r="G221" s="165" t="s">
        <v>290</v>
      </c>
      <c r="H221" s="621" t="s">
        <v>271</v>
      </c>
      <c r="I221" s="510">
        <v>1808359</v>
      </c>
      <c r="J221" s="414">
        <v>1334688</v>
      </c>
      <c r="K221" s="414">
        <v>1236670</v>
      </c>
      <c r="L221" s="414">
        <v>98018</v>
      </c>
      <c r="M221" s="414">
        <v>0</v>
      </c>
      <c r="N221" s="414">
        <v>0</v>
      </c>
      <c r="O221" s="414">
        <v>0</v>
      </c>
      <c r="P221" s="68">
        <v>451124</v>
      </c>
      <c r="Q221" s="68">
        <v>13347</v>
      </c>
      <c r="R221" s="414">
        <v>9200</v>
      </c>
      <c r="S221" s="415">
        <v>2.5539000000000001</v>
      </c>
      <c r="T221" s="416">
        <v>2.1612</v>
      </c>
      <c r="U221" s="422">
        <v>0.39269999999999999</v>
      </c>
      <c r="V221" s="423">
        <f t="shared" si="314"/>
        <v>0</v>
      </c>
      <c r="W221" s="417">
        <f t="shared" si="315"/>
        <v>0</v>
      </c>
      <c r="X221" s="417">
        <v>0</v>
      </c>
      <c r="Y221" s="417">
        <v>0</v>
      </c>
      <c r="Z221" s="417">
        <v>0</v>
      </c>
      <c r="AA221" s="417">
        <v>0</v>
      </c>
      <c r="AB221" s="417">
        <v>0</v>
      </c>
      <c r="AC221" s="417">
        <v>0</v>
      </c>
      <c r="AD221" s="417">
        <v>0</v>
      </c>
      <c r="AE221" s="417">
        <f t="shared" si="316"/>
        <v>0</v>
      </c>
      <c r="AF221" s="417">
        <f t="shared" si="317"/>
        <v>0</v>
      </c>
      <c r="AG221" s="417">
        <f t="shared" si="318"/>
        <v>0</v>
      </c>
      <c r="AH221" s="417">
        <v>0</v>
      </c>
      <c r="AI221" s="417">
        <v>0</v>
      </c>
      <c r="AJ221" s="417">
        <v>0</v>
      </c>
      <c r="AK221" s="417">
        <v>0</v>
      </c>
      <c r="AL221" s="417">
        <v>0</v>
      </c>
      <c r="AM221" s="417">
        <f t="shared" si="319"/>
        <v>0</v>
      </c>
      <c r="AN221" s="417">
        <f t="shared" si="320"/>
        <v>0</v>
      </c>
      <c r="AO221" s="417">
        <f t="shared" si="321"/>
        <v>0</v>
      </c>
      <c r="AP221" s="417">
        <f t="shared" si="322"/>
        <v>0</v>
      </c>
      <c r="AQ221" s="417">
        <f t="shared" si="323"/>
        <v>0</v>
      </c>
      <c r="AR221" s="417">
        <f t="shared" si="324"/>
        <v>0</v>
      </c>
      <c r="AS221" s="68">
        <f t="shared" si="325"/>
        <v>0</v>
      </c>
      <c r="AT221" s="68">
        <f t="shared" si="326"/>
        <v>0</v>
      </c>
      <c r="AU221" s="417">
        <v>0</v>
      </c>
      <c r="AV221" s="417">
        <v>0</v>
      </c>
      <c r="AW221" s="417">
        <v>0</v>
      </c>
      <c r="AX221" s="417">
        <f t="shared" si="327"/>
        <v>0</v>
      </c>
      <c r="AY221" s="417">
        <f t="shared" si="328"/>
        <v>0</v>
      </c>
      <c r="AZ221" s="418">
        <v>0</v>
      </c>
      <c r="BA221" s="418">
        <v>0</v>
      </c>
      <c r="BB221" s="418">
        <v>0</v>
      </c>
      <c r="BC221" s="418">
        <v>0</v>
      </c>
      <c r="BD221" s="418">
        <v>0</v>
      </c>
      <c r="BE221" s="418">
        <v>0</v>
      </c>
      <c r="BF221" s="418">
        <v>0</v>
      </c>
      <c r="BG221" s="418">
        <v>0</v>
      </c>
      <c r="BH221" s="418">
        <v>0</v>
      </c>
      <c r="BI221" s="418">
        <f t="shared" si="329"/>
        <v>0</v>
      </c>
      <c r="BJ221" s="418">
        <f t="shared" si="330"/>
        <v>0</v>
      </c>
      <c r="BK221" s="420">
        <f t="shared" si="331"/>
        <v>0</v>
      </c>
      <c r="BL221" s="772">
        <f t="shared" ref="BL221:BL226" si="351">I221+AY221</f>
        <v>1808359</v>
      </c>
      <c r="BM221" s="417">
        <f t="shared" ref="BM221:BM226" si="352">J221+AG221</f>
        <v>1334688</v>
      </c>
      <c r="BN221" s="417">
        <f t="shared" ref="BN221:BO226" si="353">K221+AE221</f>
        <v>1236670</v>
      </c>
      <c r="BO221" s="417">
        <f t="shared" si="353"/>
        <v>98018</v>
      </c>
      <c r="BP221" s="417">
        <f t="shared" ref="BP221:BP226" si="354">M221+AO221</f>
        <v>0</v>
      </c>
      <c r="BQ221" s="417">
        <f t="shared" ref="BQ221:BR226" si="355">N221+AM221</f>
        <v>0</v>
      </c>
      <c r="BR221" s="417">
        <f t="shared" si="355"/>
        <v>0</v>
      </c>
      <c r="BS221" s="417">
        <f t="shared" ref="BS221:BT226" si="356">P221+AS221</f>
        <v>451124</v>
      </c>
      <c r="BT221" s="417">
        <f t="shared" si="356"/>
        <v>13347</v>
      </c>
      <c r="BU221" s="417">
        <f t="shared" ref="BU221:BU226" si="357">R221+AX221</f>
        <v>9200</v>
      </c>
      <c r="BV221" s="418">
        <f t="shared" ref="BV221:BV226" si="358">S221+BK221</f>
        <v>2.5539000000000001</v>
      </c>
      <c r="BW221" s="418">
        <f t="shared" ref="BW221:BX226" si="359">T221+BI221</f>
        <v>2.1612</v>
      </c>
      <c r="BX221" s="420">
        <f t="shared" si="359"/>
        <v>0.39269999999999999</v>
      </c>
      <c r="BY221" s="419"/>
      <c r="BZ221" s="414"/>
      <c r="CA221" s="414"/>
      <c r="CB221" s="414"/>
      <c r="CC221" s="414"/>
      <c r="CD221" s="509"/>
      <c r="CE221" s="419">
        <v>45454</v>
      </c>
      <c r="CF221" s="414">
        <v>31450</v>
      </c>
      <c r="CG221" s="414">
        <v>10630</v>
      </c>
      <c r="CH221" s="414">
        <v>315</v>
      </c>
      <c r="CI221" s="414">
        <v>3059</v>
      </c>
      <c r="CJ221" s="509">
        <v>0.126</v>
      </c>
    </row>
    <row r="222" spans="1:88" s="221" customFormat="1" ht="12.75" customHeight="1">
      <c r="A222" s="209">
        <v>41</v>
      </c>
      <c r="B222" s="210">
        <v>4432</v>
      </c>
      <c r="C222" s="210">
        <v>600074625</v>
      </c>
      <c r="D222" s="210">
        <v>70695903</v>
      </c>
      <c r="E222" s="208" t="s">
        <v>222</v>
      </c>
      <c r="F222" s="210">
        <v>3117</v>
      </c>
      <c r="G222" s="165" t="s">
        <v>293</v>
      </c>
      <c r="H222" s="621" t="s">
        <v>271</v>
      </c>
      <c r="I222" s="510">
        <v>3459099</v>
      </c>
      <c r="J222" s="414">
        <v>2529987</v>
      </c>
      <c r="K222" s="414">
        <v>2122282</v>
      </c>
      <c r="L222" s="414">
        <v>407705</v>
      </c>
      <c r="M222" s="414">
        <v>0</v>
      </c>
      <c r="N222" s="414">
        <v>0</v>
      </c>
      <c r="O222" s="414">
        <v>0</v>
      </c>
      <c r="P222" s="68">
        <v>855136</v>
      </c>
      <c r="Q222" s="68">
        <v>25301</v>
      </c>
      <c r="R222" s="414">
        <v>48675</v>
      </c>
      <c r="S222" s="415">
        <v>4.2834000000000003</v>
      </c>
      <c r="T222" s="416">
        <v>3.2351000000000001</v>
      </c>
      <c r="U222" s="422">
        <v>1.0483</v>
      </c>
      <c r="V222" s="423">
        <f t="shared" si="314"/>
        <v>0</v>
      </c>
      <c r="W222" s="417">
        <f t="shared" si="315"/>
        <v>0</v>
      </c>
      <c r="X222" s="417">
        <v>0</v>
      </c>
      <c r="Y222" s="417">
        <v>0</v>
      </c>
      <c r="Z222" s="417">
        <v>0</v>
      </c>
      <c r="AA222" s="417">
        <v>0</v>
      </c>
      <c r="AB222" s="417">
        <v>0</v>
      </c>
      <c r="AC222" s="417">
        <v>0</v>
      </c>
      <c r="AD222" s="417">
        <v>0</v>
      </c>
      <c r="AE222" s="417">
        <f t="shared" si="316"/>
        <v>0</v>
      </c>
      <c r="AF222" s="417">
        <f t="shared" si="317"/>
        <v>0</v>
      </c>
      <c r="AG222" s="417">
        <f t="shared" si="318"/>
        <v>0</v>
      </c>
      <c r="AH222" s="417">
        <v>0</v>
      </c>
      <c r="AI222" s="417">
        <v>0</v>
      </c>
      <c r="AJ222" s="417">
        <v>0</v>
      </c>
      <c r="AK222" s="417">
        <v>0</v>
      </c>
      <c r="AL222" s="417">
        <v>0</v>
      </c>
      <c r="AM222" s="417">
        <f t="shared" si="319"/>
        <v>0</v>
      </c>
      <c r="AN222" s="417">
        <f t="shared" si="320"/>
        <v>0</v>
      </c>
      <c r="AO222" s="417">
        <f t="shared" si="321"/>
        <v>0</v>
      </c>
      <c r="AP222" s="417">
        <f t="shared" si="322"/>
        <v>0</v>
      </c>
      <c r="AQ222" s="417">
        <f t="shared" si="323"/>
        <v>0</v>
      </c>
      <c r="AR222" s="417">
        <f t="shared" si="324"/>
        <v>0</v>
      </c>
      <c r="AS222" s="68">
        <f t="shared" si="325"/>
        <v>0</v>
      </c>
      <c r="AT222" s="68">
        <f t="shared" si="326"/>
        <v>0</v>
      </c>
      <c r="AU222" s="417">
        <v>0</v>
      </c>
      <c r="AV222" s="417">
        <v>0</v>
      </c>
      <c r="AW222" s="417">
        <v>0</v>
      </c>
      <c r="AX222" s="417">
        <f t="shared" si="327"/>
        <v>0</v>
      </c>
      <c r="AY222" s="417">
        <f t="shared" si="328"/>
        <v>0</v>
      </c>
      <c r="AZ222" s="418">
        <v>0</v>
      </c>
      <c r="BA222" s="418">
        <v>0</v>
      </c>
      <c r="BB222" s="418">
        <v>0</v>
      </c>
      <c r="BC222" s="418">
        <v>0</v>
      </c>
      <c r="BD222" s="418">
        <v>0</v>
      </c>
      <c r="BE222" s="418">
        <v>0</v>
      </c>
      <c r="BF222" s="418">
        <v>0</v>
      </c>
      <c r="BG222" s="418">
        <v>0</v>
      </c>
      <c r="BH222" s="418">
        <v>0</v>
      </c>
      <c r="BI222" s="418">
        <f t="shared" si="329"/>
        <v>0</v>
      </c>
      <c r="BJ222" s="418">
        <f t="shared" si="330"/>
        <v>0</v>
      </c>
      <c r="BK222" s="420">
        <f t="shared" si="331"/>
        <v>0</v>
      </c>
      <c r="BL222" s="772">
        <f t="shared" si="351"/>
        <v>3459099</v>
      </c>
      <c r="BM222" s="417">
        <f t="shared" si="352"/>
        <v>2529987</v>
      </c>
      <c r="BN222" s="417">
        <f t="shared" si="353"/>
        <v>2122282</v>
      </c>
      <c r="BO222" s="417">
        <f t="shared" si="353"/>
        <v>407705</v>
      </c>
      <c r="BP222" s="417">
        <f t="shared" si="354"/>
        <v>0</v>
      </c>
      <c r="BQ222" s="417">
        <f t="shared" si="355"/>
        <v>0</v>
      </c>
      <c r="BR222" s="417">
        <f t="shared" si="355"/>
        <v>0</v>
      </c>
      <c r="BS222" s="417">
        <f t="shared" si="356"/>
        <v>855136</v>
      </c>
      <c r="BT222" s="417">
        <f t="shared" si="356"/>
        <v>25301</v>
      </c>
      <c r="BU222" s="417">
        <f t="shared" si="357"/>
        <v>48675</v>
      </c>
      <c r="BV222" s="418">
        <f t="shared" si="358"/>
        <v>4.2834000000000003</v>
      </c>
      <c r="BW222" s="418">
        <f t="shared" si="359"/>
        <v>3.2351000000000001</v>
      </c>
      <c r="BX222" s="420">
        <f t="shared" si="359"/>
        <v>1.0483</v>
      </c>
      <c r="BY222" s="419"/>
      <c r="BZ222" s="414"/>
      <c r="CA222" s="414"/>
      <c r="CB222" s="414"/>
      <c r="CC222" s="414"/>
      <c r="CD222" s="509"/>
      <c r="CE222" s="414">
        <v>184929</v>
      </c>
      <c r="CF222" s="414">
        <v>130872</v>
      </c>
      <c r="CG222" s="414">
        <v>44235</v>
      </c>
      <c r="CH222" s="414">
        <v>1308</v>
      </c>
      <c r="CI222" s="414">
        <v>8514</v>
      </c>
      <c r="CJ222" s="509">
        <v>0.33650000000000002</v>
      </c>
    </row>
    <row r="223" spans="1:88" s="221" customFormat="1" ht="12.75" customHeight="1">
      <c r="A223" s="209">
        <v>41</v>
      </c>
      <c r="B223" s="210">
        <v>4432</v>
      </c>
      <c r="C223" s="210">
        <v>600074625</v>
      </c>
      <c r="D223" s="210">
        <v>70695903</v>
      </c>
      <c r="E223" s="208" t="s">
        <v>222</v>
      </c>
      <c r="F223" s="210">
        <v>3117</v>
      </c>
      <c r="G223" s="165" t="s">
        <v>291</v>
      </c>
      <c r="H223" s="621" t="s">
        <v>272</v>
      </c>
      <c r="I223" s="510">
        <v>1657122</v>
      </c>
      <c r="J223" s="414">
        <v>1227093</v>
      </c>
      <c r="K223" s="414">
        <v>1227093</v>
      </c>
      <c r="L223" s="414">
        <v>0</v>
      </c>
      <c r="M223" s="414">
        <v>0</v>
      </c>
      <c r="N223" s="414">
        <v>0</v>
      </c>
      <c r="O223" s="414">
        <v>0</v>
      </c>
      <c r="P223" s="68">
        <v>414758</v>
      </c>
      <c r="Q223" s="68">
        <v>12271</v>
      </c>
      <c r="R223" s="414">
        <v>3000</v>
      </c>
      <c r="S223" s="415">
        <v>3.5100000000000002</v>
      </c>
      <c r="T223" s="416">
        <v>3.5100000000000002</v>
      </c>
      <c r="U223" s="422">
        <v>0</v>
      </c>
      <c r="V223" s="423">
        <f t="shared" si="314"/>
        <v>0</v>
      </c>
      <c r="W223" s="417">
        <f t="shared" si="315"/>
        <v>0</v>
      </c>
      <c r="X223" s="417">
        <v>0</v>
      </c>
      <c r="Y223" s="417">
        <v>0</v>
      </c>
      <c r="Z223" s="417">
        <v>0</v>
      </c>
      <c r="AA223" s="417">
        <v>0</v>
      </c>
      <c r="AB223" s="417">
        <v>0</v>
      </c>
      <c r="AC223" s="417">
        <v>0</v>
      </c>
      <c r="AD223" s="417">
        <v>0</v>
      </c>
      <c r="AE223" s="417">
        <f t="shared" si="316"/>
        <v>0</v>
      </c>
      <c r="AF223" s="417">
        <f t="shared" si="317"/>
        <v>0</v>
      </c>
      <c r="AG223" s="417">
        <f t="shared" si="318"/>
        <v>0</v>
      </c>
      <c r="AH223" s="417">
        <v>0</v>
      </c>
      <c r="AI223" s="417">
        <v>0</v>
      </c>
      <c r="AJ223" s="417">
        <v>0</v>
      </c>
      <c r="AK223" s="417">
        <v>0</v>
      </c>
      <c r="AL223" s="417">
        <v>0</v>
      </c>
      <c r="AM223" s="417">
        <f t="shared" si="319"/>
        <v>0</v>
      </c>
      <c r="AN223" s="417">
        <f t="shared" si="320"/>
        <v>0</v>
      </c>
      <c r="AO223" s="417">
        <f t="shared" si="321"/>
        <v>0</v>
      </c>
      <c r="AP223" s="417">
        <f t="shared" si="322"/>
        <v>0</v>
      </c>
      <c r="AQ223" s="417">
        <f t="shared" si="323"/>
        <v>0</v>
      </c>
      <c r="AR223" s="417">
        <f t="shared" si="324"/>
        <v>0</v>
      </c>
      <c r="AS223" s="68">
        <f t="shared" si="325"/>
        <v>0</v>
      </c>
      <c r="AT223" s="68">
        <f t="shared" si="326"/>
        <v>0</v>
      </c>
      <c r="AU223" s="417">
        <v>0</v>
      </c>
      <c r="AV223" s="417">
        <v>0</v>
      </c>
      <c r="AW223" s="417">
        <v>0</v>
      </c>
      <c r="AX223" s="417">
        <f t="shared" si="327"/>
        <v>0</v>
      </c>
      <c r="AY223" s="417">
        <f t="shared" si="328"/>
        <v>0</v>
      </c>
      <c r="AZ223" s="418">
        <v>0</v>
      </c>
      <c r="BA223" s="418">
        <v>0</v>
      </c>
      <c r="BB223" s="418">
        <v>0</v>
      </c>
      <c r="BC223" s="418">
        <v>0</v>
      </c>
      <c r="BD223" s="418">
        <v>0</v>
      </c>
      <c r="BE223" s="418">
        <v>0</v>
      </c>
      <c r="BF223" s="418">
        <v>0</v>
      </c>
      <c r="BG223" s="418">
        <v>0</v>
      </c>
      <c r="BH223" s="418">
        <v>0</v>
      </c>
      <c r="BI223" s="418">
        <f t="shared" si="329"/>
        <v>0</v>
      </c>
      <c r="BJ223" s="418">
        <f t="shared" si="330"/>
        <v>0</v>
      </c>
      <c r="BK223" s="420">
        <f t="shared" si="331"/>
        <v>0</v>
      </c>
      <c r="BL223" s="772">
        <f t="shared" si="351"/>
        <v>1657122</v>
      </c>
      <c r="BM223" s="417">
        <f t="shared" si="352"/>
        <v>1227093</v>
      </c>
      <c r="BN223" s="417">
        <f t="shared" si="353"/>
        <v>1227093</v>
      </c>
      <c r="BO223" s="417">
        <f t="shared" si="353"/>
        <v>0</v>
      </c>
      <c r="BP223" s="417">
        <f t="shared" si="354"/>
        <v>0</v>
      </c>
      <c r="BQ223" s="417">
        <f t="shared" si="355"/>
        <v>0</v>
      </c>
      <c r="BR223" s="417">
        <f t="shared" si="355"/>
        <v>0</v>
      </c>
      <c r="BS223" s="417">
        <f t="shared" si="356"/>
        <v>414758</v>
      </c>
      <c r="BT223" s="417">
        <f t="shared" si="356"/>
        <v>12271</v>
      </c>
      <c r="BU223" s="417">
        <f t="shared" si="357"/>
        <v>3000</v>
      </c>
      <c r="BV223" s="418">
        <f t="shared" si="358"/>
        <v>3.5100000000000002</v>
      </c>
      <c r="BW223" s="418">
        <f t="shared" si="359"/>
        <v>3.5100000000000002</v>
      </c>
      <c r="BX223" s="420">
        <f t="shared" si="359"/>
        <v>0</v>
      </c>
      <c r="BY223" s="419"/>
      <c r="BZ223" s="414"/>
      <c r="CA223" s="414"/>
      <c r="CB223" s="414"/>
      <c r="CC223" s="414"/>
      <c r="CD223" s="509"/>
      <c r="CE223" s="419"/>
      <c r="CF223" s="414"/>
      <c r="CG223" s="414"/>
      <c r="CH223" s="414"/>
      <c r="CI223" s="414"/>
      <c r="CJ223" s="509"/>
    </row>
    <row r="224" spans="1:88" s="221" customFormat="1" ht="12.75" customHeight="1">
      <c r="A224" s="209">
        <v>41</v>
      </c>
      <c r="B224" s="210">
        <v>4432</v>
      </c>
      <c r="C224" s="210">
        <v>600074625</v>
      </c>
      <c r="D224" s="210">
        <v>70695903</v>
      </c>
      <c r="E224" s="208" t="s">
        <v>222</v>
      </c>
      <c r="F224" s="210">
        <v>3141</v>
      </c>
      <c r="G224" s="165" t="s">
        <v>294</v>
      </c>
      <c r="H224" s="621" t="s">
        <v>272</v>
      </c>
      <c r="I224" s="510">
        <v>792711</v>
      </c>
      <c r="J224" s="414">
        <v>585904</v>
      </c>
      <c r="K224" s="414">
        <v>0</v>
      </c>
      <c r="L224" s="414">
        <v>585904</v>
      </c>
      <c r="M224" s="414">
        <v>0</v>
      </c>
      <c r="N224" s="414">
        <v>0</v>
      </c>
      <c r="O224" s="414">
        <v>0</v>
      </c>
      <c r="P224" s="68">
        <v>198036</v>
      </c>
      <c r="Q224" s="68">
        <v>5859</v>
      </c>
      <c r="R224" s="414">
        <v>2912</v>
      </c>
      <c r="S224" s="415">
        <v>1.7599999999999998</v>
      </c>
      <c r="T224" s="416">
        <v>0</v>
      </c>
      <c r="U224" s="422">
        <v>1.7599999999999998</v>
      </c>
      <c r="V224" s="423">
        <f t="shared" si="314"/>
        <v>0</v>
      </c>
      <c r="W224" s="417">
        <f t="shared" si="315"/>
        <v>0</v>
      </c>
      <c r="X224" s="417">
        <v>0</v>
      </c>
      <c r="Y224" s="417">
        <v>0</v>
      </c>
      <c r="Z224" s="417">
        <v>0</v>
      </c>
      <c r="AA224" s="417">
        <v>7565</v>
      </c>
      <c r="AB224" s="417">
        <v>0</v>
      </c>
      <c r="AC224" s="417">
        <v>0</v>
      </c>
      <c r="AD224" s="417">
        <v>0</v>
      </c>
      <c r="AE224" s="417">
        <f t="shared" si="316"/>
        <v>0</v>
      </c>
      <c r="AF224" s="417">
        <f t="shared" si="317"/>
        <v>7565</v>
      </c>
      <c r="AG224" s="417">
        <f t="shared" si="318"/>
        <v>7565</v>
      </c>
      <c r="AH224" s="417">
        <v>0</v>
      </c>
      <c r="AI224" s="417">
        <v>0</v>
      </c>
      <c r="AJ224" s="417">
        <v>0</v>
      </c>
      <c r="AK224" s="417">
        <v>0</v>
      </c>
      <c r="AL224" s="417">
        <v>0</v>
      </c>
      <c r="AM224" s="417">
        <f t="shared" si="319"/>
        <v>0</v>
      </c>
      <c r="AN224" s="417">
        <f t="shared" si="320"/>
        <v>0</v>
      </c>
      <c r="AO224" s="417">
        <f t="shared" si="321"/>
        <v>0</v>
      </c>
      <c r="AP224" s="417">
        <f t="shared" si="322"/>
        <v>0</v>
      </c>
      <c r="AQ224" s="417">
        <f t="shared" si="323"/>
        <v>7565</v>
      </c>
      <c r="AR224" s="417">
        <f t="shared" si="324"/>
        <v>7565</v>
      </c>
      <c r="AS224" s="68">
        <f t="shared" si="325"/>
        <v>2557</v>
      </c>
      <c r="AT224" s="68">
        <f t="shared" si="326"/>
        <v>76</v>
      </c>
      <c r="AU224" s="417">
        <v>0</v>
      </c>
      <c r="AV224" s="417">
        <v>0</v>
      </c>
      <c r="AW224" s="417">
        <v>0</v>
      </c>
      <c r="AX224" s="417">
        <f t="shared" si="327"/>
        <v>0</v>
      </c>
      <c r="AY224" s="417">
        <f t="shared" si="328"/>
        <v>10198</v>
      </c>
      <c r="AZ224" s="418">
        <v>0</v>
      </c>
      <c r="BA224" s="418">
        <v>0</v>
      </c>
      <c r="BB224" s="418">
        <v>0</v>
      </c>
      <c r="BC224" s="418">
        <v>0</v>
      </c>
      <c r="BD224" s="418">
        <v>0.02</v>
      </c>
      <c r="BE224" s="418">
        <v>0</v>
      </c>
      <c r="BF224" s="418">
        <v>0</v>
      </c>
      <c r="BG224" s="418">
        <v>0</v>
      </c>
      <c r="BH224" s="418">
        <v>0</v>
      </c>
      <c r="BI224" s="418">
        <f t="shared" si="329"/>
        <v>0</v>
      </c>
      <c r="BJ224" s="418">
        <f t="shared" si="330"/>
        <v>0.02</v>
      </c>
      <c r="BK224" s="420">
        <f t="shared" si="331"/>
        <v>0.02</v>
      </c>
      <c r="BL224" s="772">
        <f t="shared" si="351"/>
        <v>802909</v>
      </c>
      <c r="BM224" s="417">
        <f t="shared" si="352"/>
        <v>593469</v>
      </c>
      <c r="BN224" s="417">
        <f t="shared" si="353"/>
        <v>0</v>
      </c>
      <c r="BO224" s="417">
        <f t="shared" si="353"/>
        <v>593469</v>
      </c>
      <c r="BP224" s="417">
        <f t="shared" si="354"/>
        <v>0</v>
      </c>
      <c r="BQ224" s="417">
        <f t="shared" si="355"/>
        <v>0</v>
      </c>
      <c r="BR224" s="417">
        <f t="shared" si="355"/>
        <v>0</v>
      </c>
      <c r="BS224" s="417">
        <f t="shared" si="356"/>
        <v>200593</v>
      </c>
      <c r="BT224" s="417">
        <f t="shared" si="356"/>
        <v>5935</v>
      </c>
      <c r="BU224" s="417">
        <f t="shared" si="357"/>
        <v>2912</v>
      </c>
      <c r="BV224" s="418">
        <f t="shared" si="358"/>
        <v>1.7799999999999998</v>
      </c>
      <c r="BW224" s="418">
        <f t="shared" si="359"/>
        <v>0</v>
      </c>
      <c r="BX224" s="420">
        <f t="shared" si="359"/>
        <v>1.7799999999999998</v>
      </c>
      <c r="BY224" s="419"/>
      <c r="BZ224" s="414"/>
      <c r="CA224" s="414"/>
      <c r="CB224" s="414"/>
      <c r="CC224" s="414"/>
      <c r="CD224" s="509"/>
      <c r="CE224" s="419"/>
      <c r="CF224" s="601"/>
      <c r="CG224" s="414"/>
      <c r="CH224" s="414"/>
      <c r="CI224" s="601"/>
      <c r="CJ224" s="603"/>
    </row>
    <row r="225" spans="1:88" s="221" customFormat="1" ht="12.75" customHeight="1">
      <c r="A225" s="209">
        <v>41</v>
      </c>
      <c r="B225" s="210">
        <v>4432</v>
      </c>
      <c r="C225" s="210">
        <v>600074625</v>
      </c>
      <c r="D225" s="210">
        <v>70695903</v>
      </c>
      <c r="E225" s="208" t="s">
        <v>222</v>
      </c>
      <c r="F225" s="210">
        <v>3143</v>
      </c>
      <c r="G225" s="165" t="s">
        <v>595</v>
      </c>
      <c r="H225" s="609" t="s">
        <v>271</v>
      </c>
      <c r="I225" s="510">
        <v>797668</v>
      </c>
      <c r="J225" s="414">
        <v>591742</v>
      </c>
      <c r="K225" s="414">
        <v>591742</v>
      </c>
      <c r="L225" s="414">
        <v>0</v>
      </c>
      <c r="M225" s="414">
        <v>0</v>
      </c>
      <c r="N225" s="414">
        <v>0</v>
      </c>
      <c r="O225" s="414">
        <v>0</v>
      </c>
      <c r="P225" s="68">
        <v>200009</v>
      </c>
      <c r="Q225" s="68">
        <v>5917</v>
      </c>
      <c r="R225" s="414">
        <v>0</v>
      </c>
      <c r="S225" s="415">
        <v>1.2000999999999999</v>
      </c>
      <c r="T225" s="416">
        <v>1.2000999999999999</v>
      </c>
      <c r="U225" s="422">
        <v>0</v>
      </c>
      <c r="V225" s="423">
        <f t="shared" si="314"/>
        <v>0</v>
      </c>
      <c r="W225" s="417">
        <f t="shared" si="315"/>
        <v>0</v>
      </c>
      <c r="X225" s="417">
        <v>0</v>
      </c>
      <c r="Y225" s="417">
        <v>0</v>
      </c>
      <c r="Z225" s="417">
        <v>0</v>
      </c>
      <c r="AA225" s="417">
        <v>0</v>
      </c>
      <c r="AB225" s="417">
        <v>0</v>
      </c>
      <c r="AC225" s="417">
        <v>0</v>
      </c>
      <c r="AD225" s="417">
        <v>0</v>
      </c>
      <c r="AE225" s="417">
        <f t="shared" si="316"/>
        <v>0</v>
      </c>
      <c r="AF225" s="417">
        <f t="shared" si="317"/>
        <v>0</v>
      </c>
      <c r="AG225" s="417">
        <f t="shared" si="318"/>
        <v>0</v>
      </c>
      <c r="AH225" s="417">
        <v>0</v>
      </c>
      <c r="AI225" s="417">
        <v>0</v>
      </c>
      <c r="AJ225" s="417">
        <v>0</v>
      </c>
      <c r="AK225" s="417">
        <v>0</v>
      </c>
      <c r="AL225" s="417">
        <v>0</v>
      </c>
      <c r="AM225" s="417">
        <f t="shared" si="319"/>
        <v>0</v>
      </c>
      <c r="AN225" s="417">
        <f t="shared" si="320"/>
        <v>0</v>
      </c>
      <c r="AO225" s="417">
        <f t="shared" si="321"/>
        <v>0</v>
      </c>
      <c r="AP225" s="417">
        <f t="shared" si="322"/>
        <v>0</v>
      </c>
      <c r="AQ225" s="417">
        <f t="shared" si="323"/>
        <v>0</v>
      </c>
      <c r="AR225" s="417">
        <f t="shared" si="324"/>
        <v>0</v>
      </c>
      <c r="AS225" s="68">
        <f t="shared" si="325"/>
        <v>0</v>
      </c>
      <c r="AT225" s="68">
        <f t="shared" si="326"/>
        <v>0</v>
      </c>
      <c r="AU225" s="417">
        <v>0</v>
      </c>
      <c r="AV225" s="417">
        <v>0</v>
      </c>
      <c r="AW225" s="417">
        <v>0</v>
      </c>
      <c r="AX225" s="417">
        <f t="shared" si="327"/>
        <v>0</v>
      </c>
      <c r="AY225" s="417">
        <f t="shared" si="328"/>
        <v>0</v>
      </c>
      <c r="AZ225" s="418">
        <v>0</v>
      </c>
      <c r="BA225" s="418">
        <v>0</v>
      </c>
      <c r="BB225" s="418">
        <v>0</v>
      </c>
      <c r="BC225" s="418">
        <v>0</v>
      </c>
      <c r="BD225" s="418">
        <v>0</v>
      </c>
      <c r="BE225" s="418">
        <v>0</v>
      </c>
      <c r="BF225" s="418">
        <v>0</v>
      </c>
      <c r="BG225" s="418">
        <v>0</v>
      </c>
      <c r="BH225" s="418">
        <v>0</v>
      </c>
      <c r="BI225" s="418">
        <f t="shared" si="329"/>
        <v>0</v>
      </c>
      <c r="BJ225" s="418">
        <f t="shared" si="330"/>
        <v>0</v>
      </c>
      <c r="BK225" s="420">
        <f t="shared" si="331"/>
        <v>0</v>
      </c>
      <c r="BL225" s="772">
        <f t="shared" si="351"/>
        <v>797668</v>
      </c>
      <c r="BM225" s="417">
        <f t="shared" si="352"/>
        <v>591742</v>
      </c>
      <c r="BN225" s="417">
        <f t="shared" si="353"/>
        <v>591742</v>
      </c>
      <c r="BO225" s="417">
        <f t="shared" si="353"/>
        <v>0</v>
      </c>
      <c r="BP225" s="417">
        <f t="shared" si="354"/>
        <v>0</v>
      </c>
      <c r="BQ225" s="417">
        <f t="shared" si="355"/>
        <v>0</v>
      </c>
      <c r="BR225" s="417">
        <f t="shared" si="355"/>
        <v>0</v>
      </c>
      <c r="BS225" s="417">
        <f t="shared" si="356"/>
        <v>200009</v>
      </c>
      <c r="BT225" s="417">
        <f t="shared" si="356"/>
        <v>5917</v>
      </c>
      <c r="BU225" s="417">
        <f t="shared" si="357"/>
        <v>0</v>
      </c>
      <c r="BV225" s="418">
        <f t="shared" si="358"/>
        <v>1.2000999999999999</v>
      </c>
      <c r="BW225" s="418">
        <f t="shared" si="359"/>
        <v>1.2000999999999999</v>
      </c>
      <c r="BX225" s="420">
        <f t="shared" si="359"/>
        <v>0</v>
      </c>
      <c r="BY225" s="419"/>
      <c r="BZ225" s="414"/>
      <c r="CA225" s="414"/>
      <c r="CB225" s="414"/>
      <c r="CC225" s="414"/>
      <c r="CD225" s="509"/>
      <c r="CE225" s="419"/>
      <c r="CF225" s="414"/>
      <c r="CG225" s="414"/>
      <c r="CH225" s="414"/>
      <c r="CI225" s="414"/>
      <c r="CJ225" s="509"/>
    </row>
    <row r="226" spans="1:88" s="221" customFormat="1" ht="12.75" customHeight="1">
      <c r="A226" s="209">
        <v>41</v>
      </c>
      <c r="B226" s="210">
        <v>4432</v>
      </c>
      <c r="C226" s="210">
        <v>600074625</v>
      </c>
      <c r="D226" s="210">
        <v>70695903</v>
      </c>
      <c r="E226" s="208" t="s">
        <v>222</v>
      </c>
      <c r="F226" s="210">
        <v>3143</v>
      </c>
      <c r="G226" s="165" t="s">
        <v>596</v>
      </c>
      <c r="H226" s="609" t="s">
        <v>272</v>
      </c>
      <c r="I226" s="510">
        <v>15368</v>
      </c>
      <c r="J226" s="414">
        <v>11000</v>
      </c>
      <c r="K226" s="414">
        <v>0</v>
      </c>
      <c r="L226" s="414">
        <v>11000</v>
      </c>
      <c r="M226" s="414">
        <v>0</v>
      </c>
      <c r="N226" s="414">
        <v>0</v>
      </c>
      <c r="O226" s="414">
        <v>0</v>
      </c>
      <c r="P226" s="68">
        <v>3718</v>
      </c>
      <c r="Q226" s="68">
        <v>110</v>
      </c>
      <c r="R226" s="414">
        <v>540</v>
      </c>
      <c r="S226" s="415">
        <v>0.04</v>
      </c>
      <c r="T226" s="416">
        <v>0</v>
      </c>
      <c r="U226" s="422">
        <v>0.04</v>
      </c>
      <c r="V226" s="423">
        <f t="shared" si="314"/>
        <v>0</v>
      </c>
      <c r="W226" s="417">
        <f t="shared" si="315"/>
        <v>0</v>
      </c>
      <c r="X226" s="417">
        <v>0</v>
      </c>
      <c r="Y226" s="417">
        <v>0</v>
      </c>
      <c r="Z226" s="417">
        <v>0</v>
      </c>
      <c r="AA226" s="417">
        <v>0</v>
      </c>
      <c r="AB226" s="417">
        <v>0</v>
      </c>
      <c r="AC226" s="417">
        <v>0</v>
      </c>
      <c r="AD226" s="417">
        <v>0</v>
      </c>
      <c r="AE226" s="417">
        <f t="shared" si="316"/>
        <v>0</v>
      </c>
      <c r="AF226" s="417">
        <f t="shared" si="317"/>
        <v>0</v>
      </c>
      <c r="AG226" s="417">
        <f t="shared" si="318"/>
        <v>0</v>
      </c>
      <c r="AH226" s="417">
        <v>0</v>
      </c>
      <c r="AI226" s="417">
        <v>0</v>
      </c>
      <c r="AJ226" s="417">
        <v>0</v>
      </c>
      <c r="AK226" s="417">
        <v>0</v>
      </c>
      <c r="AL226" s="417">
        <v>0</v>
      </c>
      <c r="AM226" s="417">
        <f t="shared" si="319"/>
        <v>0</v>
      </c>
      <c r="AN226" s="417">
        <f t="shared" si="320"/>
        <v>0</v>
      </c>
      <c r="AO226" s="417">
        <f t="shared" si="321"/>
        <v>0</v>
      </c>
      <c r="AP226" s="417">
        <f t="shared" si="322"/>
        <v>0</v>
      </c>
      <c r="AQ226" s="417">
        <f t="shared" si="323"/>
        <v>0</v>
      </c>
      <c r="AR226" s="417">
        <f t="shared" si="324"/>
        <v>0</v>
      </c>
      <c r="AS226" s="68">
        <f t="shared" si="325"/>
        <v>0</v>
      </c>
      <c r="AT226" s="68">
        <f t="shared" si="326"/>
        <v>0</v>
      </c>
      <c r="AU226" s="417">
        <v>0</v>
      </c>
      <c r="AV226" s="417">
        <v>0</v>
      </c>
      <c r="AW226" s="417">
        <v>0</v>
      </c>
      <c r="AX226" s="417">
        <f t="shared" si="327"/>
        <v>0</v>
      </c>
      <c r="AY226" s="417">
        <f t="shared" si="328"/>
        <v>0</v>
      </c>
      <c r="AZ226" s="418">
        <v>0</v>
      </c>
      <c r="BA226" s="418">
        <v>0</v>
      </c>
      <c r="BB226" s="418">
        <v>0</v>
      </c>
      <c r="BC226" s="418">
        <v>0</v>
      </c>
      <c r="BD226" s="418">
        <v>0</v>
      </c>
      <c r="BE226" s="418">
        <v>0</v>
      </c>
      <c r="BF226" s="418">
        <v>0</v>
      </c>
      <c r="BG226" s="418">
        <v>0</v>
      </c>
      <c r="BH226" s="418">
        <v>0</v>
      </c>
      <c r="BI226" s="418">
        <f t="shared" si="329"/>
        <v>0</v>
      </c>
      <c r="BJ226" s="418">
        <f t="shared" si="330"/>
        <v>0</v>
      </c>
      <c r="BK226" s="420">
        <f t="shared" si="331"/>
        <v>0</v>
      </c>
      <c r="BL226" s="772">
        <f t="shared" si="351"/>
        <v>15368</v>
      </c>
      <c r="BM226" s="417">
        <f t="shared" si="352"/>
        <v>11000</v>
      </c>
      <c r="BN226" s="417">
        <f t="shared" si="353"/>
        <v>0</v>
      </c>
      <c r="BO226" s="417">
        <f t="shared" si="353"/>
        <v>11000</v>
      </c>
      <c r="BP226" s="417">
        <f t="shared" si="354"/>
        <v>0</v>
      </c>
      <c r="BQ226" s="417">
        <f t="shared" si="355"/>
        <v>0</v>
      </c>
      <c r="BR226" s="417">
        <f t="shared" si="355"/>
        <v>0</v>
      </c>
      <c r="BS226" s="417">
        <f t="shared" si="356"/>
        <v>3718</v>
      </c>
      <c r="BT226" s="417">
        <f t="shared" si="356"/>
        <v>110</v>
      </c>
      <c r="BU226" s="417">
        <f t="shared" si="357"/>
        <v>540</v>
      </c>
      <c r="BV226" s="418">
        <f t="shared" si="358"/>
        <v>0.04</v>
      </c>
      <c r="BW226" s="418">
        <f t="shared" si="359"/>
        <v>0</v>
      </c>
      <c r="BX226" s="420">
        <f t="shared" si="359"/>
        <v>0.04</v>
      </c>
      <c r="BY226" s="419"/>
      <c r="BZ226" s="414"/>
      <c r="CA226" s="414"/>
      <c r="CB226" s="414"/>
      <c r="CC226" s="414"/>
      <c r="CD226" s="509"/>
      <c r="CE226" s="419"/>
      <c r="CF226" s="601"/>
      <c r="CG226" s="414"/>
      <c r="CH226" s="414"/>
      <c r="CI226" s="602"/>
      <c r="CJ226" s="603"/>
    </row>
    <row r="227" spans="1:88" s="221" customFormat="1" ht="12.75" customHeight="1">
      <c r="A227" s="155">
        <v>41</v>
      </c>
      <c r="B227" s="18">
        <v>4432</v>
      </c>
      <c r="C227" s="18">
        <v>600074625</v>
      </c>
      <c r="D227" s="18">
        <v>70695903</v>
      </c>
      <c r="E227" s="164" t="s">
        <v>223</v>
      </c>
      <c r="F227" s="18"/>
      <c r="G227" s="154"/>
      <c r="H227" s="608"/>
      <c r="I227" s="451">
        <v>8530327</v>
      </c>
      <c r="J227" s="444">
        <v>6280414</v>
      </c>
      <c r="K227" s="444">
        <v>5177787</v>
      </c>
      <c r="L227" s="444">
        <v>1102627</v>
      </c>
      <c r="M227" s="444">
        <v>0</v>
      </c>
      <c r="N227" s="444">
        <v>0</v>
      </c>
      <c r="O227" s="444">
        <v>0</v>
      </c>
      <c r="P227" s="444">
        <v>2122781</v>
      </c>
      <c r="Q227" s="444">
        <v>62805</v>
      </c>
      <c r="R227" s="444">
        <v>64327</v>
      </c>
      <c r="S227" s="445">
        <v>13.3474</v>
      </c>
      <c r="T227" s="445">
        <v>10.106400000000001</v>
      </c>
      <c r="U227" s="449">
        <v>3.2409999999999997</v>
      </c>
      <c r="V227" s="447">
        <f t="shared" ref="V227:CG227" si="360">SUM(V221:V226)</f>
        <v>0</v>
      </c>
      <c r="W227" s="444">
        <f t="shared" si="360"/>
        <v>0</v>
      </c>
      <c r="X227" s="444">
        <f t="shared" si="360"/>
        <v>0</v>
      </c>
      <c r="Y227" s="444">
        <f t="shared" si="360"/>
        <v>0</v>
      </c>
      <c r="Z227" s="444">
        <f t="shared" si="360"/>
        <v>0</v>
      </c>
      <c r="AA227" s="444">
        <f t="shared" si="360"/>
        <v>7565</v>
      </c>
      <c r="AB227" s="444">
        <f t="shared" si="360"/>
        <v>0</v>
      </c>
      <c r="AC227" s="444">
        <f t="shared" si="360"/>
        <v>0</v>
      </c>
      <c r="AD227" s="444">
        <f t="shared" si="360"/>
        <v>0</v>
      </c>
      <c r="AE227" s="444">
        <f t="shared" si="360"/>
        <v>0</v>
      </c>
      <c r="AF227" s="444">
        <f t="shared" si="360"/>
        <v>7565</v>
      </c>
      <c r="AG227" s="444">
        <f t="shared" si="360"/>
        <v>7565</v>
      </c>
      <c r="AH227" s="444">
        <f t="shared" si="360"/>
        <v>0</v>
      </c>
      <c r="AI227" s="444">
        <f t="shared" si="360"/>
        <v>0</v>
      </c>
      <c r="AJ227" s="444">
        <f t="shared" si="360"/>
        <v>0</v>
      </c>
      <c r="AK227" s="444">
        <f t="shared" si="360"/>
        <v>0</v>
      </c>
      <c r="AL227" s="444">
        <f t="shared" si="360"/>
        <v>0</v>
      </c>
      <c r="AM227" s="444">
        <f t="shared" si="360"/>
        <v>0</v>
      </c>
      <c r="AN227" s="444">
        <f t="shared" si="360"/>
        <v>0</v>
      </c>
      <c r="AO227" s="444">
        <f t="shared" si="360"/>
        <v>0</v>
      </c>
      <c r="AP227" s="444">
        <f t="shared" si="360"/>
        <v>0</v>
      </c>
      <c r="AQ227" s="444">
        <f t="shared" si="360"/>
        <v>7565</v>
      </c>
      <c r="AR227" s="444">
        <f t="shared" si="360"/>
        <v>7565</v>
      </c>
      <c r="AS227" s="444">
        <f t="shared" si="360"/>
        <v>2557</v>
      </c>
      <c r="AT227" s="444">
        <f t="shared" si="360"/>
        <v>76</v>
      </c>
      <c r="AU227" s="444">
        <f t="shared" si="360"/>
        <v>0</v>
      </c>
      <c r="AV227" s="444">
        <f t="shared" si="360"/>
        <v>0</v>
      </c>
      <c r="AW227" s="444">
        <f t="shared" si="360"/>
        <v>0</v>
      </c>
      <c r="AX227" s="444">
        <f t="shared" si="360"/>
        <v>0</v>
      </c>
      <c r="AY227" s="444">
        <f t="shared" si="360"/>
        <v>10198</v>
      </c>
      <c r="AZ227" s="445">
        <f t="shared" si="360"/>
        <v>0</v>
      </c>
      <c r="BA227" s="445">
        <f t="shared" si="360"/>
        <v>0</v>
      </c>
      <c r="BB227" s="445">
        <f t="shared" si="360"/>
        <v>0</v>
      </c>
      <c r="BC227" s="445">
        <f t="shared" si="360"/>
        <v>0</v>
      </c>
      <c r="BD227" s="445">
        <f t="shared" si="360"/>
        <v>0.02</v>
      </c>
      <c r="BE227" s="445">
        <f t="shared" si="360"/>
        <v>0</v>
      </c>
      <c r="BF227" s="445">
        <f t="shared" si="360"/>
        <v>0</v>
      </c>
      <c r="BG227" s="445">
        <f t="shared" si="360"/>
        <v>0</v>
      </c>
      <c r="BH227" s="445">
        <f t="shared" si="360"/>
        <v>0</v>
      </c>
      <c r="BI227" s="445">
        <f t="shared" si="360"/>
        <v>0</v>
      </c>
      <c r="BJ227" s="445">
        <f t="shared" si="360"/>
        <v>0.02</v>
      </c>
      <c r="BK227" s="39">
        <f t="shared" si="360"/>
        <v>0.02</v>
      </c>
      <c r="BL227" s="451">
        <f t="shared" si="360"/>
        <v>8540525</v>
      </c>
      <c r="BM227" s="444">
        <f t="shared" si="360"/>
        <v>6287979</v>
      </c>
      <c r="BN227" s="444">
        <f t="shared" si="360"/>
        <v>5177787</v>
      </c>
      <c r="BO227" s="444">
        <f t="shared" si="360"/>
        <v>1110192</v>
      </c>
      <c r="BP227" s="444">
        <f t="shared" si="360"/>
        <v>0</v>
      </c>
      <c r="BQ227" s="444">
        <f t="shared" si="360"/>
        <v>0</v>
      </c>
      <c r="BR227" s="444">
        <f t="shared" si="360"/>
        <v>0</v>
      </c>
      <c r="BS227" s="444">
        <f t="shared" si="360"/>
        <v>2125338</v>
      </c>
      <c r="BT227" s="444">
        <f t="shared" si="360"/>
        <v>62881</v>
      </c>
      <c r="BU227" s="444">
        <f t="shared" si="360"/>
        <v>64327</v>
      </c>
      <c r="BV227" s="445">
        <f t="shared" si="360"/>
        <v>13.3674</v>
      </c>
      <c r="BW227" s="445">
        <f t="shared" si="360"/>
        <v>10.106400000000001</v>
      </c>
      <c r="BX227" s="39">
        <f t="shared" si="360"/>
        <v>3.2610000000000001</v>
      </c>
      <c r="BY227" s="806">
        <f t="shared" si="360"/>
        <v>0</v>
      </c>
      <c r="BZ227" s="709">
        <f t="shared" si="360"/>
        <v>0</v>
      </c>
      <c r="CA227" s="709">
        <f t="shared" si="360"/>
        <v>0</v>
      </c>
      <c r="CB227" s="709">
        <f t="shared" si="360"/>
        <v>0</v>
      </c>
      <c r="CC227" s="709">
        <f t="shared" si="360"/>
        <v>0</v>
      </c>
      <c r="CD227" s="807">
        <f t="shared" si="360"/>
        <v>0</v>
      </c>
      <c r="CE227" s="919">
        <f t="shared" si="360"/>
        <v>230383</v>
      </c>
      <c r="CF227" s="920">
        <f t="shared" si="360"/>
        <v>162322</v>
      </c>
      <c r="CG227" s="920">
        <f t="shared" si="360"/>
        <v>54865</v>
      </c>
      <c r="CH227" s="920">
        <f t="shared" ref="CH227:CJ227" si="361">SUM(CH221:CH226)</f>
        <v>1623</v>
      </c>
      <c r="CI227" s="920">
        <f t="shared" si="361"/>
        <v>11573</v>
      </c>
      <c r="CJ227" s="921">
        <f t="shared" si="361"/>
        <v>0.46250000000000002</v>
      </c>
    </row>
    <row r="228" spans="1:88" s="221" customFormat="1" ht="12.75" customHeight="1">
      <c r="A228" s="209">
        <v>42</v>
      </c>
      <c r="B228" s="210">
        <v>4459</v>
      </c>
      <c r="C228" s="210">
        <v>650037171</v>
      </c>
      <c r="D228" s="210">
        <v>72742356</v>
      </c>
      <c r="E228" s="208" t="s">
        <v>224</v>
      </c>
      <c r="F228" s="210">
        <v>3111</v>
      </c>
      <c r="G228" s="165" t="s">
        <v>290</v>
      </c>
      <c r="H228" s="621" t="s">
        <v>271</v>
      </c>
      <c r="I228" s="510">
        <v>3283158</v>
      </c>
      <c r="J228" s="414">
        <v>2421334</v>
      </c>
      <c r="K228" s="414">
        <v>2225298</v>
      </c>
      <c r="L228" s="414">
        <v>196036</v>
      </c>
      <c r="M228" s="414">
        <v>0</v>
      </c>
      <c r="N228" s="414">
        <v>0</v>
      </c>
      <c r="O228" s="414">
        <v>0</v>
      </c>
      <c r="P228" s="68">
        <v>818411</v>
      </c>
      <c r="Q228" s="68">
        <v>24213</v>
      </c>
      <c r="R228" s="414">
        <v>19200</v>
      </c>
      <c r="S228" s="415">
        <v>4.5756999999999994</v>
      </c>
      <c r="T228" s="416">
        <v>3.7902999999999998</v>
      </c>
      <c r="U228" s="422">
        <v>0.78539999999999999</v>
      </c>
      <c r="V228" s="423">
        <f t="shared" si="314"/>
        <v>0</v>
      </c>
      <c r="W228" s="417">
        <f t="shared" si="315"/>
        <v>0</v>
      </c>
      <c r="X228" s="417">
        <v>0</v>
      </c>
      <c r="Y228" s="417">
        <v>0</v>
      </c>
      <c r="Z228" s="417">
        <v>0</v>
      </c>
      <c r="AA228" s="417">
        <v>0</v>
      </c>
      <c r="AB228" s="417">
        <v>0</v>
      </c>
      <c r="AC228" s="417">
        <v>0</v>
      </c>
      <c r="AD228" s="417">
        <v>0</v>
      </c>
      <c r="AE228" s="417">
        <f t="shared" si="316"/>
        <v>0</v>
      </c>
      <c r="AF228" s="417">
        <f t="shared" si="317"/>
        <v>0</v>
      </c>
      <c r="AG228" s="417">
        <f t="shared" si="318"/>
        <v>0</v>
      </c>
      <c r="AH228" s="417">
        <v>0</v>
      </c>
      <c r="AI228" s="417">
        <v>0</v>
      </c>
      <c r="AJ228" s="417">
        <v>0</v>
      </c>
      <c r="AK228" s="417">
        <v>0</v>
      </c>
      <c r="AL228" s="417">
        <v>0</v>
      </c>
      <c r="AM228" s="417">
        <f t="shared" si="319"/>
        <v>0</v>
      </c>
      <c r="AN228" s="417">
        <f t="shared" si="320"/>
        <v>0</v>
      </c>
      <c r="AO228" s="417">
        <f t="shared" si="321"/>
        <v>0</v>
      </c>
      <c r="AP228" s="417">
        <f t="shared" si="322"/>
        <v>0</v>
      </c>
      <c r="AQ228" s="417">
        <f t="shared" si="323"/>
        <v>0</v>
      </c>
      <c r="AR228" s="417">
        <f t="shared" si="324"/>
        <v>0</v>
      </c>
      <c r="AS228" s="68">
        <f t="shared" si="325"/>
        <v>0</v>
      </c>
      <c r="AT228" s="68">
        <f t="shared" si="326"/>
        <v>0</v>
      </c>
      <c r="AU228" s="417">
        <v>0</v>
      </c>
      <c r="AV228" s="417">
        <v>0</v>
      </c>
      <c r="AW228" s="417">
        <v>0</v>
      </c>
      <c r="AX228" s="417">
        <f t="shared" si="327"/>
        <v>0</v>
      </c>
      <c r="AY228" s="417">
        <f t="shared" si="328"/>
        <v>0</v>
      </c>
      <c r="AZ228" s="418">
        <v>0</v>
      </c>
      <c r="BA228" s="418">
        <v>0</v>
      </c>
      <c r="BB228" s="418">
        <v>0</v>
      </c>
      <c r="BC228" s="418">
        <v>0</v>
      </c>
      <c r="BD228" s="418">
        <v>0</v>
      </c>
      <c r="BE228" s="418">
        <v>0</v>
      </c>
      <c r="BF228" s="418">
        <v>0</v>
      </c>
      <c r="BG228" s="418">
        <v>0</v>
      </c>
      <c r="BH228" s="418">
        <v>0</v>
      </c>
      <c r="BI228" s="418">
        <f t="shared" si="329"/>
        <v>0</v>
      </c>
      <c r="BJ228" s="418">
        <f t="shared" si="330"/>
        <v>0</v>
      </c>
      <c r="BK228" s="420">
        <f t="shared" si="331"/>
        <v>0</v>
      </c>
      <c r="BL228" s="772">
        <f t="shared" ref="BL228:BL233" si="362">I228+AY228</f>
        <v>3283158</v>
      </c>
      <c r="BM228" s="417">
        <f t="shared" ref="BM228:BM233" si="363">J228+AG228</f>
        <v>2421334</v>
      </c>
      <c r="BN228" s="417">
        <f t="shared" ref="BN228:BO233" si="364">K228+AE228</f>
        <v>2225298</v>
      </c>
      <c r="BO228" s="417">
        <f t="shared" si="364"/>
        <v>196036</v>
      </c>
      <c r="BP228" s="417">
        <f t="shared" ref="BP228:BP233" si="365">M228+AO228</f>
        <v>0</v>
      </c>
      <c r="BQ228" s="417">
        <f t="shared" ref="BQ228:BR233" si="366">N228+AM228</f>
        <v>0</v>
      </c>
      <c r="BR228" s="417">
        <f t="shared" si="366"/>
        <v>0</v>
      </c>
      <c r="BS228" s="417">
        <f t="shared" ref="BS228:BT233" si="367">P228+AS228</f>
        <v>818411</v>
      </c>
      <c r="BT228" s="417">
        <f t="shared" si="367"/>
        <v>24213</v>
      </c>
      <c r="BU228" s="417">
        <f t="shared" ref="BU228:BU233" si="368">R228+AX228</f>
        <v>19200</v>
      </c>
      <c r="BV228" s="418">
        <f t="shared" ref="BV228:BV233" si="369">S228+BK228</f>
        <v>4.5756999999999994</v>
      </c>
      <c r="BW228" s="418">
        <f t="shared" ref="BW228:BX233" si="370">T228+BI228</f>
        <v>3.7902999999999998</v>
      </c>
      <c r="BX228" s="420">
        <f t="shared" si="370"/>
        <v>0.78539999999999999</v>
      </c>
      <c r="BY228" s="419"/>
      <c r="BZ228" s="414"/>
      <c r="CA228" s="414"/>
      <c r="CB228" s="414"/>
      <c r="CC228" s="414"/>
      <c r="CD228" s="509"/>
      <c r="CE228" s="419">
        <v>91173</v>
      </c>
      <c r="CF228" s="414">
        <v>62900</v>
      </c>
      <c r="CG228" s="414">
        <v>21260</v>
      </c>
      <c r="CH228" s="414">
        <v>629</v>
      </c>
      <c r="CI228" s="414">
        <v>6384</v>
      </c>
      <c r="CJ228" s="509">
        <v>0.252</v>
      </c>
    </row>
    <row r="229" spans="1:88" s="221" customFormat="1" ht="12.75" customHeight="1">
      <c r="A229" s="209">
        <v>42</v>
      </c>
      <c r="B229" s="210">
        <v>4459</v>
      </c>
      <c r="C229" s="210">
        <v>650037171</v>
      </c>
      <c r="D229" s="210">
        <v>72742356</v>
      </c>
      <c r="E229" s="208" t="s">
        <v>224</v>
      </c>
      <c r="F229" s="210">
        <v>3113</v>
      </c>
      <c r="G229" s="165" t="s">
        <v>293</v>
      </c>
      <c r="H229" s="621" t="s">
        <v>271</v>
      </c>
      <c r="I229" s="510">
        <v>13890734</v>
      </c>
      <c r="J229" s="414">
        <v>10116724</v>
      </c>
      <c r="K229" s="414">
        <v>8567999</v>
      </c>
      <c r="L229" s="414">
        <v>1548725</v>
      </c>
      <c r="M229" s="414">
        <v>0</v>
      </c>
      <c r="N229" s="414">
        <v>0</v>
      </c>
      <c r="O229" s="414">
        <v>0</v>
      </c>
      <c r="P229" s="68">
        <v>3419452</v>
      </c>
      <c r="Q229" s="68">
        <v>101168</v>
      </c>
      <c r="R229" s="414">
        <v>253390</v>
      </c>
      <c r="S229" s="415">
        <v>17.698699999999999</v>
      </c>
      <c r="T229" s="416">
        <v>13.124000000000001</v>
      </c>
      <c r="U229" s="422">
        <v>4.5747</v>
      </c>
      <c r="V229" s="423">
        <f t="shared" si="314"/>
        <v>0</v>
      </c>
      <c r="W229" s="417">
        <f t="shared" si="315"/>
        <v>0</v>
      </c>
      <c r="X229" s="417">
        <v>0</v>
      </c>
      <c r="Y229" s="417">
        <v>15888</v>
      </c>
      <c r="Z229" s="417">
        <v>92545</v>
      </c>
      <c r="AA229" s="417">
        <v>0</v>
      </c>
      <c r="AB229" s="417">
        <v>0</v>
      </c>
      <c r="AC229" s="417">
        <v>0</v>
      </c>
      <c r="AD229" s="417">
        <v>0</v>
      </c>
      <c r="AE229" s="417">
        <f t="shared" si="316"/>
        <v>108433</v>
      </c>
      <c r="AF229" s="417">
        <f t="shared" si="317"/>
        <v>0</v>
      </c>
      <c r="AG229" s="417">
        <f t="shared" si="318"/>
        <v>108433</v>
      </c>
      <c r="AH229" s="417">
        <v>0</v>
      </c>
      <c r="AI229" s="417">
        <v>0</v>
      </c>
      <c r="AJ229" s="417">
        <v>0</v>
      </c>
      <c r="AK229" s="417">
        <v>0</v>
      </c>
      <c r="AL229" s="417">
        <v>0</v>
      </c>
      <c r="AM229" s="417">
        <f t="shared" si="319"/>
        <v>0</v>
      </c>
      <c r="AN229" s="417">
        <f t="shared" si="320"/>
        <v>0</v>
      </c>
      <c r="AO229" s="417">
        <f t="shared" si="321"/>
        <v>0</v>
      </c>
      <c r="AP229" s="417">
        <f t="shared" si="322"/>
        <v>108433</v>
      </c>
      <c r="AQ229" s="417">
        <f t="shared" si="323"/>
        <v>0</v>
      </c>
      <c r="AR229" s="417">
        <f t="shared" si="324"/>
        <v>108433</v>
      </c>
      <c r="AS229" s="68">
        <f t="shared" si="325"/>
        <v>36650</v>
      </c>
      <c r="AT229" s="68">
        <f t="shared" si="326"/>
        <v>1084</v>
      </c>
      <c r="AU229" s="417">
        <v>0</v>
      </c>
      <c r="AV229" s="417">
        <v>0</v>
      </c>
      <c r="AW229" s="417">
        <v>0</v>
      </c>
      <c r="AX229" s="417">
        <f t="shared" si="327"/>
        <v>0</v>
      </c>
      <c r="AY229" s="417">
        <f t="shared" si="328"/>
        <v>146167</v>
      </c>
      <c r="AZ229" s="418">
        <v>0</v>
      </c>
      <c r="BA229" s="418">
        <v>0</v>
      </c>
      <c r="BB229" s="418">
        <v>0</v>
      </c>
      <c r="BC229" s="418">
        <v>0.19</v>
      </c>
      <c r="BD229" s="418">
        <v>0</v>
      </c>
      <c r="BE229" s="418">
        <v>0.02</v>
      </c>
      <c r="BF229" s="418">
        <v>0</v>
      </c>
      <c r="BG229" s="418">
        <v>0</v>
      </c>
      <c r="BH229" s="418">
        <v>0</v>
      </c>
      <c r="BI229" s="418">
        <f t="shared" si="329"/>
        <v>0.21</v>
      </c>
      <c r="BJ229" s="418">
        <f t="shared" si="330"/>
        <v>0</v>
      </c>
      <c r="BK229" s="420">
        <f t="shared" si="331"/>
        <v>0.21</v>
      </c>
      <c r="BL229" s="772">
        <f t="shared" si="362"/>
        <v>14036901</v>
      </c>
      <c r="BM229" s="417">
        <f t="shared" si="363"/>
        <v>10225157</v>
      </c>
      <c r="BN229" s="417">
        <f t="shared" si="364"/>
        <v>8676432</v>
      </c>
      <c r="BO229" s="417">
        <f t="shared" si="364"/>
        <v>1548725</v>
      </c>
      <c r="BP229" s="417">
        <f t="shared" si="365"/>
        <v>0</v>
      </c>
      <c r="BQ229" s="417">
        <f t="shared" si="366"/>
        <v>0</v>
      </c>
      <c r="BR229" s="417">
        <f t="shared" si="366"/>
        <v>0</v>
      </c>
      <c r="BS229" s="417">
        <f t="shared" si="367"/>
        <v>3456102</v>
      </c>
      <c r="BT229" s="417">
        <f t="shared" si="367"/>
        <v>102252</v>
      </c>
      <c r="BU229" s="417">
        <f t="shared" si="368"/>
        <v>253390</v>
      </c>
      <c r="BV229" s="418">
        <f t="shared" si="369"/>
        <v>17.9087</v>
      </c>
      <c r="BW229" s="418">
        <f t="shared" si="370"/>
        <v>13.334000000000001</v>
      </c>
      <c r="BX229" s="420">
        <f t="shared" si="370"/>
        <v>4.5747</v>
      </c>
      <c r="BY229" s="419"/>
      <c r="BZ229" s="414"/>
      <c r="CA229" s="414"/>
      <c r="CB229" s="414"/>
      <c r="CC229" s="414"/>
      <c r="CD229" s="509"/>
      <c r="CE229" s="414">
        <v>727409</v>
      </c>
      <c r="CF229" s="414">
        <v>497051</v>
      </c>
      <c r="CG229" s="414">
        <v>168003</v>
      </c>
      <c r="CH229" s="414">
        <v>4971</v>
      </c>
      <c r="CI229" s="414">
        <v>57384</v>
      </c>
      <c r="CJ229" s="509">
        <v>1.4682999999999999</v>
      </c>
    </row>
    <row r="230" spans="1:88" s="221" customFormat="1" ht="12.75" customHeight="1">
      <c r="A230" s="209">
        <v>42</v>
      </c>
      <c r="B230" s="210">
        <v>4459</v>
      </c>
      <c r="C230" s="210">
        <v>650037171</v>
      </c>
      <c r="D230" s="210">
        <v>72742356</v>
      </c>
      <c r="E230" s="208" t="s">
        <v>224</v>
      </c>
      <c r="F230" s="210">
        <v>3113</v>
      </c>
      <c r="G230" s="165" t="s">
        <v>291</v>
      </c>
      <c r="H230" s="621" t="s">
        <v>272</v>
      </c>
      <c r="I230" s="510">
        <v>3007042</v>
      </c>
      <c r="J230" s="414">
        <v>2224809</v>
      </c>
      <c r="K230" s="414">
        <v>2224809</v>
      </c>
      <c r="L230" s="414">
        <v>0</v>
      </c>
      <c r="M230" s="414">
        <v>0</v>
      </c>
      <c r="N230" s="414">
        <v>0</v>
      </c>
      <c r="O230" s="414">
        <v>0</v>
      </c>
      <c r="P230" s="68">
        <v>751985</v>
      </c>
      <c r="Q230" s="68">
        <v>22248</v>
      </c>
      <c r="R230" s="414">
        <v>8000</v>
      </c>
      <c r="S230" s="415">
        <v>6</v>
      </c>
      <c r="T230" s="416">
        <v>6</v>
      </c>
      <c r="U230" s="422">
        <v>0</v>
      </c>
      <c r="V230" s="423">
        <f t="shared" si="314"/>
        <v>0</v>
      </c>
      <c r="W230" s="417">
        <f t="shared" si="315"/>
        <v>0</v>
      </c>
      <c r="X230" s="417">
        <v>-185400</v>
      </c>
      <c r="Y230" s="417">
        <v>0</v>
      </c>
      <c r="Z230" s="417">
        <v>0</v>
      </c>
      <c r="AA230" s="417">
        <v>0</v>
      </c>
      <c r="AB230" s="417">
        <v>0</v>
      </c>
      <c r="AC230" s="417">
        <v>0</v>
      </c>
      <c r="AD230" s="417">
        <v>0</v>
      </c>
      <c r="AE230" s="417">
        <f t="shared" si="316"/>
        <v>-185400</v>
      </c>
      <c r="AF230" s="417">
        <f t="shared" si="317"/>
        <v>0</v>
      </c>
      <c r="AG230" s="417">
        <f t="shared" si="318"/>
        <v>-185400</v>
      </c>
      <c r="AH230" s="417">
        <v>0</v>
      </c>
      <c r="AI230" s="417">
        <v>0</v>
      </c>
      <c r="AJ230" s="417">
        <v>0</v>
      </c>
      <c r="AK230" s="417">
        <v>0</v>
      </c>
      <c r="AL230" s="417">
        <v>0</v>
      </c>
      <c r="AM230" s="417">
        <f t="shared" si="319"/>
        <v>0</v>
      </c>
      <c r="AN230" s="417">
        <f t="shared" si="320"/>
        <v>0</v>
      </c>
      <c r="AO230" s="417">
        <f t="shared" si="321"/>
        <v>0</v>
      </c>
      <c r="AP230" s="417">
        <f t="shared" si="322"/>
        <v>-185400</v>
      </c>
      <c r="AQ230" s="417">
        <f t="shared" si="323"/>
        <v>0</v>
      </c>
      <c r="AR230" s="417">
        <f t="shared" si="324"/>
        <v>-185400</v>
      </c>
      <c r="AS230" s="68">
        <f t="shared" si="325"/>
        <v>-62665</v>
      </c>
      <c r="AT230" s="68">
        <f t="shared" si="326"/>
        <v>-1854</v>
      </c>
      <c r="AU230" s="417">
        <v>0</v>
      </c>
      <c r="AV230" s="417">
        <v>0</v>
      </c>
      <c r="AW230" s="417">
        <v>0</v>
      </c>
      <c r="AX230" s="417">
        <f t="shared" si="327"/>
        <v>0</v>
      </c>
      <c r="AY230" s="417">
        <f t="shared" si="328"/>
        <v>-249919</v>
      </c>
      <c r="AZ230" s="418">
        <v>0</v>
      </c>
      <c r="BA230" s="418">
        <v>0</v>
      </c>
      <c r="BB230" s="418">
        <v>-0.5</v>
      </c>
      <c r="BC230" s="418">
        <v>0</v>
      </c>
      <c r="BD230" s="418">
        <v>0</v>
      </c>
      <c r="BE230" s="418">
        <v>0</v>
      </c>
      <c r="BF230" s="418">
        <v>0</v>
      </c>
      <c r="BG230" s="418">
        <v>0</v>
      </c>
      <c r="BH230" s="418">
        <v>0</v>
      </c>
      <c r="BI230" s="418">
        <f t="shared" si="329"/>
        <v>-0.5</v>
      </c>
      <c r="BJ230" s="418">
        <f t="shared" si="330"/>
        <v>0</v>
      </c>
      <c r="BK230" s="420">
        <f t="shared" si="331"/>
        <v>-0.5</v>
      </c>
      <c r="BL230" s="772">
        <f t="shared" si="362"/>
        <v>2757123</v>
      </c>
      <c r="BM230" s="417">
        <f t="shared" si="363"/>
        <v>2039409</v>
      </c>
      <c r="BN230" s="417">
        <f t="shared" si="364"/>
        <v>2039409</v>
      </c>
      <c r="BO230" s="417">
        <f t="shared" si="364"/>
        <v>0</v>
      </c>
      <c r="BP230" s="417">
        <f t="shared" si="365"/>
        <v>0</v>
      </c>
      <c r="BQ230" s="417">
        <f t="shared" si="366"/>
        <v>0</v>
      </c>
      <c r="BR230" s="417">
        <f t="shared" si="366"/>
        <v>0</v>
      </c>
      <c r="BS230" s="417">
        <f t="shared" si="367"/>
        <v>689320</v>
      </c>
      <c r="BT230" s="417">
        <f t="shared" si="367"/>
        <v>20394</v>
      </c>
      <c r="BU230" s="417">
        <f t="shared" si="368"/>
        <v>8000</v>
      </c>
      <c r="BV230" s="418">
        <f t="shared" si="369"/>
        <v>5.5</v>
      </c>
      <c r="BW230" s="418">
        <f t="shared" si="370"/>
        <v>5.5</v>
      </c>
      <c r="BX230" s="420">
        <f t="shared" si="370"/>
        <v>0</v>
      </c>
      <c r="BY230" s="419"/>
      <c r="BZ230" s="414"/>
      <c r="CA230" s="414"/>
      <c r="CB230" s="414"/>
      <c r="CC230" s="414"/>
      <c r="CD230" s="509"/>
      <c r="CE230" s="419"/>
      <c r="CF230" s="414"/>
      <c r="CG230" s="414"/>
      <c r="CH230" s="414"/>
      <c r="CI230" s="414"/>
      <c r="CJ230" s="509"/>
    </row>
    <row r="231" spans="1:88" s="221" customFormat="1" ht="12.75" customHeight="1">
      <c r="A231" s="209">
        <v>42</v>
      </c>
      <c r="B231" s="210">
        <v>4459</v>
      </c>
      <c r="C231" s="210">
        <v>650037171</v>
      </c>
      <c r="D231" s="210">
        <v>72742356</v>
      </c>
      <c r="E231" s="204" t="s">
        <v>224</v>
      </c>
      <c r="F231" s="210">
        <v>3141</v>
      </c>
      <c r="G231" s="165" t="s">
        <v>294</v>
      </c>
      <c r="H231" s="621" t="s">
        <v>272</v>
      </c>
      <c r="I231" s="510">
        <v>1697863</v>
      </c>
      <c r="J231" s="414">
        <v>1253471</v>
      </c>
      <c r="K231" s="414">
        <v>0</v>
      </c>
      <c r="L231" s="414">
        <v>1253471</v>
      </c>
      <c r="M231" s="414">
        <v>0</v>
      </c>
      <c r="N231" s="414">
        <v>0</v>
      </c>
      <c r="O231" s="414">
        <v>0</v>
      </c>
      <c r="P231" s="68">
        <v>423674</v>
      </c>
      <c r="Q231" s="68">
        <v>12534</v>
      </c>
      <c r="R231" s="414">
        <v>8184</v>
      </c>
      <c r="S231" s="415">
        <v>3.7699999999999996</v>
      </c>
      <c r="T231" s="416">
        <v>0</v>
      </c>
      <c r="U231" s="422">
        <v>3.7699999999999996</v>
      </c>
      <c r="V231" s="423">
        <f t="shared" si="314"/>
        <v>0</v>
      </c>
      <c r="W231" s="417">
        <f t="shared" si="315"/>
        <v>0</v>
      </c>
      <c r="X231" s="417">
        <v>0</v>
      </c>
      <c r="Y231" s="417">
        <v>0</v>
      </c>
      <c r="Z231" s="417">
        <v>0</v>
      </c>
      <c r="AA231" s="417">
        <v>8931</v>
      </c>
      <c r="AB231" s="417">
        <v>0</v>
      </c>
      <c r="AC231" s="417">
        <v>0</v>
      </c>
      <c r="AD231" s="417">
        <v>0</v>
      </c>
      <c r="AE231" s="417">
        <f t="shared" si="316"/>
        <v>0</v>
      </c>
      <c r="AF231" s="417">
        <f t="shared" si="317"/>
        <v>8931</v>
      </c>
      <c r="AG231" s="417">
        <f t="shared" si="318"/>
        <v>8931</v>
      </c>
      <c r="AH231" s="417">
        <v>0</v>
      </c>
      <c r="AI231" s="417">
        <v>0</v>
      </c>
      <c r="AJ231" s="417">
        <v>0</v>
      </c>
      <c r="AK231" s="417">
        <v>0</v>
      </c>
      <c r="AL231" s="417">
        <v>0</v>
      </c>
      <c r="AM231" s="417">
        <f t="shared" si="319"/>
        <v>0</v>
      </c>
      <c r="AN231" s="417">
        <f t="shared" si="320"/>
        <v>0</v>
      </c>
      <c r="AO231" s="417">
        <f t="shared" si="321"/>
        <v>0</v>
      </c>
      <c r="AP231" s="417">
        <f t="shared" si="322"/>
        <v>0</v>
      </c>
      <c r="AQ231" s="417">
        <f t="shared" si="323"/>
        <v>8931</v>
      </c>
      <c r="AR231" s="417">
        <f t="shared" si="324"/>
        <v>8931</v>
      </c>
      <c r="AS231" s="68">
        <f t="shared" si="325"/>
        <v>3019</v>
      </c>
      <c r="AT231" s="68">
        <f t="shared" si="326"/>
        <v>89</v>
      </c>
      <c r="AU231" s="417">
        <v>0</v>
      </c>
      <c r="AV231" s="417">
        <v>0</v>
      </c>
      <c r="AW231" s="417">
        <v>0</v>
      </c>
      <c r="AX231" s="417">
        <f t="shared" si="327"/>
        <v>0</v>
      </c>
      <c r="AY231" s="417">
        <f t="shared" si="328"/>
        <v>12039</v>
      </c>
      <c r="AZ231" s="418">
        <v>0</v>
      </c>
      <c r="BA231" s="418">
        <v>0</v>
      </c>
      <c r="BB231" s="418">
        <v>0</v>
      </c>
      <c r="BC231" s="418">
        <v>0</v>
      </c>
      <c r="BD231" s="418">
        <v>0.03</v>
      </c>
      <c r="BE231" s="418">
        <v>0</v>
      </c>
      <c r="BF231" s="418">
        <v>0</v>
      </c>
      <c r="BG231" s="418">
        <v>0</v>
      </c>
      <c r="BH231" s="418">
        <v>0</v>
      </c>
      <c r="BI231" s="418">
        <f t="shared" si="329"/>
        <v>0</v>
      </c>
      <c r="BJ231" s="418">
        <f t="shared" si="330"/>
        <v>0.03</v>
      </c>
      <c r="BK231" s="420">
        <f t="shared" si="331"/>
        <v>0.03</v>
      </c>
      <c r="BL231" s="772">
        <f t="shared" si="362"/>
        <v>1709902</v>
      </c>
      <c r="BM231" s="417">
        <f t="shared" si="363"/>
        <v>1262402</v>
      </c>
      <c r="BN231" s="417">
        <f t="shared" si="364"/>
        <v>0</v>
      </c>
      <c r="BO231" s="417">
        <f t="shared" si="364"/>
        <v>1262402</v>
      </c>
      <c r="BP231" s="417">
        <f t="shared" si="365"/>
        <v>0</v>
      </c>
      <c r="BQ231" s="417">
        <f t="shared" si="366"/>
        <v>0</v>
      </c>
      <c r="BR231" s="417">
        <f t="shared" si="366"/>
        <v>0</v>
      </c>
      <c r="BS231" s="417">
        <f t="shared" si="367"/>
        <v>426693</v>
      </c>
      <c r="BT231" s="417">
        <f t="shared" si="367"/>
        <v>12623</v>
      </c>
      <c r="BU231" s="417">
        <f t="shared" si="368"/>
        <v>8184</v>
      </c>
      <c r="BV231" s="418">
        <f t="shared" si="369"/>
        <v>3.7999999999999994</v>
      </c>
      <c r="BW231" s="418">
        <f t="shared" si="370"/>
        <v>0</v>
      </c>
      <c r="BX231" s="420">
        <f t="shared" si="370"/>
        <v>3.7999999999999994</v>
      </c>
      <c r="BY231" s="419"/>
      <c r="BZ231" s="414"/>
      <c r="CA231" s="414"/>
      <c r="CB231" s="414"/>
      <c r="CC231" s="414"/>
      <c r="CD231" s="509"/>
      <c r="CE231" s="419"/>
      <c r="CF231" s="414"/>
      <c r="CG231" s="414"/>
      <c r="CH231" s="414"/>
      <c r="CI231" s="414"/>
      <c r="CJ231" s="509"/>
    </row>
    <row r="232" spans="1:88" s="221" customFormat="1" ht="12.75" customHeight="1">
      <c r="A232" s="209">
        <v>42</v>
      </c>
      <c r="B232" s="210">
        <v>4459</v>
      </c>
      <c r="C232" s="210">
        <v>650037171</v>
      </c>
      <c r="D232" s="210">
        <v>72742356</v>
      </c>
      <c r="E232" s="208" t="s">
        <v>224</v>
      </c>
      <c r="F232" s="210">
        <v>3143</v>
      </c>
      <c r="G232" s="165" t="s">
        <v>595</v>
      </c>
      <c r="H232" s="609" t="s">
        <v>271</v>
      </c>
      <c r="I232" s="510">
        <v>1726288</v>
      </c>
      <c r="J232" s="414">
        <v>1280629</v>
      </c>
      <c r="K232" s="414">
        <v>1280629</v>
      </c>
      <c r="L232" s="414">
        <v>0</v>
      </c>
      <c r="M232" s="414">
        <v>0</v>
      </c>
      <c r="N232" s="414">
        <v>0</v>
      </c>
      <c r="O232" s="414">
        <v>0</v>
      </c>
      <c r="P232" s="68">
        <v>432853</v>
      </c>
      <c r="Q232" s="68">
        <v>12806</v>
      </c>
      <c r="R232" s="414">
        <v>0</v>
      </c>
      <c r="S232" s="415">
        <v>2.8572000000000002</v>
      </c>
      <c r="T232" s="416">
        <v>2.8572000000000002</v>
      </c>
      <c r="U232" s="422">
        <v>0</v>
      </c>
      <c r="V232" s="423">
        <f t="shared" si="314"/>
        <v>0</v>
      </c>
      <c r="W232" s="417">
        <f t="shared" si="315"/>
        <v>0</v>
      </c>
      <c r="X232" s="417">
        <v>0</v>
      </c>
      <c r="Y232" s="417">
        <v>0</v>
      </c>
      <c r="Z232" s="417">
        <v>0</v>
      </c>
      <c r="AA232" s="417">
        <v>0</v>
      </c>
      <c r="AB232" s="417">
        <v>0</v>
      </c>
      <c r="AC232" s="417">
        <v>0</v>
      </c>
      <c r="AD232" s="417">
        <v>0</v>
      </c>
      <c r="AE232" s="417">
        <f t="shared" si="316"/>
        <v>0</v>
      </c>
      <c r="AF232" s="417">
        <f t="shared" si="317"/>
        <v>0</v>
      </c>
      <c r="AG232" s="417">
        <f t="shared" si="318"/>
        <v>0</v>
      </c>
      <c r="AH232" s="417">
        <v>0</v>
      </c>
      <c r="AI232" s="417">
        <v>0</v>
      </c>
      <c r="AJ232" s="417">
        <v>0</v>
      </c>
      <c r="AK232" s="417">
        <v>0</v>
      </c>
      <c r="AL232" s="417">
        <v>0</v>
      </c>
      <c r="AM232" s="417">
        <f t="shared" si="319"/>
        <v>0</v>
      </c>
      <c r="AN232" s="417">
        <f t="shared" si="320"/>
        <v>0</v>
      </c>
      <c r="AO232" s="417">
        <f t="shared" si="321"/>
        <v>0</v>
      </c>
      <c r="AP232" s="417">
        <f t="shared" si="322"/>
        <v>0</v>
      </c>
      <c r="AQ232" s="417">
        <f t="shared" si="323"/>
        <v>0</v>
      </c>
      <c r="AR232" s="417">
        <f t="shared" si="324"/>
        <v>0</v>
      </c>
      <c r="AS232" s="68">
        <f t="shared" si="325"/>
        <v>0</v>
      </c>
      <c r="AT232" s="68">
        <f t="shared" si="326"/>
        <v>0</v>
      </c>
      <c r="AU232" s="417">
        <v>0</v>
      </c>
      <c r="AV232" s="417">
        <v>0</v>
      </c>
      <c r="AW232" s="417">
        <v>0</v>
      </c>
      <c r="AX232" s="417">
        <f t="shared" si="327"/>
        <v>0</v>
      </c>
      <c r="AY232" s="417">
        <f t="shared" si="328"/>
        <v>0</v>
      </c>
      <c r="AZ232" s="418">
        <v>0</v>
      </c>
      <c r="BA232" s="418">
        <v>0</v>
      </c>
      <c r="BB232" s="418">
        <v>0</v>
      </c>
      <c r="BC232" s="418">
        <v>0</v>
      </c>
      <c r="BD232" s="418">
        <v>0</v>
      </c>
      <c r="BE232" s="418">
        <v>0</v>
      </c>
      <c r="BF232" s="418">
        <v>0</v>
      </c>
      <c r="BG232" s="418">
        <v>0</v>
      </c>
      <c r="BH232" s="418">
        <v>0</v>
      </c>
      <c r="BI232" s="418">
        <f t="shared" si="329"/>
        <v>0</v>
      </c>
      <c r="BJ232" s="418">
        <f t="shared" si="330"/>
        <v>0</v>
      </c>
      <c r="BK232" s="420">
        <f t="shared" si="331"/>
        <v>0</v>
      </c>
      <c r="BL232" s="772">
        <f t="shared" si="362"/>
        <v>1726288</v>
      </c>
      <c r="BM232" s="417">
        <f t="shared" si="363"/>
        <v>1280629</v>
      </c>
      <c r="BN232" s="417">
        <f t="shared" si="364"/>
        <v>1280629</v>
      </c>
      <c r="BO232" s="417">
        <f t="shared" si="364"/>
        <v>0</v>
      </c>
      <c r="BP232" s="417">
        <f t="shared" si="365"/>
        <v>0</v>
      </c>
      <c r="BQ232" s="417">
        <f t="shared" si="366"/>
        <v>0</v>
      </c>
      <c r="BR232" s="417">
        <f t="shared" si="366"/>
        <v>0</v>
      </c>
      <c r="BS232" s="417">
        <f t="shared" si="367"/>
        <v>432853</v>
      </c>
      <c r="BT232" s="417">
        <f t="shared" si="367"/>
        <v>12806</v>
      </c>
      <c r="BU232" s="417">
        <f t="shared" si="368"/>
        <v>0</v>
      </c>
      <c r="BV232" s="418">
        <f t="shared" si="369"/>
        <v>2.8572000000000002</v>
      </c>
      <c r="BW232" s="418">
        <f t="shared" si="370"/>
        <v>2.8572000000000002</v>
      </c>
      <c r="BX232" s="420">
        <f t="shared" si="370"/>
        <v>0</v>
      </c>
      <c r="BY232" s="419"/>
      <c r="BZ232" s="414"/>
      <c r="CA232" s="414"/>
      <c r="CB232" s="414"/>
      <c r="CC232" s="414"/>
      <c r="CD232" s="509"/>
      <c r="CE232" s="419"/>
      <c r="CF232" s="414"/>
      <c r="CG232" s="414"/>
      <c r="CH232" s="414"/>
      <c r="CI232" s="414"/>
      <c r="CJ232" s="509"/>
    </row>
    <row r="233" spans="1:88" s="221" customFormat="1" ht="12.75" customHeight="1">
      <c r="A233" s="209">
        <v>42</v>
      </c>
      <c r="B233" s="210">
        <v>4459</v>
      </c>
      <c r="C233" s="210">
        <v>650037171</v>
      </c>
      <c r="D233" s="210">
        <v>72742356</v>
      </c>
      <c r="E233" s="208" t="s">
        <v>224</v>
      </c>
      <c r="F233" s="210">
        <v>3143</v>
      </c>
      <c r="G233" s="165" t="s">
        <v>596</v>
      </c>
      <c r="H233" s="609" t="s">
        <v>272</v>
      </c>
      <c r="I233" s="510">
        <v>53788</v>
      </c>
      <c r="J233" s="414">
        <v>38500</v>
      </c>
      <c r="K233" s="414">
        <v>0</v>
      </c>
      <c r="L233" s="414">
        <v>38500</v>
      </c>
      <c r="M233" s="414">
        <v>0</v>
      </c>
      <c r="N233" s="414">
        <v>0</v>
      </c>
      <c r="O233" s="414">
        <v>0</v>
      </c>
      <c r="P233" s="68">
        <v>13013</v>
      </c>
      <c r="Q233" s="68">
        <v>385</v>
      </c>
      <c r="R233" s="414">
        <v>1890</v>
      </c>
      <c r="S233" s="415">
        <v>0.15000000000000002</v>
      </c>
      <c r="T233" s="416">
        <v>0</v>
      </c>
      <c r="U233" s="422">
        <v>0.15000000000000002</v>
      </c>
      <c r="V233" s="423">
        <f t="shared" si="314"/>
        <v>0</v>
      </c>
      <c r="W233" s="417">
        <f t="shared" si="315"/>
        <v>0</v>
      </c>
      <c r="X233" s="417">
        <v>0</v>
      </c>
      <c r="Y233" s="417">
        <v>0</v>
      </c>
      <c r="Z233" s="417">
        <v>0</v>
      </c>
      <c r="AA233" s="417">
        <v>0</v>
      </c>
      <c r="AB233" s="417">
        <v>0</v>
      </c>
      <c r="AC233" s="417">
        <v>0</v>
      </c>
      <c r="AD233" s="417">
        <v>0</v>
      </c>
      <c r="AE233" s="417">
        <f t="shared" si="316"/>
        <v>0</v>
      </c>
      <c r="AF233" s="417">
        <f t="shared" si="317"/>
        <v>0</v>
      </c>
      <c r="AG233" s="417">
        <f t="shared" si="318"/>
        <v>0</v>
      </c>
      <c r="AH233" s="417">
        <v>0</v>
      </c>
      <c r="AI233" s="417">
        <v>0</v>
      </c>
      <c r="AJ233" s="417">
        <v>0</v>
      </c>
      <c r="AK233" s="417">
        <v>0</v>
      </c>
      <c r="AL233" s="417">
        <v>0</v>
      </c>
      <c r="AM233" s="417">
        <f t="shared" si="319"/>
        <v>0</v>
      </c>
      <c r="AN233" s="417">
        <f t="shared" si="320"/>
        <v>0</v>
      </c>
      <c r="AO233" s="417">
        <f t="shared" si="321"/>
        <v>0</v>
      </c>
      <c r="AP233" s="417">
        <f t="shared" si="322"/>
        <v>0</v>
      </c>
      <c r="AQ233" s="417">
        <f t="shared" si="323"/>
        <v>0</v>
      </c>
      <c r="AR233" s="417">
        <f t="shared" si="324"/>
        <v>0</v>
      </c>
      <c r="AS233" s="68">
        <f t="shared" si="325"/>
        <v>0</v>
      </c>
      <c r="AT233" s="68">
        <f t="shared" si="326"/>
        <v>0</v>
      </c>
      <c r="AU233" s="417">
        <v>0</v>
      </c>
      <c r="AV233" s="417">
        <v>0</v>
      </c>
      <c r="AW233" s="417">
        <v>0</v>
      </c>
      <c r="AX233" s="417">
        <f t="shared" si="327"/>
        <v>0</v>
      </c>
      <c r="AY233" s="417">
        <f t="shared" si="328"/>
        <v>0</v>
      </c>
      <c r="AZ233" s="418">
        <v>0</v>
      </c>
      <c r="BA233" s="418">
        <v>0</v>
      </c>
      <c r="BB233" s="418">
        <v>0</v>
      </c>
      <c r="BC233" s="418">
        <v>0</v>
      </c>
      <c r="BD233" s="418">
        <v>0</v>
      </c>
      <c r="BE233" s="418">
        <v>0</v>
      </c>
      <c r="BF233" s="418">
        <v>0</v>
      </c>
      <c r="BG233" s="418">
        <v>0</v>
      </c>
      <c r="BH233" s="418">
        <v>0</v>
      </c>
      <c r="BI233" s="418">
        <f t="shared" si="329"/>
        <v>0</v>
      </c>
      <c r="BJ233" s="418">
        <f t="shared" si="330"/>
        <v>0</v>
      </c>
      <c r="BK233" s="420">
        <f t="shared" si="331"/>
        <v>0</v>
      </c>
      <c r="BL233" s="772">
        <f t="shared" si="362"/>
        <v>53788</v>
      </c>
      <c r="BM233" s="417">
        <f t="shared" si="363"/>
        <v>38500</v>
      </c>
      <c r="BN233" s="417">
        <f t="shared" si="364"/>
        <v>0</v>
      </c>
      <c r="BO233" s="417">
        <f t="shared" si="364"/>
        <v>38500</v>
      </c>
      <c r="BP233" s="417">
        <f t="shared" si="365"/>
        <v>0</v>
      </c>
      <c r="BQ233" s="417">
        <f t="shared" si="366"/>
        <v>0</v>
      </c>
      <c r="BR233" s="417">
        <f t="shared" si="366"/>
        <v>0</v>
      </c>
      <c r="BS233" s="417">
        <f t="shared" si="367"/>
        <v>13013</v>
      </c>
      <c r="BT233" s="417">
        <f t="shared" si="367"/>
        <v>385</v>
      </c>
      <c r="BU233" s="417">
        <f t="shared" si="368"/>
        <v>1890</v>
      </c>
      <c r="BV233" s="418">
        <f t="shared" si="369"/>
        <v>0.15000000000000002</v>
      </c>
      <c r="BW233" s="418">
        <f t="shared" si="370"/>
        <v>0</v>
      </c>
      <c r="BX233" s="420">
        <f t="shared" si="370"/>
        <v>0.15000000000000002</v>
      </c>
      <c r="BY233" s="419"/>
      <c r="BZ233" s="414"/>
      <c r="CA233" s="414"/>
      <c r="CB233" s="414"/>
      <c r="CC233" s="414"/>
      <c r="CD233" s="509"/>
      <c r="CE233" s="419"/>
      <c r="CF233" s="601"/>
      <c r="CG233" s="414"/>
      <c r="CH233" s="414"/>
      <c r="CI233" s="602"/>
      <c r="CJ233" s="603"/>
    </row>
    <row r="234" spans="1:88" s="221" customFormat="1" ht="12.75" customHeight="1">
      <c r="A234" s="155">
        <v>42</v>
      </c>
      <c r="B234" s="18">
        <v>4459</v>
      </c>
      <c r="C234" s="18">
        <v>650037171</v>
      </c>
      <c r="D234" s="18">
        <v>72742356</v>
      </c>
      <c r="E234" s="164" t="s">
        <v>225</v>
      </c>
      <c r="F234" s="18"/>
      <c r="G234" s="154"/>
      <c r="H234" s="608"/>
      <c r="I234" s="451">
        <v>23658873</v>
      </c>
      <c r="J234" s="444">
        <v>17335467</v>
      </c>
      <c r="K234" s="444">
        <v>14298735</v>
      </c>
      <c r="L234" s="444">
        <v>3036732</v>
      </c>
      <c r="M234" s="444">
        <v>0</v>
      </c>
      <c r="N234" s="444">
        <v>0</v>
      </c>
      <c r="O234" s="444">
        <v>0</v>
      </c>
      <c r="P234" s="444">
        <v>5859388</v>
      </c>
      <c r="Q234" s="444">
        <v>173354</v>
      </c>
      <c r="R234" s="444">
        <v>290664</v>
      </c>
      <c r="S234" s="445">
        <v>35.051599999999993</v>
      </c>
      <c r="T234" s="445">
        <v>25.7715</v>
      </c>
      <c r="U234" s="449">
        <v>9.2800999999999991</v>
      </c>
      <c r="V234" s="447">
        <f t="shared" ref="V234:CG234" si="371">SUM(V228:V233)</f>
        <v>0</v>
      </c>
      <c r="W234" s="444">
        <f t="shared" si="371"/>
        <v>0</v>
      </c>
      <c r="X234" s="444">
        <f t="shared" si="371"/>
        <v>-185400</v>
      </c>
      <c r="Y234" s="444">
        <f t="shared" si="371"/>
        <v>15888</v>
      </c>
      <c r="Z234" s="444">
        <f t="shared" si="371"/>
        <v>92545</v>
      </c>
      <c r="AA234" s="444">
        <f t="shared" si="371"/>
        <v>8931</v>
      </c>
      <c r="AB234" s="444">
        <f t="shared" si="371"/>
        <v>0</v>
      </c>
      <c r="AC234" s="444">
        <f t="shared" si="371"/>
        <v>0</v>
      </c>
      <c r="AD234" s="444">
        <f t="shared" si="371"/>
        <v>0</v>
      </c>
      <c r="AE234" s="444">
        <f t="shared" si="371"/>
        <v>-76967</v>
      </c>
      <c r="AF234" s="444">
        <f t="shared" si="371"/>
        <v>8931</v>
      </c>
      <c r="AG234" s="444">
        <f t="shared" si="371"/>
        <v>-68036</v>
      </c>
      <c r="AH234" s="444">
        <f t="shared" si="371"/>
        <v>0</v>
      </c>
      <c r="AI234" s="444">
        <f t="shared" si="371"/>
        <v>0</v>
      </c>
      <c r="AJ234" s="444">
        <f t="shared" si="371"/>
        <v>0</v>
      </c>
      <c r="AK234" s="444">
        <f t="shared" si="371"/>
        <v>0</v>
      </c>
      <c r="AL234" s="444">
        <f t="shared" si="371"/>
        <v>0</v>
      </c>
      <c r="AM234" s="444">
        <f t="shared" si="371"/>
        <v>0</v>
      </c>
      <c r="AN234" s="444">
        <f t="shared" si="371"/>
        <v>0</v>
      </c>
      <c r="AO234" s="444">
        <f t="shared" si="371"/>
        <v>0</v>
      </c>
      <c r="AP234" s="444">
        <f t="shared" si="371"/>
        <v>-76967</v>
      </c>
      <c r="AQ234" s="444">
        <f t="shared" si="371"/>
        <v>8931</v>
      </c>
      <c r="AR234" s="444">
        <f t="shared" si="371"/>
        <v>-68036</v>
      </c>
      <c r="AS234" s="444">
        <f t="shared" si="371"/>
        <v>-22996</v>
      </c>
      <c r="AT234" s="444">
        <f t="shared" si="371"/>
        <v>-681</v>
      </c>
      <c r="AU234" s="444">
        <f t="shared" si="371"/>
        <v>0</v>
      </c>
      <c r="AV234" s="444">
        <f t="shared" si="371"/>
        <v>0</v>
      </c>
      <c r="AW234" s="444">
        <f t="shared" si="371"/>
        <v>0</v>
      </c>
      <c r="AX234" s="444">
        <f t="shared" si="371"/>
        <v>0</v>
      </c>
      <c r="AY234" s="444">
        <f t="shared" si="371"/>
        <v>-91713</v>
      </c>
      <c r="AZ234" s="445">
        <f t="shared" si="371"/>
        <v>0</v>
      </c>
      <c r="BA234" s="445">
        <f t="shared" si="371"/>
        <v>0</v>
      </c>
      <c r="BB234" s="445">
        <f t="shared" si="371"/>
        <v>-0.5</v>
      </c>
      <c r="BC234" s="445">
        <f t="shared" si="371"/>
        <v>0.19</v>
      </c>
      <c r="BD234" s="445">
        <f t="shared" si="371"/>
        <v>0.03</v>
      </c>
      <c r="BE234" s="445">
        <f t="shared" si="371"/>
        <v>0.02</v>
      </c>
      <c r="BF234" s="445">
        <f t="shared" si="371"/>
        <v>0</v>
      </c>
      <c r="BG234" s="445">
        <f t="shared" si="371"/>
        <v>0</v>
      </c>
      <c r="BH234" s="445">
        <f t="shared" si="371"/>
        <v>0</v>
      </c>
      <c r="BI234" s="445">
        <f t="shared" si="371"/>
        <v>-0.29000000000000004</v>
      </c>
      <c r="BJ234" s="445">
        <f t="shared" si="371"/>
        <v>0.03</v>
      </c>
      <c r="BK234" s="39">
        <f t="shared" si="371"/>
        <v>-0.26</v>
      </c>
      <c r="BL234" s="451">
        <f t="shared" si="371"/>
        <v>23567160</v>
      </c>
      <c r="BM234" s="444">
        <f t="shared" si="371"/>
        <v>17267431</v>
      </c>
      <c r="BN234" s="444">
        <f t="shared" si="371"/>
        <v>14221768</v>
      </c>
      <c r="BO234" s="444">
        <f t="shared" si="371"/>
        <v>3045663</v>
      </c>
      <c r="BP234" s="444">
        <f t="shared" si="371"/>
        <v>0</v>
      </c>
      <c r="BQ234" s="444">
        <f t="shared" si="371"/>
        <v>0</v>
      </c>
      <c r="BR234" s="444">
        <f t="shared" si="371"/>
        <v>0</v>
      </c>
      <c r="BS234" s="444">
        <f t="shared" si="371"/>
        <v>5836392</v>
      </c>
      <c r="BT234" s="444">
        <f t="shared" si="371"/>
        <v>172673</v>
      </c>
      <c r="BU234" s="444">
        <f t="shared" si="371"/>
        <v>290664</v>
      </c>
      <c r="BV234" s="445">
        <f t="shared" si="371"/>
        <v>34.791600000000003</v>
      </c>
      <c r="BW234" s="445">
        <f t="shared" si="371"/>
        <v>25.4815</v>
      </c>
      <c r="BX234" s="39">
        <f t="shared" si="371"/>
        <v>9.3101000000000003</v>
      </c>
      <c r="BY234" s="806">
        <f t="shared" si="371"/>
        <v>0</v>
      </c>
      <c r="BZ234" s="709">
        <f t="shared" si="371"/>
        <v>0</v>
      </c>
      <c r="CA234" s="709">
        <f t="shared" si="371"/>
        <v>0</v>
      </c>
      <c r="CB234" s="709">
        <f t="shared" si="371"/>
        <v>0</v>
      </c>
      <c r="CC234" s="709">
        <f t="shared" si="371"/>
        <v>0</v>
      </c>
      <c r="CD234" s="807">
        <f t="shared" si="371"/>
        <v>0</v>
      </c>
      <c r="CE234" s="919">
        <f t="shared" si="371"/>
        <v>818582</v>
      </c>
      <c r="CF234" s="920">
        <f t="shared" si="371"/>
        <v>559951</v>
      </c>
      <c r="CG234" s="920">
        <f t="shared" si="371"/>
        <v>189263</v>
      </c>
      <c r="CH234" s="920">
        <f t="shared" ref="CH234:CJ234" si="372">SUM(CH228:CH233)</f>
        <v>5600</v>
      </c>
      <c r="CI234" s="920">
        <f t="shared" si="372"/>
        <v>63768</v>
      </c>
      <c r="CJ234" s="921">
        <f t="shared" si="372"/>
        <v>1.7202999999999999</v>
      </c>
    </row>
    <row r="235" spans="1:88" s="221" customFormat="1" ht="12.75" customHeight="1">
      <c r="A235" s="209">
        <v>43</v>
      </c>
      <c r="B235" s="210">
        <v>4424</v>
      </c>
      <c r="C235" s="210">
        <v>600074170</v>
      </c>
      <c r="D235" s="210">
        <v>72741562</v>
      </c>
      <c r="E235" s="208" t="s">
        <v>226</v>
      </c>
      <c r="F235" s="210">
        <v>3111</v>
      </c>
      <c r="G235" s="165" t="s">
        <v>290</v>
      </c>
      <c r="H235" s="621" t="s">
        <v>271</v>
      </c>
      <c r="I235" s="510">
        <v>3559932</v>
      </c>
      <c r="J235" s="414">
        <v>2631404</v>
      </c>
      <c r="K235" s="414">
        <v>2304821</v>
      </c>
      <c r="L235" s="414">
        <v>326583</v>
      </c>
      <c r="M235" s="414">
        <v>0</v>
      </c>
      <c r="N235" s="414">
        <v>0</v>
      </c>
      <c r="O235" s="414">
        <v>0</v>
      </c>
      <c r="P235" s="68">
        <v>889414</v>
      </c>
      <c r="Q235" s="68">
        <v>26314</v>
      </c>
      <c r="R235" s="414">
        <v>12800</v>
      </c>
      <c r="S235" s="415">
        <v>5.3252999999999995</v>
      </c>
      <c r="T235" s="416">
        <v>4.2257999999999996</v>
      </c>
      <c r="U235" s="422">
        <v>1.0994999999999999</v>
      </c>
      <c r="V235" s="423">
        <f t="shared" si="314"/>
        <v>0</v>
      </c>
      <c r="W235" s="417">
        <f t="shared" si="315"/>
        <v>0</v>
      </c>
      <c r="X235" s="417">
        <v>0</v>
      </c>
      <c r="Y235" s="417">
        <v>0</v>
      </c>
      <c r="Z235" s="417">
        <v>0</v>
      </c>
      <c r="AA235" s="417">
        <v>0</v>
      </c>
      <c r="AB235" s="417">
        <v>0</v>
      </c>
      <c r="AC235" s="417">
        <v>0</v>
      </c>
      <c r="AD235" s="417">
        <v>0</v>
      </c>
      <c r="AE235" s="417">
        <f t="shared" si="316"/>
        <v>0</v>
      </c>
      <c r="AF235" s="417">
        <f t="shared" si="317"/>
        <v>0</v>
      </c>
      <c r="AG235" s="417">
        <f t="shared" si="318"/>
        <v>0</v>
      </c>
      <c r="AH235" s="417">
        <v>0</v>
      </c>
      <c r="AI235" s="417">
        <v>0</v>
      </c>
      <c r="AJ235" s="417">
        <v>0</v>
      </c>
      <c r="AK235" s="417">
        <v>0</v>
      </c>
      <c r="AL235" s="417">
        <v>0</v>
      </c>
      <c r="AM235" s="417">
        <f t="shared" si="319"/>
        <v>0</v>
      </c>
      <c r="AN235" s="417">
        <f t="shared" si="320"/>
        <v>0</v>
      </c>
      <c r="AO235" s="417">
        <f t="shared" si="321"/>
        <v>0</v>
      </c>
      <c r="AP235" s="417">
        <f t="shared" si="322"/>
        <v>0</v>
      </c>
      <c r="AQ235" s="417">
        <f t="shared" si="323"/>
        <v>0</v>
      </c>
      <c r="AR235" s="417">
        <f t="shared" si="324"/>
        <v>0</v>
      </c>
      <c r="AS235" s="68">
        <f t="shared" si="325"/>
        <v>0</v>
      </c>
      <c r="AT235" s="68">
        <f t="shared" si="326"/>
        <v>0</v>
      </c>
      <c r="AU235" s="417">
        <v>0</v>
      </c>
      <c r="AV235" s="417">
        <v>0</v>
      </c>
      <c r="AW235" s="417">
        <v>0</v>
      </c>
      <c r="AX235" s="417">
        <f t="shared" si="327"/>
        <v>0</v>
      </c>
      <c r="AY235" s="417">
        <f t="shared" si="328"/>
        <v>0</v>
      </c>
      <c r="AZ235" s="418">
        <v>0</v>
      </c>
      <c r="BA235" s="418">
        <v>0</v>
      </c>
      <c r="BB235" s="418">
        <v>0</v>
      </c>
      <c r="BC235" s="418">
        <v>0</v>
      </c>
      <c r="BD235" s="418">
        <v>0</v>
      </c>
      <c r="BE235" s="418">
        <v>0</v>
      </c>
      <c r="BF235" s="418">
        <v>0</v>
      </c>
      <c r="BG235" s="418">
        <v>0</v>
      </c>
      <c r="BH235" s="418">
        <v>0</v>
      </c>
      <c r="BI235" s="418">
        <f t="shared" si="329"/>
        <v>0</v>
      </c>
      <c r="BJ235" s="418">
        <f t="shared" si="330"/>
        <v>0</v>
      </c>
      <c r="BK235" s="420">
        <f t="shared" si="331"/>
        <v>0</v>
      </c>
      <c r="BL235" s="772">
        <f>I235+AY235</f>
        <v>3559932</v>
      </c>
      <c r="BM235" s="417">
        <f>J235+AG235</f>
        <v>2631404</v>
      </c>
      <c r="BN235" s="417">
        <f t="shared" ref="BN235:BO237" si="373">K235+AE235</f>
        <v>2304821</v>
      </c>
      <c r="BO235" s="417">
        <f t="shared" si="373"/>
        <v>326583</v>
      </c>
      <c r="BP235" s="417">
        <f>M235+AO235</f>
        <v>0</v>
      </c>
      <c r="BQ235" s="417">
        <f t="shared" ref="BQ235:BR237" si="374">N235+AM235</f>
        <v>0</v>
      </c>
      <c r="BR235" s="417">
        <f t="shared" si="374"/>
        <v>0</v>
      </c>
      <c r="BS235" s="417">
        <f t="shared" ref="BS235:BT237" si="375">P235+AS235</f>
        <v>889414</v>
      </c>
      <c r="BT235" s="417">
        <f t="shared" si="375"/>
        <v>26314</v>
      </c>
      <c r="BU235" s="417">
        <f>R235+AX235</f>
        <v>12800</v>
      </c>
      <c r="BV235" s="418">
        <f>S235+BK235</f>
        <v>5.3252999999999995</v>
      </c>
      <c r="BW235" s="418">
        <f t="shared" ref="BW235:BX237" si="376">T235+BI235</f>
        <v>4.2257999999999996</v>
      </c>
      <c r="BX235" s="420">
        <f t="shared" si="376"/>
        <v>1.0994999999999999</v>
      </c>
      <c r="BY235" s="419"/>
      <c r="BZ235" s="414"/>
      <c r="CA235" s="414"/>
      <c r="CB235" s="414"/>
      <c r="CC235" s="414"/>
      <c r="CD235" s="509"/>
      <c r="CE235" s="419">
        <v>145514</v>
      </c>
      <c r="CF235" s="414">
        <v>104791</v>
      </c>
      <c r="CG235" s="414">
        <v>35419</v>
      </c>
      <c r="CH235" s="414">
        <v>1048</v>
      </c>
      <c r="CI235" s="414">
        <v>4256</v>
      </c>
      <c r="CJ235" s="509">
        <v>0.3528</v>
      </c>
    </row>
    <row r="236" spans="1:88" s="221" customFormat="1" ht="12.75" customHeight="1">
      <c r="A236" s="209">
        <v>43</v>
      </c>
      <c r="B236" s="210">
        <v>4424</v>
      </c>
      <c r="C236" s="210">
        <v>600074170</v>
      </c>
      <c r="D236" s="210">
        <v>72741562</v>
      </c>
      <c r="E236" s="208" t="s">
        <v>226</v>
      </c>
      <c r="F236" s="210">
        <v>3111</v>
      </c>
      <c r="G236" s="165" t="s">
        <v>291</v>
      </c>
      <c r="H236" s="621" t="s">
        <v>272</v>
      </c>
      <c r="I236" s="510">
        <v>0</v>
      </c>
      <c r="J236" s="414">
        <v>0</v>
      </c>
      <c r="K236" s="414">
        <v>0</v>
      </c>
      <c r="L236" s="414">
        <v>0</v>
      </c>
      <c r="M236" s="414">
        <v>0</v>
      </c>
      <c r="N236" s="414">
        <v>0</v>
      </c>
      <c r="O236" s="414">
        <v>0</v>
      </c>
      <c r="P236" s="68">
        <v>0</v>
      </c>
      <c r="Q236" s="68">
        <v>0</v>
      </c>
      <c r="R236" s="414">
        <v>0</v>
      </c>
      <c r="S236" s="415">
        <v>0</v>
      </c>
      <c r="T236" s="416">
        <v>0</v>
      </c>
      <c r="U236" s="422">
        <v>0</v>
      </c>
      <c r="V236" s="423">
        <f t="shared" si="314"/>
        <v>0</v>
      </c>
      <c r="W236" s="417">
        <f t="shared" si="315"/>
        <v>0</v>
      </c>
      <c r="X236" s="417">
        <v>0</v>
      </c>
      <c r="Y236" s="417">
        <v>0</v>
      </c>
      <c r="Z236" s="417">
        <v>0</v>
      </c>
      <c r="AA236" s="417">
        <v>0</v>
      </c>
      <c r="AB236" s="417">
        <v>0</v>
      </c>
      <c r="AC236" s="417">
        <v>0</v>
      </c>
      <c r="AD236" s="417">
        <v>0</v>
      </c>
      <c r="AE236" s="417">
        <f t="shared" si="316"/>
        <v>0</v>
      </c>
      <c r="AF236" s="417">
        <f t="shared" si="317"/>
        <v>0</v>
      </c>
      <c r="AG236" s="417">
        <f t="shared" si="318"/>
        <v>0</v>
      </c>
      <c r="AH236" s="417">
        <v>0</v>
      </c>
      <c r="AI236" s="417">
        <v>0</v>
      </c>
      <c r="AJ236" s="417">
        <v>0</v>
      </c>
      <c r="AK236" s="417">
        <v>0</v>
      </c>
      <c r="AL236" s="417">
        <v>0</v>
      </c>
      <c r="AM236" s="417">
        <f t="shared" si="319"/>
        <v>0</v>
      </c>
      <c r="AN236" s="417">
        <f t="shared" si="320"/>
        <v>0</v>
      </c>
      <c r="AO236" s="417">
        <f t="shared" si="321"/>
        <v>0</v>
      </c>
      <c r="AP236" s="417">
        <f t="shared" si="322"/>
        <v>0</v>
      </c>
      <c r="AQ236" s="417">
        <f t="shared" si="323"/>
        <v>0</v>
      </c>
      <c r="AR236" s="417">
        <f t="shared" si="324"/>
        <v>0</v>
      </c>
      <c r="AS236" s="68">
        <f t="shared" si="325"/>
        <v>0</v>
      </c>
      <c r="AT236" s="68">
        <f t="shared" si="326"/>
        <v>0</v>
      </c>
      <c r="AU236" s="417">
        <v>0</v>
      </c>
      <c r="AV236" s="417">
        <v>0</v>
      </c>
      <c r="AW236" s="417">
        <v>0</v>
      </c>
      <c r="AX236" s="417">
        <f t="shared" si="327"/>
        <v>0</v>
      </c>
      <c r="AY236" s="417">
        <f t="shared" si="328"/>
        <v>0</v>
      </c>
      <c r="AZ236" s="418">
        <v>0</v>
      </c>
      <c r="BA236" s="418">
        <v>0</v>
      </c>
      <c r="BB236" s="418">
        <v>0</v>
      </c>
      <c r="BC236" s="418">
        <v>0</v>
      </c>
      <c r="BD236" s="418">
        <v>0</v>
      </c>
      <c r="BE236" s="418">
        <v>0</v>
      </c>
      <c r="BF236" s="418">
        <v>0</v>
      </c>
      <c r="BG236" s="418">
        <v>0</v>
      </c>
      <c r="BH236" s="418">
        <v>0</v>
      </c>
      <c r="BI236" s="418">
        <f t="shared" si="329"/>
        <v>0</v>
      </c>
      <c r="BJ236" s="418">
        <f t="shared" si="330"/>
        <v>0</v>
      </c>
      <c r="BK236" s="420">
        <f t="shared" si="331"/>
        <v>0</v>
      </c>
      <c r="BL236" s="772">
        <f>I236+AY236</f>
        <v>0</v>
      </c>
      <c r="BM236" s="417">
        <f>J236+AG236</f>
        <v>0</v>
      </c>
      <c r="BN236" s="417">
        <f t="shared" si="373"/>
        <v>0</v>
      </c>
      <c r="BO236" s="417">
        <f t="shared" si="373"/>
        <v>0</v>
      </c>
      <c r="BP236" s="417">
        <f>M236+AO236</f>
        <v>0</v>
      </c>
      <c r="BQ236" s="417">
        <f t="shared" si="374"/>
        <v>0</v>
      </c>
      <c r="BR236" s="417">
        <f t="shared" si="374"/>
        <v>0</v>
      </c>
      <c r="BS236" s="417">
        <f t="shared" si="375"/>
        <v>0</v>
      </c>
      <c r="BT236" s="417">
        <f t="shared" si="375"/>
        <v>0</v>
      </c>
      <c r="BU236" s="417">
        <f>R236+AX236</f>
        <v>0</v>
      </c>
      <c r="BV236" s="418">
        <f>S236+BK236</f>
        <v>0</v>
      </c>
      <c r="BW236" s="418">
        <f t="shared" si="376"/>
        <v>0</v>
      </c>
      <c r="BX236" s="420">
        <f t="shared" si="376"/>
        <v>0</v>
      </c>
      <c r="BY236" s="419"/>
      <c r="BZ236" s="414"/>
      <c r="CA236" s="414"/>
      <c r="CB236" s="414"/>
      <c r="CC236" s="414"/>
      <c r="CD236" s="509"/>
      <c r="CE236" s="419"/>
      <c r="CF236" s="414"/>
      <c r="CG236" s="414"/>
      <c r="CH236" s="414"/>
      <c r="CI236" s="414"/>
      <c r="CJ236" s="509"/>
    </row>
    <row r="237" spans="1:88" s="221" customFormat="1" ht="12.75" customHeight="1">
      <c r="A237" s="209">
        <v>43</v>
      </c>
      <c r="B237" s="210">
        <v>4424</v>
      </c>
      <c r="C237" s="210">
        <v>600074170</v>
      </c>
      <c r="D237" s="210">
        <v>72741562</v>
      </c>
      <c r="E237" s="208" t="s">
        <v>226</v>
      </c>
      <c r="F237" s="210">
        <v>3141</v>
      </c>
      <c r="G237" s="165" t="s">
        <v>294</v>
      </c>
      <c r="H237" s="621" t="s">
        <v>272</v>
      </c>
      <c r="I237" s="510">
        <v>961639</v>
      </c>
      <c r="J237" s="414">
        <v>710605</v>
      </c>
      <c r="K237" s="414">
        <v>0</v>
      </c>
      <c r="L237" s="414">
        <v>710605</v>
      </c>
      <c r="M237" s="414">
        <v>0</v>
      </c>
      <c r="N237" s="414">
        <v>0</v>
      </c>
      <c r="O237" s="414">
        <v>0</v>
      </c>
      <c r="P237" s="68">
        <v>240184</v>
      </c>
      <c r="Q237" s="68">
        <v>7106</v>
      </c>
      <c r="R237" s="414">
        <v>3744</v>
      </c>
      <c r="S237" s="415">
        <v>2.13</v>
      </c>
      <c r="T237" s="416">
        <v>0</v>
      </c>
      <c r="U237" s="422">
        <v>2.13</v>
      </c>
      <c r="V237" s="423">
        <f t="shared" si="314"/>
        <v>0</v>
      </c>
      <c r="W237" s="417">
        <f t="shared" si="315"/>
        <v>0</v>
      </c>
      <c r="X237" s="417">
        <v>0</v>
      </c>
      <c r="Y237" s="417">
        <v>0</v>
      </c>
      <c r="Z237" s="417">
        <v>0</v>
      </c>
      <c r="AA237" s="417">
        <v>0</v>
      </c>
      <c r="AB237" s="417">
        <v>0</v>
      </c>
      <c r="AC237" s="417">
        <v>0</v>
      </c>
      <c r="AD237" s="417">
        <v>0</v>
      </c>
      <c r="AE237" s="417">
        <f t="shared" si="316"/>
        <v>0</v>
      </c>
      <c r="AF237" s="417">
        <f t="shared" si="317"/>
        <v>0</v>
      </c>
      <c r="AG237" s="417">
        <f t="shared" si="318"/>
        <v>0</v>
      </c>
      <c r="AH237" s="417">
        <v>0</v>
      </c>
      <c r="AI237" s="417">
        <v>0</v>
      </c>
      <c r="AJ237" s="417">
        <v>0</v>
      </c>
      <c r="AK237" s="417">
        <v>0</v>
      </c>
      <c r="AL237" s="417">
        <v>0</v>
      </c>
      <c r="AM237" s="417">
        <f t="shared" si="319"/>
        <v>0</v>
      </c>
      <c r="AN237" s="417">
        <f t="shared" si="320"/>
        <v>0</v>
      </c>
      <c r="AO237" s="417">
        <f t="shared" si="321"/>
        <v>0</v>
      </c>
      <c r="AP237" s="417">
        <f t="shared" si="322"/>
        <v>0</v>
      </c>
      <c r="AQ237" s="417">
        <f t="shared" si="323"/>
        <v>0</v>
      </c>
      <c r="AR237" s="417">
        <f t="shared" si="324"/>
        <v>0</v>
      </c>
      <c r="AS237" s="68">
        <f t="shared" si="325"/>
        <v>0</v>
      </c>
      <c r="AT237" s="68">
        <f t="shared" si="326"/>
        <v>0</v>
      </c>
      <c r="AU237" s="417">
        <v>0</v>
      </c>
      <c r="AV237" s="417">
        <v>0</v>
      </c>
      <c r="AW237" s="417">
        <v>0</v>
      </c>
      <c r="AX237" s="417">
        <f t="shared" si="327"/>
        <v>0</v>
      </c>
      <c r="AY237" s="417">
        <f t="shared" si="328"/>
        <v>0</v>
      </c>
      <c r="AZ237" s="418">
        <v>0</v>
      </c>
      <c r="BA237" s="418">
        <v>0</v>
      </c>
      <c r="BB237" s="418">
        <v>0</v>
      </c>
      <c r="BC237" s="418">
        <v>0</v>
      </c>
      <c r="BD237" s="418">
        <v>0</v>
      </c>
      <c r="BE237" s="418">
        <v>0</v>
      </c>
      <c r="BF237" s="418">
        <v>0</v>
      </c>
      <c r="BG237" s="418">
        <v>0</v>
      </c>
      <c r="BH237" s="418">
        <v>0</v>
      </c>
      <c r="BI237" s="418">
        <f t="shared" si="329"/>
        <v>0</v>
      </c>
      <c r="BJ237" s="418">
        <f t="shared" si="330"/>
        <v>0</v>
      </c>
      <c r="BK237" s="420">
        <f t="shared" si="331"/>
        <v>0</v>
      </c>
      <c r="BL237" s="772">
        <f>I237+AY237</f>
        <v>961639</v>
      </c>
      <c r="BM237" s="417">
        <f>J237+AG237</f>
        <v>710605</v>
      </c>
      <c r="BN237" s="417">
        <f t="shared" si="373"/>
        <v>0</v>
      </c>
      <c r="BO237" s="417">
        <f t="shared" si="373"/>
        <v>710605</v>
      </c>
      <c r="BP237" s="417">
        <f>M237+AO237</f>
        <v>0</v>
      </c>
      <c r="BQ237" s="417">
        <f t="shared" si="374"/>
        <v>0</v>
      </c>
      <c r="BR237" s="417">
        <f t="shared" si="374"/>
        <v>0</v>
      </c>
      <c r="BS237" s="417">
        <f t="shared" si="375"/>
        <v>240184</v>
      </c>
      <c r="BT237" s="417">
        <f t="shared" si="375"/>
        <v>7106</v>
      </c>
      <c r="BU237" s="417">
        <f>R237+AX237</f>
        <v>3744</v>
      </c>
      <c r="BV237" s="418">
        <f>S237+BK237</f>
        <v>2.13</v>
      </c>
      <c r="BW237" s="418">
        <f t="shared" si="376"/>
        <v>0</v>
      </c>
      <c r="BX237" s="420">
        <f t="shared" si="376"/>
        <v>2.13</v>
      </c>
      <c r="BY237" s="419"/>
      <c r="BZ237" s="414"/>
      <c r="CA237" s="414"/>
      <c r="CB237" s="414"/>
      <c r="CC237" s="414"/>
      <c r="CD237" s="509"/>
      <c r="CE237" s="419"/>
      <c r="CF237" s="601"/>
      <c r="CG237" s="414"/>
      <c r="CH237" s="414"/>
      <c r="CI237" s="601"/>
      <c r="CJ237" s="603"/>
    </row>
    <row r="238" spans="1:88" s="221" customFormat="1" ht="12.75" customHeight="1">
      <c r="A238" s="155">
        <v>43</v>
      </c>
      <c r="B238" s="18">
        <v>4424</v>
      </c>
      <c r="C238" s="18">
        <v>600074170</v>
      </c>
      <c r="D238" s="18">
        <v>72741562</v>
      </c>
      <c r="E238" s="164" t="s">
        <v>227</v>
      </c>
      <c r="F238" s="18"/>
      <c r="G238" s="154"/>
      <c r="H238" s="608"/>
      <c r="I238" s="451">
        <v>4521571</v>
      </c>
      <c r="J238" s="444">
        <v>3342009</v>
      </c>
      <c r="K238" s="444">
        <v>2304821</v>
      </c>
      <c r="L238" s="444">
        <v>1037188</v>
      </c>
      <c r="M238" s="444">
        <v>0</v>
      </c>
      <c r="N238" s="444">
        <v>0</v>
      </c>
      <c r="O238" s="444">
        <v>0</v>
      </c>
      <c r="P238" s="444">
        <v>1129598</v>
      </c>
      <c r="Q238" s="444">
        <v>33420</v>
      </c>
      <c r="R238" s="444">
        <v>16544</v>
      </c>
      <c r="S238" s="445">
        <v>7.4552999999999994</v>
      </c>
      <c r="T238" s="445">
        <v>4.2257999999999996</v>
      </c>
      <c r="U238" s="449">
        <v>3.2294999999999998</v>
      </c>
      <c r="V238" s="447">
        <f t="shared" ref="V238:CG238" si="377">SUM(V235:V237)</f>
        <v>0</v>
      </c>
      <c r="W238" s="444">
        <f t="shared" si="377"/>
        <v>0</v>
      </c>
      <c r="X238" s="444">
        <f t="shared" si="377"/>
        <v>0</v>
      </c>
      <c r="Y238" s="444">
        <f t="shared" si="377"/>
        <v>0</v>
      </c>
      <c r="Z238" s="444">
        <f t="shared" si="377"/>
        <v>0</v>
      </c>
      <c r="AA238" s="444">
        <f t="shared" si="377"/>
        <v>0</v>
      </c>
      <c r="AB238" s="444">
        <f t="shared" si="377"/>
        <v>0</v>
      </c>
      <c r="AC238" s="444">
        <f t="shared" si="377"/>
        <v>0</v>
      </c>
      <c r="AD238" s="444">
        <f t="shared" si="377"/>
        <v>0</v>
      </c>
      <c r="AE238" s="444">
        <f t="shared" si="377"/>
        <v>0</v>
      </c>
      <c r="AF238" s="444">
        <f t="shared" si="377"/>
        <v>0</v>
      </c>
      <c r="AG238" s="444">
        <f t="shared" si="377"/>
        <v>0</v>
      </c>
      <c r="AH238" s="444">
        <f t="shared" si="377"/>
        <v>0</v>
      </c>
      <c r="AI238" s="444">
        <f t="shared" si="377"/>
        <v>0</v>
      </c>
      <c r="AJ238" s="444">
        <f t="shared" si="377"/>
        <v>0</v>
      </c>
      <c r="AK238" s="444">
        <f t="shared" si="377"/>
        <v>0</v>
      </c>
      <c r="AL238" s="444">
        <f t="shared" si="377"/>
        <v>0</v>
      </c>
      <c r="AM238" s="444">
        <f t="shared" si="377"/>
        <v>0</v>
      </c>
      <c r="AN238" s="444">
        <f t="shared" si="377"/>
        <v>0</v>
      </c>
      <c r="AO238" s="444">
        <f t="shared" si="377"/>
        <v>0</v>
      </c>
      <c r="AP238" s="444">
        <f t="shared" si="377"/>
        <v>0</v>
      </c>
      <c r="AQ238" s="444">
        <f t="shared" si="377"/>
        <v>0</v>
      </c>
      <c r="AR238" s="444">
        <f t="shared" si="377"/>
        <v>0</v>
      </c>
      <c r="AS238" s="444">
        <f t="shared" si="377"/>
        <v>0</v>
      </c>
      <c r="AT238" s="444">
        <f t="shared" si="377"/>
        <v>0</v>
      </c>
      <c r="AU238" s="444">
        <f t="shared" si="377"/>
        <v>0</v>
      </c>
      <c r="AV238" s="444">
        <f t="shared" si="377"/>
        <v>0</v>
      </c>
      <c r="AW238" s="444">
        <f t="shared" si="377"/>
        <v>0</v>
      </c>
      <c r="AX238" s="444">
        <f t="shared" si="377"/>
        <v>0</v>
      </c>
      <c r="AY238" s="444">
        <f t="shared" si="377"/>
        <v>0</v>
      </c>
      <c r="AZ238" s="445">
        <f t="shared" si="377"/>
        <v>0</v>
      </c>
      <c r="BA238" s="445">
        <f t="shared" si="377"/>
        <v>0</v>
      </c>
      <c r="BB238" s="445">
        <f t="shared" si="377"/>
        <v>0</v>
      </c>
      <c r="BC238" s="445">
        <f t="shared" si="377"/>
        <v>0</v>
      </c>
      <c r="BD238" s="445">
        <f t="shared" si="377"/>
        <v>0</v>
      </c>
      <c r="BE238" s="445">
        <f t="shared" si="377"/>
        <v>0</v>
      </c>
      <c r="BF238" s="445">
        <f t="shared" si="377"/>
        <v>0</v>
      </c>
      <c r="BG238" s="445">
        <f t="shared" si="377"/>
        <v>0</v>
      </c>
      <c r="BH238" s="445">
        <f t="shared" si="377"/>
        <v>0</v>
      </c>
      <c r="BI238" s="445">
        <f t="shared" si="377"/>
        <v>0</v>
      </c>
      <c r="BJ238" s="445">
        <f t="shared" si="377"/>
        <v>0</v>
      </c>
      <c r="BK238" s="39">
        <f t="shared" si="377"/>
        <v>0</v>
      </c>
      <c r="BL238" s="451">
        <f t="shared" si="377"/>
        <v>4521571</v>
      </c>
      <c r="BM238" s="444">
        <f t="shared" si="377"/>
        <v>3342009</v>
      </c>
      <c r="BN238" s="444">
        <f t="shared" si="377"/>
        <v>2304821</v>
      </c>
      <c r="BO238" s="444">
        <f t="shared" si="377"/>
        <v>1037188</v>
      </c>
      <c r="BP238" s="444">
        <f t="shared" si="377"/>
        <v>0</v>
      </c>
      <c r="BQ238" s="444">
        <f t="shared" si="377"/>
        <v>0</v>
      </c>
      <c r="BR238" s="444">
        <f t="shared" si="377"/>
        <v>0</v>
      </c>
      <c r="BS238" s="444">
        <f t="shared" si="377"/>
        <v>1129598</v>
      </c>
      <c r="BT238" s="444">
        <f t="shared" si="377"/>
        <v>33420</v>
      </c>
      <c r="BU238" s="444">
        <f t="shared" si="377"/>
        <v>16544</v>
      </c>
      <c r="BV238" s="445">
        <f t="shared" si="377"/>
        <v>7.4552999999999994</v>
      </c>
      <c r="BW238" s="445">
        <f t="shared" si="377"/>
        <v>4.2257999999999996</v>
      </c>
      <c r="BX238" s="39">
        <f t="shared" si="377"/>
        <v>3.2294999999999998</v>
      </c>
      <c r="BY238" s="806">
        <f t="shared" si="377"/>
        <v>0</v>
      </c>
      <c r="BZ238" s="709">
        <f t="shared" si="377"/>
        <v>0</v>
      </c>
      <c r="CA238" s="709">
        <f t="shared" si="377"/>
        <v>0</v>
      </c>
      <c r="CB238" s="709">
        <f t="shared" si="377"/>
        <v>0</v>
      </c>
      <c r="CC238" s="709">
        <f t="shared" si="377"/>
        <v>0</v>
      </c>
      <c r="CD238" s="807">
        <f t="shared" si="377"/>
        <v>0</v>
      </c>
      <c r="CE238" s="919">
        <f t="shared" si="377"/>
        <v>145514</v>
      </c>
      <c r="CF238" s="920">
        <f t="shared" si="377"/>
        <v>104791</v>
      </c>
      <c r="CG238" s="920">
        <f t="shared" si="377"/>
        <v>35419</v>
      </c>
      <c r="CH238" s="920">
        <f t="shared" ref="CH238:CJ238" si="378">SUM(CH235:CH237)</f>
        <v>1048</v>
      </c>
      <c r="CI238" s="920">
        <f t="shared" si="378"/>
        <v>4256</v>
      </c>
      <c r="CJ238" s="921">
        <f t="shared" si="378"/>
        <v>0.3528</v>
      </c>
    </row>
    <row r="239" spans="1:88" s="221" customFormat="1" ht="12.75" customHeight="1">
      <c r="A239" s="209">
        <v>44</v>
      </c>
      <c r="B239" s="210">
        <v>4489</v>
      </c>
      <c r="C239" s="210">
        <v>600075036</v>
      </c>
      <c r="D239" s="210">
        <v>72742607</v>
      </c>
      <c r="E239" s="208" t="s">
        <v>228</v>
      </c>
      <c r="F239" s="210">
        <v>3111</v>
      </c>
      <c r="G239" s="165" t="s">
        <v>290</v>
      </c>
      <c r="H239" s="621" t="s">
        <v>271</v>
      </c>
      <c r="I239" s="510">
        <v>3460907</v>
      </c>
      <c r="J239" s="414">
        <v>2554679</v>
      </c>
      <c r="K239" s="414">
        <v>2358643</v>
      </c>
      <c r="L239" s="414">
        <v>196036</v>
      </c>
      <c r="M239" s="414">
        <v>0</v>
      </c>
      <c r="N239" s="414">
        <v>0</v>
      </c>
      <c r="O239" s="414">
        <v>0</v>
      </c>
      <c r="P239" s="68">
        <v>863481</v>
      </c>
      <c r="Q239" s="68">
        <v>25547</v>
      </c>
      <c r="R239" s="414">
        <v>17200</v>
      </c>
      <c r="S239" s="415">
        <v>4.7854000000000001</v>
      </c>
      <c r="T239" s="416">
        <v>4</v>
      </c>
      <c r="U239" s="422">
        <v>0.78539999999999999</v>
      </c>
      <c r="V239" s="423">
        <f t="shared" si="314"/>
        <v>0</v>
      </c>
      <c r="W239" s="417">
        <f t="shared" si="315"/>
        <v>0</v>
      </c>
      <c r="X239" s="417">
        <v>0</v>
      </c>
      <c r="Y239" s="417">
        <v>0</v>
      </c>
      <c r="Z239" s="417">
        <v>0</v>
      </c>
      <c r="AA239" s="417">
        <v>0</v>
      </c>
      <c r="AB239" s="417">
        <v>0</v>
      </c>
      <c r="AC239" s="417">
        <v>0</v>
      </c>
      <c r="AD239" s="417">
        <v>0</v>
      </c>
      <c r="AE239" s="417">
        <f t="shared" si="316"/>
        <v>0</v>
      </c>
      <c r="AF239" s="417">
        <f t="shared" si="317"/>
        <v>0</v>
      </c>
      <c r="AG239" s="417">
        <f t="shared" si="318"/>
        <v>0</v>
      </c>
      <c r="AH239" s="417">
        <v>0</v>
      </c>
      <c r="AI239" s="417">
        <v>0</v>
      </c>
      <c r="AJ239" s="417">
        <v>0</v>
      </c>
      <c r="AK239" s="417">
        <v>0</v>
      </c>
      <c r="AL239" s="417">
        <v>0</v>
      </c>
      <c r="AM239" s="417">
        <f t="shared" si="319"/>
        <v>0</v>
      </c>
      <c r="AN239" s="417">
        <f t="shared" si="320"/>
        <v>0</v>
      </c>
      <c r="AO239" s="417">
        <f t="shared" si="321"/>
        <v>0</v>
      </c>
      <c r="AP239" s="417">
        <f t="shared" si="322"/>
        <v>0</v>
      </c>
      <c r="AQ239" s="417">
        <f t="shared" si="323"/>
        <v>0</v>
      </c>
      <c r="AR239" s="417">
        <f t="shared" si="324"/>
        <v>0</v>
      </c>
      <c r="AS239" s="68">
        <f t="shared" si="325"/>
        <v>0</v>
      </c>
      <c r="AT239" s="68">
        <f t="shared" si="326"/>
        <v>0</v>
      </c>
      <c r="AU239" s="417">
        <v>0</v>
      </c>
      <c r="AV239" s="417">
        <v>0</v>
      </c>
      <c r="AW239" s="417">
        <v>0</v>
      </c>
      <c r="AX239" s="417">
        <f t="shared" si="327"/>
        <v>0</v>
      </c>
      <c r="AY239" s="417">
        <f t="shared" si="328"/>
        <v>0</v>
      </c>
      <c r="AZ239" s="418">
        <v>0</v>
      </c>
      <c r="BA239" s="418">
        <v>0</v>
      </c>
      <c r="BB239" s="418">
        <v>0</v>
      </c>
      <c r="BC239" s="418">
        <v>0</v>
      </c>
      <c r="BD239" s="418">
        <v>0</v>
      </c>
      <c r="BE239" s="418">
        <v>0</v>
      </c>
      <c r="BF239" s="418">
        <v>0</v>
      </c>
      <c r="BG239" s="418">
        <v>0</v>
      </c>
      <c r="BH239" s="418">
        <v>0</v>
      </c>
      <c r="BI239" s="418">
        <f t="shared" si="329"/>
        <v>0</v>
      </c>
      <c r="BJ239" s="418">
        <f t="shared" si="330"/>
        <v>0</v>
      </c>
      <c r="BK239" s="420">
        <f t="shared" si="331"/>
        <v>0</v>
      </c>
      <c r="BL239" s="772">
        <f t="shared" ref="BL239:BL244" si="379">I239+AY239</f>
        <v>3460907</v>
      </c>
      <c r="BM239" s="417">
        <f t="shared" ref="BM239:BM244" si="380">J239+AG239</f>
        <v>2554679</v>
      </c>
      <c r="BN239" s="417">
        <f t="shared" ref="BN239:BO244" si="381">K239+AE239</f>
        <v>2358643</v>
      </c>
      <c r="BO239" s="417">
        <f t="shared" si="381"/>
        <v>196036</v>
      </c>
      <c r="BP239" s="417">
        <f t="shared" ref="BP239:BP244" si="382">M239+AO239</f>
        <v>0</v>
      </c>
      <c r="BQ239" s="417">
        <f t="shared" ref="BQ239:BR244" si="383">N239+AM239</f>
        <v>0</v>
      </c>
      <c r="BR239" s="417">
        <f t="shared" si="383"/>
        <v>0</v>
      </c>
      <c r="BS239" s="417">
        <f t="shared" ref="BS239:BT244" si="384">P239+AS239</f>
        <v>863481</v>
      </c>
      <c r="BT239" s="417">
        <f t="shared" si="384"/>
        <v>25547</v>
      </c>
      <c r="BU239" s="417">
        <f t="shared" ref="BU239:BU244" si="385">R239+AX239</f>
        <v>17200</v>
      </c>
      <c r="BV239" s="418">
        <f t="shared" ref="BV239:BV244" si="386">S239+BK239</f>
        <v>4.7854000000000001</v>
      </c>
      <c r="BW239" s="418">
        <f t="shared" ref="BW239:BX244" si="387">T239+BI239</f>
        <v>4</v>
      </c>
      <c r="BX239" s="420">
        <f t="shared" si="387"/>
        <v>0.78539999999999999</v>
      </c>
      <c r="BY239" s="419"/>
      <c r="BZ239" s="414"/>
      <c r="CA239" s="414"/>
      <c r="CB239" s="414"/>
      <c r="CC239" s="414"/>
      <c r="CD239" s="509"/>
      <c r="CE239" s="419">
        <v>90508</v>
      </c>
      <c r="CF239" s="414">
        <v>62900</v>
      </c>
      <c r="CG239" s="414">
        <v>21260</v>
      </c>
      <c r="CH239" s="414">
        <v>629</v>
      </c>
      <c r="CI239" s="414">
        <v>5719</v>
      </c>
      <c r="CJ239" s="509">
        <v>0.252</v>
      </c>
    </row>
    <row r="240" spans="1:88" s="221" customFormat="1" ht="12.75" customHeight="1">
      <c r="A240" s="209">
        <v>44</v>
      </c>
      <c r="B240" s="210">
        <v>4489</v>
      </c>
      <c r="C240" s="210">
        <v>600075036</v>
      </c>
      <c r="D240" s="210">
        <v>72742607</v>
      </c>
      <c r="E240" s="208" t="s">
        <v>228</v>
      </c>
      <c r="F240" s="210">
        <v>3117</v>
      </c>
      <c r="G240" s="165" t="s">
        <v>293</v>
      </c>
      <c r="H240" s="621" t="s">
        <v>271</v>
      </c>
      <c r="I240" s="510">
        <v>4000929</v>
      </c>
      <c r="J240" s="414">
        <v>2881981</v>
      </c>
      <c r="K240" s="414">
        <v>2355765</v>
      </c>
      <c r="L240" s="414">
        <v>526216</v>
      </c>
      <c r="M240" s="414">
        <v>36000</v>
      </c>
      <c r="N240" s="414">
        <v>36000</v>
      </c>
      <c r="O240" s="414">
        <v>0</v>
      </c>
      <c r="P240" s="68">
        <v>986278</v>
      </c>
      <c r="Q240" s="68">
        <v>28820</v>
      </c>
      <c r="R240" s="414">
        <v>67850</v>
      </c>
      <c r="S240" s="415">
        <v>5.2628000000000004</v>
      </c>
      <c r="T240" s="416">
        <v>3.8489999999999998</v>
      </c>
      <c r="U240" s="422">
        <v>1.4137999999999999</v>
      </c>
      <c r="V240" s="423">
        <f t="shared" si="314"/>
        <v>0</v>
      </c>
      <c r="W240" s="417">
        <f t="shared" si="315"/>
        <v>0</v>
      </c>
      <c r="X240" s="417">
        <v>0</v>
      </c>
      <c r="Y240" s="417">
        <v>0</v>
      </c>
      <c r="Z240" s="417">
        <v>45121</v>
      </c>
      <c r="AA240" s="417">
        <v>0</v>
      </c>
      <c r="AB240" s="417">
        <v>0</v>
      </c>
      <c r="AC240" s="417">
        <v>0</v>
      </c>
      <c r="AD240" s="417">
        <v>0</v>
      </c>
      <c r="AE240" s="417">
        <f t="shared" si="316"/>
        <v>45121</v>
      </c>
      <c r="AF240" s="417">
        <f t="shared" si="317"/>
        <v>0</v>
      </c>
      <c r="AG240" s="417">
        <f t="shared" si="318"/>
        <v>45121</v>
      </c>
      <c r="AH240" s="417">
        <v>0</v>
      </c>
      <c r="AI240" s="417">
        <v>0</v>
      </c>
      <c r="AJ240" s="417">
        <v>0</v>
      </c>
      <c r="AK240" s="417">
        <v>0</v>
      </c>
      <c r="AL240" s="417">
        <v>0</v>
      </c>
      <c r="AM240" s="417">
        <f t="shared" si="319"/>
        <v>0</v>
      </c>
      <c r="AN240" s="417">
        <f t="shared" si="320"/>
        <v>0</v>
      </c>
      <c r="AO240" s="417">
        <f t="shared" si="321"/>
        <v>0</v>
      </c>
      <c r="AP240" s="417">
        <f t="shared" si="322"/>
        <v>45121</v>
      </c>
      <c r="AQ240" s="417">
        <f t="shared" si="323"/>
        <v>0</v>
      </c>
      <c r="AR240" s="417">
        <f t="shared" si="324"/>
        <v>45121</v>
      </c>
      <c r="AS240" s="68">
        <f t="shared" si="325"/>
        <v>15251</v>
      </c>
      <c r="AT240" s="68">
        <f t="shared" si="326"/>
        <v>451</v>
      </c>
      <c r="AU240" s="417">
        <v>0</v>
      </c>
      <c r="AV240" s="417">
        <v>0</v>
      </c>
      <c r="AW240" s="417">
        <v>0</v>
      </c>
      <c r="AX240" s="417">
        <f t="shared" si="327"/>
        <v>0</v>
      </c>
      <c r="AY240" s="417">
        <f t="shared" si="328"/>
        <v>60823</v>
      </c>
      <c r="AZ240" s="418">
        <v>0</v>
      </c>
      <c r="BA240" s="418">
        <v>0</v>
      </c>
      <c r="BB240" s="418">
        <v>0</v>
      </c>
      <c r="BC240" s="418">
        <v>0.1</v>
      </c>
      <c r="BD240" s="418">
        <v>0</v>
      </c>
      <c r="BE240" s="418">
        <v>0</v>
      </c>
      <c r="BF240" s="418">
        <v>0</v>
      </c>
      <c r="BG240" s="418">
        <v>0</v>
      </c>
      <c r="BH240" s="418">
        <v>0</v>
      </c>
      <c r="BI240" s="418">
        <f t="shared" si="329"/>
        <v>0.1</v>
      </c>
      <c r="BJ240" s="418">
        <f t="shared" si="330"/>
        <v>0</v>
      </c>
      <c r="BK240" s="420">
        <f t="shared" si="331"/>
        <v>0.1</v>
      </c>
      <c r="BL240" s="772">
        <f t="shared" si="379"/>
        <v>4061752</v>
      </c>
      <c r="BM240" s="417">
        <f t="shared" si="380"/>
        <v>2927102</v>
      </c>
      <c r="BN240" s="417">
        <f t="shared" si="381"/>
        <v>2400886</v>
      </c>
      <c r="BO240" s="417">
        <f t="shared" si="381"/>
        <v>526216</v>
      </c>
      <c r="BP240" s="417">
        <f t="shared" si="382"/>
        <v>36000</v>
      </c>
      <c r="BQ240" s="417">
        <f t="shared" si="383"/>
        <v>36000</v>
      </c>
      <c r="BR240" s="417">
        <f t="shared" si="383"/>
        <v>0</v>
      </c>
      <c r="BS240" s="417">
        <f t="shared" si="384"/>
        <v>1001529</v>
      </c>
      <c r="BT240" s="417">
        <f t="shared" si="384"/>
        <v>29271</v>
      </c>
      <c r="BU240" s="417">
        <f t="shared" si="385"/>
        <v>67850</v>
      </c>
      <c r="BV240" s="418">
        <f t="shared" si="386"/>
        <v>5.3628</v>
      </c>
      <c r="BW240" s="418">
        <f t="shared" si="387"/>
        <v>3.9489999999999998</v>
      </c>
      <c r="BX240" s="420">
        <f t="shared" si="387"/>
        <v>1.4137999999999999</v>
      </c>
      <c r="BY240" s="419"/>
      <c r="BZ240" s="414"/>
      <c r="CA240" s="414"/>
      <c r="CB240" s="414"/>
      <c r="CC240" s="414"/>
      <c r="CD240" s="509"/>
      <c r="CE240" s="414">
        <v>239508</v>
      </c>
      <c r="CF240" s="414">
        <v>168872</v>
      </c>
      <c r="CG240" s="414">
        <v>57079</v>
      </c>
      <c r="CH240" s="414">
        <v>1689</v>
      </c>
      <c r="CI240" s="414">
        <v>11868</v>
      </c>
      <c r="CJ240" s="509">
        <v>0.45369999999999999</v>
      </c>
    </row>
    <row r="241" spans="1:88" s="221" customFormat="1" ht="12.75" customHeight="1">
      <c r="A241" s="209">
        <v>44</v>
      </c>
      <c r="B241" s="210">
        <v>4489</v>
      </c>
      <c r="C241" s="210">
        <v>600075036</v>
      </c>
      <c r="D241" s="210">
        <v>72742607</v>
      </c>
      <c r="E241" s="208" t="s">
        <v>228</v>
      </c>
      <c r="F241" s="210">
        <v>3117</v>
      </c>
      <c r="G241" s="165" t="s">
        <v>291</v>
      </c>
      <c r="H241" s="621" t="s">
        <v>272</v>
      </c>
      <c r="I241" s="510">
        <v>1394022</v>
      </c>
      <c r="J241" s="414">
        <v>1029319</v>
      </c>
      <c r="K241" s="414">
        <v>1029319</v>
      </c>
      <c r="L241" s="414">
        <v>0</v>
      </c>
      <c r="M241" s="414">
        <v>0</v>
      </c>
      <c r="N241" s="414">
        <v>0</v>
      </c>
      <c r="O241" s="414">
        <v>0</v>
      </c>
      <c r="P241" s="68">
        <v>347910</v>
      </c>
      <c r="Q241" s="68">
        <v>10293</v>
      </c>
      <c r="R241" s="414">
        <v>6500</v>
      </c>
      <c r="S241" s="415">
        <v>2.85</v>
      </c>
      <c r="T241" s="416">
        <v>2.85</v>
      </c>
      <c r="U241" s="422">
        <v>0</v>
      </c>
      <c r="V241" s="423">
        <f t="shared" si="314"/>
        <v>0</v>
      </c>
      <c r="W241" s="417">
        <f t="shared" si="315"/>
        <v>0</v>
      </c>
      <c r="X241" s="417">
        <v>-78968</v>
      </c>
      <c r="Y241" s="417">
        <v>0</v>
      </c>
      <c r="Z241" s="417">
        <v>0</v>
      </c>
      <c r="AA241" s="417">
        <v>0</v>
      </c>
      <c r="AB241" s="417">
        <v>0</v>
      </c>
      <c r="AC241" s="417">
        <v>0</v>
      </c>
      <c r="AD241" s="417">
        <v>0</v>
      </c>
      <c r="AE241" s="417">
        <f t="shared" si="316"/>
        <v>-78968</v>
      </c>
      <c r="AF241" s="417">
        <f t="shared" si="317"/>
        <v>0</v>
      </c>
      <c r="AG241" s="417">
        <f t="shared" si="318"/>
        <v>-78968</v>
      </c>
      <c r="AH241" s="417">
        <v>0</v>
      </c>
      <c r="AI241" s="417">
        <v>0</v>
      </c>
      <c r="AJ241" s="417">
        <v>0</v>
      </c>
      <c r="AK241" s="417">
        <v>0</v>
      </c>
      <c r="AL241" s="417">
        <v>0</v>
      </c>
      <c r="AM241" s="417">
        <f t="shared" si="319"/>
        <v>0</v>
      </c>
      <c r="AN241" s="417">
        <f t="shared" si="320"/>
        <v>0</v>
      </c>
      <c r="AO241" s="417">
        <f t="shared" si="321"/>
        <v>0</v>
      </c>
      <c r="AP241" s="417">
        <f t="shared" si="322"/>
        <v>-78968</v>
      </c>
      <c r="AQ241" s="417">
        <f t="shared" si="323"/>
        <v>0</v>
      </c>
      <c r="AR241" s="417">
        <f t="shared" si="324"/>
        <v>-78968</v>
      </c>
      <c r="AS241" s="68">
        <f t="shared" si="325"/>
        <v>-26691</v>
      </c>
      <c r="AT241" s="68">
        <f t="shared" si="326"/>
        <v>-790</v>
      </c>
      <c r="AU241" s="417">
        <v>0</v>
      </c>
      <c r="AV241" s="417">
        <v>0</v>
      </c>
      <c r="AW241" s="417">
        <v>0</v>
      </c>
      <c r="AX241" s="417">
        <f t="shared" si="327"/>
        <v>0</v>
      </c>
      <c r="AY241" s="417">
        <f t="shared" si="328"/>
        <v>-106449</v>
      </c>
      <c r="AZ241" s="418">
        <v>0</v>
      </c>
      <c r="BA241" s="418">
        <v>0</v>
      </c>
      <c r="BB241" s="418">
        <v>-0.21</v>
      </c>
      <c r="BC241" s="418">
        <v>0</v>
      </c>
      <c r="BD241" s="418">
        <v>0</v>
      </c>
      <c r="BE241" s="418">
        <v>0</v>
      </c>
      <c r="BF241" s="418">
        <v>0</v>
      </c>
      <c r="BG241" s="418">
        <v>0</v>
      </c>
      <c r="BH241" s="418">
        <v>0</v>
      </c>
      <c r="BI241" s="418">
        <f t="shared" si="329"/>
        <v>-0.21</v>
      </c>
      <c r="BJ241" s="418">
        <f t="shared" si="330"/>
        <v>0</v>
      </c>
      <c r="BK241" s="420">
        <f t="shared" si="331"/>
        <v>-0.21</v>
      </c>
      <c r="BL241" s="772">
        <f t="shared" si="379"/>
        <v>1287573</v>
      </c>
      <c r="BM241" s="417">
        <f t="shared" si="380"/>
        <v>950351</v>
      </c>
      <c r="BN241" s="417">
        <f t="shared" si="381"/>
        <v>950351</v>
      </c>
      <c r="BO241" s="417">
        <f t="shared" si="381"/>
        <v>0</v>
      </c>
      <c r="BP241" s="417">
        <f t="shared" si="382"/>
        <v>0</v>
      </c>
      <c r="BQ241" s="417">
        <f t="shared" si="383"/>
        <v>0</v>
      </c>
      <c r="BR241" s="417">
        <f t="shared" si="383"/>
        <v>0</v>
      </c>
      <c r="BS241" s="417">
        <f t="shared" si="384"/>
        <v>321219</v>
      </c>
      <c r="BT241" s="417">
        <f t="shared" si="384"/>
        <v>9503</v>
      </c>
      <c r="BU241" s="417">
        <f t="shared" si="385"/>
        <v>6500</v>
      </c>
      <c r="BV241" s="418">
        <f t="shared" si="386"/>
        <v>2.64</v>
      </c>
      <c r="BW241" s="418">
        <f t="shared" si="387"/>
        <v>2.64</v>
      </c>
      <c r="BX241" s="420">
        <f t="shared" si="387"/>
        <v>0</v>
      </c>
      <c r="BY241" s="419"/>
      <c r="BZ241" s="414"/>
      <c r="CA241" s="414"/>
      <c r="CB241" s="414"/>
      <c r="CC241" s="414"/>
      <c r="CD241" s="509"/>
      <c r="CE241" s="419"/>
      <c r="CF241" s="414"/>
      <c r="CG241" s="414"/>
      <c r="CH241" s="414"/>
      <c r="CI241" s="414"/>
      <c r="CJ241" s="509"/>
    </row>
    <row r="242" spans="1:88" s="221" customFormat="1" ht="12.75" customHeight="1">
      <c r="A242" s="209">
        <v>44</v>
      </c>
      <c r="B242" s="210">
        <v>4489</v>
      </c>
      <c r="C242" s="210">
        <v>600075036</v>
      </c>
      <c r="D242" s="210">
        <v>72742607</v>
      </c>
      <c r="E242" s="208" t="s">
        <v>228</v>
      </c>
      <c r="F242" s="210">
        <v>3141</v>
      </c>
      <c r="G242" s="165" t="s">
        <v>294</v>
      </c>
      <c r="H242" s="621" t="s">
        <v>272</v>
      </c>
      <c r="I242" s="510">
        <v>1023316</v>
      </c>
      <c r="J242" s="414">
        <v>740323</v>
      </c>
      <c r="K242" s="414">
        <v>0</v>
      </c>
      <c r="L242" s="414">
        <v>740323</v>
      </c>
      <c r="M242" s="414">
        <v>16000</v>
      </c>
      <c r="N242" s="414">
        <v>0</v>
      </c>
      <c r="O242" s="414">
        <v>16000</v>
      </c>
      <c r="P242" s="68">
        <v>255637</v>
      </c>
      <c r="Q242" s="68">
        <v>7404</v>
      </c>
      <c r="R242" s="414">
        <v>3952</v>
      </c>
      <c r="S242" s="415">
        <v>2.27</v>
      </c>
      <c r="T242" s="416">
        <v>0</v>
      </c>
      <c r="U242" s="422">
        <v>2.27</v>
      </c>
      <c r="V242" s="423">
        <f t="shared" si="314"/>
        <v>0</v>
      </c>
      <c r="W242" s="417">
        <f t="shared" si="315"/>
        <v>-14000</v>
      </c>
      <c r="X242" s="417">
        <v>0</v>
      </c>
      <c r="Y242" s="417">
        <v>0</v>
      </c>
      <c r="Z242" s="417">
        <v>0</v>
      </c>
      <c r="AA242" s="417">
        <v>10983</v>
      </c>
      <c r="AB242" s="417">
        <v>0</v>
      </c>
      <c r="AC242" s="417">
        <v>0</v>
      </c>
      <c r="AD242" s="417">
        <v>0</v>
      </c>
      <c r="AE242" s="417">
        <f t="shared" si="316"/>
        <v>0</v>
      </c>
      <c r="AF242" s="417">
        <f t="shared" si="317"/>
        <v>-3017</v>
      </c>
      <c r="AG242" s="417">
        <f t="shared" si="318"/>
        <v>-3017</v>
      </c>
      <c r="AH242" s="417">
        <v>0</v>
      </c>
      <c r="AI242" s="417">
        <v>14000</v>
      </c>
      <c r="AJ242" s="417">
        <v>0</v>
      </c>
      <c r="AK242" s="417">
        <v>0</v>
      </c>
      <c r="AL242" s="417">
        <v>0</v>
      </c>
      <c r="AM242" s="417">
        <f t="shared" si="319"/>
        <v>0</v>
      </c>
      <c r="AN242" s="417">
        <f t="shared" si="320"/>
        <v>14000</v>
      </c>
      <c r="AO242" s="417">
        <f t="shared" si="321"/>
        <v>14000</v>
      </c>
      <c r="AP242" s="417">
        <f t="shared" si="322"/>
        <v>0</v>
      </c>
      <c r="AQ242" s="417">
        <f t="shared" si="323"/>
        <v>10983</v>
      </c>
      <c r="AR242" s="417">
        <f t="shared" si="324"/>
        <v>10983</v>
      </c>
      <c r="AS242" s="68">
        <f t="shared" si="325"/>
        <v>3712</v>
      </c>
      <c r="AT242" s="68">
        <f t="shared" si="326"/>
        <v>-30</v>
      </c>
      <c r="AU242" s="417">
        <v>0</v>
      </c>
      <c r="AV242" s="417">
        <v>0</v>
      </c>
      <c r="AW242" s="417">
        <v>0</v>
      </c>
      <c r="AX242" s="417">
        <f t="shared" si="327"/>
        <v>0</v>
      </c>
      <c r="AY242" s="417">
        <f t="shared" si="328"/>
        <v>14665</v>
      </c>
      <c r="AZ242" s="418">
        <v>0</v>
      </c>
      <c r="BA242" s="418">
        <v>0</v>
      </c>
      <c r="BB242" s="418">
        <v>0</v>
      </c>
      <c r="BC242" s="418">
        <v>0</v>
      </c>
      <c r="BD242" s="418">
        <v>0.03</v>
      </c>
      <c r="BE242" s="418">
        <v>0</v>
      </c>
      <c r="BF242" s="418">
        <v>0</v>
      </c>
      <c r="BG242" s="418">
        <v>0</v>
      </c>
      <c r="BH242" s="418">
        <v>0</v>
      </c>
      <c r="BI242" s="418">
        <f t="shared" si="329"/>
        <v>0</v>
      </c>
      <c r="BJ242" s="418">
        <f t="shared" si="330"/>
        <v>0.03</v>
      </c>
      <c r="BK242" s="420">
        <f t="shared" si="331"/>
        <v>0.03</v>
      </c>
      <c r="BL242" s="772">
        <f t="shared" si="379"/>
        <v>1037981</v>
      </c>
      <c r="BM242" s="417">
        <f t="shared" si="380"/>
        <v>737306</v>
      </c>
      <c r="BN242" s="417">
        <f t="shared" si="381"/>
        <v>0</v>
      </c>
      <c r="BO242" s="417">
        <f t="shared" si="381"/>
        <v>737306</v>
      </c>
      <c r="BP242" s="417">
        <f t="shared" si="382"/>
        <v>30000</v>
      </c>
      <c r="BQ242" s="417">
        <f t="shared" si="383"/>
        <v>0</v>
      </c>
      <c r="BR242" s="417">
        <f t="shared" si="383"/>
        <v>30000</v>
      </c>
      <c r="BS242" s="417">
        <f t="shared" si="384"/>
        <v>259349</v>
      </c>
      <c r="BT242" s="417">
        <f t="shared" si="384"/>
        <v>7374</v>
      </c>
      <c r="BU242" s="417">
        <f t="shared" si="385"/>
        <v>3952</v>
      </c>
      <c r="BV242" s="418">
        <f t="shared" si="386"/>
        <v>2.2999999999999998</v>
      </c>
      <c r="BW242" s="418">
        <f t="shared" si="387"/>
        <v>0</v>
      </c>
      <c r="BX242" s="420">
        <f t="shared" si="387"/>
        <v>2.2999999999999998</v>
      </c>
      <c r="BY242" s="419"/>
      <c r="BZ242" s="414"/>
      <c r="CA242" s="414"/>
      <c r="CB242" s="414"/>
      <c r="CC242" s="414"/>
      <c r="CD242" s="509"/>
      <c r="CE242" s="419"/>
      <c r="CF242" s="601"/>
      <c r="CG242" s="414"/>
      <c r="CH242" s="414"/>
      <c r="CI242" s="601"/>
      <c r="CJ242" s="603"/>
    </row>
    <row r="243" spans="1:88" s="221" customFormat="1" ht="12.75" customHeight="1">
      <c r="A243" s="209">
        <v>44</v>
      </c>
      <c r="B243" s="210">
        <v>4489</v>
      </c>
      <c r="C243" s="210">
        <v>600075036</v>
      </c>
      <c r="D243" s="210">
        <v>72742607</v>
      </c>
      <c r="E243" s="208" t="s">
        <v>228</v>
      </c>
      <c r="F243" s="210">
        <v>3143</v>
      </c>
      <c r="G243" s="165" t="s">
        <v>595</v>
      </c>
      <c r="H243" s="609" t="s">
        <v>271</v>
      </c>
      <c r="I243" s="510">
        <v>1119046</v>
      </c>
      <c r="J243" s="414">
        <v>820227</v>
      </c>
      <c r="K243" s="414">
        <v>820227</v>
      </c>
      <c r="L243" s="414">
        <v>0</v>
      </c>
      <c r="M243" s="414">
        <v>10000</v>
      </c>
      <c r="N243" s="414">
        <v>10000</v>
      </c>
      <c r="O243" s="414">
        <v>0</v>
      </c>
      <c r="P243" s="68">
        <v>280617</v>
      </c>
      <c r="Q243" s="68">
        <v>8202</v>
      </c>
      <c r="R243" s="414">
        <v>0</v>
      </c>
      <c r="S243" s="415">
        <v>1.6367</v>
      </c>
      <c r="T243" s="416">
        <v>1.6367</v>
      </c>
      <c r="U243" s="422">
        <v>0</v>
      </c>
      <c r="V243" s="423">
        <f t="shared" si="314"/>
        <v>0</v>
      </c>
      <c r="W243" s="417">
        <f t="shared" si="315"/>
        <v>0</v>
      </c>
      <c r="X243" s="417">
        <v>0</v>
      </c>
      <c r="Y243" s="417">
        <v>0</v>
      </c>
      <c r="Z243" s="417">
        <v>33178</v>
      </c>
      <c r="AA243" s="417">
        <v>0</v>
      </c>
      <c r="AB243" s="417">
        <v>0</v>
      </c>
      <c r="AC243" s="417">
        <v>0</v>
      </c>
      <c r="AD243" s="417">
        <v>0</v>
      </c>
      <c r="AE243" s="417">
        <f t="shared" si="316"/>
        <v>33178</v>
      </c>
      <c r="AF243" s="417">
        <f t="shared" si="317"/>
        <v>0</v>
      </c>
      <c r="AG243" s="417">
        <f t="shared" si="318"/>
        <v>33178</v>
      </c>
      <c r="AH243" s="417">
        <v>0</v>
      </c>
      <c r="AI243" s="417">
        <v>0</v>
      </c>
      <c r="AJ243" s="417">
        <v>0</v>
      </c>
      <c r="AK243" s="417">
        <v>0</v>
      </c>
      <c r="AL243" s="417">
        <v>0</v>
      </c>
      <c r="AM243" s="417">
        <f t="shared" si="319"/>
        <v>0</v>
      </c>
      <c r="AN243" s="417">
        <f t="shared" si="320"/>
        <v>0</v>
      </c>
      <c r="AO243" s="417">
        <f t="shared" si="321"/>
        <v>0</v>
      </c>
      <c r="AP243" s="417">
        <f t="shared" si="322"/>
        <v>33178</v>
      </c>
      <c r="AQ243" s="417">
        <f t="shared" si="323"/>
        <v>0</v>
      </c>
      <c r="AR243" s="417">
        <f t="shared" si="324"/>
        <v>33178</v>
      </c>
      <c r="AS243" s="68">
        <f t="shared" si="325"/>
        <v>11214</v>
      </c>
      <c r="AT243" s="68">
        <f t="shared" si="326"/>
        <v>332</v>
      </c>
      <c r="AU243" s="417">
        <v>0</v>
      </c>
      <c r="AV243" s="417">
        <v>0</v>
      </c>
      <c r="AW243" s="417">
        <v>0</v>
      </c>
      <c r="AX243" s="417">
        <f t="shared" si="327"/>
        <v>0</v>
      </c>
      <c r="AY243" s="417">
        <f t="shared" si="328"/>
        <v>44724</v>
      </c>
      <c r="AZ243" s="418">
        <v>0</v>
      </c>
      <c r="BA243" s="418">
        <v>0</v>
      </c>
      <c r="BB243" s="418">
        <v>0</v>
      </c>
      <c r="BC243" s="418">
        <v>0.08</v>
      </c>
      <c r="BD243" s="418">
        <v>0</v>
      </c>
      <c r="BE243" s="418">
        <v>0</v>
      </c>
      <c r="BF243" s="418">
        <v>0</v>
      </c>
      <c r="BG243" s="418">
        <v>0</v>
      </c>
      <c r="BH243" s="418">
        <v>0</v>
      </c>
      <c r="BI243" s="418">
        <f t="shared" si="329"/>
        <v>0.08</v>
      </c>
      <c r="BJ243" s="418">
        <f t="shared" si="330"/>
        <v>0</v>
      </c>
      <c r="BK243" s="420">
        <f t="shared" si="331"/>
        <v>0.08</v>
      </c>
      <c r="BL243" s="772">
        <f t="shared" si="379"/>
        <v>1163770</v>
      </c>
      <c r="BM243" s="417">
        <f t="shared" si="380"/>
        <v>853405</v>
      </c>
      <c r="BN243" s="417">
        <f t="shared" si="381"/>
        <v>853405</v>
      </c>
      <c r="BO243" s="417">
        <f t="shared" si="381"/>
        <v>0</v>
      </c>
      <c r="BP243" s="417">
        <f t="shared" si="382"/>
        <v>10000</v>
      </c>
      <c r="BQ243" s="417">
        <f t="shared" si="383"/>
        <v>10000</v>
      </c>
      <c r="BR243" s="417">
        <f t="shared" si="383"/>
        <v>0</v>
      </c>
      <c r="BS243" s="417">
        <f t="shared" si="384"/>
        <v>291831</v>
      </c>
      <c r="BT243" s="417">
        <f t="shared" si="384"/>
        <v>8534</v>
      </c>
      <c r="BU243" s="417">
        <f t="shared" si="385"/>
        <v>0</v>
      </c>
      <c r="BV243" s="418">
        <f t="shared" si="386"/>
        <v>1.7167000000000001</v>
      </c>
      <c r="BW243" s="418">
        <f t="shared" si="387"/>
        <v>1.7167000000000001</v>
      </c>
      <c r="BX243" s="420">
        <f t="shared" si="387"/>
        <v>0</v>
      </c>
      <c r="BY243" s="419"/>
      <c r="BZ243" s="414"/>
      <c r="CA243" s="414"/>
      <c r="CB243" s="414"/>
      <c r="CC243" s="414"/>
      <c r="CD243" s="509"/>
      <c r="CE243" s="419"/>
      <c r="CF243" s="414"/>
      <c r="CG243" s="414"/>
      <c r="CH243" s="414"/>
      <c r="CI243" s="414"/>
      <c r="CJ243" s="509"/>
    </row>
    <row r="244" spans="1:88" s="221" customFormat="1" ht="12.75" customHeight="1">
      <c r="A244" s="209">
        <v>44</v>
      </c>
      <c r="B244" s="210">
        <v>4489</v>
      </c>
      <c r="C244" s="210">
        <v>600075036</v>
      </c>
      <c r="D244" s="210">
        <v>72742607</v>
      </c>
      <c r="E244" s="208" t="s">
        <v>228</v>
      </c>
      <c r="F244" s="210">
        <v>3143</v>
      </c>
      <c r="G244" s="165" t="s">
        <v>596</v>
      </c>
      <c r="H244" s="609" t="s">
        <v>272</v>
      </c>
      <c r="I244" s="510">
        <v>33041</v>
      </c>
      <c r="J244" s="414">
        <v>23650</v>
      </c>
      <c r="K244" s="414">
        <v>0</v>
      </c>
      <c r="L244" s="414">
        <v>23650</v>
      </c>
      <c r="M244" s="414">
        <v>0</v>
      </c>
      <c r="N244" s="414">
        <v>0</v>
      </c>
      <c r="O244" s="414">
        <v>0</v>
      </c>
      <c r="P244" s="68">
        <v>7993</v>
      </c>
      <c r="Q244" s="68">
        <v>237</v>
      </c>
      <c r="R244" s="414">
        <v>1161</v>
      </c>
      <c r="S244" s="415">
        <v>0.09</v>
      </c>
      <c r="T244" s="416">
        <v>0</v>
      </c>
      <c r="U244" s="422">
        <v>0.09</v>
      </c>
      <c r="V244" s="423">
        <f t="shared" si="314"/>
        <v>0</v>
      </c>
      <c r="W244" s="417">
        <f t="shared" si="315"/>
        <v>0</v>
      </c>
      <c r="X244" s="417">
        <v>0</v>
      </c>
      <c r="Y244" s="417">
        <v>0</v>
      </c>
      <c r="Z244" s="417">
        <v>0</v>
      </c>
      <c r="AA244" s="417">
        <v>0</v>
      </c>
      <c r="AB244" s="417">
        <v>0</v>
      </c>
      <c r="AC244" s="417">
        <v>0</v>
      </c>
      <c r="AD244" s="417">
        <v>0</v>
      </c>
      <c r="AE244" s="417">
        <f t="shared" si="316"/>
        <v>0</v>
      </c>
      <c r="AF244" s="417">
        <f t="shared" si="317"/>
        <v>0</v>
      </c>
      <c r="AG244" s="417">
        <f t="shared" si="318"/>
        <v>0</v>
      </c>
      <c r="AH244" s="417">
        <v>0</v>
      </c>
      <c r="AI244" s="417">
        <v>0</v>
      </c>
      <c r="AJ244" s="417">
        <v>0</v>
      </c>
      <c r="AK244" s="417">
        <v>0</v>
      </c>
      <c r="AL244" s="417">
        <v>0</v>
      </c>
      <c r="AM244" s="417">
        <f t="shared" si="319"/>
        <v>0</v>
      </c>
      <c r="AN244" s="417">
        <f t="shared" si="320"/>
        <v>0</v>
      </c>
      <c r="AO244" s="417">
        <f t="shared" si="321"/>
        <v>0</v>
      </c>
      <c r="AP244" s="417">
        <f t="shared" si="322"/>
        <v>0</v>
      </c>
      <c r="AQ244" s="417">
        <f t="shared" si="323"/>
        <v>0</v>
      </c>
      <c r="AR244" s="417">
        <f t="shared" si="324"/>
        <v>0</v>
      </c>
      <c r="AS244" s="68">
        <f t="shared" si="325"/>
        <v>0</v>
      </c>
      <c r="AT244" s="68">
        <f t="shared" si="326"/>
        <v>0</v>
      </c>
      <c r="AU244" s="417">
        <v>0</v>
      </c>
      <c r="AV244" s="417">
        <v>0</v>
      </c>
      <c r="AW244" s="417">
        <v>0</v>
      </c>
      <c r="AX244" s="417">
        <f t="shared" si="327"/>
        <v>0</v>
      </c>
      <c r="AY244" s="417">
        <f t="shared" si="328"/>
        <v>0</v>
      </c>
      <c r="AZ244" s="418">
        <v>0</v>
      </c>
      <c r="BA244" s="418">
        <v>0</v>
      </c>
      <c r="BB244" s="418">
        <v>0</v>
      </c>
      <c r="BC244" s="418">
        <v>0</v>
      </c>
      <c r="BD244" s="418">
        <v>0</v>
      </c>
      <c r="BE244" s="418">
        <v>0</v>
      </c>
      <c r="BF244" s="418">
        <v>0</v>
      </c>
      <c r="BG244" s="418">
        <v>0</v>
      </c>
      <c r="BH244" s="418">
        <v>0</v>
      </c>
      <c r="BI244" s="418">
        <f t="shared" si="329"/>
        <v>0</v>
      </c>
      <c r="BJ244" s="418">
        <f t="shared" si="330"/>
        <v>0</v>
      </c>
      <c r="BK244" s="420">
        <f t="shared" si="331"/>
        <v>0</v>
      </c>
      <c r="BL244" s="772">
        <f t="shared" si="379"/>
        <v>33041</v>
      </c>
      <c r="BM244" s="417">
        <f t="shared" si="380"/>
        <v>23650</v>
      </c>
      <c r="BN244" s="417">
        <f t="shared" si="381"/>
        <v>0</v>
      </c>
      <c r="BO244" s="417">
        <f t="shared" si="381"/>
        <v>23650</v>
      </c>
      <c r="BP244" s="417">
        <f t="shared" si="382"/>
        <v>0</v>
      </c>
      <c r="BQ244" s="417">
        <f t="shared" si="383"/>
        <v>0</v>
      </c>
      <c r="BR244" s="417">
        <f t="shared" si="383"/>
        <v>0</v>
      </c>
      <c r="BS244" s="417">
        <f t="shared" si="384"/>
        <v>7993</v>
      </c>
      <c r="BT244" s="417">
        <f t="shared" si="384"/>
        <v>237</v>
      </c>
      <c r="BU244" s="417">
        <f t="shared" si="385"/>
        <v>1161</v>
      </c>
      <c r="BV244" s="418">
        <f t="shared" si="386"/>
        <v>0.09</v>
      </c>
      <c r="BW244" s="418">
        <f t="shared" si="387"/>
        <v>0</v>
      </c>
      <c r="BX244" s="420">
        <f t="shared" si="387"/>
        <v>0.09</v>
      </c>
      <c r="BY244" s="419"/>
      <c r="BZ244" s="414"/>
      <c r="CA244" s="414"/>
      <c r="CB244" s="414"/>
      <c r="CC244" s="414"/>
      <c r="CD244" s="509"/>
      <c r="CE244" s="419"/>
      <c r="CF244" s="601"/>
      <c r="CG244" s="414"/>
      <c r="CH244" s="414"/>
      <c r="CI244" s="602"/>
      <c r="CJ244" s="603"/>
    </row>
    <row r="245" spans="1:88" s="221" customFormat="1" ht="12.75" customHeight="1">
      <c r="A245" s="155">
        <v>44</v>
      </c>
      <c r="B245" s="18">
        <v>4489</v>
      </c>
      <c r="C245" s="18">
        <v>600075036</v>
      </c>
      <c r="D245" s="18">
        <v>72742607</v>
      </c>
      <c r="E245" s="164" t="s">
        <v>229</v>
      </c>
      <c r="F245" s="18"/>
      <c r="G245" s="154"/>
      <c r="H245" s="608"/>
      <c r="I245" s="451">
        <v>11031261</v>
      </c>
      <c r="J245" s="444">
        <v>8050179</v>
      </c>
      <c r="K245" s="444">
        <v>6563954</v>
      </c>
      <c r="L245" s="444">
        <v>1486225</v>
      </c>
      <c r="M245" s="444">
        <v>62000</v>
      </c>
      <c r="N245" s="444">
        <v>46000</v>
      </c>
      <c r="O245" s="444">
        <v>16000</v>
      </c>
      <c r="P245" s="444">
        <v>2741916</v>
      </c>
      <c r="Q245" s="444">
        <v>80503</v>
      </c>
      <c r="R245" s="444">
        <v>96663</v>
      </c>
      <c r="S245" s="445">
        <v>16.8949</v>
      </c>
      <c r="T245" s="445">
        <v>12.335699999999999</v>
      </c>
      <c r="U245" s="449">
        <v>4.5591999999999997</v>
      </c>
      <c r="V245" s="447">
        <f t="shared" ref="V245:CG245" si="388">SUM(V239:V244)</f>
        <v>0</v>
      </c>
      <c r="W245" s="444">
        <f t="shared" si="388"/>
        <v>-14000</v>
      </c>
      <c r="X245" s="444">
        <f t="shared" si="388"/>
        <v>-78968</v>
      </c>
      <c r="Y245" s="444">
        <f t="shared" si="388"/>
        <v>0</v>
      </c>
      <c r="Z245" s="444">
        <f t="shared" si="388"/>
        <v>78299</v>
      </c>
      <c r="AA245" s="444">
        <f t="shared" si="388"/>
        <v>10983</v>
      </c>
      <c r="AB245" s="444">
        <f t="shared" si="388"/>
        <v>0</v>
      </c>
      <c r="AC245" s="444">
        <f t="shared" si="388"/>
        <v>0</v>
      </c>
      <c r="AD245" s="444">
        <f t="shared" si="388"/>
        <v>0</v>
      </c>
      <c r="AE245" s="444">
        <f t="shared" si="388"/>
        <v>-669</v>
      </c>
      <c r="AF245" s="444">
        <f t="shared" si="388"/>
        <v>-3017</v>
      </c>
      <c r="AG245" s="444">
        <f t="shared" si="388"/>
        <v>-3686</v>
      </c>
      <c r="AH245" s="444">
        <f t="shared" si="388"/>
        <v>0</v>
      </c>
      <c r="AI245" s="444">
        <f t="shared" si="388"/>
        <v>14000</v>
      </c>
      <c r="AJ245" s="444">
        <f t="shared" si="388"/>
        <v>0</v>
      </c>
      <c r="AK245" s="444">
        <f t="shared" si="388"/>
        <v>0</v>
      </c>
      <c r="AL245" s="444">
        <f t="shared" si="388"/>
        <v>0</v>
      </c>
      <c r="AM245" s="444">
        <f t="shared" si="388"/>
        <v>0</v>
      </c>
      <c r="AN245" s="444">
        <f t="shared" si="388"/>
        <v>14000</v>
      </c>
      <c r="AO245" s="444">
        <f t="shared" si="388"/>
        <v>14000</v>
      </c>
      <c r="AP245" s="444">
        <f t="shared" si="388"/>
        <v>-669</v>
      </c>
      <c r="AQ245" s="444">
        <f t="shared" si="388"/>
        <v>10983</v>
      </c>
      <c r="AR245" s="444">
        <f t="shared" si="388"/>
        <v>10314</v>
      </c>
      <c r="AS245" s="444">
        <f t="shared" si="388"/>
        <v>3486</v>
      </c>
      <c r="AT245" s="444">
        <f t="shared" si="388"/>
        <v>-37</v>
      </c>
      <c r="AU245" s="444">
        <f t="shared" si="388"/>
        <v>0</v>
      </c>
      <c r="AV245" s="444">
        <f t="shared" si="388"/>
        <v>0</v>
      </c>
      <c r="AW245" s="444">
        <f t="shared" si="388"/>
        <v>0</v>
      </c>
      <c r="AX245" s="444">
        <f t="shared" si="388"/>
        <v>0</v>
      </c>
      <c r="AY245" s="444">
        <f t="shared" si="388"/>
        <v>13763</v>
      </c>
      <c r="AZ245" s="445">
        <f t="shared" si="388"/>
        <v>0</v>
      </c>
      <c r="BA245" s="445">
        <f t="shared" si="388"/>
        <v>0</v>
      </c>
      <c r="BB245" s="445">
        <f t="shared" si="388"/>
        <v>-0.21</v>
      </c>
      <c r="BC245" s="445">
        <f t="shared" si="388"/>
        <v>0.18</v>
      </c>
      <c r="BD245" s="445">
        <f t="shared" si="388"/>
        <v>0.03</v>
      </c>
      <c r="BE245" s="445">
        <f t="shared" si="388"/>
        <v>0</v>
      </c>
      <c r="BF245" s="445">
        <f t="shared" si="388"/>
        <v>0</v>
      </c>
      <c r="BG245" s="445">
        <f t="shared" si="388"/>
        <v>0</v>
      </c>
      <c r="BH245" s="445">
        <f t="shared" si="388"/>
        <v>0</v>
      </c>
      <c r="BI245" s="445">
        <f t="shared" si="388"/>
        <v>-2.9999999999999985E-2</v>
      </c>
      <c r="BJ245" s="445">
        <f t="shared" si="388"/>
        <v>0.03</v>
      </c>
      <c r="BK245" s="39">
        <f t="shared" si="388"/>
        <v>1.3877787807814457E-17</v>
      </c>
      <c r="BL245" s="451">
        <f t="shared" si="388"/>
        <v>11045024</v>
      </c>
      <c r="BM245" s="444">
        <f t="shared" si="388"/>
        <v>8046493</v>
      </c>
      <c r="BN245" s="444">
        <f t="shared" si="388"/>
        <v>6563285</v>
      </c>
      <c r="BO245" s="444">
        <f t="shared" si="388"/>
        <v>1483208</v>
      </c>
      <c r="BP245" s="444">
        <f t="shared" si="388"/>
        <v>76000</v>
      </c>
      <c r="BQ245" s="444">
        <f t="shared" si="388"/>
        <v>46000</v>
      </c>
      <c r="BR245" s="444">
        <f t="shared" si="388"/>
        <v>30000</v>
      </c>
      <c r="BS245" s="444">
        <f t="shared" si="388"/>
        <v>2745402</v>
      </c>
      <c r="BT245" s="444">
        <f t="shared" si="388"/>
        <v>80466</v>
      </c>
      <c r="BU245" s="444">
        <f t="shared" si="388"/>
        <v>96663</v>
      </c>
      <c r="BV245" s="445">
        <f t="shared" si="388"/>
        <v>16.8949</v>
      </c>
      <c r="BW245" s="445">
        <f t="shared" si="388"/>
        <v>12.3057</v>
      </c>
      <c r="BX245" s="39">
        <f t="shared" si="388"/>
        <v>4.5891999999999999</v>
      </c>
      <c r="BY245" s="806">
        <f t="shared" si="388"/>
        <v>0</v>
      </c>
      <c r="BZ245" s="709">
        <f t="shared" si="388"/>
        <v>0</v>
      </c>
      <c r="CA245" s="709">
        <f t="shared" si="388"/>
        <v>0</v>
      </c>
      <c r="CB245" s="709">
        <f t="shared" si="388"/>
        <v>0</v>
      </c>
      <c r="CC245" s="709">
        <f t="shared" si="388"/>
        <v>0</v>
      </c>
      <c r="CD245" s="807">
        <f t="shared" si="388"/>
        <v>0</v>
      </c>
      <c r="CE245" s="919">
        <f t="shared" si="388"/>
        <v>330016</v>
      </c>
      <c r="CF245" s="920">
        <f t="shared" si="388"/>
        <v>231772</v>
      </c>
      <c r="CG245" s="920">
        <f t="shared" si="388"/>
        <v>78339</v>
      </c>
      <c r="CH245" s="920">
        <f t="shared" ref="CH245:CJ245" si="389">SUM(CH239:CH244)</f>
        <v>2318</v>
      </c>
      <c r="CI245" s="920">
        <f t="shared" si="389"/>
        <v>17587</v>
      </c>
      <c r="CJ245" s="921">
        <f t="shared" si="389"/>
        <v>0.70569999999999999</v>
      </c>
    </row>
    <row r="246" spans="1:88" s="221" customFormat="1" ht="12.75" customHeight="1">
      <c r="A246" s="209">
        <v>45</v>
      </c>
      <c r="B246" s="210">
        <v>4426</v>
      </c>
      <c r="C246" s="210">
        <v>600074129</v>
      </c>
      <c r="D246" s="210">
        <v>72742160</v>
      </c>
      <c r="E246" s="208" t="s">
        <v>230</v>
      </c>
      <c r="F246" s="210">
        <v>3111</v>
      </c>
      <c r="G246" s="165" t="s">
        <v>290</v>
      </c>
      <c r="H246" s="621" t="s">
        <v>271</v>
      </c>
      <c r="I246" s="510">
        <v>3459304</v>
      </c>
      <c r="J246" s="414">
        <v>2558238</v>
      </c>
      <c r="K246" s="414">
        <v>2231655</v>
      </c>
      <c r="L246" s="414">
        <v>326583</v>
      </c>
      <c r="M246" s="414">
        <v>0</v>
      </c>
      <c r="N246" s="414">
        <v>0</v>
      </c>
      <c r="O246" s="414">
        <v>0</v>
      </c>
      <c r="P246" s="68">
        <v>864684</v>
      </c>
      <c r="Q246" s="68">
        <v>25582</v>
      </c>
      <c r="R246" s="414">
        <v>10800</v>
      </c>
      <c r="S246" s="415">
        <v>5.0994999999999999</v>
      </c>
      <c r="T246" s="416">
        <v>4</v>
      </c>
      <c r="U246" s="422">
        <v>1.0994999999999999</v>
      </c>
      <c r="V246" s="423">
        <f t="shared" si="314"/>
        <v>0</v>
      </c>
      <c r="W246" s="417">
        <f t="shared" si="315"/>
        <v>0</v>
      </c>
      <c r="X246" s="417">
        <v>0</v>
      </c>
      <c r="Y246" s="417">
        <v>0</v>
      </c>
      <c r="Z246" s="417">
        <v>0</v>
      </c>
      <c r="AA246" s="417">
        <v>0</v>
      </c>
      <c r="AB246" s="417">
        <v>0</v>
      </c>
      <c r="AC246" s="417">
        <v>0</v>
      </c>
      <c r="AD246" s="417">
        <v>0</v>
      </c>
      <c r="AE246" s="417">
        <f t="shared" si="316"/>
        <v>0</v>
      </c>
      <c r="AF246" s="417">
        <f t="shared" si="317"/>
        <v>0</v>
      </c>
      <c r="AG246" s="417">
        <f t="shared" si="318"/>
        <v>0</v>
      </c>
      <c r="AH246" s="417">
        <v>0</v>
      </c>
      <c r="AI246" s="417">
        <v>0</v>
      </c>
      <c r="AJ246" s="417">
        <v>0</v>
      </c>
      <c r="AK246" s="417">
        <v>0</v>
      </c>
      <c r="AL246" s="417">
        <v>0</v>
      </c>
      <c r="AM246" s="417">
        <f t="shared" si="319"/>
        <v>0</v>
      </c>
      <c r="AN246" s="417">
        <f t="shared" si="320"/>
        <v>0</v>
      </c>
      <c r="AO246" s="417">
        <f t="shared" si="321"/>
        <v>0</v>
      </c>
      <c r="AP246" s="417">
        <f t="shared" si="322"/>
        <v>0</v>
      </c>
      <c r="AQ246" s="417">
        <f t="shared" si="323"/>
        <v>0</v>
      </c>
      <c r="AR246" s="417">
        <f t="shared" si="324"/>
        <v>0</v>
      </c>
      <c r="AS246" s="68">
        <f t="shared" si="325"/>
        <v>0</v>
      </c>
      <c r="AT246" s="68">
        <f t="shared" si="326"/>
        <v>0</v>
      </c>
      <c r="AU246" s="417">
        <v>0</v>
      </c>
      <c r="AV246" s="417">
        <v>0</v>
      </c>
      <c r="AW246" s="417">
        <v>0</v>
      </c>
      <c r="AX246" s="417">
        <f t="shared" si="327"/>
        <v>0</v>
      </c>
      <c r="AY246" s="417">
        <f t="shared" si="328"/>
        <v>0</v>
      </c>
      <c r="AZ246" s="418">
        <v>0</v>
      </c>
      <c r="BA246" s="418">
        <v>0</v>
      </c>
      <c r="BB246" s="418">
        <v>0</v>
      </c>
      <c r="BC246" s="418">
        <v>0</v>
      </c>
      <c r="BD246" s="418">
        <v>0</v>
      </c>
      <c r="BE246" s="418">
        <v>0</v>
      </c>
      <c r="BF246" s="418">
        <v>0</v>
      </c>
      <c r="BG246" s="418">
        <v>0</v>
      </c>
      <c r="BH246" s="418">
        <v>0</v>
      </c>
      <c r="BI246" s="418">
        <f t="shared" si="329"/>
        <v>0</v>
      </c>
      <c r="BJ246" s="418">
        <f t="shared" si="330"/>
        <v>0</v>
      </c>
      <c r="BK246" s="420">
        <f t="shared" si="331"/>
        <v>0</v>
      </c>
      <c r="BL246" s="772">
        <f>I246+AY246</f>
        <v>3459304</v>
      </c>
      <c r="BM246" s="417">
        <f>J246+AG246</f>
        <v>2558238</v>
      </c>
      <c r="BN246" s="417">
        <f t="shared" ref="BN246:BO248" si="390">K246+AE246</f>
        <v>2231655</v>
      </c>
      <c r="BO246" s="417">
        <f t="shared" si="390"/>
        <v>326583</v>
      </c>
      <c r="BP246" s="417">
        <f>M246+AO246</f>
        <v>0</v>
      </c>
      <c r="BQ246" s="417">
        <f t="shared" ref="BQ246:BR248" si="391">N246+AM246</f>
        <v>0</v>
      </c>
      <c r="BR246" s="417">
        <f t="shared" si="391"/>
        <v>0</v>
      </c>
      <c r="BS246" s="417">
        <f t="shared" ref="BS246:BT248" si="392">P246+AS246</f>
        <v>864684</v>
      </c>
      <c r="BT246" s="417">
        <f t="shared" si="392"/>
        <v>25582</v>
      </c>
      <c r="BU246" s="417">
        <f>R246+AX246</f>
        <v>10800</v>
      </c>
      <c r="BV246" s="418">
        <f>S246+BK246</f>
        <v>5.0994999999999999</v>
      </c>
      <c r="BW246" s="418">
        <f t="shared" ref="BW246:BX248" si="393">T246+BI246</f>
        <v>4</v>
      </c>
      <c r="BX246" s="420">
        <f t="shared" si="393"/>
        <v>1.0994999999999999</v>
      </c>
      <c r="BY246" s="419"/>
      <c r="BZ246" s="414"/>
      <c r="CA246" s="414"/>
      <c r="CB246" s="414"/>
      <c r="CC246" s="414"/>
      <c r="CD246" s="509"/>
      <c r="CE246" s="419">
        <v>144849</v>
      </c>
      <c r="CF246" s="414">
        <v>104791</v>
      </c>
      <c r="CG246" s="414">
        <v>35419</v>
      </c>
      <c r="CH246" s="414">
        <v>1048</v>
      </c>
      <c r="CI246" s="414">
        <v>3591</v>
      </c>
      <c r="CJ246" s="509">
        <v>0.3528</v>
      </c>
    </row>
    <row r="247" spans="1:88" s="221" customFormat="1" ht="12.75" customHeight="1">
      <c r="A247" s="209">
        <v>45</v>
      </c>
      <c r="B247" s="210">
        <v>4426</v>
      </c>
      <c r="C247" s="210">
        <v>600074129</v>
      </c>
      <c r="D247" s="210">
        <v>72742160</v>
      </c>
      <c r="E247" s="208" t="s">
        <v>230</v>
      </c>
      <c r="F247" s="210">
        <v>3111</v>
      </c>
      <c r="G247" s="165" t="s">
        <v>291</v>
      </c>
      <c r="H247" s="621" t="s">
        <v>271</v>
      </c>
      <c r="I247" s="510">
        <v>124960</v>
      </c>
      <c r="J247" s="414">
        <v>92700</v>
      </c>
      <c r="K247" s="414">
        <v>92700</v>
      </c>
      <c r="L247" s="414">
        <v>0</v>
      </c>
      <c r="M247" s="414">
        <v>0</v>
      </c>
      <c r="N247" s="414">
        <v>0</v>
      </c>
      <c r="O247" s="414">
        <v>0</v>
      </c>
      <c r="P247" s="68">
        <v>31333</v>
      </c>
      <c r="Q247" s="68">
        <v>927</v>
      </c>
      <c r="R247" s="414">
        <v>0</v>
      </c>
      <c r="S247" s="415">
        <v>0.25</v>
      </c>
      <c r="T247" s="416">
        <v>0.25</v>
      </c>
      <c r="U247" s="422">
        <v>0</v>
      </c>
      <c r="V247" s="423">
        <f t="shared" si="314"/>
        <v>0</v>
      </c>
      <c r="W247" s="417">
        <f t="shared" si="315"/>
        <v>0</v>
      </c>
      <c r="X247" s="417">
        <v>0</v>
      </c>
      <c r="Y247" s="417">
        <v>0</v>
      </c>
      <c r="Z247" s="417">
        <v>0</v>
      </c>
      <c r="AA247" s="417">
        <v>0</v>
      </c>
      <c r="AB247" s="417">
        <v>0</v>
      </c>
      <c r="AC247" s="417">
        <v>0</v>
      </c>
      <c r="AD247" s="417">
        <v>0</v>
      </c>
      <c r="AE247" s="417">
        <f t="shared" si="316"/>
        <v>0</v>
      </c>
      <c r="AF247" s="417">
        <f t="shared" si="317"/>
        <v>0</v>
      </c>
      <c r="AG247" s="417">
        <f t="shared" si="318"/>
        <v>0</v>
      </c>
      <c r="AH247" s="417">
        <v>0</v>
      </c>
      <c r="AI247" s="417">
        <v>0</v>
      </c>
      <c r="AJ247" s="417">
        <v>0</v>
      </c>
      <c r="AK247" s="417">
        <v>0</v>
      </c>
      <c r="AL247" s="417">
        <v>0</v>
      </c>
      <c r="AM247" s="417">
        <f t="shared" si="319"/>
        <v>0</v>
      </c>
      <c r="AN247" s="417">
        <f t="shared" si="320"/>
        <v>0</v>
      </c>
      <c r="AO247" s="417">
        <f t="shared" si="321"/>
        <v>0</v>
      </c>
      <c r="AP247" s="417">
        <f t="shared" si="322"/>
        <v>0</v>
      </c>
      <c r="AQ247" s="417">
        <f t="shared" si="323"/>
        <v>0</v>
      </c>
      <c r="AR247" s="417">
        <f t="shared" si="324"/>
        <v>0</v>
      </c>
      <c r="AS247" s="68">
        <f t="shared" si="325"/>
        <v>0</v>
      </c>
      <c r="AT247" s="68">
        <f t="shared" si="326"/>
        <v>0</v>
      </c>
      <c r="AU247" s="417">
        <v>0</v>
      </c>
      <c r="AV247" s="417">
        <v>0</v>
      </c>
      <c r="AW247" s="417">
        <v>0</v>
      </c>
      <c r="AX247" s="417">
        <f t="shared" si="327"/>
        <v>0</v>
      </c>
      <c r="AY247" s="417">
        <f t="shared" si="328"/>
        <v>0</v>
      </c>
      <c r="AZ247" s="418">
        <v>0</v>
      </c>
      <c r="BA247" s="418">
        <v>0</v>
      </c>
      <c r="BB247" s="418">
        <v>0</v>
      </c>
      <c r="BC247" s="418">
        <v>0</v>
      </c>
      <c r="BD247" s="418">
        <v>0</v>
      </c>
      <c r="BE247" s="418">
        <v>0</v>
      </c>
      <c r="BF247" s="418">
        <v>0</v>
      </c>
      <c r="BG247" s="418">
        <v>0</v>
      </c>
      <c r="BH247" s="418">
        <v>0</v>
      </c>
      <c r="BI247" s="418">
        <f t="shared" si="329"/>
        <v>0</v>
      </c>
      <c r="BJ247" s="418">
        <f t="shared" si="330"/>
        <v>0</v>
      </c>
      <c r="BK247" s="420">
        <f t="shared" si="331"/>
        <v>0</v>
      </c>
      <c r="BL247" s="772">
        <f>I247+AY247</f>
        <v>124960</v>
      </c>
      <c r="BM247" s="417">
        <f>J247+AG247</f>
        <v>92700</v>
      </c>
      <c r="BN247" s="417">
        <f t="shared" si="390"/>
        <v>92700</v>
      </c>
      <c r="BO247" s="417">
        <f t="shared" si="390"/>
        <v>0</v>
      </c>
      <c r="BP247" s="417">
        <f>M247+AO247</f>
        <v>0</v>
      </c>
      <c r="BQ247" s="417">
        <f t="shared" si="391"/>
        <v>0</v>
      </c>
      <c r="BR247" s="417">
        <f t="shared" si="391"/>
        <v>0</v>
      </c>
      <c r="BS247" s="417">
        <f t="shared" si="392"/>
        <v>31333</v>
      </c>
      <c r="BT247" s="417">
        <f t="shared" si="392"/>
        <v>927</v>
      </c>
      <c r="BU247" s="417">
        <f>R247+AX247</f>
        <v>0</v>
      </c>
      <c r="BV247" s="418">
        <f>S247+BK247</f>
        <v>0.25</v>
      </c>
      <c r="BW247" s="418">
        <f t="shared" si="393"/>
        <v>0.25</v>
      </c>
      <c r="BX247" s="420">
        <f t="shared" si="393"/>
        <v>0</v>
      </c>
      <c r="BY247" s="419"/>
      <c r="BZ247" s="414"/>
      <c r="CA247" s="414"/>
      <c r="CB247" s="414"/>
      <c r="CC247" s="414"/>
      <c r="CD247" s="509"/>
      <c r="CE247" s="419"/>
      <c r="CF247" s="414"/>
      <c r="CG247" s="414"/>
      <c r="CH247" s="414"/>
      <c r="CI247" s="414"/>
      <c r="CJ247" s="509"/>
    </row>
    <row r="248" spans="1:88" s="221" customFormat="1" ht="12.75" customHeight="1">
      <c r="A248" s="209">
        <v>45</v>
      </c>
      <c r="B248" s="210">
        <v>4426</v>
      </c>
      <c r="C248" s="210">
        <v>600074129</v>
      </c>
      <c r="D248" s="210">
        <v>72742160</v>
      </c>
      <c r="E248" s="208" t="s">
        <v>230</v>
      </c>
      <c r="F248" s="210">
        <v>3141</v>
      </c>
      <c r="G248" s="165" t="s">
        <v>294</v>
      </c>
      <c r="H248" s="621" t="s">
        <v>272</v>
      </c>
      <c r="I248" s="510">
        <v>447905</v>
      </c>
      <c r="J248" s="414">
        <v>331232</v>
      </c>
      <c r="K248" s="414">
        <v>0</v>
      </c>
      <c r="L248" s="414">
        <v>331232</v>
      </c>
      <c r="M248" s="414">
        <v>0</v>
      </c>
      <c r="N248" s="414">
        <v>0</v>
      </c>
      <c r="O248" s="414">
        <v>0</v>
      </c>
      <c r="P248" s="68">
        <v>111957</v>
      </c>
      <c r="Q248" s="68">
        <v>3312</v>
      </c>
      <c r="R248" s="414">
        <v>1404</v>
      </c>
      <c r="S248" s="415">
        <v>0.99</v>
      </c>
      <c r="T248" s="416">
        <v>0</v>
      </c>
      <c r="U248" s="422">
        <v>0.99</v>
      </c>
      <c r="V248" s="423">
        <f t="shared" si="314"/>
        <v>0</v>
      </c>
      <c r="W248" s="417">
        <f t="shared" si="315"/>
        <v>0</v>
      </c>
      <c r="X248" s="417">
        <v>0</v>
      </c>
      <c r="Y248" s="417">
        <v>0</v>
      </c>
      <c r="Z248" s="417">
        <v>0</v>
      </c>
      <c r="AA248" s="417">
        <v>6055</v>
      </c>
      <c r="AB248" s="417">
        <v>0</v>
      </c>
      <c r="AC248" s="417">
        <v>0</v>
      </c>
      <c r="AD248" s="417">
        <v>0</v>
      </c>
      <c r="AE248" s="417">
        <f t="shared" si="316"/>
        <v>0</v>
      </c>
      <c r="AF248" s="417">
        <f t="shared" si="317"/>
        <v>6055</v>
      </c>
      <c r="AG248" s="417">
        <f t="shared" si="318"/>
        <v>6055</v>
      </c>
      <c r="AH248" s="417">
        <v>0</v>
      </c>
      <c r="AI248" s="417">
        <v>0</v>
      </c>
      <c r="AJ248" s="417">
        <v>0</v>
      </c>
      <c r="AK248" s="417">
        <v>0</v>
      </c>
      <c r="AL248" s="417">
        <v>0</v>
      </c>
      <c r="AM248" s="417">
        <f t="shared" si="319"/>
        <v>0</v>
      </c>
      <c r="AN248" s="417">
        <f t="shared" si="320"/>
        <v>0</v>
      </c>
      <c r="AO248" s="417">
        <f t="shared" si="321"/>
        <v>0</v>
      </c>
      <c r="AP248" s="417">
        <f t="shared" si="322"/>
        <v>0</v>
      </c>
      <c r="AQ248" s="417">
        <f t="shared" si="323"/>
        <v>6055</v>
      </c>
      <c r="AR248" s="417">
        <f t="shared" si="324"/>
        <v>6055</v>
      </c>
      <c r="AS248" s="68">
        <f t="shared" si="325"/>
        <v>2047</v>
      </c>
      <c r="AT248" s="68">
        <f t="shared" si="326"/>
        <v>61</v>
      </c>
      <c r="AU248" s="417">
        <v>0</v>
      </c>
      <c r="AV248" s="417">
        <v>0</v>
      </c>
      <c r="AW248" s="417">
        <v>0</v>
      </c>
      <c r="AX248" s="417">
        <f t="shared" si="327"/>
        <v>0</v>
      </c>
      <c r="AY248" s="417">
        <f t="shared" si="328"/>
        <v>8163</v>
      </c>
      <c r="AZ248" s="418">
        <v>0</v>
      </c>
      <c r="BA248" s="418">
        <v>0</v>
      </c>
      <c r="BB248" s="418">
        <v>0</v>
      </c>
      <c r="BC248" s="418">
        <v>0</v>
      </c>
      <c r="BD248" s="418">
        <v>0.02</v>
      </c>
      <c r="BE248" s="418">
        <v>0</v>
      </c>
      <c r="BF248" s="418">
        <v>0</v>
      </c>
      <c r="BG248" s="418">
        <v>0</v>
      </c>
      <c r="BH248" s="418">
        <v>0</v>
      </c>
      <c r="BI248" s="418">
        <f t="shared" si="329"/>
        <v>0</v>
      </c>
      <c r="BJ248" s="418">
        <f t="shared" si="330"/>
        <v>0.02</v>
      </c>
      <c r="BK248" s="420">
        <f t="shared" si="331"/>
        <v>0.02</v>
      </c>
      <c r="BL248" s="772">
        <f>I248+AY248</f>
        <v>456068</v>
      </c>
      <c r="BM248" s="417">
        <f>J248+AG248</f>
        <v>337287</v>
      </c>
      <c r="BN248" s="417">
        <f t="shared" si="390"/>
        <v>0</v>
      </c>
      <c r="BO248" s="417">
        <f t="shared" si="390"/>
        <v>337287</v>
      </c>
      <c r="BP248" s="417">
        <f>M248+AO248</f>
        <v>0</v>
      </c>
      <c r="BQ248" s="417">
        <f t="shared" si="391"/>
        <v>0</v>
      </c>
      <c r="BR248" s="417">
        <f t="shared" si="391"/>
        <v>0</v>
      </c>
      <c r="BS248" s="417">
        <f t="shared" si="392"/>
        <v>114004</v>
      </c>
      <c r="BT248" s="417">
        <f t="shared" si="392"/>
        <v>3373</v>
      </c>
      <c r="BU248" s="417">
        <f>R248+AX248</f>
        <v>1404</v>
      </c>
      <c r="BV248" s="418">
        <f>S248+BK248</f>
        <v>1.01</v>
      </c>
      <c r="BW248" s="418">
        <f t="shared" si="393"/>
        <v>0</v>
      </c>
      <c r="BX248" s="420">
        <f t="shared" si="393"/>
        <v>1.01</v>
      </c>
      <c r="BY248" s="419"/>
      <c r="BZ248" s="414"/>
      <c r="CA248" s="414"/>
      <c r="CB248" s="414"/>
      <c r="CC248" s="414"/>
      <c r="CD248" s="509"/>
      <c r="CE248" s="419"/>
      <c r="CF248" s="601"/>
      <c r="CG248" s="414"/>
      <c r="CH248" s="414"/>
      <c r="CI248" s="601"/>
      <c r="CJ248" s="603"/>
    </row>
    <row r="249" spans="1:88" s="221" customFormat="1" ht="12.75" customHeight="1">
      <c r="A249" s="155">
        <v>45</v>
      </c>
      <c r="B249" s="18">
        <v>4426</v>
      </c>
      <c r="C249" s="18">
        <v>600074129</v>
      </c>
      <c r="D249" s="18">
        <v>72742160</v>
      </c>
      <c r="E249" s="164" t="s">
        <v>231</v>
      </c>
      <c r="F249" s="18"/>
      <c r="G249" s="154"/>
      <c r="H249" s="608"/>
      <c r="I249" s="450">
        <v>4032169</v>
      </c>
      <c r="J249" s="442">
        <v>2982170</v>
      </c>
      <c r="K249" s="442">
        <v>2324355</v>
      </c>
      <c r="L249" s="442">
        <v>657815</v>
      </c>
      <c r="M249" s="442">
        <v>0</v>
      </c>
      <c r="N249" s="442">
        <v>0</v>
      </c>
      <c r="O249" s="442">
        <v>0</v>
      </c>
      <c r="P249" s="442">
        <v>1007974</v>
      </c>
      <c r="Q249" s="442">
        <v>29821</v>
      </c>
      <c r="R249" s="442">
        <v>12204</v>
      </c>
      <c r="S249" s="443">
        <v>6.3395000000000001</v>
      </c>
      <c r="T249" s="443">
        <v>4.25</v>
      </c>
      <c r="U249" s="448">
        <v>2.0895000000000001</v>
      </c>
      <c r="V249" s="446">
        <f t="shared" ref="V249:CG249" si="394">SUM(V246:V248)</f>
        <v>0</v>
      </c>
      <c r="W249" s="442">
        <f t="shared" si="394"/>
        <v>0</v>
      </c>
      <c r="X249" s="442">
        <f t="shared" si="394"/>
        <v>0</v>
      </c>
      <c r="Y249" s="442">
        <f t="shared" si="394"/>
        <v>0</v>
      </c>
      <c r="Z249" s="442">
        <f t="shared" si="394"/>
        <v>0</v>
      </c>
      <c r="AA249" s="442">
        <f t="shared" si="394"/>
        <v>6055</v>
      </c>
      <c r="AB249" s="442">
        <f t="shared" si="394"/>
        <v>0</v>
      </c>
      <c r="AC249" s="442">
        <f t="shared" si="394"/>
        <v>0</v>
      </c>
      <c r="AD249" s="442">
        <f t="shared" si="394"/>
        <v>0</v>
      </c>
      <c r="AE249" s="442">
        <f t="shared" si="394"/>
        <v>0</v>
      </c>
      <c r="AF249" s="442">
        <f t="shared" si="394"/>
        <v>6055</v>
      </c>
      <c r="AG249" s="442">
        <f t="shared" si="394"/>
        <v>6055</v>
      </c>
      <c r="AH249" s="442">
        <f t="shared" si="394"/>
        <v>0</v>
      </c>
      <c r="AI249" s="442">
        <f t="shared" si="394"/>
        <v>0</v>
      </c>
      <c r="AJ249" s="442">
        <f t="shared" si="394"/>
        <v>0</v>
      </c>
      <c r="AK249" s="442">
        <f t="shared" si="394"/>
        <v>0</v>
      </c>
      <c r="AL249" s="442">
        <f t="shared" si="394"/>
        <v>0</v>
      </c>
      <c r="AM249" s="442">
        <f t="shared" si="394"/>
        <v>0</v>
      </c>
      <c r="AN249" s="442">
        <f t="shared" si="394"/>
        <v>0</v>
      </c>
      <c r="AO249" s="442">
        <f t="shared" si="394"/>
        <v>0</v>
      </c>
      <c r="AP249" s="442">
        <f t="shared" si="394"/>
        <v>0</v>
      </c>
      <c r="AQ249" s="442">
        <f t="shared" si="394"/>
        <v>6055</v>
      </c>
      <c r="AR249" s="442">
        <f t="shared" si="394"/>
        <v>6055</v>
      </c>
      <c r="AS249" s="442">
        <f t="shared" si="394"/>
        <v>2047</v>
      </c>
      <c r="AT249" s="442">
        <f t="shared" si="394"/>
        <v>61</v>
      </c>
      <c r="AU249" s="442">
        <f t="shared" si="394"/>
        <v>0</v>
      </c>
      <c r="AV249" s="442">
        <f t="shared" si="394"/>
        <v>0</v>
      </c>
      <c r="AW249" s="442">
        <f t="shared" si="394"/>
        <v>0</v>
      </c>
      <c r="AX249" s="442">
        <f t="shared" si="394"/>
        <v>0</v>
      </c>
      <c r="AY249" s="442">
        <f t="shared" si="394"/>
        <v>8163</v>
      </c>
      <c r="AZ249" s="443">
        <f t="shared" si="394"/>
        <v>0</v>
      </c>
      <c r="BA249" s="443">
        <f t="shared" si="394"/>
        <v>0</v>
      </c>
      <c r="BB249" s="443">
        <f t="shared" si="394"/>
        <v>0</v>
      </c>
      <c r="BC249" s="443">
        <f t="shared" si="394"/>
        <v>0</v>
      </c>
      <c r="BD249" s="443">
        <f t="shared" si="394"/>
        <v>0.02</v>
      </c>
      <c r="BE249" s="443">
        <f t="shared" si="394"/>
        <v>0</v>
      </c>
      <c r="BF249" s="443">
        <f t="shared" si="394"/>
        <v>0</v>
      </c>
      <c r="BG249" s="443">
        <f t="shared" si="394"/>
        <v>0</v>
      </c>
      <c r="BH249" s="443">
        <f t="shared" si="394"/>
        <v>0</v>
      </c>
      <c r="BI249" s="443">
        <f t="shared" si="394"/>
        <v>0</v>
      </c>
      <c r="BJ249" s="443">
        <f t="shared" si="394"/>
        <v>0.02</v>
      </c>
      <c r="BK249" s="40">
        <f t="shared" si="394"/>
        <v>0.02</v>
      </c>
      <c r="BL249" s="450">
        <f t="shared" si="394"/>
        <v>4040332</v>
      </c>
      <c r="BM249" s="442">
        <f t="shared" si="394"/>
        <v>2988225</v>
      </c>
      <c r="BN249" s="442">
        <f t="shared" si="394"/>
        <v>2324355</v>
      </c>
      <c r="BO249" s="442">
        <f t="shared" si="394"/>
        <v>663870</v>
      </c>
      <c r="BP249" s="442">
        <f t="shared" si="394"/>
        <v>0</v>
      </c>
      <c r="BQ249" s="442">
        <f t="shared" si="394"/>
        <v>0</v>
      </c>
      <c r="BR249" s="442">
        <f t="shared" si="394"/>
        <v>0</v>
      </c>
      <c r="BS249" s="442">
        <f t="shared" si="394"/>
        <v>1010021</v>
      </c>
      <c r="BT249" s="442">
        <f t="shared" si="394"/>
        <v>29882</v>
      </c>
      <c r="BU249" s="442">
        <f t="shared" si="394"/>
        <v>12204</v>
      </c>
      <c r="BV249" s="443">
        <f t="shared" si="394"/>
        <v>6.3594999999999997</v>
      </c>
      <c r="BW249" s="443">
        <f t="shared" si="394"/>
        <v>4.25</v>
      </c>
      <c r="BX249" s="40">
        <f t="shared" si="394"/>
        <v>2.1094999999999997</v>
      </c>
      <c r="BY249" s="804">
        <f t="shared" si="394"/>
        <v>0</v>
      </c>
      <c r="BZ249" s="708">
        <f t="shared" si="394"/>
        <v>0</v>
      </c>
      <c r="CA249" s="708">
        <f t="shared" si="394"/>
        <v>0</v>
      </c>
      <c r="CB249" s="708">
        <f t="shared" si="394"/>
        <v>0</v>
      </c>
      <c r="CC249" s="708">
        <f t="shared" si="394"/>
        <v>0</v>
      </c>
      <c r="CD249" s="805">
        <f t="shared" si="394"/>
        <v>0</v>
      </c>
      <c r="CE249" s="916">
        <f t="shared" si="394"/>
        <v>144849</v>
      </c>
      <c r="CF249" s="917">
        <f t="shared" si="394"/>
        <v>104791</v>
      </c>
      <c r="CG249" s="917">
        <f t="shared" si="394"/>
        <v>35419</v>
      </c>
      <c r="CH249" s="917">
        <f t="shared" ref="CH249:CJ249" si="395">SUM(CH246:CH248)</f>
        <v>1048</v>
      </c>
      <c r="CI249" s="917">
        <f t="shared" si="395"/>
        <v>3591</v>
      </c>
      <c r="CJ249" s="918">
        <f t="shared" si="395"/>
        <v>0.3528</v>
      </c>
    </row>
    <row r="250" spans="1:88" s="221" customFormat="1" ht="12.75" customHeight="1">
      <c r="A250" s="209">
        <v>46</v>
      </c>
      <c r="B250" s="210">
        <v>4461</v>
      </c>
      <c r="C250" s="210">
        <v>600074765</v>
      </c>
      <c r="D250" s="210">
        <v>46750088</v>
      </c>
      <c r="E250" s="208" t="s">
        <v>232</v>
      </c>
      <c r="F250" s="210">
        <v>3111</v>
      </c>
      <c r="G250" s="165" t="s">
        <v>290</v>
      </c>
      <c r="H250" s="621" t="s">
        <v>271</v>
      </c>
      <c r="I250" s="510">
        <v>9796812</v>
      </c>
      <c r="J250" s="414">
        <v>7221834</v>
      </c>
      <c r="K250" s="414">
        <v>6692580</v>
      </c>
      <c r="L250" s="414">
        <v>529254</v>
      </c>
      <c r="M250" s="414">
        <v>10000</v>
      </c>
      <c r="N250" s="414">
        <v>10000</v>
      </c>
      <c r="O250" s="414">
        <v>0</v>
      </c>
      <c r="P250" s="68">
        <v>2444360</v>
      </c>
      <c r="Q250" s="68">
        <v>72218</v>
      </c>
      <c r="R250" s="414">
        <v>48400</v>
      </c>
      <c r="S250" s="415">
        <v>13.893599999999999</v>
      </c>
      <c r="T250" s="416">
        <v>11.773199999999999</v>
      </c>
      <c r="U250" s="422">
        <v>2.1204000000000001</v>
      </c>
      <c r="V250" s="423">
        <f t="shared" si="314"/>
        <v>10000</v>
      </c>
      <c r="W250" s="417">
        <f t="shared" si="315"/>
        <v>0</v>
      </c>
      <c r="X250" s="417">
        <v>0</v>
      </c>
      <c r="Y250" s="417">
        <v>0</v>
      </c>
      <c r="Z250" s="417">
        <v>0</v>
      </c>
      <c r="AA250" s="417">
        <v>0</v>
      </c>
      <c r="AB250" s="417">
        <v>0</v>
      </c>
      <c r="AC250" s="417">
        <v>0</v>
      </c>
      <c r="AD250" s="417">
        <v>0</v>
      </c>
      <c r="AE250" s="417">
        <f t="shared" si="316"/>
        <v>10000</v>
      </c>
      <c r="AF250" s="417">
        <f t="shared" si="317"/>
        <v>0</v>
      </c>
      <c r="AG250" s="417">
        <f t="shared" si="318"/>
        <v>10000</v>
      </c>
      <c r="AH250" s="417">
        <v>-10000</v>
      </c>
      <c r="AI250" s="417">
        <v>0</v>
      </c>
      <c r="AJ250" s="417">
        <v>0</v>
      </c>
      <c r="AK250" s="417">
        <v>0</v>
      </c>
      <c r="AL250" s="417">
        <v>0</v>
      </c>
      <c r="AM250" s="417">
        <f t="shared" si="319"/>
        <v>-10000</v>
      </c>
      <c r="AN250" s="417">
        <f t="shared" si="320"/>
        <v>0</v>
      </c>
      <c r="AO250" s="417">
        <f t="shared" si="321"/>
        <v>-10000</v>
      </c>
      <c r="AP250" s="417">
        <f t="shared" si="322"/>
        <v>0</v>
      </c>
      <c r="AQ250" s="417">
        <f t="shared" si="323"/>
        <v>0</v>
      </c>
      <c r="AR250" s="417">
        <f t="shared" si="324"/>
        <v>0</v>
      </c>
      <c r="AS250" s="68">
        <f t="shared" si="325"/>
        <v>0</v>
      </c>
      <c r="AT250" s="68">
        <f t="shared" si="326"/>
        <v>100</v>
      </c>
      <c r="AU250" s="417">
        <v>0</v>
      </c>
      <c r="AV250" s="417">
        <v>0</v>
      </c>
      <c r="AW250" s="417">
        <v>0</v>
      </c>
      <c r="AX250" s="417">
        <f t="shared" si="327"/>
        <v>0</v>
      </c>
      <c r="AY250" s="417">
        <f t="shared" si="328"/>
        <v>100</v>
      </c>
      <c r="AZ250" s="418">
        <v>0</v>
      </c>
      <c r="BA250" s="418">
        <v>0</v>
      </c>
      <c r="BB250" s="418">
        <v>0</v>
      </c>
      <c r="BC250" s="418">
        <v>0</v>
      </c>
      <c r="BD250" s="418">
        <v>0</v>
      </c>
      <c r="BE250" s="418">
        <v>0</v>
      </c>
      <c r="BF250" s="418">
        <v>0</v>
      </c>
      <c r="BG250" s="418">
        <v>0</v>
      </c>
      <c r="BH250" s="418">
        <v>0</v>
      </c>
      <c r="BI250" s="418">
        <f t="shared" si="329"/>
        <v>0</v>
      </c>
      <c r="BJ250" s="418">
        <f t="shared" si="330"/>
        <v>0</v>
      </c>
      <c r="BK250" s="420">
        <f t="shared" si="331"/>
        <v>0</v>
      </c>
      <c r="BL250" s="772">
        <f t="shared" ref="BL250:BL255" si="396">I250+AY250</f>
        <v>9796912</v>
      </c>
      <c r="BM250" s="417">
        <f t="shared" ref="BM250:BM255" si="397">J250+AG250</f>
        <v>7231834</v>
      </c>
      <c r="BN250" s="417">
        <f t="shared" ref="BN250:BO255" si="398">K250+AE250</f>
        <v>6702580</v>
      </c>
      <c r="BO250" s="417">
        <f t="shared" si="398"/>
        <v>529254</v>
      </c>
      <c r="BP250" s="417">
        <f t="shared" ref="BP250:BP255" si="399">M250+AO250</f>
        <v>0</v>
      </c>
      <c r="BQ250" s="417">
        <f t="shared" ref="BQ250:BR255" si="400">N250+AM250</f>
        <v>0</v>
      </c>
      <c r="BR250" s="417">
        <f t="shared" si="400"/>
        <v>0</v>
      </c>
      <c r="BS250" s="417">
        <f t="shared" ref="BS250:BT255" si="401">P250+AS250</f>
        <v>2444360</v>
      </c>
      <c r="BT250" s="417">
        <f t="shared" si="401"/>
        <v>72318</v>
      </c>
      <c r="BU250" s="417">
        <f t="shared" ref="BU250:BU255" si="402">R250+AX250</f>
        <v>48400</v>
      </c>
      <c r="BV250" s="418">
        <f t="shared" ref="BV250:BV255" si="403">S250+BK250</f>
        <v>13.893599999999999</v>
      </c>
      <c r="BW250" s="418">
        <f t="shared" ref="BW250:BX255" si="404">T250+BI250</f>
        <v>11.773199999999999</v>
      </c>
      <c r="BX250" s="420">
        <f t="shared" si="404"/>
        <v>2.1204000000000001</v>
      </c>
      <c r="BY250" s="419"/>
      <c r="BZ250" s="414"/>
      <c r="CA250" s="414"/>
      <c r="CB250" s="414"/>
      <c r="CC250" s="414"/>
      <c r="CD250" s="509"/>
      <c r="CE250" s="419">
        <v>245024</v>
      </c>
      <c r="CF250" s="414">
        <v>169830</v>
      </c>
      <c r="CG250" s="414">
        <v>57403</v>
      </c>
      <c r="CH250" s="414">
        <v>1698</v>
      </c>
      <c r="CI250" s="414">
        <v>16093</v>
      </c>
      <c r="CJ250" s="509">
        <v>0.6804</v>
      </c>
    </row>
    <row r="251" spans="1:88" s="221" customFormat="1" ht="12.75" customHeight="1">
      <c r="A251" s="209">
        <v>46</v>
      </c>
      <c r="B251" s="210">
        <v>4461</v>
      </c>
      <c r="C251" s="210">
        <v>600074765</v>
      </c>
      <c r="D251" s="210">
        <v>46750088</v>
      </c>
      <c r="E251" s="208" t="s">
        <v>232</v>
      </c>
      <c r="F251" s="210">
        <v>3113</v>
      </c>
      <c r="G251" s="165" t="s">
        <v>293</v>
      </c>
      <c r="H251" s="621" t="s">
        <v>271</v>
      </c>
      <c r="I251" s="510">
        <v>30471908</v>
      </c>
      <c r="J251" s="414">
        <v>21907651</v>
      </c>
      <c r="K251" s="414">
        <v>19556180</v>
      </c>
      <c r="L251" s="414">
        <v>2351471</v>
      </c>
      <c r="M251" s="414">
        <v>298000</v>
      </c>
      <c r="N251" s="414">
        <v>162000</v>
      </c>
      <c r="O251" s="414">
        <v>136000</v>
      </c>
      <c r="P251" s="68">
        <v>7505510</v>
      </c>
      <c r="Q251" s="68">
        <v>219077</v>
      </c>
      <c r="R251" s="414">
        <v>541670</v>
      </c>
      <c r="S251" s="415">
        <v>34.239199999999997</v>
      </c>
      <c r="T251" s="416">
        <v>27.198899999999998</v>
      </c>
      <c r="U251" s="422">
        <v>7.0403000000000011</v>
      </c>
      <c r="V251" s="423">
        <f t="shared" si="314"/>
        <v>2000</v>
      </c>
      <c r="W251" s="417">
        <f t="shared" si="315"/>
        <v>-68000</v>
      </c>
      <c r="X251" s="417">
        <v>0</v>
      </c>
      <c r="Y251" s="417">
        <v>9268</v>
      </c>
      <c r="Z251" s="417">
        <v>0</v>
      </c>
      <c r="AA251" s="417">
        <v>0</v>
      </c>
      <c r="AB251" s="417">
        <v>0</v>
      </c>
      <c r="AC251" s="417">
        <v>0</v>
      </c>
      <c r="AD251" s="417">
        <v>0</v>
      </c>
      <c r="AE251" s="417">
        <f t="shared" si="316"/>
        <v>11268</v>
      </c>
      <c r="AF251" s="417">
        <f t="shared" si="317"/>
        <v>-68000</v>
      </c>
      <c r="AG251" s="417">
        <f t="shared" si="318"/>
        <v>-56732</v>
      </c>
      <c r="AH251" s="417">
        <v>-2000</v>
      </c>
      <c r="AI251" s="417">
        <v>68000</v>
      </c>
      <c r="AJ251" s="417">
        <v>0</v>
      </c>
      <c r="AK251" s="417">
        <v>0</v>
      </c>
      <c r="AL251" s="417">
        <v>0</v>
      </c>
      <c r="AM251" s="417">
        <f t="shared" si="319"/>
        <v>-2000</v>
      </c>
      <c r="AN251" s="417">
        <f t="shared" si="320"/>
        <v>68000</v>
      </c>
      <c r="AO251" s="417">
        <f t="shared" si="321"/>
        <v>66000</v>
      </c>
      <c r="AP251" s="417">
        <f t="shared" si="322"/>
        <v>9268</v>
      </c>
      <c r="AQ251" s="417">
        <f t="shared" si="323"/>
        <v>0</v>
      </c>
      <c r="AR251" s="417">
        <f t="shared" si="324"/>
        <v>9268</v>
      </c>
      <c r="AS251" s="68">
        <f t="shared" si="325"/>
        <v>3133</v>
      </c>
      <c r="AT251" s="68">
        <f t="shared" si="326"/>
        <v>-567</v>
      </c>
      <c r="AU251" s="417">
        <v>0</v>
      </c>
      <c r="AV251" s="417">
        <v>0</v>
      </c>
      <c r="AW251" s="417">
        <v>0</v>
      </c>
      <c r="AX251" s="417">
        <f t="shared" si="327"/>
        <v>0</v>
      </c>
      <c r="AY251" s="417">
        <f t="shared" si="328"/>
        <v>11834</v>
      </c>
      <c r="AZ251" s="418">
        <v>0.26</v>
      </c>
      <c r="BA251" s="418">
        <v>0.49</v>
      </c>
      <c r="BB251" s="418">
        <v>0</v>
      </c>
      <c r="BC251" s="418">
        <v>0</v>
      </c>
      <c r="BD251" s="418">
        <v>0</v>
      </c>
      <c r="BE251" s="418">
        <v>0.01</v>
      </c>
      <c r="BF251" s="418">
        <v>0</v>
      </c>
      <c r="BG251" s="418">
        <v>0</v>
      </c>
      <c r="BH251" s="418">
        <v>0</v>
      </c>
      <c r="BI251" s="418">
        <f t="shared" si="329"/>
        <v>0.27</v>
      </c>
      <c r="BJ251" s="418">
        <f t="shared" si="330"/>
        <v>0.49</v>
      </c>
      <c r="BK251" s="420">
        <f t="shared" si="331"/>
        <v>0.76</v>
      </c>
      <c r="BL251" s="772">
        <f t="shared" si="396"/>
        <v>30483742</v>
      </c>
      <c r="BM251" s="417">
        <f t="shared" si="397"/>
        <v>21850919</v>
      </c>
      <c r="BN251" s="417">
        <f t="shared" si="398"/>
        <v>19567448</v>
      </c>
      <c r="BO251" s="417">
        <f t="shared" si="398"/>
        <v>2283471</v>
      </c>
      <c r="BP251" s="417">
        <f t="shared" si="399"/>
        <v>364000</v>
      </c>
      <c r="BQ251" s="417">
        <f t="shared" si="400"/>
        <v>160000</v>
      </c>
      <c r="BR251" s="417">
        <f t="shared" si="400"/>
        <v>204000</v>
      </c>
      <c r="BS251" s="417">
        <f t="shared" si="401"/>
        <v>7508643</v>
      </c>
      <c r="BT251" s="417">
        <f t="shared" si="401"/>
        <v>218510</v>
      </c>
      <c r="BU251" s="417">
        <f t="shared" si="402"/>
        <v>541670</v>
      </c>
      <c r="BV251" s="418">
        <f t="shared" si="403"/>
        <v>34.999199999999995</v>
      </c>
      <c r="BW251" s="418">
        <f t="shared" si="404"/>
        <v>27.468899999999998</v>
      </c>
      <c r="BX251" s="420">
        <f t="shared" si="404"/>
        <v>7.5303000000000013</v>
      </c>
      <c r="BY251" s="419"/>
      <c r="BZ251" s="414"/>
      <c r="CA251" s="414"/>
      <c r="CB251" s="414"/>
      <c r="CC251" s="414"/>
      <c r="CD251" s="509"/>
      <c r="CE251" s="414">
        <v>1203314</v>
      </c>
      <c r="CF251" s="414">
        <v>798371</v>
      </c>
      <c r="CG251" s="414">
        <v>269849</v>
      </c>
      <c r="CH251" s="414">
        <v>7984</v>
      </c>
      <c r="CI251" s="414">
        <v>127110</v>
      </c>
      <c r="CJ251" s="509">
        <v>2.4170000000000003</v>
      </c>
    </row>
    <row r="252" spans="1:88" s="221" customFormat="1" ht="12.75" customHeight="1">
      <c r="A252" s="209">
        <v>46</v>
      </c>
      <c r="B252" s="210">
        <v>4461</v>
      </c>
      <c r="C252" s="210">
        <v>600074765</v>
      </c>
      <c r="D252" s="210">
        <v>46750088</v>
      </c>
      <c r="E252" s="208" t="s">
        <v>232</v>
      </c>
      <c r="F252" s="210">
        <v>3113</v>
      </c>
      <c r="G252" s="165" t="s">
        <v>291</v>
      </c>
      <c r="H252" s="621" t="s">
        <v>272</v>
      </c>
      <c r="I252" s="510">
        <v>2121560</v>
      </c>
      <c r="J252" s="414">
        <v>1573858</v>
      </c>
      <c r="K252" s="414">
        <v>1573858</v>
      </c>
      <c r="L252" s="414">
        <v>0</v>
      </c>
      <c r="M252" s="414">
        <v>0</v>
      </c>
      <c r="N252" s="414">
        <v>0</v>
      </c>
      <c r="O252" s="414">
        <v>0</v>
      </c>
      <c r="P252" s="68">
        <v>531964</v>
      </c>
      <c r="Q252" s="68">
        <v>15738</v>
      </c>
      <c r="R252" s="414">
        <v>0</v>
      </c>
      <c r="S252" s="415">
        <v>4.34</v>
      </c>
      <c r="T252" s="416">
        <v>4.34</v>
      </c>
      <c r="U252" s="422">
        <v>0</v>
      </c>
      <c r="V252" s="423">
        <f t="shared" si="314"/>
        <v>0</v>
      </c>
      <c r="W252" s="417">
        <f t="shared" si="315"/>
        <v>0</v>
      </c>
      <c r="X252" s="417">
        <v>69525</v>
      </c>
      <c r="Y252" s="417">
        <v>0</v>
      </c>
      <c r="Z252" s="417">
        <v>0</v>
      </c>
      <c r="AA252" s="417">
        <v>0</v>
      </c>
      <c r="AB252" s="417">
        <v>0</v>
      </c>
      <c r="AC252" s="417">
        <v>0</v>
      </c>
      <c r="AD252" s="417">
        <v>0</v>
      </c>
      <c r="AE252" s="417">
        <f t="shared" si="316"/>
        <v>69525</v>
      </c>
      <c r="AF252" s="417">
        <f t="shared" si="317"/>
        <v>0</v>
      </c>
      <c r="AG252" s="417">
        <f t="shared" si="318"/>
        <v>69525</v>
      </c>
      <c r="AH252" s="417">
        <v>0</v>
      </c>
      <c r="AI252" s="417">
        <v>0</v>
      </c>
      <c r="AJ252" s="417">
        <v>0</v>
      </c>
      <c r="AK252" s="417">
        <v>0</v>
      </c>
      <c r="AL252" s="417">
        <v>0</v>
      </c>
      <c r="AM252" s="417">
        <f t="shared" si="319"/>
        <v>0</v>
      </c>
      <c r="AN252" s="417">
        <f t="shared" si="320"/>
        <v>0</v>
      </c>
      <c r="AO252" s="417">
        <f t="shared" si="321"/>
        <v>0</v>
      </c>
      <c r="AP252" s="417">
        <f t="shared" si="322"/>
        <v>69525</v>
      </c>
      <c r="AQ252" s="417">
        <f t="shared" si="323"/>
        <v>0</v>
      </c>
      <c r="AR252" s="417">
        <f t="shared" si="324"/>
        <v>69525</v>
      </c>
      <c r="AS252" s="68">
        <f t="shared" si="325"/>
        <v>23499</v>
      </c>
      <c r="AT252" s="68">
        <f t="shared" si="326"/>
        <v>695</v>
      </c>
      <c r="AU252" s="417">
        <f>17500+8250</f>
        <v>25750</v>
      </c>
      <c r="AV252" s="417">
        <v>0</v>
      </c>
      <c r="AW252" s="417">
        <v>0</v>
      </c>
      <c r="AX252" s="417">
        <f t="shared" si="327"/>
        <v>25750</v>
      </c>
      <c r="AY252" s="417">
        <f t="shared" si="328"/>
        <v>119469</v>
      </c>
      <c r="AZ252" s="418">
        <v>0</v>
      </c>
      <c r="BA252" s="418">
        <v>0</v>
      </c>
      <c r="BB252" s="418">
        <v>0.19</v>
      </c>
      <c r="BC252" s="418">
        <v>0</v>
      </c>
      <c r="BD252" s="418">
        <v>0</v>
      </c>
      <c r="BE252" s="418">
        <v>0</v>
      </c>
      <c r="BF252" s="418">
        <v>0</v>
      </c>
      <c r="BG252" s="418">
        <v>0</v>
      </c>
      <c r="BH252" s="418">
        <v>0</v>
      </c>
      <c r="BI252" s="418">
        <f t="shared" si="329"/>
        <v>0.19</v>
      </c>
      <c r="BJ252" s="418">
        <f t="shared" si="330"/>
        <v>0</v>
      </c>
      <c r="BK252" s="420">
        <f t="shared" si="331"/>
        <v>0.19</v>
      </c>
      <c r="BL252" s="772">
        <f t="shared" si="396"/>
        <v>2241029</v>
      </c>
      <c r="BM252" s="417">
        <f t="shared" si="397"/>
        <v>1643383</v>
      </c>
      <c r="BN252" s="417">
        <f t="shared" si="398"/>
        <v>1643383</v>
      </c>
      <c r="BO252" s="417">
        <f t="shared" si="398"/>
        <v>0</v>
      </c>
      <c r="BP252" s="417">
        <f t="shared" si="399"/>
        <v>0</v>
      </c>
      <c r="BQ252" s="417">
        <f t="shared" si="400"/>
        <v>0</v>
      </c>
      <c r="BR252" s="417">
        <f t="shared" si="400"/>
        <v>0</v>
      </c>
      <c r="BS252" s="417">
        <f t="shared" si="401"/>
        <v>555463</v>
      </c>
      <c r="BT252" s="417">
        <f t="shared" si="401"/>
        <v>16433</v>
      </c>
      <c r="BU252" s="417">
        <f t="shared" si="402"/>
        <v>25750</v>
      </c>
      <c r="BV252" s="418">
        <f t="shared" si="403"/>
        <v>4.53</v>
      </c>
      <c r="BW252" s="418">
        <f t="shared" si="404"/>
        <v>4.53</v>
      </c>
      <c r="BX252" s="420">
        <f t="shared" si="404"/>
        <v>0</v>
      </c>
      <c r="BY252" s="419"/>
      <c r="BZ252" s="414"/>
      <c r="CA252" s="414"/>
      <c r="CB252" s="414"/>
      <c r="CC252" s="414"/>
      <c r="CD252" s="509"/>
      <c r="CE252" s="419"/>
      <c r="CF252" s="414"/>
      <c r="CG252" s="414"/>
      <c r="CH252" s="414"/>
      <c r="CI252" s="414"/>
      <c r="CJ252" s="509"/>
    </row>
    <row r="253" spans="1:88" s="221" customFormat="1" ht="12.75" customHeight="1">
      <c r="A253" s="209">
        <v>46</v>
      </c>
      <c r="B253" s="210">
        <v>4461</v>
      </c>
      <c r="C253" s="210">
        <v>600074765</v>
      </c>
      <c r="D253" s="210">
        <v>46750088</v>
      </c>
      <c r="E253" s="204" t="s">
        <v>232</v>
      </c>
      <c r="F253" s="210">
        <v>3141</v>
      </c>
      <c r="G253" s="165" t="s">
        <v>294</v>
      </c>
      <c r="H253" s="621" t="s">
        <v>272</v>
      </c>
      <c r="I253" s="510">
        <v>3104971</v>
      </c>
      <c r="J253" s="414">
        <v>2252011</v>
      </c>
      <c r="K253" s="414">
        <v>0</v>
      </c>
      <c r="L253" s="414">
        <v>2252011</v>
      </c>
      <c r="M253" s="414">
        <v>36000</v>
      </c>
      <c r="N253" s="414">
        <v>0</v>
      </c>
      <c r="O253" s="414">
        <v>36000</v>
      </c>
      <c r="P253" s="68">
        <v>773348</v>
      </c>
      <c r="Q253" s="68">
        <v>22520</v>
      </c>
      <c r="R253" s="414">
        <v>21092</v>
      </c>
      <c r="S253" s="415">
        <v>6.73</v>
      </c>
      <c r="T253" s="416">
        <v>0</v>
      </c>
      <c r="U253" s="422">
        <v>6.73</v>
      </c>
      <c r="V253" s="423">
        <f t="shared" si="314"/>
        <v>0</v>
      </c>
      <c r="W253" s="417">
        <f t="shared" si="315"/>
        <v>-1500</v>
      </c>
      <c r="X253" s="417">
        <v>0</v>
      </c>
      <c r="Y253" s="417">
        <v>0</v>
      </c>
      <c r="Z253" s="417">
        <v>0</v>
      </c>
      <c r="AA253" s="417">
        <v>-74646</v>
      </c>
      <c r="AB253" s="417">
        <v>0</v>
      </c>
      <c r="AC253" s="417">
        <v>0</v>
      </c>
      <c r="AD253" s="417">
        <v>0</v>
      </c>
      <c r="AE253" s="417">
        <f t="shared" si="316"/>
        <v>0</v>
      </c>
      <c r="AF253" s="417">
        <f t="shared" si="317"/>
        <v>-76146</v>
      </c>
      <c r="AG253" s="417">
        <f t="shared" si="318"/>
        <v>-76146</v>
      </c>
      <c r="AH253" s="417">
        <v>0</v>
      </c>
      <c r="AI253" s="417">
        <v>1500</v>
      </c>
      <c r="AJ253" s="417">
        <v>0</v>
      </c>
      <c r="AK253" s="417">
        <v>0</v>
      </c>
      <c r="AL253" s="417">
        <v>0</v>
      </c>
      <c r="AM253" s="417">
        <f t="shared" si="319"/>
        <v>0</v>
      </c>
      <c r="AN253" s="417">
        <f t="shared" si="320"/>
        <v>1500</v>
      </c>
      <c r="AO253" s="417">
        <f t="shared" si="321"/>
        <v>1500</v>
      </c>
      <c r="AP253" s="417">
        <f t="shared" si="322"/>
        <v>0</v>
      </c>
      <c r="AQ253" s="417">
        <f t="shared" si="323"/>
        <v>-74646</v>
      </c>
      <c r="AR253" s="417">
        <f t="shared" si="324"/>
        <v>-74646</v>
      </c>
      <c r="AS253" s="68">
        <f t="shared" si="325"/>
        <v>-25230</v>
      </c>
      <c r="AT253" s="68">
        <f t="shared" si="326"/>
        <v>-761</v>
      </c>
      <c r="AU253" s="417">
        <v>0</v>
      </c>
      <c r="AV253" s="417">
        <v>0</v>
      </c>
      <c r="AW253" s="417">
        <v>0</v>
      </c>
      <c r="AX253" s="417">
        <f t="shared" si="327"/>
        <v>0</v>
      </c>
      <c r="AY253" s="417">
        <f t="shared" si="328"/>
        <v>-100637</v>
      </c>
      <c r="AZ253" s="418">
        <v>0</v>
      </c>
      <c r="BA253" s="418">
        <v>0.13</v>
      </c>
      <c r="BB253" s="418">
        <v>0</v>
      </c>
      <c r="BC253" s="418">
        <v>0</v>
      </c>
      <c r="BD253" s="418">
        <v>-0.23</v>
      </c>
      <c r="BE253" s="418">
        <v>0</v>
      </c>
      <c r="BF253" s="418">
        <v>0</v>
      </c>
      <c r="BG253" s="418">
        <v>0</v>
      </c>
      <c r="BH253" s="418">
        <v>0</v>
      </c>
      <c r="BI253" s="418">
        <f t="shared" si="329"/>
        <v>0</v>
      </c>
      <c r="BJ253" s="418">
        <f t="shared" si="330"/>
        <v>-0.1</v>
      </c>
      <c r="BK253" s="420">
        <f t="shared" si="331"/>
        <v>-0.1</v>
      </c>
      <c r="BL253" s="772">
        <f t="shared" si="396"/>
        <v>3004334</v>
      </c>
      <c r="BM253" s="417">
        <f t="shared" si="397"/>
        <v>2175865</v>
      </c>
      <c r="BN253" s="417">
        <f t="shared" si="398"/>
        <v>0</v>
      </c>
      <c r="BO253" s="417">
        <f t="shared" si="398"/>
        <v>2175865</v>
      </c>
      <c r="BP253" s="417">
        <f t="shared" si="399"/>
        <v>37500</v>
      </c>
      <c r="BQ253" s="417">
        <f t="shared" si="400"/>
        <v>0</v>
      </c>
      <c r="BR253" s="417">
        <f t="shared" si="400"/>
        <v>37500</v>
      </c>
      <c r="BS253" s="417">
        <f t="shared" si="401"/>
        <v>748118</v>
      </c>
      <c r="BT253" s="417">
        <f t="shared" si="401"/>
        <v>21759</v>
      </c>
      <c r="BU253" s="417">
        <f t="shared" si="402"/>
        <v>21092</v>
      </c>
      <c r="BV253" s="418">
        <f t="shared" si="403"/>
        <v>6.6300000000000008</v>
      </c>
      <c r="BW253" s="418">
        <f t="shared" si="404"/>
        <v>0</v>
      </c>
      <c r="BX253" s="420">
        <f t="shared" si="404"/>
        <v>6.6300000000000008</v>
      </c>
      <c r="BY253" s="419"/>
      <c r="BZ253" s="414"/>
      <c r="CA253" s="414"/>
      <c r="CB253" s="414"/>
      <c r="CC253" s="414"/>
      <c r="CD253" s="509"/>
      <c r="CE253" s="419"/>
      <c r="CF253" s="414"/>
      <c r="CG253" s="414"/>
      <c r="CH253" s="414"/>
      <c r="CI253" s="414"/>
      <c r="CJ253" s="509"/>
    </row>
    <row r="254" spans="1:88" s="221" customFormat="1" ht="12.75" customHeight="1">
      <c r="A254" s="209">
        <v>46</v>
      </c>
      <c r="B254" s="210">
        <v>4461</v>
      </c>
      <c r="C254" s="210">
        <v>600074765</v>
      </c>
      <c r="D254" s="210">
        <v>46750088</v>
      </c>
      <c r="E254" s="208" t="s">
        <v>232</v>
      </c>
      <c r="F254" s="210">
        <v>3143</v>
      </c>
      <c r="G254" s="165" t="s">
        <v>595</v>
      </c>
      <c r="H254" s="609" t="s">
        <v>271</v>
      </c>
      <c r="I254" s="510">
        <v>2319051</v>
      </c>
      <c r="J254" s="414">
        <v>1700513</v>
      </c>
      <c r="K254" s="414">
        <v>1700513</v>
      </c>
      <c r="L254" s="414">
        <v>0</v>
      </c>
      <c r="M254" s="414">
        <v>20000</v>
      </c>
      <c r="N254" s="414">
        <v>20000</v>
      </c>
      <c r="O254" s="414">
        <v>0</v>
      </c>
      <c r="P254" s="68">
        <v>581533</v>
      </c>
      <c r="Q254" s="68">
        <v>17005</v>
      </c>
      <c r="R254" s="414">
        <v>0</v>
      </c>
      <c r="S254" s="415">
        <v>3.2914000000000003</v>
      </c>
      <c r="T254" s="416">
        <v>3.2914000000000003</v>
      </c>
      <c r="U254" s="422">
        <v>0</v>
      </c>
      <c r="V254" s="423">
        <f t="shared" si="314"/>
        <v>0</v>
      </c>
      <c r="W254" s="417">
        <f t="shared" si="315"/>
        <v>0</v>
      </c>
      <c r="X254" s="417">
        <v>0</v>
      </c>
      <c r="Y254" s="417">
        <v>0</v>
      </c>
      <c r="Z254" s="417">
        <v>0</v>
      </c>
      <c r="AA254" s="417">
        <v>0</v>
      </c>
      <c r="AB254" s="417">
        <v>0</v>
      </c>
      <c r="AC254" s="417">
        <v>0</v>
      </c>
      <c r="AD254" s="417">
        <v>0</v>
      </c>
      <c r="AE254" s="417">
        <f t="shared" si="316"/>
        <v>0</v>
      </c>
      <c r="AF254" s="417">
        <f t="shared" si="317"/>
        <v>0</v>
      </c>
      <c r="AG254" s="417">
        <f t="shared" si="318"/>
        <v>0</v>
      </c>
      <c r="AH254" s="417">
        <v>0</v>
      </c>
      <c r="AI254" s="417">
        <v>0</v>
      </c>
      <c r="AJ254" s="417">
        <v>0</v>
      </c>
      <c r="AK254" s="417">
        <v>0</v>
      </c>
      <c r="AL254" s="417">
        <v>0</v>
      </c>
      <c r="AM254" s="417">
        <f t="shared" si="319"/>
        <v>0</v>
      </c>
      <c r="AN254" s="417">
        <f t="shared" si="320"/>
        <v>0</v>
      </c>
      <c r="AO254" s="417">
        <f t="shared" si="321"/>
        <v>0</v>
      </c>
      <c r="AP254" s="417">
        <f t="shared" si="322"/>
        <v>0</v>
      </c>
      <c r="AQ254" s="417">
        <f t="shared" si="323"/>
        <v>0</v>
      </c>
      <c r="AR254" s="417">
        <f t="shared" si="324"/>
        <v>0</v>
      </c>
      <c r="AS254" s="68">
        <f t="shared" si="325"/>
        <v>0</v>
      </c>
      <c r="AT254" s="68">
        <f t="shared" si="326"/>
        <v>0</v>
      </c>
      <c r="AU254" s="417">
        <v>0</v>
      </c>
      <c r="AV254" s="417">
        <v>0</v>
      </c>
      <c r="AW254" s="417">
        <v>0</v>
      </c>
      <c r="AX254" s="417">
        <f t="shared" si="327"/>
        <v>0</v>
      </c>
      <c r="AY254" s="417">
        <f t="shared" si="328"/>
        <v>0</v>
      </c>
      <c r="AZ254" s="418">
        <v>0</v>
      </c>
      <c r="BA254" s="418">
        <v>0</v>
      </c>
      <c r="BB254" s="418">
        <v>0</v>
      </c>
      <c r="BC254" s="418">
        <v>0</v>
      </c>
      <c r="BD254" s="418">
        <v>0</v>
      </c>
      <c r="BE254" s="418">
        <v>0</v>
      </c>
      <c r="BF254" s="418">
        <v>0</v>
      </c>
      <c r="BG254" s="418">
        <v>0</v>
      </c>
      <c r="BH254" s="418">
        <v>0</v>
      </c>
      <c r="BI254" s="418">
        <f t="shared" si="329"/>
        <v>0</v>
      </c>
      <c r="BJ254" s="418">
        <f t="shared" si="330"/>
        <v>0</v>
      </c>
      <c r="BK254" s="420">
        <f t="shared" si="331"/>
        <v>0</v>
      </c>
      <c r="BL254" s="772">
        <f t="shared" si="396"/>
        <v>2319051</v>
      </c>
      <c r="BM254" s="417">
        <f t="shared" si="397"/>
        <v>1700513</v>
      </c>
      <c r="BN254" s="417">
        <f t="shared" si="398"/>
        <v>1700513</v>
      </c>
      <c r="BO254" s="417">
        <f t="shared" si="398"/>
        <v>0</v>
      </c>
      <c r="BP254" s="417">
        <f t="shared" si="399"/>
        <v>20000</v>
      </c>
      <c r="BQ254" s="417">
        <f t="shared" si="400"/>
        <v>20000</v>
      </c>
      <c r="BR254" s="417">
        <f t="shared" si="400"/>
        <v>0</v>
      </c>
      <c r="BS254" s="417">
        <f t="shared" si="401"/>
        <v>581533</v>
      </c>
      <c r="BT254" s="417">
        <f t="shared" si="401"/>
        <v>17005</v>
      </c>
      <c r="BU254" s="417">
        <f t="shared" si="402"/>
        <v>0</v>
      </c>
      <c r="BV254" s="418">
        <f t="shared" si="403"/>
        <v>3.2914000000000003</v>
      </c>
      <c r="BW254" s="418">
        <f t="shared" si="404"/>
        <v>3.2914000000000003</v>
      </c>
      <c r="BX254" s="420">
        <f t="shared" si="404"/>
        <v>0</v>
      </c>
      <c r="BY254" s="419"/>
      <c r="BZ254" s="414"/>
      <c r="CA254" s="414"/>
      <c r="CB254" s="414"/>
      <c r="CC254" s="414"/>
      <c r="CD254" s="509"/>
      <c r="CE254" s="419"/>
      <c r="CF254" s="414"/>
      <c r="CG254" s="414"/>
      <c r="CH254" s="414"/>
      <c r="CI254" s="414"/>
      <c r="CJ254" s="509"/>
    </row>
    <row r="255" spans="1:88" s="221" customFormat="1" ht="12.75" customHeight="1">
      <c r="A255" s="209">
        <v>46</v>
      </c>
      <c r="B255" s="210">
        <v>4461</v>
      </c>
      <c r="C255" s="210">
        <v>600074765</v>
      </c>
      <c r="D255" s="210">
        <v>46750088</v>
      </c>
      <c r="E255" s="208" t="s">
        <v>232</v>
      </c>
      <c r="F255" s="210">
        <v>3143</v>
      </c>
      <c r="G255" s="165" t="s">
        <v>596</v>
      </c>
      <c r="H255" s="609" t="s">
        <v>272</v>
      </c>
      <c r="I255" s="510">
        <v>85292</v>
      </c>
      <c r="J255" s="414">
        <v>61050</v>
      </c>
      <c r="K255" s="414">
        <v>0</v>
      </c>
      <c r="L255" s="414">
        <v>61050</v>
      </c>
      <c r="M255" s="414">
        <v>0</v>
      </c>
      <c r="N255" s="414">
        <v>0</v>
      </c>
      <c r="O255" s="414">
        <v>0</v>
      </c>
      <c r="P255" s="68">
        <v>20635</v>
      </c>
      <c r="Q255" s="68">
        <v>610</v>
      </c>
      <c r="R255" s="414">
        <v>2997</v>
      </c>
      <c r="S255" s="415">
        <v>0.22999999999999998</v>
      </c>
      <c r="T255" s="416">
        <v>0</v>
      </c>
      <c r="U255" s="422">
        <v>0.22999999999999998</v>
      </c>
      <c r="V255" s="423">
        <f t="shared" si="314"/>
        <v>0</v>
      </c>
      <c r="W255" s="417">
        <f t="shared" si="315"/>
        <v>0</v>
      </c>
      <c r="X255" s="417">
        <v>0</v>
      </c>
      <c r="Y255" s="417">
        <v>0</v>
      </c>
      <c r="Z255" s="417">
        <v>0</v>
      </c>
      <c r="AA255" s="417">
        <v>0</v>
      </c>
      <c r="AB255" s="417">
        <v>0</v>
      </c>
      <c r="AC255" s="417">
        <v>0</v>
      </c>
      <c r="AD255" s="417">
        <v>0</v>
      </c>
      <c r="AE255" s="417">
        <f t="shared" si="316"/>
        <v>0</v>
      </c>
      <c r="AF255" s="417">
        <f t="shared" si="317"/>
        <v>0</v>
      </c>
      <c r="AG255" s="417">
        <f t="shared" si="318"/>
        <v>0</v>
      </c>
      <c r="AH255" s="417">
        <v>0</v>
      </c>
      <c r="AI255" s="417">
        <v>0</v>
      </c>
      <c r="AJ255" s="417">
        <v>0</v>
      </c>
      <c r="AK255" s="417">
        <v>0</v>
      </c>
      <c r="AL255" s="417">
        <v>0</v>
      </c>
      <c r="AM255" s="417">
        <f t="shared" si="319"/>
        <v>0</v>
      </c>
      <c r="AN255" s="417">
        <f t="shared" si="320"/>
        <v>0</v>
      </c>
      <c r="AO255" s="417">
        <f t="shared" si="321"/>
        <v>0</v>
      </c>
      <c r="AP255" s="417">
        <f t="shared" si="322"/>
        <v>0</v>
      </c>
      <c r="AQ255" s="417">
        <f t="shared" si="323"/>
        <v>0</v>
      </c>
      <c r="AR255" s="417">
        <f t="shared" si="324"/>
        <v>0</v>
      </c>
      <c r="AS255" s="68">
        <f t="shared" si="325"/>
        <v>0</v>
      </c>
      <c r="AT255" s="68">
        <f t="shared" si="326"/>
        <v>0</v>
      </c>
      <c r="AU255" s="417">
        <v>0</v>
      </c>
      <c r="AV255" s="417">
        <v>0</v>
      </c>
      <c r="AW255" s="417">
        <v>0</v>
      </c>
      <c r="AX255" s="417">
        <f t="shared" si="327"/>
        <v>0</v>
      </c>
      <c r="AY255" s="417">
        <f t="shared" si="328"/>
        <v>0</v>
      </c>
      <c r="AZ255" s="418">
        <v>0.02</v>
      </c>
      <c r="BA255" s="418">
        <v>0</v>
      </c>
      <c r="BB255" s="418">
        <v>0</v>
      </c>
      <c r="BC255" s="418">
        <v>0</v>
      </c>
      <c r="BD255" s="418">
        <v>0</v>
      </c>
      <c r="BE255" s="418">
        <v>0</v>
      </c>
      <c r="BF255" s="418">
        <v>0</v>
      </c>
      <c r="BG255" s="418">
        <v>0</v>
      </c>
      <c r="BH255" s="418">
        <v>0</v>
      </c>
      <c r="BI255" s="418">
        <f t="shared" si="329"/>
        <v>0.02</v>
      </c>
      <c r="BJ255" s="418">
        <f t="shared" si="330"/>
        <v>0</v>
      </c>
      <c r="BK255" s="420">
        <f t="shared" si="331"/>
        <v>0.02</v>
      </c>
      <c r="BL255" s="772">
        <f t="shared" si="396"/>
        <v>85292</v>
      </c>
      <c r="BM255" s="417">
        <f t="shared" si="397"/>
        <v>61050</v>
      </c>
      <c r="BN255" s="417">
        <f t="shared" si="398"/>
        <v>0</v>
      </c>
      <c r="BO255" s="417">
        <f t="shared" si="398"/>
        <v>61050</v>
      </c>
      <c r="BP255" s="417">
        <f t="shared" si="399"/>
        <v>0</v>
      </c>
      <c r="BQ255" s="417">
        <f t="shared" si="400"/>
        <v>0</v>
      </c>
      <c r="BR255" s="417">
        <f t="shared" si="400"/>
        <v>0</v>
      </c>
      <c r="BS255" s="417">
        <f t="shared" si="401"/>
        <v>20635</v>
      </c>
      <c r="BT255" s="417">
        <f t="shared" si="401"/>
        <v>610</v>
      </c>
      <c r="BU255" s="417">
        <f t="shared" si="402"/>
        <v>2997</v>
      </c>
      <c r="BV255" s="418">
        <f t="shared" si="403"/>
        <v>0.24999999999999997</v>
      </c>
      <c r="BW255" s="418">
        <f t="shared" si="404"/>
        <v>0.02</v>
      </c>
      <c r="BX255" s="420">
        <f t="shared" si="404"/>
        <v>0.22999999999999998</v>
      </c>
      <c r="BY255" s="419"/>
      <c r="BZ255" s="414"/>
      <c r="CA255" s="414"/>
      <c r="CB255" s="414"/>
      <c r="CC255" s="414"/>
      <c r="CD255" s="509"/>
      <c r="CE255" s="419"/>
      <c r="CF255" s="601"/>
      <c r="CG255" s="414"/>
      <c r="CH255" s="414"/>
      <c r="CI255" s="602"/>
      <c r="CJ255" s="603"/>
    </row>
    <row r="256" spans="1:88" s="221" customFormat="1" ht="12.75" customHeight="1">
      <c r="A256" s="155">
        <v>46</v>
      </c>
      <c r="B256" s="18">
        <v>4461</v>
      </c>
      <c r="C256" s="18">
        <v>600074765</v>
      </c>
      <c r="D256" s="18">
        <v>46750088</v>
      </c>
      <c r="E256" s="164" t="s">
        <v>233</v>
      </c>
      <c r="F256" s="18"/>
      <c r="G256" s="154"/>
      <c r="H256" s="608"/>
      <c r="I256" s="451">
        <v>47899594</v>
      </c>
      <c r="J256" s="444">
        <v>34716917</v>
      </c>
      <c r="K256" s="444">
        <v>29523131</v>
      </c>
      <c r="L256" s="444">
        <v>5193786</v>
      </c>
      <c r="M256" s="444">
        <v>364000</v>
      </c>
      <c r="N256" s="444">
        <v>192000</v>
      </c>
      <c r="O256" s="444">
        <v>172000</v>
      </c>
      <c r="P256" s="444">
        <v>11857350</v>
      </c>
      <c r="Q256" s="444">
        <v>347168</v>
      </c>
      <c r="R256" s="444">
        <v>614159</v>
      </c>
      <c r="S256" s="445">
        <v>62.724199999999996</v>
      </c>
      <c r="T256" s="445">
        <v>46.603500000000004</v>
      </c>
      <c r="U256" s="449">
        <v>16.120700000000003</v>
      </c>
      <c r="V256" s="447">
        <f t="shared" ref="V256:CG256" si="405">SUM(V250:V255)</f>
        <v>12000</v>
      </c>
      <c r="W256" s="444">
        <f t="shared" si="405"/>
        <v>-69500</v>
      </c>
      <c r="X256" s="444">
        <f t="shared" si="405"/>
        <v>69525</v>
      </c>
      <c r="Y256" s="444">
        <f t="shared" si="405"/>
        <v>9268</v>
      </c>
      <c r="Z256" s="444">
        <f t="shared" si="405"/>
        <v>0</v>
      </c>
      <c r="AA256" s="444">
        <f t="shared" si="405"/>
        <v>-74646</v>
      </c>
      <c r="AB256" s="444">
        <f t="shared" si="405"/>
        <v>0</v>
      </c>
      <c r="AC256" s="444">
        <f t="shared" si="405"/>
        <v>0</v>
      </c>
      <c r="AD256" s="444">
        <f t="shared" si="405"/>
        <v>0</v>
      </c>
      <c r="AE256" s="444">
        <f t="shared" si="405"/>
        <v>90793</v>
      </c>
      <c r="AF256" s="444">
        <f t="shared" si="405"/>
        <v>-144146</v>
      </c>
      <c r="AG256" s="444">
        <f t="shared" si="405"/>
        <v>-53353</v>
      </c>
      <c r="AH256" s="444">
        <f t="shared" si="405"/>
        <v>-12000</v>
      </c>
      <c r="AI256" s="444">
        <f t="shared" si="405"/>
        <v>69500</v>
      </c>
      <c r="AJ256" s="444">
        <f t="shared" si="405"/>
        <v>0</v>
      </c>
      <c r="AK256" s="444">
        <f t="shared" si="405"/>
        <v>0</v>
      </c>
      <c r="AL256" s="444">
        <f t="shared" si="405"/>
        <v>0</v>
      </c>
      <c r="AM256" s="444">
        <f t="shared" si="405"/>
        <v>-12000</v>
      </c>
      <c r="AN256" s="444">
        <f t="shared" si="405"/>
        <v>69500</v>
      </c>
      <c r="AO256" s="444">
        <f t="shared" si="405"/>
        <v>57500</v>
      </c>
      <c r="AP256" s="444">
        <f t="shared" si="405"/>
        <v>78793</v>
      </c>
      <c r="AQ256" s="444">
        <f t="shared" si="405"/>
        <v>-74646</v>
      </c>
      <c r="AR256" s="444">
        <f t="shared" si="405"/>
        <v>4147</v>
      </c>
      <c r="AS256" s="444">
        <f t="shared" si="405"/>
        <v>1402</v>
      </c>
      <c r="AT256" s="444">
        <f t="shared" si="405"/>
        <v>-533</v>
      </c>
      <c r="AU256" s="444">
        <f t="shared" si="405"/>
        <v>25750</v>
      </c>
      <c r="AV256" s="444">
        <f t="shared" si="405"/>
        <v>0</v>
      </c>
      <c r="AW256" s="444">
        <f t="shared" si="405"/>
        <v>0</v>
      </c>
      <c r="AX256" s="444">
        <f t="shared" si="405"/>
        <v>25750</v>
      </c>
      <c r="AY256" s="444">
        <f t="shared" si="405"/>
        <v>30766</v>
      </c>
      <c r="AZ256" s="445">
        <f t="shared" si="405"/>
        <v>0.28000000000000003</v>
      </c>
      <c r="BA256" s="445">
        <f t="shared" si="405"/>
        <v>0.62</v>
      </c>
      <c r="BB256" s="445">
        <f t="shared" si="405"/>
        <v>0.19</v>
      </c>
      <c r="BC256" s="445">
        <f t="shared" si="405"/>
        <v>0</v>
      </c>
      <c r="BD256" s="445">
        <f t="shared" si="405"/>
        <v>-0.23</v>
      </c>
      <c r="BE256" s="445">
        <f t="shared" si="405"/>
        <v>0.01</v>
      </c>
      <c r="BF256" s="445">
        <f t="shared" si="405"/>
        <v>0</v>
      </c>
      <c r="BG256" s="445">
        <f t="shared" si="405"/>
        <v>0</v>
      </c>
      <c r="BH256" s="445">
        <f t="shared" si="405"/>
        <v>0</v>
      </c>
      <c r="BI256" s="445">
        <f t="shared" si="405"/>
        <v>0.48000000000000004</v>
      </c>
      <c r="BJ256" s="445">
        <f t="shared" si="405"/>
        <v>0.39</v>
      </c>
      <c r="BK256" s="39">
        <f t="shared" si="405"/>
        <v>0.87</v>
      </c>
      <c r="BL256" s="451">
        <f t="shared" si="405"/>
        <v>47930360</v>
      </c>
      <c r="BM256" s="444">
        <f t="shared" si="405"/>
        <v>34663564</v>
      </c>
      <c r="BN256" s="444">
        <f t="shared" si="405"/>
        <v>29613924</v>
      </c>
      <c r="BO256" s="444">
        <f t="shared" si="405"/>
        <v>5049640</v>
      </c>
      <c r="BP256" s="444">
        <f t="shared" si="405"/>
        <v>421500</v>
      </c>
      <c r="BQ256" s="444">
        <f t="shared" si="405"/>
        <v>180000</v>
      </c>
      <c r="BR256" s="444">
        <f t="shared" si="405"/>
        <v>241500</v>
      </c>
      <c r="BS256" s="444">
        <f t="shared" si="405"/>
        <v>11858752</v>
      </c>
      <c r="BT256" s="444">
        <f t="shared" si="405"/>
        <v>346635</v>
      </c>
      <c r="BU256" s="444">
        <f t="shared" si="405"/>
        <v>639909</v>
      </c>
      <c r="BV256" s="445">
        <f t="shared" si="405"/>
        <v>63.594200000000001</v>
      </c>
      <c r="BW256" s="445">
        <f t="shared" si="405"/>
        <v>47.083500000000001</v>
      </c>
      <c r="BX256" s="39">
        <f t="shared" si="405"/>
        <v>16.510700000000003</v>
      </c>
      <c r="BY256" s="806">
        <f t="shared" si="405"/>
        <v>0</v>
      </c>
      <c r="BZ256" s="709">
        <f t="shared" si="405"/>
        <v>0</v>
      </c>
      <c r="CA256" s="709">
        <f t="shared" si="405"/>
        <v>0</v>
      </c>
      <c r="CB256" s="709">
        <f t="shared" si="405"/>
        <v>0</v>
      </c>
      <c r="CC256" s="709">
        <f t="shared" si="405"/>
        <v>0</v>
      </c>
      <c r="CD256" s="807">
        <f t="shared" si="405"/>
        <v>0</v>
      </c>
      <c r="CE256" s="919">
        <f t="shared" si="405"/>
        <v>1448338</v>
      </c>
      <c r="CF256" s="920">
        <f t="shared" si="405"/>
        <v>968201</v>
      </c>
      <c r="CG256" s="920">
        <f t="shared" si="405"/>
        <v>327252</v>
      </c>
      <c r="CH256" s="920">
        <f t="shared" ref="CH256:CJ256" si="406">SUM(CH250:CH255)</f>
        <v>9682</v>
      </c>
      <c r="CI256" s="920">
        <f t="shared" si="406"/>
        <v>143203</v>
      </c>
      <c r="CJ256" s="921">
        <f t="shared" si="406"/>
        <v>3.0974000000000004</v>
      </c>
    </row>
    <row r="257" spans="1:88" s="221" customFormat="1" ht="12.75" customHeight="1">
      <c r="A257" s="209">
        <v>47</v>
      </c>
      <c r="B257" s="210">
        <v>4427</v>
      </c>
      <c r="C257" s="210">
        <v>600074188</v>
      </c>
      <c r="D257" s="210">
        <v>70982678</v>
      </c>
      <c r="E257" s="208" t="s">
        <v>785</v>
      </c>
      <c r="F257" s="210">
        <v>3111</v>
      </c>
      <c r="G257" s="165" t="s">
        <v>290</v>
      </c>
      <c r="H257" s="621" t="s">
        <v>271</v>
      </c>
      <c r="I257" s="510">
        <v>3715577</v>
      </c>
      <c r="J257" s="414">
        <v>2735457</v>
      </c>
      <c r="K257" s="414">
        <v>2569039</v>
      </c>
      <c r="L257" s="414">
        <v>166418</v>
      </c>
      <c r="M257" s="414">
        <v>10000</v>
      </c>
      <c r="N257" s="414">
        <v>0</v>
      </c>
      <c r="O257" s="414">
        <v>10000</v>
      </c>
      <c r="P257" s="68">
        <v>927965</v>
      </c>
      <c r="Q257" s="68">
        <v>27355</v>
      </c>
      <c r="R257" s="414">
        <v>14800</v>
      </c>
      <c r="S257" s="415">
        <v>5.1907000000000005</v>
      </c>
      <c r="T257" s="416">
        <v>4.4839000000000002</v>
      </c>
      <c r="U257" s="422">
        <v>0.70679999999999998</v>
      </c>
      <c r="V257" s="423">
        <f t="shared" si="314"/>
        <v>0</v>
      </c>
      <c r="W257" s="417">
        <f t="shared" si="315"/>
        <v>0</v>
      </c>
      <c r="X257" s="417">
        <v>0</v>
      </c>
      <c r="Y257" s="417">
        <v>0</v>
      </c>
      <c r="Z257" s="417">
        <v>0</v>
      </c>
      <c r="AA257" s="417">
        <v>0</v>
      </c>
      <c r="AB257" s="417">
        <v>0</v>
      </c>
      <c r="AC257" s="417">
        <v>0</v>
      </c>
      <c r="AD257" s="417">
        <v>0</v>
      </c>
      <c r="AE257" s="417">
        <f t="shared" si="316"/>
        <v>0</v>
      </c>
      <c r="AF257" s="417">
        <f t="shared" si="317"/>
        <v>0</v>
      </c>
      <c r="AG257" s="417">
        <f t="shared" si="318"/>
        <v>0</v>
      </c>
      <c r="AH257" s="417">
        <v>0</v>
      </c>
      <c r="AI257" s="417">
        <v>0</v>
      </c>
      <c r="AJ257" s="417">
        <v>0</v>
      </c>
      <c r="AK257" s="417">
        <v>0</v>
      </c>
      <c r="AL257" s="417">
        <v>0</v>
      </c>
      <c r="AM257" s="417">
        <f t="shared" si="319"/>
        <v>0</v>
      </c>
      <c r="AN257" s="417">
        <f t="shared" si="320"/>
        <v>0</v>
      </c>
      <c r="AO257" s="417">
        <f t="shared" si="321"/>
        <v>0</v>
      </c>
      <c r="AP257" s="417">
        <f t="shared" si="322"/>
        <v>0</v>
      </c>
      <c r="AQ257" s="417">
        <f t="shared" si="323"/>
        <v>0</v>
      </c>
      <c r="AR257" s="417">
        <f t="shared" si="324"/>
        <v>0</v>
      </c>
      <c r="AS257" s="68">
        <f t="shared" si="325"/>
        <v>0</v>
      </c>
      <c r="AT257" s="68">
        <f t="shared" si="326"/>
        <v>0</v>
      </c>
      <c r="AU257" s="417">
        <v>0</v>
      </c>
      <c r="AV257" s="417">
        <v>0</v>
      </c>
      <c r="AW257" s="417">
        <v>0</v>
      </c>
      <c r="AX257" s="417">
        <f t="shared" si="327"/>
        <v>0</v>
      </c>
      <c r="AY257" s="417">
        <f t="shared" si="328"/>
        <v>0</v>
      </c>
      <c r="AZ257" s="418">
        <v>0</v>
      </c>
      <c r="BA257" s="418">
        <v>0</v>
      </c>
      <c r="BB257" s="418">
        <v>0</v>
      </c>
      <c r="BC257" s="418">
        <v>0</v>
      </c>
      <c r="BD257" s="418">
        <v>0</v>
      </c>
      <c r="BE257" s="418">
        <v>0</v>
      </c>
      <c r="BF257" s="418">
        <v>0</v>
      </c>
      <c r="BG257" s="418">
        <v>0</v>
      </c>
      <c r="BH257" s="418">
        <v>0</v>
      </c>
      <c r="BI257" s="418">
        <f t="shared" si="329"/>
        <v>0</v>
      </c>
      <c r="BJ257" s="418">
        <f t="shared" si="330"/>
        <v>0</v>
      </c>
      <c r="BK257" s="420">
        <f t="shared" si="331"/>
        <v>0</v>
      </c>
      <c r="BL257" s="772">
        <f t="shared" ref="BL257:BL262" si="407">I257+AY257</f>
        <v>3715577</v>
      </c>
      <c r="BM257" s="417">
        <f t="shared" ref="BM257:BM262" si="408">J257+AG257</f>
        <v>2735457</v>
      </c>
      <c r="BN257" s="417">
        <f t="shared" ref="BN257:BO262" si="409">K257+AE257</f>
        <v>2569039</v>
      </c>
      <c r="BO257" s="417">
        <f t="shared" si="409"/>
        <v>166418</v>
      </c>
      <c r="BP257" s="417">
        <f t="shared" ref="BP257:BP262" si="410">M257+AO257</f>
        <v>10000</v>
      </c>
      <c r="BQ257" s="417">
        <f t="shared" ref="BQ257:BR262" si="411">N257+AM257</f>
        <v>0</v>
      </c>
      <c r="BR257" s="417">
        <f t="shared" si="411"/>
        <v>10000</v>
      </c>
      <c r="BS257" s="417">
        <f t="shared" ref="BS257:BT262" si="412">P257+AS257</f>
        <v>927965</v>
      </c>
      <c r="BT257" s="417">
        <f t="shared" si="412"/>
        <v>27355</v>
      </c>
      <c r="BU257" s="417">
        <f t="shared" ref="BU257:BU262" si="413">R257+AX257</f>
        <v>14800</v>
      </c>
      <c r="BV257" s="418">
        <f t="shared" ref="BV257:BV262" si="414">S257+BK257</f>
        <v>5.1907000000000005</v>
      </c>
      <c r="BW257" s="418">
        <f t="shared" ref="BW257:BX262" si="415">T257+BI257</f>
        <v>4.4839000000000002</v>
      </c>
      <c r="BX257" s="420">
        <f t="shared" si="415"/>
        <v>0.70679999999999998</v>
      </c>
      <c r="BY257" s="419"/>
      <c r="BZ257" s="414"/>
      <c r="CA257" s="414"/>
      <c r="CB257" s="414"/>
      <c r="CC257" s="414"/>
      <c r="CD257" s="509"/>
      <c r="CE257" s="419">
        <v>81231</v>
      </c>
      <c r="CF257" s="414">
        <v>56610</v>
      </c>
      <c r="CG257" s="414">
        <v>19134</v>
      </c>
      <c r="CH257" s="414">
        <v>566</v>
      </c>
      <c r="CI257" s="414">
        <v>4921</v>
      </c>
      <c r="CJ257" s="509">
        <v>0.2268</v>
      </c>
    </row>
    <row r="258" spans="1:88" s="221" customFormat="1" ht="12.75" customHeight="1">
      <c r="A258" s="209">
        <v>47</v>
      </c>
      <c r="B258" s="210">
        <v>4427</v>
      </c>
      <c r="C258" s="210">
        <v>600074188</v>
      </c>
      <c r="D258" s="210">
        <v>70982678</v>
      </c>
      <c r="E258" s="208" t="s">
        <v>782</v>
      </c>
      <c r="F258" s="210">
        <v>3117</v>
      </c>
      <c r="G258" s="165" t="s">
        <v>293</v>
      </c>
      <c r="H258" s="621" t="s">
        <v>271</v>
      </c>
      <c r="I258" s="510">
        <v>2243451</v>
      </c>
      <c r="J258" s="414">
        <v>1604882</v>
      </c>
      <c r="K258" s="414">
        <v>1164797</v>
      </c>
      <c r="L258" s="414">
        <v>440085</v>
      </c>
      <c r="M258" s="414">
        <v>40000</v>
      </c>
      <c r="N258" s="414">
        <v>0</v>
      </c>
      <c r="O258" s="414">
        <v>40000</v>
      </c>
      <c r="P258" s="68">
        <v>555970</v>
      </c>
      <c r="Q258" s="68">
        <v>16049</v>
      </c>
      <c r="R258" s="414">
        <v>26550</v>
      </c>
      <c r="S258" s="415">
        <v>3.2098</v>
      </c>
      <c r="T258" s="416">
        <v>2</v>
      </c>
      <c r="U258" s="422">
        <v>1.2098</v>
      </c>
      <c r="V258" s="423">
        <f t="shared" si="314"/>
        <v>0</v>
      </c>
      <c r="W258" s="417">
        <f t="shared" si="315"/>
        <v>0</v>
      </c>
      <c r="X258" s="417">
        <v>0</v>
      </c>
      <c r="Y258" s="417">
        <v>0</v>
      </c>
      <c r="Z258" s="417">
        <v>0</v>
      </c>
      <c r="AA258" s="417">
        <v>0</v>
      </c>
      <c r="AB258" s="417">
        <v>0</v>
      </c>
      <c r="AC258" s="417">
        <v>0</v>
      </c>
      <c r="AD258" s="417">
        <v>0</v>
      </c>
      <c r="AE258" s="417">
        <f t="shared" si="316"/>
        <v>0</v>
      </c>
      <c r="AF258" s="417">
        <f t="shared" si="317"/>
        <v>0</v>
      </c>
      <c r="AG258" s="417">
        <f t="shared" si="318"/>
        <v>0</v>
      </c>
      <c r="AH258" s="417">
        <v>0</v>
      </c>
      <c r="AI258" s="417">
        <v>0</v>
      </c>
      <c r="AJ258" s="417">
        <v>0</v>
      </c>
      <c r="AK258" s="417">
        <v>0</v>
      </c>
      <c r="AL258" s="417">
        <v>0</v>
      </c>
      <c r="AM258" s="417">
        <f t="shared" si="319"/>
        <v>0</v>
      </c>
      <c r="AN258" s="417">
        <f t="shared" si="320"/>
        <v>0</v>
      </c>
      <c r="AO258" s="417">
        <f t="shared" si="321"/>
        <v>0</v>
      </c>
      <c r="AP258" s="417">
        <f t="shared" si="322"/>
        <v>0</v>
      </c>
      <c r="AQ258" s="417">
        <f t="shared" si="323"/>
        <v>0</v>
      </c>
      <c r="AR258" s="417">
        <f t="shared" si="324"/>
        <v>0</v>
      </c>
      <c r="AS258" s="68">
        <f t="shared" si="325"/>
        <v>0</v>
      </c>
      <c r="AT258" s="68">
        <f t="shared" si="326"/>
        <v>0</v>
      </c>
      <c r="AU258" s="417">
        <v>0</v>
      </c>
      <c r="AV258" s="417">
        <v>0</v>
      </c>
      <c r="AW258" s="417">
        <v>0</v>
      </c>
      <c r="AX258" s="417">
        <f t="shared" si="327"/>
        <v>0</v>
      </c>
      <c r="AY258" s="417">
        <f t="shared" si="328"/>
        <v>0</v>
      </c>
      <c r="AZ258" s="418">
        <v>0</v>
      </c>
      <c r="BA258" s="418">
        <v>0</v>
      </c>
      <c r="BB258" s="418">
        <v>0</v>
      </c>
      <c r="BC258" s="418">
        <v>0</v>
      </c>
      <c r="BD258" s="418">
        <v>0</v>
      </c>
      <c r="BE258" s="418">
        <v>0</v>
      </c>
      <c r="BF258" s="418">
        <v>0</v>
      </c>
      <c r="BG258" s="418">
        <v>0</v>
      </c>
      <c r="BH258" s="418">
        <v>0</v>
      </c>
      <c r="BI258" s="418">
        <f t="shared" si="329"/>
        <v>0</v>
      </c>
      <c r="BJ258" s="418">
        <f t="shared" si="330"/>
        <v>0</v>
      </c>
      <c r="BK258" s="420">
        <f t="shared" si="331"/>
        <v>0</v>
      </c>
      <c r="BL258" s="772">
        <f t="shared" si="407"/>
        <v>2243451</v>
      </c>
      <c r="BM258" s="417">
        <f t="shared" si="408"/>
        <v>1604882</v>
      </c>
      <c r="BN258" s="417">
        <f t="shared" si="409"/>
        <v>1164797</v>
      </c>
      <c r="BO258" s="417">
        <f t="shared" si="409"/>
        <v>440085</v>
      </c>
      <c r="BP258" s="417">
        <f t="shared" si="410"/>
        <v>40000</v>
      </c>
      <c r="BQ258" s="417">
        <f t="shared" si="411"/>
        <v>0</v>
      </c>
      <c r="BR258" s="417">
        <f t="shared" si="411"/>
        <v>40000</v>
      </c>
      <c r="BS258" s="417">
        <f t="shared" si="412"/>
        <v>555970</v>
      </c>
      <c r="BT258" s="417">
        <f t="shared" si="412"/>
        <v>16049</v>
      </c>
      <c r="BU258" s="417">
        <f t="shared" si="413"/>
        <v>26550</v>
      </c>
      <c r="BV258" s="418">
        <f t="shared" si="414"/>
        <v>3.2098</v>
      </c>
      <c r="BW258" s="418">
        <f t="shared" si="415"/>
        <v>2</v>
      </c>
      <c r="BX258" s="420">
        <f t="shared" si="415"/>
        <v>1.2098</v>
      </c>
      <c r="BY258" s="419"/>
      <c r="BZ258" s="414"/>
      <c r="CA258" s="414"/>
      <c r="CB258" s="414"/>
      <c r="CC258" s="414"/>
      <c r="CD258" s="509"/>
      <c r="CE258" s="414">
        <v>212343</v>
      </c>
      <c r="CF258" s="414">
        <v>154079</v>
      </c>
      <c r="CG258" s="414">
        <v>52079</v>
      </c>
      <c r="CH258" s="414">
        <v>1541</v>
      </c>
      <c r="CI258" s="414">
        <v>4644</v>
      </c>
      <c r="CJ258" s="509">
        <v>0.43319999999999992</v>
      </c>
    </row>
    <row r="259" spans="1:88" s="221" customFormat="1" ht="12.75" customHeight="1">
      <c r="A259" s="209">
        <v>47</v>
      </c>
      <c r="B259" s="210">
        <v>4427</v>
      </c>
      <c r="C259" s="210">
        <v>600074188</v>
      </c>
      <c r="D259" s="210">
        <v>70982678</v>
      </c>
      <c r="E259" s="208" t="s">
        <v>782</v>
      </c>
      <c r="F259" s="210">
        <v>3117</v>
      </c>
      <c r="G259" s="165" t="s">
        <v>291</v>
      </c>
      <c r="H259" s="621" t="s">
        <v>272</v>
      </c>
      <c r="I259" s="510">
        <v>628550</v>
      </c>
      <c r="J259" s="414">
        <v>463501</v>
      </c>
      <c r="K259" s="414">
        <v>463501</v>
      </c>
      <c r="L259" s="414">
        <v>0</v>
      </c>
      <c r="M259" s="414">
        <v>0</v>
      </c>
      <c r="N259" s="414">
        <v>0</v>
      </c>
      <c r="O259" s="414">
        <v>0</v>
      </c>
      <c r="P259" s="68">
        <v>156664</v>
      </c>
      <c r="Q259" s="68">
        <v>4635</v>
      </c>
      <c r="R259" s="414">
        <v>3750</v>
      </c>
      <c r="S259" s="415">
        <v>1.25</v>
      </c>
      <c r="T259" s="416">
        <v>1.25</v>
      </c>
      <c r="U259" s="422">
        <v>0</v>
      </c>
      <c r="V259" s="423">
        <f t="shared" si="314"/>
        <v>0</v>
      </c>
      <c r="W259" s="417">
        <f t="shared" si="315"/>
        <v>0</v>
      </c>
      <c r="X259" s="417">
        <v>0</v>
      </c>
      <c r="Y259" s="417">
        <v>0</v>
      </c>
      <c r="Z259" s="417">
        <v>0</v>
      </c>
      <c r="AA259" s="417">
        <v>0</v>
      </c>
      <c r="AB259" s="417">
        <v>0</v>
      </c>
      <c r="AC259" s="417">
        <v>0</v>
      </c>
      <c r="AD259" s="417">
        <v>0</v>
      </c>
      <c r="AE259" s="417">
        <f t="shared" si="316"/>
        <v>0</v>
      </c>
      <c r="AF259" s="417">
        <f t="shared" si="317"/>
        <v>0</v>
      </c>
      <c r="AG259" s="417">
        <f t="shared" si="318"/>
        <v>0</v>
      </c>
      <c r="AH259" s="417">
        <v>0</v>
      </c>
      <c r="AI259" s="417">
        <v>0</v>
      </c>
      <c r="AJ259" s="417">
        <v>0</v>
      </c>
      <c r="AK259" s="417">
        <v>0</v>
      </c>
      <c r="AL259" s="417">
        <v>0</v>
      </c>
      <c r="AM259" s="417">
        <f t="shared" si="319"/>
        <v>0</v>
      </c>
      <c r="AN259" s="417">
        <f t="shared" si="320"/>
        <v>0</v>
      </c>
      <c r="AO259" s="417">
        <f t="shared" si="321"/>
        <v>0</v>
      </c>
      <c r="AP259" s="417">
        <f t="shared" si="322"/>
        <v>0</v>
      </c>
      <c r="AQ259" s="417">
        <f t="shared" si="323"/>
        <v>0</v>
      </c>
      <c r="AR259" s="417">
        <f t="shared" si="324"/>
        <v>0</v>
      </c>
      <c r="AS259" s="68">
        <f t="shared" si="325"/>
        <v>0</v>
      </c>
      <c r="AT259" s="68">
        <f t="shared" si="326"/>
        <v>0</v>
      </c>
      <c r="AU259" s="417">
        <v>0</v>
      </c>
      <c r="AV259" s="417">
        <v>0</v>
      </c>
      <c r="AW259" s="417">
        <v>0</v>
      </c>
      <c r="AX259" s="417">
        <f t="shared" si="327"/>
        <v>0</v>
      </c>
      <c r="AY259" s="417">
        <f t="shared" si="328"/>
        <v>0</v>
      </c>
      <c r="AZ259" s="418">
        <v>0</v>
      </c>
      <c r="BA259" s="418">
        <v>0</v>
      </c>
      <c r="BB259" s="418">
        <v>0</v>
      </c>
      <c r="BC259" s="418">
        <v>0</v>
      </c>
      <c r="BD259" s="418">
        <v>0</v>
      </c>
      <c r="BE259" s="418">
        <v>0</v>
      </c>
      <c r="BF259" s="418">
        <v>0</v>
      </c>
      <c r="BG259" s="418">
        <v>0</v>
      </c>
      <c r="BH259" s="418">
        <v>0</v>
      </c>
      <c r="BI259" s="418">
        <f t="shared" si="329"/>
        <v>0</v>
      </c>
      <c r="BJ259" s="418">
        <f t="shared" si="330"/>
        <v>0</v>
      </c>
      <c r="BK259" s="420">
        <f t="shared" si="331"/>
        <v>0</v>
      </c>
      <c r="BL259" s="772">
        <f t="shared" si="407"/>
        <v>628550</v>
      </c>
      <c r="BM259" s="417">
        <f t="shared" si="408"/>
        <v>463501</v>
      </c>
      <c r="BN259" s="417">
        <f t="shared" si="409"/>
        <v>463501</v>
      </c>
      <c r="BO259" s="417">
        <f t="shared" si="409"/>
        <v>0</v>
      </c>
      <c r="BP259" s="417">
        <f t="shared" si="410"/>
        <v>0</v>
      </c>
      <c r="BQ259" s="417">
        <f t="shared" si="411"/>
        <v>0</v>
      </c>
      <c r="BR259" s="417">
        <f t="shared" si="411"/>
        <v>0</v>
      </c>
      <c r="BS259" s="417">
        <f t="shared" si="412"/>
        <v>156664</v>
      </c>
      <c r="BT259" s="417">
        <f t="shared" si="412"/>
        <v>4635</v>
      </c>
      <c r="BU259" s="417">
        <f t="shared" si="413"/>
        <v>3750</v>
      </c>
      <c r="BV259" s="418">
        <f t="shared" si="414"/>
        <v>1.25</v>
      </c>
      <c r="BW259" s="418">
        <f t="shared" si="415"/>
        <v>1.25</v>
      </c>
      <c r="BX259" s="420">
        <f t="shared" si="415"/>
        <v>0</v>
      </c>
      <c r="BY259" s="419"/>
      <c r="BZ259" s="414"/>
      <c r="CA259" s="414"/>
      <c r="CB259" s="414"/>
      <c r="CC259" s="414"/>
      <c r="CD259" s="509"/>
      <c r="CE259" s="419"/>
      <c r="CF259" s="414"/>
      <c r="CG259" s="414"/>
      <c r="CH259" s="414"/>
      <c r="CI259" s="414"/>
      <c r="CJ259" s="509"/>
    </row>
    <row r="260" spans="1:88" s="221" customFormat="1" ht="12.75" customHeight="1">
      <c r="A260" s="209">
        <v>47</v>
      </c>
      <c r="B260" s="210">
        <v>4427</v>
      </c>
      <c r="C260" s="210">
        <v>600074188</v>
      </c>
      <c r="D260" s="210">
        <v>70982678</v>
      </c>
      <c r="E260" s="208" t="s">
        <v>782</v>
      </c>
      <c r="F260" s="210">
        <v>3141</v>
      </c>
      <c r="G260" s="165" t="s">
        <v>294</v>
      </c>
      <c r="H260" s="621" t="s">
        <v>272</v>
      </c>
      <c r="I260" s="510">
        <v>772601</v>
      </c>
      <c r="J260" s="414">
        <v>570861</v>
      </c>
      <c r="K260" s="414">
        <v>0</v>
      </c>
      <c r="L260" s="414">
        <v>570861</v>
      </c>
      <c r="M260" s="414">
        <v>0</v>
      </c>
      <c r="N260" s="414">
        <v>0</v>
      </c>
      <c r="O260" s="414">
        <v>0</v>
      </c>
      <c r="P260" s="68">
        <v>192951</v>
      </c>
      <c r="Q260" s="68">
        <v>5709</v>
      </c>
      <c r="R260" s="414">
        <v>3080</v>
      </c>
      <c r="S260" s="415">
        <v>1.71</v>
      </c>
      <c r="T260" s="416">
        <v>0</v>
      </c>
      <c r="U260" s="422">
        <v>1.71</v>
      </c>
      <c r="V260" s="423">
        <f t="shared" si="314"/>
        <v>0</v>
      </c>
      <c r="W260" s="417">
        <f t="shared" si="315"/>
        <v>0</v>
      </c>
      <c r="X260" s="417">
        <v>0</v>
      </c>
      <c r="Y260" s="417">
        <v>0</v>
      </c>
      <c r="Z260" s="417">
        <v>0</v>
      </c>
      <c r="AA260" s="417">
        <v>25972</v>
      </c>
      <c r="AB260" s="417">
        <v>0</v>
      </c>
      <c r="AC260" s="417">
        <v>0</v>
      </c>
      <c r="AD260" s="417">
        <v>0</v>
      </c>
      <c r="AE260" s="417">
        <f t="shared" si="316"/>
        <v>0</v>
      </c>
      <c r="AF260" s="417">
        <f t="shared" si="317"/>
        <v>25972</v>
      </c>
      <c r="AG260" s="417">
        <f t="shared" si="318"/>
        <v>25972</v>
      </c>
      <c r="AH260" s="417">
        <v>0</v>
      </c>
      <c r="AI260" s="417">
        <v>0</v>
      </c>
      <c r="AJ260" s="417">
        <v>0</v>
      </c>
      <c r="AK260" s="417">
        <v>0</v>
      </c>
      <c r="AL260" s="417">
        <v>0</v>
      </c>
      <c r="AM260" s="417">
        <f t="shared" si="319"/>
        <v>0</v>
      </c>
      <c r="AN260" s="417">
        <f t="shared" si="320"/>
        <v>0</v>
      </c>
      <c r="AO260" s="417">
        <f t="shared" si="321"/>
        <v>0</v>
      </c>
      <c r="AP260" s="417">
        <f t="shared" si="322"/>
        <v>0</v>
      </c>
      <c r="AQ260" s="417">
        <f t="shared" si="323"/>
        <v>25972</v>
      </c>
      <c r="AR260" s="417">
        <f t="shared" si="324"/>
        <v>25972</v>
      </c>
      <c r="AS260" s="68">
        <f t="shared" si="325"/>
        <v>8779</v>
      </c>
      <c r="AT260" s="68">
        <f t="shared" si="326"/>
        <v>260</v>
      </c>
      <c r="AU260" s="417">
        <v>0</v>
      </c>
      <c r="AV260" s="417">
        <v>0</v>
      </c>
      <c r="AW260" s="417">
        <v>0</v>
      </c>
      <c r="AX260" s="417">
        <f t="shared" si="327"/>
        <v>0</v>
      </c>
      <c r="AY260" s="417">
        <f t="shared" si="328"/>
        <v>35011</v>
      </c>
      <c r="AZ260" s="418">
        <v>0</v>
      </c>
      <c r="BA260" s="418">
        <v>0</v>
      </c>
      <c r="BB260" s="418">
        <v>0</v>
      </c>
      <c r="BC260" s="418">
        <v>0</v>
      </c>
      <c r="BD260" s="418">
        <v>0.08</v>
      </c>
      <c r="BE260" s="418">
        <v>0</v>
      </c>
      <c r="BF260" s="418">
        <v>0</v>
      </c>
      <c r="BG260" s="418">
        <v>0</v>
      </c>
      <c r="BH260" s="418">
        <v>0</v>
      </c>
      <c r="BI260" s="418">
        <f t="shared" si="329"/>
        <v>0</v>
      </c>
      <c r="BJ260" s="418">
        <f t="shared" si="330"/>
        <v>0.08</v>
      </c>
      <c r="BK260" s="420">
        <f t="shared" si="331"/>
        <v>0.08</v>
      </c>
      <c r="BL260" s="772">
        <f t="shared" si="407"/>
        <v>807612</v>
      </c>
      <c r="BM260" s="417">
        <f t="shared" si="408"/>
        <v>596833</v>
      </c>
      <c r="BN260" s="417">
        <f t="shared" si="409"/>
        <v>0</v>
      </c>
      <c r="BO260" s="417">
        <f t="shared" si="409"/>
        <v>596833</v>
      </c>
      <c r="BP260" s="417">
        <f t="shared" si="410"/>
        <v>0</v>
      </c>
      <c r="BQ260" s="417">
        <f t="shared" si="411"/>
        <v>0</v>
      </c>
      <c r="BR260" s="417">
        <f t="shared" si="411"/>
        <v>0</v>
      </c>
      <c r="BS260" s="417">
        <f t="shared" si="412"/>
        <v>201730</v>
      </c>
      <c r="BT260" s="417">
        <f t="shared" si="412"/>
        <v>5969</v>
      </c>
      <c r="BU260" s="417">
        <f t="shared" si="413"/>
        <v>3080</v>
      </c>
      <c r="BV260" s="418">
        <f t="shared" si="414"/>
        <v>1.79</v>
      </c>
      <c r="BW260" s="418">
        <f t="shared" si="415"/>
        <v>0</v>
      </c>
      <c r="BX260" s="420">
        <f t="shared" si="415"/>
        <v>1.79</v>
      </c>
      <c r="BY260" s="419"/>
      <c r="BZ260" s="414"/>
      <c r="CA260" s="414"/>
      <c r="CB260" s="414"/>
      <c r="CC260" s="414"/>
      <c r="CD260" s="509"/>
      <c r="CE260" s="419"/>
      <c r="CF260" s="601"/>
      <c r="CG260" s="414"/>
      <c r="CH260" s="414"/>
      <c r="CI260" s="601"/>
      <c r="CJ260" s="603"/>
    </row>
    <row r="261" spans="1:88" s="221" customFormat="1" ht="12.75" customHeight="1">
      <c r="A261" s="209">
        <v>47</v>
      </c>
      <c r="B261" s="210">
        <v>4427</v>
      </c>
      <c r="C261" s="210">
        <v>600074188</v>
      </c>
      <c r="D261" s="210">
        <v>70982678</v>
      </c>
      <c r="E261" s="208" t="s">
        <v>782</v>
      </c>
      <c r="F261" s="210">
        <v>3143</v>
      </c>
      <c r="G261" s="165" t="s">
        <v>595</v>
      </c>
      <c r="H261" s="609" t="s">
        <v>271</v>
      </c>
      <c r="I261" s="510">
        <v>593524</v>
      </c>
      <c r="J261" s="414">
        <v>440300</v>
      </c>
      <c r="K261" s="414">
        <v>440300</v>
      </c>
      <c r="L261" s="414">
        <v>0</v>
      </c>
      <c r="M261" s="414">
        <v>0</v>
      </c>
      <c r="N261" s="414">
        <v>0</v>
      </c>
      <c r="O261" s="414">
        <v>0</v>
      </c>
      <c r="P261" s="68">
        <v>148821</v>
      </c>
      <c r="Q261" s="68">
        <v>4403</v>
      </c>
      <c r="R261" s="414">
        <v>0</v>
      </c>
      <c r="S261" s="415">
        <v>0.97409999999999997</v>
      </c>
      <c r="T261" s="416">
        <v>0.97409999999999997</v>
      </c>
      <c r="U261" s="422">
        <v>0</v>
      </c>
      <c r="V261" s="423">
        <f t="shared" si="314"/>
        <v>0</v>
      </c>
      <c r="W261" s="417">
        <f t="shared" si="315"/>
        <v>0</v>
      </c>
      <c r="X261" s="417">
        <v>0</v>
      </c>
      <c r="Y261" s="417">
        <v>0</v>
      </c>
      <c r="Z261" s="417">
        <v>0</v>
      </c>
      <c r="AA261" s="417">
        <v>0</v>
      </c>
      <c r="AB261" s="417">
        <v>0</v>
      </c>
      <c r="AC261" s="417">
        <v>0</v>
      </c>
      <c r="AD261" s="417">
        <v>0</v>
      </c>
      <c r="AE261" s="417">
        <f t="shared" si="316"/>
        <v>0</v>
      </c>
      <c r="AF261" s="417">
        <f t="shared" si="317"/>
        <v>0</v>
      </c>
      <c r="AG261" s="417">
        <f t="shared" si="318"/>
        <v>0</v>
      </c>
      <c r="AH261" s="417">
        <v>0</v>
      </c>
      <c r="AI261" s="417">
        <v>0</v>
      </c>
      <c r="AJ261" s="417">
        <v>0</v>
      </c>
      <c r="AK261" s="417">
        <v>0</v>
      </c>
      <c r="AL261" s="417">
        <v>0</v>
      </c>
      <c r="AM261" s="417">
        <f t="shared" si="319"/>
        <v>0</v>
      </c>
      <c r="AN261" s="417">
        <f t="shared" si="320"/>
        <v>0</v>
      </c>
      <c r="AO261" s="417">
        <f t="shared" si="321"/>
        <v>0</v>
      </c>
      <c r="AP261" s="417">
        <f t="shared" si="322"/>
        <v>0</v>
      </c>
      <c r="AQ261" s="417">
        <f t="shared" si="323"/>
        <v>0</v>
      </c>
      <c r="AR261" s="417">
        <f t="shared" si="324"/>
        <v>0</v>
      </c>
      <c r="AS261" s="68">
        <f t="shared" si="325"/>
        <v>0</v>
      </c>
      <c r="AT261" s="68">
        <f t="shared" si="326"/>
        <v>0</v>
      </c>
      <c r="AU261" s="417">
        <v>0</v>
      </c>
      <c r="AV261" s="417">
        <v>0</v>
      </c>
      <c r="AW261" s="417">
        <v>0</v>
      </c>
      <c r="AX261" s="417">
        <f t="shared" si="327"/>
        <v>0</v>
      </c>
      <c r="AY261" s="417">
        <f t="shared" si="328"/>
        <v>0</v>
      </c>
      <c r="AZ261" s="418">
        <v>0</v>
      </c>
      <c r="BA261" s="418">
        <v>0</v>
      </c>
      <c r="BB261" s="418">
        <v>0</v>
      </c>
      <c r="BC261" s="418">
        <v>0</v>
      </c>
      <c r="BD261" s="418">
        <v>0</v>
      </c>
      <c r="BE261" s="418">
        <v>0</v>
      </c>
      <c r="BF261" s="418">
        <v>0</v>
      </c>
      <c r="BG261" s="418">
        <v>0</v>
      </c>
      <c r="BH261" s="418">
        <v>0</v>
      </c>
      <c r="BI261" s="418">
        <f t="shared" si="329"/>
        <v>0</v>
      </c>
      <c r="BJ261" s="418">
        <f t="shared" si="330"/>
        <v>0</v>
      </c>
      <c r="BK261" s="420">
        <f t="shared" si="331"/>
        <v>0</v>
      </c>
      <c r="BL261" s="772">
        <f t="shared" si="407"/>
        <v>593524</v>
      </c>
      <c r="BM261" s="417">
        <f t="shared" si="408"/>
        <v>440300</v>
      </c>
      <c r="BN261" s="417">
        <f t="shared" si="409"/>
        <v>440300</v>
      </c>
      <c r="BO261" s="417">
        <f t="shared" si="409"/>
        <v>0</v>
      </c>
      <c r="BP261" s="417">
        <f t="shared" si="410"/>
        <v>0</v>
      </c>
      <c r="BQ261" s="417">
        <f t="shared" si="411"/>
        <v>0</v>
      </c>
      <c r="BR261" s="417">
        <f t="shared" si="411"/>
        <v>0</v>
      </c>
      <c r="BS261" s="417">
        <f t="shared" si="412"/>
        <v>148821</v>
      </c>
      <c r="BT261" s="417">
        <f t="shared" si="412"/>
        <v>4403</v>
      </c>
      <c r="BU261" s="417">
        <f t="shared" si="413"/>
        <v>0</v>
      </c>
      <c r="BV261" s="418">
        <f t="shared" si="414"/>
        <v>0.97409999999999997</v>
      </c>
      <c r="BW261" s="418">
        <f t="shared" si="415"/>
        <v>0.97409999999999997</v>
      </c>
      <c r="BX261" s="420">
        <f t="shared" si="415"/>
        <v>0</v>
      </c>
      <c r="BY261" s="419"/>
      <c r="BZ261" s="414"/>
      <c r="CA261" s="414"/>
      <c r="CB261" s="414"/>
      <c r="CC261" s="414"/>
      <c r="CD261" s="509"/>
      <c r="CE261" s="419"/>
      <c r="CF261" s="414"/>
      <c r="CG261" s="414"/>
      <c r="CH261" s="414"/>
      <c r="CI261" s="414"/>
      <c r="CJ261" s="509"/>
    </row>
    <row r="262" spans="1:88" s="221" customFormat="1" ht="12.75" customHeight="1">
      <c r="A262" s="209">
        <v>47</v>
      </c>
      <c r="B262" s="210">
        <v>4427</v>
      </c>
      <c r="C262" s="210">
        <v>600074188</v>
      </c>
      <c r="D262" s="210">
        <v>70982678</v>
      </c>
      <c r="E262" s="208" t="s">
        <v>782</v>
      </c>
      <c r="F262" s="210">
        <v>3143</v>
      </c>
      <c r="G262" s="165" t="s">
        <v>596</v>
      </c>
      <c r="H262" s="609" t="s">
        <v>272</v>
      </c>
      <c r="I262" s="510">
        <v>13063</v>
      </c>
      <c r="J262" s="414">
        <v>9350</v>
      </c>
      <c r="K262" s="414">
        <v>0</v>
      </c>
      <c r="L262" s="414">
        <v>9350</v>
      </c>
      <c r="M262" s="414">
        <v>0</v>
      </c>
      <c r="N262" s="414">
        <v>0</v>
      </c>
      <c r="O262" s="414">
        <v>0</v>
      </c>
      <c r="P262" s="68">
        <v>3161</v>
      </c>
      <c r="Q262" s="68">
        <v>93</v>
      </c>
      <c r="R262" s="414">
        <v>459</v>
      </c>
      <c r="S262" s="415">
        <v>0.03</v>
      </c>
      <c r="T262" s="416">
        <v>0</v>
      </c>
      <c r="U262" s="422">
        <v>0.03</v>
      </c>
      <c r="V262" s="423">
        <f t="shared" si="314"/>
        <v>0</v>
      </c>
      <c r="W262" s="417">
        <f t="shared" si="315"/>
        <v>0</v>
      </c>
      <c r="X262" s="417">
        <v>0</v>
      </c>
      <c r="Y262" s="417">
        <v>0</v>
      </c>
      <c r="Z262" s="417">
        <v>0</v>
      </c>
      <c r="AA262" s="417">
        <v>0</v>
      </c>
      <c r="AB262" s="417">
        <v>0</v>
      </c>
      <c r="AC262" s="417">
        <v>0</v>
      </c>
      <c r="AD262" s="417">
        <v>0</v>
      </c>
      <c r="AE262" s="417">
        <f t="shared" si="316"/>
        <v>0</v>
      </c>
      <c r="AF262" s="417">
        <f t="shared" si="317"/>
        <v>0</v>
      </c>
      <c r="AG262" s="417">
        <f t="shared" si="318"/>
        <v>0</v>
      </c>
      <c r="AH262" s="417">
        <v>0</v>
      </c>
      <c r="AI262" s="417">
        <v>0</v>
      </c>
      <c r="AJ262" s="417">
        <v>0</v>
      </c>
      <c r="AK262" s="417">
        <v>0</v>
      </c>
      <c r="AL262" s="417">
        <v>0</v>
      </c>
      <c r="AM262" s="417">
        <f t="shared" si="319"/>
        <v>0</v>
      </c>
      <c r="AN262" s="417">
        <f t="shared" si="320"/>
        <v>0</v>
      </c>
      <c r="AO262" s="417">
        <f t="shared" si="321"/>
        <v>0</v>
      </c>
      <c r="AP262" s="417">
        <f t="shared" si="322"/>
        <v>0</v>
      </c>
      <c r="AQ262" s="417">
        <f t="shared" si="323"/>
        <v>0</v>
      </c>
      <c r="AR262" s="417">
        <f t="shared" si="324"/>
        <v>0</v>
      </c>
      <c r="AS262" s="68">
        <f t="shared" si="325"/>
        <v>0</v>
      </c>
      <c r="AT262" s="68">
        <f t="shared" si="326"/>
        <v>0</v>
      </c>
      <c r="AU262" s="417">
        <v>0</v>
      </c>
      <c r="AV262" s="417">
        <v>0</v>
      </c>
      <c r="AW262" s="417">
        <v>0</v>
      </c>
      <c r="AX262" s="417">
        <f t="shared" si="327"/>
        <v>0</v>
      </c>
      <c r="AY262" s="417">
        <f t="shared" si="328"/>
        <v>0</v>
      </c>
      <c r="AZ262" s="418">
        <v>0</v>
      </c>
      <c r="BA262" s="418">
        <v>0</v>
      </c>
      <c r="BB262" s="418">
        <v>0</v>
      </c>
      <c r="BC262" s="418">
        <v>0</v>
      </c>
      <c r="BD262" s="418">
        <v>0</v>
      </c>
      <c r="BE262" s="418">
        <v>0</v>
      </c>
      <c r="BF262" s="418">
        <v>0</v>
      </c>
      <c r="BG262" s="418">
        <v>0</v>
      </c>
      <c r="BH262" s="418">
        <v>0</v>
      </c>
      <c r="BI262" s="418">
        <f t="shared" si="329"/>
        <v>0</v>
      </c>
      <c r="BJ262" s="418">
        <f t="shared" si="330"/>
        <v>0</v>
      </c>
      <c r="BK262" s="420">
        <f t="shared" si="331"/>
        <v>0</v>
      </c>
      <c r="BL262" s="772">
        <f t="shared" si="407"/>
        <v>13063</v>
      </c>
      <c r="BM262" s="417">
        <f t="shared" si="408"/>
        <v>9350</v>
      </c>
      <c r="BN262" s="417">
        <f t="shared" si="409"/>
        <v>0</v>
      </c>
      <c r="BO262" s="417">
        <f t="shared" si="409"/>
        <v>9350</v>
      </c>
      <c r="BP262" s="417">
        <f t="shared" si="410"/>
        <v>0</v>
      </c>
      <c r="BQ262" s="417">
        <f t="shared" si="411"/>
        <v>0</v>
      </c>
      <c r="BR262" s="417">
        <f t="shared" si="411"/>
        <v>0</v>
      </c>
      <c r="BS262" s="417">
        <f t="shared" si="412"/>
        <v>3161</v>
      </c>
      <c r="BT262" s="417">
        <f t="shared" si="412"/>
        <v>93</v>
      </c>
      <c r="BU262" s="417">
        <f t="shared" si="413"/>
        <v>459</v>
      </c>
      <c r="BV262" s="418">
        <f t="shared" si="414"/>
        <v>0.03</v>
      </c>
      <c r="BW262" s="418">
        <f t="shared" si="415"/>
        <v>0</v>
      </c>
      <c r="BX262" s="420">
        <f t="shared" si="415"/>
        <v>0.03</v>
      </c>
      <c r="BY262" s="419"/>
      <c r="BZ262" s="414"/>
      <c r="CA262" s="414"/>
      <c r="CB262" s="414"/>
      <c r="CC262" s="414"/>
      <c r="CD262" s="509"/>
      <c r="CE262" s="419"/>
      <c r="CF262" s="601"/>
      <c r="CG262" s="414"/>
      <c r="CH262" s="414"/>
      <c r="CI262" s="602"/>
      <c r="CJ262" s="603"/>
    </row>
    <row r="263" spans="1:88" s="221" customFormat="1" ht="12.75" customHeight="1">
      <c r="A263" s="155">
        <v>47</v>
      </c>
      <c r="B263" s="18">
        <v>4427</v>
      </c>
      <c r="C263" s="18">
        <v>600074188</v>
      </c>
      <c r="D263" s="18">
        <v>70982678</v>
      </c>
      <c r="E263" s="164" t="s">
        <v>783</v>
      </c>
      <c r="F263" s="18"/>
      <c r="G263" s="154"/>
      <c r="H263" s="608"/>
      <c r="I263" s="451">
        <v>7966766</v>
      </c>
      <c r="J263" s="444">
        <v>5824351</v>
      </c>
      <c r="K263" s="444">
        <v>4637637</v>
      </c>
      <c r="L263" s="444">
        <v>1186714</v>
      </c>
      <c r="M263" s="444">
        <v>50000</v>
      </c>
      <c r="N263" s="444">
        <v>0</v>
      </c>
      <c r="O263" s="444">
        <v>50000</v>
      </c>
      <c r="P263" s="444">
        <v>1985532</v>
      </c>
      <c r="Q263" s="444">
        <v>58244</v>
      </c>
      <c r="R263" s="444">
        <v>48639</v>
      </c>
      <c r="S263" s="445">
        <v>12.364600000000001</v>
      </c>
      <c r="T263" s="445">
        <v>8.7080000000000002</v>
      </c>
      <c r="U263" s="449">
        <v>3.6565999999999996</v>
      </c>
      <c r="V263" s="447">
        <f t="shared" ref="V263:CG263" si="416">SUM(V257:V262)</f>
        <v>0</v>
      </c>
      <c r="W263" s="444">
        <f t="shared" si="416"/>
        <v>0</v>
      </c>
      <c r="X263" s="444">
        <f t="shared" si="416"/>
        <v>0</v>
      </c>
      <c r="Y263" s="444">
        <f t="shared" si="416"/>
        <v>0</v>
      </c>
      <c r="Z263" s="444">
        <f t="shared" si="416"/>
        <v>0</v>
      </c>
      <c r="AA263" s="444">
        <f t="shared" si="416"/>
        <v>25972</v>
      </c>
      <c r="AB263" s="444">
        <f t="shared" si="416"/>
        <v>0</v>
      </c>
      <c r="AC263" s="444">
        <f t="shared" si="416"/>
        <v>0</v>
      </c>
      <c r="AD263" s="444">
        <f t="shared" si="416"/>
        <v>0</v>
      </c>
      <c r="AE263" s="444">
        <f t="shared" si="416"/>
        <v>0</v>
      </c>
      <c r="AF263" s="444">
        <f t="shared" si="416"/>
        <v>25972</v>
      </c>
      <c r="AG263" s="444">
        <f t="shared" si="416"/>
        <v>25972</v>
      </c>
      <c r="AH263" s="444">
        <f t="shared" si="416"/>
        <v>0</v>
      </c>
      <c r="AI263" s="444">
        <f t="shared" si="416"/>
        <v>0</v>
      </c>
      <c r="AJ263" s="444">
        <f t="shared" si="416"/>
        <v>0</v>
      </c>
      <c r="AK263" s="444">
        <f t="shared" si="416"/>
        <v>0</v>
      </c>
      <c r="AL263" s="444">
        <f t="shared" si="416"/>
        <v>0</v>
      </c>
      <c r="AM263" s="444">
        <f t="shared" si="416"/>
        <v>0</v>
      </c>
      <c r="AN263" s="444">
        <f t="shared" si="416"/>
        <v>0</v>
      </c>
      <c r="AO263" s="444">
        <f t="shared" si="416"/>
        <v>0</v>
      </c>
      <c r="AP263" s="444">
        <f t="shared" si="416"/>
        <v>0</v>
      </c>
      <c r="AQ263" s="444">
        <f t="shared" si="416"/>
        <v>25972</v>
      </c>
      <c r="AR263" s="444">
        <f t="shared" si="416"/>
        <v>25972</v>
      </c>
      <c r="AS263" s="444">
        <f t="shared" si="416"/>
        <v>8779</v>
      </c>
      <c r="AT263" s="444">
        <f t="shared" si="416"/>
        <v>260</v>
      </c>
      <c r="AU263" s="444">
        <f t="shared" si="416"/>
        <v>0</v>
      </c>
      <c r="AV263" s="444">
        <f t="shared" si="416"/>
        <v>0</v>
      </c>
      <c r="AW263" s="444">
        <f t="shared" si="416"/>
        <v>0</v>
      </c>
      <c r="AX263" s="444">
        <f t="shared" si="416"/>
        <v>0</v>
      </c>
      <c r="AY263" s="444">
        <f t="shared" si="416"/>
        <v>35011</v>
      </c>
      <c r="AZ263" s="445">
        <f t="shared" si="416"/>
        <v>0</v>
      </c>
      <c r="BA263" s="445">
        <f t="shared" si="416"/>
        <v>0</v>
      </c>
      <c r="BB263" s="445">
        <f t="shared" si="416"/>
        <v>0</v>
      </c>
      <c r="BC263" s="445">
        <f t="shared" si="416"/>
        <v>0</v>
      </c>
      <c r="BD263" s="445">
        <f t="shared" si="416"/>
        <v>0.08</v>
      </c>
      <c r="BE263" s="445">
        <f t="shared" si="416"/>
        <v>0</v>
      </c>
      <c r="BF263" s="445">
        <f t="shared" si="416"/>
        <v>0</v>
      </c>
      <c r="BG263" s="445">
        <f t="shared" si="416"/>
        <v>0</v>
      </c>
      <c r="BH263" s="445">
        <f t="shared" si="416"/>
        <v>0</v>
      </c>
      <c r="BI263" s="445">
        <f t="shared" si="416"/>
        <v>0</v>
      </c>
      <c r="BJ263" s="445">
        <f t="shared" si="416"/>
        <v>0.08</v>
      </c>
      <c r="BK263" s="39">
        <f t="shared" si="416"/>
        <v>0.08</v>
      </c>
      <c r="BL263" s="451">
        <f t="shared" si="416"/>
        <v>8001777</v>
      </c>
      <c r="BM263" s="444">
        <f t="shared" si="416"/>
        <v>5850323</v>
      </c>
      <c r="BN263" s="444">
        <f t="shared" si="416"/>
        <v>4637637</v>
      </c>
      <c r="BO263" s="444">
        <f t="shared" si="416"/>
        <v>1212686</v>
      </c>
      <c r="BP263" s="444">
        <f t="shared" si="416"/>
        <v>50000</v>
      </c>
      <c r="BQ263" s="444">
        <f t="shared" si="416"/>
        <v>0</v>
      </c>
      <c r="BR263" s="444">
        <f t="shared" si="416"/>
        <v>50000</v>
      </c>
      <c r="BS263" s="444">
        <f t="shared" si="416"/>
        <v>1994311</v>
      </c>
      <c r="BT263" s="444">
        <f t="shared" si="416"/>
        <v>58504</v>
      </c>
      <c r="BU263" s="444">
        <f t="shared" si="416"/>
        <v>48639</v>
      </c>
      <c r="BV263" s="445">
        <f t="shared" si="416"/>
        <v>12.444599999999999</v>
      </c>
      <c r="BW263" s="445">
        <f t="shared" si="416"/>
        <v>8.7080000000000002</v>
      </c>
      <c r="BX263" s="39">
        <f t="shared" si="416"/>
        <v>3.7365999999999997</v>
      </c>
      <c r="BY263" s="806">
        <f t="shared" si="416"/>
        <v>0</v>
      </c>
      <c r="BZ263" s="709">
        <f t="shared" si="416"/>
        <v>0</v>
      </c>
      <c r="CA263" s="709">
        <f t="shared" si="416"/>
        <v>0</v>
      </c>
      <c r="CB263" s="709">
        <f t="shared" si="416"/>
        <v>0</v>
      </c>
      <c r="CC263" s="709">
        <f t="shared" si="416"/>
        <v>0</v>
      </c>
      <c r="CD263" s="807">
        <f t="shared" si="416"/>
        <v>0</v>
      </c>
      <c r="CE263" s="919">
        <f t="shared" si="416"/>
        <v>293574</v>
      </c>
      <c r="CF263" s="920">
        <f t="shared" si="416"/>
        <v>210689</v>
      </c>
      <c r="CG263" s="920">
        <f t="shared" si="416"/>
        <v>71213</v>
      </c>
      <c r="CH263" s="920">
        <f t="shared" ref="CH263:CJ263" si="417">SUM(CH257:CH262)</f>
        <v>2107</v>
      </c>
      <c r="CI263" s="920">
        <f t="shared" si="417"/>
        <v>9565</v>
      </c>
      <c r="CJ263" s="921">
        <f t="shared" si="417"/>
        <v>0.65999999999999992</v>
      </c>
    </row>
    <row r="264" spans="1:88" s="221" customFormat="1" ht="12.75" customHeight="1">
      <c r="A264" s="209">
        <v>49</v>
      </c>
      <c r="B264" s="210">
        <v>4490</v>
      </c>
      <c r="C264" s="210">
        <v>600074692</v>
      </c>
      <c r="D264" s="210">
        <v>72745088</v>
      </c>
      <c r="E264" s="208" t="s">
        <v>234</v>
      </c>
      <c r="F264" s="210">
        <v>3111</v>
      </c>
      <c r="G264" s="165" t="s">
        <v>290</v>
      </c>
      <c r="H264" s="621" t="s">
        <v>271</v>
      </c>
      <c r="I264" s="510">
        <v>1413553</v>
      </c>
      <c r="J264" s="414">
        <v>1041600</v>
      </c>
      <c r="K264" s="414">
        <v>953391</v>
      </c>
      <c r="L264" s="414">
        <v>88209</v>
      </c>
      <c r="M264" s="414">
        <v>2000</v>
      </c>
      <c r="N264" s="414">
        <v>2000</v>
      </c>
      <c r="O264" s="414">
        <v>0</v>
      </c>
      <c r="P264" s="68">
        <v>352737</v>
      </c>
      <c r="Q264" s="68">
        <v>10416</v>
      </c>
      <c r="R264" s="414">
        <v>6800</v>
      </c>
      <c r="S264" s="415">
        <v>2.2888999999999999</v>
      </c>
      <c r="T264" s="416">
        <v>1.9355</v>
      </c>
      <c r="U264" s="422">
        <v>0.35339999999999999</v>
      </c>
      <c r="V264" s="423">
        <f t="shared" si="314"/>
        <v>2000</v>
      </c>
      <c r="W264" s="417">
        <f t="shared" si="315"/>
        <v>0</v>
      </c>
      <c r="X264" s="417">
        <v>0</v>
      </c>
      <c r="Y264" s="417">
        <v>0</v>
      </c>
      <c r="Z264" s="417">
        <v>0</v>
      </c>
      <c r="AA264" s="417">
        <v>0</v>
      </c>
      <c r="AB264" s="417">
        <v>0</v>
      </c>
      <c r="AC264" s="417">
        <v>0</v>
      </c>
      <c r="AD264" s="417">
        <v>0</v>
      </c>
      <c r="AE264" s="417">
        <f t="shared" si="316"/>
        <v>2000</v>
      </c>
      <c r="AF264" s="417">
        <f t="shared" si="317"/>
        <v>0</v>
      </c>
      <c r="AG264" s="417">
        <f t="shared" si="318"/>
        <v>2000</v>
      </c>
      <c r="AH264" s="417">
        <v>-2000</v>
      </c>
      <c r="AI264" s="417">
        <v>0</v>
      </c>
      <c r="AJ264" s="417">
        <v>0</v>
      </c>
      <c r="AK264" s="417">
        <v>0</v>
      </c>
      <c r="AL264" s="417">
        <v>0</v>
      </c>
      <c r="AM264" s="417">
        <f t="shared" si="319"/>
        <v>-2000</v>
      </c>
      <c r="AN264" s="417">
        <f t="shared" si="320"/>
        <v>0</v>
      </c>
      <c r="AO264" s="417">
        <f t="shared" si="321"/>
        <v>-2000</v>
      </c>
      <c r="AP264" s="417">
        <f t="shared" si="322"/>
        <v>0</v>
      </c>
      <c r="AQ264" s="417">
        <f t="shared" si="323"/>
        <v>0</v>
      </c>
      <c r="AR264" s="417">
        <f t="shared" si="324"/>
        <v>0</v>
      </c>
      <c r="AS264" s="68">
        <f t="shared" si="325"/>
        <v>0</v>
      </c>
      <c r="AT264" s="68">
        <f t="shared" si="326"/>
        <v>20</v>
      </c>
      <c r="AU264" s="417">
        <v>0</v>
      </c>
      <c r="AV264" s="417">
        <v>0</v>
      </c>
      <c r="AW264" s="417">
        <v>0</v>
      </c>
      <c r="AX264" s="417">
        <f t="shared" si="327"/>
        <v>0</v>
      </c>
      <c r="AY264" s="417">
        <f t="shared" si="328"/>
        <v>20</v>
      </c>
      <c r="AZ264" s="418">
        <v>0</v>
      </c>
      <c r="BA264" s="418">
        <v>0</v>
      </c>
      <c r="BB264" s="418">
        <v>0</v>
      </c>
      <c r="BC264" s="418">
        <v>0</v>
      </c>
      <c r="BD264" s="418">
        <v>0</v>
      </c>
      <c r="BE264" s="418">
        <v>0</v>
      </c>
      <c r="BF264" s="418">
        <v>0</v>
      </c>
      <c r="BG264" s="418">
        <v>0</v>
      </c>
      <c r="BH264" s="418">
        <v>0</v>
      </c>
      <c r="BI264" s="418">
        <f t="shared" si="329"/>
        <v>0</v>
      </c>
      <c r="BJ264" s="418">
        <f t="shared" si="330"/>
        <v>0</v>
      </c>
      <c r="BK264" s="420">
        <f t="shared" si="331"/>
        <v>0</v>
      </c>
      <c r="BL264" s="772">
        <f t="shared" ref="BL264:BL269" si="418">I264+AY264</f>
        <v>1413573</v>
      </c>
      <c r="BM264" s="417">
        <f t="shared" ref="BM264:BM269" si="419">J264+AG264</f>
        <v>1043600</v>
      </c>
      <c r="BN264" s="417">
        <f t="shared" ref="BN264:BO269" si="420">K264+AE264</f>
        <v>955391</v>
      </c>
      <c r="BO264" s="417">
        <f t="shared" si="420"/>
        <v>88209</v>
      </c>
      <c r="BP264" s="417">
        <f t="shared" ref="BP264:BP269" si="421">M264+AO264</f>
        <v>0</v>
      </c>
      <c r="BQ264" s="417">
        <f t="shared" ref="BQ264:BR269" si="422">N264+AM264</f>
        <v>0</v>
      </c>
      <c r="BR264" s="417">
        <f t="shared" si="422"/>
        <v>0</v>
      </c>
      <c r="BS264" s="417">
        <f t="shared" ref="BS264:BT269" si="423">P264+AS264</f>
        <v>352737</v>
      </c>
      <c r="BT264" s="417">
        <f t="shared" si="423"/>
        <v>10436</v>
      </c>
      <c r="BU264" s="417">
        <f t="shared" ref="BU264:BU269" si="424">R264+AX264</f>
        <v>6800</v>
      </c>
      <c r="BV264" s="418">
        <f t="shared" ref="BV264:BV269" si="425">S264+BK264</f>
        <v>2.2888999999999999</v>
      </c>
      <c r="BW264" s="418">
        <f t="shared" ref="BW264:BX269" si="426">T264+BI264</f>
        <v>1.9355</v>
      </c>
      <c r="BX264" s="420">
        <f t="shared" si="426"/>
        <v>0.35339999999999999</v>
      </c>
      <c r="BY264" s="419"/>
      <c r="BZ264" s="414"/>
      <c r="CA264" s="414"/>
      <c r="CB264" s="414"/>
      <c r="CC264" s="414"/>
      <c r="CD264" s="509"/>
      <c r="CE264" s="419">
        <v>40416</v>
      </c>
      <c r="CF264" s="414">
        <v>28305</v>
      </c>
      <c r="CG264" s="414">
        <v>9567</v>
      </c>
      <c r="CH264" s="414">
        <v>283</v>
      </c>
      <c r="CI264" s="414">
        <v>2261</v>
      </c>
      <c r="CJ264" s="509">
        <v>0.1134</v>
      </c>
    </row>
    <row r="265" spans="1:88" s="221" customFormat="1" ht="12.75" customHeight="1">
      <c r="A265" s="209">
        <v>49</v>
      </c>
      <c r="B265" s="210">
        <v>4490</v>
      </c>
      <c r="C265" s="210">
        <v>600074692</v>
      </c>
      <c r="D265" s="210">
        <v>72745088</v>
      </c>
      <c r="E265" s="208" t="s">
        <v>234</v>
      </c>
      <c r="F265" s="210">
        <v>3117</v>
      </c>
      <c r="G265" s="165" t="s">
        <v>293</v>
      </c>
      <c r="H265" s="621" t="s">
        <v>271</v>
      </c>
      <c r="I265" s="510">
        <v>2220319</v>
      </c>
      <c r="J265" s="414">
        <v>1626534</v>
      </c>
      <c r="K265" s="414">
        <v>1332819</v>
      </c>
      <c r="L265" s="414">
        <v>293715</v>
      </c>
      <c r="M265" s="414">
        <v>2000</v>
      </c>
      <c r="N265" s="414">
        <v>2000</v>
      </c>
      <c r="O265" s="414">
        <v>0</v>
      </c>
      <c r="P265" s="68">
        <v>550444</v>
      </c>
      <c r="Q265" s="68">
        <v>16266</v>
      </c>
      <c r="R265" s="414">
        <v>25075</v>
      </c>
      <c r="S265" s="415">
        <v>3.2044000000000001</v>
      </c>
      <c r="T265" s="416">
        <v>2.4518</v>
      </c>
      <c r="U265" s="422">
        <v>0.75260000000000005</v>
      </c>
      <c r="V265" s="423">
        <f t="shared" si="314"/>
        <v>2000</v>
      </c>
      <c r="W265" s="417">
        <f t="shared" si="315"/>
        <v>0</v>
      </c>
      <c r="X265" s="417">
        <v>0</v>
      </c>
      <c r="Y265" s="417">
        <v>0</v>
      </c>
      <c r="Z265" s="417">
        <v>0</v>
      </c>
      <c r="AA265" s="417">
        <v>0</v>
      </c>
      <c r="AB265" s="417">
        <v>0</v>
      </c>
      <c r="AC265" s="417">
        <v>0</v>
      </c>
      <c r="AD265" s="417">
        <v>0</v>
      </c>
      <c r="AE265" s="417">
        <f t="shared" si="316"/>
        <v>2000</v>
      </c>
      <c r="AF265" s="417">
        <f t="shared" si="317"/>
        <v>0</v>
      </c>
      <c r="AG265" s="417">
        <f t="shared" si="318"/>
        <v>2000</v>
      </c>
      <c r="AH265" s="417">
        <v>-2000</v>
      </c>
      <c r="AI265" s="417">
        <v>0</v>
      </c>
      <c r="AJ265" s="417">
        <v>0</v>
      </c>
      <c r="AK265" s="417">
        <v>0</v>
      </c>
      <c r="AL265" s="417">
        <v>0</v>
      </c>
      <c r="AM265" s="417">
        <f t="shared" si="319"/>
        <v>-2000</v>
      </c>
      <c r="AN265" s="417">
        <f t="shared" si="320"/>
        <v>0</v>
      </c>
      <c r="AO265" s="417">
        <f t="shared" si="321"/>
        <v>-2000</v>
      </c>
      <c r="AP265" s="417">
        <f t="shared" si="322"/>
        <v>0</v>
      </c>
      <c r="AQ265" s="417">
        <f t="shared" si="323"/>
        <v>0</v>
      </c>
      <c r="AR265" s="417">
        <f t="shared" si="324"/>
        <v>0</v>
      </c>
      <c r="AS265" s="68">
        <f t="shared" si="325"/>
        <v>0</v>
      </c>
      <c r="AT265" s="68">
        <f t="shared" si="326"/>
        <v>20</v>
      </c>
      <c r="AU265" s="417">
        <v>0</v>
      </c>
      <c r="AV265" s="417">
        <v>0</v>
      </c>
      <c r="AW265" s="417">
        <v>0</v>
      </c>
      <c r="AX265" s="417">
        <f t="shared" si="327"/>
        <v>0</v>
      </c>
      <c r="AY265" s="417">
        <f t="shared" si="328"/>
        <v>20</v>
      </c>
      <c r="AZ265" s="418">
        <v>0</v>
      </c>
      <c r="BA265" s="418">
        <v>0</v>
      </c>
      <c r="BB265" s="418">
        <v>0</v>
      </c>
      <c r="BC265" s="418">
        <v>0</v>
      </c>
      <c r="BD265" s="418">
        <v>0</v>
      </c>
      <c r="BE265" s="418">
        <v>0</v>
      </c>
      <c r="BF265" s="418">
        <v>0</v>
      </c>
      <c r="BG265" s="418">
        <v>0</v>
      </c>
      <c r="BH265" s="418">
        <v>0</v>
      </c>
      <c r="BI265" s="418">
        <f t="shared" si="329"/>
        <v>0</v>
      </c>
      <c r="BJ265" s="418">
        <f t="shared" si="330"/>
        <v>0</v>
      </c>
      <c r="BK265" s="420">
        <f t="shared" si="331"/>
        <v>0</v>
      </c>
      <c r="BL265" s="772">
        <f t="shared" si="418"/>
        <v>2220339</v>
      </c>
      <c r="BM265" s="417">
        <f t="shared" si="419"/>
        <v>1628534</v>
      </c>
      <c r="BN265" s="417">
        <f t="shared" si="420"/>
        <v>1334819</v>
      </c>
      <c r="BO265" s="417">
        <f t="shared" si="420"/>
        <v>293715</v>
      </c>
      <c r="BP265" s="417">
        <f t="shared" si="421"/>
        <v>0</v>
      </c>
      <c r="BQ265" s="417">
        <f t="shared" si="422"/>
        <v>0</v>
      </c>
      <c r="BR265" s="417">
        <f t="shared" si="422"/>
        <v>0</v>
      </c>
      <c r="BS265" s="417">
        <f t="shared" si="423"/>
        <v>550444</v>
      </c>
      <c r="BT265" s="417">
        <f t="shared" si="423"/>
        <v>16286</v>
      </c>
      <c r="BU265" s="417">
        <f t="shared" si="424"/>
        <v>25075</v>
      </c>
      <c r="BV265" s="418">
        <f t="shared" si="425"/>
        <v>3.2044000000000001</v>
      </c>
      <c r="BW265" s="418">
        <f t="shared" si="426"/>
        <v>2.4518</v>
      </c>
      <c r="BX265" s="420">
        <f t="shared" si="426"/>
        <v>0.75260000000000005</v>
      </c>
      <c r="BY265" s="419"/>
      <c r="BZ265" s="414"/>
      <c r="CA265" s="414"/>
      <c r="CB265" s="414"/>
      <c r="CC265" s="414"/>
      <c r="CD265" s="509"/>
      <c r="CE265" s="414">
        <v>131466</v>
      </c>
      <c r="CF265" s="414">
        <v>94273</v>
      </c>
      <c r="CG265" s="414">
        <v>31864</v>
      </c>
      <c r="CH265" s="414">
        <v>943</v>
      </c>
      <c r="CI265" s="414">
        <v>4386</v>
      </c>
      <c r="CJ265" s="509">
        <v>0.24159999999999998</v>
      </c>
    </row>
    <row r="266" spans="1:88" s="221" customFormat="1" ht="12.75" customHeight="1">
      <c r="A266" s="209">
        <v>49</v>
      </c>
      <c r="B266" s="210">
        <v>4490</v>
      </c>
      <c r="C266" s="210">
        <v>600074692</v>
      </c>
      <c r="D266" s="210">
        <v>72745088</v>
      </c>
      <c r="E266" s="208" t="s">
        <v>234</v>
      </c>
      <c r="F266" s="210">
        <v>3117</v>
      </c>
      <c r="G266" s="165" t="s">
        <v>291</v>
      </c>
      <c r="H266" s="621" t="s">
        <v>272</v>
      </c>
      <c r="I266" s="510">
        <v>0</v>
      </c>
      <c r="J266" s="414">
        <v>0</v>
      </c>
      <c r="K266" s="414">
        <v>0</v>
      </c>
      <c r="L266" s="414">
        <v>0</v>
      </c>
      <c r="M266" s="414">
        <v>0</v>
      </c>
      <c r="N266" s="414">
        <v>0</v>
      </c>
      <c r="O266" s="414">
        <v>0</v>
      </c>
      <c r="P266" s="68">
        <v>0</v>
      </c>
      <c r="Q266" s="68">
        <v>0</v>
      </c>
      <c r="R266" s="414">
        <v>0</v>
      </c>
      <c r="S266" s="415">
        <v>0</v>
      </c>
      <c r="T266" s="416">
        <v>0</v>
      </c>
      <c r="U266" s="422">
        <v>0</v>
      </c>
      <c r="V266" s="423">
        <f t="shared" si="314"/>
        <v>0</v>
      </c>
      <c r="W266" s="417">
        <f t="shared" si="315"/>
        <v>0</v>
      </c>
      <c r="X266" s="417">
        <v>46350</v>
      </c>
      <c r="Y266" s="417">
        <v>0</v>
      </c>
      <c r="Z266" s="417">
        <v>0</v>
      </c>
      <c r="AA266" s="417">
        <v>0</v>
      </c>
      <c r="AB266" s="417">
        <v>0</v>
      </c>
      <c r="AC266" s="417">
        <v>0</v>
      </c>
      <c r="AD266" s="417">
        <v>0</v>
      </c>
      <c r="AE266" s="417">
        <f t="shared" si="316"/>
        <v>46350</v>
      </c>
      <c r="AF266" s="417">
        <f t="shared" si="317"/>
        <v>0</v>
      </c>
      <c r="AG266" s="417">
        <f t="shared" si="318"/>
        <v>46350</v>
      </c>
      <c r="AH266" s="417">
        <v>0</v>
      </c>
      <c r="AI266" s="417">
        <v>0</v>
      </c>
      <c r="AJ266" s="417">
        <v>0</v>
      </c>
      <c r="AK266" s="417">
        <v>0</v>
      </c>
      <c r="AL266" s="417">
        <v>0</v>
      </c>
      <c r="AM266" s="417">
        <f t="shared" si="319"/>
        <v>0</v>
      </c>
      <c r="AN266" s="417">
        <f t="shared" si="320"/>
        <v>0</v>
      </c>
      <c r="AO266" s="417">
        <f t="shared" si="321"/>
        <v>0</v>
      </c>
      <c r="AP266" s="417">
        <f t="shared" si="322"/>
        <v>46350</v>
      </c>
      <c r="AQ266" s="417">
        <f t="shared" si="323"/>
        <v>0</v>
      </c>
      <c r="AR266" s="417">
        <f t="shared" si="324"/>
        <v>46350</v>
      </c>
      <c r="AS266" s="68">
        <f t="shared" si="325"/>
        <v>15666</v>
      </c>
      <c r="AT266" s="68">
        <f t="shared" si="326"/>
        <v>464</v>
      </c>
      <c r="AU266" s="417">
        <v>0</v>
      </c>
      <c r="AV266" s="417">
        <v>0</v>
      </c>
      <c r="AW266" s="417">
        <v>0</v>
      </c>
      <c r="AX266" s="417">
        <f t="shared" si="327"/>
        <v>0</v>
      </c>
      <c r="AY266" s="417">
        <f t="shared" si="328"/>
        <v>62480</v>
      </c>
      <c r="AZ266" s="418">
        <v>0</v>
      </c>
      <c r="BA266" s="418">
        <v>0</v>
      </c>
      <c r="BB266" s="418">
        <v>0.13</v>
      </c>
      <c r="BC266" s="418">
        <v>0</v>
      </c>
      <c r="BD266" s="418">
        <v>0</v>
      </c>
      <c r="BE266" s="418">
        <v>0</v>
      </c>
      <c r="BF266" s="418">
        <v>0</v>
      </c>
      <c r="BG266" s="418">
        <v>0</v>
      </c>
      <c r="BH266" s="418">
        <v>0</v>
      </c>
      <c r="BI266" s="418">
        <f t="shared" si="329"/>
        <v>0.13</v>
      </c>
      <c r="BJ266" s="418">
        <f t="shared" si="330"/>
        <v>0</v>
      </c>
      <c r="BK266" s="420">
        <f t="shared" si="331"/>
        <v>0.13</v>
      </c>
      <c r="BL266" s="772">
        <f t="shared" si="418"/>
        <v>62480</v>
      </c>
      <c r="BM266" s="417">
        <f t="shared" si="419"/>
        <v>46350</v>
      </c>
      <c r="BN266" s="417">
        <f t="shared" si="420"/>
        <v>46350</v>
      </c>
      <c r="BO266" s="417">
        <f t="shared" si="420"/>
        <v>0</v>
      </c>
      <c r="BP266" s="417">
        <f t="shared" si="421"/>
        <v>0</v>
      </c>
      <c r="BQ266" s="417">
        <f t="shared" si="422"/>
        <v>0</v>
      </c>
      <c r="BR266" s="417">
        <f t="shared" si="422"/>
        <v>0</v>
      </c>
      <c r="BS266" s="417">
        <f t="shared" si="423"/>
        <v>15666</v>
      </c>
      <c r="BT266" s="417">
        <f t="shared" si="423"/>
        <v>464</v>
      </c>
      <c r="BU266" s="417">
        <f t="shared" si="424"/>
        <v>0</v>
      </c>
      <c r="BV266" s="418">
        <f t="shared" si="425"/>
        <v>0.13</v>
      </c>
      <c r="BW266" s="418">
        <f t="shared" si="426"/>
        <v>0.13</v>
      </c>
      <c r="BX266" s="420">
        <f t="shared" si="426"/>
        <v>0</v>
      </c>
      <c r="BY266" s="419"/>
      <c r="BZ266" s="414"/>
      <c r="CA266" s="414"/>
      <c r="CB266" s="414"/>
      <c r="CC266" s="414"/>
      <c r="CD266" s="509"/>
      <c r="CE266" s="419"/>
      <c r="CF266" s="414"/>
      <c r="CG266" s="414"/>
      <c r="CH266" s="414"/>
      <c r="CI266" s="414"/>
      <c r="CJ266" s="509"/>
    </row>
    <row r="267" spans="1:88" s="221" customFormat="1" ht="12.75" customHeight="1">
      <c r="A267" s="209">
        <v>49</v>
      </c>
      <c r="B267" s="210">
        <v>4490</v>
      </c>
      <c r="C267" s="210">
        <v>600074692</v>
      </c>
      <c r="D267" s="210">
        <v>72745088</v>
      </c>
      <c r="E267" s="208" t="s">
        <v>234</v>
      </c>
      <c r="F267" s="210">
        <v>3141</v>
      </c>
      <c r="G267" s="165" t="s">
        <v>294</v>
      </c>
      <c r="H267" s="621" t="s">
        <v>272</v>
      </c>
      <c r="I267" s="510">
        <v>495331</v>
      </c>
      <c r="J267" s="414">
        <v>362252</v>
      </c>
      <c r="K267" s="414">
        <v>0</v>
      </c>
      <c r="L267" s="414">
        <v>362252</v>
      </c>
      <c r="M267" s="414">
        <v>4000</v>
      </c>
      <c r="N267" s="414">
        <v>0</v>
      </c>
      <c r="O267" s="414">
        <v>4000</v>
      </c>
      <c r="P267" s="68">
        <v>123793</v>
      </c>
      <c r="Q267" s="68">
        <v>3622</v>
      </c>
      <c r="R267" s="414">
        <v>1664</v>
      </c>
      <c r="S267" s="415">
        <v>1.1000000000000001</v>
      </c>
      <c r="T267" s="416">
        <v>0</v>
      </c>
      <c r="U267" s="422">
        <v>1.1000000000000001</v>
      </c>
      <c r="V267" s="423">
        <f t="shared" si="314"/>
        <v>0</v>
      </c>
      <c r="W267" s="417">
        <f t="shared" si="315"/>
        <v>4000</v>
      </c>
      <c r="X267" s="417">
        <v>0</v>
      </c>
      <c r="Y267" s="417">
        <v>0</v>
      </c>
      <c r="Z267" s="417">
        <v>0</v>
      </c>
      <c r="AA267" s="417">
        <v>9048</v>
      </c>
      <c r="AB267" s="417">
        <v>0</v>
      </c>
      <c r="AC267" s="417">
        <v>0</v>
      </c>
      <c r="AD267" s="417">
        <v>0</v>
      </c>
      <c r="AE267" s="417">
        <f t="shared" si="316"/>
        <v>0</v>
      </c>
      <c r="AF267" s="417">
        <f t="shared" si="317"/>
        <v>13048</v>
      </c>
      <c r="AG267" s="417">
        <f t="shared" si="318"/>
        <v>13048</v>
      </c>
      <c r="AH267" s="417">
        <v>0</v>
      </c>
      <c r="AI267" s="417">
        <v>-4000</v>
      </c>
      <c r="AJ267" s="417">
        <v>0</v>
      </c>
      <c r="AK267" s="417">
        <v>0</v>
      </c>
      <c r="AL267" s="417">
        <v>0</v>
      </c>
      <c r="AM267" s="417">
        <f t="shared" si="319"/>
        <v>0</v>
      </c>
      <c r="AN267" s="417">
        <f t="shared" si="320"/>
        <v>-4000</v>
      </c>
      <c r="AO267" s="417">
        <f t="shared" si="321"/>
        <v>-4000</v>
      </c>
      <c r="AP267" s="417">
        <f t="shared" si="322"/>
        <v>0</v>
      </c>
      <c r="AQ267" s="417">
        <f t="shared" si="323"/>
        <v>9048</v>
      </c>
      <c r="AR267" s="417">
        <f t="shared" si="324"/>
        <v>9048</v>
      </c>
      <c r="AS267" s="68">
        <f t="shared" si="325"/>
        <v>3058</v>
      </c>
      <c r="AT267" s="68">
        <f t="shared" si="326"/>
        <v>130</v>
      </c>
      <c r="AU267" s="417">
        <v>0</v>
      </c>
      <c r="AV267" s="417">
        <v>0</v>
      </c>
      <c r="AW267" s="417">
        <v>0</v>
      </c>
      <c r="AX267" s="417">
        <f t="shared" si="327"/>
        <v>0</v>
      </c>
      <c r="AY267" s="417">
        <f t="shared" si="328"/>
        <v>12236</v>
      </c>
      <c r="AZ267" s="418">
        <v>0</v>
      </c>
      <c r="BA267" s="418">
        <v>0</v>
      </c>
      <c r="BB267" s="418">
        <v>0</v>
      </c>
      <c r="BC267" s="418">
        <v>0</v>
      </c>
      <c r="BD267" s="418">
        <v>0.02</v>
      </c>
      <c r="BE267" s="418">
        <v>0</v>
      </c>
      <c r="BF267" s="418">
        <v>0</v>
      </c>
      <c r="BG267" s="418">
        <v>0</v>
      </c>
      <c r="BH267" s="418">
        <v>0</v>
      </c>
      <c r="BI267" s="418">
        <f t="shared" si="329"/>
        <v>0</v>
      </c>
      <c r="BJ267" s="418">
        <f t="shared" si="330"/>
        <v>0.02</v>
      </c>
      <c r="BK267" s="420">
        <f t="shared" si="331"/>
        <v>0.02</v>
      </c>
      <c r="BL267" s="772">
        <f t="shared" si="418"/>
        <v>507567</v>
      </c>
      <c r="BM267" s="417">
        <f t="shared" si="419"/>
        <v>375300</v>
      </c>
      <c r="BN267" s="417">
        <f t="shared" si="420"/>
        <v>0</v>
      </c>
      <c r="BO267" s="417">
        <f t="shared" si="420"/>
        <v>375300</v>
      </c>
      <c r="BP267" s="417">
        <f t="shared" si="421"/>
        <v>0</v>
      </c>
      <c r="BQ267" s="417">
        <f t="shared" si="422"/>
        <v>0</v>
      </c>
      <c r="BR267" s="417">
        <f t="shared" si="422"/>
        <v>0</v>
      </c>
      <c r="BS267" s="417">
        <f t="shared" si="423"/>
        <v>126851</v>
      </c>
      <c r="BT267" s="417">
        <f t="shared" si="423"/>
        <v>3752</v>
      </c>
      <c r="BU267" s="417">
        <f t="shared" si="424"/>
        <v>1664</v>
      </c>
      <c r="BV267" s="418">
        <f t="shared" si="425"/>
        <v>1.1200000000000001</v>
      </c>
      <c r="BW267" s="418">
        <f t="shared" si="426"/>
        <v>0</v>
      </c>
      <c r="BX267" s="420">
        <f t="shared" si="426"/>
        <v>1.1200000000000001</v>
      </c>
      <c r="BY267" s="419"/>
      <c r="BZ267" s="414"/>
      <c r="CA267" s="414"/>
      <c r="CB267" s="414"/>
      <c r="CC267" s="414"/>
      <c r="CD267" s="509"/>
      <c r="CE267" s="419"/>
      <c r="CF267" s="601"/>
      <c r="CG267" s="414"/>
      <c r="CH267" s="414"/>
      <c r="CI267" s="601"/>
      <c r="CJ267" s="603"/>
    </row>
    <row r="268" spans="1:88" s="221" customFormat="1" ht="12.75" customHeight="1">
      <c r="A268" s="209">
        <v>49</v>
      </c>
      <c r="B268" s="210">
        <v>4490</v>
      </c>
      <c r="C268" s="210">
        <v>600074692</v>
      </c>
      <c r="D268" s="210">
        <v>72745088</v>
      </c>
      <c r="E268" s="208" t="s">
        <v>234</v>
      </c>
      <c r="F268" s="210">
        <v>3143</v>
      </c>
      <c r="G268" s="165" t="s">
        <v>595</v>
      </c>
      <c r="H268" s="609" t="s">
        <v>271</v>
      </c>
      <c r="I268" s="510">
        <v>695570</v>
      </c>
      <c r="J268" s="414">
        <v>515009</v>
      </c>
      <c r="K268" s="414">
        <v>515009</v>
      </c>
      <c r="L268" s="414">
        <v>0</v>
      </c>
      <c r="M268" s="414">
        <v>1000</v>
      </c>
      <c r="N268" s="414">
        <v>1000</v>
      </c>
      <c r="O268" s="414">
        <v>0</v>
      </c>
      <c r="P268" s="68">
        <v>174411</v>
      </c>
      <c r="Q268" s="68">
        <v>5150</v>
      </c>
      <c r="R268" s="414">
        <v>0</v>
      </c>
      <c r="S268" s="415">
        <v>1.0476000000000001</v>
      </c>
      <c r="T268" s="416">
        <v>1.0476000000000001</v>
      </c>
      <c r="U268" s="422">
        <v>0</v>
      </c>
      <c r="V268" s="423">
        <f t="shared" si="314"/>
        <v>1000</v>
      </c>
      <c r="W268" s="417">
        <f t="shared" si="315"/>
        <v>0</v>
      </c>
      <c r="X268" s="417">
        <v>0</v>
      </c>
      <c r="Y268" s="417">
        <v>0</v>
      </c>
      <c r="Z268" s="417">
        <v>0</v>
      </c>
      <c r="AA268" s="417">
        <v>0</v>
      </c>
      <c r="AB268" s="417">
        <v>0</v>
      </c>
      <c r="AC268" s="417">
        <v>0</v>
      </c>
      <c r="AD268" s="417">
        <v>0</v>
      </c>
      <c r="AE268" s="417">
        <f t="shared" si="316"/>
        <v>1000</v>
      </c>
      <c r="AF268" s="417">
        <f t="shared" si="317"/>
        <v>0</v>
      </c>
      <c r="AG268" s="417">
        <f t="shared" si="318"/>
        <v>1000</v>
      </c>
      <c r="AH268" s="417">
        <v>-1000</v>
      </c>
      <c r="AI268" s="417">
        <v>0</v>
      </c>
      <c r="AJ268" s="417">
        <v>0</v>
      </c>
      <c r="AK268" s="417">
        <v>0</v>
      </c>
      <c r="AL268" s="417">
        <v>0</v>
      </c>
      <c r="AM268" s="417">
        <f t="shared" si="319"/>
        <v>-1000</v>
      </c>
      <c r="AN268" s="417">
        <f t="shared" si="320"/>
        <v>0</v>
      </c>
      <c r="AO268" s="417">
        <f t="shared" si="321"/>
        <v>-1000</v>
      </c>
      <c r="AP268" s="417">
        <f t="shared" si="322"/>
        <v>0</v>
      </c>
      <c r="AQ268" s="417">
        <f t="shared" si="323"/>
        <v>0</v>
      </c>
      <c r="AR268" s="417">
        <f t="shared" si="324"/>
        <v>0</v>
      </c>
      <c r="AS268" s="68">
        <f t="shared" si="325"/>
        <v>0</v>
      </c>
      <c r="AT268" s="68">
        <f t="shared" si="326"/>
        <v>10</v>
      </c>
      <c r="AU268" s="417">
        <v>0</v>
      </c>
      <c r="AV268" s="417">
        <v>0</v>
      </c>
      <c r="AW268" s="417">
        <v>0</v>
      </c>
      <c r="AX268" s="417">
        <f t="shared" si="327"/>
        <v>0</v>
      </c>
      <c r="AY268" s="417">
        <f t="shared" si="328"/>
        <v>10</v>
      </c>
      <c r="AZ268" s="418">
        <v>0</v>
      </c>
      <c r="BA268" s="418">
        <v>0</v>
      </c>
      <c r="BB268" s="418">
        <v>0</v>
      </c>
      <c r="BC268" s="418">
        <v>0</v>
      </c>
      <c r="BD268" s="418">
        <v>0</v>
      </c>
      <c r="BE268" s="418">
        <v>0</v>
      </c>
      <c r="BF268" s="418">
        <v>0</v>
      </c>
      <c r="BG268" s="418">
        <v>0</v>
      </c>
      <c r="BH268" s="418">
        <v>0</v>
      </c>
      <c r="BI268" s="418">
        <f t="shared" si="329"/>
        <v>0</v>
      </c>
      <c r="BJ268" s="418">
        <f t="shared" si="330"/>
        <v>0</v>
      </c>
      <c r="BK268" s="420">
        <f t="shared" si="331"/>
        <v>0</v>
      </c>
      <c r="BL268" s="772">
        <f t="shared" si="418"/>
        <v>695580</v>
      </c>
      <c r="BM268" s="417">
        <f t="shared" si="419"/>
        <v>516009</v>
      </c>
      <c r="BN268" s="417">
        <f t="shared" si="420"/>
        <v>516009</v>
      </c>
      <c r="BO268" s="417">
        <f t="shared" si="420"/>
        <v>0</v>
      </c>
      <c r="BP268" s="417">
        <f t="shared" si="421"/>
        <v>0</v>
      </c>
      <c r="BQ268" s="417">
        <f t="shared" si="422"/>
        <v>0</v>
      </c>
      <c r="BR268" s="417">
        <f t="shared" si="422"/>
        <v>0</v>
      </c>
      <c r="BS268" s="417">
        <f t="shared" si="423"/>
        <v>174411</v>
      </c>
      <c r="BT268" s="417">
        <f t="shared" si="423"/>
        <v>5160</v>
      </c>
      <c r="BU268" s="417">
        <f t="shared" si="424"/>
        <v>0</v>
      </c>
      <c r="BV268" s="418">
        <f t="shared" si="425"/>
        <v>1.0476000000000001</v>
      </c>
      <c r="BW268" s="418">
        <f t="shared" si="426"/>
        <v>1.0476000000000001</v>
      </c>
      <c r="BX268" s="420">
        <f t="shared" si="426"/>
        <v>0</v>
      </c>
      <c r="BY268" s="419"/>
      <c r="BZ268" s="414"/>
      <c r="CA268" s="414"/>
      <c r="CB268" s="414"/>
      <c r="CC268" s="414"/>
      <c r="CD268" s="509"/>
      <c r="CE268" s="419"/>
      <c r="CF268" s="414"/>
      <c r="CG268" s="414"/>
      <c r="CH268" s="414"/>
      <c r="CI268" s="414"/>
      <c r="CJ268" s="509"/>
    </row>
    <row r="269" spans="1:88" s="221" customFormat="1" ht="12.75" customHeight="1">
      <c r="A269" s="209">
        <v>49</v>
      </c>
      <c r="B269" s="210">
        <v>4490</v>
      </c>
      <c r="C269" s="210">
        <v>600074692</v>
      </c>
      <c r="D269" s="210">
        <v>72745088</v>
      </c>
      <c r="E269" s="208" t="s">
        <v>234</v>
      </c>
      <c r="F269" s="210">
        <v>3143</v>
      </c>
      <c r="G269" s="165" t="s">
        <v>596</v>
      </c>
      <c r="H269" s="609" t="s">
        <v>272</v>
      </c>
      <c r="I269" s="510">
        <v>12294</v>
      </c>
      <c r="J269" s="414">
        <v>8800</v>
      </c>
      <c r="K269" s="414">
        <v>0</v>
      </c>
      <c r="L269" s="414">
        <v>8800</v>
      </c>
      <c r="M269" s="414">
        <v>0</v>
      </c>
      <c r="N269" s="414">
        <v>0</v>
      </c>
      <c r="O269" s="414">
        <v>0</v>
      </c>
      <c r="P269" s="68">
        <v>2974</v>
      </c>
      <c r="Q269" s="68">
        <v>88</v>
      </c>
      <c r="R269" s="414">
        <v>432</v>
      </c>
      <c r="S269" s="415">
        <v>0.03</v>
      </c>
      <c r="T269" s="416">
        <v>0</v>
      </c>
      <c r="U269" s="422">
        <v>0.03</v>
      </c>
      <c r="V269" s="423">
        <f t="shared" ref="V269:V292" si="427">AH269*-1</f>
        <v>0</v>
      </c>
      <c r="W269" s="417">
        <f t="shared" ref="W269:W292" si="428">AI269*-1</f>
        <v>0</v>
      </c>
      <c r="X269" s="417">
        <v>0</v>
      </c>
      <c r="Y269" s="417">
        <v>0</v>
      </c>
      <c r="Z269" s="417">
        <v>0</v>
      </c>
      <c r="AA269" s="417">
        <v>0</v>
      </c>
      <c r="AB269" s="417">
        <v>0</v>
      </c>
      <c r="AC269" s="417">
        <v>0</v>
      </c>
      <c r="AD269" s="417">
        <v>0</v>
      </c>
      <c r="AE269" s="417">
        <f t="shared" ref="AE269:AE292" si="429">V269+X269+Y269+Z269+AC269</f>
        <v>0</v>
      </c>
      <c r="AF269" s="417">
        <f t="shared" ref="AF269:AF292" si="430">W269+AA269+AD269+AB269</f>
        <v>0</v>
      </c>
      <c r="AG269" s="417">
        <f t="shared" ref="AG269:AG292" si="431">SUM(AE269:AF269)</f>
        <v>0</v>
      </c>
      <c r="AH269" s="417">
        <v>0</v>
      </c>
      <c r="AI269" s="417">
        <v>0</v>
      </c>
      <c r="AJ269" s="417">
        <v>0</v>
      </c>
      <c r="AK269" s="417">
        <v>0</v>
      </c>
      <c r="AL269" s="417">
        <v>0</v>
      </c>
      <c r="AM269" s="417">
        <f t="shared" ref="AM269:AM292" si="432">AH269+AJ269+AK269</f>
        <v>0</v>
      </c>
      <c r="AN269" s="417">
        <f t="shared" ref="AN269:AN292" si="433">AI269+AL269</f>
        <v>0</v>
      </c>
      <c r="AO269" s="417">
        <f t="shared" ref="AO269:AO292" si="434">SUM(AM269:AN269)</f>
        <v>0</v>
      </c>
      <c r="AP269" s="417">
        <f t="shared" ref="AP269:AP292" si="435">AE269+AM269</f>
        <v>0</v>
      </c>
      <c r="AQ269" s="417">
        <f t="shared" ref="AQ269:AQ292" si="436">AF269+AN269</f>
        <v>0</v>
      </c>
      <c r="AR269" s="417">
        <f t="shared" ref="AR269:AR292" si="437">SUM(AP269:AQ269)</f>
        <v>0</v>
      </c>
      <c r="AS269" s="68">
        <f t="shared" ref="AS269:AS292" si="438">ROUND((AG269+AH269+AI269+AJ269)*33.8%,0)</f>
        <v>0</v>
      </c>
      <c r="AT269" s="68">
        <f t="shared" ref="AT269:AT292" si="439">ROUND(AG269*1%,0)</f>
        <v>0</v>
      </c>
      <c r="AU269" s="417">
        <v>0</v>
      </c>
      <c r="AV269" s="417">
        <v>0</v>
      </c>
      <c r="AW269" s="417">
        <v>0</v>
      </c>
      <c r="AX269" s="417">
        <f t="shared" ref="AX269:AX292" si="440">SUM(AU269:AW269)</f>
        <v>0</v>
      </c>
      <c r="AY269" s="417">
        <f t="shared" ref="AY269:AY292" si="441">AR269+AS269+AT269+AX269</f>
        <v>0</v>
      </c>
      <c r="AZ269" s="418">
        <v>0</v>
      </c>
      <c r="BA269" s="418">
        <v>0</v>
      </c>
      <c r="BB269" s="418">
        <v>0</v>
      </c>
      <c r="BC269" s="418">
        <v>0</v>
      </c>
      <c r="BD269" s="418">
        <v>0</v>
      </c>
      <c r="BE269" s="418">
        <v>0</v>
      </c>
      <c r="BF269" s="418">
        <v>0</v>
      </c>
      <c r="BG269" s="418">
        <v>0</v>
      </c>
      <c r="BH269" s="418">
        <v>0</v>
      </c>
      <c r="BI269" s="418">
        <f t="shared" ref="BI269:BI292" si="442">AZ269+BB269+BC269+BE269+BG269</f>
        <v>0</v>
      </c>
      <c r="BJ269" s="418">
        <f t="shared" ref="BJ269:BJ292" si="443">BA269+BD269+BH269+BF269</f>
        <v>0</v>
      </c>
      <c r="BK269" s="420">
        <f t="shared" ref="BK269:BK292" si="444">SUM(BI269:BJ269)</f>
        <v>0</v>
      </c>
      <c r="BL269" s="772">
        <f t="shared" si="418"/>
        <v>12294</v>
      </c>
      <c r="BM269" s="417">
        <f t="shared" si="419"/>
        <v>8800</v>
      </c>
      <c r="BN269" s="417">
        <f t="shared" si="420"/>
        <v>0</v>
      </c>
      <c r="BO269" s="417">
        <f t="shared" si="420"/>
        <v>8800</v>
      </c>
      <c r="BP269" s="417">
        <f t="shared" si="421"/>
        <v>0</v>
      </c>
      <c r="BQ269" s="417">
        <f t="shared" si="422"/>
        <v>0</v>
      </c>
      <c r="BR269" s="417">
        <f t="shared" si="422"/>
        <v>0</v>
      </c>
      <c r="BS269" s="417">
        <f t="shared" si="423"/>
        <v>2974</v>
      </c>
      <c r="BT269" s="417">
        <f t="shared" si="423"/>
        <v>88</v>
      </c>
      <c r="BU269" s="417">
        <f t="shared" si="424"/>
        <v>432</v>
      </c>
      <c r="BV269" s="418">
        <f t="shared" si="425"/>
        <v>0.03</v>
      </c>
      <c r="BW269" s="418">
        <f t="shared" si="426"/>
        <v>0</v>
      </c>
      <c r="BX269" s="420">
        <f t="shared" si="426"/>
        <v>0.03</v>
      </c>
      <c r="BY269" s="419"/>
      <c r="BZ269" s="414"/>
      <c r="CA269" s="414"/>
      <c r="CB269" s="414"/>
      <c r="CC269" s="414"/>
      <c r="CD269" s="509"/>
      <c r="CE269" s="419"/>
      <c r="CF269" s="601"/>
      <c r="CG269" s="414"/>
      <c r="CH269" s="414"/>
      <c r="CI269" s="602"/>
      <c r="CJ269" s="603"/>
    </row>
    <row r="270" spans="1:88" s="221" customFormat="1" ht="12.75" customHeight="1">
      <c r="A270" s="155">
        <v>49</v>
      </c>
      <c r="B270" s="18">
        <v>4490</v>
      </c>
      <c r="C270" s="18">
        <v>600074692</v>
      </c>
      <c r="D270" s="18">
        <v>72745088</v>
      </c>
      <c r="E270" s="164" t="s">
        <v>235</v>
      </c>
      <c r="F270" s="18"/>
      <c r="G270" s="154"/>
      <c r="H270" s="608"/>
      <c r="I270" s="450">
        <v>4837067</v>
      </c>
      <c r="J270" s="442">
        <v>3554195</v>
      </c>
      <c r="K270" s="442">
        <v>2801219</v>
      </c>
      <c r="L270" s="442">
        <v>752976</v>
      </c>
      <c r="M270" s="442">
        <v>9000</v>
      </c>
      <c r="N270" s="442">
        <v>5000</v>
      </c>
      <c r="O270" s="442">
        <v>4000</v>
      </c>
      <c r="P270" s="442">
        <v>1204359</v>
      </c>
      <c r="Q270" s="442">
        <v>35542</v>
      </c>
      <c r="R270" s="442">
        <v>33971</v>
      </c>
      <c r="S270" s="443">
        <v>7.6708999999999996</v>
      </c>
      <c r="T270" s="443">
        <v>5.4348999999999998</v>
      </c>
      <c r="U270" s="448">
        <v>2.2360000000000002</v>
      </c>
      <c r="V270" s="446">
        <f t="shared" ref="V270:CG270" si="445">SUM(V264:V269)</f>
        <v>5000</v>
      </c>
      <c r="W270" s="442">
        <f t="shared" si="445"/>
        <v>4000</v>
      </c>
      <c r="X270" s="442">
        <f t="shared" si="445"/>
        <v>46350</v>
      </c>
      <c r="Y270" s="442">
        <f t="shared" si="445"/>
        <v>0</v>
      </c>
      <c r="Z270" s="442">
        <f t="shared" si="445"/>
        <v>0</v>
      </c>
      <c r="AA270" s="442">
        <f t="shared" si="445"/>
        <v>9048</v>
      </c>
      <c r="AB270" s="442">
        <f t="shared" si="445"/>
        <v>0</v>
      </c>
      <c r="AC270" s="442">
        <f t="shared" si="445"/>
        <v>0</v>
      </c>
      <c r="AD270" s="442">
        <f t="shared" si="445"/>
        <v>0</v>
      </c>
      <c r="AE270" s="442">
        <f t="shared" si="445"/>
        <v>51350</v>
      </c>
      <c r="AF270" s="442">
        <f t="shared" si="445"/>
        <v>13048</v>
      </c>
      <c r="AG270" s="442">
        <f t="shared" si="445"/>
        <v>64398</v>
      </c>
      <c r="AH270" s="442">
        <f t="shared" si="445"/>
        <v>-5000</v>
      </c>
      <c r="AI270" s="442">
        <f t="shared" si="445"/>
        <v>-4000</v>
      </c>
      <c r="AJ270" s="442">
        <f t="shared" si="445"/>
        <v>0</v>
      </c>
      <c r="AK270" s="442">
        <f t="shared" si="445"/>
        <v>0</v>
      </c>
      <c r="AL270" s="442">
        <f t="shared" si="445"/>
        <v>0</v>
      </c>
      <c r="AM270" s="442">
        <f t="shared" si="445"/>
        <v>-5000</v>
      </c>
      <c r="AN270" s="442">
        <f t="shared" si="445"/>
        <v>-4000</v>
      </c>
      <c r="AO270" s="442">
        <f t="shared" si="445"/>
        <v>-9000</v>
      </c>
      <c r="AP270" s="442">
        <f t="shared" si="445"/>
        <v>46350</v>
      </c>
      <c r="AQ270" s="442">
        <f t="shared" si="445"/>
        <v>9048</v>
      </c>
      <c r="AR270" s="442">
        <f t="shared" si="445"/>
        <v>55398</v>
      </c>
      <c r="AS270" s="442">
        <f t="shared" si="445"/>
        <v>18724</v>
      </c>
      <c r="AT270" s="442">
        <f t="shared" si="445"/>
        <v>644</v>
      </c>
      <c r="AU270" s="442">
        <f t="shared" si="445"/>
        <v>0</v>
      </c>
      <c r="AV270" s="442">
        <f t="shared" si="445"/>
        <v>0</v>
      </c>
      <c r="AW270" s="442">
        <f t="shared" si="445"/>
        <v>0</v>
      </c>
      <c r="AX270" s="442">
        <f t="shared" si="445"/>
        <v>0</v>
      </c>
      <c r="AY270" s="442">
        <f t="shared" si="445"/>
        <v>74766</v>
      </c>
      <c r="AZ270" s="443">
        <f t="shared" si="445"/>
        <v>0</v>
      </c>
      <c r="BA270" s="443">
        <f t="shared" si="445"/>
        <v>0</v>
      </c>
      <c r="BB270" s="443">
        <f t="shared" si="445"/>
        <v>0.13</v>
      </c>
      <c r="BC270" s="443">
        <f t="shared" si="445"/>
        <v>0</v>
      </c>
      <c r="BD270" s="443">
        <f t="shared" si="445"/>
        <v>0.02</v>
      </c>
      <c r="BE270" s="443">
        <f t="shared" si="445"/>
        <v>0</v>
      </c>
      <c r="BF270" s="443">
        <f t="shared" si="445"/>
        <v>0</v>
      </c>
      <c r="BG270" s="443">
        <f t="shared" si="445"/>
        <v>0</v>
      </c>
      <c r="BH270" s="443">
        <f t="shared" si="445"/>
        <v>0</v>
      </c>
      <c r="BI270" s="443">
        <f t="shared" si="445"/>
        <v>0.13</v>
      </c>
      <c r="BJ270" s="443">
        <f t="shared" si="445"/>
        <v>0.02</v>
      </c>
      <c r="BK270" s="40">
        <f t="shared" si="445"/>
        <v>0.15</v>
      </c>
      <c r="BL270" s="450">
        <f t="shared" si="445"/>
        <v>4911833</v>
      </c>
      <c r="BM270" s="442">
        <f t="shared" si="445"/>
        <v>3618593</v>
      </c>
      <c r="BN270" s="442">
        <f t="shared" si="445"/>
        <v>2852569</v>
      </c>
      <c r="BO270" s="442">
        <f t="shared" si="445"/>
        <v>766024</v>
      </c>
      <c r="BP270" s="442">
        <f t="shared" si="445"/>
        <v>0</v>
      </c>
      <c r="BQ270" s="442">
        <f t="shared" si="445"/>
        <v>0</v>
      </c>
      <c r="BR270" s="442">
        <f t="shared" si="445"/>
        <v>0</v>
      </c>
      <c r="BS270" s="442">
        <f t="shared" si="445"/>
        <v>1223083</v>
      </c>
      <c r="BT270" s="442">
        <f t="shared" si="445"/>
        <v>36186</v>
      </c>
      <c r="BU270" s="442">
        <f t="shared" si="445"/>
        <v>33971</v>
      </c>
      <c r="BV270" s="443">
        <f t="shared" si="445"/>
        <v>7.8209</v>
      </c>
      <c r="BW270" s="443">
        <f t="shared" si="445"/>
        <v>5.5648999999999997</v>
      </c>
      <c r="BX270" s="40">
        <f t="shared" si="445"/>
        <v>2.2559999999999998</v>
      </c>
      <c r="BY270" s="804">
        <f t="shared" si="445"/>
        <v>0</v>
      </c>
      <c r="BZ270" s="708">
        <f t="shared" si="445"/>
        <v>0</v>
      </c>
      <c r="CA270" s="708">
        <f t="shared" si="445"/>
        <v>0</v>
      </c>
      <c r="CB270" s="708">
        <f t="shared" si="445"/>
        <v>0</v>
      </c>
      <c r="CC270" s="708">
        <f t="shared" si="445"/>
        <v>0</v>
      </c>
      <c r="CD270" s="805">
        <f t="shared" si="445"/>
        <v>0</v>
      </c>
      <c r="CE270" s="916">
        <f t="shared" si="445"/>
        <v>171882</v>
      </c>
      <c r="CF270" s="917">
        <f t="shared" si="445"/>
        <v>122578</v>
      </c>
      <c r="CG270" s="917">
        <f t="shared" si="445"/>
        <v>41431</v>
      </c>
      <c r="CH270" s="917">
        <f t="shared" ref="CH270:CJ270" si="446">SUM(CH264:CH269)</f>
        <v>1226</v>
      </c>
      <c r="CI270" s="917">
        <f t="shared" si="446"/>
        <v>6647</v>
      </c>
      <c r="CJ270" s="918">
        <f t="shared" si="446"/>
        <v>0.35499999999999998</v>
      </c>
    </row>
    <row r="271" spans="1:88" s="221" customFormat="1" ht="12.75" customHeight="1">
      <c r="A271" s="209">
        <v>50</v>
      </c>
      <c r="B271" s="210">
        <v>4491</v>
      </c>
      <c r="C271" s="210">
        <v>650050517</v>
      </c>
      <c r="D271" s="210">
        <v>72742437</v>
      </c>
      <c r="E271" s="208" t="s">
        <v>236</v>
      </c>
      <c r="F271" s="210">
        <v>3111</v>
      </c>
      <c r="G271" s="165" t="s">
        <v>290</v>
      </c>
      <c r="H271" s="621" t="s">
        <v>271</v>
      </c>
      <c r="I271" s="510">
        <v>1758952</v>
      </c>
      <c r="J271" s="414">
        <v>1295554</v>
      </c>
      <c r="K271" s="414">
        <v>1197536</v>
      </c>
      <c r="L271" s="414">
        <v>98018</v>
      </c>
      <c r="M271" s="414">
        <v>2500</v>
      </c>
      <c r="N271" s="414">
        <v>2500</v>
      </c>
      <c r="O271" s="414">
        <v>0</v>
      </c>
      <c r="P271" s="68">
        <v>438742</v>
      </c>
      <c r="Q271" s="68">
        <v>12956</v>
      </c>
      <c r="R271" s="414">
        <v>9200</v>
      </c>
      <c r="S271" s="415">
        <v>2.3927</v>
      </c>
      <c r="T271" s="416">
        <v>2</v>
      </c>
      <c r="U271" s="422">
        <v>0.39269999999999999</v>
      </c>
      <c r="V271" s="423">
        <f t="shared" si="427"/>
        <v>0</v>
      </c>
      <c r="W271" s="417">
        <f t="shared" si="428"/>
        <v>0</v>
      </c>
      <c r="X271" s="417">
        <v>0</v>
      </c>
      <c r="Y271" s="417">
        <v>0</v>
      </c>
      <c r="Z271" s="417">
        <v>0</v>
      </c>
      <c r="AA271" s="417">
        <v>0</v>
      </c>
      <c r="AB271" s="417">
        <v>0</v>
      </c>
      <c r="AC271" s="417">
        <v>0</v>
      </c>
      <c r="AD271" s="417">
        <v>0</v>
      </c>
      <c r="AE271" s="417">
        <f t="shared" si="429"/>
        <v>0</v>
      </c>
      <c r="AF271" s="417">
        <f t="shared" si="430"/>
        <v>0</v>
      </c>
      <c r="AG271" s="417">
        <f t="shared" si="431"/>
        <v>0</v>
      </c>
      <c r="AH271" s="417">
        <v>0</v>
      </c>
      <c r="AI271" s="417">
        <v>0</v>
      </c>
      <c r="AJ271" s="417">
        <v>0</v>
      </c>
      <c r="AK271" s="417">
        <v>0</v>
      </c>
      <c r="AL271" s="417">
        <v>0</v>
      </c>
      <c r="AM271" s="417">
        <f t="shared" si="432"/>
        <v>0</v>
      </c>
      <c r="AN271" s="417">
        <f t="shared" si="433"/>
        <v>0</v>
      </c>
      <c r="AO271" s="417">
        <f t="shared" si="434"/>
        <v>0</v>
      </c>
      <c r="AP271" s="417">
        <f t="shared" si="435"/>
        <v>0</v>
      </c>
      <c r="AQ271" s="417">
        <f t="shared" si="436"/>
        <v>0</v>
      </c>
      <c r="AR271" s="417">
        <f t="shared" si="437"/>
        <v>0</v>
      </c>
      <c r="AS271" s="68">
        <f t="shared" si="438"/>
        <v>0</v>
      </c>
      <c r="AT271" s="68">
        <f t="shared" si="439"/>
        <v>0</v>
      </c>
      <c r="AU271" s="417">
        <v>0</v>
      </c>
      <c r="AV271" s="417">
        <v>0</v>
      </c>
      <c r="AW271" s="417">
        <v>0</v>
      </c>
      <c r="AX271" s="417">
        <f t="shared" si="440"/>
        <v>0</v>
      </c>
      <c r="AY271" s="417">
        <f t="shared" si="441"/>
        <v>0</v>
      </c>
      <c r="AZ271" s="418">
        <v>0.01</v>
      </c>
      <c r="BA271" s="418">
        <v>0</v>
      </c>
      <c r="BB271" s="418">
        <v>0</v>
      </c>
      <c r="BC271" s="418">
        <v>0</v>
      </c>
      <c r="BD271" s="418">
        <v>0</v>
      </c>
      <c r="BE271" s="418">
        <v>0</v>
      </c>
      <c r="BF271" s="418">
        <v>0</v>
      </c>
      <c r="BG271" s="418">
        <v>0</v>
      </c>
      <c r="BH271" s="418">
        <v>0</v>
      </c>
      <c r="BI271" s="418">
        <f t="shared" si="442"/>
        <v>0.01</v>
      </c>
      <c r="BJ271" s="418">
        <f t="shared" si="443"/>
        <v>0</v>
      </c>
      <c r="BK271" s="420">
        <f t="shared" si="444"/>
        <v>0.01</v>
      </c>
      <c r="BL271" s="772">
        <f t="shared" ref="BL271:BL276" si="447">I271+AY271</f>
        <v>1758952</v>
      </c>
      <c r="BM271" s="417">
        <f t="shared" ref="BM271:BM276" si="448">J271+AG271</f>
        <v>1295554</v>
      </c>
      <c r="BN271" s="417">
        <f t="shared" ref="BN271:BO276" si="449">K271+AE271</f>
        <v>1197536</v>
      </c>
      <c r="BO271" s="417">
        <f t="shared" si="449"/>
        <v>98018</v>
      </c>
      <c r="BP271" s="417">
        <f t="shared" ref="BP271:BP276" si="450">M271+AO271</f>
        <v>2500</v>
      </c>
      <c r="BQ271" s="417">
        <f t="shared" ref="BQ271:BR276" si="451">N271+AM271</f>
        <v>2500</v>
      </c>
      <c r="BR271" s="417">
        <f t="shared" si="451"/>
        <v>0</v>
      </c>
      <c r="BS271" s="417">
        <f t="shared" ref="BS271:BT276" si="452">P271+AS271</f>
        <v>438742</v>
      </c>
      <c r="BT271" s="417">
        <f t="shared" si="452"/>
        <v>12956</v>
      </c>
      <c r="BU271" s="417">
        <f t="shared" ref="BU271:BU276" si="453">R271+AX271</f>
        <v>9200</v>
      </c>
      <c r="BV271" s="418">
        <f t="shared" ref="BV271:BV276" si="454">S271+BK271</f>
        <v>2.4026999999999998</v>
      </c>
      <c r="BW271" s="418">
        <f t="shared" ref="BW271:BX276" si="455">T271+BI271</f>
        <v>2.0099999999999998</v>
      </c>
      <c r="BX271" s="420">
        <f t="shared" si="455"/>
        <v>0.39269999999999999</v>
      </c>
      <c r="BY271" s="419"/>
      <c r="BZ271" s="414"/>
      <c r="CA271" s="414"/>
      <c r="CB271" s="414"/>
      <c r="CC271" s="414"/>
      <c r="CD271" s="509"/>
      <c r="CE271" s="419">
        <v>45454</v>
      </c>
      <c r="CF271" s="414">
        <v>31450</v>
      </c>
      <c r="CG271" s="414">
        <v>10630</v>
      </c>
      <c r="CH271" s="414">
        <v>315</v>
      </c>
      <c r="CI271" s="414">
        <v>3059</v>
      </c>
      <c r="CJ271" s="509">
        <v>0.126</v>
      </c>
    </row>
    <row r="272" spans="1:88" s="221" customFormat="1" ht="12.75" customHeight="1">
      <c r="A272" s="209">
        <v>50</v>
      </c>
      <c r="B272" s="210">
        <v>4491</v>
      </c>
      <c r="C272" s="210">
        <v>650050517</v>
      </c>
      <c r="D272" s="210">
        <v>72742437</v>
      </c>
      <c r="E272" s="208" t="s">
        <v>236</v>
      </c>
      <c r="F272" s="210">
        <v>3117</v>
      </c>
      <c r="G272" s="165" t="s">
        <v>293</v>
      </c>
      <c r="H272" s="621" t="s">
        <v>271</v>
      </c>
      <c r="I272" s="510">
        <v>3606569</v>
      </c>
      <c r="J272" s="414">
        <v>2634130</v>
      </c>
      <c r="K272" s="414">
        <v>2228275</v>
      </c>
      <c r="L272" s="414">
        <v>405855</v>
      </c>
      <c r="M272" s="414">
        <v>7500</v>
      </c>
      <c r="N272" s="414">
        <v>7500</v>
      </c>
      <c r="O272" s="414">
        <v>0</v>
      </c>
      <c r="P272" s="68">
        <v>892872</v>
      </c>
      <c r="Q272" s="68">
        <v>26342</v>
      </c>
      <c r="R272" s="414">
        <v>45725</v>
      </c>
      <c r="S272" s="415">
        <v>4.1677999999999997</v>
      </c>
      <c r="T272" s="416">
        <v>3.1265000000000001</v>
      </c>
      <c r="U272" s="422">
        <v>1.0412999999999999</v>
      </c>
      <c r="V272" s="423">
        <f t="shared" si="427"/>
        <v>0</v>
      </c>
      <c r="W272" s="417">
        <f t="shared" si="428"/>
        <v>0</v>
      </c>
      <c r="X272" s="417">
        <v>0</v>
      </c>
      <c r="Y272" s="417">
        <v>0</v>
      </c>
      <c r="Z272" s="417">
        <v>0</v>
      </c>
      <c r="AA272" s="417">
        <v>0</v>
      </c>
      <c r="AB272" s="417">
        <v>0</v>
      </c>
      <c r="AC272" s="417">
        <v>0</v>
      </c>
      <c r="AD272" s="417">
        <v>0</v>
      </c>
      <c r="AE272" s="417">
        <f t="shared" si="429"/>
        <v>0</v>
      </c>
      <c r="AF272" s="417">
        <f t="shared" si="430"/>
        <v>0</v>
      </c>
      <c r="AG272" s="417">
        <f t="shared" si="431"/>
        <v>0</v>
      </c>
      <c r="AH272" s="417">
        <v>0</v>
      </c>
      <c r="AI272" s="417">
        <v>0</v>
      </c>
      <c r="AJ272" s="417">
        <v>0</v>
      </c>
      <c r="AK272" s="417">
        <v>0</v>
      </c>
      <c r="AL272" s="417">
        <v>0</v>
      </c>
      <c r="AM272" s="417">
        <f t="shared" si="432"/>
        <v>0</v>
      </c>
      <c r="AN272" s="417">
        <f t="shared" si="433"/>
        <v>0</v>
      </c>
      <c r="AO272" s="417">
        <f t="shared" si="434"/>
        <v>0</v>
      </c>
      <c r="AP272" s="417">
        <f t="shared" si="435"/>
        <v>0</v>
      </c>
      <c r="AQ272" s="417">
        <f t="shared" si="436"/>
        <v>0</v>
      </c>
      <c r="AR272" s="417">
        <f t="shared" si="437"/>
        <v>0</v>
      </c>
      <c r="AS272" s="68">
        <f t="shared" si="438"/>
        <v>0</v>
      </c>
      <c r="AT272" s="68">
        <f t="shared" si="439"/>
        <v>0</v>
      </c>
      <c r="AU272" s="417">
        <v>0</v>
      </c>
      <c r="AV272" s="417">
        <v>0</v>
      </c>
      <c r="AW272" s="417">
        <v>0</v>
      </c>
      <c r="AX272" s="417">
        <f t="shared" si="440"/>
        <v>0</v>
      </c>
      <c r="AY272" s="417">
        <f t="shared" si="441"/>
        <v>0</v>
      </c>
      <c r="AZ272" s="418">
        <v>0.01</v>
      </c>
      <c r="BA272" s="418">
        <v>0</v>
      </c>
      <c r="BB272" s="418">
        <v>0</v>
      </c>
      <c r="BC272" s="418">
        <v>0</v>
      </c>
      <c r="BD272" s="418">
        <v>0</v>
      </c>
      <c r="BE272" s="418">
        <v>0</v>
      </c>
      <c r="BF272" s="418">
        <v>0</v>
      </c>
      <c r="BG272" s="418">
        <v>0</v>
      </c>
      <c r="BH272" s="418">
        <v>0</v>
      </c>
      <c r="BI272" s="418">
        <f t="shared" si="442"/>
        <v>0.01</v>
      </c>
      <c r="BJ272" s="418">
        <f t="shared" si="443"/>
        <v>0</v>
      </c>
      <c r="BK272" s="420">
        <f t="shared" si="444"/>
        <v>0.01</v>
      </c>
      <c r="BL272" s="772">
        <f t="shared" si="447"/>
        <v>3606569</v>
      </c>
      <c r="BM272" s="417">
        <f t="shared" si="448"/>
        <v>2634130</v>
      </c>
      <c r="BN272" s="417">
        <f t="shared" si="449"/>
        <v>2228275</v>
      </c>
      <c r="BO272" s="417">
        <f t="shared" si="449"/>
        <v>405855</v>
      </c>
      <c r="BP272" s="417">
        <f t="shared" si="450"/>
        <v>7500</v>
      </c>
      <c r="BQ272" s="417">
        <f t="shared" si="451"/>
        <v>7500</v>
      </c>
      <c r="BR272" s="417">
        <f t="shared" si="451"/>
        <v>0</v>
      </c>
      <c r="BS272" s="417">
        <f t="shared" si="452"/>
        <v>892872</v>
      </c>
      <c r="BT272" s="417">
        <f t="shared" si="452"/>
        <v>26342</v>
      </c>
      <c r="BU272" s="417">
        <f t="shared" si="453"/>
        <v>45725</v>
      </c>
      <c r="BV272" s="418">
        <f t="shared" si="454"/>
        <v>4.1777999999999995</v>
      </c>
      <c r="BW272" s="418">
        <f t="shared" si="455"/>
        <v>3.1364999999999998</v>
      </c>
      <c r="BX272" s="420">
        <f t="shared" si="455"/>
        <v>1.0412999999999999</v>
      </c>
      <c r="BY272" s="419"/>
      <c r="BZ272" s="414"/>
      <c r="CA272" s="414"/>
      <c r="CB272" s="414"/>
      <c r="CC272" s="414"/>
      <c r="CD272" s="509"/>
      <c r="CE272" s="414">
        <v>183611</v>
      </c>
      <c r="CF272" s="414">
        <v>130277</v>
      </c>
      <c r="CG272" s="414">
        <v>44034</v>
      </c>
      <c r="CH272" s="414">
        <v>1302</v>
      </c>
      <c r="CI272" s="414">
        <v>7998</v>
      </c>
      <c r="CJ272" s="509">
        <v>0.33430000000000004</v>
      </c>
    </row>
    <row r="273" spans="1:88" s="221" customFormat="1" ht="12.75" customHeight="1">
      <c r="A273" s="209">
        <v>50</v>
      </c>
      <c r="B273" s="210">
        <v>4491</v>
      </c>
      <c r="C273" s="210">
        <v>650050517</v>
      </c>
      <c r="D273" s="210">
        <v>72742437</v>
      </c>
      <c r="E273" s="208" t="s">
        <v>236</v>
      </c>
      <c r="F273" s="210">
        <v>3117</v>
      </c>
      <c r="G273" s="165" t="s">
        <v>291</v>
      </c>
      <c r="H273" s="621" t="s">
        <v>272</v>
      </c>
      <c r="I273" s="510">
        <v>131710</v>
      </c>
      <c r="J273" s="414">
        <v>92700</v>
      </c>
      <c r="K273" s="414">
        <v>92700</v>
      </c>
      <c r="L273" s="414">
        <v>0</v>
      </c>
      <c r="M273" s="414">
        <v>0</v>
      </c>
      <c r="N273" s="414">
        <v>0</v>
      </c>
      <c r="O273" s="414">
        <v>0</v>
      </c>
      <c r="P273" s="68">
        <v>31333</v>
      </c>
      <c r="Q273" s="68">
        <v>927</v>
      </c>
      <c r="R273" s="414">
        <v>6750</v>
      </c>
      <c r="S273" s="415">
        <v>0.25</v>
      </c>
      <c r="T273" s="416">
        <v>0.25</v>
      </c>
      <c r="U273" s="422">
        <v>0</v>
      </c>
      <c r="V273" s="423">
        <f t="shared" si="427"/>
        <v>0</v>
      </c>
      <c r="W273" s="417">
        <f t="shared" si="428"/>
        <v>0</v>
      </c>
      <c r="X273" s="417">
        <v>0</v>
      </c>
      <c r="Y273" s="417">
        <v>0</v>
      </c>
      <c r="Z273" s="417">
        <v>0</v>
      </c>
      <c r="AA273" s="417">
        <v>0</v>
      </c>
      <c r="AB273" s="417">
        <v>0</v>
      </c>
      <c r="AC273" s="417">
        <v>0</v>
      </c>
      <c r="AD273" s="417">
        <v>0</v>
      </c>
      <c r="AE273" s="417">
        <f t="shared" si="429"/>
        <v>0</v>
      </c>
      <c r="AF273" s="417">
        <f t="shared" si="430"/>
        <v>0</v>
      </c>
      <c r="AG273" s="417">
        <f t="shared" si="431"/>
        <v>0</v>
      </c>
      <c r="AH273" s="417">
        <v>0</v>
      </c>
      <c r="AI273" s="417">
        <v>0</v>
      </c>
      <c r="AJ273" s="417">
        <v>0</v>
      </c>
      <c r="AK273" s="417">
        <v>0</v>
      </c>
      <c r="AL273" s="417">
        <v>0</v>
      </c>
      <c r="AM273" s="417">
        <f t="shared" si="432"/>
        <v>0</v>
      </c>
      <c r="AN273" s="417">
        <f t="shared" si="433"/>
        <v>0</v>
      </c>
      <c r="AO273" s="417">
        <f t="shared" si="434"/>
        <v>0</v>
      </c>
      <c r="AP273" s="417">
        <f t="shared" si="435"/>
        <v>0</v>
      </c>
      <c r="AQ273" s="417">
        <f t="shared" si="436"/>
        <v>0</v>
      </c>
      <c r="AR273" s="417">
        <f t="shared" si="437"/>
        <v>0</v>
      </c>
      <c r="AS273" s="68">
        <f t="shared" si="438"/>
        <v>0</v>
      </c>
      <c r="AT273" s="68">
        <f t="shared" si="439"/>
        <v>0</v>
      </c>
      <c r="AU273" s="417">
        <v>0</v>
      </c>
      <c r="AV273" s="417">
        <v>0</v>
      </c>
      <c r="AW273" s="417">
        <v>0</v>
      </c>
      <c r="AX273" s="417">
        <f t="shared" si="440"/>
        <v>0</v>
      </c>
      <c r="AY273" s="417">
        <f t="shared" si="441"/>
        <v>0</v>
      </c>
      <c r="AZ273" s="418">
        <v>0</v>
      </c>
      <c r="BA273" s="418">
        <v>0</v>
      </c>
      <c r="BB273" s="418">
        <v>0</v>
      </c>
      <c r="BC273" s="418">
        <v>0</v>
      </c>
      <c r="BD273" s="418">
        <v>0</v>
      </c>
      <c r="BE273" s="418">
        <v>0</v>
      </c>
      <c r="BF273" s="418">
        <v>0</v>
      </c>
      <c r="BG273" s="418">
        <v>0</v>
      </c>
      <c r="BH273" s="418">
        <v>0</v>
      </c>
      <c r="BI273" s="418">
        <f t="shared" si="442"/>
        <v>0</v>
      </c>
      <c r="BJ273" s="418">
        <f t="shared" si="443"/>
        <v>0</v>
      </c>
      <c r="BK273" s="420">
        <f t="shared" si="444"/>
        <v>0</v>
      </c>
      <c r="BL273" s="772">
        <f t="shared" si="447"/>
        <v>131710</v>
      </c>
      <c r="BM273" s="417">
        <f t="shared" si="448"/>
        <v>92700</v>
      </c>
      <c r="BN273" s="417">
        <f t="shared" si="449"/>
        <v>92700</v>
      </c>
      <c r="BO273" s="417">
        <f t="shared" si="449"/>
        <v>0</v>
      </c>
      <c r="BP273" s="417">
        <f t="shared" si="450"/>
        <v>0</v>
      </c>
      <c r="BQ273" s="417">
        <f t="shared" si="451"/>
        <v>0</v>
      </c>
      <c r="BR273" s="417">
        <f t="shared" si="451"/>
        <v>0</v>
      </c>
      <c r="BS273" s="417">
        <f t="shared" si="452"/>
        <v>31333</v>
      </c>
      <c r="BT273" s="417">
        <f t="shared" si="452"/>
        <v>927</v>
      </c>
      <c r="BU273" s="417">
        <f t="shared" si="453"/>
        <v>6750</v>
      </c>
      <c r="BV273" s="418">
        <f t="shared" si="454"/>
        <v>0.25</v>
      </c>
      <c r="BW273" s="418">
        <f t="shared" si="455"/>
        <v>0.25</v>
      </c>
      <c r="BX273" s="420">
        <f t="shared" si="455"/>
        <v>0</v>
      </c>
      <c r="BY273" s="419"/>
      <c r="BZ273" s="414"/>
      <c r="CA273" s="414"/>
      <c r="CB273" s="414"/>
      <c r="CC273" s="414"/>
      <c r="CD273" s="509"/>
      <c r="CE273" s="419"/>
      <c r="CF273" s="414"/>
      <c r="CG273" s="414"/>
      <c r="CH273" s="414"/>
      <c r="CI273" s="414"/>
      <c r="CJ273" s="509"/>
    </row>
    <row r="274" spans="1:88" s="221" customFormat="1" ht="12.75" customHeight="1">
      <c r="A274" s="209">
        <v>50</v>
      </c>
      <c r="B274" s="210">
        <v>4491</v>
      </c>
      <c r="C274" s="210">
        <v>650050517</v>
      </c>
      <c r="D274" s="210">
        <v>72742437</v>
      </c>
      <c r="E274" s="208" t="s">
        <v>236</v>
      </c>
      <c r="F274" s="210">
        <v>3141</v>
      </c>
      <c r="G274" s="165" t="s">
        <v>294</v>
      </c>
      <c r="H274" s="621" t="s">
        <v>272</v>
      </c>
      <c r="I274" s="510">
        <v>776858</v>
      </c>
      <c r="J274" s="414">
        <v>573580</v>
      </c>
      <c r="K274" s="414">
        <v>0</v>
      </c>
      <c r="L274" s="414">
        <v>573580</v>
      </c>
      <c r="M274" s="414">
        <v>0</v>
      </c>
      <c r="N274" s="414">
        <v>0</v>
      </c>
      <c r="O274" s="414">
        <v>0</v>
      </c>
      <c r="P274" s="68">
        <v>193870</v>
      </c>
      <c r="Q274" s="68">
        <v>5736</v>
      </c>
      <c r="R274" s="414">
        <v>3672</v>
      </c>
      <c r="S274" s="415">
        <v>1.7199999999999998</v>
      </c>
      <c r="T274" s="416">
        <v>0</v>
      </c>
      <c r="U274" s="422">
        <v>1.7199999999999998</v>
      </c>
      <c r="V274" s="423">
        <f t="shared" si="427"/>
        <v>0</v>
      </c>
      <c r="W274" s="417">
        <f t="shared" si="428"/>
        <v>0</v>
      </c>
      <c r="X274" s="417">
        <v>0</v>
      </c>
      <c r="Y274" s="417">
        <v>0</v>
      </c>
      <c r="Z274" s="417">
        <v>0</v>
      </c>
      <c r="AA274" s="417">
        <v>-9348</v>
      </c>
      <c r="AB274" s="417">
        <v>0</v>
      </c>
      <c r="AC274" s="417">
        <v>0</v>
      </c>
      <c r="AD274" s="417">
        <v>0</v>
      </c>
      <c r="AE274" s="417">
        <f t="shared" si="429"/>
        <v>0</v>
      </c>
      <c r="AF274" s="417">
        <f t="shared" si="430"/>
        <v>-9348</v>
      </c>
      <c r="AG274" s="417">
        <f t="shared" si="431"/>
        <v>-9348</v>
      </c>
      <c r="AH274" s="417">
        <v>0</v>
      </c>
      <c r="AI274" s="417">
        <v>0</v>
      </c>
      <c r="AJ274" s="417">
        <v>0</v>
      </c>
      <c r="AK274" s="417">
        <v>0</v>
      </c>
      <c r="AL274" s="417">
        <v>0</v>
      </c>
      <c r="AM274" s="417">
        <f t="shared" si="432"/>
        <v>0</v>
      </c>
      <c r="AN274" s="417">
        <f t="shared" si="433"/>
        <v>0</v>
      </c>
      <c r="AO274" s="417">
        <f t="shared" si="434"/>
        <v>0</v>
      </c>
      <c r="AP274" s="417">
        <f t="shared" si="435"/>
        <v>0</v>
      </c>
      <c r="AQ274" s="417">
        <f t="shared" si="436"/>
        <v>-9348</v>
      </c>
      <c r="AR274" s="417">
        <f t="shared" si="437"/>
        <v>-9348</v>
      </c>
      <c r="AS274" s="68">
        <f t="shared" si="438"/>
        <v>-3160</v>
      </c>
      <c r="AT274" s="68">
        <f t="shared" si="439"/>
        <v>-93</v>
      </c>
      <c r="AU274" s="417">
        <v>0</v>
      </c>
      <c r="AV274" s="417">
        <v>0</v>
      </c>
      <c r="AW274" s="417">
        <v>0</v>
      </c>
      <c r="AX274" s="417">
        <f t="shared" si="440"/>
        <v>0</v>
      </c>
      <c r="AY274" s="417">
        <f t="shared" si="441"/>
        <v>-12601</v>
      </c>
      <c r="AZ274" s="418">
        <v>0</v>
      </c>
      <c r="BA274" s="418">
        <v>0</v>
      </c>
      <c r="BB274" s="418">
        <v>0</v>
      </c>
      <c r="BC274" s="418">
        <v>0</v>
      </c>
      <c r="BD274" s="418">
        <v>-0.02</v>
      </c>
      <c r="BE274" s="418">
        <v>0</v>
      </c>
      <c r="BF274" s="418">
        <v>0</v>
      </c>
      <c r="BG274" s="418">
        <v>0</v>
      </c>
      <c r="BH274" s="418">
        <v>0</v>
      </c>
      <c r="BI274" s="418">
        <f t="shared" si="442"/>
        <v>0</v>
      </c>
      <c r="BJ274" s="418">
        <f t="shared" si="443"/>
        <v>-0.02</v>
      </c>
      <c r="BK274" s="420">
        <f t="shared" si="444"/>
        <v>-0.02</v>
      </c>
      <c r="BL274" s="772">
        <f t="shared" si="447"/>
        <v>764257</v>
      </c>
      <c r="BM274" s="417">
        <f t="shared" si="448"/>
        <v>564232</v>
      </c>
      <c r="BN274" s="417">
        <f t="shared" si="449"/>
        <v>0</v>
      </c>
      <c r="BO274" s="417">
        <f t="shared" si="449"/>
        <v>564232</v>
      </c>
      <c r="BP274" s="417">
        <f t="shared" si="450"/>
        <v>0</v>
      </c>
      <c r="BQ274" s="417">
        <f t="shared" si="451"/>
        <v>0</v>
      </c>
      <c r="BR274" s="417">
        <f t="shared" si="451"/>
        <v>0</v>
      </c>
      <c r="BS274" s="417">
        <f t="shared" si="452"/>
        <v>190710</v>
      </c>
      <c r="BT274" s="417">
        <f t="shared" si="452"/>
        <v>5643</v>
      </c>
      <c r="BU274" s="417">
        <f t="shared" si="453"/>
        <v>3672</v>
      </c>
      <c r="BV274" s="418">
        <f t="shared" si="454"/>
        <v>1.6999999999999997</v>
      </c>
      <c r="BW274" s="418">
        <f t="shared" si="455"/>
        <v>0</v>
      </c>
      <c r="BX274" s="420">
        <f t="shared" si="455"/>
        <v>1.6999999999999997</v>
      </c>
      <c r="BY274" s="419"/>
      <c r="BZ274" s="414"/>
      <c r="CA274" s="414"/>
      <c r="CB274" s="414"/>
      <c r="CC274" s="414"/>
      <c r="CD274" s="509"/>
      <c r="CE274" s="419"/>
      <c r="CF274" s="414"/>
      <c r="CG274" s="414"/>
      <c r="CH274" s="414"/>
      <c r="CI274" s="414"/>
      <c r="CJ274" s="509"/>
    </row>
    <row r="275" spans="1:88" s="221" customFormat="1" ht="12.75" customHeight="1">
      <c r="A275" s="209">
        <v>50</v>
      </c>
      <c r="B275" s="210">
        <v>4491</v>
      </c>
      <c r="C275" s="210">
        <v>650050517</v>
      </c>
      <c r="D275" s="210">
        <v>72742437</v>
      </c>
      <c r="E275" s="208" t="s">
        <v>236</v>
      </c>
      <c r="F275" s="210">
        <v>3143</v>
      </c>
      <c r="G275" s="165" t="s">
        <v>595</v>
      </c>
      <c r="H275" s="609" t="s">
        <v>271</v>
      </c>
      <c r="I275" s="510">
        <v>653573</v>
      </c>
      <c r="J275" s="414">
        <v>484847</v>
      </c>
      <c r="K275" s="414">
        <v>484847</v>
      </c>
      <c r="L275" s="414">
        <v>0</v>
      </c>
      <c r="M275" s="414">
        <v>0</v>
      </c>
      <c r="N275" s="414">
        <v>0</v>
      </c>
      <c r="O275" s="414">
        <v>0</v>
      </c>
      <c r="P275" s="68">
        <v>163878</v>
      </c>
      <c r="Q275" s="68">
        <v>4848</v>
      </c>
      <c r="R275" s="414">
        <v>0</v>
      </c>
      <c r="S275" s="415">
        <v>0.92859999999999998</v>
      </c>
      <c r="T275" s="416">
        <v>0.92859999999999998</v>
      </c>
      <c r="U275" s="422">
        <v>0</v>
      </c>
      <c r="V275" s="423">
        <f t="shared" si="427"/>
        <v>0</v>
      </c>
      <c r="W275" s="417">
        <f t="shared" si="428"/>
        <v>0</v>
      </c>
      <c r="X275" s="417">
        <v>0</v>
      </c>
      <c r="Y275" s="417">
        <v>0</v>
      </c>
      <c r="Z275" s="417">
        <v>0</v>
      </c>
      <c r="AA275" s="417">
        <v>0</v>
      </c>
      <c r="AB275" s="417">
        <v>0</v>
      </c>
      <c r="AC275" s="417">
        <v>0</v>
      </c>
      <c r="AD275" s="417">
        <v>0</v>
      </c>
      <c r="AE275" s="417">
        <f t="shared" si="429"/>
        <v>0</v>
      </c>
      <c r="AF275" s="417">
        <f t="shared" si="430"/>
        <v>0</v>
      </c>
      <c r="AG275" s="417">
        <f t="shared" si="431"/>
        <v>0</v>
      </c>
      <c r="AH275" s="417">
        <v>0</v>
      </c>
      <c r="AI275" s="417">
        <v>0</v>
      </c>
      <c r="AJ275" s="417">
        <v>0</v>
      </c>
      <c r="AK275" s="417">
        <v>0</v>
      </c>
      <c r="AL275" s="417">
        <v>0</v>
      </c>
      <c r="AM275" s="417">
        <f t="shared" si="432"/>
        <v>0</v>
      </c>
      <c r="AN275" s="417">
        <f t="shared" si="433"/>
        <v>0</v>
      </c>
      <c r="AO275" s="417">
        <f t="shared" si="434"/>
        <v>0</v>
      </c>
      <c r="AP275" s="417">
        <f t="shared" si="435"/>
        <v>0</v>
      </c>
      <c r="AQ275" s="417">
        <f t="shared" si="436"/>
        <v>0</v>
      </c>
      <c r="AR275" s="417">
        <f t="shared" si="437"/>
        <v>0</v>
      </c>
      <c r="AS275" s="68">
        <f t="shared" si="438"/>
        <v>0</v>
      </c>
      <c r="AT275" s="68">
        <f t="shared" si="439"/>
        <v>0</v>
      </c>
      <c r="AU275" s="417">
        <v>0</v>
      </c>
      <c r="AV275" s="417">
        <v>0</v>
      </c>
      <c r="AW275" s="417">
        <v>0</v>
      </c>
      <c r="AX275" s="417">
        <f t="shared" si="440"/>
        <v>0</v>
      </c>
      <c r="AY275" s="417">
        <f t="shared" si="441"/>
        <v>0</v>
      </c>
      <c r="AZ275" s="418">
        <v>0</v>
      </c>
      <c r="BA275" s="418">
        <v>0</v>
      </c>
      <c r="BB275" s="418">
        <v>0</v>
      </c>
      <c r="BC275" s="418">
        <v>0</v>
      </c>
      <c r="BD275" s="418">
        <v>0</v>
      </c>
      <c r="BE275" s="418">
        <v>0</v>
      </c>
      <c r="BF275" s="418">
        <v>0</v>
      </c>
      <c r="BG275" s="418">
        <v>0</v>
      </c>
      <c r="BH275" s="418">
        <v>0</v>
      </c>
      <c r="BI275" s="418">
        <f t="shared" si="442"/>
        <v>0</v>
      </c>
      <c r="BJ275" s="418">
        <f t="shared" si="443"/>
        <v>0</v>
      </c>
      <c r="BK275" s="420">
        <f t="shared" si="444"/>
        <v>0</v>
      </c>
      <c r="BL275" s="772">
        <f t="shared" si="447"/>
        <v>653573</v>
      </c>
      <c r="BM275" s="417">
        <f t="shared" si="448"/>
        <v>484847</v>
      </c>
      <c r="BN275" s="417">
        <f t="shared" si="449"/>
        <v>484847</v>
      </c>
      <c r="BO275" s="417">
        <f t="shared" si="449"/>
        <v>0</v>
      </c>
      <c r="BP275" s="417">
        <f t="shared" si="450"/>
        <v>0</v>
      </c>
      <c r="BQ275" s="417">
        <f t="shared" si="451"/>
        <v>0</v>
      </c>
      <c r="BR275" s="417">
        <f t="shared" si="451"/>
        <v>0</v>
      </c>
      <c r="BS275" s="417">
        <f t="shared" si="452"/>
        <v>163878</v>
      </c>
      <c r="BT275" s="417">
        <f t="shared" si="452"/>
        <v>4848</v>
      </c>
      <c r="BU275" s="417">
        <f t="shared" si="453"/>
        <v>0</v>
      </c>
      <c r="BV275" s="418">
        <f t="shared" si="454"/>
        <v>0.92859999999999998</v>
      </c>
      <c r="BW275" s="418">
        <f t="shared" si="455"/>
        <v>0.92859999999999998</v>
      </c>
      <c r="BX275" s="420">
        <f t="shared" si="455"/>
        <v>0</v>
      </c>
      <c r="BY275" s="419"/>
      <c r="BZ275" s="414"/>
      <c r="CA275" s="414"/>
      <c r="CB275" s="414"/>
      <c r="CC275" s="414"/>
      <c r="CD275" s="509"/>
      <c r="CE275" s="419"/>
      <c r="CF275" s="414"/>
      <c r="CG275" s="414"/>
      <c r="CH275" s="414"/>
      <c r="CI275" s="414"/>
      <c r="CJ275" s="509"/>
    </row>
    <row r="276" spans="1:88" s="221" customFormat="1" ht="12.75" customHeight="1">
      <c r="A276" s="209">
        <v>50</v>
      </c>
      <c r="B276" s="210">
        <v>4491</v>
      </c>
      <c r="C276" s="210">
        <v>650050517</v>
      </c>
      <c r="D276" s="210">
        <v>72742437</v>
      </c>
      <c r="E276" s="208" t="s">
        <v>236</v>
      </c>
      <c r="F276" s="210">
        <v>3143</v>
      </c>
      <c r="G276" s="165" t="s">
        <v>596</v>
      </c>
      <c r="H276" s="609" t="s">
        <v>272</v>
      </c>
      <c r="I276" s="510">
        <v>23052</v>
      </c>
      <c r="J276" s="414">
        <v>16500</v>
      </c>
      <c r="K276" s="414">
        <v>0</v>
      </c>
      <c r="L276" s="414">
        <v>16500</v>
      </c>
      <c r="M276" s="414">
        <v>0</v>
      </c>
      <c r="N276" s="414">
        <v>0</v>
      </c>
      <c r="O276" s="414">
        <v>0</v>
      </c>
      <c r="P276" s="68">
        <v>5577</v>
      </c>
      <c r="Q276" s="68">
        <v>165</v>
      </c>
      <c r="R276" s="414">
        <v>810</v>
      </c>
      <c r="S276" s="415">
        <v>0.06</v>
      </c>
      <c r="T276" s="416">
        <v>0</v>
      </c>
      <c r="U276" s="422">
        <v>0.06</v>
      </c>
      <c r="V276" s="423">
        <f t="shared" si="427"/>
        <v>0</v>
      </c>
      <c r="W276" s="417">
        <f t="shared" si="428"/>
        <v>0</v>
      </c>
      <c r="X276" s="417">
        <v>0</v>
      </c>
      <c r="Y276" s="417">
        <v>0</v>
      </c>
      <c r="Z276" s="417">
        <v>0</v>
      </c>
      <c r="AA276" s="417">
        <v>0</v>
      </c>
      <c r="AB276" s="417">
        <v>0</v>
      </c>
      <c r="AC276" s="417">
        <v>0</v>
      </c>
      <c r="AD276" s="417">
        <v>0</v>
      </c>
      <c r="AE276" s="417">
        <f t="shared" si="429"/>
        <v>0</v>
      </c>
      <c r="AF276" s="417">
        <f t="shared" si="430"/>
        <v>0</v>
      </c>
      <c r="AG276" s="417">
        <f t="shared" si="431"/>
        <v>0</v>
      </c>
      <c r="AH276" s="417">
        <v>0</v>
      </c>
      <c r="AI276" s="417">
        <v>0</v>
      </c>
      <c r="AJ276" s="417">
        <v>0</v>
      </c>
      <c r="AK276" s="417">
        <v>0</v>
      </c>
      <c r="AL276" s="417">
        <v>0</v>
      </c>
      <c r="AM276" s="417">
        <f t="shared" si="432"/>
        <v>0</v>
      </c>
      <c r="AN276" s="417">
        <f t="shared" si="433"/>
        <v>0</v>
      </c>
      <c r="AO276" s="417">
        <f t="shared" si="434"/>
        <v>0</v>
      </c>
      <c r="AP276" s="417">
        <f t="shared" si="435"/>
        <v>0</v>
      </c>
      <c r="AQ276" s="417">
        <f t="shared" si="436"/>
        <v>0</v>
      </c>
      <c r="AR276" s="417">
        <f t="shared" si="437"/>
        <v>0</v>
      </c>
      <c r="AS276" s="68">
        <f t="shared" si="438"/>
        <v>0</v>
      </c>
      <c r="AT276" s="68">
        <f t="shared" si="439"/>
        <v>0</v>
      </c>
      <c r="AU276" s="417">
        <v>0</v>
      </c>
      <c r="AV276" s="417">
        <v>0</v>
      </c>
      <c r="AW276" s="417">
        <v>0</v>
      </c>
      <c r="AX276" s="417">
        <f t="shared" si="440"/>
        <v>0</v>
      </c>
      <c r="AY276" s="417">
        <f t="shared" si="441"/>
        <v>0</v>
      </c>
      <c r="AZ276" s="418">
        <v>0</v>
      </c>
      <c r="BA276" s="418">
        <v>0</v>
      </c>
      <c r="BB276" s="418">
        <v>0</v>
      </c>
      <c r="BC276" s="418">
        <v>0</v>
      </c>
      <c r="BD276" s="418">
        <v>0</v>
      </c>
      <c r="BE276" s="418">
        <v>0</v>
      </c>
      <c r="BF276" s="418">
        <v>0</v>
      </c>
      <c r="BG276" s="418">
        <v>0</v>
      </c>
      <c r="BH276" s="418">
        <v>0</v>
      </c>
      <c r="BI276" s="418">
        <f t="shared" si="442"/>
        <v>0</v>
      </c>
      <c r="BJ276" s="418">
        <f t="shared" si="443"/>
        <v>0</v>
      </c>
      <c r="BK276" s="420">
        <f t="shared" si="444"/>
        <v>0</v>
      </c>
      <c r="BL276" s="772">
        <f t="shared" si="447"/>
        <v>23052</v>
      </c>
      <c r="BM276" s="417">
        <f t="shared" si="448"/>
        <v>16500</v>
      </c>
      <c r="BN276" s="417">
        <f t="shared" si="449"/>
        <v>0</v>
      </c>
      <c r="BO276" s="417">
        <f t="shared" si="449"/>
        <v>16500</v>
      </c>
      <c r="BP276" s="417">
        <f t="shared" si="450"/>
        <v>0</v>
      </c>
      <c r="BQ276" s="417">
        <f t="shared" si="451"/>
        <v>0</v>
      </c>
      <c r="BR276" s="417">
        <f t="shared" si="451"/>
        <v>0</v>
      </c>
      <c r="BS276" s="417">
        <f t="shared" si="452"/>
        <v>5577</v>
      </c>
      <c r="BT276" s="417">
        <f t="shared" si="452"/>
        <v>165</v>
      </c>
      <c r="BU276" s="417">
        <f t="shared" si="453"/>
        <v>810</v>
      </c>
      <c r="BV276" s="418">
        <f t="shared" si="454"/>
        <v>0.06</v>
      </c>
      <c r="BW276" s="418">
        <f t="shared" si="455"/>
        <v>0</v>
      </c>
      <c r="BX276" s="420">
        <f t="shared" si="455"/>
        <v>0.06</v>
      </c>
      <c r="BY276" s="419"/>
      <c r="BZ276" s="414"/>
      <c r="CA276" s="414"/>
      <c r="CB276" s="414"/>
      <c r="CC276" s="414"/>
      <c r="CD276" s="509"/>
      <c r="CE276" s="419"/>
      <c r="CF276" s="601"/>
      <c r="CG276" s="414"/>
      <c r="CH276" s="414"/>
      <c r="CI276" s="602"/>
      <c r="CJ276" s="603"/>
    </row>
    <row r="277" spans="1:88" s="221" customFormat="1" ht="12.75" customHeight="1">
      <c r="A277" s="155">
        <v>50</v>
      </c>
      <c r="B277" s="18">
        <v>4491</v>
      </c>
      <c r="C277" s="18">
        <v>650050517</v>
      </c>
      <c r="D277" s="18">
        <v>72742437</v>
      </c>
      <c r="E277" s="164" t="s">
        <v>237</v>
      </c>
      <c r="F277" s="18"/>
      <c r="G277" s="154"/>
      <c r="H277" s="608"/>
      <c r="I277" s="451">
        <v>6950714</v>
      </c>
      <c r="J277" s="444">
        <v>5097311</v>
      </c>
      <c r="K277" s="444">
        <v>4003358</v>
      </c>
      <c r="L277" s="444">
        <v>1093953</v>
      </c>
      <c r="M277" s="444">
        <v>10000</v>
      </c>
      <c r="N277" s="444">
        <v>10000</v>
      </c>
      <c r="O277" s="444">
        <v>0</v>
      </c>
      <c r="P277" s="444">
        <v>1726272</v>
      </c>
      <c r="Q277" s="444">
        <v>50974</v>
      </c>
      <c r="R277" s="444">
        <v>66157</v>
      </c>
      <c r="S277" s="445">
        <v>9.5190999999999999</v>
      </c>
      <c r="T277" s="445">
        <v>6.3051000000000004</v>
      </c>
      <c r="U277" s="449">
        <v>3.214</v>
      </c>
      <c r="V277" s="447">
        <f t="shared" ref="V277:CG277" si="456">SUM(V271:V276)</f>
        <v>0</v>
      </c>
      <c r="W277" s="444">
        <f t="shared" si="456"/>
        <v>0</v>
      </c>
      <c r="X277" s="444">
        <f t="shared" si="456"/>
        <v>0</v>
      </c>
      <c r="Y277" s="444">
        <f t="shared" si="456"/>
        <v>0</v>
      </c>
      <c r="Z277" s="444">
        <f t="shared" si="456"/>
        <v>0</v>
      </c>
      <c r="AA277" s="444">
        <f t="shared" si="456"/>
        <v>-9348</v>
      </c>
      <c r="AB277" s="444">
        <f t="shared" si="456"/>
        <v>0</v>
      </c>
      <c r="AC277" s="444">
        <f t="shared" si="456"/>
        <v>0</v>
      </c>
      <c r="AD277" s="444">
        <f t="shared" si="456"/>
        <v>0</v>
      </c>
      <c r="AE277" s="444">
        <f t="shared" si="456"/>
        <v>0</v>
      </c>
      <c r="AF277" s="444">
        <f t="shared" si="456"/>
        <v>-9348</v>
      </c>
      <c r="AG277" s="444">
        <f t="shared" si="456"/>
        <v>-9348</v>
      </c>
      <c r="AH277" s="444">
        <f t="shared" si="456"/>
        <v>0</v>
      </c>
      <c r="AI277" s="444">
        <f t="shared" si="456"/>
        <v>0</v>
      </c>
      <c r="AJ277" s="444">
        <f t="shared" si="456"/>
        <v>0</v>
      </c>
      <c r="AK277" s="444">
        <f t="shared" si="456"/>
        <v>0</v>
      </c>
      <c r="AL277" s="444">
        <f t="shared" si="456"/>
        <v>0</v>
      </c>
      <c r="AM277" s="444">
        <f t="shared" si="456"/>
        <v>0</v>
      </c>
      <c r="AN277" s="444">
        <f t="shared" si="456"/>
        <v>0</v>
      </c>
      <c r="AO277" s="444">
        <f t="shared" si="456"/>
        <v>0</v>
      </c>
      <c r="AP277" s="444">
        <f t="shared" si="456"/>
        <v>0</v>
      </c>
      <c r="AQ277" s="444">
        <f t="shared" si="456"/>
        <v>-9348</v>
      </c>
      <c r="AR277" s="444">
        <f t="shared" si="456"/>
        <v>-9348</v>
      </c>
      <c r="AS277" s="444">
        <f t="shared" si="456"/>
        <v>-3160</v>
      </c>
      <c r="AT277" s="444">
        <f t="shared" si="456"/>
        <v>-93</v>
      </c>
      <c r="AU277" s="444">
        <f t="shared" si="456"/>
        <v>0</v>
      </c>
      <c r="AV277" s="444">
        <f t="shared" si="456"/>
        <v>0</v>
      </c>
      <c r="AW277" s="444">
        <f t="shared" si="456"/>
        <v>0</v>
      </c>
      <c r="AX277" s="444">
        <f t="shared" si="456"/>
        <v>0</v>
      </c>
      <c r="AY277" s="444">
        <f t="shared" si="456"/>
        <v>-12601</v>
      </c>
      <c r="AZ277" s="445">
        <f t="shared" si="456"/>
        <v>0.02</v>
      </c>
      <c r="BA277" s="445">
        <f t="shared" si="456"/>
        <v>0</v>
      </c>
      <c r="BB277" s="445">
        <f t="shared" si="456"/>
        <v>0</v>
      </c>
      <c r="BC277" s="445">
        <f t="shared" si="456"/>
        <v>0</v>
      </c>
      <c r="BD277" s="445">
        <f t="shared" si="456"/>
        <v>-0.02</v>
      </c>
      <c r="BE277" s="445">
        <f t="shared" si="456"/>
        <v>0</v>
      </c>
      <c r="BF277" s="445">
        <f t="shared" si="456"/>
        <v>0</v>
      </c>
      <c r="BG277" s="445">
        <f t="shared" si="456"/>
        <v>0</v>
      </c>
      <c r="BH277" s="445">
        <f t="shared" si="456"/>
        <v>0</v>
      </c>
      <c r="BI277" s="445">
        <f t="shared" si="456"/>
        <v>0.02</v>
      </c>
      <c r="BJ277" s="445">
        <f t="shared" si="456"/>
        <v>-0.02</v>
      </c>
      <c r="BK277" s="39">
        <f t="shared" si="456"/>
        <v>0</v>
      </c>
      <c r="BL277" s="451">
        <f t="shared" si="456"/>
        <v>6938113</v>
      </c>
      <c r="BM277" s="444">
        <f t="shared" si="456"/>
        <v>5087963</v>
      </c>
      <c r="BN277" s="444">
        <f t="shared" si="456"/>
        <v>4003358</v>
      </c>
      <c r="BO277" s="444">
        <f t="shared" si="456"/>
        <v>1084605</v>
      </c>
      <c r="BP277" s="444">
        <f t="shared" si="456"/>
        <v>10000</v>
      </c>
      <c r="BQ277" s="444">
        <f t="shared" si="456"/>
        <v>10000</v>
      </c>
      <c r="BR277" s="444">
        <f t="shared" si="456"/>
        <v>0</v>
      </c>
      <c r="BS277" s="444">
        <f t="shared" si="456"/>
        <v>1723112</v>
      </c>
      <c r="BT277" s="444">
        <f t="shared" si="456"/>
        <v>50881</v>
      </c>
      <c r="BU277" s="444">
        <f t="shared" si="456"/>
        <v>66157</v>
      </c>
      <c r="BV277" s="445">
        <f t="shared" si="456"/>
        <v>9.5190999999999981</v>
      </c>
      <c r="BW277" s="445">
        <f t="shared" si="456"/>
        <v>6.3250999999999999</v>
      </c>
      <c r="BX277" s="39">
        <f t="shared" si="456"/>
        <v>3.1939999999999995</v>
      </c>
      <c r="BY277" s="806">
        <f t="shared" si="456"/>
        <v>0</v>
      </c>
      <c r="BZ277" s="709">
        <f t="shared" si="456"/>
        <v>0</v>
      </c>
      <c r="CA277" s="709">
        <f t="shared" si="456"/>
        <v>0</v>
      </c>
      <c r="CB277" s="709">
        <f t="shared" si="456"/>
        <v>0</v>
      </c>
      <c r="CC277" s="709">
        <f t="shared" si="456"/>
        <v>0</v>
      </c>
      <c r="CD277" s="807">
        <f t="shared" si="456"/>
        <v>0</v>
      </c>
      <c r="CE277" s="919">
        <f t="shared" si="456"/>
        <v>229065</v>
      </c>
      <c r="CF277" s="920">
        <f t="shared" si="456"/>
        <v>161727</v>
      </c>
      <c r="CG277" s="920">
        <f t="shared" si="456"/>
        <v>54664</v>
      </c>
      <c r="CH277" s="920">
        <f t="shared" ref="CH277:CJ277" si="457">SUM(CH271:CH276)</f>
        <v>1617</v>
      </c>
      <c r="CI277" s="920">
        <f t="shared" si="457"/>
        <v>11057</v>
      </c>
      <c r="CJ277" s="921">
        <f t="shared" si="457"/>
        <v>0.46030000000000004</v>
      </c>
    </row>
    <row r="278" spans="1:88" s="221" customFormat="1" ht="12.75" customHeight="1">
      <c r="A278" s="209">
        <v>51</v>
      </c>
      <c r="B278" s="210">
        <v>4465</v>
      </c>
      <c r="C278" s="210">
        <v>600074757</v>
      </c>
      <c r="D278" s="210">
        <v>46750428</v>
      </c>
      <c r="E278" s="208" t="s">
        <v>238</v>
      </c>
      <c r="F278" s="210">
        <v>3111</v>
      </c>
      <c r="G278" s="165" t="s">
        <v>290</v>
      </c>
      <c r="H278" s="621" t="s">
        <v>271</v>
      </c>
      <c r="I278" s="510">
        <v>8437445</v>
      </c>
      <c r="J278" s="414">
        <v>6224736</v>
      </c>
      <c r="K278" s="414">
        <v>5734646</v>
      </c>
      <c r="L278" s="414">
        <v>490090</v>
      </c>
      <c r="M278" s="414">
        <v>0</v>
      </c>
      <c r="N278" s="414">
        <v>0</v>
      </c>
      <c r="O278" s="414">
        <v>0</v>
      </c>
      <c r="P278" s="68">
        <v>2103961</v>
      </c>
      <c r="Q278" s="68">
        <v>62248</v>
      </c>
      <c r="R278" s="414">
        <v>46500</v>
      </c>
      <c r="S278" s="415">
        <v>11.915100000000001</v>
      </c>
      <c r="T278" s="416">
        <v>9.9515999999999991</v>
      </c>
      <c r="U278" s="422">
        <v>1.9634999999999998</v>
      </c>
      <c r="V278" s="423">
        <f t="shared" si="427"/>
        <v>0</v>
      </c>
      <c r="W278" s="417">
        <f t="shared" si="428"/>
        <v>0</v>
      </c>
      <c r="X278" s="417">
        <v>0</v>
      </c>
      <c r="Y278" s="417">
        <v>0</v>
      </c>
      <c r="Z278" s="417">
        <v>0</v>
      </c>
      <c r="AA278" s="417">
        <v>0</v>
      </c>
      <c r="AB278" s="417">
        <v>0</v>
      </c>
      <c r="AC278" s="417">
        <v>0</v>
      </c>
      <c r="AD278" s="417">
        <v>0</v>
      </c>
      <c r="AE278" s="417">
        <f t="shared" si="429"/>
        <v>0</v>
      </c>
      <c r="AF278" s="417">
        <f t="shared" si="430"/>
        <v>0</v>
      </c>
      <c r="AG278" s="417">
        <f t="shared" si="431"/>
        <v>0</v>
      </c>
      <c r="AH278" s="417">
        <v>0</v>
      </c>
      <c r="AI278" s="417">
        <v>0</v>
      </c>
      <c r="AJ278" s="417">
        <v>0</v>
      </c>
      <c r="AK278" s="417">
        <v>0</v>
      </c>
      <c r="AL278" s="417">
        <v>0</v>
      </c>
      <c r="AM278" s="417">
        <f t="shared" si="432"/>
        <v>0</v>
      </c>
      <c r="AN278" s="417">
        <f t="shared" si="433"/>
        <v>0</v>
      </c>
      <c r="AO278" s="417">
        <f t="shared" si="434"/>
        <v>0</v>
      </c>
      <c r="AP278" s="417">
        <f t="shared" si="435"/>
        <v>0</v>
      </c>
      <c r="AQ278" s="417">
        <f t="shared" si="436"/>
        <v>0</v>
      </c>
      <c r="AR278" s="417">
        <f t="shared" si="437"/>
        <v>0</v>
      </c>
      <c r="AS278" s="68">
        <f t="shared" si="438"/>
        <v>0</v>
      </c>
      <c r="AT278" s="68">
        <f t="shared" si="439"/>
        <v>0</v>
      </c>
      <c r="AU278" s="417">
        <v>0</v>
      </c>
      <c r="AV278" s="417">
        <v>0</v>
      </c>
      <c r="AW278" s="417">
        <v>0</v>
      </c>
      <c r="AX278" s="417">
        <f t="shared" si="440"/>
        <v>0</v>
      </c>
      <c r="AY278" s="417">
        <f t="shared" si="441"/>
        <v>0</v>
      </c>
      <c r="AZ278" s="418">
        <v>0</v>
      </c>
      <c r="BA278" s="418">
        <v>0</v>
      </c>
      <c r="BB278" s="418">
        <v>0</v>
      </c>
      <c r="BC278" s="418">
        <v>0</v>
      </c>
      <c r="BD278" s="418">
        <v>0</v>
      </c>
      <c r="BE278" s="418">
        <v>0</v>
      </c>
      <c r="BF278" s="418">
        <v>0</v>
      </c>
      <c r="BG278" s="418">
        <v>0</v>
      </c>
      <c r="BH278" s="418">
        <v>0</v>
      </c>
      <c r="BI278" s="418">
        <f t="shared" si="442"/>
        <v>0</v>
      </c>
      <c r="BJ278" s="418">
        <f t="shared" si="443"/>
        <v>0</v>
      </c>
      <c r="BK278" s="420">
        <f t="shared" si="444"/>
        <v>0</v>
      </c>
      <c r="BL278" s="772">
        <f t="shared" ref="BL278:BL283" si="458">I278+AY278</f>
        <v>8437445</v>
      </c>
      <c r="BM278" s="417">
        <f t="shared" ref="BM278:BM283" si="459">J278+AG278</f>
        <v>6224736</v>
      </c>
      <c r="BN278" s="417">
        <f t="shared" ref="BN278:BO283" si="460">K278+AE278</f>
        <v>5734646</v>
      </c>
      <c r="BO278" s="417">
        <f t="shared" si="460"/>
        <v>490090</v>
      </c>
      <c r="BP278" s="417">
        <f t="shared" ref="BP278:BP283" si="461">M278+AO278</f>
        <v>0</v>
      </c>
      <c r="BQ278" s="417">
        <f t="shared" ref="BQ278:BR283" si="462">N278+AM278</f>
        <v>0</v>
      </c>
      <c r="BR278" s="417">
        <f t="shared" si="462"/>
        <v>0</v>
      </c>
      <c r="BS278" s="417">
        <f t="shared" ref="BS278:BT283" si="463">P278+AS278</f>
        <v>2103961</v>
      </c>
      <c r="BT278" s="417">
        <f t="shared" si="463"/>
        <v>62248</v>
      </c>
      <c r="BU278" s="417">
        <f t="shared" ref="BU278:BU283" si="464">R278+AX278</f>
        <v>46500</v>
      </c>
      <c r="BV278" s="418">
        <f t="shared" ref="BV278:BV283" si="465">S278+BK278</f>
        <v>11.915100000000001</v>
      </c>
      <c r="BW278" s="418">
        <f t="shared" ref="BW278:BX283" si="466">T278+BI278</f>
        <v>9.9515999999999991</v>
      </c>
      <c r="BX278" s="420">
        <f t="shared" si="466"/>
        <v>1.9634999999999998</v>
      </c>
      <c r="BY278" s="419"/>
      <c r="BZ278" s="414"/>
      <c r="CA278" s="414"/>
      <c r="CB278" s="414"/>
      <c r="CC278" s="414"/>
      <c r="CD278" s="509"/>
      <c r="CE278" s="419">
        <v>227439</v>
      </c>
      <c r="CF278" s="414">
        <v>157250</v>
      </c>
      <c r="CG278" s="414">
        <v>53151</v>
      </c>
      <c r="CH278" s="414">
        <v>1573</v>
      </c>
      <c r="CI278" s="414">
        <v>15465</v>
      </c>
      <c r="CJ278" s="509">
        <v>0.63</v>
      </c>
    </row>
    <row r="279" spans="1:88" s="221" customFormat="1" ht="12.75" customHeight="1">
      <c r="A279" s="209">
        <v>51</v>
      </c>
      <c r="B279" s="210">
        <v>4465</v>
      </c>
      <c r="C279" s="210">
        <v>600074757</v>
      </c>
      <c r="D279" s="210">
        <v>46750428</v>
      </c>
      <c r="E279" s="208" t="s">
        <v>238</v>
      </c>
      <c r="F279" s="210">
        <v>3113</v>
      </c>
      <c r="G279" s="165" t="s">
        <v>293</v>
      </c>
      <c r="H279" s="621" t="s">
        <v>271</v>
      </c>
      <c r="I279" s="510">
        <v>26968666</v>
      </c>
      <c r="J279" s="414">
        <v>19563346</v>
      </c>
      <c r="K279" s="414">
        <v>17273653</v>
      </c>
      <c r="L279" s="414">
        <v>2289693</v>
      </c>
      <c r="M279" s="414">
        <v>100000</v>
      </c>
      <c r="N279" s="414">
        <v>100000</v>
      </c>
      <c r="O279" s="414">
        <v>0</v>
      </c>
      <c r="P279" s="68">
        <v>6646212</v>
      </c>
      <c r="Q279" s="68">
        <v>195633</v>
      </c>
      <c r="R279" s="414">
        <v>463475</v>
      </c>
      <c r="S279" s="415">
        <v>31.396100000000004</v>
      </c>
      <c r="T279" s="416">
        <v>24.602700000000002</v>
      </c>
      <c r="U279" s="422">
        <v>6.7934000000000001</v>
      </c>
      <c r="V279" s="423">
        <f t="shared" si="427"/>
        <v>-25220</v>
      </c>
      <c r="W279" s="417">
        <f t="shared" si="428"/>
        <v>0</v>
      </c>
      <c r="X279" s="417">
        <v>0</v>
      </c>
      <c r="Y279" s="417">
        <v>0</v>
      </c>
      <c r="Z279" s="417">
        <v>0</v>
      </c>
      <c r="AA279" s="417">
        <v>0</v>
      </c>
      <c r="AB279" s="417">
        <v>0</v>
      </c>
      <c r="AC279" s="417">
        <v>0</v>
      </c>
      <c r="AD279" s="417">
        <v>0</v>
      </c>
      <c r="AE279" s="417">
        <f t="shared" si="429"/>
        <v>-25220</v>
      </c>
      <c r="AF279" s="417">
        <f t="shared" si="430"/>
        <v>0</v>
      </c>
      <c r="AG279" s="417">
        <f t="shared" si="431"/>
        <v>-25220</v>
      </c>
      <c r="AH279" s="417">
        <v>25220</v>
      </c>
      <c r="AI279" s="417">
        <v>0</v>
      </c>
      <c r="AJ279" s="417">
        <v>0</v>
      </c>
      <c r="AK279" s="417">
        <v>0</v>
      </c>
      <c r="AL279" s="417">
        <v>0</v>
      </c>
      <c r="AM279" s="417">
        <f t="shared" si="432"/>
        <v>25220</v>
      </c>
      <c r="AN279" s="417">
        <f t="shared" si="433"/>
        <v>0</v>
      </c>
      <c r="AO279" s="417">
        <f t="shared" si="434"/>
        <v>25220</v>
      </c>
      <c r="AP279" s="417">
        <f t="shared" si="435"/>
        <v>0</v>
      </c>
      <c r="AQ279" s="417">
        <f t="shared" si="436"/>
        <v>0</v>
      </c>
      <c r="AR279" s="417">
        <f t="shared" si="437"/>
        <v>0</v>
      </c>
      <c r="AS279" s="68">
        <f t="shared" si="438"/>
        <v>0</v>
      </c>
      <c r="AT279" s="68">
        <f t="shared" si="439"/>
        <v>-252</v>
      </c>
      <c r="AU279" s="417">
        <v>0</v>
      </c>
      <c r="AV279" s="417">
        <v>0</v>
      </c>
      <c r="AW279" s="417">
        <v>0</v>
      </c>
      <c r="AX279" s="417">
        <f t="shared" si="440"/>
        <v>0</v>
      </c>
      <c r="AY279" s="417">
        <f t="shared" si="441"/>
        <v>-252</v>
      </c>
      <c r="AZ279" s="418">
        <v>-0.04</v>
      </c>
      <c r="BA279" s="418">
        <v>0</v>
      </c>
      <c r="BB279" s="418">
        <v>0</v>
      </c>
      <c r="BC279" s="418">
        <v>0</v>
      </c>
      <c r="BD279" s="418">
        <v>0</v>
      </c>
      <c r="BE279" s="418">
        <v>0</v>
      </c>
      <c r="BF279" s="418">
        <v>0</v>
      </c>
      <c r="BG279" s="418">
        <v>0</v>
      </c>
      <c r="BH279" s="418">
        <v>0</v>
      </c>
      <c r="BI279" s="418">
        <f t="shared" si="442"/>
        <v>-0.04</v>
      </c>
      <c r="BJ279" s="418">
        <f t="shared" si="443"/>
        <v>0</v>
      </c>
      <c r="BK279" s="420">
        <f t="shared" si="444"/>
        <v>-0.04</v>
      </c>
      <c r="BL279" s="772">
        <f t="shared" si="458"/>
        <v>26968414</v>
      </c>
      <c r="BM279" s="417">
        <f t="shared" si="459"/>
        <v>19538126</v>
      </c>
      <c r="BN279" s="417">
        <f t="shared" si="460"/>
        <v>17248433</v>
      </c>
      <c r="BO279" s="417">
        <f t="shared" si="460"/>
        <v>2289693</v>
      </c>
      <c r="BP279" s="417">
        <f t="shared" si="461"/>
        <v>125220</v>
      </c>
      <c r="BQ279" s="417">
        <f t="shared" si="462"/>
        <v>125220</v>
      </c>
      <c r="BR279" s="417">
        <f t="shared" si="462"/>
        <v>0</v>
      </c>
      <c r="BS279" s="417">
        <f t="shared" si="463"/>
        <v>6646212</v>
      </c>
      <c r="BT279" s="417">
        <f t="shared" si="463"/>
        <v>195381</v>
      </c>
      <c r="BU279" s="417">
        <f t="shared" si="464"/>
        <v>463475</v>
      </c>
      <c r="BV279" s="418">
        <f t="shared" si="465"/>
        <v>31.356100000000005</v>
      </c>
      <c r="BW279" s="418">
        <f t="shared" si="466"/>
        <v>24.562700000000003</v>
      </c>
      <c r="BX279" s="420">
        <f t="shared" si="466"/>
        <v>6.7934000000000001</v>
      </c>
      <c r="BY279" s="419"/>
      <c r="BZ279" s="414"/>
      <c r="CA279" s="414"/>
      <c r="CB279" s="414"/>
      <c r="CC279" s="414"/>
      <c r="CD279" s="509"/>
      <c r="CE279" s="414">
        <v>1101790</v>
      </c>
      <c r="CF279" s="414">
        <v>734943</v>
      </c>
      <c r="CG279" s="414">
        <v>248410</v>
      </c>
      <c r="CH279" s="414">
        <v>7349</v>
      </c>
      <c r="CI279" s="414">
        <v>111088</v>
      </c>
      <c r="CJ279" s="509">
        <v>2.1806999999999999</v>
      </c>
    </row>
    <row r="280" spans="1:88" s="221" customFormat="1" ht="12.75" customHeight="1">
      <c r="A280" s="209">
        <v>51</v>
      </c>
      <c r="B280" s="210">
        <v>4465</v>
      </c>
      <c r="C280" s="210">
        <v>600074757</v>
      </c>
      <c r="D280" s="210">
        <v>46750428</v>
      </c>
      <c r="E280" s="208" t="s">
        <v>238</v>
      </c>
      <c r="F280" s="210">
        <v>3113</v>
      </c>
      <c r="G280" s="165" t="s">
        <v>291</v>
      </c>
      <c r="H280" s="621" t="s">
        <v>272</v>
      </c>
      <c r="I280" s="510">
        <v>2073925</v>
      </c>
      <c r="J280" s="414">
        <v>1531287</v>
      </c>
      <c r="K280" s="414">
        <v>1531287</v>
      </c>
      <c r="L280" s="414">
        <v>0</v>
      </c>
      <c r="M280" s="414">
        <v>0</v>
      </c>
      <c r="N280" s="414">
        <v>0</v>
      </c>
      <c r="O280" s="414">
        <v>0</v>
      </c>
      <c r="P280" s="68">
        <v>517575</v>
      </c>
      <c r="Q280" s="68">
        <v>15313</v>
      </c>
      <c r="R280" s="414">
        <v>9750</v>
      </c>
      <c r="S280" s="415">
        <v>4.13</v>
      </c>
      <c r="T280" s="416">
        <v>4.13</v>
      </c>
      <c r="U280" s="422">
        <v>0</v>
      </c>
      <c r="V280" s="423">
        <f t="shared" si="427"/>
        <v>0</v>
      </c>
      <c r="W280" s="417">
        <f t="shared" si="428"/>
        <v>0</v>
      </c>
      <c r="X280" s="417">
        <v>0</v>
      </c>
      <c r="Y280" s="417">
        <v>0</v>
      </c>
      <c r="Z280" s="417">
        <v>0</v>
      </c>
      <c r="AA280" s="417">
        <v>0</v>
      </c>
      <c r="AB280" s="417">
        <v>0</v>
      </c>
      <c r="AC280" s="417">
        <v>0</v>
      </c>
      <c r="AD280" s="417">
        <v>0</v>
      </c>
      <c r="AE280" s="417">
        <f t="shared" si="429"/>
        <v>0</v>
      </c>
      <c r="AF280" s="417">
        <f t="shared" si="430"/>
        <v>0</v>
      </c>
      <c r="AG280" s="417">
        <f t="shared" si="431"/>
        <v>0</v>
      </c>
      <c r="AH280" s="417">
        <v>0</v>
      </c>
      <c r="AI280" s="417">
        <v>0</v>
      </c>
      <c r="AJ280" s="417">
        <v>0</v>
      </c>
      <c r="AK280" s="417">
        <v>0</v>
      </c>
      <c r="AL280" s="417">
        <v>0</v>
      </c>
      <c r="AM280" s="417">
        <f t="shared" si="432"/>
        <v>0</v>
      </c>
      <c r="AN280" s="417">
        <f t="shared" si="433"/>
        <v>0</v>
      </c>
      <c r="AO280" s="417">
        <f t="shared" si="434"/>
        <v>0</v>
      </c>
      <c r="AP280" s="417">
        <f t="shared" si="435"/>
        <v>0</v>
      </c>
      <c r="AQ280" s="417">
        <f t="shared" si="436"/>
        <v>0</v>
      </c>
      <c r="AR280" s="417">
        <f t="shared" si="437"/>
        <v>0</v>
      </c>
      <c r="AS280" s="68">
        <f t="shared" si="438"/>
        <v>0</v>
      </c>
      <c r="AT280" s="68">
        <f t="shared" si="439"/>
        <v>0</v>
      </c>
      <c r="AU280" s="417">
        <v>0</v>
      </c>
      <c r="AV280" s="417">
        <v>0</v>
      </c>
      <c r="AW280" s="417">
        <v>0</v>
      </c>
      <c r="AX280" s="417">
        <f t="shared" si="440"/>
        <v>0</v>
      </c>
      <c r="AY280" s="417">
        <f t="shared" si="441"/>
        <v>0</v>
      </c>
      <c r="AZ280" s="418">
        <v>0</v>
      </c>
      <c r="BA280" s="418">
        <v>0</v>
      </c>
      <c r="BB280" s="418">
        <v>0</v>
      </c>
      <c r="BC280" s="418">
        <v>0</v>
      </c>
      <c r="BD280" s="418">
        <v>0</v>
      </c>
      <c r="BE280" s="418">
        <v>0</v>
      </c>
      <c r="BF280" s="418">
        <v>0</v>
      </c>
      <c r="BG280" s="418">
        <v>0</v>
      </c>
      <c r="BH280" s="418">
        <v>0</v>
      </c>
      <c r="BI280" s="418">
        <f t="shared" si="442"/>
        <v>0</v>
      </c>
      <c r="BJ280" s="418">
        <f t="shared" si="443"/>
        <v>0</v>
      </c>
      <c r="BK280" s="420">
        <f t="shared" si="444"/>
        <v>0</v>
      </c>
      <c r="BL280" s="772">
        <f t="shared" si="458"/>
        <v>2073925</v>
      </c>
      <c r="BM280" s="417">
        <f t="shared" si="459"/>
        <v>1531287</v>
      </c>
      <c r="BN280" s="417">
        <f t="shared" si="460"/>
        <v>1531287</v>
      </c>
      <c r="BO280" s="417">
        <f t="shared" si="460"/>
        <v>0</v>
      </c>
      <c r="BP280" s="417">
        <f t="shared" si="461"/>
        <v>0</v>
      </c>
      <c r="BQ280" s="417">
        <f t="shared" si="462"/>
        <v>0</v>
      </c>
      <c r="BR280" s="417">
        <f t="shared" si="462"/>
        <v>0</v>
      </c>
      <c r="BS280" s="417">
        <f t="shared" si="463"/>
        <v>517575</v>
      </c>
      <c r="BT280" s="417">
        <f t="shared" si="463"/>
        <v>15313</v>
      </c>
      <c r="BU280" s="417">
        <f t="shared" si="464"/>
        <v>9750</v>
      </c>
      <c r="BV280" s="418">
        <f t="shared" si="465"/>
        <v>4.13</v>
      </c>
      <c r="BW280" s="418">
        <f t="shared" si="466"/>
        <v>4.13</v>
      </c>
      <c r="BX280" s="420">
        <f t="shared" si="466"/>
        <v>0</v>
      </c>
      <c r="BY280" s="419"/>
      <c r="BZ280" s="414"/>
      <c r="CA280" s="414"/>
      <c r="CB280" s="414"/>
      <c r="CC280" s="414"/>
      <c r="CD280" s="509"/>
      <c r="CE280" s="419"/>
      <c r="CF280" s="414"/>
      <c r="CG280" s="414"/>
      <c r="CH280" s="414"/>
      <c r="CI280" s="414"/>
      <c r="CJ280" s="509"/>
    </row>
    <row r="281" spans="1:88" s="221" customFormat="1" ht="12.75" customHeight="1">
      <c r="A281" s="209">
        <v>51</v>
      </c>
      <c r="B281" s="210">
        <v>4465</v>
      </c>
      <c r="C281" s="210">
        <v>600074757</v>
      </c>
      <c r="D281" s="210">
        <v>46750428</v>
      </c>
      <c r="E281" s="208" t="s">
        <v>238</v>
      </c>
      <c r="F281" s="210">
        <v>3141</v>
      </c>
      <c r="G281" s="165" t="s">
        <v>294</v>
      </c>
      <c r="H281" s="621" t="s">
        <v>272</v>
      </c>
      <c r="I281" s="510">
        <v>3460823</v>
      </c>
      <c r="J281" s="414">
        <v>2551830</v>
      </c>
      <c r="K281" s="414">
        <v>0</v>
      </c>
      <c r="L281" s="414">
        <v>2551830</v>
      </c>
      <c r="M281" s="414">
        <v>0</v>
      </c>
      <c r="N281" s="414">
        <v>0</v>
      </c>
      <c r="O281" s="414">
        <v>0</v>
      </c>
      <c r="P281" s="68">
        <v>862519</v>
      </c>
      <c r="Q281" s="68">
        <v>25518</v>
      </c>
      <c r="R281" s="414">
        <v>20956</v>
      </c>
      <c r="S281" s="415">
        <v>7.6499999999999995</v>
      </c>
      <c r="T281" s="416">
        <v>0</v>
      </c>
      <c r="U281" s="422">
        <v>7.6499999999999995</v>
      </c>
      <c r="V281" s="423">
        <f t="shared" si="427"/>
        <v>0</v>
      </c>
      <c r="W281" s="417">
        <f t="shared" si="428"/>
        <v>-29400</v>
      </c>
      <c r="X281" s="417">
        <v>0</v>
      </c>
      <c r="Y281" s="417">
        <v>0</v>
      </c>
      <c r="Z281" s="417">
        <v>0</v>
      </c>
      <c r="AA281" s="417">
        <v>7280</v>
      </c>
      <c r="AB281" s="417">
        <v>0</v>
      </c>
      <c r="AC281" s="417">
        <v>0</v>
      </c>
      <c r="AD281" s="417">
        <v>0</v>
      </c>
      <c r="AE281" s="417">
        <f t="shared" si="429"/>
        <v>0</v>
      </c>
      <c r="AF281" s="417">
        <f t="shared" si="430"/>
        <v>-22120</v>
      </c>
      <c r="AG281" s="417">
        <f t="shared" si="431"/>
        <v>-22120</v>
      </c>
      <c r="AH281" s="417">
        <v>0</v>
      </c>
      <c r="AI281" s="417">
        <v>29400</v>
      </c>
      <c r="AJ281" s="417">
        <v>0</v>
      </c>
      <c r="AK281" s="417">
        <v>0</v>
      </c>
      <c r="AL281" s="417">
        <v>0</v>
      </c>
      <c r="AM281" s="417">
        <f t="shared" si="432"/>
        <v>0</v>
      </c>
      <c r="AN281" s="417">
        <f t="shared" si="433"/>
        <v>29400</v>
      </c>
      <c r="AO281" s="417">
        <f t="shared" si="434"/>
        <v>29400</v>
      </c>
      <c r="AP281" s="417">
        <f t="shared" si="435"/>
        <v>0</v>
      </c>
      <c r="AQ281" s="417">
        <f t="shared" si="436"/>
        <v>7280</v>
      </c>
      <c r="AR281" s="417">
        <f t="shared" si="437"/>
        <v>7280</v>
      </c>
      <c r="AS281" s="68">
        <f t="shared" si="438"/>
        <v>2461</v>
      </c>
      <c r="AT281" s="68">
        <f t="shared" si="439"/>
        <v>-221</v>
      </c>
      <c r="AU281" s="417">
        <v>0</v>
      </c>
      <c r="AV281" s="417">
        <v>0</v>
      </c>
      <c r="AW281" s="417">
        <v>0</v>
      </c>
      <c r="AX281" s="417">
        <f t="shared" si="440"/>
        <v>0</v>
      </c>
      <c r="AY281" s="417">
        <f t="shared" si="441"/>
        <v>9520</v>
      </c>
      <c r="AZ281" s="418">
        <v>0</v>
      </c>
      <c r="BA281" s="418">
        <v>0</v>
      </c>
      <c r="BB281" s="418">
        <v>0</v>
      </c>
      <c r="BC281" s="418">
        <v>0</v>
      </c>
      <c r="BD281" s="418">
        <v>0.02</v>
      </c>
      <c r="BE281" s="418">
        <v>0</v>
      </c>
      <c r="BF281" s="418">
        <v>0</v>
      </c>
      <c r="BG281" s="418">
        <v>0</v>
      </c>
      <c r="BH281" s="418">
        <v>0</v>
      </c>
      <c r="BI281" s="418">
        <f t="shared" si="442"/>
        <v>0</v>
      </c>
      <c r="BJ281" s="418">
        <f t="shared" si="443"/>
        <v>0.02</v>
      </c>
      <c r="BK281" s="420">
        <f t="shared" si="444"/>
        <v>0.02</v>
      </c>
      <c r="BL281" s="772">
        <f t="shared" si="458"/>
        <v>3470343</v>
      </c>
      <c r="BM281" s="417">
        <f t="shared" si="459"/>
        <v>2529710</v>
      </c>
      <c r="BN281" s="417">
        <f t="shared" si="460"/>
        <v>0</v>
      </c>
      <c r="BO281" s="417">
        <f t="shared" si="460"/>
        <v>2529710</v>
      </c>
      <c r="BP281" s="417">
        <f t="shared" si="461"/>
        <v>29400</v>
      </c>
      <c r="BQ281" s="417">
        <f t="shared" si="462"/>
        <v>0</v>
      </c>
      <c r="BR281" s="417">
        <f t="shared" si="462"/>
        <v>29400</v>
      </c>
      <c r="BS281" s="417">
        <f t="shared" si="463"/>
        <v>864980</v>
      </c>
      <c r="BT281" s="417">
        <f t="shared" si="463"/>
        <v>25297</v>
      </c>
      <c r="BU281" s="417">
        <f t="shared" si="464"/>
        <v>20956</v>
      </c>
      <c r="BV281" s="418">
        <f t="shared" si="465"/>
        <v>7.669999999999999</v>
      </c>
      <c r="BW281" s="418">
        <f t="shared" si="466"/>
        <v>0</v>
      </c>
      <c r="BX281" s="420">
        <f t="shared" si="466"/>
        <v>7.669999999999999</v>
      </c>
      <c r="BY281" s="419"/>
      <c r="BZ281" s="414"/>
      <c r="CA281" s="414"/>
      <c r="CB281" s="414"/>
      <c r="CC281" s="414"/>
      <c r="CD281" s="509"/>
      <c r="CE281" s="419"/>
      <c r="CF281" s="414"/>
      <c r="CG281" s="414"/>
      <c r="CH281" s="414"/>
      <c r="CI281" s="414"/>
      <c r="CJ281" s="509"/>
    </row>
    <row r="282" spans="1:88" s="221" customFormat="1" ht="12.75" customHeight="1">
      <c r="A282" s="209">
        <v>51</v>
      </c>
      <c r="B282" s="210">
        <v>4465</v>
      </c>
      <c r="C282" s="210">
        <v>600074757</v>
      </c>
      <c r="D282" s="210">
        <v>46750428</v>
      </c>
      <c r="E282" s="208" t="s">
        <v>238</v>
      </c>
      <c r="F282" s="210">
        <v>3143</v>
      </c>
      <c r="G282" s="165" t="s">
        <v>595</v>
      </c>
      <c r="H282" s="609" t="s">
        <v>271</v>
      </c>
      <c r="I282" s="510">
        <v>2429479</v>
      </c>
      <c r="J282" s="414">
        <v>1782433</v>
      </c>
      <c r="K282" s="414">
        <v>1782433</v>
      </c>
      <c r="L282" s="414">
        <v>0</v>
      </c>
      <c r="M282" s="414">
        <v>20000</v>
      </c>
      <c r="N282" s="414">
        <v>20000</v>
      </c>
      <c r="O282" s="414">
        <v>0</v>
      </c>
      <c r="P282" s="68">
        <v>609222</v>
      </c>
      <c r="Q282" s="68">
        <v>17824</v>
      </c>
      <c r="R282" s="414">
        <v>0</v>
      </c>
      <c r="S282" s="415">
        <v>3.5691000000000002</v>
      </c>
      <c r="T282" s="416">
        <v>3.5691000000000002</v>
      </c>
      <c r="U282" s="422">
        <v>0</v>
      </c>
      <c r="V282" s="423">
        <f t="shared" si="427"/>
        <v>8000</v>
      </c>
      <c r="W282" s="417">
        <f t="shared" si="428"/>
        <v>0</v>
      </c>
      <c r="X282" s="417">
        <v>0</v>
      </c>
      <c r="Y282" s="417">
        <v>0</v>
      </c>
      <c r="Z282" s="417">
        <v>0</v>
      </c>
      <c r="AA282" s="417">
        <v>0</v>
      </c>
      <c r="AB282" s="417">
        <v>0</v>
      </c>
      <c r="AC282" s="417">
        <v>0</v>
      </c>
      <c r="AD282" s="417">
        <v>0</v>
      </c>
      <c r="AE282" s="417">
        <f t="shared" si="429"/>
        <v>8000</v>
      </c>
      <c r="AF282" s="417">
        <f t="shared" si="430"/>
        <v>0</v>
      </c>
      <c r="AG282" s="417">
        <f t="shared" si="431"/>
        <v>8000</v>
      </c>
      <c r="AH282" s="417">
        <v>-8000</v>
      </c>
      <c r="AI282" s="417">
        <v>0</v>
      </c>
      <c r="AJ282" s="417">
        <v>0</v>
      </c>
      <c r="AK282" s="417">
        <v>0</v>
      </c>
      <c r="AL282" s="417">
        <v>0</v>
      </c>
      <c r="AM282" s="417">
        <f t="shared" si="432"/>
        <v>-8000</v>
      </c>
      <c r="AN282" s="417">
        <f t="shared" si="433"/>
        <v>0</v>
      </c>
      <c r="AO282" s="417">
        <f t="shared" si="434"/>
        <v>-8000</v>
      </c>
      <c r="AP282" s="417">
        <f t="shared" si="435"/>
        <v>0</v>
      </c>
      <c r="AQ282" s="417">
        <f t="shared" si="436"/>
        <v>0</v>
      </c>
      <c r="AR282" s="417">
        <f t="shared" si="437"/>
        <v>0</v>
      </c>
      <c r="AS282" s="68">
        <f t="shared" si="438"/>
        <v>0</v>
      </c>
      <c r="AT282" s="68">
        <f t="shared" si="439"/>
        <v>80</v>
      </c>
      <c r="AU282" s="417">
        <v>0</v>
      </c>
      <c r="AV282" s="417">
        <v>0</v>
      </c>
      <c r="AW282" s="417">
        <v>0</v>
      </c>
      <c r="AX282" s="417">
        <f t="shared" si="440"/>
        <v>0</v>
      </c>
      <c r="AY282" s="417">
        <f t="shared" si="441"/>
        <v>80</v>
      </c>
      <c r="AZ282" s="418">
        <v>0</v>
      </c>
      <c r="BA282" s="418">
        <v>0</v>
      </c>
      <c r="BB282" s="418">
        <v>0</v>
      </c>
      <c r="BC282" s="418">
        <v>0</v>
      </c>
      <c r="BD282" s="418">
        <v>0</v>
      </c>
      <c r="BE282" s="418">
        <v>0</v>
      </c>
      <c r="BF282" s="418">
        <v>0</v>
      </c>
      <c r="BG282" s="418">
        <v>0</v>
      </c>
      <c r="BH282" s="418">
        <v>0</v>
      </c>
      <c r="BI282" s="418">
        <f t="shared" si="442"/>
        <v>0</v>
      </c>
      <c r="BJ282" s="418">
        <f t="shared" si="443"/>
        <v>0</v>
      </c>
      <c r="BK282" s="420">
        <f t="shared" si="444"/>
        <v>0</v>
      </c>
      <c r="BL282" s="772">
        <f t="shared" si="458"/>
        <v>2429559</v>
      </c>
      <c r="BM282" s="417">
        <f t="shared" si="459"/>
        <v>1790433</v>
      </c>
      <c r="BN282" s="417">
        <f t="shared" si="460"/>
        <v>1790433</v>
      </c>
      <c r="BO282" s="417">
        <f t="shared" si="460"/>
        <v>0</v>
      </c>
      <c r="BP282" s="417">
        <f t="shared" si="461"/>
        <v>12000</v>
      </c>
      <c r="BQ282" s="417">
        <f t="shared" si="462"/>
        <v>12000</v>
      </c>
      <c r="BR282" s="417">
        <f t="shared" si="462"/>
        <v>0</v>
      </c>
      <c r="BS282" s="417">
        <f t="shared" si="463"/>
        <v>609222</v>
      </c>
      <c r="BT282" s="417">
        <f t="shared" si="463"/>
        <v>17904</v>
      </c>
      <c r="BU282" s="417">
        <f t="shared" si="464"/>
        <v>0</v>
      </c>
      <c r="BV282" s="418">
        <f t="shared" si="465"/>
        <v>3.5691000000000002</v>
      </c>
      <c r="BW282" s="418">
        <f t="shared" si="466"/>
        <v>3.5691000000000002</v>
      </c>
      <c r="BX282" s="420">
        <f t="shared" si="466"/>
        <v>0</v>
      </c>
      <c r="BY282" s="419"/>
      <c r="BZ282" s="414"/>
      <c r="CA282" s="414"/>
      <c r="CB282" s="414"/>
      <c r="CC282" s="414"/>
      <c r="CD282" s="509"/>
      <c r="CE282" s="419"/>
      <c r="CF282" s="414"/>
      <c r="CG282" s="414"/>
      <c r="CH282" s="414"/>
      <c r="CI282" s="414"/>
      <c r="CJ282" s="509"/>
    </row>
    <row r="283" spans="1:88" s="221" customFormat="1" ht="12.75" customHeight="1">
      <c r="A283" s="209">
        <v>51</v>
      </c>
      <c r="B283" s="210">
        <v>4465</v>
      </c>
      <c r="C283" s="210">
        <v>600074757</v>
      </c>
      <c r="D283" s="210">
        <v>46750428</v>
      </c>
      <c r="E283" s="208" t="s">
        <v>238</v>
      </c>
      <c r="F283" s="210">
        <v>3143</v>
      </c>
      <c r="G283" s="165" t="s">
        <v>596</v>
      </c>
      <c r="H283" s="609" t="s">
        <v>272</v>
      </c>
      <c r="I283" s="510">
        <v>86060</v>
      </c>
      <c r="J283" s="414">
        <v>61600</v>
      </c>
      <c r="K283" s="414">
        <v>0</v>
      </c>
      <c r="L283" s="414">
        <v>61600</v>
      </c>
      <c r="M283" s="414">
        <v>0</v>
      </c>
      <c r="N283" s="414">
        <v>0</v>
      </c>
      <c r="O283" s="414">
        <v>0</v>
      </c>
      <c r="P283" s="68">
        <v>20820</v>
      </c>
      <c r="Q283" s="68">
        <v>616</v>
      </c>
      <c r="R283" s="414">
        <v>3024</v>
      </c>
      <c r="S283" s="415">
        <v>0.24</v>
      </c>
      <c r="T283" s="416">
        <v>0</v>
      </c>
      <c r="U283" s="422">
        <v>0.24</v>
      </c>
      <c r="V283" s="423">
        <f t="shared" si="427"/>
        <v>0</v>
      </c>
      <c r="W283" s="417">
        <f t="shared" si="428"/>
        <v>0</v>
      </c>
      <c r="X283" s="417">
        <v>0</v>
      </c>
      <c r="Y283" s="417">
        <v>0</v>
      </c>
      <c r="Z283" s="417">
        <v>0</v>
      </c>
      <c r="AA283" s="417">
        <v>0</v>
      </c>
      <c r="AB283" s="417">
        <v>0</v>
      </c>
      <c r="AC283" s="417">
        <v>0</v>
      </c>
      <c r="AD283" s="417">
        <v>0</v>
      </c>
      <c r="AE283" s="417">
        <f t="shared" si="429"/>
        <v>0</v>
      </c>
      <c r="AF283" s="417">
        <f t="shared" si="430"/>
        <v>0</v>
      </c>
      <c r="AG283" s="417">
        <f t="shared" si="431"/>
        <v>0</v>
      </c>
      <c r="AH283" s="417">
        <v>0</v>
      </c>
      <c r="AI283" s="417">
        <v>0</v>
      </c>
      <c r="AJ283" s="417">
        <v>0</v>
      </c>
      <c r="AK283" s="417">
        <v>0</v>
      </c>
      <c r="AL283" s="417">
        <v>0</v>
      </c>
      <c r="AM283" s="417">
        <f t="shared" si="432"/>
        <v>0</v>
      </c>
      <c r="AN283" s="417">
        <f t="shared" si="433"/>
        <v>0</v>
      </c>
      <c r="AO283" s="417">
        <f t="shared" si="434"/>
        <v>0</v>
      </c>
      <c r="AP283" s="417">
        <f t="shared" si="435"/>
        <v>0</v>
      </c>
      <c r="AQ283" s="417">
        <f t="shared" si="436"/>
        <v>0</v>
      </c>
      <c r="AR283" s="417">
        <f t="shared" si="437"/>
        <v>0</v>
      </c>
      <c r="AS283" s="68">
        <f t="shared" si="438"/>
        <v>0</v>
      </c>
      <c r="AT283" s="68">
        <f t="shared" si="439"/>
        <v>0</v>
      </c>
      <c r="AU283" s="417">
        <v>0</v>
      </c>
      <c r="AV283" s="417">
        <v>0</v>
      </c>
      <c r="AW283" s="417">
        <v>0</v>
      </c>
      <c r="AX283" s="417">
        <f t="shared" si="440"/>
        <v>0</v>
      </c>
      <c r="AY283" s="417">
        <f t="shared" si="441"/>
        <v>0</v>
      </c>
      <c r="AZ283" s="418">
        <v>0</v>
      </c>
      <c r="BA283" s="418">
        <v>0</v>
      </c>
      <c r="BB283" s="418">
        <v>0</v>
      </c>
      <c r="BC283" s="418">
        <v>0</v>
      </c>
      <c r="BD283" s="418">
        <v>0</v>
      </c>
      <c r="BE283" s="418">
        <v>0</v>
      </c>
      <c r="BF283" s="418">
        <v>0</v>
      </c>
      <c r="BG283" s="418">
        <v>0</v>
      </c>
      <c r="BH283" s="418">
        <v>0</v>
      </c>
      <c r="BI283" s="418">
        <f t="shared" si="442"/>
        <v>0</v>
      </c>
      <c r="BJ283" s="418">
        <f t="shared" si="443"/>
        <v>0</v>
      </c>
      <c r="BK283" s="420">
        <f t="shared" si="444"/>
        <v>0</v>
      </c>
      <c r="BL283" s="772">
        <f t="shared" si="458"/>
        <v>86060</v>
      </c>
      <c r="BM283" s="417">
        <f t="shared" si="459"/>
        <v>61600</v>
      </c>
      <c r="BN283" s="417">
        <f t="shared" si="460"/>
        <v>0</v>
      </c>
      <c r="BO283" s="417">
        <f t="shared" si="460"/>
        <v>61600</v>
      </c>
      <c r="BP283" s="417">
        <f t="shared" si="461"/>
        <v>0</v>
      </c>
      <c r="BQ283" s="417">
        <f t="shared" si="462"/>
        <v>0</v>
      </c>
      <c r="BR283" s="417">
        <f t="shared" si="462"/>
        <v>0</v>
      </c>
      <c r="BS283" s="417">
        <f t="shared" si="463"/>
        <v>20820</v>
      </c>
      <c r="BT283" s="417">
        <f t="shared" si="463"/>
        <v>616</v>
      </c>
      <c r="BU283" s="417">
        <f t="shared" si="464"/>
        <v>3024</v>
      </c>
      <c r="BV283" s="418">
        <f t="shared" si="465"/>
        <v>0.24</v>
      </c>
      <c r="BW283" s="418">
        <f t="shared" si="466"/>
        <v>0</v>
      </c>
      <c r="BX283" s="420">
        <f t="shared" si="466"/>
        <v>0.24</v>
      </c>
      <c r="BY283" s="419"/>
      <c r="BZ283" s="414"/>
      <c r="CA283" s="414"/>
      <c r="CB283" s="414"/>
      <c r="CC283" s="414"/>
      <c r="CD283" s="509"/>
      <c r="CE283" s="419"/>
      <c r="CF283" s="601"/>
      <c r="CG283" s="414"/>
      <c r="CH283" s="414"/>
      <c r="CI283" s="602"/>
      <c r="CJ283" s="603"/>
    </row>
    <row r="284" spans="1:88" s="221" customFormat="1" ht="12.75" customHeight="1">
      <c r="A284" s="155">
        <v>51</v>
      </c>
      <c r="B284" s="18">
        <v>4465</v>
      </c>
      <c r="C284" s="18">
        <v>600074757</v>
      </c>
      <c r="D284" s="18">
        <v>46750428</v>
      </c>
      <c r="E284" s="164" t="s">
        <v>239</v>
      </c>
      <c r="F284" s="18"/>
      <c r="G284" s="154"/>
      <c r="H284" s="608"/>
      <c r="I284" s="451">
        <v>43456398</v>
      </c>
      <c r="J284" s="444">
        <v>31715232</v>
      </c>
      <c r="K284" s="444">
        <v>26322019</v>
      </c>
      <c r="L284" s="444">
        <v>5393213</v>
      </c>
      <c r="M284" s="444">
        <v>120000</v>
      </c>
      <c r="N284" s="444">
        <v>120000</v>
      </c>
      <c r="O284" s="444">
        <v>0</v>
      </c>
      <c r="P284" s="444">
        <v>10760309</v>
      </c>
      <c r="Q284" s="444">
        <v>317152</v>
      </c>
      <c r="R284" s="444">
        <v>543705</v>
      </c>
      <c r="S284" s="445">
        <v>58.900300000000009</v>
      </c>
      <c r="T284" s="445">
        <v>42.253399999999999</v>
      </c>
      <c r="U284" s="449">
        <v>16.646899999999999</v>
      </c>
      <c r="V284" s="447">
        <f t="shared" ref="V284:CG284" si="467">SUM(V278:V283)</f>
        <v>-17220</v>
      </c>
      <c r="W284" s="444">
        <f t="shared" si="467"/>
        <v>-29400</v>
      </c>
      <c r="X284" s="444">
        <f t="shared" si="467"/>
        <v>0</v>
      </c>
      <c r="Y284" s="444">
        <f t="shared" si="467"/>
        <v>0</v>
      </c>
      <c r="Z284" s="444">
        <f t="shared" si="467"/>
        <v>0</v>
      </c>
      <c r="AA284" s="444">
        <f t="shared" si="467"/>
        <v>7280</v>
      </c>
      <c r="AB284" s="444">
        <f t="shared" si="467"/>
        <v>0</v>
      </c>
      <c r="AC284" s="444">
        <f t="shared" si="467"/>
        <v>0</v>
      </c>
      <c r="AD284" s="444">
        <f t="shared" si="467"/>
        <v>0</v>
      </c>
      <c r="AE284" s="444">
        <f t="shared" si="467"/>
        <v>-17220</v>
      </c>
      <c r="AF284" s="444">
        <f t="shared" si="467"/>
        <v>-22120</v>
      </c>
      <c r="AG284" s="444">
        <f t="shared" si="467"/>
        <v>-39340</v>
      </c>
      <c r="AH284" s="444">
        <f t="shared" si="467"/>
        <v>17220</v>
      </c>
      <c r="AI284" s="444">
        <f t="shared" si="467"/>
        <v>29400</v>
      </c>
      <c r="AJ284" s="444">
        <f t="shared" si="467"/>
        <v>0</v>
      </c>
      <c r="AK284" s="444">
        <f t="shared" si="467"/>
        <v>0</v>
      </c>
      <c r="AL284" s="444">
        <f t="shared" si="467"/>
        <v>0</v>
      </c>
      <c r="AM284" s="444">
        <f t="shared" si="467"/>
        <v>17220</v>
      </c>
      <c r="AN284" s="444">
        <f t="shared" si="467"/>
        <v>29400</v>
      </c>
      <c r="AO284" s="444">
        <f t="shared" si="467"/>
        <v>46620</v>
      </c>
      <c r="AP284" s="444">
        <f t="shared" si="467"/>
        <v>0</v>
      </c>
      <c r="AQ284" s="444">
        <f t="shared" si="467"/>
        <v>7280</v>
      </c>
      <c r="AR284" s="444">
        <f t="shared" si="467"/>
        <v>7280</v>
      </c>
      <c r="AS284" s="444">
        <f t="shared" si="467"/>
        <v>2461</v>
      </c>
      <c r="AT284" s="444">
        <f t="shared" si="467"/>
        <v>-393</v>
      </c>
      <c r="AU284" s="444">
        <f t="shared" si="467"/>
        <v>0</v>
      </c>
      <c r="AV284" s="444">
        <f t="shared" si="467"/>
        <v>0</v>
      </c>
      <c r="AW284" s="444">
        <f t="shared" si="467"/>
        <v>0</v>
      </c>
      <c r="AX284" s="444">
        <f t="shared" si="467"/>
        <v>0</v>
      </c>
      <c r="AY284" s="444">
        <f t="shared" si="467"/>
        <v>9348</v>
      </c>
      <c r="AZ284" s="445">
        <f t="shared" si="467"/>
        <v>-0.04</v>
      </c>
      <c r="BA284" s="445">
        <f t="shared" si="467"/>
        <v>0</v>
      </c>
      <c r="BB284" s="445">
        <f t="shared" si="467"/>
        <v>0</v>
      </c>
      <c r="BC284" s="445">
        <f t="shared" si="467"/>
        <v>0</v>
      </c>
      <c r="BD284" s="445">
        <f t="shared" si="467"/>
        <v>0.02</v>
      </c>
      <c r="BE284" s="445">
        <f t="shared" si="467"/>
        <v>0</v>
      </c>
      <c r="BF284" s="445">
        <f t="shared" si="467"/>
        <v>0</v>
      </c>
      <c r="BG284" s="445">
        <f t="shared" si="467"/>
        <v>0</v>
      </c>
      <c r="BH284" s="445">
        <f t="shared" si="467"/>
        <v>0</v>
      </c>
      <c r="BI284" s="445">
        <f t="shared" si="467"/>
        <v>-0.04</v>
      </c>
      <c r="BJ284" s="445">
        <f t="shared" si="467"/>
        <v>0.02</v>
      </c>
      <c r="BK284" s="39">
        <f t="shared" si="467"/>
        <v>-0.02</v>
      </c>
      <c r="BL284" s="451">
        <f t="shared" si="467"/>
        <v>43465746</v>
      </c>
      <c r="BM284" s="444">
        <f t="shared" si="467"/>
        <v>31675892</v>
      </c>
      <c r="BN284" s="444">
        <f t="shared" si="467"/>
        <v>26304799</v>
      </c>
      <c r="BO284" s="444">
        <f t="shared" si="467"/>
        <v>5371093</v>
      </c>
      <c r="BP284" s="444">
        <f t="shared" si="467"/>
        <v>166620</v>
      </c>
      <c r="BQ284" s="444">
        <f t="shared" si="467"/>
        <v>137220</v>
      </c>
      <c r="BR284" s="444">
        <f t="shared" si="467"/>
        <v>29400</v>
      </c>
      <c r="BS284" s="444">
        <f t="shared" si="467"/>
        <v>10762770</v>
      </c>
      <c r="BT284" s="444">
        <f t="shared" si="467"/>
        <v>316759</v>
      </c>
      <c r="BU284" s="444">
        <f t="shared" si="467"/>
        <v>543705</v>
      </c>
      <c r="BV284" s="445">
        <f t="shared" si="467"/>
        <v>58.880300000000013</v>
      </c>
      <c r="BW284" s="445">
        <f t="shared" si="467"/>
        <v>42.213400000000007</v>
      </c>
      <c r="BX284" s="39">
        <f t="shared" si="467"/>
        <v>16.666899999999998</v>
      </c>
      <c r="BY284" s="806">
        <f t="shared" si="467"/>
        <v>0</v>
      </c>
      <c r="BZ284" s="709">
        <f t="shared" si="467"/>
        <v>0</v>
      </c>
      <c r="CA284" s="709">
        <f t="shared" si="467"/>
        <v>0</v>
      </c>
      <c r="CB284" s="709">
        <f t="shared" si="467"/>
        <v>0</v>
      </c>
      <c r="CC284" s="709">
        <f t="shared" si="467"/>
        <v>0</v>
      </c>
      <c r="CD284" s="807">
        <f t="shared" si="467"/>
        <v>0</v>
      </c>
      <c r="CE284" s="919">
        <f t="shared" si="467"/>
        <v>1329229</v>
      </c>
      <c r="CF284" s="920">
        <f t="shared" si="467"/>
        <v>892193</v>
      </c>
      <c r="CG284" s="920">
        <f t="shared" si="467"/>
        <v>301561</v>
      </c>
      <c r="CH284" s="920">
        <f t="shared" ref="CH284:CJ284" si="468">SUM(CH278:CH283)</f>
        <v>8922</v>
      </c>
      <c r="CI284" s="920">
        <f t="shared" si="468"/>
        <v>126553</v>
      </c>
      <c r="CJ284" s="921">
        <f t="shared" si="468"/>
        <v>2.8106999999999998</v>
      </c>
    </row>
    <row r="285" spans="1:88" s="221" customFormat="1" ht="12.75" customHeight="1">
      <c r="A285" s="209">
        <v>52</v>
      </c>
      <c r="B285" s="210">
        <v>4466</v>
      </c>
      <c r="C285" s="210">
        <v>650039017</v>
      </c>
      <c r="D285" s="210">
        <v>70982074</v>
      </c>
      <c r="E285" s="208" t="s">
        <v>240</v>
      </c>
      <c r="F285" s="210">
        <v>3111</v>
      </c>
      <c r="G285" s="165" t="s">
        <v>290</v>
      </c>
      <c r="H285" s="621" t="s">
        <v>271</v>
      </c>
      <c r="I285" s="510">
        <v>6069640</v>
      </c>
      <c r="J285" s="414">
        <v>4483116</v>
      </c>
      <c r="K285" s="414">
        <v>4130280</v>
      </c>
      <c r="L285" s="414">
        <v>352836</v>
      </c>
      <c r="M285" s="414">
        <v>0</v>
      </c>
      <c r="N285" s="414">
        <v>0</v>
      </c>
      <c r="O285" s="414">
        <v>0</v>
      </c>
      <c r="P285" s="68">
        <v>1515293</v>
      </c>
      <c r="Q285" s="68">
        <v>44831</v>
      </c>
      <c r="R285" s="414">
        <v>26400</v>
      </c>
      <c r="S285" s="415">
        <v>9.3460999999999999</v>
      </c>
      <c r="T285" s="416">
        <v>7.9325000000000001</v>
      </c>
      <c r="U285" s="422">
        <v>1.4136</v>
      </c>
      <c r="V285" s="423">
        <f t="shared" si="427"/>
        <v>0</v>
      </c>
      <c r="W285" s="417">
        <f t="shared" si="428"/>
        <v>0</v>
      </c>
      <c r="X285" s="417">
        <v>0</v>
      </c>
      <c r="Y285" s="417">
        <v>0</v>
      </c>
      <c r="Z285" s="417">
        <v>0</v>
      </c>
      <c r="AA285" s="417">
        <v>0</v>
      </c>
      <c r="AB285" s="417">
        <v>0</v>
      </c>
      <c r="AC285" s="417">
        <v>0</v>
      </c>
      <c r="AD285" s="417">
        <v>0</v>
      </c>
      <c r="AE285" s="417">
        <f t="shared" si="429"/>
        <v>0</v>
      </c>
      <c r="AF285" s="417">
        <f t="shared" si="430"/>
        <v>0</v>
      </c>
      <c r="AG285" s="417">
        <f t="shared" si="431"/>
        <v>0</v>
      </c>
      <c r="AH285" s="417">
        <v>0</v>
      </c>
      <c r="AI285" s="417">
        <v>0</v>
      </c>
      <c r="AJ285" s="417">
        <v>0</v>
      </c>
      <c r="AK285" s="417">
        <v>0</v>
      </c>
      <c r="AL285" s="417">
        <v>0</v>
      </c>
      <c r="AM285" s="417">
        <f t="shared" si="432"/>
        <v>0</v>
      </c>
      <c r="AN285" s="417">
        <f t="shared" si="433"/>
        <v>0</v>
      </c>
      <c r="AO285" s="417">
        <f t="shared" si="434"/>
        <v>0</v>
      </c>
      <c r="AP285" s="417">
        <f t="shared" si="435"/>
        <v>0</v>
      </c>
      <c r="AQ285" s="417">
        <f t="shared" si="436"/>
        <v>0</v>
      </c>
      <c r="AR285" s="417">
        <f t="shared" si="437"/>
        <v>0</v>
      </c>
      <c r="AS285" s="68">
        <f t="shared" si="438"/>
        <v>0</v>
      </c>
      <c r="AT285" s="68">
        <f t="shared" si="439"/>
        <v>0</v>
      </c>
      <c r="AU285" s="417">
        <v>0</v>
      </c>
      <c r="AV285" s="417">
        <v>0</v>
      </c>
      <c r="AW285" s="417">
        <v>0</v>
      </c>
      <c r="AX285" s="417">
        <f t="shared" si="440"/>
        <v>0</v>
      </c>
      <c r="AY285" s="417">
        <f t="shared" si="441"/>
        <v>0</v>
      </c>
      <c r="AZ285" s="418">
        <v>0</v>
      </c>
      <c r="BA285" s="418">
        <v>0</v>
      </c>
      <c r="BB285" s="418">
        <v>0</v>
      </c>
      <c r="BC285" s="418">
        <v>0</v>
      </c>
      <c r="BD285" s="418">
        <v>0</v>
      </c>
      <c r="BE285" s="418">
        <v>0</v>
      </c>
      <c r="BF285" s="418">
        <v>0</v>
      </c>
      <c r="BG285" s="418">
        <v>0</v>
      </c>
      <c r="BH285" s="418">
        <v>0</v>
      </c>
      <c r="BI285" s="418">
        <f t="shared" si="442"/>
        <v>0</v>
      </c>
      <c r="BJ285" s="418">
        <f t="shared" si="443"/>
        <v>0</v>
      </c>
      <c r="BK285" s="420">
        <f t="shared" si="444"/>
        <v>0</v>
      </c>
      <c r="BL285" s="772">
        <f t="shared" ref="BL285:BL290" si="469">I285+AY285</f>
        <v>6069640</v>
      </c>
      <c r="BM285" s="417">
        <f t="shared" ref="BM285:BM290" si="470">J285+AG285</f>
        <v>4483116</v>
      </c>
      <c r="BN285" s="417">
        <f t="shared" ref="BN285:BO290" si="471">K285+AE285</f>
        <v>4130280</v>
      </c>
      <c r="BO285" s="417">
        <f t="shared" si="471"/>
        <v>352836</v>
      </c>
      <c r="BP285" s="417">
        <f t="shared" ref="BP285:BP290" si="472">M285+AO285</f>
        <v>0</v>
      </c>
      <c r="BQ285" s="417">
        <f t="shared" ref="BQ285:BR290" si="473">N285+AM285</f>
        <v>0</v>
      </c>
      <c r="BR285" s="417">
        <f t="shared" si="473"/>
        <v>0</v>
      </c>
      <c r="BS285" s="417">
        <f t="shared" ref="BS285:BT290" si="474">P285+AS285</f>
        <v>1515293</v>
      </c>
      <c r="BT285" s="417">
        <f t="shared" si="474"/>
        <v>44831</v>
      </c>
      <c r="BU285" s="417">
        <f t="shared" ref="BU285:BU290" si="475">R285+AX285</f>
        <v>26400</v>
      </c>
      <c r="BV285" s="418">
        <f t="shared" ref="BV285:BV290" si="476">S285+BK285</f>
        <v>9.3460999999999999</v>
      </c>
      <c r="BW285" s="418">
        <f t="shared" ref="BW285:BX290" si="477">T285+BI285</f>
        <v>7.9325000000000001</v>
      </c>
      <c r="BX285" s="420">
        <f t="shared" si="477"/>
        <v>1.4136</v>
      </c>
      <c r="BY285" s="419"/>
      <c r="BZ285" s="414"/>
      <c r="CA285" s="414"/>
      <c r="CB285" s="414"/>
      <c r="CC285" s="414"/>
      <c r="CD285" s="509"/>
      <c r="CE285" s="419">
        <v>161398</v>
      </c>
      <c r="CF285" s="414">
        <v>113220</v>
      </c>
      <c r="CG285" s="414">
        <v>38268</v>
      </c>
      <c r="CH285" s="414">
        <v>1132</v>
      </c>
      <c r="CI285" s="414">
        <v>8778</v>
      </c>
      <c r="CJ285" s="509">
        <v>0.4536</v>
      </c>
    </row>
    <row r="286" spans="1:88" s="221" customFormat="1" ht="12.75" customHeight="1">
      <c r="A286" s="209">
        <v>52</v>
      </c>
      <c r="B286" s="210">
        <v>4466</v>
      </c>
      <c r="C286" s="210">
        <v>650039017</v>
      </c>
      <c r="D286" s="210">
        <v>70982074</v>
      </c>
      <c r="E286" s="204" t="s">
        <v>240</v>
      </c>
      <c r="F286" s="210">
        <v>3117</v>
      </c>
      <c r="G286" s="165" t="s">
        <v>293</v>
      </c>
      <c r="H286" s="621" t="s">
        <v>271</v>
      </c>
      <c r="I286" s="510">
        <v>7450741</v>
      </c>
      <c r="J286" s="414">
        <v>5428776</v>
      </c>
      <c r="K286" s="414">
        <v>4423406</v>
      </c>
      <c r="L286" s="414">
        <v>1005370</v>
      </c>
      <c r="M286" s="414">
        <v>0</v>
      </c>
      <c r="N286" s="414">
        <v>0</v>
      </c>
      <c r="O286" s="414">
        <v>0</v>
      </c>
      <c r="P286" s="68">
        <v>1834927</v>
      </c>
      <c r="Q286" s="68">
        <v>54288</v>
      </c>
      <c r="R286" s="414">
        <v>132750</v>
      </c>
      <c r="S286" s="415">
        <v>9.4512999999999998</v>
      </c>
      <c r="T286" s="416">
        <v>6.5453999999999999</v>
      </c>
      <c r="U286" s="422">
        <v>2.9058999999999999</v>
      </c>
      <c r="V286" s="423">
        <f t="shared" si="427"/>
        <v>0</v>
      </c>
      <c r="W286" s="417">
        <f t="shared" si="428"/>
        <v>0</v>
      </c>
      <c r="X286" s="417">
        <v>0</v>
      </c>
      <c r="Y286" s="417">
        <v>0</v>
      </c>
      <c r="Z286" s="417">
        <v>0</v>
      </c>
      <c r="AA286" s="417">
        <v>0</v>
      </c>
      <c r="AB286" s="417">
        <v>0</v>
      </c>
      <c r="AC286" s="417">
        <v>0</v>
      </c>
      <c r="AD286" s="417">
        <v>0</v>
      </c>
      <c r="AE286" s="417">
        <f t="shared" si="429"/>
        <v>0</v>
      </c>
      <c r="AF286" s="417">
        <f t="shared" si="430"/>
        <v>0</v>
      </c>
      <c r="AG286" s="417">
        <f t="shared" si="431"/>
        <v>0</v>
      </c>
      <c r="AH286" s="417">
        <v>0</v>
      </c>
      <c r="AI286" s="417">
        <v>0</v>
      </c>
      <c r="AJ286" s="417">
        <v>0</v>
      </c>
      <c r="AK286" s="417">
        <v>0</v>
      </c>
      <c r="AL286" s="417">
        <v>0</v>
      </c>
      <c r="AM286" s="417">
        <f t="shared" si="432"/>
        <v>0</v>
      </c>
      <c r="AN286" s="417">
        <f t="shared" si="433"/>
        <v>0</v>
      </c>
      <c r="AO286" s="417">
        <f t="shared" si="434"/>
        <v>0</v>
      </c>
      <c r="AP286" s="417">
        <f t="shared" si="435"/>
        <v>0</v>
      </c>
      <c r="AQ286" s="417">
        <f t="shared" si="436"/>
        <v>0</v>
      </c>
      <c r="AR286" s="417">
        <f t="shared" si="437"/>
        <v>0</v>
      </c>
      <c r="AS286" s="68">
        <f t="shared" si="438"/>
        <v>0</v>
      </c>
      <c r="AT286" s="68">
        <f t="shared" si="439"/>
        <v>0</v>
      </c>
      <c r="AU286" s="417">
        <v>0</v>
      </c>
      <c r="AV286" s="417">
        <v>0</v>
      </c>
      <c r="AW286" s="417">
        <v>0</v>
      </c>
      <c r="AX286" s="417">
        <f t="shared" si="440"/>
        <v>0</v>
      </c>
      <c r="AY286" s="417">
        <f t="shared" si="441"/>
        <v>0</v>
      </c>
      <c r="AZ286" s="418">
        <v>0</v>
      </c>
      <c r="BA286" s="418">
        <v>0</v>
      </c>
      <c r="BB286" s="418">
        <v>0</v>
      </c>
      <c r="BC286" s="418">
        <v>0</v>
      </c>
      <c r="BD286" s="418">
        <v>0</v>
      </c>
      <c r="BE286" s="418">
        <v>0</v>
      </c>
      <c r="BF286" s="418">
        <v>0</v>
      </c>
      <c r="BG286" s="418">
        <v>0</v>
      </c>
      <c r="BH286" s="418">
        <v>0</v>
      </c>
      <c r="BI286" s="418">
        <f t="shared" si="442"/>
        <v>0</v>
      </c>
      <c r="BJ286" s="418">
        <f t="shared" si="443"/>
        <v>0</v>
      </c>
      <c r="BK286" s="420">
        <f t="shared" si="444"/>
        <v>0</v>
      </c>
      <c r="BL286" s="772">
        <f t="shared" si="469"/>
        <v>7450741</v>
      </c>
      <c r="BM286" s="417">
        <f t="shared" si="470"/>
        <v>5428776</v>
      </c>
      <c r="BN286" s="417">
        <f t="shared" si="471"/>
        <v>4423406</v>
      </c>
      <c r="BO286" s="417">
        <f t="shared" si="471"/>
        <v>1005370</v>
      </c>
      <c r="BP286" s="417">
        <f t="shared" si="472"/>
        <v>0</v>
      </c>
      <c r="BQ286" s="417">
        <f t="shared" si="473"/>
        <v>0</v>
      </c>
      <c r="BR286" s="417">
        <f t="shared" si="473"/>
        <v>0</v>
      </c>
      <c r="BS286" s="417">
        <f t="shared" si="474"/>
        <v>1834927</v>
      </c>
      <c r="BT286" s="417">
        <f t="shared" si="474"/>
        <v>54288</v>
      </c>
      <c r="BU286" s="417">
        <f t="shared" si="475"/>
        <v>132750</v>
      </c>
      <c r="BV286" s="418">
        <f t="shared" si="476"/>
        <v>9.4512999999999998</v>
      </c>
      <c r="BW286" s="418">
        <f t="shared" si="477"/>
        <v>6.5453999999999999</v>
      </c>
      <c r="BX286" s="420">
        <f t="shared" si="477"/>
        <v>2.9058999999999999</v>
      </c>
      <c r="BY286" s="419"/>
      <c r="BZ286" s="414"/>
      <c r="CA286" s="414"/>
      <c r="CB286" s="414"/>
      <c r="CC286" s="414"/>
      <c r="CD286" s="509"/>
      <c r="CE286" s="414">
        <v>458189</v>
      </c>
      <c r="CF286" s="414">
        <v>322677</v>
      </c>
      <c r="CG286" s="414">
        <v>109065</v>
      </c>
      <c r="CH286" s="414">
        <v>3227</v>
      </c>
      <c r="CI286" s="414">
        <v>23220</v>
      </c>
      <c r="CJ286" s="509">
        <v>0.93270000000000008</v>
      </c>
    </row>
    <row r="287" spans="1:88" s="221" customFormat="1" ht="12.75" customHeight="1">
      <c r="A287" s="209">
        <v>52</v>
      </c>
      <c r="B287" s="210">
        <v>4466</v>
      </c>
      <c r="C287" s="210">
        <v>650039017</v>
      </c>
      <c r="D287" s="210">
        <v>70982074</v>
      </c>
      <c r="E287" s="204" t="s">
        <v>240</v>
      </c>
      <c r="F287" s="210">
        <v>3117</v>
      </c>
      <c r="G287" s="165" t="s">
        <v>291</v>
      </c>
      <c r="H287" s="621" t="s">
        <v>272</v>
      </c>
      <c r="I287" s="510">
        <v>2621384</v>
      </c>
      <c r="J287" s="414">
        <v>1944647</v>
      </c>
      <c r="K287" s="414">
        <v>1944647</v>
      </c>
      <c r="L287" s="414">
        <v>0</v>
      </c>
      <c r="M287" s="414">
        <v>0</v>
      </c>
      <c r="N287" s="414">
        <v>0</v>
      </c>
      <c r="O287" s="414">
        <v>0</v>
      </c>
      <c r="P287" s="68">
        <v>657291</v>
      </c>
      <c r="Q287" s="68">
        <v>19446</v>
      </c>
      <c r="R287" s="414">
        <v>0</v>
      </c>
      <c r="S287" s="415">
        <v>5.33</v>
      </c>
      <c r="T287" s="416">
        <v>5.33</v>
      </c>
      <c r="U287" s="422">
        <v>0</v>
      </c>
      <c r="V287" s="423">
        <f t="shared" si="427"/>
        <v>0</v>
      </c>
      <c r="W287" s="417">
        <f t="shared" si="428"/>
        <v>0</v>
      </c>
      <c r="X287" s="417">
        <v>0</v>
      </c>
      <c r="Y287" s="417">
        <v>0</v>
      </c>
      <c r="Z287" s="417">
        <v>0</v>
      </c>
      <c r="AA287" s="417">
        <v>0</v>
      </c>
      <c r="AB287" s="417">
        <v>0</v>
      </c>
      <c r="AC287" s="417">
        <v>0</v>
      </c>
      <c r="AD287" s="417">
        <v>0</v>
      </c>
      <c r="AE287" s="417">
        <f t="shared" si="429"/>
        <v>0</v>
      </c>
      <c r="AF287" s="417">
        <f t="shared" si="430"/>
        <v>0</v>
      </c>
      <c r="AG287" s="417">
        <f t="shared" si="431"/>
        <v>0</v>
      </c>
      <c r="AH287" s="417">
        <v>0</v>
      </c>
      <c r="AI287" s="417">
        <v>0</v>
      </c>
      <c r="AJ287" s="417">
        <v>0</v>
      </c>
      <c r="AK287" s="417">
        <v>0</v>
      </c>
      <c r="AL287" s="417">
        <v>0</v>
      </c>
      <c r="AM287" s="417">
        <f t="shared" si="432"/>
        <v>0</v>
      </c>
      <c r="AN287" s="417">
        <f t="shared" si="433"/>
        <v>0</v>
      </c>
      <c r="AO287" s="417">
        <f t="shared" si="434"/>
        <v>0</v>
      </c>
      <c r="AP287" s="417">
        <f t="shared" si="435"/>
        <v>0</v>
      </c>
      <c r="AQ287" s="417">
        <f t="shared" si="436"/>
        <v>0</v>
      </c>
      <c r="AR287" s="417">
        <f t="shared" si="437"/>
        <v>0</v>
      </c>
      <c r="AS287" s="68">
        <f t="shared" si="438"/>
        <v>0</v>
      </c>
      <c r="AT287" s="68">
        <f t="shared" si="439"/>
        <v>0</v>
      </c>
      <c r="AU287" s="417">
        <v>0</v>
      </c>
      <c r="AV287" s="417">
        <v>0</v>
      </c>
      <c r="AW287" s="417">
        <v>0</v>
      </c>
      <c r="AX287" s="417">
        <f t="shared" si="440"/>
        <v>0</v>
      </c>
      <c r="AY287" s="417">
        <f t="shared" si="441"/>
        <v>0</v>
      </c>
      <c r="AZ287" s="418">
        <v>0</v>
      </c>
      <c r="BA287" s="418">
        <v>0</v>
      </c>
      <c r="BB287" s="418">
        <v>0</v>
      </c>
      <c r="BC287" s="418">
        <v>0</v>
      </c>
      <c r="BD287" s="418">
        <v>0</v>
      </c>
      <c r="BE287" s="418">
        <v>0</v>
      </c>
      <c r="BF287" s="418">
        <v>0</v>
      </c>
      <c r="BG287" s="418">
        <v>0</v>
      </c>
      <c r="BH287" s="418">
        <v>0</v>
      </c>
      <c r="BI287" s="418">
        <f t="shared" si="442"/>
        <v>0</v>
      </c>
      <c r="BJ287" s="418">
        <f t="shared" si="443"/>
        <v>0</v>
      </c>
      <c r="BK287" s="420">
        <f t="shared" si="444"/>
        <v>0</v>
      </c>
      <c r="BL287" s="772">
        <f t="shared" si="469"/>
        <v>2621384</v>
      </c>
      <c r="BM287" s="417">
        <f t="shared" si="470"/>
        <v>1944647</v>
      </c>
      <c r="BN287" s="417">
        <f t="shared" si="471"/>
        <v>1944647</v>
      </c>
      <c r="BO287" s="417">
        <f t="shared" si="471"/>
        <v>0</v>
      </c>
      <c r="BP287" s="417">
        <f t="shared" si="472"/>
        <v>0</v>
      </c>
      <c r="BQ287" s="417">
        <f t="shared" si="473"/>
        <v>0</v>
      </c>
      <c r="BR287" s="417">
        <f t="shared" si="473"/>
        <v>0</v>
      </c>
      <c r="BS287" s="417">
        <f t="shared" si="474"/>
        <v>657291</v>
      </c>
      <c r="BT287" s="417">
        <f t="shared" si="474"/>
        <v>19446</v>
      </c>
      <c r="BU287" s="417">
        <f t="shared" si="475"/>
        <v>0</v>
      </c>
      <c r="BV287" s="418">
        <f t="shared" si="476"/>
        <v>5.33</v>
      </c>
      <c r="BW287" s="418">
        <f t="shared" si="477"/>
        <v>5.33</v>
      </c>
      <c r="BX287" s="420">
        <f t="shared" si="477"/>
        <v>0</v>
      </c>
      <c r="BY287" s="419"/>
      <c r="BZ287" s="414"/>
      <c r="CA287" s="414"/>
      <c r="CB287" s="414"/>
      <c r="CC287" s="414"/>
      <c r="CD287" s="509"/>
      <c r="CE287" s="419"/>
      <c r="CF287" s="414"/>
      <c r="CG287" s="414"/>
      <c r="CH287" s="414"/>
      <c r="CI287" s="414"/>
      <c r="CJ287" s="509"/>
    </row>
    <row r="288" spans="1:88" s="221" customFormat="1" ht="12.75" customHeight="1">
      <c r="A288" s="209">
        <v>52</v>
      </c>
      <c r="B288" s="210">
        <v>4466</v>
      </c>
      <c r="C288" s="210">
        <v>650039017</v>
      </c>
      <c r="D288" s="210">
        <v>70982074</v>
      </c>
      <c r="E288" s="208" t="s">
        <v>240</v>
      </c>
      <c r="F288" s="210">
        <v>3141</v>
      </c>
      <c r="G288" s="165" t="s">
        <v>294</v>
      </c>
      <c r="H288" s="621" t="s">
        <v>272</v>
      </c>
      <c r="I288" s="510">
        <v>1607218</v>
      </c>
      <c r="J288" s="414">
        <v>1151849</v>
      </c>
      <c r="K288" s="414">
        <v>0</v>
      </c>
      <c r="L288" s="414">
        <v>1151849</v>
      </c>
      <c r="M288" s="414">
        <v>35000</v>
      </c>
      <c r="N288" s="414">
        <v>0</v>
      </c>
      <c r="O288" s="414">
        <v>35000</v>
      </c>
      <c r="P288" s="68">
        <v>401155</v>
      </c>
      <c r="Q288" s="68">
        <v>11518</v>
      </c>
      <c r="R288" s="414">
        <v>7696</v>
      </c>
      <c r="S288" s="415">
        <v>3.4800000000000004</v>
      </c>
      <c r="T288" s="416">
        <v>0</v>
      </c>
      <c r="U288" s="422">
        <v>3.4800000000000004</v>
      </c>
      <c r="V288" s="423">
        <f t="shared" si="427"/>
        <v>0</v>
      </c>
      <c r="W288" s="417">
        <f t="shared" si="428"/>
        <v>25000</v>
      </c>
      <c r="X288" s="417">
        <v>0</v>
      </c>
      <c r="Y288" s="417">
        <v>0</v>
      </c>
      <c r="Z288" s="417">
        <v>0</v>
      </c>
      <c r="AA288" s="417">
        <v>-2449</v>
      </c>
      <c r="AB288" s="417">
        <v>0</v>
      </c>
      <c r="AC288" s="417">
        <v>0</v>
      </c>
      <c r="AD288" s="417">
        <v>0</v>
      </c>
      <c r="AE288" s="417">
        <f t="shared" si="429"/>
        <v>0</v>
      </c>
      <c r="AF288" s="417">
        <f t="shared" si="430"/>
        <v>22551</v>
      </c>
      <c r="AG288" s="417">
        <f t="shared" si="431"/>
        <v>22551</v>
      </c>
      <c r="AH288" s="417">
        <v>0</v>
      </c>
      <c r="AI288" s="417">
        <v>-25000</v>
      </c>
      <c r="AJ288" s="417">
        <v>0</v>
      </c>
      <c r="AK288" s="417">
        <v>0</v>
      </c>
      <c r="AL288" s="417">
        <v>0</v>
      </c>
      <c r="AM288" s="417">
        <f t="shared" si="432"/>
        <v>0</v>
      </c>
      <c r="AN288" s="417">
        <f t="shared" si="433"/>
        <v>-25000</v>
      </c>
      <c r="AO288" s="417">
        <f t="shared" si="434"/>
        <v>-25000</v>
      </c>
      <c r="AP288" s="417">
        <f t="shared" si="435"/>
        <v>0</v>
      </c>
      <c r="AQ288" s="417">
        <f t="shared" si="436"/>
        <v>-2449</v>
      </c>
      <c r="AR288" s="417">
        <f t="shared" si="437"/>
        <v>-2449</v>
      </c>
      <c r="AS288" s="68">
        <f t="shared" si="438"/>
        <v>-828</v>
      </c>
      <c r="AT288" s="68">
        <f t="shared" si="439"/>
        <v>226</v>
      </c>
      <c r="AU288" s="417">
        <v>0</v>
      </c>
      <c r="AV288" s="417">
        <v>0</v>
      </c>
      <c r="AW288" s="417">
        <v>0</v>
      </c>
      <c r="AX288" s="417">
        <f t="shared" si="440"/>
        <v>0</v>
      </c>
      <c r="AY288" s="417">
        <f t="shared" si="441"/>
        <v>-3051</v>
      </c>
      <c r="AZ288" s="418">
        <v>0</v>
      </c>
      <c r="BA288" s="418">
        <v>7.0000000000000007E-2</v>
      </c>
      <c r="BB288" s="418">
        <v>0</v>
      </c>
      <c r="BC288" s="418">
        <v>0</v>
      </c>
      <c r="BD288" s="418">
        <v>-0.01</v>
      </c>
      <c r="BE288" s="418">
        <v>0</v>
      </c>
      <c r="BF288" s="418">
        <v>0</v>
      </c>
      <c r="BG288" s="418">
        <v>0</v>
      </c>
      <c r="BH288" s="418">
        <v>0</v>
      </c>
      <c r="BI288" s="418">
        <f t="shared" si="442"/>
        <v>0</v>
      </c>
      <c r="BJ288" s="418">
        <f t="shared" si="443"/>
        <v>6.0000000000000005E-2</v>
      </c>
      <c r="BK288" s="420">
        <f t="shared" si="444"/>
        <v>6.0000000000000005E-2</v>
      </c>
      <c r="BL288" s="772">
        <f t="shared" si="469"/>
        <v>1604167</v>
      </c>
      <c r="BM288" s="417">
        <f t="shared" si="470"/>
        <v>1174400</v>
      </c>
      <c r="BN288" s="417">
        <f t="shared" si="471"/>
        <v>0</v>
      </c>
      <c r="BO288" s="417">
        <f t="shared" si="471"/>
        <v>1174400</v>
      </c>
      <c r="BP288" s="417">
        <f t="shared" si="472"/>
        <v>10000</v>
      </c>
      <c r="BQ288" s="417">
        <f t="shared" si="473"/>
        <v>0</v>
      </c>
      <c r="BR288" s="417">
        <f t="shared" si="473"/>
        <v>10000</v>
      </c>
      <c r="BS288" s="417">
        <f t="shared" si="474"/>
        <v>400327</v>
      </c>
      <c r="BT288" s="417">
        <f t="shared" si="474"/>
        <v>11744</v>
      </c>
      <c r="BU288" s="417">
        <f t="shared" si="475"/>
        <v>7696</v>
      </c>
      <c r="BV288" s="418">
        <f t="shared" si="476"/>
        <v>3.5400000000000005</v>
      </c>
      <c r="BW288" s="418">
        <f t="shared" si="477"/>
        <v>0</v>
      </c>
      <c r="BX288" s="420">
        <f t="shared" si="477"/>
        <v>3.5400000000000005</v>
      </c>
      <c r="BY288" s="419"/>
      <c r="BZ288" s="414"/>
      <c r="CA288" s="414"/>
      <c r="CB288" s="414"/>
      <c r="CC288" s="414"/>
      <c r="CD288" s="509"/>
      <c r="CE288" s="419"/>
      <c r="CF288" s="601"/>
      <c r="CG288" s="414"/>
      <c r="CH288" s="414"/>
      <c r="CI288" s="601"/>
      <c r="CJ288" s="603"/>
    </row>
    <row r="289" spans="1:88" s="221" customFormat="1" ht="12.75" customHeight="1">
      <c r="A289" s="209">
        <v>52</v>
      </c>
      <c r="B289" s="210">
        <v>4466</v>
      </c>
      <c r="C289" s="210">
        <v>650039017</v>
      </c>
      <c r="D289" s="210">
        <v>70982074</v>
      </c>
      <c r="E289" s="208" t="s">
        <v>240</v>
      </c>
      <c r="F289" s="210">
        <v>3143</v>
      </c>
      <c r="G289" s="165" t="s">
        <v>595</v>
      </c>
      <c r="H289" s="609" t="s">
        <v>271</v>
      </c>
      <c r="I289" s="510">
        <v>916387</v>
      </c>
      <c r="J289" s="414">
        <v>654998</v>
      </c>
      <c r="K289" s="414">
        <v>654998</v>
      </c>
      <c r="L289" s="414">
        <v>0</v>
      </c>
      <c r="M289" s="414">
        <v>25000</v>
      </c>
      <c r="N289" s="414">
        <v>25000</v>
      </c>
      <c r="O289" s="414">
        <v>0</v>
      </c>
      <c r="P289" s="68">
        <v>229839</v>
      </c>
      <c r="Q289" s="68">
        <v>6550</v>
      </c>
      <c r="R289" s="414">
        <v>0</v>
      </c>
      <c r="S289" s="415">
        <v>1.4</v>
      </c>
      <c r="T289" s="416">
        <v>1.4</v>
      </c>
      <c r="U289" s="422">
        <v>0</v>
      </c>
      <c r="V289" s="423">
        <f t="shared" si="427"/>
        <v>15000</v>
      </c>
      <c r="W289" s="417">
        <f t="shared" si="428"/>
        <v>0</v>
      </c>
      <c r="X289" s="417">
        <v>0</v>
      </c>
      <c r="Y289" s="417">
        <v>0</v>
      </c>
      <c r="Z289" s="417">
        <v>0</v>
      </c>
      <c r="AA289" s="417">
        <v>0</v>
      </c>
      <c r="AB289" s="417">
        <v>0</v>
      </c>
      <c r="AC289" s="417">
        <v>0</v>
      </c>
      <c r="AD289" s="417">
        <v>0</v>
      </c>
      <c r="AE289" s="417">
        <f t="shared" si="429"/>
        <v>15000</v>
      </c>
      <c r="AF289" s="417">
        <f t="shared" si="430"/>
        <v>0</v>
      </c>
      <c r="AG289" s="417">
        <f t="shared" si="431"/>
        <v>15000</v>
      </c>
      <c r="AH289" s="417">
        <v>-15000</v>
      </c>
      <c r="AI289" s="417">
        <v>0</v>
      </c>
      <c r="AJ289" s="417">
        <v>0</v>
      </c>
      <c r="AK289" s="417">
        <v>0</v>
      </c>
      <c r="AL289" s="417">
        <v>0</v>
      </c>
      <c r="AM289" s="417">
        <f t="shared" si="432"/>
        <v>-15000</v>
      </c>
      <c r="AN289" s="417">
        <f t="shared" si="433"/>
        <v>0</v>
      </c>
      <c r="AO289" s="417">
        <f t="shared" si="434"/>
        <v>-15000</v>
      </c>
      <c r="AP289" s="417">
        <f t="shared" si="435"/>
        <v>0</v>
      </c>
      <c r="AQ289" s="417">
        <f t="shared" si="436"/>
        <v>0</v>
      </c>
      <c r="AR289" s="417">
        <f t="shared" si="437"/>
        <v>0</v>
      </c>
      <c r="AS289" s="68">
        <f t="shared" si="438"/>
        <v>0</v>
      </c>
      <c r="AT289" s="68">
        <f t="shared" si="439"/>
        <v>150</v>
      </c>
      <c r="AU289" s="417">
        <v>0</v>
      </c>
      <c r="AV289" s="417">
        <v>0</v>
      </c>
      <c r="AW289" s="417">
        <v>0</v>
      </c>
      <c r="AX289" s="417">
        <f t="shared" si="440"/>
        <v>0</v>
      </c>
      <c r="AY289" s="417">
        <f t="shared" si="441"/>
        <v>150</v>
      </c>
      <c r="AZ289" s="418">
        <v>-0.01</v>
      </c>
      <c r="BA289" s="418">
        <v>0</v>
      </c>
      <c r="BB289" s="418">
        <v>0</v>
      </c>
      <c r="BC289" s="418">
        <v>0</v>
      </c>
      <c r="BD289" s="418">
        <v>0</v>
      </c>
      <c r="BE289" s="418">
        <v>0</v>
      </c>
      <c r="BF289" s="418">
        <v>0</v>
      </c>
      <c r="BG289" s="418">
        <v>0</v>
      </c>
      <c r="BH289" s="418">
        <v>0</v>
      </c>
      <c r="BI289" s="418">
        <f t="shared" si="442"/>
        <v>-0.01</v>
      </c>
      <c r="BJ289" s="418">
        <f t="shared" si="443"/>
        <v>0</v>
      </c>
      <c r="BK289" s="420">
        <f t="shared" si="444"/>
        <v>-0.01</v>
      </c>
      <c r="BL289" s="772">
        <f t="shared" si="469"/>
        <v>916537</v>
      </c>
      <c r="BM289" s="417">
        <f t="shared" si="470"/>
        <v>669998</v>
      </c>
      <c r="BN289" s="417">
        <f t="shared" si="471"/>
        <v>669998</v>
      </c>
      <c r="BO289" s="417">
        <f t="shared" si="471"/>
        <v>0</v>
      </c>
      <c r="BP289" s="417">
        <f t="shared" si="472"/>
        <v>10000</v>
      </c>
      <c r="BQ289" s="417">
        <f t="shared" si="473"/>
        <v>10000</v>
      </c>
      <c r="BR289" s="417">
        <f t="shared" si="473"/>
        <v>0</v>
      </c>
      <c r="BS289" s="417">
        <f t="shared" si="474"/>
        <v>229839</v>
      </c>
      <c r="BT289" s="417">
        <f t="shared" si="474"/>
        <v>6700</v>
      </c>
      <c r="BU289" s="417">
        <f t="shared" si="475"/>
        <v>0</v>
      </c>
      <c r="BV289" s="418">
        <f t="shared" si="476"/>
        <v>1.39</v>
      </c>
      <c r="BW289" s="418">
        <f t="shared" si="477"/>
        <v>1.39</v>
      </c>
      <c r="BX289" s="420">
        <f t="shared" si="477"/>
        <v>0</v>
      </c>
      <c r="BY289" s="419"/>
      <c r="BZ289" s="414"/>
      <c r="CA289" s="414"/>
      <c r="CB289" s="414"/>
      <c r="CC289" s="414"/>
      <c r="CD289" s="509"/>
      <c r="CE289" s="419"/>
      <c r="CF289" s="414"/>
      <c r="CG289" s="414"/>
      <c r="CH289" s="414"/>
      <c r="CI289" s="414"/>
      <c r="CJ289" s="509"/>
    </row>
    <row r="290" spans="1:88" s="221" customFormat="1" ht="12.75" customHeight="1">
      <c r="A290" s="209">
        <v>52</v>
      </c>
      <c r="B290" s="210">
        <v>4466</v>
      </c>
      <c r="C290" s="210">
        <v>650039017</v>
      </c>
      <c r="D290" s="210">
        <v>70982074</v>
      </c>
      <c r="E290" s="208" t="s">
        <v>240</v>
      </c>
      <c r="F290" s="210">
        <v>3143</v>
      </c>
      <c r="G290" s="165" t="s">
        <v>596</v>
      </c>
      <c r="H290" s="609" t="s">
        <v>272</v>
      </c>
      <c r="I290" s="510">
        <v>38420</v>
      </c>
      <c r="J290" s="414">
        <v>27500</v>
      </c>
      <c r="K290" s="414">
        <v>0</v>
      </c>
      <c r="L290" s="414">
        <v>27500</v>
      </c>
      <c r="M290" s="414">
        <v>0</v>
      </c>
      <c r="N290" s="414">
        <v>0</v>
      </c>
      <c r="O290" s="414">
        <v>0</v>
      </c>
      <c r="P290" s="68">
        <v>9295</v>
      </c>
      <c r="Q290" s="68">
        <v>275</v>
      </c>
      <c r="R290" s="414">
        <v>1350</v>
      </c>
      <c r="S290" s="415">
        <v>0.1</v>
      </c>
      <c r="T290" s="416">
        <v>0</v>
      </c>
      <c r="U290" s="422">
        <v>0.1</v>
      </c>
      <c r="V290" s="423">
        <f t="shared" si="427"/>
        <v>0</v>
      </c>
      <c r="W290" s="417">
        <f t="shared" si="428"/>
        <v>0</v>
      </c>
      <c r="X290" s="417">
        <v>0</v>
      </c>
      <c r="Y290" s="417">
        <v>0</v>
      </c>
      <c r="Z290" s="417">
        <v>0</v>
      </c>
      <c r="AA290" s="417">
        <v>0</v>
      </c>
      <c r="AB290" s="417">
        <v>0</v>
      </c>
      <c r="AC290" s="417">
        <v>0</v>
      </c>
      <c r="AD290" s="417">
        <v>0</v>
      </c>
      <c r="AE290" s="417">
        <f t="shared" si="429"/>
        <v>0</v>
      </c>
      <c r="AF290" s="417">
        <f t="shared" si="430"/>
        <v>0</v>
      </c>
      <c r="AG290" s="417">
        <f t="shared" si="431"/>
        <v>0</v>
      </c>
      <c r="AH290" s="417">
        <v>0</v>
      </c>
      <c r="AI290" s="417">
        <v>0</v>
      </c>
      <c r="AJ290" s="417">
        <v>0</v>
      </c>
      <c r="AK290" s="417">
        <v>0</v>
      </c>
      <c r="AL290" s="417">
        <v>0</v>
      </c>
      <c r="AM290" s="417">
        <f t="shared" si="432"/>
        <v>0</v>
      </c>
      <c r="AN290" s="417">
        <f t="shared" si="433"/>
        <v>0</v>
      </c>
      <c r="AO290" s="417">
        <f t="shared" si="434"/>
        <v>0</v>
      </c>
      <c r="AP290" s="417">
        <f t="shared" si="435"/>
        <v>0</v>
      </c>
      <c r="AQ290" s="417">
        <f t="shared" si="436"/>
        <v>0</v>
      </c>
      <c r="AR290" s="417">
        <f t="shared" si="437"/>
        <v>0</v>
      </c>
      <c r="AS290" s="68">
        <f t="shared" si="438"/>
        <v>0</v>
      </c>
      <c r="AT290" s="68">
        <f t="shared" si="439"/>
        <v>0</v>
      </c>
      <c r="AU290" s="417">
        <v>0</v>
      </c>
      <c r="AV290" s="417">
        <v>0</v>
      </c>
      <c r="AW290" s="417">
        <v>0</v>
      </c>
      <c r="AX290" s="417">
        <f t="shared" si="440"/>
        <v>0</v>
      </c>
      <c r="AY290" s="417">
        <f t="shared" si="441"/>
        <v>0</v>
      </c>
      <c r="AZ290" s="418">
        <v>0</v>
      </c>
      <c r="BA290" s="418">
        <v>0</v>
      </c>
      <c r="BB290" s="418">
        <v>0</v>
      </c>
      <c r="BC290" s="418">
        <v>0</v>
      </c>
      <c r="BD290" s="418">
        <v>0</v>
      </c>
      <c r="BE290" s="418">
        <v>0</v>
      </c>
      <c r="BF290" s="418">
        <v>0</v>
      </c>
      <c r="BG290" s="418">
        <v>0</v>
      </c>
      <c r="BH290" s="418">
        <v>0</v>
      </c>
      <c r="BI290" s="418">
        <f t="shared" si="442"/>
        <v>0</v>
      </c>
      <c r="BJ290" s="418">
        <f t="shared" si="443"/>
        <v>0</v>
      </c>
      <c r="BK290" s="420">
        <f t="shared" si="444"/>
        <v>0</v>
      </c>
      <c r="BL290" s="772">
        <f t="shared" si="469"/>
        <v>38420</v>
      </c>
      <c r="BM290" s="417">
        <f t="shared" si="470"/>
        <v>27500</v>
      </c>
      <c r="BN290" s="417">
        <f t="shared" si="471"/>
        <v>0</v>
      </c>
      <c r="BO290" s="417">
        <f t="shared" si="471"/>
        <v>27500</v>
      </c>
      <c r="BP290" s="417">
        <f t="shared" si="472"/>
        <v>0</v>
      </c>
      <c r="BQ290" s="417">
        <f t="shared" si="473"/>
        <v>0</v>
      </c>
      <c r="BR290" s="417">
        <f t="shared" si="473"/>
        <v>0</v>
      </c>
      <c r="BS290" s="417">
        <f t="shared" si="474"/>
        <v>9295</v>
      </c>
      <c r="BT290" s="417">
        <f t="shared" si="474"/>
        <v>275</v>
      </c>
      <c r="BU290" s="417">
        <f t="shared" si="475"/>
        <v>1350</v>
      </c>
      <c r="BV290" s="418">
        <f t="shared" si="476"/>
        <v>0.1</v>
      </c>
      <c r="BW290" s="418">
        <f t="shared" si="477"/>
        <v>0</v>
      </c>
      <c r="BX290" s="420">
        <f t="shared" si="477"/>
        <v>0.1</v>
      </c>
      <c r="BY290" s="419"/>
      <c r="BZ290" s="414"/>
      <c r="CA290" s="414"/>
      <c r="CB290" s="414"/>
      <c r="CC290" s="414"/>
      <c r="CD290" s="509"/>
      <c r="CE290" s="419"/>
      <c r="CF290" s="601"/>
      <c r="CG290" s="414"/>
      <c r="CH290" s="414"/>
      <c r="CI290" s="602"/>
      <c r="CJ290" s="603"/>
    </row>
    <row r="291" spans="1:88" s="221" customFormat="1">
      <c r="A291" s="155">
        <v>52</v>
      </c>
      <c r="B291" s="18">
        <v>4466</v>
      </c>
      <c r="C291" s="18">
        <v>650039017</v>
      </c>
      <c r="D291" s="18">
        <v>70982074</v>
      </c>
      <c r="E291" s="164" t="s">
        <v>241</v>
      </c>
      <c r="F291" s="18"/>
      <c r="G291" s="154"/>
      <c r="H291" s="608"/>
      <c r="I291" s="451">
        <v>18703790</v>
      </c>
      <c r="J291" s="444">
        <v>13690886</v>
      </c>
      <c r="K291" s="444">
        <v>11153331</v>
      </c>
      <c r="L291" s="444">
        <v>2537555</v>
      </c>
      <c r="M291" s="444">
        <v>60000</v>
      </c>
      <c r="N291" s="444">
        <v>25000</v>
      </c>
      <c r="O291" s="444">
        <v>35000</v>
      </c>
      <c r="P291" s="444">
        <v>4647800</v>
      </c>
      <c r="Q291" s="444">
        <v>136908</v>
      </c>
      <c r="R291" s="444">
        <v>168196</v>
      </c>
      <c r="S291" s="445">
        <v>29.107400000000002</v>
      </c>
      <c r="T291" s="445">
        <v>21.207899999999999</v>
      </c>
      <c r="U291" s="449">
        <v>7.8994999999999997</v>
      </c>
      <c r="V291" s="447">
        <f t="shared" ref="V291:CG291" si="478">SUM(V285:V290)</f>
        <v>15000</v>
      </c>
      <c r="W291" s="444">
        <f t="shared" si="478"/>
        <v>25000</v>
      </c>
      <c r="X291" s="444">
        <f t="shared" si="478"/>
        <v>0</v>
      </c>
      <c r="Y291" s="444">
        <f t="shared" si="478"/>
        <v>0</v>
      </c>
      <c r="Z291" s="444">
        <f t="shared" si="478"/>
        <v>0</v>
      </c>
      <c r="AA291" s="444">
        <f t="shared" si="478"/>
        <v>-2449</v>
      </c>
      <c r="AB291" s="444">
        <f t="shared" si="478"/>
        <v>0</v>
      </c>
      <c r="AC291" s="444">
        <f t="shared" si="478"/>
        <v>0</v>
      </c>
      <c r="AD291" s="444">
        <f t="shared" si="478"/>
        <v>0</v>
      </c>
      <c r="AE291" s="444">
        <f t="shared" si="478"/>
        <v>15000</v>
      </c>
      <c r="AF291" s="444">
        <f t="shared" si="478"/>
        <v>22551</v>
      </c>
      <c r="AG291" s="444">
        <f t="shared" si="478"/>
        <v>37551</v>
      </c>
      <c r="AH291" s="444">
        <f t="shared" si="478"/>
        <v>-15000</v>
      </c>
      <c r="AI291" s="444">
        <f t="shared" si="478"/>
        <v>-25000</v>
      </c>
      <c r="AJ291" s="444">
        <f t="shared" si="478"/>
        <v>0</v>
      </c>
      <c r="AK291" s="444">
        <f t="shared" si="478"/>
        <v>0</v>
      </c>
      <c r="AL291" s="444">
        <f t="shared" si="478"/>
        <v>0</v>
      </c>
      <c r="AM291" s="444">
        <f t="shared" si="478"/>
        <v>-15000</v>
      </c>
      <c r="AN291" s="444">
        <f t="shared" si="478"/>
        <v>-25000</v>
      </c>
      <c r="AO291" s="444">
        <f t="shared" si="478"/>
        <v>-40000</v>
      </c>
      <c r="AP291" s="444">
        <f t="shared" si="478"/>
        <v>0</v>
      </c>
      <c r="AQ291" s="444">
        <f t="shared" si="478"/>
        <v>-2449</v>
      </c>
      <c r="AR291" s="444">
        <f t="shared" si="478"/>
        <v>-2449</v>
      </c>
      <c r="AS291" s="444">
        <f t="shared" si="478"/>
        <v>-828</v>
      </c>
      <c r="AT291" s="444">
        <f t="shared" si="478"/>
        <v>376</v>
      </c>
      <c r="AU291" s="444">
        <f t="shared" si="478"/>
        <v>0</v>
      </c>
      <c r="AV291" s="444">
        <f t="shared" si="478"/>
        <v>0</v>
      </c>
      <c r="AW291" s="444">
        <f t="shared" si="478"/>
        <v>0</v>
      </c>
      <c r="AX291" s="444">
        <f t="shared" si="478"/>
        <v>0</v>
      </c>
      <c r="AY291" s="444">
        <f t="shared" si="478"/>
        <v>-2901</v>
      </c>
      <c r="AZ291" s="445">
        <f t="shared" si="478"/>
        <v>-0.01</v>
      </c>
      <c r="BA291" s="445">
        <f t="shared" si="478"/>
        <v>7.0000000000000007E-2</v>
      </c>
      <c r="BB291" s="445">
        <f t="shared" si="478"/>
        <v>0</v>
      </c>
      <c r="BC291" s="445">
        <f t="shared" si="478"/>
        <v>0</v>
      </c>
      <c r="BD291" s="445">
        <f t="shared" si="478"/>
        <v>-0.01</v>
      </c>
      <c r="BE291" s="445">
        <f t="shared" si="478"/>
        <v>0</v>
      </c>
      <c r="BF291" s="445">
        <f t="shared" si="478"/>
        <v>0</v>
      </c>
      <c r="BG291" s="445">
        <f t="shared" si="478"/>
        <v>0</v>
      </c>
      <c r="BH291" s="445">
        <f t="shared" si="478"/>
        <v>0</v>
      </c>
      <c r="BI291" s="445">
        <f t="shared" si="478"/>
        <v>-0.01</v>
      </c>
      <c r="BJ291" s="445">
        <f t="shared" si="478"/>
        <v>6.0000000000000005E-2</v>
      </c>
      <c r="BK291" s="39">
        <f t="shared" si="478"/>
        <v>0.05</v>
      </c>
      <c r="BL291" s="451">
        <f t="shared" si="478"/>
        <v>18700889</v>
      </c>
      <c r="BM291" s="444">
        <f t="shared" si="478"/>
        <v>13728437</v>
      </c>
      <c r="BN291" s="444">
        <f t="shared" si="478"/>
        <v>11168331</v>
      </c>
      <c r="BO291" s="444">
        <f t="shared" si="478"/>
        <v>2560106</v>
      </c>
      <c r="BP291" s="444">
        <f t="shared" si="478"/>
        <v>20000</v>
      </c>
      <c r="BQ291" s="444">
        <f t="shared" si="478"/>
        <v>10000</v>
      </c>
      <c r="BR291" s="444">
        <f t="shared" si="478"/>
        <v>10000</v>
      </c>
      <c r="BS291" s="444">
        <f t="shared" si="478"/>
        <v>4646972</v>
      </c>
      <c r="BT291" s="444">
        <f t="shared" si="478"/>
        <v>137284</v>
      </c>
      <c r="BU291" s="444">
        <f t="shared" si="478"/>
        <v>168196</v>
      </c>
      <c r="BV291" s="445">
        <f t="shared" si="478"/>
        <v>29.157400000000003</v>
      </c>
      <c r="BW291" s="445">
        <f t="shared" si="478"/>
        <v>21.197900000000001</v>
      </c>
      <c r="BX291" s="39">
        <f t="shared" si="478"/>
        <v>7.9595000000000002</v>
      </c>
      <c r="BY291" s="806">
        <f t="shared" si="478"/>
        <v>0</v>
      </c>
      <c r="BZ291" s="709">
        <f t="shared" si="478"/>
        <v>0</v>
      </c>
      <c r="CA291" s="709">
        <f t="shared" si="478"/>
        <v>0</v>
      </c>
      <c r="CB291" s="709">
        <f t="shared" si="478"/>
        <v>0</v>
      </c>
      <c r="CC291" s="709">
        <f t="shared" si="478"/>
        <v>0</v>
      </c>
      <c r="CD291" s="807">
        <f t="shared" si="478"/>
        <v>0</v>
      </c>
      <c r="CE291" s="919">
        <f t="shared" si="478"/>
        <v>619587</v>
      </c>
      <c r="CF291" s="920">
        <f t="shared" si="478"/>
        <v>435897</v>
      </c>
      <c r="CG291" s="920">
        <f t="shared" si="478"/>
        <v>147333</v>
      </c>
      <c r="CH291" s="920">
        <f t="shared" ref="CH291:CJ291" si="479">SUM(CH285:CH290)</f>
        <v>4359</v>
      </c>
      <c r="CI291" s="920">
        <f t="shared" si="479"/>
        <v>31998</v>
      </c>
      <c r="CJ291" s="921">
        <f t="shared" si="479"/>
        <v>1.3863000000000001</v>
      </c>
    </row>
    <row r="292" spans="1:88" s="221" customFormat="1" ht="12.75" customHeight="1">
      <c r="A292" s="209">
        <v>53</v>
      </c>
      <c r="B292" s="210">
        <v>4470</v>
      </c>
      <c r="C292" s="210">
        <v>600075109</v>
      </c>
      <c r="D292" s="210">
        <v>70982112</v>
      </c>
      <c r="E292" s="208" t="s">
        <v>242</v>
      </c>
      <c r="F292" s="210">
        <v>3231</v>
      </c>
      <c r="G292" s="165" t="s">
        <v>295</v>
      </c>
      <c r="H292" s="621" t="s">
        <v>271</v>
      </c>
      <c r="I292" s="510">
        <v>10032529</v>
      </c>
      <c r="J292" s="414">
        <v>7429681</v>
      </c>
      <c r="K292" s="414">
        <v>7024499</v>
      </c>
      <c r="L292" s="414">
        <v>405182</v>
      </c>
      <c r="M292" s="414">
        <v>0</v>
      </c>
      <c r="N292" s="414">
        <v>0</v>
      </c>
      <c r="O292" s="414">
        <v>0</v>
      </c>
      <c r="P292" s="68">
        <v>2511233</v>
      </c>
      <c r="Q292" s="68">
        <v>74297</v>
      </c>
      <c r="R292" s="414">
        <v>17318</v>
      </c>
      <c r="S292" s="415">
        <v>12.2324</v>
      </c>
      <c r="T292" s="416">
        <v>11.095599999999999</v>
      </c>
      <c r="U292" s="422">
        <v>1.1368</v>
      </c>
      <c r="V292" s="423">
        <f t="shared" si="427"/>
        <v>0</v>
      </c>
      <c r="W292" s="417">
        <f t="shared" si="428"/>
        <v>0</v>
      </c>
      <c r="X292" s="417">
        <v>0</v>
      </c>
      <c r="Y292" s="417">
        <v>0</v>
      </c>
      <c r="Z292" s="417">
        <v>0</v>
      </c>
      <c r="AA292" s="417">
        <v>0</v>
      </c>
      <c r="AB292" s="417">
        <v>0</v>
      </c>
      <c r="AC292" s="417">
        <v>0</v>
      </c>
      <c r="AD292" s="417">
        <v>0</v>
      </c>
      <c r="AE292" s="417">
        <f t="shared" si="429"/>
        <v>0</v>
      </c>
      <c r="AF292" s="417">
        <f t="shared" si="430"/>
        <v>0</v>
      </c>
      <c r="AG292" s="417">
        <f t="shared" si="431"/>
        <v>0</v>
      </c>
      <c r="AH292" s="417">
        <v>0</v>
      </c>
      <c r="AI292" s="417">
        <v>0</v>
      </c>
      <c r="AJ292" s="417">
        <v>0</v>
      </c>
      <c r="AK292" s="417">
        <v>0</v>
      </c>
      <c r="AL292" s="417">
        <v>0</v>
      </c>
      <c r="AM292" s="417">
        <f t="shared" si="432"/>
        <v>0</v>
      </c>
      <c r="AN292" s="417">
        <f t="shared" si="433"/>
        <v>0</v>
      </c>
      <c r="AO292" s="417">
        <f t="shared" si="434"/>
        <v>0</v>
      </c>
      <c r="AP292" s="417">
        <f t="shared" si="435"/>
        <v>0</v>
      </c>
      <c r="AQ292" s="417">
        <f t="shared" si="436"/>
        <v>0</v>
      </c>
      <c r="AR292" s="417">
        <f t="shared" si="437"/>
        <v>0</v>
      </c>
      <c r="AS292" s="68">
        <f t="shared" si="438"/>
        <v>0</v>
      </c>
      <c r="AT292" s="68">
        <f t="shared" si="439"/>
        <v>0</v>
      </c>
      <c r="AU292" s="417">
        <v>0</v>
      </c>
      <c r="AV292" s="417">
        <v>0</v>
      </c>
      <c r="AW292" s="417">
        <v>0</v>
      </c>
      <c r="AX292" s="417">
        <f t="shared" si="440"/>
        <v>0</v>
      </c>
      <c r="AY292" s="417">
        <f t="shared" si="441"/>
        <v>0</v>
      </c>
      <c r="AZ292" s="418">
        <v>0</v>
      </c>
      <c r="BA292" s="418">
        <v>0</v>
      </c>
      <c r="BB292" s="418">
        <v>0</v>
      </c>
      <c r="BC292" s="418">
        <v>0</v>
      </c>
      <c r="BD292" s="418">
        <v>0</v>
      </c>
      <c r="BE292" s="418">
        <v>0</v>
      </c>
      <c r="BF292" s="418">
        <v>0</v>
      </c>
      <c r="BG292" s="418">
        <v>0</v>
      </c>
      <c r="BH292" s="418">
        <v>0</v>
      </c>
      <c r="BI292" s="418">
        <f t="shared" si="442"/>
        <v>0</v>
      </c>
      <c r="BJ292" s="418">
        <f t="shared" si="443"/>
        <v>0</v>
      </c>
      <c r="BK292" s="420">
        <f t="shared" si="444"/>
        <v>0</v>
      </c>
      <c r="BL292" s="772">
        <f>I292+AY292</f>
        <v>10032529</v>
      </c>
      <c r="BM292" s="417">
        <f>J292+AG292</f>
        <v>7429681</v>
      </c>
      <c r="BN292" s="417">
        <f>K292+AE292</f>
        <v>7024499</v>
      </c>
      <c r="BO292" s="417">
        <f>L292+AF292</f>
        <v>405182</v>
      </c>
      <c r="BP292" s="417">
        <f>M292+AO292</f>
        <v>0</v>
      </c>
      <c r="BQ292" s="417">
        <f>N292+AM292</f>
        <v>0</v>
      </c>
      <c r="BR292" s="417">
        <f>O292+AN292</f>
        <v>0</v>
      </c>
      <c r="BS292" s="417">
        <f>P292+AS292</f>
        <v>2511233</v>
      </c>
      <c r="BT292" s="417">
        <f>Q292+AT292</f>
        <v>74297</v>
      </c>
      <c r="BU292" s="417">
        <f>R292+AX292</f>
        <v>17318</v>
      </c>
      <c r="BV292" s="418">
        <f>S292+BK292</f>
        <v>12.2324</v>
      </c>
      <c r="BW292" s="418">
        <f>T292+BI292</f>
        <v>11.095599999999999</v>
      </c>
      <c r="BX292" s="420">
        <f>U292+BJ292</f>
        <v>1.1368</v>
      </c>
      <c r="BY292" s="419"/>
      <c r="BZ292" s="414"/>
      <c r="CA292" s="414"/>
      <c r="CB292" s="414"/>
      <c r="CC292" s="414"/>
      <c r="CD292" s="509"/>
      <c r="CE292" s="419">
        <v>185112</v>
      </c>
      <c r="CF292" s="414">
        <v>133120</v>
      </c>
      <c r="CG292" s="414">
        <v>44995</v>
      </c>
      <c r="CH292" s="414">
        <v>1331</v>
      </c>
      <c r="CI292" s="414">
        <v>5666</v>
      </c>
      <c r="CJ292" s="509">
        <v>0.37340000000000001</v>
      </c>
    </row>
    <row r="293" spans="1:88" s="221" customFormat="1" ht="12.75" customHeight="1" thickBot="1">
      <c r="A293" s="159">
        <v>53</v>
      </c>
      <c r="B293" s="33">
        <v>4470</v>
      </c>
      <c r="C293" s="33">
        <v>600075109</v>
      </c>
      <c r="D293" s="33">
        <v>70982112</v>
      </c>
      <c r="E293" s="234" t="s">
        <v>243</v>
      </c>
      <c r="F293" s="33"/>
      <c r="G293" s="160"/>
      <c r="H293" s="610"/>
      <c r="I293" s="852">
        <v>10032529</v>
      </c>
      <c r="J293" s="853">
        <v>7429681</v>
      </c>
      <c r="K293" s="853">
        <v>7024499</v>
      </c>
      <c r="L293" s="853">
        <v>405182</v>
      </c>
      <c r="M293" s="853">
        <v>0</v>
      </c>
      <c r="N293" s="853">
        <v>0</v>
      </c>
      <c r="O293" s="853">
        <v>0</v>
      </c>
      <c r="P293" s="853">
        <v>2511233</v>
      </c>
      <c r="Q293" s="853">
        <v>74297</v>
      </c>
      <c r="R293" s="853">
        <v>17318</v>
      </c>
      <c r="S293" s="854">
        <v>12.2324</v>
      </c>
      <c r="T293" s="854">
        <v>11.095599999999999</v>
      </c>
      <c r="U293" s="855">
        <v>1.1368</v>
      </c>
      <c r="V293" s="907">
        <f t="shared" ref="V293:CG293" si="480">SUM(V292)</f>
        <v>0</v>
      </c>
      <c r="W293" s="908">
        <f t="shared" si="480"/>
        <v>0</v>
      </c>
      <c r="X293" s="908">
        <f t="shared" si="480"/>
        <v>0</v>
      </c>
      <c r="Y293" s="908">
        <f t="shared" si="480"/>
        <v>0</v>
      </c>
      <c r="Z293" s="908">
        <f t="shared" si="480"/>
        <v>0</v>
      </c>
      <c r="AA293" s="908">
        <f t="shared" si="480"/>
        <v>0</v>
      </c>
      <c r="AB293" s="908">
        <f t="shared" si="480"/>
        <v>0</v>
      </c>
      <c r="AC293" s="908">
        <f t="shared" si="480"/>
        <v>0</v>
      </c>
      <c r="AD293" s="908">
        <f t="shared" si="480"/>
        <v>0</v>
      </c>
      <c r="AE293" s="908">
        <f t="shared" si="480"/>
        <v>0</v>
      </c>
      <c r="AF293" s="908">
        <f t="shared" si="480"/>
        <v>0</v>
      </c>
      <c r="AG293" s="908">
        <f t="shared" si="480"/>
        <v>0</v>
      </c>
      <c r="AH293" s="908">
        <f t="shared" si="480"/>
        <v>0</v>
      </c>
      <c r="AI293" s="908">
        <f t="shared" si="480"/>
        <v>0</v>
      </c>
      <c r="AJ293" s="908">
        <f t="shared" si="480"/>
        <v>0</v>
      </c>
      <c r="AK293" s="908">
        <f t="shared" si="480"/>
        <v>0</v>
      </c>
      <c r="AL293" s="908">
        <f t="shared" si="480"/>
        <v>0</v>
      </c>
      <c r="AM293" s="908">
        <f t="shared" si="480"/>
        <v>0</v>
      </c>
      <c r="AN293" s="908">
        <f t="shared" si="480"/>
        <v>0</v>
      </c>
      <c r="AO293" s="908">
        <f t="shared" si="480"/>
        <v>0</v>
      </c>
      <c r="AP293" s="908">
        <f t="shared" si="480"/>
        <v>0</v>
      </c>
      <c r="AQ293" s="908">
        <f t="shared" si="480"/>
        <v>0</v>
      </c>
      <c r="AR293" s="908">
        <f t="shared" si="480"/>
        <v>0</v>
      </c>
      <c r="AS293" s="908">
        <f t="shared" si="480"/>
        <v>0</v>
      </c>
      <c r="AT293" s="908">
        <f t="shared" si="480"/>
        <v>0</v>
      </c>
      <c r="AU293" s="908">
        <f t="shared" si="480"/>
        <v>0</v>
      </c>
      <c r="AV293" s="908">
        <f t="shared" si="480"/>
        <v>0</v>
      </c>
      <c r="AW293" s="908">
        <f t="shared" si="480"/>
        <v>0</v>
      </c>
      <c r="AX293" s="908">
        <f t="shared" si="480"/>
        <v>0</v>
      </c>
      <c r="AY293" s="908">
        <f t="shared" si="480"/>
        <v>0</v>
      </c>
      <c r="AZ293" s="912">
        <f t="shared" si="480"/>
        <v>0</v>
      </c>
      <c r="BA293" s="912">
        <f t="shared" si="480"/>
        <v>0</v>
      </c>
      <c r="BB293" s="912">
        <f t="shared" si="480"/>
        <v>0</v>
      </c>
      <c r="BC293" s="912">
        <f t="shared" si="480"/>
        <v>0</v>
      </c>
      <c r="BD293" s="912">
        <f t="shared" si="480"/>
        <v>0</v>
      </c>
      <c r="BE293" s="912">
        <f t="shared" si="480"/>
        <v>0</v>
      </c>
      <c r="BF293" s="912">
        <f t="shared" si="480"/>
        <v>0</v>
      </c>
      <c r="BG293" s="912">
        <f t="shared" si="480"/>
        <v>0</v>
      </c>
      <c r="BH293" s="912">
        <f t="shared" si="480"/>
        <v>0</v>
      </c>
      <c r="BI293" s="912">
        <f t="shared" si="480"/>
        <v>0</v>
      </c>
      <c r="BJ293" s="912">
        <f t="shared" si="480"/>
        <v>0</v>
      </c>
      <c r="BK293" s="913">
        <f t="shared" si="480"/>
        <v>0</v>
      </c>
      <c r="BL293" s="852">
        <f t="shared" si="480"/>
        <v>10032529</v>
      </c>
      <c r="BM293" s="853">
        <f t="shared" si="480"/>
        <v>7429681</v>
      </c>
      <c r="BN293" s="853">
        <f t="shared" si="480"/>
        <v>7024499</v>
      </c>
      <c r="BO293" s="853">
        <f t="shared" si="480"/>
        <v>405182</v>
      </c>
      <c r="BP293" s="853">
        <f t="shared" si="480"/>
        <v>0</v>
      </c>
      <c r="BQ293" s="853">
        <f t="shared" si="480"/>
        <v>0</v>
      </c>
      <c r="BR293" s="853">
        <f t="shared" si="480"/>
        <v>0</v>
      </c>
      <c r="BS293" s="853">
        <f t="shared" si="480"/>
        <v>2511233</v>
      </c>
      <c r="BT293" s="853">
        <f t="shared" si="480"/>
        <v>74297</v>
      </c>
      <c r="BU293" s="853">
        <f t="shared" si="480"/>
        <v>17318</v>
      </c>
      <c r="BV293" s="854">
        <f t="shared" si="480"/>
        <v>12.2324</v>
      </c>
      <c r="BW293" s="854">
        <f t="shared" si="480"/>
        <v>11.095599999999999</v>
      </c>
      <c r="BX293" s="856">
        <f t="shared" si="480"/>
        <v>1.1368</v>
      </c>
      <c r="BY293" s="814">
        <f t="shared" si="480"/>
        <v>0</v>
      </c>
      <c r="BZ293" s="815">
        <f t="shared" si="480"/>
        <v>0</v>
      </c>
      <c r="CA293" s="815">
        <f t="shared" si="480"/>
        <v>0</v>
      </c>
      <c r="CB293" s="815">
        <f t="shared" si="480"/>
        <v>0</v>
      </c>
      <c r="CC293" s="815">
        <f t="shared" si="480"/>
        <v>0</v>
      </c>
      <c r="CD293" s="816">
        <f t="shared" si="480"/>
        <v>0</v>
      </c>
      <c r="CE293" s="928">
        <f t="shared" si="480"/>
        <v>185112</v>
      </c>
      <c r="CF293" s="929">
        <f t="shared" si="480"/>
        <v>133120</v>
      </c>
      <c r="CG293" s="929">
        <f t="shared" si="480"/>
        <v>44995</v>
      </c>
      <c r="CH293" s="929">
        <f t="shared" ref="CH293:CJ293" si="481">SUM(CH292)</f>
        <v>1331</v>
      </c>
      <c r="CI293" s="929">
        <f t="shared" si="481"/>
        <v>5666</v>
      </c>
      <c r="CJ293" s="1071">
        <f t="shared" si="481"/>
        <v>0.37340000000000001</v>
      </c>
    </row>
    <row r="294" spans="1:88" s="221" customFormat="1" ht="13.5" thickBot="1">
      <c r="A294" s="161"/>
      <c r="B294" s="30"/>
      <c r="C294" s="30"/>
      <c r="D294" s="30"/>
      <c r="E294" s="85" t="s">
        <v>754</v>
      </c>
      <c r="F294" s="30"/>
      <c r="G294" s="162"/>
      <c r="H294" s="611"/>
      <c r="I294" s="858">
        <f t="shared" ref="I294:AY294" si="482">I13+I17+I22+I27+I31+I35+I39+I43+I45+I52+I58+I65+I71+I77+I84+I90+I96+I107+I109+I113+I120+I124+I130+I137+I144+I146+I150+I157+I164+I171+I178+I182+I188+I195+I199+I205+I214+I216+I220+I227+I234+I238+I245+I249+I256+I263+I270+I277+I284+I291+I293</f>
        <v>1100001890</v>
      </c>
      <c r="J294" s="859">
        <f t="shared" si="482"/>
        <v>803453211</v>
      </c>
      <c r="K294" s="859">
        <f t="shared" si="482"/>
        <v>680860865</v>
      </c>
      <c r="L294" s="859">
        <f t="shared" si="482"/>
        <v>122592346</v>
      </c>
      <c r="M294" s="859">
        <f t="shared" si="482"/>
        <v>4079440</v>
      </c>
      <c r="N294" s="859">
        <f t="shared" si="482"/>
        <v>2858740</v>
      </c>
      <c r="O294" s="859">
        <f t="shared" si="482"/>
        <v>1220700</v>
      </c>
      <c r="P294" s="859">
        <f t="shared" si="482"/>
        <v>272946034</v>
      </c>
      <c r="Q294" s="859">
        <f t="shared" si="482"/>
        <v>8034533</v>
      </c>
      <c r="R294" s="859">
        <f t="shared" si="482"/>
        <v>11488672</v>
      </c>
      <c r="S294" s="860">
        <f t="shared" si="482"/>
        <v>1514.5049000000008</v>
      </c>
      <c r="T294" s="860">
        <f t="shared" si="482"/>
        <v>1137.8429000000003</v>
      </c>
      <c r="U294" s="860">
        <f t="shared" si="482"/>
        <v>376.66199999999998</v>
      </c>
      <c r="V294" s="909">
        <f t="shared" si="482"/>
        <v>206807</v>
      </c>
      <c r="W294" s="909">
        <f t="shared" si="482"/>
        <v>-664050</v>
      </c>
      <c r="X294" s="909">
        <f t="shared" si="482"/>
        <v>111976</v>
      </c>
      <c r="Y294" s="909">
        <f t="shared" si="482"/>
        <v>544164</v>
      </c>
      <c r="Z294" s="909">
        <f t="shared" si="482"/>
        <v>1806</v>
      </c>
      <c r="AA294" s="909">
        <f t="shared" si="482"/>
        <v>-285439</v>
      </c>
      <c r="AB294" s="909">
        <f t="shared" si="482"/>
        <v>0</v>
      </c>
      <c r="AC294" s="909">
        <f t="shared" si="482"/>
        <v>0</v>
      </c>
      <c r="AD294" s="909">
        <f t="shared" si="482"/>
        <v>0</v>
      </c>
      <c r="AE294" s="909">
        <f t="shared" si="482"/>
        <v>864753</v>
      </c>
      <c r="AF294" s="909">
        <f t="shared" si="482"/>
        <v>-949489</v>
      </c>
      <c r="AG294" s="909">
        <f t="shared" si="482"/>
        <v>-84736</v>
      </c>
      <c r="AH294" s="909">
        <f t="shared" si="482"/>
        <v>-356220</v>
      </c>
      <c r="AI294" s="909">
        <f t="shared" si="482"/>
        <v>664050</v>
      </c>
      <c r="AJ294" s="909">
        <f t="shared" si="482"/>
        <v>0</v>
      </c>
      <c r="AK294" s="909">
        <f t="shared" si="482"/>
        <v>149413</v>
      </c>
      <c r="AL294" s="909">
        <f t="shared" si="482"/>
        <v>0</v>
      </c>
      <c r="AM294" s="909">
        <f t="shared" si="482"/>
        <v>-206807</v>
      </c>
      <c r="AN294" s="909">
        <f t="shared" si="482"/>
        <v>664050</v>
      </c>
      <c r="AO294" s="909">
        <f t="shared" si="482"/>
        <v>457243</v>
      </c>
      <c r="AP294" s="909">
        <f t="shared" si="482"/>
        <v>657946</v>
      </c>
      <c r="AQ294" s="909">
        <f t="shared" si="482"/>
        <v>-285439</v>
      </c>
      <c r="AR294" s="909">
        <f t="shared" si="482"/>
        <v>372507</v>
      </c>
      <c r="AS294" s="909">
        <f t="shared" si="482"/>
        <v>75404</v>
      </c>
      <c r="AT294" s="909">
        <f t="shared" si="482"/>
        <v>-847</v>
      </c>
      <c r="AU294" s="909">
        <f t="shared" si="482"/>
        <v>79500</v>
      </c>
      <c r="AV294" s="909">
        <f t="shared" si="482"/>
        <v>0</v>
      </c>
      <c r="AW294" s="909">
        <f t="shared" si="482"/>
        <v>0</v>
      </c>
      <c r="AX294" s="909">
        <f t="shared" si="482"/>
        <v>79500</v>
      </c>
      <c r="AY294" s="909">
        <f t="shared" si="482"/>
        <v>526564</v>
      </c>
      <c r="AZ294" s="910">
        <f t="shared" ref="AZ294:BU294" si="483">AZ13+AZ17+AZ22+AZ27+AZ31+AZ35+AZ39+AZ43+AZ45+AZ52+AZ58+AZ65+AZ71+AZ77+AZ84+AZ90+AZ96+AZ107+AZ109+AZ113+AZ120+AZ124+AZ130+AZ137+AZ144+AZ146+AZ150+AZ157+AZ164+AZ171+AZ178+AZ182+AZ188+AZ195+AZ199+AZ205+AZ214++AZ216+AZ220+AZ227+AZ234+AZ238+AZ245+AZ249+AZ256+AZ263+AZ270+AZ277+AZ284+AZ291+AZ293</f>
        <v>0.33000000000000007</v>
      </c>
      <c r="BA294" s="910">
        <f t="shared" si="483"/>
        <v>-0.6100000000000001</v>
      </c>
      <c r="BB294" s="910">
        <f t="shared" si="483"/>
        <v>0.3500000000000002</v>
      </c>
      <c r="BC294" s="910">
        <f t="shared" si="483"/>
        <v>0.21000000000000016</v>
      </c>
      <c r="BD294" s="910">
        <f t="shared" si="483"/>
        <v>-0.85999999999999988</v>
      </c>
      <c r="BE294" s="910">
        <f t="shared" si="483"/>
        <v>0.78</v>
      </c>
      <c r="BF294" s="910">
        <f t="shared" si="483"/>
        <v>0</v>
      </c>
      <c r="BG294" s="910">
        <f t="shared" si="483"/>
        <v>0</v>
      </c>
      <c r="BH294" s="910">
        <f t="shared" si="483"/>
        <v>0</v>
      </c>
      <c r="BI294" s="910">
        <f t="shared" si="483"/>
        <v>1.6699999999999997</v>
      </c>
      <c r="BJ294" s="910">
        <f t="shared" si="483"/>
        <v>-1.4700000000000006</v>
      </c>
      <c r="BK294" s="911">
        <f t="shared" si="483"/>
        <v>0.20000000000000018</v>
      </c>
      <c r="BL294" s="858">
        <f t="shared" si="483"/>
        <v>1100528454</v>
      </c>
      <c r="BM294" s="859">
        <f t="shared" si="483"/>
        <v>803368475</v>
      </c>
      <c r="BN294" s="859">
        <f t="shared" si="483"/>
        <v>681725618</v>
      </c>
      <c r="BO294" s="859">
        <f t="shared" si="483"/>
        <v>121642857</v>
      </c>
      <c r="BP294" s="859">
        <f t="shared" si="483"/>
        <v>4536683</v>
      </c>
      <c r="BQ294" s="859">
        <f t="shared" si="483"/>
        <v>2651933</v>
      </c>
      <c r="BR294" s="859">
        <f t="shared" si="483"/>
        <v>1884750</v>
      </c>
      <c r="BS294" s="859">
        <f t="shared" si="483"/>
        <v>273021438</v>
      </c>
      <c r="BT294" s="859">
        <f t="shared" si="483"/>
        <v>8033686</v>
      </c>
      <c r="BU294" s="859">
        <f t="shared" si="483"/>
        <v>11568172</v>
      </c>
      <c r="BV294" s="860">
        <f>BV13+BV17+BV22+BV27+BV31+BV35+BV39+BV43+BV45+BV52+BV58+BV65+BV71+BV77+BV84+BV90+BV96+BV107+BV109+BV113+BV120+BV124+BV130+BV137+BV144+BV146+BV150+BV157+BV164+BV171+BV178+BV182+BV188+BV195+BV199+BV205+BV214+BV216+BV220+BV227+BV234+BV238+BV245+BV249+BV256+BV263+BV270+BV277+BV284+BV291+BV293</f>
        <v>1514.7049000000002</v>
      </c>
      <c r="BW294" s="860">
        <f>BW13+BW17+BW22+BW27+BW31+BW35+BW39+BW43+BW45+BW52+BW58+BW65+BW71+BW77+BW84+BW90+BW96+BW107+BW109+BW113+BW120+BW124+BW130+BW137+BW144+BW146+BW150+BW157+BW164+BW171+BW178+BW182+BW188+BW195+BW199+BW205+BW214+BW216+BW220+BW227+BW234+BW238+BW245+BW249+BW256+BW263+BW270+BW277+BW284+BW291+BW293</f>
        <v>1139.5129000000004</v>
      </c>
      <c r="BX294" s="861">
        <f>BX13+BX17+BX22+BX27+BX31+BX35+BX39+BX43+BX45+BX52+BX58+BX65+BX71+BX77+BX84+BX90+BX96+BX107+BX109+BX113+BX120+BX124+BX130+BX137+BX144+BX146+BX150+BX157+BX164+BX171+BX178+BX182+BX188+BX195+BX199+BX205+BX214+BX216+BX220+BX227+BX234+BX238+BX245+BX249+BX256+BX263+BX270+BX277+BX284+BX291+BX293</f>
        <v>375.19199999999995</v>
      </c>
      <c r="BY294" s="714">
        <f t="shared" ref="BY294:CJ294" si="484">BY13+BY17+BY22+BY27+BY31+BY35+BY39+BY43+BY45+BY52+BY58+BY65+BY71+BY77+BY84+BY90+BY96+BY107+BY109+BY113+BY120+BY124+BY130+BY137+BY144+BY146+BY150+BY157+BY164+BY171+BY178+BY182+BY188+BY195+BY199+BY205+BY214+BY216+BY220+BY227+BY234+BY238+BY245+BY249+BY256+BY263+BY270+BY277+BY284+BY291+BY293</f>
        <v>2051606</v>
      </c>
      <c r="BZ294" s="715">
        <f t="shared" si="484"/>
        <v>1410000</v>
      </c>
      <c r="CA294" s="715">
        <f t="shared" si="484"/>
        <v>112800</v>
      </c>
      <c r="CB294" s="715">
        <f t="shared" si="484"/>
        <v>514706</v>
      </c>
      <c r="CC294" s="715">
        <f t="shared" si="484"/>
        <v>14100</v>
      </c>
      <c r="CD294" s="813">
        <f t="shared" si="484"/>
        <v>2.5</v>
      </c>
      <c r="CE294" s="930">
        <f t="shared" si="484"/>
        <v>31223124</v>
      </c>
      <c r="CF294" s="931">
        <f t="shared" si="484"/>
        <v>21204784</v>
      </c>
      <c r="CG294" s="931">
        <f t="shared" si="484"/>
        <v>7167209</v>
      </c>
      <c r="CH294" s="931">
        <f t="shared" si="484"/>
        <v>212051</v>
      </c>
      <c r="CI294" s="931">
        <f t="shared" si="484"/>
        <v>2639080</v>
      </c>
      <c r="CJ294" s="1072">
        <f t="shared" si="484"/>
        <v>66.017600000000002</v>
      </c>
    </row>
    <row r="295" spans="1:88" s="221" customFormat="1" ht="12.75" customHeight="1">
      <c r="D295" s="9"/>
      <c r="E295" s="5"/>
      <c r="F295" s="9"/>
      <c r="G295" s="20"/>
      <c r="H295" s="5"/>
      <c r="I295" s="427">
        <f>J294+M294+P294+Q294+R294</f>
        <v>1100001890</v>
      </c>
      <c r="J295" s="427">
        <f>SUM(K294:L294)</f>
        <v>803453211</v>
      </c>
      <c r="K295" s="427"/>
      <c r="L295" s="427"/>
      <c r="M295" s="427">
        <f>SUM(N294:O294)</f>
        <v>4079440</v>
      </c>
      <c r="N295" s="427"/>
      <c r="O295" s="427"/>
      <c r="P295" s="427"/>
      <c r="Q295" s="427"/>
      <c r="R295" s="427"/>
      <c r="S295" s="428">
        <f>SUM(T294:U294)</f>
        <v>1514.5049000000004</v>
      </c>
      <c r="T295" s="428"/>
      <c r="U295" s="428"/>
      <c r="V295" s="427">
        <f>AH294</f>
        <v>-356220</v>
      </c>
      <c r="W295" s="427">
        <f>AI294</f>
        <v>664050</v>
      </c>
      <c r="X295" s="428"/>
      <c r="Y295" s="428"/>
      <c r="Z295" s="428"/>
      <c r="AA295" s="428"/>
      <c r="AB295" s="427"/>
      <c r="AC295" s="428"/>
      <c r="AD295" s="428"/>
      <c r="AE295" s="429"/>
      <c r="AF295" s="429"/>
      <c r="AG295" s="429">
        <f>SUM(AE294:AF294)</f>
        <v>-84736</v>
      </c>
      <c r="AH295" s="429">
        <f>V294</f>
        <v>206807</v>
      </c>
      <c r="AI295" s="429">
        <f>W294</f>
        <v>-664050</v>
      </c>
      <c r="AJ295" s="430"/>
      <c r="AK295" s="430"/>
      <c r="AL295" s="430"/>
      <c r="AM295" s="429"/>
      <c r="AN295" s="429"/>
      <c r="AO295" s="429">
        <f>SUM(AM294:AN294)</f>
        <v>457243</v>
      </c>
      <c r="AP295" s="429"/>
      <c r="AQ295" s="429"/>
      <c r="AR295" s="429">
        <f>SUM(AP294:AQ294)</f>
        <v>372507</v>
      </c>
      <c r="AS295" s="431"/>
      <c r="AT295" s="431"/>
      <c r="AU295" s="430"/>
      <c r="AV295" s="430"/>
      <c r="AW295" s="429"/>
      <c r="AX295" s="429">
        <f>SUM(AU294:AW294)</f>
        <v>79500</v>
      </c>
      <c r="AY295" s="429">
        <f>AG294+AO294+AS294+AT294+AX294</f>
        <v>526564</v>
      </c>
      <c r="AZ295" s="432"/>
      <c r="BA295" s="432"/>
      <c r="BB295" s="432"/>
      <c r="BC295" s="432"/>
      <c r="BD295" s="432"/>
      <c r="BE295" s="432"/>
      <c r="BF295" s="507"/>
      <c r="BG295" s="432"/>
      <c r="BH295" s="432"/>
      <c r="BI295" s="507">
        <f>AZ294+BB294+BC294+BE294+BG294</f>
        <v>1.6700000000000004</v>
      </c>
      <c r="BJ295" s="507">
        <f>BA294+BD294+BF294+BH294</f>
        <v>-1.47</v>
      </c>
      <c r="BK295" s="507">
        <f>SUM(BI294:BJ294)</f>
        <v>0.19999999999999907</v>
      </c>
      <c r="BL295" s="427">
        <f>BM294+BP294+BS294+BT294+BU294</f>
        <v>1100528454</v>
      </c>
      <c r="BM295" s="427">
        <f>SUM(BN294:BO294)</f>
        <v>803368475</v>
      </c>
      <c r="BN295" s="429">
        <f>K294+AE294</f>
        <v>681725618</v>
      </c>
      <c r="BO295" s="429">
        <f>L294+AF294</f>
        <v>121642857</v>
      </c>
      <c r="BP295" s="86">
        <f>SUM(BQ294:BR294)</f>
        <v>4536683</v>
      </c>
      <c r="BQ295" s="429">
        <f>N294+AM294</f>
        <v>2651933</v>
      </c>
      <c r="BR295" s="429">
        <f>O294+AN294</f>
        <v>1884750</v>
      </c>
      <c r="BS295" s="429">
        <f>P294+AS294</f>
        <v>273021438</v>
      </c>
      <c r="BT295" s="429">
        <f>Q294+AT294</f>
        <v>8033686</v>
      </c>
      <c r="BU295" s="429">
        <f>R294+AX294</f>
        <v>11568172</v>
      </c>
      <c r="BV295" s="428">
        <f>SUM(BW294:BX294)</f>
        <v>1514.7049000000004</v>
      </c>
      <c r="BW295" s="507">
        <f>T294+BI294</f>
        <v>1139.5129000000004</v>
      </c>
      <c r="BX295" s="507">
        <f>U294+BJ294</f>
        <v>375.19199999999995</v>
      </c>
      <c r="BY295" s="235">
        <f>SUM(BZ294:CC294)</f>
        <v>2051606</v>
      </c>
      <c r="BZ295" s="8"/>
      <c r="CA295" s="8"/>
      <c r="CB295" s="8"/>
      <c r="CC295" s="8"/>
      <c r="CD295" s="7"/>
      <c r="CE295" s="235">
        <f>SUM(CF294:CI294)</f>
        <v>31223124</v>
      </c>
      <c r="CF295" s="8"/>
      <c r="CG295" s="8"/>
      <c r="CH295" s="8"/>
      <c r="CI295" s="8"/>
      <c r="CJ295" s="7"/>
    </row>
    <row r="296" spans="1:88" ht="12.75" customHeight="1" thickBot="1">
      <c r="D296" s="9"/>
      <c r="E296" s="5"/>
      <c r="F296" s="235"/>
      <c r="G296" s="20"/>
      <c r="H296" s="5"/>
      <c r="I296" s="427">
        <f>J297+M297+P297+Q297+R297</f>
        <v>1100001890</v>
      </c>
      <c r="J296" s="427">
        <f>SUM(K297:L297)</f>
        <v>803453211</v>
      </c>
      <c r="K296" s="427"/>
      <c r="L296" s="427"/>
      <c r="M296" s="427">
        <f>SUM(N297:O297)</f>
        <v>4079440</v>
      </c>
      <c r="N296" s="427"/>
      <c r="O296" s="427"/>
      <c r="P296" s="427"/>
      <c r="Q296" s="427"/>
      <c r="R296" s="427"/>
      <c r="S296" s="428">
        <f>SUM(T297:U297)</f>
        <v>1514.5049000000004</v>
      </c>
      <c r="T296" s="428"/>
      <c r="U296" s="428"/>
      <c r="V296" s="427">
        <f>AH297</f>
        <v>-356220</v>
      </c>
      <c r="W296" s="427">
        <f>AI297</f>
        <v>664050</v>
      </c>
      <c r="X296" s="428"/>
      <c r="Y296" s="428"/>
      <c r="Z296" s="428"/>
      <c r="AA296" s="428"/>
      <c r="AB296" s="427"/>
      <c r="AC296" s="428"/>
      <c r="AD296" s="428"/>
      <c r="AE296" s="429"/>
      <c r="AF296" s="429"/>
      <c r="AG296" s="429">
        <f>SUM(AE297:AF297)</f>
        <v>-84736</v>
      </c>
      <c r="AH296" s="429"/>
      <c r="AI296" s="429"/>
      <c r="AJ296" s="430"/>
      <c r="AK296" s="430"/>
      <c r="AL296" s="430"/>
      <c r="AM296" s="429"/>
      <c r="AN296" s="429"/>
      <c r="AO296" s="429">
        <f>SUM(AM297:AN297)</f>
        <v>457243</v>
      </c>
      <c r="AP296" s="429"/>
      <c r="AQ296" s="429"/>
      <c r="AR296" s="429">
        <f>SUM(AP297:AQ297)</f>
        <v>372507</v>
      </c>
      <c r="AS296" s="431"/>
      <c r="AT296" s="431"/>
      <c r="AU296" s="430"/>
      <c r="AV296" s="430"/>
      <c r="AW296" s="429"/>
      <c r="AX296" s="429">
        <f>SUM(AU297:AW297)</f>
        <v>79500</v>
      </c>
      <c r="AY296" s="429">
        <f>AG297+AO297+AS297+AT297+AX297</f>
        <v>526564</v>
      </c>
      <c r="AZ296" s="432"/>
      <c r="BA296" s="432"/>
      <c r="BB296" s="432"/>
      <c r="BC296" s="432"/>
      <c r="BD296" s="432"/>
      <c r="BE296" s="432"/>
      <c r="BF296" s="507"/>
      <c r="BG296" s="432"/>
      <c r="BH296" s="432"/>
      <c r="BI296" s="507">
        <f>AZ297+BB297+BC297+BE297+BG297</f>
        <v>1.6700000000000002</v>
      </c>
      <c r="BJ296" s="507">
        <f>BA297+BD297+BF297+BH297</f>
        <v>-1.47</v>
      </c>
      <c r="BK296" s="507">
        <f>SUM(BI297:BJ297)</f>
        <v>0.20000000000000107</v>
      </c>
      <c r="BL296" s="427">
        <f>BM297+BP297+BS297+BT297+BU297</f>
        <v>1100528454</v>
      </c>
      <c r="BM296" s="427">
        <f>SUM(BN297:BO297)</f>
        <v>803368475</v>
      </c>
      <c r="BN296" s="53"/>
      <c r="BO296" s="53"/>
      <c r="BP296" s="86">
        <f>SUM(BQ297:BR297)</f>
        <v>4536683</v>
      </c>
      <c r="BQ296" s="53"/>
      <c r="BR296" s="53"/>
      <c r="BS296" s="53"/>
      <c r="BT296" s="53"/>
      <c r="BU296" s="53"/>
      <c r="BV296" s="428">
        <f>SUM(BW297:BX297)</f>
        <v>1514.7049</v>
      </c>
      <c r="BW296" s="87"/>
      <c r="BX296" s="87"/>
      <c r="BY296" s="235">
        <f>SUM(BZ297:CC297)</f>
        <v>2051606</v>
      </c>
      <c r="CE296" s="235">
        <f>SUM(CF297:CI297)</f>
        <v>31223124</v>
      </c>
      <c r="CF296" s="8"/>
      <c r="CG296" s="8"/>
      <c r="CH296" s="8"/>
      <c r="CI296" s="8"/>
    </row>
    <row r="297" spans="1:88" ht="13.5" thickBot="1">
      <c r="D297" s="9"/>
      <c r="E297" s="5"/>
      <c r="F297" s="9"/>
      <c r="G297" s="20"/>
      <c r="H297" s="439" t="s">
        <v>0</v>
      </c>
      <c r="I297" s="139">
        <f t="shared" ref="I297:BW297" si="485">SUM(I298:I307)</f>
        <v>1100001890</v>
      </c>
      <c r="J297" s="34">
        <f t="shared" si="485"/>
        <v>803453211</v>
      </c>
      <c r="K297" s="34">
        <f t="shared" si="485"/>
        <v>680860865</v>
      </c>
      <c r="L297" s="34">
        <f t="shared" si="485"/>
        <v>122592346</v>
      </c>
      <c r="M297" s="34">
        <f t="shared" si="485"/>
        <v>4079440</v>
      </c>
      <c r="N297" s="34">
        <f t="shared" si="485"/>
        <v>2858740</v>
      </c>
      <c r="O297" s="34">
        <f t="shared" si="485"/>
        <v>1220700</v>
      </c>
      <c r="P297" s="34">
        <f t="shared" si="485"/>
        <v>272946034</v>
      </c>
      <c r="Q297" s="34">
        <f t="shared" si="485"/>
        <v>8034533</v>
      </c>
      <c r="R297" s="34">
        <f t="shared" si="485"/>
        <v>11488672</v>
      </c>
      <c r="S297" s="35">
        <f t="shared" si="485"/>
        <v>1514.5049000000004</v>
      </c>
      <c r="T297" s="35">
        <f t="shared" si="485"/>
        <v>1137.8429000000003</v>
      </c>
      <c r="U297" s="36">
        <f t="shared" si="485"/>
        <v>376.66200000000003</v>
      </c>
      <c r="V297" s="149">
        <f t="shared" si="485"/>
        <v>206807</v>
      </c>
      <c r="W297" s="34">
        <f t="shared" si="485"/>
        <v>-664050</v>
      </c>
      <c r="X297" s="34">
        <f t="shared" si="485"/>
        <v>111976</v>
      </c>
      <c r="Y297" s="34">
        <f t="shared" si="485"/>
        <v>544164</v>
      </c>
      <c r="Z297" s="34">
        <f t="shared" si="485"/>
        <v>1806</v>
      </c>
      <c r="AA297" s="34">
        <f t="shared" si="485"/>
        <v>-285439</v>
      </c>
      <c r="AB297" s="34">
        <f t="shared" si="485"/>
        <v>0</v>
      </c>
      <c r="AC297" s="34">
        <f t="shared" si="485"/>
        <v>0</v>
      </c>
      <c r="AD297" s="34">
        <f t="shared" si="485"/>
        <v>0</v>
      </c>
      <c r="AE297" s="34">
        <f t="shared" si="485"/>
        <v>864753</v>
      </c>
      <c r="AF297" s="34">
        <f t="shared" si="485"/>
        <v>-949489</v>
      </c>
      <c r="AG297" s="34">
        <f t="shared" si="485"/>
        <v>-84736</v>
      </c>
      <c r="AH297" s="34">
        <f t="shared" si="485"/>
        <v>-356220</v>
      </c>
      <c r="AI297" s="34">
        <f t="shared" si="485"/>
        <v>664050</v>
      </c>
      <c r="AJ297" s="34">
        <f t="shared" si="485"/>
        <v>0</v>
      </c>
      <c r="AK297" s="34">
        <f t="shared" si="485"/>
        <v>149413</v>
      </c>
      <c r="AL297" s="34">
        <f t="shared" si="485"/>
        <v>0</v>
      </c>
      <c r="AM297" s="34">
        <f t="shared" si="485"/>
        <v>-206807</v>
      </c>
      <c r="AN297" s="34">
        <f t="shared" si="485"/>
        <v>664050</v>
      </c>
      <c r="AO297" s="34">
        <f t="shared" si="485"/>
        <v>457243</v>
      </c>
      <c r="AP297" s="34">
        <f t="shared" si="485"/>
        <v>657946</v>
      </c>
      <c r="AQ297" s="34">
        <f t="shared" si="485"/>
        <v>-285439</v>
      </c>
      <c r="AR297" s="34">
        <f t="shared" si="485"/>
        <v>372507</v>
      </c>
      <c r="AS297" s="34">
        <f t="shared" si="485"/>
        <v>75404</v>
      </c>
      <c r="AT297" s="34">
        <f t="shared" si="485"/>
        <v>-847</v>
      </c>
      <c r="AU297" s="34">
        <f t="shared" si="485"/>
        <v>79500</v>
      </c>
      <c r="AV297" s="34">
        <f t="shared" si="485"/>
        <v>0</v>
      </c>
      <c r="AW297" s="34">
        <f t="shared" si="485"/>
        <v>0</v>
      </c>
      <c r="AX297" s="34">
        <f t="shared" si="485"/>
        <v>79500</v>
      </c>
      <c r="AY297" s="34">
        <f t="shared" si="485"/>
        <v>526564</v>
      </c>
      <c r="AZ297" s="35">
        <f t="shared" si="485"/>
        <v>0.32999999999999996</v>
      </c>
      <c r="BA297" s="35">
        <f t="shared" si="485"/>
        <v>-0.6100000000000001</v>
      </c>
      <c r="BB297" s="35">
        <f t="shared" si="485"/>
        <v>0.35000000000000009</v>
      </c>
      <c r="BC297" s="35">
        <f t="shared" si="485"/>
        <v>0.2100000000000001</v>
      </c>
      <c r="BD297" s="35">
        <f t="shared" si="485"/>
        <v>-0.85999999999999988</v>
      </c>
      <c r="BE297" s="35">
        <f t="shared" si="485"/>
        <v>0.78</v>
      </c>
      <c r="BF297" s="35">
        <f t="shared" si="485"/>
        <v>0</v>
      </c>
      <c r="BG297" s="35">
        <f t="shared" si="485"/>
        <v>0</v>
      </c>
      <c r="BH297" s="35">
        <f t="shared" si="485"/>
        <v>0</v>
      </c>
      <c r="BI297" s="35">
        <f t="shared" si="485"/>
        <v>1.6700000000000006</v>
      </c>
      <c r="BJ297" s="35">
        <f t="shared" si="485"/>
        <v>-1.4699999999999995</v>
      </c>
      <c r="BK297" s="148">
        <f t="shared" si="485"/>
        <v>0.20000000000000034</v>
      </c>
      <c r="BL297" s="139">
        <f t="shared" si="485"/>
        <v>1100528454</v>
      </c>
      <c r="BM297" s="34">
        <f t="shared" si="485"/>
        <v>803368475</v>
      </c>
      <c r="BN297" s="34">
        <f t="shared" si="485"/>
        <v>681725618</v>
      </c>
      <c r="BO297" s="34">
        <f t="shared" si="485"/>
        <v>121642857</v>
      </c>
      <c r="BP297" s="34">
        <f t="shared" si="485"/>
        <v>4536683</v>
      </c>
      <c r="BQ297" s="34">
        <f t="shared" si="485"/>
        <v>2651933</v>
      </c>
      <c r="BR297" s="34">
        <f t="shared" si="485"/>
        <v>1884750</v>
      </c>
      <c r="BS297" s="34">
        <f t="shared" si="485"/>
        <v>273021438</v>
      </c>
      <c r="BT297" s="34">
        <f t="shared" si="485"/>
        <v>8033686</v>
      </c>
      <c r="BU297" s="34">
        <f t="shared" si="485"/>
        <v>11568172</v>
      </c>
      <c r="BV297" s="35">
        <f t="shared" si="485"/>
        <v>1514.7049</v>
      </c>
      <c r="BW297" s="35">
        <f t="shared" si="485"/>
        <v>1139.5128999999999</v>
      </c>
      <c r="BX297" s="148">
        <f t="shared" ref="BX297:CJ297" si="486">SUM(BX298:BX307)</f>
        <v>375.19199999999995</v>
      </c>
      <c r="BY297" s="671">
        <f t="shared" si="486"/>
        <v>2051606</v>
      </c>
      <c r="BZ297" s="667">
        <f t="shared" si="486"/>
        <v>1410000</v>
      </c>
      <c r="CA297" s="667">
        <f t="shared" si="486"/>
        <v>112800</v>
      </c>
      <c r="CB297" s="667">
        <f t="shared" si="486"/>
        <v>514706</v>
      </c>
      <c r="CC297" s="667">
        <f t="shared" si="486"/>
        <v>14100</v>
      </c>
      <c r="CD297" s="672">
        <f t="shared" si="486"/>
        <v>2.5</v>
      </c>
      <c r="CE297" s="893">
        <f t="shared" si="486"/>
        <v>31223124</v>
      </c>
      <c r="CF297" s="894">
        <f t="shared" si="486"/>
        <v>21204784</v>
      </c>
      <c r="CG297" s="894">
        <f t="shared" si="486"/>
        <v>7167209</v>
      </c>
      <c r="CH297" s="894">
        <f t="shared" si="486"/>
        <v>212051</v>
      </c>
      <c r="CI297" s="894">
        <f t="shared" si="486"/>
        <v>2639080</v>
      </c>
      <c r="CJ297" s="885">
        <f t="shared" si="486"/>
        <v>66.017600000000002</v>
      </c>
    </row>
    <row r="298" spans="1:88">
      <c r="D298" s="9"/>
      <c r="E298" s="5"/>
      <c r="F298" s="9"/>
      <c r="G298" s="20"/>
      <c r="H298" s="440">
        <v>3111</v>
      </c>
      <c r="I298" s="488">
        <f t="shared" ref="I298:BW298" si="487">SUMIF($F$12:$F$452,"=3111",I$12:I$452)</f>
        <v>223622600</v>
      </c>
      <c r="J298" s="489">
        <f t="shared" si="487"/>
        <v>164578593</v>
      </c>
      <c r="K298" s="489">
        <f t="shared" si="487"/>
        <v>148678633</v>
      </c>
      <c r="L298" s="489">
        <f t="shared" si="487"/>
        <v>15899960</v>
      </c>
      <c r="M298" s="489">
        <f t="shared" si="487"/>
        <v>550600</v>
      </c>
      <c r="N298" s="489">
        <f t="shared" si="487"/>
        <v>217600</v>
      </c>
      <c r="O298" s="489">
        <f t="shared" si="487"/>
        <v>333000</v>
      </c>
      <c r="P298" s="489">
        <f t="shared" si="487"/>
        <v>55813663</v>
      </c>
      <c r="Q298" s="489">
        <f t="shared" si="487"/>
        <v>1645784</v>
      </c>
      <c r="R298" s="489">
        <f t="shared" si="487"/>
        <v>1033960</v>
      </c>
      <c r="S298" s="492">
        <f t="shared" si="487"/>
        <v>326.50029999999987</v>
      </c>
      <c r="T298" s="492">
        <f t="shared" si="487"/>
        <v>269.31760000000003</v>
      </c>
      <c r="U298" s="495">
        <f t="shared" si="487"/>
        <v>57.182699999999997</v>
      </c>
      <c r="V298" s="490">
        <f t="shared" si="487"/>
        <v>-14400</v>
      </c>
      <c r="W298" s="489">
        <f t="shared" si="487"/>
        <v>-39000</v>
      </c>
      <c r="X298" s="489">
        <f t="shared" si="487"/>
        <v>-63345</v>
      </c>
      <c r="Y298" s="489">
        <f t="shared" si="487"/>
        <v>0</v>
      </c>
      <c r="Z298" s="489">
        <f t="shared" si="487"/>
        <v>217278</v>
      </c>
      <c r="AA298" s="489">
        <f t="shared" si="487"/>
        <v>0</v>
      </c>
      <c r="AB298" s="489">
        <f t="shared" si="487"/>
        <v>0</v>
      </c>
      <c r="AC298" s="489">
        <f t="shared" si="487"/>
        <v>0</v>
      </c>
      <c r="AD298" s="489">
        <f t="shared" si="487"/>
        <v>0</v>
      </c>
      <c r="AE298" s="489">
        <f t="shared" si="487"/>
        <v>139533</v>
      </c>
      <c r="AF298" s="489">
        <f t="shared" si="487"/>
        <v>-39000</v>
      </c>
      <c r="AG298" s="489">
        <f t="shared" si="487"/>
        <v>100533</v>
      </c>
      <c r="AH298" s="489">
        <f t="shared" si="487"/>
        <v>14400</v>
      </c>
      <c r="AI298" s="489">
        <f t="shared" si="487"/>
        <v>39000</v>
      </c>
      <c r="AJ298" s="489">
        <f t="shared" si="487"/>
        <v>0</v>
      </c>
      <c r="AK298" s="489">
        <f t="shared" si="487"/>
        <v>0</v>
      </c>
      <c r="AL298" s="489">
        <f t="shared" si="487"/>
        <v>0</v>
      </c>
      <c r="AM298" s="489">
        <f t="shared" si="487"/>
        <v>14400</v>
      </c>
      <c r="AN298" s="489">
        <f t="shared" si="487"/>
        <v>39000</v>
      </c>
      <c r="AO298" s="489">
        <f t="shared" si="487"/>
        <v>53400</v>
      </c>
      <c r="AP298" s="489">
        <f t="shared" si="487"/>
        <v>153933</v>
      </c>
      <c r="AQ298" s="489">
        <f t="shared" si="487"/>
        <v>0</v>
      </c>
      <c r="AR298" s="489">
        <f t="shared" si="487"/>
        <v>153933</v>
      </c>
      <c r="AS298" s="489">
        <f t="shared" si="487"/>
        <v>52029</v>
      </c>
      <c r="AT298" s="489">
        <f t="shared" si="487"/>
        <v>1005</v>
      </c>
      <c r="AU298" s="489">
        <f t="shared" si="487"/>
        <v>-500</v>
      </c>
      <c r="AV298" s="489">
        <f t="shared" si="487"/>
        <v>0</v>
      </c>
      <c r="AW298" s="489">
        <f t="shared" si="487"/>
        <v>0</v>
      </c>
      <c r="AX298" s="489">
        <f t="shared" si="487"/>
        <v>-500</v>
      </c>
      <c r="AY298" s="489">
        <f t="shared" si="487"/>
        <v>206467</v>
      </c>
      <c r="AZ298" s="492">
        <f t="shared" si="487"/>
        <v>-0.01</v>
      </c>
      <c r="BA298" s="492">
        <f t="shared" si="487"/>
        <v>-0.16000000000000003</v>
      </c>
      <c r="BB298" s="492">
        <f t="shared" si="487"/>
        <v>-0.10999999999999999</v>
      </c>
      <c r="BC298" s="492">
        <f t="shared" si="487"/>
        <v>0.51</v>
      </c>
      <c r="BD298" s="492">
        <f t="shared" si="487"/>
        <v>0</v>
      </c>
      <c r="BE298" s="492">
        <f t="shared" si="487"/>
        <v>0</v>
      </c>
      <c r="BF298" s="492">
        <f t="shared" si="487"/>
        <v>0</v>
      </c>
      <c r="BG298" s="492">
        <f t="shared" si="487"/>
        <v>0</v>
      </c>
      <c r="BH298" s="492">
        <f t="shared" si="487"/>
        <v>0</v>
      </c>
      <c r="BI298" s="492">
        <f t="shared" si="487"/>
        <v>0.39</v>
      </c>
      <c r="BJ298" s="492">
        <f t="shared" si="487"/>
        <v>-0.16000000000000003</v>
      </c>
      <c r="BK298" s="493">
        <f t="shared" si="487"/>
        <v>0.22999999999999993</v>
      </c>
      <c r="BL298" s="488">
        <f t="shared" si="487"/>
        <v>223829067</v>
      </c>
      <c r="BM298" s="489">
        <f t="shared" si="487"/>
        <v>164679126</v>
      </c>
      <c r="BN298" s="489">
        <f t="shared" si="487"/>
        <v>148818166</v>
      </c>
      <c r="BO298" s="489">
        <f t="shared" si="487"/>
        <v>15860960</v>
      </c>
      <c r="BP298" s="489">
        <f t="shared" si="487"/>
        <v>604000</v>
      </c>
      <c r="BQ298" s="489">
        <f t="shared" si="487"/>
        <v>232000</v>
      </c>
      <c r="BR298" s="489">
        <f t="shared" si="487"/>
        <v>372000</v>
      </c>
      <c r="BS298" s="489">
        <f t="shared" si="487"/>
        <v>55865692</v>
      </c>
      <c r="BT298" s="489">
        <f t="shared" si="487"/>
        <v>1646789</v>
      </c>
      <c r="BU298" s="489">
        <f t="shared" si="487"/>
        <v>1033460</v>
      </c>
      <c r="BV298" s="492">
        <f t="shared" si="487"/>
        <v>326.73029999999989</v>
      </c>
      <c r="BW298" s="492">
        <f t="shared" si="487"/>
        <v>269.70759999999996</v>
      </c>
      <c r="BX298" s="493">
        <f t="shared" ref="BX298:CJ298" si="488">SUMIF($F$12:$F$452,"=3111",BX$12:BX$452)</f>
        <v>57.022699999999986</v>
      </c>
      <c r="BY298" s="488">
        <f t="shared" si="488"/>
        <v>0</v>
      </c>
      <c r="BZ298" s="489">
        <f t="shared" si="488"/>
        <v>0</v>
      </c>
      <c r="CA298" s="489">
        <f t="shared" si="488"/>
        <v>0</v>
      </c>
      <c r="CB298" s="489">
        <f t="shared" si="488"/>
        <v>0</v>
      </c>
      <c r="CC298" s="489">
        <f t="shared" si="488"/>
        <v>0</v>
      </c>
      <c r="CD298" s="495">
        <f t="shared" si="488"/>
        <v>0</v>
      </c>
      <c r="CE298" s="488">
        <f t="shared" si="488"/>
        <v>7357359</v>
      </c>
      <c r="CF298" s="489">
        <f t="shared" si="488"/>
        <v>5208812</v>
      </c>
      <c r="CG298" s="489">
        <f t="shared" si="488"/>
        <v>1760573</v>
      </c>
      <c r="CH298" s="489">
        <f t="shared" si="488"/>
        <v>52088</v>
      </c>
      <c r="CI298" s="489">
        <f t="shared" si="488"/>
        <v>335886</v>
      </c>
      <c r="CJ298" s="495">
        <f t="shared" si="488"/>
        <v>18.7303</v>
      </c>
    </row>
    <row r="299" spans="1:88">
      <c r="D299" s="9"/>
      <c r="E299" s="5"/>
      <c r="F299" s="9"/>
      <c r="G299" s="20"/>
      <c r="H299" s="2">
        <v>3113</v>
      </c>
      <c r="I299" s="167">
        <f t="shared" ref="I299:BW299" si="489">SUMIF($F$12:$F$452,"=3113",I$12:I$452)</f>
        <v>558703362</v>
      </c>
      <c r="J299" s="16">
        <f t="shared" si="489"/>
        <v>406372896</v>
      </c>
      <c r="K299" s="16">
        <f t="shared" si="489"/>
        <v>368815083</v>
      </c>
      <c r="L299" s="16">
        <f t="shared" si="489"/>
        <v>37557813</v>
      </c>
      <c r="M299" s="16">
        <f t="shared" si="489"/>
        <v>1661800</v>
      </c>
      <c r="N299" s="16">
        <f t="shared" si="489"/>
        <v>1230800</v>
      </c>
      <c r="O299" s="16">
        <f t="shared" si="489"/>
        <v>431000</v>
      </c>
      <c r="P299" s="16">
        <f t="shared" si="489"/>
        <v>137915725</v>
      </c>
      <c r="Q299" s="16">
        <f t="shared" si="489"/>
        <v>4063731</v>
      </c>
      <c r="R299" s="16">
        <f t="shared" si="489"/>
        <v>8689210</v>
      </c>
      <c r="S299" s="13">
        <f t="shared" si="489"/>
        <v>692.95650000000012</v>
      </c>
      <c r="T299" s="13">
        <f t="shared" si="489"/>
        <v>580.46960000000013</v>
      </c>
      <c r="U299" s="17">
        <f t="shared" si="489"/>
        <v>112.48690000000003</v>
      </c>
      <c r="V299" s="168">
        <f t="shared" si="489"/>
        <v>173020</v>
      </c>
      <c r="W299" s="16">
        <f t="shared" si="489"/>
        <v>-496600</v>
      </c>
      <c r="X299" s="16">
        <f t="shared" si="489"/>
        <v>207939</v>
      </c>
      <c r="Y299" s="16">
        <f t="shared" si="489"/>
        <v>544164</v>
      </c>
      <c r="Z299" s="16">
        <f t="shared" si="489"/>
        <v>-373178</v>
      </c>
      <c r="AA299" s="16">
        <f t="shared" si="489"/>
        <v>0</v>
      </c>
      <c r="AB299" s="16">
        <f t="shared" si="489"/>
        <v>0</v>
      </c>
      <c r="AC299" s="16">
        <f t="shared" si="489"/>
        <v>0</v>
      </c>
      <c r="AD299" s="16">
        <f t="shared" si="489"/>
        <v>0</v>
      </c>
      <c r="AE299" s="16">
        <f t="shared" si="489"/>
        <v>551945</v>
      </c>
      <c r="AF299" s="16">
        <f t="shared" si="489"/>
        <v>-496600</v>
      </c>
      <c r="AG299" s="16">
        <f t="shared" si="489"/>
        <v>55345</v>
      </c>
      <c r="AH299" s="16">
        <f t="shared" si="489"/>
        <v>-173020</v>
      </c>
      <c r="AI299" s="16">
        <f t="shared" si="489"/>
        <v>496600</v>
      </c>
      <c r="AJ299" s="16">
        <f t="shared" si="489"/>
        <v>0</v>
      </c>
      <c r="AK299" s="16">
        <f t="shared" si="489"/>
        <v>0</v>
      </c>
      <c r="AL299" s="16">
        <f t="shared" si="489"/>
        <v>0</v>
      </c>
      <c r="AM299" s="16">
        <f t="shared" si="489"/>
        <v>-173020</v>
      </c>
      <c r="AN299" s="16">
        <f t="shared" si="489"/>
        <v>496600</v>
      </c>
      <c r="AO299" s="16">
        <f t="shared" si="489"/>
        <v>323580</v>
      </c>
      <c r="AP299" s="16">
        <f t="shared" si="489"/>
        <v>378925</v>
      </c>
      <c r="AQ299" s="16">
        <f t="shared" si="489"/>
        <v>0</v>
      </c>
      <c r="AR299" s="16">
        <f t="shared" si="489"/>
        <v>378925</v>
      </c>
      <c r="AS299" s="16">
        <f t="shared" si="489"/>
        <v>128076</v>
      </c>
      <c r="AT299" s="16">
        <f t="shared" si="489"/>
        <v>552</v>
      </c>
      <c r="AU299" s="16">
        <f t="shared" si="489"/>
        <v>77500</v>
      </c>
      <c r="AV299" s="16">
        <f t="shared" si="489"/>
        <v>0</v>
      </c>
      <c r="AW299" s="16">
        <f t="shared" si="489"/>
        <v>0</v>
      </c>
      <c r="AX299" s="16">
        <f t="shared" si="489"/>
        <v>77500</v>
      </c>
      <c r="AY299" s="16">
        <f t="shared" si="489"/>
        <v>585053</v>
      </c>
      <c r="AZ299" s="13">
        <f t="shared" si="489"/>
        <v>6.9999999999999979E-2</v>
      </c>
      <c r="BA299" s="13">
        <f t="shared" si="489"/>
        <v>-0.57000000000000006</v>
      </c>
      <c r="BB299" s="13">
        <f t="shared" si="489"/>
        <v>0.54</v>
      </c>
      <c r="BC299" s="13">
        <f t="shared" si="489"/>
        <v>-0.65999999999999992</v>
      </c>
      <c r="BD299" s="13">
        <f t="shared" si="489"/>
        <v>0</v>
      </c>
      <c r="BE299" s="13">
        <f t="shared" si="489"/>
        <v>0.78</v>
      </c>
      <c r="BF299" s="13">
        <f t="shared" si="489"/>
        <v>0</v>
      </c>
      <c r="BG299" s="13">
        <f t="shared" si="489"/>
        <v>0</v>
      </c>
      <c r="BH299" s="13">
        <f t="shared" si="489"/>
        <v>0</v>
      </c>
      <c r="BI299" s="13">
        <f t="shared" si="489"/>
        <v>0.73000000000000043</v>
      </c>
      <c r="BJ299" s="13">
        <f t="shared" si="489"/>
        <v>-0.57000000000000006</v>
      </c>
      <c r="BK299" s="169">
        <f t="shared" si="489"/>
        <v>0.16</v>
      </c>
      <c r="BL299" s="167">
        <f t="shared" si="489"/>
        <v>559288415</v>
      </c>
      <c r="BM299" s="16">
        <f t="shared" si="489"/>
        <v>406428241</v>
      </c>
      <c r="BN299" s="16">
        <f t="shared" si="489"/>
        <v>369367028</v>
      </c>
      <c r="BO299" s="16">
        <f t="shared" si="489"/>
        <v>37061213</v>
      </c>
      <c r="BP299" s="16">
        <f t="shared" si="489"/>
        <v>1985380</v>
      </c>
      <c r="BQ299" s="16">
        <f t="shared" si="489"/>
        <v>1057780</v>
      </c>
      <c r="BR299" s="16">
        <f t="shared" si="489"/>
        <v>927600</v>
      </c>
      <c r="BS299" s="16">
        <f t="shared" si="489"/>
        <v>138043801</v>
      </c>
      <c r="BT299" s="16">
        <f t="shared" si="489"/>
        <v>4064283</v>
      </c>
      <c r="BU299" s="16">
        <f t="shared" si="489"/>
        <v>8766710</v>
      </c>
      <c r="BV299" s="13">
        <f t="shared" si="489"/>
        <v>693.11649999999997</v>
      </c>
      <c r="BW299" s="13">
        <f t="shared" si="489"/>
        <v>581.1995999999998</v>
      </c>
      <c r="BX299" s="169">
        <f t="shared" ref="BX299:CJ299" si="490">SUMIF($F$12:$F$452,"=3113",BX$12:BX$452)</f>
        <v>111.9169</v>
      </c>
      <c r="BY299" s="167">
        <f t="shared" si="490"/>
        <v>2051606</v>
      </c>
      <c r="BZ299" s="16">
        <f t="shared" si="490"/>
        <v>1410000</v>
      </c>
      <c r="CA299" s="16">
        <f t="shared" si="490"/>
        <v>112800</v>
      </c>
      <c r="CB299" s="16">
        <f t="shared" si="490"/>
        <v>514706</v>
      </c>
      <c r="CC299" s="16">
        <f t="shared" si="490"/>
        <v>14100</v>
      </c>
      <c r="CD299" s="17">
        <f t="shared" si="490"/>
        <v>2.5</v>
      </c>
      <c r="CE299" s="167">
        <f t="shared" si="490"/>
        <v>18428306</v>
      </c>
      <c r="CF299" s="16">
        <f t="shared" si="490"/>
        <v>12168858</v>
      </c>
      <c r="CG299" s="16">
        <f t="shared" si="490"/>
        <v>4113070</v>
      </c>
      <c r="CH299" s="16">
        <f t="shared" si="490"/>
        <v>121691</v>
      </c>
      <c r="CI299" s="16">
        <f t="shared" si="490"/>
        <v>2024687</v>
      </c>
      <c r="CJ299" s="17">
        <f t="shared" si="490"/>
        <v>36.439399999999999</v>
      </c>
    </row>
    <row r="300" spans="1:88">
      <c r="D300" s="9"/>
      <c r="E300" s="5"/>
      <c r="F300" s="9"/>
      <c r="G300" s="20"/>
      <c r="H300" s="2">
        <v>3114</v>
      </c>
      <c r="I300" s="167">
        <f t="shared" ref="I300:BW300" si="491">SUMIF($F$12:$F$452,"=3114",I$12:I$452)</f>
        <v>51657151</v>
      </c>
      <c r="J300" s="16">
        <f t="shared" si="491"/>
        <v>38004203</v>
      </c>
      <c r="K300" s="16">
        <f t="shared" si="491"/>
        <v>34726323</v>
      </c>
      <c r="L300" s="16">
        <f t="shared" si="491"/>
        <v>3277880</v>
      </c>
      <c r="M300" s="16">
        <f t="shared" si="491"/>
        <v>0</v>
      </c>
      <c r="N300" s="16">
        <f t="shared" si="491"/>
        <v>0</v>
      </c>
      <c r="O300" s="16">
        <f t="shared" si="491"/>
        <v>0</v>
      </c>
      <c r="P300" s="16">
        <f t="shared" si="491"/>
        <v>12845420</v>
      </c>
      <c r="Q300" s="16">
        <f t="shared" si="491"/>
        <v>380043</v>
      </c>
      <c r="R300" s="16">
        <f t="shared" si="491"/>
        <v>427485</v>
      </c>
      <c r="S300" s="13">
        <f t="shared" si="491"/>
        <v>65.792399999999986</v>
      </c>
      <c r="T300" s="13">
        <f t="shared" si="491"/>
        <v>55.749899999999997</v>
      </c>
      <c r="U300" s="17">
        <f t="shared" si="491"/>
        <v>10.0425</v>
      </c>
      <c r="V300" s="168">
        <f t="shared" si="491"/>
        <v>0</v>
      </c>
      <c r="W300" s="16">
        <f t="shared" si="491"/>
        <v>-90000</v>
      </c>
      <c r="X300" s="16">
        <f t="shared" si="491"/>
        <v>0</v>
      </c>
      <c r="Y300" s="16">
        <f t="shared" si="491"/>
        <v>0</v>
      </c>
      <c r="Z300" s="16">
        <f t="shared" si="491"/>
        <v>0</v>
      </c>
      <c r="AA300" s="16">
        <f t="shared" si="491"/>
        <v>0</v>
      </c>
      <c r="AB300" s="16">
        <f t="shared" si="491"/>
        <v>0</v>
      </c>
      <c r="AC300" s="16">
        <f t="shared" si="491"/>
        <v>0</v>
      </c>
      <c r="AD300" s="16">
        <f t="shared" si="491"/>
        <v>0</v>
      </c>
      <c r="AE300" s="16">
        <f t="shared" si="491"/>
        <v>0</v>
      </c>
      <c r="AF300" s="16">
        <f t="shared" si="491"/>
        <v>-90000</v>
      </c>
      <c r="AG300" s="16">
        <f t="shared" si="491"/>
        <v>-90000</v>
      </c>
      <c r="AH300" s="16">
        <f t="shared" si="491"/>
        <v>0</v>
      </c>
      <c r="AI300" s="16">
        <f t="shared" si="491"/>
        <v>90000</v>
      </c>
      <c r="AJ300" s="16">
        <f t="shared" si="491"/>
        <v>0</v>
      </c>
      <c r="AK300" s="16">
        <f t="shared" si="491"/>
        <v>0</v>
      </c>
      <c r="AL300" s="16">
        <f t="shared" si="491"/>
        <v>0</v>
      </c>
      <c r="AM300" s="16">
        <f t="shared" si="491"/>
        <v>0</v>
      </c>
      <c r="AN300" s="16">
        <f t="shared" si="491"/>
        <v>90000</v>
      </c>
      <c r="AO300" s="16">
        <f t="shared" si="491"/>
        <v>90000</v>
      </c>
      <c r="AP300" s="16">
        <f t="shared" si="491"/>
        <v>0</v>
      </c>
      <c r="AQ300" s="16">
        <f t="shared" si="491"/>
        <v>0</v>
      </c>
      <c r="AR300" s="16">
        <f t="shared" si="491"/>
        <v>0</v>
      </c>
      <c r="AS300" s="16">
        <f t="shared" si="491"/>
        <v>0</v>
      </c>
      <c r="AT300" s="16">
        <f t="shared" si="491"/>
        <v>-900</v>
      </c>
      <c r="AU300" s="16">
        <f t="shared" si="491"/>
        <v>0</v>
      </c>
      <c r="AV300" s="16">
        <f t="shared" si="491"/>
        <v>0</v>
      </c>
      <c r="AW300" s="16">
        <f t="shared" si="491"/>
        <v>0</v>
      </c>
      <c r="AX300" s="16">
        <f t="shared" si="491"/>
        <v>0</v>
      </c>
      <c r="AY300" s="16">
        <f t="shared" si="491"/>
        <v>-900</v>
      </c>
      <c r="AZ300" s="13">
        <f t="shared" si="491"/>
        <v>0</v>
      </c>
      <c r="BA300" s="13">
        <f t="shared" si="491"/>
        <v>0</v>
      </c>
      <c r="BB300" s="13">
        <f t="shared" si="491"/>
        <v>0</v>
      </c>
      <c r="BC300" s="13">
        <f t="shared" si="491"/>
        <v>0</v>
      </c>
      <c r="BD300" s="13">
        <f t="shared" si="491"/>
        <v>0</v>
      </c>
      <c r="BE300" s="13">
        <f t="shared" si="491"/>
        <v>0</v>
      </c>
      <c r="BF300" s="13">
        <f t="shared" si="491"/>
        <v>0</v>
      </c>
      <c r="BG300" s="13">
        <f t="shared" si="491"/>
        <v>0</v>
      </c>
      <c r="BH300" s="13">
        <f t="shared" si="491"/>
        <v>0</v>
      </c>
      <c r="BI300" s="13">
        <f t="shared" si="491"/>
        <v>0</v>
      </c>
      <c r="BJ300" s="13">
        <f t="shared" si="491"/>
        <v>0</v>
      </c>
      <c r="BK300" s="169">
        <f t="shared" si="491"/>
        <v>0</v>
      </c>
      <c r="BL300" s="167">
        <f t="shared" si="491"/>
        <v>51656251</v>
      </c>
      <c r="BM300" s="16">
        <f t="shared" si="491"/>
        <v>37914203</v>
      </c>
      <c r="BN300" s="16">
        <f t="shared" si="491"/>
        <v>34726323</v>
      </c>
      <c r="BO300" s="16">
        <f t="shared" si="491"/>
        <v>3187880</v>
      </c>
      <c r="BP300" s="16">
        <f t="shared" si="491"/>
        <v>90000</v>
      </c>
      <c r="BQ300" s="16">
        <f t="shared" si="491"/>
        <v>0</v>
      </c>
      <c r="BR300" s="16">
        <f t="shared" si="491"/>
        <v>90000</v>
      </c>
      <c r="BS300" s="16">
        <f t="shared" si="491"/>
        <v>12845420</v>
      </c>
      <c r="BT300" s="16">
        <f t="shared" si="491"/>
        <v>379143</v>
      </c>
      <c r="BU300" s="16">
        <f t="shared" si="491"/>
        <v>427485</v>
      </c>
      <c r="BV300" s="13">
        <f t="shared" si="491"/>
        <v>65.792399999999986</v>
      </c>
      <c r="BW300" s="13">
        <f t="shared" si="491"/>
        <v>55.749899999999997</v>
      </c>
      <c r="BX300" s="169">
        <f t="shared" ref="BX300:CJ300" si="492">SUMIF($F$12:$F$452,"=3114",BX$12:BX$452)</f>
        <v>10.0425</v>
      </c>
      <c r="BY300" s="167">
        <f t="shared" si="492"/>
        <v>0</v>
      </c>
      <c r="BZ300" s="16">
        <f t="shared" si="492"/>
        <v>0</v>
      </c>
      <c r="CA300" s="16">
        <f t="shared" si="492"/>
        <v>0</v>
      </c>
      <c r="CB300" s="16">
        <f t="shared" si="492"/>
        <v>0</v>
      </c>
      <c r="CC300" s="16">
        <f t="shared" si="492"/>
        <v>0</v>
      </c>
      <c r="CD300" s="17">
        <f t="shared" si="492"/>
        <v>0</v>
      </c>
      <c r="CE300" s="167">
        <f t="shared" si="492"/>
        <v>1535024</v>
      </c>
      <c r="CF300" s="16">
        <f t="shared" si="492"/>
        <v>1051792</v>
      </c>
      <c r="CG300" s="16">
        <f t="shared" si="492"/>
        <v>355506</v>
      </c>
      <c r="CH300" s="16">
        <f t="shared" si="492"/>
        <v>10519</v>
      </c>
      <c r="CI300" s="16">
        <f t="shared" si="492"/>
        <v>117207</v>
      </c>
      <c r="CJ300" s="17">
        <f t="shared" si="492"/>
        <v>3.2223999999999999</v>
      </c>
    </row>
    <row r="301" spans="1:88">
      <c r="D301" s="9"/>
      <c r="E301" s="5"/>
      <c r="F301" s="9"/>
      <c r="G301" s="20"/>
      <c r="H301" s="2">
        <v>3117</v>
      </c>
      <c r="I301" s="167">
        <f t="shared" ref="I301:BW301" si="493">SUMIF($F$12:$F$452,"=3117",I$12:I$452)</f>
        <v>54771373</v>
      </c>
      <c r="J301" s="16">
        <f t="shared" si="493"/>
        <v>39707339</v>
      </c>
      <c r="K301" s="16">
        <f t="shared" si="493"/>
        <v>33897239</v>
      </c>
      <c r="L301" s="16">
        <f t="shared" si="493"/>
        <v>5810100</v>
      </c>
      <c r="M301" s="16">
        <f t="shared" si="493"/>
        <v>407340</v>
      </c>
      <c r="N301" s="16">
        <f t="shared" si="493"/>
        <v>357340</v>
      </c>
      <c r="O301" s="16">
        <f t="shared" si="493"/>
        <v>50000</v>
      </c>
      <c r="P301" s="16">
        <f t="shared" si="493"/>
        <v>13558767</v>
      </c>
      <c r="Q301" s="16">
        <f t="shared" si="493"/>
        <v>397077</v>
      </c>
      <c r="R301" s="16">
        <f t="shared" si="493"/>
        <v>700850</v>
      </c>
      <c r="S301" s="13">
        <f t="shared" si="493"/>
        <v>79.2119</v>
      </c>
      <c r="T301" s="13">
        <f t="shared" si="493"/>
        <v>63.438499999999998</v>
      </c>
      <c r="U301" s="17">
        <f t="shared" si="493"/>
        <v>15.773399999999999</v>
      </c>
      <c r="V301" s="168">
        <f t="shared" si="493"/>
        <v>102000</v>
      </c>
      <c r="W301" s="16">
        <f t="shared" si="493"/>
        <v>0</v>
      </c>
      <c r="X301" s="16">
        <f t="shared" si="493"/>
        <v>-32618</v>
      </c>
      <c r="Y301" s="16">
        <f t="shared" si="493"/>
        <v>0</v>
      </c>
      <c r="Z301" s="16">
        <f t="shared" si="493"/>
        <v>45121</v>
      </c>
      <c r="AA301" s="16">
        <f t="shared" si="493"/>
        <v>0</v>
      </c>
      <c r="AB301" s="16">
        <f t="shared" si="493"/>
        <v>0</v>
      </c>
      <c r="AC301" s="16">
        <f t="shared" si="493"/>
        <v>0</v>
      </c>
      <c r="AD301" s="16">
        <f t="shared" si="493"/>
        <v>0</v>
      </c>
      <c r="AE301" s="16">
        <f t="shared" si="493"/>
        <v>114503</v>
      </c>
      <c r="AF301" s="16">
        <f t="shared" si="493"/>
        <v>0</v>
      </c>
      <c r="AG301" s="16">
        <f t="shared" si="493"/>
        <v>114503</v>
      </c>
      <c r="AH301" s="16">
        <f t="shared" si="493"/>
        <v>-102000</v>
      </c>
      <c r="AI301" s="16">
        <f t="shared" si="493"/>
        <v>0</v>
      </c>
      <c r="AJ301" s="16">
        <f t="shared" si="493"/>
        <v>0</v>
      </c>
      <c r="AK301" s="16">
        <f t="shared" si="493"/>
        <v>0</v>
      </c>
      <c r="AL301" s="16">
        <f t="shared" si="493"/>
        <v>0</v>
      </c>
      <c r="AM301" s="16">
        <f t="shared" si="493"/>
        <v>-102000</v>
      </c>
      <c r="AN301" s="16">
        <f t="shared" si="493"/>
        <v>0</v>
      </c>
      <c r="AO301" s="16">
        <f t="shared" si="493"/>
        <v>-102000</v>
      </c>
      <c r="AP301" s="16">
        <f t="shared" si="493"/>
        <v>12503</v>
      </c>
      <c r="AQ301" s="16">
        <f t="shared" si="493"/>
        <v>0</v>
      </c>
      <c r="AR301" s="16">
        <f t="shared" si="493"/>
        <v>12503</v>
      </c>
      <c r="AS301" s="16">
        <f t="shared" si="493"/>
        <v>4226</v>
      </c>
      <c r="AT301" s="16">
        <f t="shared" si="493"/>
        <v>1145</v>
      </c>
      <c r="AU301" s="16">
        <f t="shared" si="493"/>
        <v>2500</v>
      </c>
      <c r="AV301" s="16">
        <f t="shared" si="493"/>
        <v>0</v>
      </c>
      <c r="AW301" s="16">
        <f t="shared" si="493"/>
        <v>0</v>
      </c>
      <c r="AX301" s="16">
        <f t="shared" si="493"/>
        <v>2500</v>
      </c>
      <c r="AY301" s="16">
        <f t="shared" si="493"/>
        <v>20374</v>
      </c>
      <c r="AZ301" s="13">
        <f t="shared" si="493"/>
        <v>0.18000000000000002</v>
      </c>
      <c r="BA301" s="13">
        <f t="shared" si="493"/>
        <v>0</v>
      </c>
      <c r="BB301" s="13">
        <f t="shared" si="493"/>
        <v>-7.9999999999999988E-2</v>
      </c>
      <c r="BC301" s="13">
        <f t="shared" si="493"/>
        <v>0.1</v>
      </c>
      <c r="BD301" s="13">
        <f t="shared" si="493"/>
        <v>0</v>
      </c>
      <c r="BE301" s="13">
        <f t="shared" si="493"/>
        <v>0</v>
      </c>
      <c r="BF301" s="13">
        <f t="shared" si="493"/>
        <v>0</v>
      </c>
      <c r="BG301" s="13">
        <f t="shared" si="493"/>
        <v>0</v>
      </c>
      <c r="BH301" s="13">
        <f t="shared" si="493"/>
        <v>0</v>
      </c>
      <c r="BI301" s="13">
        <f t="shared" si="493"/>
        <v>0.20000000000000004</v>
      </c>
      <c r="BJ301" s="13">
        <f t="shared" si="493"/>
        <v>0</v>
      </c>
      <c r="BK301" s="169">
        <f t="shared" si="493"/>
        <v>0.20000000000000004</v>
      </c>
      <c r="BL301" s="167">
        <f t="shared" si="493"/>
        <v>54791747</v>
      </c>
      <c r="BM301" s="16">
        <f t="shared" si="493"/>
        <v>39821842</v>
      </c>
      <c r="BN301" s="16">
        <f t="shared" si="493"/>
        <v>34011742</v>
      </c>
      <c r="BO301" s="16">
        <f t="shared" si="493"/>
        <v>5810100</v>
      </c>
      <c r="BP301" s="16">
        <f t="shared" si="493"/>
        <v>305340</v>
      </c>
      <c r="BQ301" s="16">
        <f t="shared" si="493"/>
        <v>255340</v>
      </c>
      <c r="BR301" s="16">
        <f t="shared" si="493"/>
        <v>50000</v>
      </c>
      <c r="BS301" s="16">
        <f t="shared" si="493"/>
        <v>13562993</v>
      </c>
      <c r="BT301" s="16">
        <f t="shared" si="493"/>
        <v>398222</v>
      </c>
      <c r="BU301" s="16">
        <f t="shared" si="493"/>
        <v>703350</v>
      </c>
      <c r="BV301" s="13">
        <f t="shared" si="493"/>
        <v>79.411900000000003</v>
      </c>
      <c r="BW301" s="13">
        <f t="shared" si="493"/>
        <v>63.638500000000001</v>
      </c>
      <c r="BX301" s="169">
        <f t="shared" ref="BX301:CJ301" si="494">SUMIF($F$12:$F$452,"=3117",BX$12:BX$452)</f>
        <v>15.773399999999999</v>
      </c>
      <c r="BY301" s="167">
        <f t="shared" si="494"/>
        <v>0</v>
      </c>
      <c r="BZ301" s="16">
        <f t="shared" si="494"/>
        <v>0</v>
      </c>
      <c r="CA301" s="16">
        <f t="shared" si="494"/>
        <v>0</v>
      </c>
      <c r="CB301" s="16">
        <f t="shared" si="494"/>
        <v>0</v>
      </c>
      <c r="CC301" s="16">
        <f t="shared" si="494"/>
        <v>0</v>
      </c>
      <c r="CD301" s="17">
        <f t="shared" si="494"/>
        <v>0</v>
      </c>
      <c r="CE301" s="167">
        <f t="shared" si="494"/>
        <v>2654579</v>
      </c>
      <c r="CF301" s="16">
        <f t="shared" si="494"/>
        <v>1880883</v>
      </c>
      <c r="CG301" s="16">
        <f t="shared" si="494"/>
        <v>635740</v>
      </c>
      <c r="CH301" s="16">
        <f t="shared" si="494"/>
        <v>18808</v>
      </c>
      <c r="CI301" s="16">
        <f t="shared" si="494"/>
        <v>119148</v>
      </c>
      <c r="CJ301" s="17">
        <f t="shared" si="494"/>
        <v>5.107899999999999</v>
      </c>
    </row>
    <row r="302" spans="1:88">
      <c r="D302" s="9"/>
      <c r="E302" s="5"/>
      <c r="F302" s="9"/>
      <c r="G302" s="20"/>
      <c r="H302" s="2">
        <v>3122</v>
      </c>
      <c r="I302" s="167">
        <f t="shared" ref="I302:BW302" si="495">SUMIF($F$12:$F$452,"=3122",I$12:I$452)</f>
        <v>0</v>
      </c>
      <c r="J302" s="16">
        <f t="shared" si="495"/>
        <v>0</v>
      </c>
      <c r="K302" s="16">
        <f t="shared" si="495"/>
        <v>0</v>
      </c>
      <c r="L302" s="16">
        <f t="shared" si="495"/>
        <v>0</v>
      </c>
      <c r="M302" s="16">
        <f t="shared" si="495"/>
        <v>0</v>
      </c>
      <c r="N302" s="16">
        <f t="shared" si="495"/>
        <v>0</v>
      </c>
      <c r="O302" s="16">
        <f t="shared" si="495"/>
        <v>0</v>
      </c>
      <c r="P302" s="16">
        <f t="shared" si="495"/>
        <v>0</v>
      </c>
      <c r="Q302" s="16">
        <f t="shared" si="495"/>
        <v>0</v>
      </c>
      <c r="R302" s="16">
        <f t="shared" si="495"/>
        <v>0</v>
      </c>
      <c r="S302" s="13">
        <f t="shared" si="495"/>
        <v>0</v>
      </c>
      <c r="T302" s="13">
        <f t="shared" si="495"/>
        <v>0</v>
      </c>
      <c r="U302" s="17">
        <f t="shared" si="495"/>
        <v>0</v>
      </c>
      <c r="V302" s="168">
        <f t="shared" si="495"/>
        <v>0</v>
      </c>
      <c r="W302" s="16">
        <f t="shared" si="495"/>
        <v>0</v>
      </c>
      <c r="X302" s="16">
        <f t="shared" si="495"/>
        <v>0</v>
      </c>
      <c r="Y302" s="16">
        <f t="shared" si="495"/>
        <v>0</v>
      </c>
      <c r="Z302" s="16">
        <f t="shared" si="495"/>
        <v>0</v>
      </c>
      <c r="AA302" s="16">
        <f t="shared" si="495"/>
        <v>0</v>
      </c>
      <c r="AB302" s="16">
        <f t="shared" si="495"/>
        <v>0</v>
      </c>
      <c r="AC302" s="16">
        <f t="shared" si="495"/>
        <v>0</v>
      </c>
      <c r="AD302" s="16">
        <f t="shared" si="495"/>
        <v>0</v>
      </c>
      <c r="AE302" s="16">
        <f t="shared" si="495"/>
        <v>0</v>
      </c>
      <c r="AF302" s="16">
        <f t="shared" si="495"/>
        <v>0</v>
      </c>
      <c r="AG302" s="16">
        <f t="shared" si="495"/>
        <v>0</v>
      </c>
      <c r="AH302" s="16">
        <f t="shared" si="495"/>
        <v>0</v>
      </c>
      <c r="AI302" s="16">
        <f t="shared" si="495"/>
        <v>0</v>
      </c>
      <c r="AJ302" s="16">
        <f t="shared" si="495"/>
        <v>0</v>
      </c>
      <c r="AK302" s="16">
        <f t="shared" si="495"/>
        <v>0</v>
      </c>
      <c r="AL302" s="16">
        <f t="shared" si="495"/>
        <v>0</v>
      </c>
      <c r="AM302" s="16">
        <f t="shared" si="495"/>
        <v>0</v>
      </c>
      <c r="AN302" s="16">
        <f t="shared" si="495"/>
        <v>0</v>
      </c>
      <c r="AO302" s="16">
        <f t="shared" si="495"/>
        <v>0</v>
      </c>
      <c r="AP302" s="16">
        <f t="shared" si="495"/>
        <v>0</v>
      </c>
      <c r="AQ302" s="16">
        <f t="shared" si="495"/>
        <v>0</v>
      </c>
      <c r="AR302" s="16">
        <f t="shared" si="495"/>
        <v>0</v>
      </c>
      <c r="AS302" s="16">
        <f t="shared" si="495"/>
        <v>0</v>
      </c>
      <c r="AT302" s="16">
        <f t="shared" si="495"/>
        <v>0</v>
      </c>
      <c r="AU302" s="16">
        <f t="shared" si="495"/>
        <v>0</v>
      </c>
      <c r="AV302" s="16">
        <f t="shared" si="495"/>
        <v>0</v>
      </c>
      <c r="AW302" s="16">
        <f t="shared" si="495"/>
        <v>0</v>
      </c>
      <c r="AX302" s="16">
        <f t="shared" si="495"/>
        <v>0</v>
      </c>
      <c r="AY302" s="16">
        <f t="shared" si="495"/>
        <v>0</v>
      </c>
      <c r="AZ302" s="13">
        <f t="shared" si="495"/>
        <v>0</v>
      </c>
      <c r="BA302" s="13">
        <f t="shared" si="495"/>
        <v>0</v>
      </c>
      <c r="BB302" s="13">
        <f t="shared" si="495"/>
        <v>0</v>
      </c>
      <c r="BC302" s="13">
        <f t="shared" si="495"/>
        <v>0</v>
      </c>
      <c r="BD302" s="13">
        <f t="shared" si="495"/>
        <v>0</v>
      </c>
      <c r="BE302" s="13">
        <f t="shared" si="495"/>
        <v>0</v>
      </c>
      <c r="BF302" s="13">
        <f t="shared" si="495"/>
        <v>0</v>
      </c>
      <c r="BG302" s="13">
        <f t="shared" si="495"/>
        <v>0</v>
      </c>
      <c r="BH302" s="13">
        <f t="shared" si="495"/>
        <v>0</v>
      </c>
      <c r="BI302" s="13">
        <f t="shared" si="495"/>
        <v>0</v>
      </c>
      <c r="BJ302" s="13">
        <f t="shared" si="495"/>
        <v>0</v>
      </c>
      <c r="BK302" s="169">
        <f t="shared" si="495"/>
        <v>0</v>
      </c>
      <c r="BL302" s="167">
        <f t="shared" si="495"/>
        <v>0</v>
      </c>
      <c r="BM302" s="16">
        <f t="shared" si="495"/>
        <v>0</v>
      </c>
      <c r="BN302" s="16">
        <f t="shared" si="495"/>
        <v>0</v>
      </c>
      <c r="BO302" s="16">
        <f t="shared" si="495"/>
        <v>0</v>
      </c>
      <c r="BP302" s="16">
        <f t="shared" si="495"/>
        <v>0</v>
      </c>
      <c r="BQ302" s="16">
        <f t="shared" si="495"/>
        <v>0</v>
      </c>
      <c r="BR302" s="16">
        <f t="shared" si="495"/>
        <v>0</v>
      </c>
      <c r="BS302" s="16">
        <f t="shared" si="495"/>
        <v>0</v>
      </c>
      <c r="BT302" s="16">
        <f t="shared" si="495"/>
        <v>0</v>
      </c>
      <c r="BU302" s="16">
        <f t="shared" si="495"/>
        <v>0</v>
      </c>
      <c r="BV302" s="13">
        <f t="shared" si="495"/>
        <v>0</v>
      </c>
      <c r="BW302" s="13">
        <f t="shared" si="495"/>
        <v>0</v>
      </c>
      <c r="BX302" s="169">
        <f t="shared" ref="BX302:CJ302" si="496">SUMIF($F$12:$F$452,"=3122",BX$12:BX$452)</f>
        <v>0</v>
      </c>
      <c r="BY302" s="167">
        <f t="shared" si="496"/>
        <v>0</v>
      </c>
      <c r="BZ302" s="16">
        <f t="shared" si="496"/>
        <v>0</v>
      </c>
      <c r="CA302" s="16">
        <f t="shared" si="496"/>
        <v>0</v>
      </c>
      <c r="CB302" s="16">
        <f t="shared" si="496"/>
        <v>0</v>
      </c>
      <c r="CC302" s="16">
        <f t="shared" si="496"/>
        <v>0</v>
      </c>
      <c r="CD302" s="17">
        <f t="shared" si="496"/>
        <v>0</v>
      </c>
      <c r="CE302" s="167">
        <f t="shared" si="496"/>
        <v>0</v>
      </c>
      <c r="CF302" s="16">
        <f t="shared" si="496"/>
        <v>0</v>
      </c>
      <c r="CG302" s="16">
        <f t="shared" si="496"/>
        <v>0</v>
      </c>
      <c r="CH302" s="16">
        <f t="shared" si="496"/>
        <v>0</v>
      </c>
      <c r="CI302" s="16">
        <f t="shared" si="496"/>
        <v>0</v>
      </c>
      <c r="CJ302" s="17">
        <f t="shared" si="496"/>
        <v>0</v>
      </c>
    </row>
    <row r="303" spans="1:88">
      <c r="D303" s="9"/>
      <c r="E303" s="5"/>
      <c r="F303" s="9"/>
      <c r="G303" s="20"/>
      <c r="H303" s="2">
        <v>3124</v>
      </c>
      <c r="I303" s="167">
        <f t="shared" ref="I303:BW303" si="497">SUMIF($F$12:$F$452,"=3124",I$12:I$452)</f>
        <v>4181589</v>
      </c>
      <c r="J303" s="16">
        <f t="shared" si="497"/>
        <v>3088264</v>
      </c>
      <c r="K303" s="16">
        <f t="shared" si="497"/>
        <v>2937341</v>
      </c>
      <c r="L303" s="16">
        <f t="shared" si="497"/>
        <v>150923</v>
      </c>
      <c r="M303" s="16">
        <f t="shared" si="497"/>
        <v>0</v>
      </c>
      <c r="N303" s="16">
        <f t="shared" si="497"/>
        <v>0</v>
      </c>
      <c r="O303" s="16">
        <f t="shared" si="497"/>
        <v>0</v>
      </c>
      <c r="P303" s="16">
        <f t="shared" si="497"/>
        <v>1043833</v>
      </c>
      <c r="Q303" s="16">
        <f t="shared" si="497"/>
        <v>30882</v>
      </c>
      <c r="R303" s="16">
        <f t="shared" si="497"/>
        <v>18610</v>
      </c>
      <c r="S303" s="13">
        <f t="shared" si="497"/>
        <v>4.7678999999999991</v>
      </c>
      <c r="T303" s="13">
        <f t="shared" si="497"/>
        <v>4.3174999999999999</v>
      </c>
      <c r="U303" s="17">
        <f t="shared" si="497"/>
        <v>0.45040000000000002</v>
      </c>
      <c r="V303" s="168">
        <f t="shared" si="497"/>
        <v>0</v>
      </c>
      <c r="W303" s="16">
        <f t="shared" si="497"/>
        <v>0</v>
      </c>
      <c r="X303" s="16">
        <f t="shared" si="497"/>
        <v>0</v>
      </c>
      <c r="Y303" s="16">
        <f t="shared" si="497"/>
        <v>0</v>
      </c>
      <c r="Z303" s="16">
        <f t="shared" si="497"/>
        <v>0</v>
      </c>
      <c r="AA303" s="16">
        <f t="shared" si="497"/>
        <v>0</v>
      </c>
      <c r="AB303" s="16">
        <f t="shared" si="497"/>
        <v>0</v>
      </c>
      <c r="AC303" s="16">
        <f t="shared" si="497"/>
        <v>0</v>
      </c>
      <c r="AD303" s="16">
        <f t="shared" si="497"/>
        <v>0</v>
      </c>
      <c r="AE303" s="16">
        <f t="shared" si="497"/>
        <v>0</v>
      </c>
      <c r="AF303" s="16">
        <f t="shared" si="497"/>
        <v>0</v>
      </c>
      <c r="AG303" s="16">
        <f t="shared" si="497"/>
        <v>0</v>
      </c>
      <c r="AH303" s="16">
        <f t="shared" si="497"/>
        <v>0</v>
      </c>
      <c r="AI303" s="16">
        <f t="shared" si="497"/>
        <v>0</v>
      </c>
      <c r="AJ303" s="16">
        <f t="shared" si="497"/>
        <v>0</v>
      </c>
      <c r="AK303" s="16">
        <f t="shared" si="497"/>
        <v>0</v>
      </c>
      <c r="AL303" s="16">
        <f t="shared" si="497"/>
        <v>0</v>
      </c>
      <c r="AM303" s="16">
        <f t="shared" si="497"/>
        <v>0</v>
      </c>
      <c r="AN303" s="16">
        <f t="shared" si="497"/>
        <v>0</v>
      </c>
      <c r="AO303" s="16">
        <f t="shared" si="497"/>
        <v>0</v>
      </c>
      <c r="AP303" s="16">
        <f t="shared" si="497"/>
        <v>0</v>
      </c>
      <c r="AQ303" s="16">
        <f t="shared" si="497"/>
        <v>0</v>
      </c>
      <c r="AR303" s="16">
        <f t="shared" si="497"/>
        <v>0</v>
      </c>
      <c r="AS303" s="16">
        <f t="shared" si="497"/>
        <v>0</v>
      </c>
      <c r="AT303" s="16">
        <f t="shared" si="497"/>
        <v>0</v>
      </c>
      <c r="AU303" s="16">
        <f t="shared" si="497"/>
        <v>0</v>
      </c>
      <c r="AV303" s="16">
        <f t="shared" si="497"/>
        <v>0</v>
      </c>
      <c r="AW303" s="16">
        <f t="shared" si="497"/>
        <v>0</v>
      </c>
      <c r="AX303" s="16">
        <f t="shared" si="497"/>
        <v>0</v>
      </c>
      <c r="AY303" s="16">
        <f t="shared" si="497"/>
        <v>0</v>
      </c>
      <c r="AZ303" s="13">
        <f t="shared" si="497"/>
        <v>0</v>
      </c>
      <c r="BA303" s="13">
        <f t="shared" si="497"/>
        <v>0</v>
      </c>
      <c r="BB303" s="13">
        <f t="shared" si="497"/>
        <v>0</v>
      </c>
      <c r="BC303" s="13">
        <f t="shared" si="497"/>
        <v>0</v>
      </c>
      <c r="BD303" s="13">
        <f t="shared" si="497"/>
        <v>0</v>
      </c>
      <c r="BE303" s="13">
        <f t="shared" si="497"/>
        <v>0</v>
      </c>
      <c r="BF303" s="13">
        <f t="shared" si="497"/>
        <v>0</v>
      </c>
      <c r="BG303" s="13">
        <f t="shared" si="497"/>
        <v>0</v>
      </c>
      <c r="BH303" s="13">
        <f t="shared" si="497"/>
        <v>0</v>
      </c>
      <c r="BI303" s="13">
        <f t="shared" si="497"/>
        <v>0</v>
      </c>
      <c r="BJ303" s="13">
        <f t="shared" si="497"/>
        <v>0</v>
      </c>
      <c r="BK303" s="169">
        <f t="shared" si="497"/>
        <v>0</v>
      </c>
      <c r="BL303" s="167">
        <f t="shared" si="497"/>
        <v>4181589</v>
      </c>
      <c r="BM303" s="16">
        <f t="shared" si="497"/>
        <v>3088264</v>
      </c>
      <c r="BN303" s="16">
        <f t="shared" si="497"/>
        <v>2937341</v>
      </c>
      <c r="BO303" s="16">
        <f t="shared" si="497"/>
        <v>150923</v>
      </c>
      <c r="BP303" s="16">
        <f t="shared" si="497"/>
        <v>0</v>
      </c>
      <c r="BQ303" s="16">
        <f t="shared" si="497"/>
        <v>0</v>
      </c>
      <c r="BR303" s="16">
        <f t="shared" si="497"/>
        <v>0</v>
      </c>
      <c r="BS303" s="16">
        <f t="shared" si="497"/>
        <v>1043833</v>
      </c>
      <c r="BT303" s="16">
        <f t="shared" si="497"/>
        <v>30882</v>
      </c>
      <c r="BU303" s="16">
        <f t="shared" si="497"/>
        <v>18610</v>
      </c>
      <c r="BV303" s="13">
        <f t="shared" si="497"/>
        <v>4.7678999999999991</v>
      </c>
      <c r="BW303" s="13">
        <f t="shared" si="497"/>
        <v>4.3174999999999999</v>
      </c>
      <c r="BX303" s="169">
        <f t="shared" ref="BX303:CJ303" si="498">SUMIF($F$12:$F$452,"=3124",BX$12:BX$452)</f>
        <v>0.45040000000000002</v>
      </c>
      <c r="BY303" s="167">
        <f t="shared" si="498"/>
        <v>0</v>
      </c>
      <c r="BZ303" s="16">
        <f t="shared" si="498"/>
        <v>0</v>
      </c>
      <c r="CA303" s="16">
        <f t="shared" si="498"/>
        <v>0</v>
      </c>
      <c r="CB303" s="16">
        <f t="shared" si="498"/>
        <v>0</v>
      </c>
      <c r="CC303" s="16">
        <f t="shared" si="498"/>
        <v>0</v>
      </c>
      <c r="CD303" s="17">
        <f t="shared" si="498"/>
        <v>0</v>
      </c>
      <c r="CE303" s="167">
        <f t="shared" si="498"/>
        <v>71482</v>
      </c>
      <c r="CF303" s="16">
        <f t="shared" si="498"/>
        <v>48429</v>
      </c>
      <c r="CG303" s="16">
        <f t="shared" si="498"/>
        <v>16369</v>
      </c>
      <c r="CH303" s="16">
        <f t="shared" si="498"/>
        <v>484</v>
      </c>
      <c r="CI303" s="16">
        <f t="shared" si="498"/>
        <v>6200</v>
      </c>
      <c r="CJ303" s="17">
        <f t="shared" si="498"/>
        <v>0.14449999999999999</v>
      </c>
    </row>
    <row r="304" spans="1:88">
      <c r="D304" s="9"/>
      <c r="E304" s="5"/>
      <c r="F304" s="9"/>
      <c r="G304" s="20"/>
      <c r="H304" s="2">
        <v>3141</v>
      </c>
      <c r="I304" s="167">
        <f t="shared" ref="I304:BW304" si="499">SUMIF($F$12:$F$452,"=3141",I$12:I$452)</f>
        <v>74080098</v>
      </c>
      <c r="J304" s="16">
        <f t="shared" si="499"/>
        <v>54435447</v>
      </c>
      <c r="K304" s="16">
        <f t="shared" si="499"/>
        <v>0</v>
      </c>
      <c r="L304" s="16">
        <f t="shared" si="499"/>
        <v>54435447</v>
      </c>
      <c r="M304" s="16">
        <f t="shared" si="499"/>
        <v>201400</v>
      </c>
      <c r="N304" s="16">
        <f t="shared" si="499"/>
        <v>0</v>
      </c>
      <c r="O304" s="16">
        <f t="shared" si="499"/>
        <v>201400</v>
      </c>
      <c r="P304" s="16">
        <f t="shared" si="499"/>
        <v>18467253</v>
      </c>
      <c r="Q304" s="16">
        <f t="shared" si="499"/>
        <v>544354</v>
      </c>
      <c r="R304" s="16">
        <f t="shared" si="499"/>
        <v>431644</v>
      </c>
      <c r="S304" s="13">
        <f t="shared" si="499"/>
        <v>163.46</v>
      </c>
      <c r="T304" s="13">
        <f t="shared" si="499"/>
        <v>0</v>
      </c>
      <c r="U304" s="17">
        <f t="shared" si="499"/>
        <v>163.46</v>
      </c>
      <c r="V304" s="168">
        <f t="shared" si="499"/>
        <v>0</v>
      </c>
      <c r="W304" s="16">
        <f t="shared" si="499"/>
        <v>-67500</v>
      </c>
      <c r="X304" s="16">
        <f t="shared" si="499"/>
        <v>0</v>
      </c>
      <c r="Y304" s="16">
        <f t="shared" si="499"/>
        <v>0</v>
      </c>
      <c r="Z304" s="16">
        <f t="shared" si="499"/>
        <v>0</v>
      </c>
      <c r="AA304" s="16">
        <f t="shared" si="499"/>
        <v>-285439</v>
      </c>
      <c r="AB304" s="16">
        <f t="shared" si="499"/>
        <v>0</v>
      </c>
      <c r="AC304" s="16">
        <f t="shared" si="499"/>
        <v>0</v>
      </c>
      <c r="AD304" s="16">
        <f t="shared" si="499"/>
        <v>0</v>
      </c>
      <c r="AE304" s="16">
        <f t="shared" si="499"/>
        <v>0</v>
      </c>
      <c r="AF304" s="16">
        <f t="shared" si="499"/>
        <v>-352939</v>
      </c>
      <c r="AG304" s="16">
        <f t="shared" si="499"/>
        <v>-352939</v>
      </c>
      <c r="AH304" s="16">
        <f t="shared" si="499"/>
        <v>0</v>
      </c>
      <c r="AI304" s="16">
        <f t="shared" si="499"/>
        <v>67500</v>
      </c>
      <c r="AJ304" s="16">
        <f t="shared" si="499"/>
        <v>0</v>
      </c>
      <c r="AK304" s="16">
        <f t="shared" si="499"/>
        <v>0</v>
      </c>
      <c r="AL304" s="16">
        <f t="shared" si="499"/>
        <v>0</v>
      </c>
      <c r="AM304" s="16">
        <f t="shared" si="499"/>
        <v>0</v>
      </c>
      <c r="AN304" s="16">
        <f t="shared" si="499"/>
        <v>67500</v>
      </c>
      <c r="AO304" s="16">
        <f t="shared" si="499"/>
        <v>67500</v>
      </c>
      <c r="AP304" s="16">
        <f t="shared" si="499"/>
        <v>0</v>
      </c>
      <c r="AQ304" s="16">
        <f t="shared" si="499"/>
        <v>-285439</v>
      </c>
      <c r="AR304" s="16">
        <f t="shared" si="499"/>
        <v>-285439</v>
      </c>
      <c r="AS304" s="16">
        <f t="shared" si="499"/>
        <v>-96478</v>
      </c>
      <c r="AT304" s="16">
        <f t="shared" si="499"/>
        <v>-3528</v>
      </c>
      <c r="AU304" s="16">
        <f t="shared" si="499"/>
        <v>0</v>
      </c>
      <c r="AV304" s="16">
        <f t="shared" si="499"/>
        <v>0</v>
      </c>
      <c r="AW304" s="16">
        <f t="shared" si="499"/>
        <v>0</v>
      </c>
      <c r="AX304" s="16">
        <f t="shared" si="499"/>
        <v>0</v>
      </c>
      <c r="AY304" s="16">
        <f t="shared" si="499"/>
        <v>-385445</v>
      </c>
      <c r="AZ304" s="13">
        <f t="shared" si="499"/>
        <v>0</v>
      </c>
      <c r="BA304" s="13">
        <f t="shared" si="499"/>
        <v>0.03</v>
      </c>
      <c r="BB304" s="13">
        <f t="shared" si="499"/>
        <v>0</v>
      </c>
      <c r="BC304" s="13">
        <f t="shared" si="499"/>
        <v>0</v>
      </c>
      <c r="BD304" s="13">
        <f t="shared" si="499"/>
        <v>-0.85999999999999988</v>
      </c>
      <c r="BE304" s="13">
        <f t="shared" si="499"/>
        <v>0</v>
      </c>
      <c r="BF304" s="13">
        <f t="shared" si="499"/>
        <v>0</v>
      </c>
      <c r="BG304" s="13">
        <f t="shared" si="499"/>
        <v>0</v>
      </c>
      <c r="BH304" s="13">
        <f t="shared" si="499"/>
        <v>0</v>
      </c>
      <c r="BI304" s="13">
        <f t="shared" si="499"/>
        <v>0</v>
      </c>
      <c r="BJ304" s="13">
        <f t="shared" si="499"/>
        <v>-0.82999999999999963</v>
      </c>
      <c r="BK304" s="169">
        <f t="shared" si="499"/>
        <v>-0.82999999999999963</v>
      </c>
      <c r="BL304" s="167">
        <f t="shared" si="499"/>
        <v>73694653</v>
      </c>
      <c r="BM304" s="16">
        <f t="shared" si="499"/>
        <v>54082508</v>
      </c>
      <c r="BN304" s="16">
        <f t="shared" si="499"/>
        <v>0</v>
      </c>
      <c r="BO304" s="16">
        <f t="shared" si="499"/>
        <v>54082508</v>
      </c>
      <c r="BP304" s="16">
        <f t="shared" si="499"/>
        <v>268900</v>
      </c>
      <c r="BQ304" s="16">
        <f t="shared" si="499"/>
        <v>0</v>
      </c>
      <c r="BR304" s="16">
        <f t="shared" si="499"/>
        <v>268900</v>
      </c>
      <c r="BS304" s="16">
        <f t="shared" si="499"/>
        <v>18370775</v>
      </c>
      <c r="BT304" s="16">
        <f t="shared" si="499"/>
        <v>540826</v>
      </c>
      <c r="BU304" s="16">
        <f t="shared" si="499"/>
        <v>431644</v>
      </c>
      <c r="BV304" s="13">
        <f t="shared" si="499"/>
        <v>162.62999999999997</v>
      </c>
      <c r="BW304" s="13">
        <f t="shared" si="499"/>
        <v>0</v>
      </c>
      <c r="BX304" s="169">
        <f t="shared" ref="BX304:CJ304" si="500">SUMIF($F$12:$F$452,"=3141",BX$12:BX$452)</f>
        <v>162.62999999999997</v>
      </c>
      <c r="BY304" s="167">
        <f t="shared" si="500"/>
        <v>0</v>
      </c>
      <c r="BZ304" s="16">
        <f t="shared" si="500"/>
        <v>0</v>
      </c>
      <c r="CA304" s="16">
        <f t="shared" si="500"/>
        <v>0</v>
      </c>
      <c r="CB304" s="16">
        <f t="shared" si="500"/>
        <v>0</v>
      </c>
      <c r="CC304" s="16">
        <f t="shared" si="500"/>
        <v>0</v>
      </c>
      <c r="CD304" s="17">
        <f t="shared" si="500"/>
        <v>0</v>
      </c>
      <c r="CE304" s="167">
        <f t="shared" si="500"/>
        <v>0</v>
      </c>
      <c r="CF304" s="16">
        <f t="shared" si="500"/>
        <v>0</v>
      </c>
      <c r="CG304" s="16">
        <f t="shared" si="500"/>
        <v>0</v>
      </c>
      <c r="CH304" s="16">
        <f t="shared" si="500"/>
        <v>0</v>
      </c>
      <c r="CI304" s="16">
        <f t="shared" si="500"/>
        <v>0</v>
      </c>
      <c r="CJ304" s="17">
        <f t="shared" si="500"/>
        <v>0</v>
      </c>
    </row>
    <row r="305" spans="4:88">
      <c r="D305" s="9"/>
      <c r="E305" s="5"/>
      <c r="F305" s="9"/>
      <c r="G305" s="20"/>
      <c r="H305" s="2">
        <v>3143</v>
      </c>
      <c r="I305" s="167">
        <f t="shared" ref="I305:BW305" si="501">SUMIF($F$12:$F$452,"=3143",I$12:I$452)</f>
        <v>59703333</v>
      </c>
      <c r="J305" s="16">
        <f t="shared" si="501"/>
        <v>43961465</v>
      </c>
      <c r="K305" s="16">
        <f t="shared" si="501"/>
        <v>42623865</v>
      </c>
      <c r="L305" s="16">
        <f t="shared" si="501"/>
        <v>1337600</v>
      </c>
      <c r="M305" s="16">
        <f t="shared" si="501"/>
        <v>283000</v>
      </c>
      <c r="N305" s="16">
        <f t="shared" si="501"/>
        <v>283000</v>
      </c>
      <c r="O305" s="16">
        <f t="shared" si="501"/>
        <v>0</v>
      </c>
      <c r="P305" s="16">
        <f t="shared" si="501"/>
        <v>14954629</v>
      </c>
      <c r="Q305" s="16">
        <f t="shared" si="501"/>
        <v>439610</v>
      </c>
      <c r="R305" s="16">
        <f t="shared" si="501"/>
        <v>64629</v>
      </c>
      <c r="S305" s="13">
        <f t="shared" si="501"/>
        <v>90.885300000000058</v>
      </c>
      <c r="T305" s="13">
        <f t="shared" si="501"/>
        <v>85.815300000000022</v>
      </c>
      <c r="U305" s="17">
        <f t="shared" si="501"/>
        <v>5.0699999999999994</v>
      </c>
      <c r="V305" s="168">
        <f t="shared" si="501"/>
        <v>121600</v>
      </c>
      <c r="W305" s="16">
        <f t="shared" si="501"/>
        <v>0</v>
      </c>
      <c r="X305" s="16">
        <f t="shared" si="501"/>
        <v>0</v>
      </c>
      <c r="Y305" s="16">
        <f t="shared" si="501"/>
        <v>0</v>
      </c>
      <c r="Z305" s="16">
        <f t="shared" si="501"/>
        <v>112585</v>
      </c>
      <c r="AA305" s="16">
        <f t="shared" si="501"/>
        <v>0</v>
      </c>
      <c r="AB305" s="16">
        <f t="shared" si="501"/>
        <v>0</v>
      </c>
      <c r="AC305" s="16">
        <f t="shared" si="501"/>
        <v>0</v>
      </c>
      <c r="AD305" s="16">
        <f t="shared" si="501"/>
        <v>0</v>
      </c>
      <c r="AE305" s="16">
        <f t="shared" si="501"/>
        <v>234185</v>
      </c>
      <c r="AF305" s="16">
        <f t="shared" si="501"/>
        <v>0</v>
      </c>
      <c r="AG305" s="16">
        <f t="shared" si="501"/>
        <v>234185</v>
      </c>
      <c r="AH305" s="16">
        <f t="shared" si="501"/>
        <v>-121600</v>
      </c>
      <c r="AI305" s="16">
        <f t="shared" si="501"/>
        <v>0</v>
      </c>
      <c r="AJ305" s="16">
        <f t="shared" si="501"/>
        <v>0</v>
      </c>
      <c r="AK305" s="16">
        <f t="shared" si="501"/>
        <v>0</v>
      </c>
      <c r="AL305" s="16">
        <f t="shared" si="501"/>
        <v>0</v>
      </c>
      <c r="AM305" s="16">
        <f t="shared" si="501"/>
        <v>-121600</v>
      </c>
      <c r="AN305" s="16">
        <f t="shared" si="501"/>
        <v>0</v>
      </c>
      <c r="AO305" s="16">
        <f t="shared" si="501"/>
        <v>-121600</v>
      </c>
      <c r="AP305" s="16">
        <f t="shared" si="501"/>
        <v>112585</v>
      </c>
      <c r="AQ305" s="16">
        <f t="shared" si="501"/>
        <v>0</v>
      </c>
      <c r="AR305" s="16">
        <f t="shared" si="501"/>
        <v>112585</v>
      </c>
      <c r="AS305" s="16">
        <f t="shared" si="501"/>
        <v>38053</v>
      </c>
      <c r="AT305" s="16">
        <f t="shared" si="501"/>
        <v>2343</v>
      </c>
      <c r="AU305" s="16">
        <f t="shared" si="501"/>
        <v>0</v>
      </c>
      <c r="AV305" s="16">
        <f t="shared" si="501"/>
        <v>0</v>
      </c>
      <c r="AW305" s="16">
        <f t="shared" si="501"/>
        <v>0</v>
      </c>
      <c r="AX305" s="16">
        <f t="shared" si="501"/>
        <v>0</v>
      </c>
      <c r="AY305" s="16">
        <f t="shared" si="501"/>
        <v>152981</v>
      </c>
      <c r="AZ305" s="13">
        <f t="shared" si="501"/>
        <v>0.12000000000000001</v>
      </c>
      <c r="BA305" s="13">
        <f t="shared" si="501"/>
        <v>0</v>
      </c>
      <c r="BB305" s="13">
        <f t="shared" si="501"/>
        <v>0</v>
      </c>
      <c r="BC305" s="13">
        <f t="shared" si="501"/>
        <v>0.26</v>
      </c>
      <c r="BD305" s="13">
        <f t="shared" si="501"/>
        <v>0</v>
      </c>
      <c r="BE305" s="13">
        <f t="shared" si="501"/>
        <v>0</v>
      </c>
      <c r="BF305" s="13">
        <f t="shared" si="501"/>
        <v>0</v>
      </c>
      <c r="BG305" s="13">
        <f t="shared" si="501"/>
        <v>0</v>
      </c>
      <c r="BH305" s="13">
        <f t="shared" si="501"/>
        <v>0</v>
      </c>
      <c r="BI305" s="13">
        <f t="shared" si="501"/>
        <v>0.38</v>
      </c>
      <c r="BJ305" s="13">
        <f t="shared" si="501"/>
        <v>0</v>
      </c>
      <c r="BK305" s="169">
        <f t="shared" si="501"/>
        <v>0.38</v>
      </c>
      <c r="BL305" s="167">
        <f t="shared" si="501"/>
        <v>59856314</v>
      </c>
      <c r="BM305" s="16">
        <f t="shared" si="501"/>
        <v>44195650</v>
      </c>
      <c r="BN305" s="16">
        <f t="shared" si="501"/>
        <v>42858050</v>
      </c>
      <c r="BO305" s="16">
        <f t="shared" si="501"/>
        <v>1337600</v>
      </c>
      <c r="BP305" s="16">
        <f t="shared" si="501"/>
        <v>161400</v>
      </c>
      <c r="BQ305" s="16">
        <f t="shared" si="501"/>
        <v>161400</v>
      </c>
      <c r="BR305" s="16">
        <f t="shared" si="501"/>
        <v>0</v>
      </c>
      <c r="BS305" s="16">
        <f t="shared" si="501"/>
        <v>14992682</v>
      </c>
      <c r="BT305" s="16">
        <f t="shared" si="501"/>
        <v>441953</v>
      </c>
      <c r="BU305" s="16">
        <f t="shared" si="501"/>
        <v>64629</v>
      </c>
      <c r="BV305" s="13">
        <f t="shared" si="501"/>
        <v>91.265300000000039</v>
      </c>
      <c r="BW305" s="13">
        <f t="shared" si="501"/>
        <v>86.195300000000032</v>
      </c>
      <c r="BX305" s="169">
        <f t="shared" ref="BX305:CJ305" si="502">SUMIF($F$12:$F$452,"=3143",BX$12:BX$452)</f>
        <v>5.0699999999999994</v>
      </c>
      <c r="BY305" s="167">
        <f t="shared" si="502"/>
        <v>0</v>
      </c>
      <c r="BZ305" s="16">
        <f t="shared" si="502"/>
        <v>0</v>
      </c>
      <c r="CA305" s="16">
        <f t="shared" si="502"/>
        <v>0</v>
      </c>
      <c r="CB305" s="16">
        <f t="shared" si="502"/>
        <v>0</v>
      </c>
      <c r="CC305" s="16">
        <f t="shared" si="502"/>
        <v>0</v>
      </c>
      <c r="CD305" s="17">
        <f t="shared" si="502"/>
        <v>0</v>
      </c>
      <c r="CE305" s="167">
        <f t="shared" si="502"/>
        <v>0</v>
      </c>
      <c r="CF305" s="16">
        <f t="shared" si="502"/>
        <v>0</v>
      </c>
      <c r="CG305" s="16">
        <f t="shared" si="502"/>
        <v>0</v>
      </c>
      <c r="CH305" s="16">
        <f t="shared" si="502"/>
        <v>0</v>
      </c>
      <c r="CI305" s="16">
        <f t="shared" si="502"/>
        <v>0</v>
      </c>
      <c r="CJ305" s="17">
        <f t="shared" si="502"/>
        <v>0</v>
      </c>
    </row>
    <row r="306" spans="4:88">
      <c r="D306" s="9"/>
      <c r="E306" s="5"/>
      <c r="F306" s="9"/>
      <c r="G306" s="20"/>
      <c r="H306" s="2">
        <v>3231</v>
      </c>
      <c r="I306" s="167">
        <f t="shared" ref="I306:BW306" si="503">SUMIF($F$12:$F$452,"=3231",I$12:I$452)</f>
        <v>63810636</v>
      </c>
      <c r="J306" s="16">
        <f t="shared" si="503"/>
        <v>47200868</v>
      </c>
      <c r="K306" s="16">
        <f t="shared" si="503"/>
        <v>44680639</v>
      </c>
      <c r="L306" s="16">
        <f t="shared" si="503"/>
        <v>2520229</v>
      </c>
      <c r="M306" s="16">
        <f t="shared" si="503"/>
        <v>55300</v>
      </c>
      <c r="N306" s="16">
        <f t="shared" si="503"/>
        <v>0</v>
      </c>
      <c r="O306" s="16">
        <f t="shared" si="503"/>
        <v>55300</v>
      </c>
      <c r="P306" s="16">
        <f t="shared" si="503"/>
        <v>15972585</v>
      </c>
      <c r="Q306" s="16">
        <f t="shared" si="503"/>
        <v>472010</v>
      </c>
      <c r="R306" s="16">
        <f t="shared" si="503"/>
        <v>109873</v>
      </c>
      <c r="S306" s="13">
        <f t="shared" si="503"/>
        <v>77.72059999999999</v>
      </c>
      <c r="T306" s="13">
        <f t="shared" si="503"/>
        <v>70.6845</v>
      </c>
      <c r="U306" s="17">
        <f t="shared" si="503"/>
        <v>7.0361000000000002</v>
      </c>
      <c r="V306" s="168">
        <f t="shared" si="503"/>
        <v>-160413</v>
      </c>
      <c r="W306" s="16">
        <f t="shared" si="503"/>
        <v>29050</v>
      </c>
      <c r="X306" s="16">
        <f t="shared" si="503"/>
        <v>0</v>
      </c>
      <c r="Y306" s="16">
        <f t="shared" si="503"/>
        <v>0</v>
      </c>
      <c r="Z306" s="16">
        <f t="shared" si="503"/>
        <v>0</v>
      </c>
      <c r="AA306" s="16">
        <f t="shared" si="503"/>
        <v>0</v>
      </c>
      <c r="AB306" s="16">
        <f t="shared" si="503"/>
        <v>0</v>
      </c>
      <c r="AC306" s="16">
        <f t="shared" si="503"/>
        <v>0</v>
      </c>
      <c r="AD306" s="16">
        <f t="shared" si="503"/>
        <v>0</v>
      </c>
      <c r="AE306" s="16">
        <f t="shared" si="503"/>
        <v>-160413</v>
      </c>
      <c r="AF306" s="16">
        <f t="shared" si="503"/>
        <v>29050</v>
      </c>
      <c r="AG306" s="16">
        <f t="shared" si="503"/>
        <v>-131363</v>
      </c>
      <c r="AH306" s="16">
        <f t="shared" si="503"/>
        <v>11000</v>
      </c>
      <c r="AI306" s="16">
        <f t="shared" si="503"/>
        <v>-29050</v>
      </c>
      <c r="AJ306" s="16">
        <f t="shared" si="503"/>
        <v>0</v>
      </c>
      <c r="AK306" s="16">
        <f t="shared" si="503"/>
        <v>149413</v>
      </c>
      <c r="AL306" s="16">
        <f t="shared" si="503"/>
        <v>0</v>
      </c>
      <c r="AM306" s="16">
        <f t="shared" si="503"/>
        <v>160413</v>
      </c>
      <c r="AN306" s="16">
        <f t="shared" si="503"/>
        <v>-29050</v>
      </c>
      <c r="AO306" s="16">
        <f t="shared" si="503"/>
        <v>131363</v>
      </c>
      <c r="AP306" s="16">
        <f t="shared" si="503"/>
        <v>0</v>
      </c>
      <c r="AQ306" s="16">
        <f t="shared" si="503"/>
        <v>0</v>
      </c>
      <c r="AR306" s="16">
        <f t="shared" si="503"/>
        <v>0</v>
      </c>
      <c r="AS306" s="16">
        <f t="shared" si="503"/>
        <v>-50502</v>
      </c>
      <c r="AT306" s="16">
        <f t="shared" si="503"/>
        <v>-1314</v>
      </c>
      <c r="AU306" s="16">
        <f t="shared" si="503"/>
        <v>0</v>
      </c>
      <c r="AV306" s="16">
        <f t="shared" si="503"/>
        <v>0</v>
      </c>
      <c r="AW306" s="16">
        <f t="shared" si="503"/>
        <v>0</v>
      </c>
      <c r="AX306" s="16">
        <f t="shared" si="503"/>
        <v>0</v>
      </c>
      <c r="AY306" s="16">
        <f t="shared" si="503"/>
        <v>-51816</v>
      </c>
      <c r="AZ306" s="13">
        <f t="shared" si="503"/>
        <v>-0.02</v>
      </c>
      <c r="BA306" s="13">
        <f t="shared" si="503"/>
        <v>0.09</v>
      </c>
      <c r="BB306" s="13">
        <f t="shared" si="503"/>
        <v>0</v>
      </c>
      <c r="BC306" s="13">
        <f t="shared" si="503"/>
        <v>0</v>
      </c>
      <c r="BD306" s="13">
        <f t="shared" si="503"/>
        <v>0</v>
      </c>
      <c r="BE306" s="13">
        <f t="shared" si="503"/>
        <v>0</v>
      </c>
      <c r="BF306" s="13">
        <f t="shared" si="503"/>
        <v>0</v>
      </c>
      <c r="BG306" s="13">
        <f t="shared" si="503"/>
        <v>0</v>
      </c>
      <c r="BH306" s="13">
        <f t="shared" si="503"/>
        <v>0</v>
      </c>
      <c r="BI306" s="13">
        <f t="shared" si="503"/>
        <v>-0.02</v>
      </c>
      <c r="BJ306" s="13">
        <f t="shared" si="503"/>
        <v>0.09</v>
      </c>
      <c r="BK306" s="169">
        <f t="shared" si="503"/>
        <v>7.0000000000000007E-2</v>
      </c>
      <c r="BL306" s="167">
        <f t="shared" si="503"/>
        <v>63758820</v>
      </c>
      <c r="BM306" s="16">
        <f t="shared" si="503"/>
        <v>47069505</v>
      </c>
      <c r="BN306" s="16">
        <f t="shared" si="503"/>
        <v>44520226</v>
      </c>
      <c r="BO306" s="16">
        <f t="shared" si="503"/>
        <v>2549279</v>
      </c>
      <c r="BP306" s="16">
        <f t="shared" si="503"/>
        <v>186663</v>
      </c>
      <c r="BQ306" s="16">
        <f t="shared" si="503"/>
        <v>160413</v>
      </c>
      <c r="BR306" s="16">
        <f t="shared" si="503"/>
        <v>26250</v>
      </c>
      <c r="BS306" s="16">
        <f t="shared" si="503"/>
        <v>15922083</v>
      </c>
      <c r="BT306" s="16">
        <f t="shared" si="503"/>
        <v>470696</v>
      </c>
      <c r="BU306" s="16">
        <f t="shared" si="503"/>
        <v>109873</v>
      </c>
      <c r="BV306" s="13">
        <f t="shared" si="503"/>
        <v>77.790599999999998</v>
      </c>
      <c r="BW306" s="13">
        <f t="shared" si="503"/>
        <v>70.66449999999999</v>
      </c>
      <c r="BX306" s="169">
        <f t="shared" ref="BX306:CJ306" si="504">SUMIF($F$12:$F$452,"=3231",BX$12:BX$452)</f>
        <v>7.1261000000000001</v>
      </c>
      <c r="BY306" s="167">
        <f t="shared" si="504"/>
        <v>0</v>
      </c>
      <c r="BZ306" s="16">
        <f t="shared" si="504"/>
        <v>0</v>
      </c>
      <c r="CA306" s="16">
        <f t="shared" si="504"/>
        <v>0</v>
      </c>
      <c r="CB306" s="16">
        <f t="shared" si="504"/>
        <v>0</v>
      </c>
      <c r="CC306" s="16">
        <f t="shared" si="504"/>
        <v>0</v>
      </c>
      <c r="CD306" s="17">
        <f t="shared" si="504"/>
        <v>0</v>
      </c>
      <c r="CE306" s="167">
        <f t="shared" si="504"/>
        <v>1176374</v>
      </c>
      <c r="CF306" s="16">
        <f t="shared" si="504"/>
        <v>846010</v>
      </c>
      <c r="CG306" s="16">
        <f t="shared" si="504"/>
        <v>285951</v>
      </c>
      <c r="CH306" s="16">
        <f t="shared" si="504"/>
        <v>8461</v>
      </c>
      <c r="CI306" s="16">
        <f t="shared" si="504"/>
        <v>35952</v>
      </c>
      <c r="CJ306" s="17">
        <f t="shared" si="504"/>
        <v>2.3731000000000004</v>
      </c>
    </row>
    <row r="307" spans="4:88" ht="13.5" thickBot="1">
      <c r="D307" s="9"/>
      <c r="E307" s="5"/>
      <c r="F307" s="9"/>
      <c r="G307" s="20"/>
      <c r="H307" s="151">
        <v>3233</v>
      </c>
      <c r="I307" s="170">
        <f t="shared" ref="I307:BW307" si="505">SUMIF($F$12:$F$452,"=3233",I$12:I$452)</f>
        <v>9471748</v>
      </c>
      <c r="J307" s="171">
        <f t="shared" si="505"/>
        <v>6104136</v>
      </c>
      <c r="K307" s="171">
        <f t="shared" si="505"/>
        <v>4501742</v>
      </c>
      <c r="L307" s="171">
        <f t="shared" si="505"/>
        <v>1602394</v>
      </c>
      <c r="M307" s="171">
        <f t="shared" si="505"/>
        <v>920000</v>
      </c>
      <c r="N307" s="171">
        <f t="shared" si="505"/>
        <v>770000</v>
      </c>
      <c r="O307" s="171">
        <f t="shared" si="505"/>
        <v>150000</v>
      </c>
      <c r="P307" s="171">
        <f t="shared" si="505"/>
        <v>2374159</v>
      </c>
      <c r="Q307" s="171">
        <f t="shared" si="505"/>
        <v>61042</v>
      </c>
      <c r="R307" s="171">
        <f t="shared" si="505"/>
        <v>12411</v>
      </c>
      <c r="S307" s="172">
        <f t="shared" si="505"/>
        <v>13.209999999999997</v>
      </c>
      <c r="T307" s="172">
        <f t="shared" si="505"/>
        <v>8.0500000000000007</v>
      </c>
      <c r="U307" s="173">
        <f t="shared" si="505"/>
        <v>5.1599999999999993</v>
      </c>
      <c r="V307" s="174">
        <f t="shared" si="505"/>
        <v>-15000</v>
      </c>
      <c r="W307" s="171">
        <f t="shared" si="505"/>
        <v>0</v>
      </c>
      <c r="X307" s="171">
        <f t="shared" si="505"/>
        <v>0</v>
      </c>
      <c r="Y307" s="171">
        <f t="shared" si="505"/>
        <v>0</v>
      </c>
      <c r="Z307" s="171">
        <f t="shared" si="505"/>
        <v>0</v>
      </c>
      <c r="AA307" s="171">
        <f t="shared" si="505"/>
        <v>0</v>
      </c>
      <c r="AB307" s="171">
        <f t="shared" si="505"/>
        <v>0</v>
      </c>
      <c r="AC307" s="171">
        <f t="shared" si="505"/>
        <v>0</v>
      </c>
      <c r="AD307" s="171">
        <f t="shared" si="505"/>
        <v>0</v>
      </c>
      <c r="AE307" s="171">
        <f t="shared" si="505"/>
        <v>-15000</v>
      </c>
      <c r="AF307" s="171">
        <f t="shared" si="505"/>
        <v>0</v>
      </c>
      <c r="AG307" s="171">
        <f t="shared" si="505"/>
        <v>-15000</v>
      </c>
      <c r="AH307" s="171">
        <f t="shared" si="505"/>
        <v>15000</v>
      </c>
      <c r="AI307" s="171">
        <f t="shared" si="505"/>
        <v>0</v>
      </c>
      <c r="AJ307" s="171">
        <f t="shared" si="505"/>
        <v>0</v>
      </c>
      <c r="AK307" s="171">
        <f t="shared" si="505"/>
        <v>0</v>
      </c>
      <c r="AL307" s="171">
        <f t="shared" si="505"/>
        <v>0</v>
      </c>
      <c r="AM307" s="171">
        <f t="shared" si="505"/>
        <v>15000</v>
      </c>
      <c r="AN307" s="171">
        <f t="shared" si="505"/>
        <v>0</v>
      </c>
      <c r="AO307" s="171">
        <f t="shared" si="505"/>
        <v>15000</v>
      </c>
      <c r="AP307" s="171">
        <f t="shared" si="505"/>
        <v>0</v>
      </c>
      <c r="AQ307" s="171">
        <f t="shared" si="505"/>
        <v>0</v>
      </c>
      <c r="AR307" s="171">
        <f t="shared" si="505"/>
        <v>0</v>
      </c>
      <c r="AS307" s="171">
        <f t="shared" si="505"/>
        <v>0</v>
      </c>
      <c r="AT307" s="171">
        <f t="shared" si="505"/>
        <v>-150</v>
      </c>
      <c r="AU307" s="171">
        <f t="shared" si="505"/>
        <v>0</v>
      </c>
      <c r="AV307" s="171">
        <f t="shared" si="505"/>
        <v>0</v>
      </c>
      <c r="AW307" s="171">
        <f t="shared" si="505"/>
        <v>0</v>
      </c>
      <c r="AX307" s="171">
        <f t="shared" si="505"/>
        <v>0</v>
      </c>
      <c r="AY307" s="171">
        <f t="shared" si="505"/>
        <v>-150</v>
      </c>
      <c r="AZ307" s="172">
        <f t="shared" si="505"/>
        <v>-9.999999999999995E-3</v>
      </c>
      <c r="BA307" s="172">
        <f t="shared" si="505"/>
        <v>0</v>
      </c>
      <c r="BB307" s="172">
        <f t="shared" si="505"/>
        <v>0</v>
      </c>
      <c r="BC307" s="172">
        <f t="shared" si="505"/>
        <v>0</v>
      </c>
      <c r="BD307" s="172">
        <f t="shared" si="505"/>
        <v>0</v>
      </c>
      <c r="BE307" s="172">
        <f t="shared" si="505"/>
        <v>0</v>
      </c>
      <c r="BF307" s="172">
        <f t="shared" si="505"/>
        <v>0</v>
      </c>
      <c r="BG307" s="172">
        <f t="shared" si="505"/>
        <v>0</v>
      </c>
      <c r="BH307" s="172">
        <f t="shared" si="505"/>
        <v>0</v>
      </c>
      <c r="BI307" s="172">
        <f t="shared" si="505"/>
        <v>-9.999999999999995E-3</v>
      </c>
      <c r="BJ307" s="172">
        <f t="shared" si="505"/>
        <v>0</v>
      </c>
      <c r="BK307" s="175">
        <f t="shared" si="505"/>
        <v>-9.999999999999995E-3</v>
      </c>
      <c r="BL307" s="170">
        <f t="shared" si="505"/>
        <v>9471598</v>
      </c>
      <c r="BM307" s="171">
        <f t="shared" si="505"/>
        <v>6089136</v>
      </c>
      <c r="BN307" s="171">
        <f t="shared" si="505"/>
        <v>4486742</v>
      </c>
      <c r="BO307" s="171">
        <f t="shared" si="505"/>
        <v>1602394</v>
      </c>
      <c r="BP307" s="171">
        <f t="shared" si="505"/>
        <v>935000</v>
      </c>
      <c r="BQ307" s="171">
        <f t="shared" si="505"/>
        <v>785000</v>
      </c>
      <c r="BR307" s="171">
        <f t="shared" si="505"/>
        <v>150000</v>
      </c>
      <c r="BS307" s="171">
        <f t="shared" si="505"/>
        <v>2374159</v>
      </c>
      <c r="BT307" s="171">
        <f t="shared" si="505"/>
        <v>60892</v>
      </c>
      <c r="BU307" s="171">
        <f t="shared" si="505"/>
        <v>12411</v>
      </c>
      <c r="BV307" s="172">
        <f t="shared" si="505"/>
        <v>13.199999999999998</v>
      </c>
      <c r="BW307" s="172">
        <f t="shared" si="505"/>
        <v>8.0400000000000009</v>
      </c>
      <c r="BX307" s="175">
        <f t="shared" ref="BX307:CJ307" si="506">SUMIF($F$12:$F$452,"=3233",BX$12:BX$452)</f>
        <v>5.1599999999999993</v>
      </c>
      <c r="BY307" s="170">
        <f t="shared" si="506"/>
        <v>0</v>
      </c>
      <c r="BZ307" s="171">
        <f t="shared" si="506"/>
        <v>0</v>
      </c>
      <c r="CA307" s="171">
        <f t="shared" si="506"/>
        <v>0</v>
      </c>
      <c r="CB307" s="171">
        <f t="shared" si="506"/>
        <v>0</v>
      </c>
      <c r="CC307" s="171">
        <f t="shared" si="506"/>
        <v>0</v>
      </c>
      <c r="CD307" s="173">
        <f t="shared" si="506"/>
        <v>0</v>
      </c>
      <c r="CE307" s="170">
        <f t="shared" si="506"/>
        <v>0</v>
      </c>
      <c r="CF307" s="171">
        <f t="shared" si="506"/>
        <v>0</v>
      </c>
      <c r="CG307" s="171">
        <f t="shared" si="506"/>
        <v>0</v>
      </c>
      <c r="CH307" s="171">
        <f t="shared" si="506"/>
        <v>0</v>
      </c>
      <c r="CI307" s="171">
        <f t="shared" si="506"/>
        <v>0</v>
      </c>
      <c r="CJ307" s="173">
        <f t="shared" si="506"/>
        <v>0</v>
      </c>
    </row>
    <row r="308" spans="4:88">
      <c r="D308" s="5"/>
      <c r="E308" s="5"/>
      <c r="F308" s="5"/>
      <c r="G308" s="20"/>
      <c r="H308" s="5"/>
    </row>
  </sheetData>
  <mergeCells count="58">
    <mergeCell ref="CE6:CJ7"/>
    <mergeCell ref="CE8:CJ9"/>
    <mergeCell ref="AB9:AB10"/>
    <mergeCell ref="BF8:BF9"/>
    <mergeCell ref="BC8:BD9"/>
    <mergeCell ref="BT9:BT10"/>
    <mergeCell ref="BL8:BL10"/>
    <mergeCell ref="AE9:AF9"/>
    <mergeCell ref="BM9:BM10"/>
    <mergeCell ref="BN9:BO9"/>
    <mergeCell ref="AY7:AY10"/>
    <mergeCell ref="AK9:AL9"/>
    <mergeCell ref="AP7:AR9"/>
    <mergeCell ref="AS7:AS10"/>
    <mergeCell ref="AT7:AT10"/>
    <mergeCell ref="AU7:AX9"/>
    <mergeCell ref="V9:W9"/>
    <mergeCell ref="X9:X10"/>
    <mergeCell ref="Y9:Y10"/>
    <mergeCell ref="AC9:AD9"/>
    <mergeCell ref="BY6:CD7"/>
    <mergeCell ref="BY8:CD9"/>
    <mergeCell ref="BQ9:BR9"/>
    <mergeCell ref="BS9:BS10"/>
    <mergeCell ref="AZ7:BK7"/>
    <mergeCell ref="BB8:BB9"/>
    <mergeCell ref="BE8:BE9"/>
    <mergeCell ref="BG8:BH9"/>
    <mergeCell ref="BI8:BK9"/>
    <mergeCell ref="Z9:AA9"/>
    <mergeCell ref="AH7:AO8"/>
    <mergeCell ref="BW8:BX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3:E3"/>
    <mergeCell ref="I8:I10"/>
    <mergeCell ref="I6:U7"/>
    <mergeCell ref="BV8:BV10"/>
    <mergeCell ref="AO9:AO10"/>
    <mergeCell ref="AM9:AN9"/>
    <mergeCell ref="AG9:AG10"/>
    <mergeCell ref="AH9:AI9"/>
    <mergeCell ref="AJ9:AJ10"/>
    <mergeCell ref="BP9:BP10"/>
    <mergeCell ref="AZ8:BA9"/>
    <mergeCell ref="BM8:BU8"/>
    <mergeCell ref="BU9:BU10"/>
    <mergeCell ref="V6:BK6"/>
    <mergeCell ref="BL6:BX7"/>
    <mergeCell ref="V7:AG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CJ155"/>
  <sheetViews>
    <sheetView zoomScaleNormal="100" workbookViewId="0">
      <pane xSplit="8" ySplit="11" topLeftCell="BD47" activePane="bottomRight" state="frozen"/>
      <selection activeCell="V6" sqref="V6:BK10"/>
      <selection pane="topRight" activeCell="V6" sqref="V6:BK10"/>
      <selection pane="bottomLeft" activeCell="V6" sqref="V6:BK10"/>
      <selection pane="bottomRight" activeCell="BL6" sqref="BL6:BX7"/>
    </sheetView>
  </sheetViews>
  <sheetFormatPr defaultColWidth="9.140625" defaultRowHeight="15"/>
  <cols>
    <col min="1" max="1" width="5.28515625" style="308" customWidth="1"/>
    <col min="2" max="2" width="7.140625" style="250" bestFit="1" customWidth="1"/>
    <col min="3" max="3" width="8.7109375" style="309" bestFit="1" customWidth="1"/>
    <col min="4" max="4" width="7.85546875" style="250" bestFit="1" customWidth="1"/>
    <col min="5" max="5" width="31.42578125" style="316" customWidth="1"/>
    <col min="6" max="6" width="6.42578125" style="309" customWidth="1"/>
    <col min="7" max="7" width="10.28515625" style="250" bestFit="1" customWidth="1"/>
    <col min="8" max="8" width="10" style="250" customWidth="1"/>
    <col min="9" max="9" width="12.140625" style="314" customWidth="1"/>
    <col min="10" max="10" width="11.5703125" style="314" customWidth="1"/>
    <col min="11" max="18" width="10.85546875" style="314" customWidth="1"/>
    <col min="19" max="20" width="9.28515625" style="315" customWidth="1"/>
    <col min="21" max="21" width="9.28515625" style="623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1059" customWidth="1"/>
    <col min="29" max="30" width="8.85546875" style="314" customWidth="1"/>
    <col min="31" max="31" width="10.28515625" style="314" customWidth="1"/>
    <col min="32" max="32" width="9.140625" style="314" customWidth="1"/>
    <col min="33" max="42" width="10.28515625" style="314" customWidth="1"/>
    <col min="43" max="43" width="10.28515625" style="315" customWidth="1"/>
    <col min="44" max="44" width="10" style="315" customWidth="1"/>
    <col min="45" max="45" width="9.28515625" style="315" customWidth="1"/>
    <col min="46" max="46" width="9.140625" style="314" customWidth="1"/>
    <col min="47" max="48" width="9.7109375" style="314" customWidth="1"/>
    <col min="49" max="49" width="11.28515625" style="314" customWidth="1"/>
    <col min="50" max="50" width="10" style="314" customWidth="1"/>
    <col min="51" max="51" width="9.7109375" style="314" customWidth="1"/>
    <col min="52" max="52" width="9.140625" style="315" customWidth="1"/>
    <col min="53" max="53" width="10.42578125" style="315" customWidth="1"/>
    <col min="54" max="54" width="9.140625" style="315" customWidth="1"/>
    <col min="55" max="55" width="10.140625" style="315" customWidth="1"/>
    <col min="56" max="56" width="9.28515625" style="315" customWidth="1"/>
    <col min="57" max="57" width="9.140625" style="315" customWidth="1"/>
    <col min="58" max="58" width="10.5703125" style="1060" customWidth="1"/>
    <col min="59" max="60" width="9" style="315" customWidth="1"/>
    <col min="61" max="63" width="9.28515625" style="315" customWidth="1"/>
    <col min="64" max="73" width="10.85546875" style="315" customWidth="1"/>
    <col min="74" max="76" width="9.28515625" style="315" customWidth="1"/>
    <col min="77" max="81" width="9.7109375" style="314" customWidth="1"/>
    <col min="82" max="82" width="9.7109375" style="315" customWidth="1"/>
    <col min="83" max="87" width="9.140625" style="969"/>
    <col min="88" max="88" width="9.140625" style="315"/>
    <col min="89" max="16384" width="9.140625" style="250"/>
  </cols>
  <sheetData>
    <row r="1" spans="1:88" ht="12" customHeight="1">
      <c r="A1" s="398" t="s">
        <v>2</v>
      </c>
      <c r="B1" s="398"/>
      <c r="C1" s="248"/>
      <c r="D1" s="398"/>
      <c r="E1" s="398"/>
      <c r="F1" s="249"/>
      <c r="G1" s="249"/>
      <c r="H1" s="249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2" customHeight="1">
      <c r="A2" s="398" t="s">
        <v>3</v>
      </c>
      <c r="B2" s="398"/>
      <c r="C2" s="248"/>
      <c r="D2" s="398"/>
      <c r="E2" s="398"/>
      <c r="F2" s="249"/>
      <c r="G2" s="249"/>
      <c r="H2" s="249"/>
      <c r="CE2" s="250"/>
      <c r="CF2" s="250"/>
      <c r="CG2" s="250"/>
      <c r="CH2" s="250"/>
      <c r="CI2" s="250"/>
    </row>
    <row r="3" spans="1:88" ht="12" customHeight="1">
      <c r="A3" s="1216" t="s">
        <v>4</v>
      </c>
      <c r="B3" s="1216"/>
      <c r="C3" s="1216"/>
      <c r="D3" s="1216"/>
      <c r="E3" s="1216"/>
      <c r="F3" s="249"/>
      <c r="G3" s="249"/>
      <c r="H3" s="249"/>
      <c r="AW3" s="506"/>
      <c r="AX3" s="506"/>
      <c r="CE3" s="250"/>
      <c r="CF3" s="250"/>
      <c r="CG3" s="250"/>
      <c r="CH3" s="250"/>
      <c r="CI3" s="250"/>
    </row>
    <row r="4" spans="1:88" ht="12" customHeight="1">
      <c r="A4" s="251"/>
      <c r="B4" s="398"/>
      <c r="C4" s="398"/>
      <c r="D4" s="398"/>
      <c r="E4" s="398"/>
      <c r="F4" s="249"/>
      <c r="G4" s="249"/>
      <c r="H4" s="249"/>
      <c r="I4" s="970"/>
      <c r="AW4" s="505"/>
      <c r="AX4" s="505"/>
      <c r="CE4" s="250"/>
      <c r="CF4" s="250"/>
      <c r="CG4" s="250"/>
      <c r="CH4" s="250"/>
      <c r="CI4" s="250"/>
    </row>
    <row r="5" spans="1:88" ht="16.5" thickBot="1">
      <c r="A5" s="181" t="s">
        <v>890</v>
      </c>
      <c r="B5" s="51"/>
      <c r="C5" s="51"/>
      <c r="D5" s="51"/>
      <c r="E5" s="52"/>
      <c r="F5" s="252"/>
      <c r="G5" s="252"/>
      <c r="H5" s="252"/>
      <c r="I5" s="970"/>
      <c r="J5" s="970"/>
      <c r="K5" s="970"/>
      <c r="L5" s="970"/>
      <c r="M5" s="970"/>
      <c r="N5" s="970"/>
      <c r="O5" s="970"/>
      <c r="P5" s="970"/>
      <c r="Q5" s="970"/>
      <c r="R5" s="970"/>
      <c r="S5" s="971"/>
      <c r="T5" s="971"/>
      <c r="U5" s="972"/>
      <c r="V5" s="970"/>
      <c r="W5" s="970"/>
      <c r="X5" s="970"/>
      <c r="Y5" s="970"/>
      <c r="Z5" s="970"/>
      <c r="AA5" s="970"/>
      <c r="AC5" s="970"/>
      <c r="AD5" s="970"/>
      <c r="AE5" s="970"/>
      <c r="AF5" s="970"/>
      <c r="AG5" s="970"/>
      <c r="AU5" s="845"/>
      <c r="AV5" s="845"/>
      <c r="AW5" s="505"/>
      <c r="AX5" s="505"/>
      <c r="CE5" s="250"/>
      <c r="CF5" s="250"/>
      <c r="CG5" s="250"/>
      <c r="CH5" s="250"/>
      <c r="CI5" s="250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116" t="s">
        <v>877</v>
      </c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8"/>
      <c r="V6" s="1122" t="s">
        <v>888</v>
      </c>
      <c r="W6" s="1122"/>
      <c r="X6" s="1122"/>
      <c r="Y6" s="1122"/>
      <c r="Z6" s="1122"/>
      <c r="AA6" s="1122"/>
      <c r="AB6" s="1122"/>
      <c r="AC6" s="1122"/>
      <c r="AD6" s="1122"/>
      <c r="AE6" s="1122"/>
      <c r="AF6" s="1122"/>
      <c r="AG6" s="1122"/>
      <c r="AH6" s="1122"/>
      <c r="AI6" s="1122"/>
      <c r="AJ6" s="1122"/>
      <c r="AK6" s="1122"/>
      <c r="AL6" s="1122"/>
      <c r="AM6" s="1122"/>
      <c r="AN6" s="1122"/>
      <c r="AO6" s="1122"/>
      <c r="AP6" s="1122"/>
      <c r="AQ6" s="1122"/>
      <c r="AR6" s="1122"/>
      <c r="AS6" s="1122"/>
      <c r="AT6" s="1122"/>
      <c r="AU6" s="1122"/>
      <c r="AV6" s="1122"/>
      <c r="AW6" s="1122"/>
      <c r="AX6" s="1122"/>
      <c r="AY6" s="1122"/>
      <c r="AZ6" s="1122"/>
      <c r="BA6" s="1122"/>
      <c r="BB6" s="1122"/>
      <c r="BC6" s="1122"/>
      <c r="BD6" s="1122"/>
      <c r="BE6" s="1122"/>
      <c r="BF6" s="1122"/>
      <c r="BG6" s="1122"/>
      <c r="BH6" s="1122"/>
      <c r="BI6" s="1122"/>
      <c r="BJ6" s="1122"/>
      <c r="BK6" s="1123"/>
      <c r="BL6" s="1116" t="s">
        <v>889</v>
      </c>
      <c r="BM6" s="1117"/>
      <c r="BN6" s="1117"/>
      <c r="BO6" s="1117"/>
      <c r="BP6" s="1117"/>
      <c r="BQ6" s="1117"/>
      <c r="BR6" s="1117"/>
      <c r="BS6" s="1117"/>
      <c r="BT6" s="1117"/>
      <c r="BU6" s="1117"/>
      <c r="BV6" s="1117"/>
      <c r="BW6" s="1117"/>
      <c r="BX6" s="1118"/>
      <c r="BY6" s="1209" t="s">
        <v>847</v>
      </c>
      <c r="BZ6" s="1210"/>
      <c r="CA6" s="1210"/>
      <c r="CB6" s="1210"/>
      <c r="CC6" s="1210"/>
      <c r="CD6" s="1211"/>
      <c r="CE6" s="1217" t="s">
        <v>847</v>
      </c>
      <c r="CF6" s="1218"/>
      <c r="CG6" s="1218"/>
      <c r="CH6" s="1218"/>
      <c r="CI6" s="1219"/>
      <c r="CJ6" s="1171"/>
    </row>
    <row r="7" spans="1:88" ht="16.5" customHeight="1" thickBot="1">
      <c r="A7" s="251"/>
      <c r="B7" s="253"/>
      <c r="C7" s="89"/>
      <c r="D7" s="254"/>
      <c r="E7" s="253"/>
      <c r="F7" s="249"/>
      <c r="G7" s="249"/>
      <c r="H7" s="249"/>
      <c r="I7" s="1119"/>
      <c r="J7" s="1120"/>
      <c r="K7" s="1120"/>
      <c r="L7" s="1120"/>
      <c r="M7" s="1120"/>
      <c r="N7" s="1120"/>
      <c r="O7" s="1120"/>
      <c r="P7" s="1120"/>
      <c r="Q7" s="1120"/>
      <c r="R7" s="1120"/>
      <c r="S7" s="1120"/>
      <c r="T7" s="1120"/>
      <c r="U7" s="1121"/>
      <c r="V7" s="1140" t="s">
        <v>807</v>
      </c>
      <c r="W7" s="1140"/>
      <c r="X7" s="1140"/>
      <c r="Y7" s="1140"/>
      <c r="Z7" s="1140"/>
      <c r="AA7" s="1140"/>
      <c r="AB7" s="1140"/>
      <c r="AC7" s="1140"/>
      <c r="AD7" s="1140"/>
      <c r="AE7" s="1140"/>
      <c r="AF7" s="1140"/>
      <c r="AG7" s="1141"/>
      <c r="AH7" s="1139" t="s">
        <v>808</v>
      </c>
      <c r="AI7" s="1140"/>
      <c r="AJ7" s="1140"/>
      <c r="AK7" s="1140"/>
      <c r="AL7" s="1140"/>
      <c r="AM7" s="1140"/>
      <c r="AN7" s="1140"/>
      <c r="AO7" s="1141"/>
      <c r="AP7" s="1190" t="s">
        <v>822</v>
      </c>
      <c r="AQ7" s="1190"/>
      <c r="AR7" s="1190"/>
      <c r="AS7" s="1113" t="s">
        <v>5</v>
      </c>
      <c r="AT7" s="1113" t="s">
        <v>275</v>
      </c>
      <c r="AU7" s="1197" t="s">
        <v>796</v>
      </c>
      <c r="AV7" s="1197"/>
      <c r="AW7" s="1197"/>
      <c r="AX7" s="1198"/>
      <c r="AY7" s="1203" t="s">
        <v>288</v>
      </c>
      <c r="AZ7" s="1206" t="s">
        <v>809</v>
      </c>
      <c r="BA7" s="1207"/>
      <c r="BB7" s="1207"/>
      <c r="BC7" s="1207"/>
      <c r="BD7" s="1207"/>
      <c r="BE7" s="1207"/>
      <c r="BF7" s="1207"/>
      <c r="BG7" s="1207"/>
      <c r="BH7" s="1207"/>
      <c r="BI7" s="1207"/>
      <c r="BJ7" s="1207"/>
      <c r="BK7" s="1208"/>
      <c r="BL7" s="1119"/>
      <c r="BM7" s="1120"/>
      <c r="BN7" s="1120"/>
      <c r="BO7" s="1120"/>
      <c r="BP7" s="1120"/>
      <c r="BQ7" s="1120"/>
      <c r="BR7" s="1120"/>
      <c r="BS7" s="1120"/>
      <c r="BT7" s="1120"/>
      <c r="BU7" s="1120"/>
      <c r="BV7" s="1120"/>
      <c r="BW7" s="1120"/>
      <c r="BX7" s="1121"/>
      <c r="BY7" s="1212"/>
      <c r="BZ7" s="1213"/>
      <c r="CA7" s="1213"/>
      <c r="CB7" s="1213"/>
      <c r="CC7" s="1213"/>
      <c r="CD7" s="1214"/>
      <c r="CE7" s="1220"/>
      <c r="CF7" s="1221"/>
      <c r="CG7" s="1221"/>
      <c r="CH7" s="1221"/>
      <c r="CI7" s="1222"/>
      <c r="CJ7" s="1175"/>
    </row>
    <row r="8" spans="1:88" ht="15" customHeight="1">
      <c r="A8" s="255"/>
      <c r="B8" s="256"/>
      <c r="C8" s="256"/>
      <c r="D8" s="256"/>
      <c r="E8" s="256"/>
      <c r="F8" s="256"/>
      <c r="G8" s="256"/>
      <c r="H8" s="256"/>
      <c r="I8" s="1127" t="s">
        <v>6</v>
      </c>
      <c r="J8" s="1124" t="s">
        <v>777</v>
      </c>
      <c r="K8" s="1125"/>
      <c r="L8" s="1125"/>
      <c r="M8" s="1125"/>
      <c r="N8" s="1125"/>
      <c r="O8" s="1125"/>
      <c r="P8" s="1125"/>
      <c r="Q8" s="1125"/>
      <c r="R8" s="1126"/>
      <c r="S8" s="1130" t="s">
        <v>813</v>
      </c>
      <c r="T8" s="1133" t="s">
        <v>814</v>
      </c>
      <c r="U8" s="1134"/>
      <c r="V8" s="1143"/>
      <c r="W8" s="1143"/>
      <c r="X8" s="1143"/>
      <c r="Y8" s="1143"/>
      <c r="Z8" s="1143"/>
      <c r="AA8" s="1143"/>
      <c r="AB8" s="1143"/>
      <c r="AC8" s="1143"/>
      <c r="AD8" s="1143"/>
      <c r="AE8" s="1143"/>
      <c r="AF8" s="1143"/>
      <c r="AG8" s="1144"/>
      <c r="AH8" s="1142"/>
      <c r="AI8" s="1143"/>
      <c r="AJ8" s="1143"/>
      <c r="AK8" s="1143"/>
      <c r="AL8" s="1143"/>
      <c r="AM8" s="1143"/>
      <c r="AN8" s="1143"/>
      <c r="AO8" s="1144"/>
      <c r="AP8" s="1190"/>
      <c r="AQ8" s="1190"/>
      <c r="AR8" s="1190"/>
      <c r="AS8" s="1114"/>
      <c r="AT8" s="1114"/>
      <c r="AU8" s="1199"/>
      <c r="AV8" s="1199"/>
      <c r="AW8" s="1199"/>
      <c r="AX8" s="1200"/>
      <c r="AY8" s="1204"/>
      <c r="AZ8" s="1145" t="s">
        <v>276</v>
      </c>
      <c r="BA8" s="1195"/>
      <c r="BB8" s="1184" t="s">
        <v>277</v>
      </c>
      <c r="BC8" s="1186" t="s">
        <v>860</v>
      </c>
      <c r="BD8" s="1187"/>
      <c r="BE8" s="1184" t="s">
        <v>787</v>
      </c>
      <c r="BF8" s="1184"/>
      <c r="BG8" s="1145" t="s">
        <v>278</v>
      </c>
      <c r="BH8" s="1195"/>
      <c r="BI8" s="1145" t="s">
        <v>823</v>
      </c>
      <c r="BJ8" s="1146"/>
      <c r="BK8" s="1147"/>
      <c r="BL8" s="1165" t="s">
        <v>6</v>
      </c>
      <c r="BM8" s="1161" t="s">
        <v>777</v>
      </c>
      <c r="BN8" s="1161"/>
      <c r="BO8" s="1161"/>
      <c r="BP8" s="1161"/>
      <c r="BQ8" s="1161"/>
      <c r="BR8" s="1161"/>
      <c r="BS8" s="1161"/>
      <c r="BT8" s="1161"/>
      <c r="BU8" s="1161"/>
      <c r="BV8" s="1130" t="s">
        <v>813</v>
      </c>
      <c r="BW8" s="1191" t="s">
        <v>778</v>
      </c>
      <c r="BX8" s="1192"/>
      <c r="BY8" s="1151" t="s">
        <v>846</v>
      </c>
      <c r="BZ8" s="1152"/>
      <c r="CA8" s="1152"/>
      <c r="CB8" s="1152"/>
      <c r="CC8" s="1152"/>
      <c r="CD8" s="1153"/>
      <c r="CE8" s="1176" t="s">
        <v>861</v>
      </c>
      <c r="CF8" s="1177"/>
      <c r="CG8" s="1177"/>
      <c r="CH8" s="1177"/>
      <c r="CI8" s="1177"/>
      <c r="CJ8" s="1178"/>
    </row>
    <row r="9" spans="1:88" ht="19.5" customHeight="1" thickBot="1">
      <c r="A9" s="257" t="s">
        <v>773</v>
      </c>
      <c r="B9" s="89"/>
      <c r="C9" s="89"/>
      <c r="D9" s="258"/>
      <c r="E9" s="89"/>
      <c r="F9" s="259"/>
      <c r="G9" s="260"/>
      <c r="H9" s="260"/>
      <c r="I9" s="1128"/>
      <c r="J9" s="1137" t="s">
        <v>268</v>
      </c>
      <c r="K9" s="1108" t="s">
        <v>827</v>
      </c>
      <c r="L9" s="1109"/>
      <c r="M9" s="1111" t="s">
        <v>274</v>
      </c>
      <c r="N9" s="1108" t="s">
        <v>834</v>
      </c>
      <c r="O9" s="1109"/>
      <c r="P9" s="1111" t="s">
        <v>5</v>
      </c>
      <c r="Q9" s="1111" t="s">
        <v>1</v>
      </c>
      <c r="R9" s="1111" t="s">
        <v>7</v>
      </c>
      <c r="S9" s="1131"/>
      <c r="T9" s="1135"/>
      <c r="U9" s="1136"/>
      <c r="V9" s="1110" t="s">
        <v>279</v>
      </c>
      <c r="W9" s="1104"/>
      <c r="X9" s="1100" t="s">
        <v>812</v>
      </c>
      <c r="Y9" s="1100" t="s">
        <v>811</v>
      </c>
      <c r="Z9" s="1105" t="s">
        <v>860</v>
      </c>
      <c r="AA9" s="1105"/>
      <c r="AB9" s="1182"/>
      <c r="AC9" s="1105" t="s">
        <v>278</v>
      </c>
      <c r="AD9" s="1105"/>
      <c r="AE9" s="1103" t="s">
        <v>788</v>
      </c>
      <c r="AF9" s="1104"/>
      <c r="AG9" s="1106" t="s">
        <v>788</v>
      </c>
      <c r="AH9" s="1103" t="s">
        <v>280</v>
      </c>
      <c r="AI9" s="1104"/>
      <c r="AJ9" s="1101" t="s">
        <v>810</v>
      </c>
      <c r="AK9" s="1103" t="s">
        <v>281</v>
      </c>
      <c r="AL9" s="1104"/>
      <c r="AM9" s="1103" t="s">
        <v>745</v>
      </c>
      <c r="AN9" s="1104"/>
      <c r="AO9" s="1106" t="s">
        <v>745</v>
      </c>
      <c r="AP9" s="1190"/>
      <c r="AQ9" s="1190"/>
      <c r="AR9" s="1190"/>
      <c r="AS9" s="1114"/>
      <c r="AT9" s="1114"/>
      <c r="AU9" s="1201"/>
      <c r="AV9" s="1201"/>
      <c r="AW9" s="1201"/>
      <c r="AX9" s="1202"/>
      <c r="AY9" s="1204"/>
      <c r="AZ9" s="1148"/>
      <c r="BA9" s="1196"/>
      <c r="BB9" s="1185"/>
      <c r="BC9" s="1188"/>
      <c r="BD9" s="1189"/>
      <c r="BE9" s="1185"/>
      <c r="BF9" s="1185"/>
      <c r="BG9" s="1148"/>
      <c r="BH9" s="1196"/>
      <c r="BI9" s="1148"/>
      <c r="BJ9" s="1149"/>
      <c r="BK9" s="1150"/>
      <c r="BL9" s="1166"/>
      <c r="BM9" s="1157" t="s">
        <v>268</v>
      </c>
      <c r="BN9" s="1108" t="s">
        <v>827</v>
      </c>
      <c r="BO9" s="1109"/>
      <c r="BP9" s="1159" t="s">
        <v>274</v>
      </c>
      <c r="BQ9" s="1162" t="s">
        <v>834</v>
      </c>
      <c r="BR9" s="1162"/>
      <c r="BS9" s="1163" t="s">
        <v>5</v>
      </c>
      <c r="BT9" s="1163" t="s">
        <v>1</v>
      </c>
      <c r="BU9" s="1163" t="s">
        <v>7</v>
      </c>
      <c r="BV9" s="1131"/>
      <c r="BW9" s="1193"/>
      <c r="BX9" s="1194"/>
      <c r="BY9" s="1154"/>
      <c r="BZ9" s="1155"/>
      <c r="CA9" s="1155"/>
      <c r="CB9" s="1155"/>
      <c r="CC9" s="1155"/>
      <c r="CD9" s="1156"/>
      <c r="CE9" s="1179"/>
      <c r="CF9" s="1180"/>
      <c r="CG9" s="1180"/>
      <c r="CH9" s="1180"/>
      <c r="CI9" s="1180"/>
      <c r="CJ9" s="1181"/>
    </row>
    <row r="10" spans="1:88" ht="57" customHeight="1" thickBot="1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129"/>
      <c r="J10" s="1138"/>
      <c r="K10" s="587" t="s">
        <v>805</v>
      </c>
      <c r="L10" s="587" t="s">
        <v>806</v>
      </c>
      <c r="M10" s="1112"/>
      <c r="N10" s="587" t="s">
        <v>805</v>
      </c>
      <c r="O10" s="587" t="s">
        <v>806</v>
      </c>
      <c r="P10" s="1112"/>
      <c r="Q10" s="1112"/>
      <c r="R10" s="1112"/>
      <c r="S10" s="1132"/>
      <c r="T10" s="588" t="s">
        <v>805</v>
      </c>
      <c r="U10" s="604" t="s">
        <v>806</v>
      </c>
      <c r="V10" s="562" t="s">
        <v>805</v>
      </c>
      <c r="W10" s="556" t="s">
        <v>806</v>
      </c>
      <c r="X10" s="1100"/>
      <c r="Y10" s="1100"/>
      <c r="Z10" s="556" t="s">
        <v>805</v>
      </c>
      <c r="AA10" s="561" t="s">
        <v>806</v>
      </c>
      <c r="AB10" s="1183"/>
      <c r="AC10" s="556" t="s">
        <v>805</v>
      </c>
      <c r="AD10" s="561" t="s">
        <v>806</v>
      </c>
      <c r="AE10" s="556" t="s">
        <v>805</v>
      </c>
      <c r="AF10" s="561" t="s">
        <v>806</v>
      </c>
      <c r="AG10" s="1107"/>
      <c r="AH10" s="557" t="s">
        <v>805</v>
      </c>
      <c r="AI10" s="557" t="s">
        <v>806</v>
      </c>
      <c r="AJ10" s="1102"/>
      <c r="AK10" s="556" t="s">
        <v>805</v>
      </c>
      <c r="AL10" s="556" t="s">
        <v>806</v>
      </c>
      <c r="AM10" s="556" t="s">
        <v>805</v>
      </c>
      <c r="AN10" s="556" t="s">
        <v>806</v>
      </c>
      <c r="AO10" s="1107"/>
      <c r="AP10" s="556" t="s">
        <v>805</v>
      </c>
      <c r="AQ10" s="556" t="s">
        <v>806</v>
      </c>
      <c r="AR10" s="556" t="s">
        <v>256</v>
      </c>
      <c r="AS10" s="1115"/>
      <c r="AT10" s="1115"/>
      <c r="AU10" s="403" t="s">
        <v>277</v>
      </c>
      <c r="AV10" s="403" t="s">
        <v>278</v>
      </c>
      <c r="AW10" s="403"/>
      <c r="AX10" s="403" t="s">
        <v>746</v>
      </c>
      <c r="AY10" s="1205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67"/>
      <c r="BM10" s="1158"/>
      <c r="BN10" s="557" t="s">
        <v>805</v>
      </c>
      <c r="BO10" s="557" t="s">
        <v>806</v>
      </c>
      <c r="BP10" s="1160"/>
      <c r="BQ10" s="557" t="s">
        <v>805</v>
      </c>
      <c r="BR10" s="557" t="s">
        <v>806</v>
      </c>
      <c r="BS10" s="1164"/>
      <c r="BT10" s="1164"/>
      <c r="BU10" s="1164"/>
      <c r="BV10" s="1132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973" t="s">
        <v>841</v>
      </c>
      <c r="CF10" s="974" t="s">
        <v>268</v>
      </c>
      <c r="CG10" s="974" t="s">
        <v>840</v>
      </c>
      <c r="CH10" s="974" t="s">
        <v>1</v>
      </c>
      <c r="CI10" s="975" t="s">
        <v>796</v>
      </c>
      <c r="CJ10" s="872" t="s">
        <v>842</v>
      </c>
    </row>
    <row r="11" spans="1:88" s="267" customFormat="1" ht="12" thickBot="1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40" t="s">
        <v>262</v>
      </c>
      <c r="BM11" s="141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976" t="s">
        <v>857</v>
      </c>
      <c r="CF11" s="977" t="s">
        <v>802</v>
      </c>
      <c r="CG11" s="977" t="s">
        <v>858</v>
      </c>
      <c r="CH11" s="977" t="s">
        <v>859</v>
      </c>
      <c r="CI11" s="977" t="s">
        <v>796</v>
      </c>
      <c r="CJ11" s="883" t="s">
        <v>533</v>
      </c>
    </row>
    <row r="12" spans="1:88" ht="14.1" customHeight="1">
      <c r="A12" s="268">
        <v>1</v>
      </c>
      <c r="B12" s="269">
        <v>4486</v>
      </c>
      <c r="C12" s="270">
        <v>600075176</v>
      </c>
      <c r="D12" s="270">
        <v>46750401</v>
      </c>
      <c r="E12" s="271" t="s">
        <v>301</v>
      </c>
      <c r="F12" s="269">
        <v>3233</v>
      </c>
      <c r="G12" s="272" t="s">
        <v>297</v>
      </c>
      <c r="H12" s="272" t="s">
        <v>272</v>
      </c>
      <c r="I12" s="405">
        <v>6309016</v>
      </c>
      <c r="J12" s="406">
        <v>4574909</v>
      </c>
      <c r="K12" s="406">
        <v>3358192</v>
      </c>
      <c r="L12" s="406">
        <v>1216717</v>
      </c>
      <c r="M12" s="406">
        <v>100000</v>
      </c>
      <c r="N12" s="406">
        <v>100000</v>
      </c>
      <c r="O12" s="406">
        <v>0</v>
      </c>
      <c r="P12" s="144">
        <v>1580119</v>
      </c>
      <c r="Q12" s="144">
        <v>45749</v>
      </c>
      <c r="R12" s="406">
        <v>8239</v>
      </c>
      <c r="S12" s="407">
        <v>10</v>
      </c>
      <c r="T12" s="408">
        <v>6.08</v>
      </c>
      <c r="U12" s="760">
        <v>3.92</v>
      </c>
      <c r="V12" s="411">
        <f>AH12*-1</f>
        <v>80000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80000</v>
      </c>
      <c r="AF12" s="409">
        <f>W12+AA12+AD12+AB12</f>
        <v>0</v>
      </c>
      <c r="AG12" s="409">
        <f>SUM(AE12:AF12)</f>
        <v>80000</v>
      </c>
      <c r="AH12" s="409">
        <v>-80000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-80000</v>
      </c>
      <c r="AN12" s="409">
        <f>AI12+AL12</f>
        <v>0</v>
      </c>
      <c r="AO12" s="409">
        <f>SUM(AM12:AN12)</f>
        <v>-80000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800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800</v>
      </c>
      <c r="AZ12" s="410">
        <v>0.14000000000000001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0.14000000000000001</v>
      </c>
      <c r="BJ12" s="410">
        <f>BA12+BD12+BH12+BF12</f>
        <v>0</v>
      </c>
      <c r="BK12" s="412">
        <f>SUM(BI12:BJ12)</f>
        <v>0.14000000000000001</v>
      </c>
      <c r="BL12" s="771">
        <f>I12+AY12</f>
        <v>6309816</v>
      </c>
      <c r="BM12" s="409">
        <f>J12+AG12</f>
        <v>4654909</v>
      </c>
      <c r="BN12" s="409">
        <f>K12+AE12</f>
        <v>3438192</v>
      </c>
      <c r="BO12" s="409">
        <f>L12+AF12</f>
        <v>1216717</v>
      </c>
      <c r="BP12" s="409">
        <f>M12+AO12</f>
        <v>20000</v>
      </c>
      <c r="BQ12" s="409">
        <f>N12+AM12</f>
        <v>20000</v>
      </c>
      <c r="BR12" s="409">
        <f>O12+AN12</f>
        <v>0</v>
      </c>
      <c r="BS12" s="409">
        <f>P12+AS12</f>
        <v>1580119</v>
      </c>
      <c r="BT12" s="409">
        <f>Q12+AT12</f>
        <v>46549</v>
      </c>
      <c r="BU12" s="409">
        <f>R12+AX12</f>
        <v>8239</v>
      </c>
      <c r="BV12" s="410">
        <f>S12+BK12</f>
        <v>10.14</v>
      </c>
      <c r="BW12" s="410">
        <f>T12+BI12</f>
        <v>6.22</v>
      </c>
      <c r="BX12" s="412">
        <f>U12+BJ12</f>
        <v>3.92</v>
      </c>
      <c r="BY12" s="589"/>
      <c r="BZ12" s="590"/>
      <c r="CA12" s="590"/>
      <c r="CB12" s="590"/>
      <c r="CC12" s="590"/>
      <c r="CD12" s="978"/>
      <c r="CE12" s="589"/>
      <c r="CF12" s="590"/>
      <c r="CG12" s="590">
        <v>0</v>
      </c>
      <c r="CH12" s="590">
        <v>0</v>
      </c>
      <c r="CI12" s="590"/>
      <c r="CJ12" s="978"/>
    </row>
    <row r="13" spans="1:88" ht="12.95" customHeight="1">
      <c r="A13" s="273">
        <v>1</v>
      </c>
      <c r="B13" s="274">
        <v>4486</v>
      </c>
      <c r="C13" s="275">
        <v>600075176</v>
      </c>
      <c r="D13" s="275">
        <v>46750401</v>
      </c>
      <c r="E13" s="276" t="s">
        <v>302</v>
      </c>
      <c r="F13" s="277"/>
      <c r="G13" s="278"/>
      <c r="H13" s="278"/>
      <c r="I13" s="464">
        <v>6309016</v>
      </c>
      <c r="J13" s="460">
        <v>4574909</v>
      </c>
      <c r="K13" s="460">
        <v>3358192</v>
      </c>
      <c r="L13" s="460">
        <v>1216717</v>
      </c>
      <c r="M13" s="460">
        <v>100000</v>
      </c>
      <c r="N13" s="460">
        <v>100000</v>
      </c>
      <c r="O13" s="460">
        <v>0</v>
      </c>
      <c r="P13" s="460">
        <v>1580119</v>
      </c>
      <c r="Q13" s="460">
        <v>45749</v>
      </c>
      <c r="R13" s="460">
        <v>8239</v>
      </c>
      <c r="S13" s="461">
        <v>10</v>
      </c>
      <c r="T13" s="461">
        <v>6.08</v>
      </c>
      <c r="U13" s="534">
        <v>3.92</v>
      </c>
      <c r="V13" s="471">
        <f t="shared" ref="V13:BK13" si="0">SUM(V12)</f>
        <v>80000</v>
      </c>
      <c r="W13" s="467">
        <f t="shared" si="0"/>
        <v>0</v>
      </c>
      <c r="X13" s="467">
        <f t="shared" si="0"/>
        <v>0</v>
      </c>
      <c r="Y13" s="467">
        <f t="shared" si="0"/>
        <v>0</v>
      </c>
      <c r="Z13" s="467">
        <f t="shared" si="0"/>
        <v>0</v>
      </c>
      <c r="AA13" s="467">
        <f t="shared" si="0"/>
        <v>0</v>
      </c>
      <c r="AB13" s="467">
        <f t="shared" si="0"/>
        <v>0</v>
      </c>
      <c r="AC13" s="467">
        <f t="shared" si="0"/>
        <v>0</v>
      </c>
      <c r="AD13" s="467">
        <f t="shared" si="0"/>
        <v>0</v>
      </c>
      <c r="AE13" s="467">
        <f t="shared" si="0"/>
        <v>80000</v>
      </c>
      <c r="AF13" s="467">
        <f t="shared" si="0"/>
        <v>0</v>
      </c>
      <c r="AG13" s="467">
        <f t="shared" si="0"/>
        <v>80000</v>
      </c>
      <c r="AH13" s="467">
        <f t="shared" si="0"/>
        <v>-80000</v>
      </c>
      <c r="AI13" s="467">
        <f t="shared" si="0"/>
        <v>0</v>
      </c>
      <c r="AJ13" s="467">
        <f t="shared" si="0"/>
        <v>0</v>
      </c>
      <c r="AK13" s="467">
        <f t="shared" si="0"/>
        <v>0</v>
      </c>
      <c r="AL13" s="467">
        <f t="shared" si="0"/>
        <v>0</v>
      </c>
      <c r="AM13" s="467">
        <f t="shared" si="0"/>
        <v>-80000</v>
      </c>
      <c r="AN13" s="467">
        <f t="shared" si="0"/>
        <v>0</v>
      </c>
      <c r="AO13" s="467">
        <f t="shared" si="0"/>
        <v>-80000</v>
      </c>
      <c r="AP13" s="467">
        <f t="shared" si="0"/>
        <v>0</v>
      </c>
      <c r="AQ13" s="467">
        <f t="shared" si="0"/>
        <v>0</v>
      </c>
      <c r="AR13" s="467">
        <f t="shared" si="0"/>
        <v>0</v>
      </c>
      <c r="AS13" s="467">
        <f t="shared" si="0"/>
        <v>0</v>
      </c>
      <c r="AT13" s="467">
        <f t="shared" si="0"/>
        <v>800</v>
      </c>
      <c r="AU13" s="467">
        <f t="shared" si="0"/>
        <v>0</v>
      </c>
      <c r="AV13" s="467">
        <f t="shared" si="0"/>
        <v>0</v>
      </c>
      <c r="AW13" s="467">
        <f t="shared" si="0"/>
        <v>0</v>
      </c>
      <c r="AX13" s="467">
        <f t="shared" si="0"/>
        <v>0</v>
      </c>
      <c r="AY13" s="467">
        <f t="shared" si="0"/>
        <v>800</v>
      </c>
      <c r="AZ13" s="468">
        <f t="shared" si="0"/>
        <v>0.14000000000000001</v>
      </c>
      <c r="BA13" s="468">
        <f t="shared" si="0"/>
        <v>0</v>
      </c>
      <c r="BB13" s="468">
        <f t="shared" si="0"/>
        <v>0</v>
      </c>
      <c r="BC13" s="468">
        <f t="shared" si="0"/>
        <v>0</v>
      </c>
      <c r="BD13" s="468">
        <f t="shared" si="0"/>
        <v>0</v>
      </c>
      <c r="BE13" s="468">
        <f t="shared" si="0"/>
        <v>0</v>
      </c>
      <c r="BF13" s="468">
        <f t="shared" si="0"/>
        <v>0</v>
      </c>
      <c r="BG13" s="468">
        <f t="shared" si="0"/>
        <v>0</v>
      </c>
      <c r="BH13" s="468">
        <f t="shared" si="0"/>
        <v>0</v>
      </c>
      <c r="BI13" s="468">
        <f t="shared" si="0"/>
        <v>0.14000000000000001</v>
      </c>
      <c r="BJ13" s="468">
        <f t="shared" si="0"/>
        <v>0</v>
      </c>
      <c r="BK13" s="328">
        <f t="shared" si="0"/>
        <v>0.14000000000000001</v>
      </c>
      <c r="BL13" s="774">
        <f t="shared" ref="BL13:CG13" si="1">SUM(BL12)</f>
        <v>6309816</v>
      </c>
      <c r="BM13" s="467">
        <f t="shared" si="1"/>
        <v>4654909</v>
      </c>
      <c r="BN13" s="467">
        <f t="shared" si="1"/>
        <v>3438192</v>
      </c>
      <c r="BO13" s="467">
        <f t="shared" si="1"/>
        <v>1216717</v>
      </c>
      <c r="BP13" s="467">
        <f t="shared" si="1"/>
        <v>20000</v>
      </c>
      <c r="BQ13" s="467">
        <f t="shared" si="1"/>
        <v>20000</v>
      </c>
      <c r="BR13" s="467">
        <f t="shared" si="1"/>
        <v>0</v>
      </c>
      <c r="BS13" s="467">
        <f t="shared" si="1"/>
        <v>1580119</v>
      </c>
      <c r="BT13" s="467">
        <f t="shared" si="1"/>
        <v>46549</v>
      </c>
      <c r="BU13" s="467">
        <f t="shared" si="1"/>
        <v>8239</v>
      </c>
      <c r="BV13" s="468">
        <f t="shared" si="1"/>
        <v>10.14</v>
      </c>
      <c r="BW13" s="468">
        <f t="shared" si="1"/>
        <v>6.22</v>
      </c>
      <c r="BX13" s="328">
        <f t="shared" si="1"/>
        <v>3.92</v>
      </c>
      <c r="BY13" s="979">
        <f t="shared" si="1"/>
        <v>0</v>
      </c>
      <c r="BZ13" s="721">
        <f t="shared" si="1"/>
        <v>0</v>
      </c>
      <c r="CA13" s="721">
        <f t="shared" si="1"/>
        <v>0</v>
      </c>
      <c r="CB13" s="721">
        <f t="shared" si="1"/>
        <v>0</v>
      </c>
      <c r="CC13" s="721">
        <f t="shared" si="1"/>
        <v>0</v>
      </c>
      <c r="CD13" s="826">
        <f t="shared" si="1"/>
        <v>0</v>
      </c>
      <c r="CE13" s="980">
        <f t="shared" si="1"/>
        <v>0</v>
      </c>
      <c r="CF13" s="980">
        <f t="shared" si="1"/>
        <v>0</v>
      </c>
      <c r="CG13" s="980">
        <f t="shared" si="1"/>
        <v>0</v>
      </c>
      <c r="CH13" s="980">
        <f t="shared" ref="CH13:CJ13" si="2">SUM(CH12)</f>
        <v>0</v>
      </c>
      <c r="CI13" s="980">
        <f t="shared" si="2"/>
        <v>0</v>
      </c>
      <c r="CJ13" s="933">
        <f t="shared" si="2"/>
        <v>0</v>
      </c>
    </row>
    <row r="14" spans="1:88" ht="12.95" customHeight="1">
      <c r="A14" s="281">
        <v>2</v>
      </c>
      <c r="B14" s="281">
        <v>4419</v>
      </c>
      <c r="C14" s="536">
        <v>600074056</v>
      </c>
      <c r="D14" s="281">
        <v>72744049</v>
      </c>
      <c r="E14" s="323" t="s">
        <v>303</v>
      </c>
      <c r="F14" s="281">
        <v>3111</v>
      </c>
      <c r="G14" s="284" t="s">
        <v>304</v>
      </c>
      <c r="H14" s="285" t="s">
        <v>271</v>
      </c>
      <c r="I14" s="563">
        <v>26499638</v>
      </c>
      <c r="J14" s="564">
        <v>19534103</v>
      </c>
      <c r="K14" s="564">
        <v>17069722</v>
      </c>
      <c r="L14" s="564">
        <v>2464381</v>
      </c>
      <c r="M14" s="414">
        <v>36000</v>
      </c>
      <c r="N14" s="414">
        <v>0</v>
      </c>
      <c r="O14" s="414">
        <v>36000</v>
      </c>
      <c r="P14" s="622">
        <v>6614694</v>
      </c>
      <c r="Q14" s="622">
        <v>195341</v>
      </c>
      <c r="R14" s="564">
        <v>119500</v>
      </c>
      <c r="S14" s="541">
        <v>38.549500000000002</v>
      </c>
      <c r="T14" s="544">
        <v>29.645199999999999</v>
      </c>
      <c r="U14" s="761">
        <v>8.9042999999999992</v>
      </c>
      <c r="V14" s="423">
        <f t="shared" ref="V14:W76" si="3">AH14*-1</f>
        <v>-12378</v>
      </c>
      <c r="W14" s="417">
        <f t="shared" si="3"/>
        <v>-61622</v>
      </c>
      <c r="X14" s="417">
        <v>0</v>
      </c>
      <c r="Y14" s="417">
        <v>0</v>
      </c>
      <c r="Z14" s="417">
        <v>240346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ref="AE14:AE77" si="4">V14+X14+Y14+Z14+AC14</f>
        <v>227968</v>
      </c>
      <c r="AF14" s="417">
        <f t="shared" ref="AF14:AF77" si="5">W14+AA14+AD14+AB14</f>
        <v>-61622</v>
      </c>
      <c r="AG14" s="417">
        <f t="shared" ref="AG14:AG77" si="6">SUM(AE14:AF14)</f>
        <v>166346</v>
      </c>
      <c r="AH14" s="417">
        <v>12378</v>
      </c>
      <c r="AI14" s="417">
        <v>61622</v>
      </c>
      <c r="AJ14" s="417">
        <v>0</v>
      </c>
      <c r="AK14" s="417">
        <v>0</v>
      </c>
      <c r="AL14" s="417">
        <v>0</v>
      </c>
      <c r="AM14" s="417">
        <f t="shared" ref="AM14:AM77" si="7">AH14+AJ14+AK14</f>
        <v>12378</v>
      </c>
      <c r="AN14" s="417">
        <f t="shared" ref="AN14:AN77" si="8">AI14+AL14</f>
        <v>61622</v>
      </c>
      <c r="AO14" s="417">
        <f t="shared" ref="AO14:AO77" si="9">SUM(AM14:AN14)</f>
        <v>74000</v>
      </c>
      <c r="AP14" s="417">
        <f t="shared" ref="AP14:AQ76" si="10">AE14+AM14</f>
        <v>240346</v>
      </c>
      <c r="AQ14" s="417">
        <f t="shared" si="10"/>
        <v>0</v>
      </c>
      <c r="AR14" s="417">
        <f t="shared" ref="AR14:AR77" si="11">SUM(AP14:AQ14)</f>
        <v>240346</v>
      </c>
      <c r="AS14" s="68">
        <f t="shared" ref="AS14:AS77" si="12">ROUND((AG14+AH14+AI14+AJ14)*33.8%,0)</f>
        <v>81237</v>
      </c>
      <c r="AT14" s="68">
        <f t="shared" ref="AT14:AT77" si="13">ROUND(AG14*1%,0)</f>
        <v>1663</v>
      </c>
      <c r="AU14" s="417">
        <v>0</v>
      </c>
      <c r="AV14" s="417">
        <v>0</v>
      </c>
      <c r="AW14" s="417">
        <v>0</v>
      </c>
      <c r="AX14" s="417">
        <f t="shared" ref="AX14:AX77" si="14">SUM(AU14:AW14)</f>
        <v>0</v>
      </c>
      <c r="AY14" s="417">
        <f t="shared" ref="AY14:AY77" si="15">AR14+AS14+AT14+AX14</f>
        <v>323246</v>
      </c>
      <c r="AZ14" s="418">
        <v>-0.02</v>
      </c>
      <c r="BA14" s="418">
        <v>0</v>
      </c>
      <c r="BB14" s="418">
        <v>0</v>
      </c>
      <c r="BC14" s="418">
        <v>0.56000000000000005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ref="BI14:BI77" si="16">AZ14+BB14+BC14+BE14+BG14</f>
        <v>0.54</v>
      </c>
      <c r="BJ14" s="418">
        <f t="shared" ref="BJ14:BJ77" si="17">BA14+BD14+BH14+BF14</f>
        <v>0</v>
      </c>
      <c r="BK14" s="420">
        <f t="shared" ref="BK14:BK77" si="18">SUM(BI14:BJ14)</f>
        <v>0.54</v>
      </c>
      <c r="BL14" s="772">
        <f>I14+AY14</f>
        <v>26822884</v>
      </c>
      <c r="BM14" s="417">
        <f>J14+AG14</f>
        <v>19700449</v>
      </c>
      <c r="BN14" s="417">
        <f t="shared" ref="BN14:BO17" si="19">K14+AE14</f>
        <v>17297690</v>
      </c>
      <c r="BO14" s="417">
        <f t="shared" si="19"/>
        <v>2402759</v>
      </c>
      <c r="BP14" s="417">
        <f>M14+AO14</f>
        <v>110000</v>
      </c>
      <c r="BQ14" s="417">
        <f t="shared" ref="BQ14:BR17" si="20">N14+AM14</f>
        <v>12378</v>
      </c>
      <c r="BR14" s="417">
        <f t="shared" si="20"/>
        <v>97622</v>
      </c>
      <c r="BS14" s="417">
        <f t="shared" ref="BS14:BT17" si="21">P14+AS14</f>
        <v>6695931</v>
      </c>
      <c r="BT14" s="417">
        <f t="shared" si="21"/>
        <v>197004</v>
      </c>
      <c r="BU14" s="417">
        <f>R14+AX14</f>
        <v>119500</v>
      </c>
      <c r="BV14" s="418">
        <f>S14+BK14</f>
        <v>39.089500000000001</v>
      </c>
      <c r="BW14" s="418">
        <f t="shared" ref="BW14:BX17" si="22">T14+BI14</f>
        <v>30.185199999999998</v>
      </c>
      <c r="BX14" s="420">
        <f t="shared" si="22"/>
        <v>8.9042999999999992</v>
      </c>
      <c r="BY14" s="596"/>
      <c r="BZ14" s="595"/>
      <c r="CA14" s="595"/>
      <c r="CB14" s="595"/>
      <c r="CC14" s="595"/>
      <c r="CD14" s="981"/>
      <c r="CE14" s="596">
        <v>1121249</v>
      </c>
      <c r="CF14" s="595">
        <v>802305</v>
      </c>
      <c r="CG14" s="595">
        <v>271179</v>
      </c>
      <c r="CH14" s="595">
        <v>8023</v>
      </c>
      <c r="CI14" s="595">
        <v>39742</v>
      </c>
      <c r="CJ14" s="981">
        <v>2.8571</v>
      </c>
    </row>
    <row r="15" spans="1:88" ht="12.95" customHeight="1">
      <c r="A15" s="281">
        <v>2</v>
      </c>
      <c r="B15" s="281">
        <v>4419</v>
      </c>
      <c r="C15" s="536">
        <v>600074056</v>
      </c>
      <c r="D15" s="281">
        <v>72744049</v>
      </c>
      <c r="E15" s="323" t="s">
        <v>303</v>
      </c>
      <c r="F15" s="281">
        <v>3111</v>
      </c>
      <c r="G15" s="286" t="s">
        <v>292</v>
      </c>
      <c r="H15" s="285" t="s">
        <v>271</v>
      </c>
      <c r="I15" s="563">
        <v>544970</v>
      </c>
      <c r="J15" s="414">
        <v>404280</v>
      </c>
      <c r="K15" s="414">
        <v>404280</v>
      </c>
      <c r="L15" s="414">
        <v>0</v>
      </c>
      <c r="M15" s="414">
        <v>0</v>
      </c>
      <c r="N15" s="414">
        <v>0</v>
      </c>
      <c r="O15" s="414">
        <v>0</v>
      </c>
      <c r="P15" s="68">
        <v>136647</v>
      </c>
      <c r="Q15" s="68">
        <v>4043</v>
      </c>
      <c r="R15" s="414">
        <v>0</v>
      </c>
      <c r="S15" s="415">
        <v>1</v>
      </c>
      <c r="T15" s="416">
        <v>1</v>
      </c>
      <c r="U15" s="762">
        <v>0</v>
      </c>
      <c r="V15" s="423">
        <f t="shared" si="3"/>
        <v>0</v>
      </c>
      <c r="W15" s="417">
        <f t="shared" si="3"/>
        <v>0</v>
      </c>
      <c r="X15" s="417">
        <v>0</v>
      </c>
      <c r="Y15" s="417">
        <v>0</v>
      </c>
      <c r="Z15" s="417">
        <v>106524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4"/>
        <v>106524</v>
      </c>
      <c r="AF15" s="417">
        <f t="shared" si="5"/>
        <v>0</v>
      </c>
      <c r="AG15" s="417">
        <f t="shared" si="6"/>
        <v>106524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7"/>
        <v>0</v>
      </c>
      <c r="AN15" s="417">
        <f t="shared" si="8"/>
        <v>0</v>
      </c>
      <c r="AO15" s="417">
        <f t="shared" si="9"/>
        <v>0</v>
      </c>
      <c r="AP15" s="417">
        <f t="shared" si="10"/>
        <v>106524</v>
      </c>
      <c r="AQ15" s="417">
        <f t="shared" si="10"/>
        <v>0</v>
      </c>
      <c r="AR15" s="417">
        <f t="shared" si="11"/>
        <v>106524</v>
      </c>
      <c r="AS15" s="68">
        <f t="shared" si="12"/>
        <v>36005</v>
      </c>
      <c r="AT15" s="68">
        <f t="shared" si="13"/>
        <v>1065</v>
      </c>
      <c r="AU15" s="417">
        <v>0</v>
      </c>
      <c r="AV15" s="417">
        <v>0</v>
      </c>
      <c r="AW15" s="417">
        <v>0</v>
      </c>
      <c r="AX15" s="417">
        <f t="shared" si="14"/>
        <v>0</v>
      </c>
      <c r="AY15" s="417">
        <f t="shared" si="15"/>
        <v>143594</v>
      </c>
      <c r="AZ15" s="418">
        <v>0</v>
      </c>
      <c r="BA15" s="418">
        <v>0</v>
      </c>
      <c r="BB15" s="418">
        <v>0</v>
      </c>
      <c r="BC15" s="418">
        <v>0.3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6"/>
        <v>0.3</v>
      </c>
      <c r="BJ15" s="418">
        <f t="shared" si="17"/>
        <v>0</v>
      </c>
      <c r="BK15" s="420">
        <f t="shared" si="18"/>
        <v>0.3</v>
      </c>
      <c r="BL15" s="772">
        <f>I15+AY15</f>
        <v>688564</v>
      </c>
      <c r="BM15" s="417">
        <f>J15+AG15</f>
        <v>510804</v>
      </c>
      <c r="BN15" s="417">
        <f t="shared" si="19"/>
        <v>510804</v>
      </c>
      <c r="BO15" s="417">
        <f t="shared" si="19"/>
        <v>0</v>
      </c>
      <c r="BP15" s="417">
        <f>M15+AO15</f>
        <v>0</v>
      </c>
      <c r="BQ15" s="417">
        <f t="shared" si="20"/>
        <v>0</v>
      </c>
      <c r="BR15" s="417">
        <f t="shared" si="20"/>
        <v>0</v>
      </c>
      <c r="BS15" s="417">
        <f t="shared" si="21"/>
        <v>172652</v>
      </c>
      <c r="BT15" s="417">
        <f t="shared" si="21"/>
        <v>5108</v>
      </c>
      <c r="BU15" s="417">
        <f>R15+AX15</f>
        <v>0</v>
      </c>
      <c r="BV15" s="418">
        <f>S15+BK15</f>
        <v>1.3</v>
      </c>
      <c r="BW15" s="418">
        <f t="shared" si="22"/>
        <v>1.3</v>
      </c>
      <c r="BX15" s="420">
        <f t="shared" si="22"/>
        <v>0</v>
      </c>
      <c r="BY15" s="596"/>
      <c r="BZ15" s="595"/>
      <c r="CA15" s="595"/>
      <c r="CB15" s="595"/>
      <c r="CC15" s="595"/>
      <c r="CD15" s="981"/>
      <c r="CE15" s="596"/>
      <c r="CF15" s="595"/>
      <c r="CG15" s="595"/>
      <c r="CH15" s="595"/>
      <c r="CI15" s="595"/>
      <c r="CJ15" s="981"/>
    </row>
    <row r="16" spans="1:88" ht="12.95" customHeight="1">
      <c r="A16" s="281">
        <v>2</v>
      </c>
      <c r="B16" s="281">
        <v>4419</v>
      </c>
      <c r="C16" s="536">
        <v>600074056</v>
      </c>
      <c r="D16" s="281">
        <v>72744049</v>
      </c>
      <c r="E16" s="323" t="s">
        <v>303</v>
      </c>
      <c r="F16" s="281">
        <v>3111</v>
      </c>
      <c r="G16" s="284" t="s">
        <v>298</v>
      </c>
      <c r="H16" s="285" t="s">
        <v>272</v>
      </c>
      <c r="I16" s="563">
        <v>1815282</v>
      </c>
      <c r="J16" s="414">
        <v>1343681</v>
      </c>
      <c r="K16" s="414">
        <v>1343681</v>
      </c>
      <c r="L16" s="414">
        <v>0</v>
      </c>
      <c r="M16" s="414">
        <v>0</v>
      </c>
      <c r="N16" s="414">
        <v>0</v>
      </c>
      <c r="O16" s="414">
        <v>0</v>
      </c>
      <c r="P16" s="68">
        <v>454164</v>
      </c>
      <c r="Q16" s="68">
        <v>13437</v>
      </c>
      <c r="R16" s="414">
        <v>4000</v>
      </c>
      <c r="S16" s="415">
        <v>3.88</v>
      </c>
      <c r="T16" s="416">
        <v>3.88</v>
      </c>
      <c r="U16" s="762">
        <v>0</v>
      </c>
      <c r="V16" s="423">
        <f t="shared" si="3"/>
        <v>0</v>
      </c>
      <c r="W16" s="417">
        <f t="shared" si="3"/>
        <v>0</v>
      </c>
      <c r="X16" s="417">
        <f>6189+22660</f>
        <v>28849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4"/>
        <v>28849</v>
      </c>
      <c r="AF16" s="417">
        <f t="shared" si="5"/>
        <v>0</v>
      </c>
      <c r="AG16" s="417">
        <f t="shared" si="6"/>
        <v>28849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7"/>
        <v>0</v>
      </c>
      <c r="AN16" s="417">
        <f t="shared" si="8"/>
        <v>0</v>
      </c>
      <c r="AO16" s="417">
        <f t="shared" si="9"/>
        <v>0</v>
      </c>
      <c r="AP16" s="417">
        <f t="shared" si="10"/>
        <v>28849</v>
      </c>
      <c r="AQ16" s="417">
        <f t="shared" si="10"/>
        <v>0</v>
      </c>
      <c r="AR16" s="417">
        <f t="shared" si="11"/>
        <v>28849</v>
      </c>
      <c r="AS16" s="68">
        <f t="shared" si="12"/>
        <v>9751</v>
      </c>
      <c r="AT16" s="68">
        <f t="shared" si="13"/>
        <v>288</v>
      </c>
      <c r="AU16" s="417">
        <v>500</v>
      </c>
      <c r="AV16" s="417">
        <v>0</v>
      </c>
      <c r="AW16" s="417">
        <v>0</v>
      </c>
      <c r="AX16" s="417">
        <f t="shared" si="14"/>
        <v>500</v>
      </c>
      <c r="AY16" s="417">
        <f t="shared" si="15"/>
        <v>39388</v>
      </c>
      <c r="AZ16" s="418">
        <v>0</v>
      </c>
      <c r="BA16" s="418">
        <v>0</v>
      </c>
      <c r="BB16" s="418">
        <f>0.01+0.08</f>
        <v>0.09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6"/>
        <v>0.09</v>
      </c>
      <c r="BJ16" s="418">
        <f t="shared" si="17"/>
        <v>0</v>
      </c>
      <c r="BK16" s="420">
        <f t="shared" si="18"/>
        <v>0.09</v>
      </c>
      <c r="BL16" s="772">
        <f>I16+AY16</f>
        <v>1854670</v>
      </c>
      <c r="BM16" s="417">
        <f>J16+AG16</f>
        <v>1372530</v>
      </c>
      <c r="BN16" s="417">
        <f t="shared" si="19"/>
        <v>1372530</v>
      </c>
      <c r="BO16" s="417">
        <f t="shared" si="19"/>
        <v>0</v>
      </c>
      <c r="BP16" s="417">
        <f>M16+AO16</f>
        <v>0</v>
      </c>
      <c r="BQ16" s="417">
        <f t="shared" si="20"/>
        <v>0</v>
      </c>
      <c r="BR16" s="417">
        <f t="shared" si="20"/>
        <v>0</v>
      </c>
      <c r="BS16" s="417">
        <f t="shared" si="21"/>
        <v>463915</v>
      </c>
      <c r="BT16" s="417">
        <f t="shared" si="21"/>
        <v>13725</v>
      </c>
      <c r="BU16" s="417">
        <f>R16+AX16</f>
        <v>4500</v>
      </c>
      <c r="BV16" s="418">
        <f>S16+BK16</f>
        <v>3.9699999999999998</v>
      </c>
      <c r="BW16" s="418">
        <f t="shared" si="22"/>
        <v>3.9699999999999998</v>
      </c>
      <c r="BX16" s="420">
        <f t="shared" si="22"/>
        <v>0</v>
      </c>
      <c r="BY16" s="596"/>
      <c r="BZ16" s="595"/>
      <c r="CA16" s="595"/>
      <c r="CB16" s="595"/>
      <c r="CC16" s="595"/>
      <c r="CD16" s="981"/>
      <c r="CE16" s="596"/>
      <c r="CF16" s="595"/>
      <c r="CG16" s="595"/>
      <c r="CH16" s="595"/>
      <c r="CI16" s="595"/>
      <c r="CJ16" s="981"/>
    </row>
    <row r="17" spans="1:88" ht="12.95" customHeight="1">
      <c r="A17" s="281">
        <v>2</v>
      </c>
      <c r="B17" s="281">
        <v>4419</v>
      </c>
      <c r="C17" s="536">
        <v>600074056</v>
      </c>
      <c r="D17" s="281">
        <v>72744049</v>
      </c>
      <c r="E17" s="323" t="s">
        <v>303</v>
      </c>
      <c r="F17" s="281">
        <v>3141</v>
      </c>
      <c r="G17" s="284" t="s">
        <v>294</v>
      </c>
      <c r="H17" s="284" t="s">
        <v>272</v>
      </c>
      <c r="I17" s="563">
        <v>3785736</v>
      </c>
      <c r="J17" s="414">
        <v>2792931</v>
      </c>
      <c r="K17" s="414">
        <v>0</v>
      </c>
      <c r="L17" s="414">
        <v>2792931</v>
      </c>
      <c r="M17" s="414">
        <v>4000</v>
      </c>
      <c r="N17" s="414">
        <v>0</v>
      </c>
      <c r="O17" s="414">
        <v>4000</v>
      </c>
      <c r="P17" s="68">
        <v>945363</v>
      </c>
      <c r="Q17" s="68">
        <v>27930</v>
      </c>
      <c r="R17" s="414">
        <v>15512</v>
      </c>
      <c r="S17" s="415">
        <v>8.3766999999999996</v>
      </c>
      <c r="T17" s="416">
        <v>0</v>
      </c>
      <c r="U17" s="762">
        <v>8.3766999999999996</v>
      </c>
      <c r="V17" s="423">
        <f t="shared" si="3"/>
        <v>0</v>
      </c>
      <c r="W17" s="417">
        <f t="shared" si="3"/>
        <v>-6000</v>
      </c>
      <c r="X17" s="417">
        <v>0</v>
      </c>
      <c r="Y17" s="417">
        <v>0</v>
      </c>
      <c r="Z17" s="417">
        <v>0</v>
      </c>
      <c r="AA17" s="417">
        <v>-34578</v>
      </c>
      <c r="AB17" s="417">
        <v>0</v>
      </c>
      <c r="AC17" s="417">
        <v>0</v>
      </c>
      <c r="AD17" s="417">
        <v>0</v>
      </c>
      <c r="AE17" s="417">
        <f t="shared" si="4"/>
        <v>0</v>
      </c>
      <c r="AF17" s="417">
        <f t="shared" si="5"/>
        <v>-40578</v>
      </c>
      <c r="AG17" s="417">
        <f t="shared" si="6"/>
        <v>-40578</v>
      </c>
      <c r="AH17" s="417">
        <v>0</v>
      </c>
      <c r="AI17" s="417">
        <v>6000</v>
      </c>
      <c r="AJ17" s="417">
        <v>0</v>
      </c>
      <c r="AK17" s="417">
        <v>0</v>
      </c>
      <c r="AL17" s="417">
        <v>0</v>
      </c>
      <c r="AM17" s="417">
        <f t="shared" si="7"/>
        <v>0</v>
      </c>
      <c r="AN17" s="417">
        <f t="shared" si="8"/>
        <v>6000</v>
      </c>
      <c r="AO17" s="417">
        <f t="shared" si="9"/>
        <v>6000</v>
      </c>
      <c r="AP17" s="417">
        <f t="shared" si="10"/>
        <v>0</v>
      </c>
      <c r="AQ17" s="417">
        <f t="shared" si="10"/>
        <v>-34578</v>
      </c>
      <c r="AR17" s="417">
        <f t="shared" si="11"/>
        <v>-34578</v>
      </c>
      <c r="AS17" s="68">
        <f t="shared" si="12"/>
        <v>-11687</v>
      </c>
      <c r="AT17" s="68">
        <f t="shared" si="13"/>
        <v>-406</v>
      </c>
      <c r="AU17" s="417">
        <v>0</v>
      </c>
      <c r="AV17" s="417">
        <v>0</v>
      </c>
      <c r="AW17" s="417">
        <v>0</v>
      </c>
      <c r="AX17" s="417">
        <f t="shared" si="14"/>
        <v>0</v>
      </c>
      <c r="AY17" s="417">
        <f t="shared" si="15"/>
        <v>-46671</v>
      </c>
      <c r="AZ17" s="418">
        <v>0</v>
      </c>
      <c r="BA17" s="418">
        <v>0</v>
      </c>
      <c r="BB17" s="418">
        <v>0</v>
      </c>
      <c r="BC17" s="418">
        <v>0</v>
      </c>
      <c r="BD17" s="418">
        <v>-0.1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6"/>
        <v>0</v>
      </c>
      <c r="BJ17" s="418">
        <f t="shared" si="17"/>
        <v>-0.1</v>
      </c>
      <c r="BK17" s="420">
        <f t="shared" si="18"/>
        <v>-0.1</v>
      </c>
      <c r="BL17" s="772">
        <f>I17+AY17</f>
        <v>3739065</v>
      </c>
      <c r="BM17" s="417">
        <f>J17+AG17</f>
        <v>2752353</v>
      </c>
      <c r="BN17" s="417">
        <f t="shared" si="19"/>
        <v>0</v>
      </c>
      <c r="BO17" s="417">
        <f t="shared" si="19"/>
        <v>2752353</v>
      </c>
      <c r="BP17" s="417">
        <f>M17+AO17</f>
        <v>10000</v>
      </c>
      <c r="BQ17" s="417">
        <f t="shared" si="20"/>
        <v>0</v>
      </c>
      <c r="BR17" s="417">
        <f t="shared" si="20"/>
        <v>10000</v>
      </c>
      <c r="BS17" s="417">
        <f t="shared" si="21"/>
        <v>933676</v>
      </c>
      <c r="BT17" s="417">
        <f t="shared" si="21"/>
        <v>27524</v>
      </c>
      <c r="BU17" s="417">
        <f>R17+AX17</f>
        <v>15512</v>
      </c>
      <c r="BV17" s="418">
        <f>S17+BK17</f>
        <v>8.2766999999999999</v>
      </c>
      <c r="BW17" s="418">
        <f t="shared" si="22"/>
        <v>0</v>
      </c>
      <c r="BX17" s="420">
        <f t="shared" si="22"/>
        <v>8.2766999999999999</v>
      </c>
      <c r="BY17" s="596"/>
      <c r="BZ17" s="595"/>
      <c r="CA17" s="595"/>
      <c r="CB17" s="595"/>
      <c r="CC17" s="595"/>
      <c r="CD17" s="981"/>
      <c r="CE17" s="596"/>
      <c r="CF17" s="595"/>
      <c r="CG17" s="595"/>
      <c r="CH17" s="595"/>
      <c r="CI17" s="595"/>
      <c r="CJ17" s="981"/>
    </row>
    <row r="18" spans="1:88" ht="12.95" customHeight="1">
      <c r="A18" s="537">
        <v>2</v>
      </c>
      <c r="B18" s="538">
        <v>4419</v>
      </c>
      <c r="C18" s="539">
        <v>600074056</v>
      </c>
      <c r="D18" s="538">
        <v>72744049</v>
      </c>
      <c r="E18" s="540" t="s">
        <v>305</v>
      </c>
      <c r="F18" s="275"/>
      <c r="G18" s="289"/>
      <c r="H18" s="289"/>
      <c r="I18" s="465">
        <v>32645626</v>
      </c>
      <c r="J18" s="462">
        <v>24074995</v>
      </c>
      <c r="K18" s="462">
        <v>18817683</v>
      </c>
      <c r="L18" s="462">
        <v>5257312</v>
      </c>
      <c r="M18" s="462">
        <v>40000</v>
      </c>
      <c r="N18" s="462">
        <v>0</v>
      </c>
      <c r="O18" s="462">
        <v>40000</v>
      </c>
      <c r="P18" s="462">
        <v>8150868</v>
      </c>
      <c r="Q18" s="462">
        <v>240751</v>
      </c>
      <c r="R18" s="462">
        <v>139012</v>
      </c>
      <c r="S18" s="463">
        <v>51.806200000000004</v>
      </c>
      <c r="T18" s="463">
        <v>34.525199999999998</v>
      </c>
      <c r="U18" s="533">
        <v>17.280999999999999</v>
      </c>
      <c r="V18" s="465">
        <f t="shared" ref="V18:BK18" si="23">SUM(V14:V17)</f>
        <v>-12378</v>
      </c>
      <c r="W18" s="462">
        <f t="shared" si="23"/>
        <v>-67622</v>
      </c>
      <c r="X18" s="462">
        <f t="shared" si="23"/>
        <v>28849</v>
      </c>
      <c r="Y18" s="462">
        <f t="shared" si="23"/>
        <v>0</v>
      </c>
      <c r="Z18" s="462">
        <f t="shared" si="23"/>
        <v>346870</v>
      </c>
      <c r="AA18" s="462">
        <f t="shared" si="23"/>
        <v>-34578</v>
      </c>
      <c r="AB18" s="462">
        <f t="shared" si="23"/>
        <v>0</v>
      </c>
      <c r="AC18" s="462">
        <f t="shared" si="23"/>
        <v>0</v>
      </c>
      <c r="AD18" s="462">
        <f t="shared" si="23"/>
        <v>0</v>
      </c>
      <c r="AE18" s="462">
        <f t="shared" si="23"/>
        <v>363341</v>
      </c>
      <c r="AF18" s="462">
        <f t="shared" si="23"/>
        <v>-102200</v>
      </c>
      <c r="AG18" s="462">
        <f t="shared" si="23"/>
        <v>261141</v>
      </c>
      <c r="AH18" s="462">
        <f t="shared" si="23"/>
        <v>12378</v>
      </c>
      <c r="AI18" s="462">
        <f t="shared" si="23"/>
        <v>67622</v>
      </c>
      <c r="AJ18" s="462">
        <f t="shared" si="23"/>
        <v>0</v>
      </c>
      <c r="AK18" s="462">
        <f t="shared" si="23"/>
        <v>0</v>
      </c>
      <c r="AL18" s="462">
        <f t="shared" si="23"/>
        <v>0</v>
      </c>
      <c r="AM18" s="462">
        <f t="shared" si="23"/>
        <v>12378</v>
      </c>
      <c r="AN18" s="462">
        <f t="shared" si="23"/>
        <v>67622</v>
      </c>
      <c r="AO18" s="462">
        <f t="shared" si="23"/>
        <v>80000</v>
      </c>
      <c r="AP18" s="462">
        <f t="shared" si="23"/>
        <v>375719</v>
      </c>
      <c r="AQ18" s="462">
        <f t="shared" si="23"/>
        <v>-34578</v>
      </c>
      <c r="AR18" s="462">
        <f t="shared" si="23"/>
        <v>341141</v>
      </c>
      <c r="AS18" s="462">
        <f t="shared" si="23"/>
        <v>115306</v>
      </c>
      <c r="AT18" s="462">
        <f t="shared" si="23"/>
        <v>2610</v>
      </c>
      <c r="AU18" s="462">
        <f t="shared" si="23"/>
        <v>500</v>
      </c>
      <c r="AV18" s="462">
        <f t="shared" si="23"/>
        <v>0</v>
      </c>
      <c r="AW18" s="462">
        <f t="shared" si="23"/>
        <v>0</v>
      </c>
      <c r="AX18" s="462">
        <f t="shared" si="23"/>
        <v>500</v>
      </c>
      <c r="AY18" s="462">
        <f t="shared" si="23"/>
        <v>459557</v>
      </c>
      <c r="AZ18" s="463">
        <f t="shared" si="23"/>
        <v>-0.02</v>
      </c>
      <c r="BA18" s="463">
        <f t="shared" si="23"/>
        <v>0</v>
      </c>
      <c r="BB18" s="463">
        <f t="shared" si="23"/>
        <v>0.09</v>
      </c>
      <c r="BC18" s="463">
        <f t="shared" si="23"/>
        <v>0.8600000000000001</v>
      </c>
      <c r="BD18" s="463">
        <f t="shared" si="23"/>
        <v>-0.1</v>
      </c>
      <c r="BE18" s="463">
        <f t="shared" si="23"/>
        <v>0</v>
      </c>
      <c r="BF18" s="463">
        <f t="shared" si="23"/>
        <v>0</v>
      </c>
      <c r="BG18" s="463">
        <f t="shared" si="23"/>
        <v>0</v>
      </c>
      <c r="BH18" s="463">
        <f t="shared" si="23"/>
        <v>0</v>
      </c>
      <c r="BI18" s="463">
        <f t="shared" si="23"/>
        <v>0.93</v>
      </c>
      <c r="BJ18" s="463">
        <f t="shared" si="23"/>
        <v>-0.1</v>
      </c>
      <c r="BK18" s="290">
        <f t="shared" si="23"/>
        <v>0.83000000000000007</v>
      </c>
      <c r="BL18" s="776">
        <f t="shared" ref="BL18:CG18" si="24">SUM(BL14:BL17)</f>
        <v>33105183</v>
      </c>
      <c r="BM18" s="462">
        <f t="shared" si="24"/>
        <v>24336136</v>
      </c>
      <c r="BN18" s="462">
        <f t="shared" si="24"/>
        <v>19181024</v>
      </c>
      <c r="BO18" s="462">
        <f t="shared" si="24"/>
        <v>5155112</v>
      </c>
      <c r="BP18" s="462">
        <f t="shared" si="24"/>
        <v>120000</v>
      </c>
      <c r="BQ18" s="462">
        <f t="shared" si="24"/>
        <v>12378</v>
      </c>
      <c r="BR18" s="462">
        <f t="shared" si="24"/>
        <v>107622</v>
      </c>
      <c r="BS18" s="462">
        <f t="shared" si="24"/>
        <v>8266174</v>
      </c>
      <c r="BT18" s="462">
        <f t="shared" si="24"/>
        <v>243361</v>
      </c>
      <c r="BU18" s="462">
        <f t="shared" si="24"/>
        <v>139512</v>
      </c>
      <c r="BV18" s="463">
        <f t="shared" si="24"/>
        <v>52.636199999999995</v>
      </c>
      <c r="BW18" s="463">
        <f t="shared" si="24"/>
        <v>35.455199999999998</v>
      </c>
      <c r="BX18" s="290">
        <f t="shared" si="24"/>
        <v>17.180999999999997</v>
      </c>
      <c r="BY18" s="820">
        <f t="shared" si="24"/>
        <v>0</v>
      </c>
      <c r="BZ18" s="716">
        <f t="shared" si="24"/>
        <v>0</v>
      </c>
      <c r="CA18" s="716">
        <f t="shared" si="24"/>
        <v>0</v>
      </c>
      <c r="CB18" s="716">
        <f t="shared" si="24"/>
        <v>0</v>
      </c>
      <c r="CC18" s="716">
        <f t="shared" si="24"/>
        <v>0</v>
      </c>
      <c r="CD18" s="821">
        <f t="shared" si="24"/>
        <v>0</v>
      </c>
      <c r="CE18" s="982">
        <f t="shared" si="24"/>
        <v>1121249</v>
      </c>
      <c r="CF18" s="982">
        <f t="shared" si="24"/>
        <v>802305</v>
      </c>
      <c r="CG18" s="982">
        <f t="shared" si="24"/>
        <v>271179</v>
      </c>
      <c r="CH18" s="982">
        <f t="shared" ref="CH18:CJ18" si="25">SUM(CH14:CH17)</f>
        <v>8023</v>
      </c>
      <c r="CI18" s="982">
        <f t="shared" si="25"/>
        <v>39742</v>
      </c>
      <c r="CJ18" s="935">
        <f t="shared" si="25"/>
        <v>2.8571</v>
      </c>
    </row>
    <row r="19" spans="1:88" ht="12.95" customHeight="1">
      <c r="A19" s="280">
        <v>3</v>
      </c>
      <c r="B19" s="281">
        <v>4464</v>
      </c>
      <c r="C19" s="281" t="s">
        <v>306</v>
      </c>
      <c r="D19" s="281">
        <v>46750461</v>
      </c>
      <c r="E19" s="283" t="s">
        <v>307</v>
      </c>
      <c r="F19" s="281">
        <v>3113</v>
      </c>
      <c r="G19" s="284" t="s">
        <v>308</v>
      </c>
      <c r="H19" s="284" t="s">
        <v>271</v>
      </c>
      <c r="I19" s="563">
        <v>37216091</v>
      </c>
      <c r="J19" s="414">
        <v>27086585</v>
      </c>
      <c r="K19" s="414">
        <v>24584100</v>
      </c>
      <c r="L19" s="414">
        <v>2502485</v>
      </c>
      <c r="M19" s="414">
        <v>50000</v>
      </c>
      <c r="N19" s="414">
        <v>50000</v>
      </c>
      <c r="O19" s="414">
        <v>0</v>
      </c>
      <c r="P19" s="68">
        <v>9172165</v>
      </c>
      <c r="Q19" s="68">
        <v>270866</v>
      </c>
      <c r="R19" s="414">
        <v>636475</v>
      </c>
      <c r="S19" s="415">
        <v>42.107700000000001</v>
      </c>
      <c r="T19" s="416">
        <v>34.636800000000001</v>
      </c>
      <c r="U19" s="762">
        <v>7.4708999999999994</v>
      </c>
      <c r="V19" s="423">
        <f t="shared" si="3"/>
        <v>0</v>
      </c>
      <c r="W19" s="417">
        <f t="shared" si="3"/>
        <v>0</v>
      </c>
      <c r="X19" s="417">
        <v>0</v>
      </c>
      <c r="Y19" s="417">
        <v>0</v>
      </c>
      <c r="Z19" s="417">
        <v>-191442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4"/>
        <v>-191442</v>
      </c>
      <c r="AF19" s="417">
        <f t="shared" si="5"/>
        <v>0</v>
      </c>
      <c r="AG19" s="417">
        <f t="shared" si="6"/>
        <v>-191442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7"/>
        <v>0</v>
      </c>
      <c r="AN19" s="417">
        <f t="shared" si="8"/>
        <v>0</v>
      </c>
      <c r="AO19" s="417">
        <f t="shared" si="9"/>
        <v>0</v>
      </c>
      <c r="AP19" s="417">
        <f t="shared" si="10"/>
        <v>-191442</v>
      </c>
      <c r="AQ19" s="417">
        <f t="shared" si="10"/>
        <v>0</v>
      </c>
      <c r="AR19" s="417">
        <f t="shared" si="11"/>
        <v>-191442</v>
      </c>
      <c r="AS19" s="68">
        <f t="shared" si="12"/>
        <v>-64707</v>
      </c>
      <c r="AT19" s="68">
        <f t="shared" si="13"/>
        <v>-1914</v>
      </c>
      <c r="AU19" s="417">
        <v>0</v>
      </c>
      <c r="AV19" s="417">
        <v>0</v>
      </c>
      <c r="AW19" s="417">
        <v>0</v>
      </c>
      <c r="AX19" s="417">
        <f t="shared" si="14"/>
        <v>0</v>
      </c>
      <c r="AY19" s="417">
        <f t="shared" si="15"/>
        <v>-258063</v>
      </c>
      <c r="AZ19" s="418">
        <v>-7.0000000000000007E-2</v>
      </c>
      <c r="BA19" s="418">
        <v>0</v>
      </c>
      <c r="BB19" s="418">
        <v>0</v>
      </c>
      <c r="BC19" s="418">
        <v>-0.38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6"/>
        <v>-0.45</v>
      </c>
      <c r="BJ19" s="418">
        <f t="shared" si="17"/>
        <v>0</v>
      </c>
      <c r="BK19" s="420">
        <f t="shared" si="18"/>
        <v>-0.45</v>
      </c>
      <c r="BL19" s="772">
        <f>I19+AY19</f>
        <v>36958028</v>
      </c>
      <c r="BM19" s="417">
        <f>J19+AG19</f>
        <v>26895143</v>
      </c>
      <c r="BN19" s="417">
        <f t="shared" ref="BN19:BO23" si="26">K19+AE19</f>
        <v>24392658</v>
      </c>
      <c r="BO19" s="417">
        <f t="shared" si="26"/>
        <v>2502485</v>
      </c>
      <c r="BP19" s="417">
        <f>M19+AO19</f>
        <v>50000</v>
      </c>
      <c r="BQ19" s="417">
        <f t="shared" ref="BQ19:BR23" si="27">N19+AM19</f>
        <v>50000</v>
      </c>
      <c r="BR19" s="417">
        <f t="shared" si="27"/>
        <v>0</v>
      </c>
      <c r="BS19" s="417">
        <f t="shared" ref="BS19:BT23" si="28">P19+AS19</f>
        <v>9107458</v>
      </c>
      <c r="BT19" s="417">
        <f t="shared" si="28"/>
        <v>268952</v>
      </c>
      <c r="BU19" s="417">
        <f>R19+AX19</f>
        <v>636475</v>
      </c>
      <c r="BV19" s="418">
        <f>S19+BK19</f>
        <v>41.657699999999998</v>
      </c>
      <c r="BW19" s="418">
        <f t="shared" ref="BW19:BX23" si="29">T19+BI19</f>
        <v>34.186799999999998</v>
      </c>
      <c r="BX19" s="420">
        <f t="shared" si="29"/>
        <v>7.4708999999999994</v>
      </c>
      <c r="BY19" s="596"/>
      <c r="BZ19" s="595"/>
      <c r="CA19" s="595"/>
      <c r="CB19" s="595"/>
      <c r="CC19" s="595"/>
      <c r="CD19" s="981"/>
      <c r="CE19" s="596">
        <v>1236403</v>
      </c>
      <c r="CF19" s="595">
        <v>803273</v>
      </c>
      <c r="CG19" s="595">
        <v>271506</v>
      </c>
      <c r="CH19" s="595">
        <v>8033</v>
      </c>
      <c r="CI19" s="595">
        <v>153591</v>
      </c>
      <c r="CJ19" s="981">
        <v>2.3982999999999999</v>
      </c>
    </row>
    <row r="20" spans="1:88" ht="12.95" customHeight="1">
      <c r="A20" s="280">
        <v>3</v>
      </c>
      <c r="B20" s="281">
        <v>4464</v>
      </c>
      <c r="C20" s="281" t="s">
        <v>306</v>
      </c>
      <c r="D20" s="281">
        <v>46750461</v>
      </c>
      <c r="E20" s="283" t="s">
        <v>309</v>
      </c>
      <c r="F20" s="281">
        <v>3113</v>
      </c>
      <c r="G20" s="284" t="s">
        <v>298</v>
      </c>
      <c r="H20" s="284" t="s">
        <v>272</v>
      </c>
      <c r="I20" s="563">
        <v>1746683</v>
      </c>
      <c r="J20" s="414">
        <v>1295759</v>
      </c>
      <c r="K20" s="414">
        <v>1295759</v>
      </c>
      <c r="L20" s="414">
        <v>0</v>
      </c>
      <c r="M20" s="414">
        <v>0</v>
      </c>
      <c r="N20" s="414">
        <v>0</v>
      </c>
      <c r="O20" s="414">
        <v>0</v>
      </c>
      <c r="P20" s="68">
        <v>437966</v>
      </c>
      <c r="Q20" s="68">
        <v>12958</v>
      </c>
      <c r="R20" s="414">
        <v>0</v>
      </c>
      <c r="S20" s="415">
        <v>3.58</v>
      </c>
      <c r="T20" s="416">
        <v>3.58</v>
      </c>
      <c r="U20" s="762">
        <v>0</v>
      </c>
      <c r="V20" s="423">
        <f t="shared" si="3"/>
        <v>0</v>
      </c>
      <c r="W20" s="417">
        <f t="shared" si="3"/>
        <v>0</v>
      </c>
      <c r="X20" s="417">
        <v>-298013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4"/>
        <v>-298013</v>
      </c>
      <c r="AF20" s="417">
        <f t="shared" si="5"/>
        <v>0</v>
      </c>
      <c r="AG20" s="417">
        <f t="shared" si="6"/>
        <v>-298013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7"/>
        <v>0</v>
      </c>
      <c r="AN20" s="417">
        <f t="shared" si="8"/>
        <v>0</v>
      </c>
      <c r="AO20" s="417">
        <f t="shared" si="9"/>
        <v>0</v>
      </c>
      <c r="AP20" s="417">
        <f t="shared" si="10"/>
        <v>-298013</v>
      </c>
      <c r="AQ20" s="417">
        <f t="shared" si="10"/>
        <v>0</v>
      </c>
      <c r="AR20" s="417">
        <f t="shared" si="11"/>
        <v>-298013</v>
      </c>
      <c r="AS20" s="68">
        <f t="shared" si="12"/>
        <v>-100728</v>
      </c>
      <c r="AT20" s="68">
        <f t="shared" si="13"/>
        <v>-2980</v>
      </c>
      <c r="AU20" s="417">
        <v>0</v>
      </c>
      <c r="AV20" s="417">
        <v>0</v>
      </c>
      <c r="AW20" s="417">
        <v>0</v>
      </c>
      <c r="AX20" s="417">
        <f t="shared" si="14"/>
        <v>0</v>
      </c>
      <c r="AY20" s="417">
        <f t="shared" si="15"/>
        <v>-401721</v>
      </c>
      <c r="AZ20" s="418">
        <v>0</v>
      </c>
      <c r="BA20" s="418">
        <v>0</v>
      </c>
      <c r="BB20" s="418">
        <v>-0.77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6"/>
        <v>-0.77</v>
      </c>
      <c r="BJ20" s="418">
        <f t="shared" si="17"/>
        <v>0</v>
      </c>
      <c r="BK20" s="420">
        <f t="shared" si="18"/>
        <v>-0.77</v>
      </c>
      <c r="BL20" s="772">
        <f>I20+AY20</f>
        <v>1344962</v>
      </c>
      <c r="BM20" s="417">
        <f>J20+AG20</f>
        <v>997746</v>
      </c>
      <c r="BN20" s="417">
        <f t="shared" si="26"/>
        <v>997746</v>
      </c>
      <c r="BO20" s="417">
        <f t="shared" si="26"/>
        <v>0</v>
      </c>
      <c r="BP20" s="417">
        <f>M20+AO20</f>
        <v>0</v>
      </c>
      <c r="BQ20" s="417">
        <f t="shared" si="27"/>
        <v>0</v>
      </c>
      <c r="BR20" s="417">
        <f t="shared" si="27"/>
        <v>0</v>
      </c>
      <c r="BS20" s="417">
        <f t="shared" si="28"/>
        <v>337238</v>
      </c>
      <c r="BT20" s="417">
        <f t="shared" si="28"/>
        <v>9978</v>
      </c>
      <c r="BU20" s="417">
        <f>R20+AX20</f>
        <v>0</v>
      </c>
      <c r="BV20" s="418">
        <f>S20+BK20</f>
        <v>2.81</v>
      </c>
      <c r="BW20" s="418">
        <f t="shared" si="29"/>
        <v>2.81</v>
      </c>
      <c r="BX20" s="420">
        <f t="shared" si="29"/>
        <v>0</v>
      </c>
      <c r="BY20" s="596"/>
      <c r="BZ20" s="595"/>
      <c r="CA20" s="595"/>
      <c r="CB20" s="595"/>
      <c r="CC20" s="595"/>
      <c r="CD20" s="981"/>
      <c r="CE20" s="596"/>
      <c r="CF20" s="595"/>
      <c r="CG20" s="595"/>
      <c r="CH20" s="595"/>
      <c r="CI20" s="595"/>
      <c r="CJ20" s="981"/>
    </row>
    <row r="21" spans="1:88" ht="12.95" customHeight="1">
      <c r="A21" s="280">
        <v>3</v>
      </c>
      <c r="B21" s="281">
        <v>4464</v>
      </c>
      <c r="C21" s="281" t="s">
        <v>306</v>
      </c>
      <c r="D21" s="281">
        <v>46750461</v>
      </c>
      <c r="E21" s="283" t="s">
        <v>307</v>
      </c>
      <c r="F21" s="281">
        <v>3141</v>
      </c>
      <c r="G21" s="284" t="s">
        <v>294</v>
      </c>
      <c r="H21" s="284" t="s">
        <v>272</v>
      </c>
      <c r="I21" s="563">
        <v>3236860</v>
      </c>
      <c r="J21" s="414">
        <v>2372892</v>
      </c>
      <c r="K21" s="414">
        <v>0</v>
      </c>
      <c r="L21" s="414">
        <v>2372892</v>
      </c>
      <c r="M21" s="414">
        <v>10000</v>
      </c>
      <c r="N21" s="414">
        <v>0</v>
      </c>
      <c r="O21" s="414">
        <v>10000</v>
      </c>
      <c r="P21" s="68">
        <v>805417</v>
      </c>
      <c r="Q21" s="68">
        <v>23729</v>
      </c>
      <c r="R21" s="414">
        <v>24822</v>
      </c>
      <c r="S21" s="415">
        <v>7.1467000000000001</v>
      </c>
      <c r="T21" s="416">
        <v>0</v>
      </c>
      <c r="U21" s="762">
        <v>7.1467000000000001</v>
      </c>
      <c r="V21" s="423">
        <f t="shared" si="3"/>
        <v>0</v>
      </c>
      <c r="W21" s="417">
        <f t="shared" si="3"/>
        <v>0</v>
      </c>
      <c r="X21" s="417">
        <v>0</v>
      </c>
      <c r="Y21" s="417">
        <v>0</v>
      </c>
      <c r="Z21" s="417">
        <v>0</v>
      </c>
      <c r="AA21" s="417">
        <v>-63015</v>
      </c>
      <c r="AB21" s="417">
        <v>0</v>
      </c>
      <c r="AC21" s="417">
        <v>0</v>
      </c>
      <c r="AD21" s="417">
        <v>0</v>
      </c>
      <c r="AE21" s="417">
        <f t="shared" si="4"/>
        <v>0</v>
      </c>
      <c r="AF21" s="417">
        <f t="shared" si="5"/>
        <v>-63015</v>
      </c>
      <c r="AG21" s="417">
        <f t="shared" si="6"/>
        <v>-63015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7"/>
        <v>0</v>
      </c>
      <c r="AN21" s="417">
        <f t="shared" si="8"/>
        <v>0</v>
      </c>
      <c r="AO21" s="417">
        <f t="shared" si="9"/>
        <v>0</v>
      </c>
      <c r="AP21" s="417">
        <f t="shared" si="10"/>
        <v>0</v>
      </c>
      <c r="AQ21" s="417">
        <f t="shared" si="10"/>
        <v>-63015</v>
      </c>
      <c r="AR21" s="417">
        <f t="shared" si="11"/>
        <v>-63015</v>
      </c>
      <c r="AS21" s="68">
        <f t="shared" si="12"/>
        <v>-21299</v>
      </c>
      <c r="AT21" s="68">
        <f t="shared" si="13"/>
        <v>-630</v>
      </c>
      <c r="AU21" s="417">
        <v>0</v>
      </c>
      <c r="AV21" s="417">
        <v>0</v>
      </c>
      <c r="AW21" s="417">
        <v>0</v>
      </c>
      <c r="AX21" s="417">
        <f t="shared" si="14"/>
        <v>0</v>
      </c>
      <c r="AY21" s="417">
        <f t="shared" si="15"/>
        <v>-84944</v>
      </c>
      <c r="AZ21" s="418">
        <v>0</v>
      </c>
      <c r="BA21" s="418">
        <v>0</v>
      </c>
      <c r="BB21" s="418">
        <v>0</v>
      </c>
      <c r="BC21" s="418">
        <v>0</v>
      </c>
      <c r="BD21" s="418">
        <v>-0.19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6"/>
        <v>0</v>
      </c>
      <c r="BJ21" s="418">
        <f t="shared" si="17"/>
        <v>-0.19</v>
      </c>
      <c r="BK21" s="420">
        <f t="shared" si="18"/>
        <v>-0.19</v>
      </c>
      <c r="BL21" s="772">
        <f>I21+AY21</f>
        <v>3151916</v>
      </c>
      <c r="BM21" s="417">
        <f>J21+AG21</f>
        <v>2309877</v>
      </c>
      <c r="BN21" s="417">
        <f t="shared" si="26"/>
        <v>0</v>
      </c>
      <c r="BO21" s="417">
        <f t="shared" si="26"/>
        <v>2309877</v>
      </c>
      <c r="BP21" s="417">
        <f>M21+AO21</f>
        <v>10000</v>
      </c>
      <c r="BQ21" s="417">
        <f t="shared" si="27"/>
        <v>0</v>
      </c>
      <c r="BR21" s="417">
        <f t="shared" si="27"/>
        <v>10000</v>
      </c>
      <c r="BS21" s="417">
        <f t="shared" si="28"/>
        <v>784118</v>
      </c>
      <c r="BT21" s="417">
        <f t="shared" si="28"/>
        <v>23099</v>
      </c>
      <c r="BU21" s="417">
        <f>R21+AX21</f>
        <v>24822</v>
      </c>
      <c r="BV21" s="418">
        <f>S21+BK21</f>
        <v>6.9566999999999997</v>
      </c>
      <c r="BW21" s="418">
        <f t="shared" si="29"/>
        <v>0</v>
      </c>
      <c r="BX21" s="420">
        <f t="shared" si="29"/>
        <v>6.9566999999999997</v>
      </c>
      <c r="BY21" s="596"/>
      <c r="BZ21" s="595"/>
      <c r="CA21" s="595"/>
      <c r="CB21" s="595"/>
      <c r="CC21" s="595"/>
      <c r="CD21" s="981"/>
      <c r="CE21" s="596"/>
      <c r="CF21" s="595"/>
      <c r="CG21" s="595"/>
      <c r="CH21" s="595"/>
      <c r="CI21" s="595"/>
      <c r="CJ21" s="981"/>
    </row>
    <row r="22" spans="1:88" ht="12.95" customHeight="1">
      <c r="A22" s="280">
        <v>3</v>
      </c>
      <c r="B22" s="281">
        <v>4464</v>
      </c>
      <c r="C22" s="281" t="s">
        <v>306</v>
      </c>
      <c r="D22" s="281">
        <v>46750461</v>
      </c>
      <c r="E22" s="283" t="s">
        <v>309</v>
      </c>
      <c r="F22" s="281">
        <v>3143</v>
      </c>
      <c r="G22" s="284" t="s">
        <v>595</v>
      </c>
      <c r="H22" s="284" t="s">
        <v>271</v>
      </c>
      <c r="I22" s="563">
        <v>3564538</v>
      </c>
      <c r="J22" s="414">
        <v>2624464</v>
      </c>
      <c r="K22" s="414">
        <v>2624464</v>
      </c>
      <c r="L22" s="414">
        <v>0</v>
      </c>
      <c r="M22" s="414">
        <v>20000</v>
      </c>
      <c r="N22" s="414">
        <v>20000</v>
      </c>
      <c r="O22" s="414">
        <v>0</v>
      </c>
      <c r="P22" s="68">
        <v>893829</v>
      </c>
      <c r="Q22" s="68">
        <v>26245</v>
      </c>
      <c r="R22" s="414">
        <v>0</v>
      </c>
      <c r="S22" s="415">
        <v>4.9997999999999996</v>
      </c>
      <c r="T22" s="416">
        <v>4.9997999999999996</v>
      </c>
      <c r="U22" s="762">
        <v>0</v>
      </c>
      <c r="V22" s="423">
        <f t="shared" si="3"/>
        <v>0</v>
      </c>
      <c r="W22" s="417">
        <f t="shared" si="3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4"/>
        <v>0</v>
      </c>
      <c r="AF22" s="417">
        <f t="shared" si="5"/>
        <v>0</v>
      </c>
      <c r="AG22" s="417">
        <f t="shared" si="6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7"/>
        <v>0</v>
      </c>
      <c r="AN22" s="417">
        <f t="shared" si="8"/>
        <v>0</v>
      </c>
      <c r="AO22" s="417">
        <f t="shared" si="9"/>
        <v>0</v>
      </c>
      <c r="AP22" s="417">
        <f t="shared" si="10"/>
        <v>0</v>
      </c>
      <c r="AQ22" s="417">
        <f t="shared" si="10"/>
        <v>0</v>
      </c>
      <c r="AR22" s="417">
        <f t="shared" si="11"/>
        <v>0</v>
      </c>
      <c r="AS22" s="68">
        <f t="shared" si="12"/>
        <v>0</v>
      </c>
      <c r="AT22" s="68">
        <f t="shared" si="13"/>
        <v>0</v>
      </c>
      <c r="AU22" s="417">
        <v>0</v>
      </c>
      <c r="AV22" s="417">
        <v>0</v>
      </c>
      <c r="AW22" s="417">
        <v>0</v>
      </c>
      <c r="AX22" s="417">
        <f t="shared" si="14"/>
        <v>0</v>
      </c>
      <c r="AY22" s="417">
        <f t="shared" si="15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6"/>
        <v>0</v>
      </c>
      <c r="BJ22" s="418">
        <f t="shared" si="17"/>
        <v>0</v>
      </c>
      <c r="BK22" s="420">
        <f t="shared" si="18"/>
        <v>0</v>
      </c>
      <c r="BL22" s="772">
        <f>I22+AY22</f>
        <v>3564538</v>
      </c>
      <c r="BM22" s="417">
        <f>J22+AG22</f>
        <v>2624464</v>
      </c>
      <c r="BN22" s="417">
        <f t="shared" si="26"/>
        <v>2624464</v>
      </c>
      <c r="BO22" s="417">
        <f t="shared" si="26"/>
        <v>0</v>
      </c>
      <c r="BP22" s="417">
        <f>M22+AO22</f>
        <v>20000</v>
      </c>
      <c r="BQ22" s="417">
        <f t="shared" si="27"/>
        <v>20000</v>
      </c>
      <c r="BR22" s="417">
        <f t="shared" si="27"/>
        <v>0</v>
      </c>
      <c r="BS22" s="417">
        <f t="shared" si="28"/>
        <v>893829</v>
      </c>
      <c r="BT22" s="417">
        <f t="shared" si="28"/>
        <v>26245</v>
      </c>
      <c r="BU22" s="417">
        <f>R22+AX22</f>
        <v>0</v>
      </c>
      <c r="BV22" s="418">
        <f>S22+BK22</f>
        <v>4.9997999999999996</v>
      </c>
      <c r="BW22" s="418">
        <f t="shared" si="29"/>
        <v>4.9997999999999996</v>
      </c>
      <c r="BX22" s="420">
        <f t="shared" si="29"/>
        <v>0</v>
      </c>
      <c r="BY22" s="596"/>
      <c r="BZ22" s="595"/>
      <c r="CA22" s="595"/>
      <c r="CB22" s="595"/>
      <c r="CC22" s="595"/>
      <c r="CD22" s="981"/>
      <c r="CE22" s="596"/>
      <c r="CF22" s="595"/>
      <c r="CG22" s="595"/>
      <c r="CH22" s="595"/>
      <c r="CI22" s="595"/>
      <c r="CJ22" s="981"/>
    </row>
    <row r="23" spans="1:88" ht="12.95" customHeight="1">
      <c r="A23" s="280">
        <v>3</v>
      </c>
      <c r="B23" s="281">
        <v>4464</v>
      </c>
      <c r="C23" s="281" t="s">
        <v>306</v>
      </c>
      <c r="D23" s="281">
        <v>46750461</v>
      </c>
      <c r="E23" s="283" t="s">
        <v>309</v>
      </c>
      <c r="F23" s="281">
        <v>3143</v>
      </c>
      <c r="G23" s="284" t="s">
        <v>596</v>
      </c>
      <c r="H23" s="284" t="s">
        <v>272</v>
      </c>
      <c r="I23" s="563">
        <v>135238</v>
      </c>
      <c r="J23" s="414">
        <v>96800</v>
      </c>
      <c r="K23" s="414">
        <v>0</v>
      </c>
      <c r="L23" s="414">
        <v>96800</v>
      </c>
      <c r="M23" s="414">
        <v>0</v>
      </c>
      <c r="N23" s="414">
        <v>0</v>
      </c>
      <c r="O23" s="414">
        <v>0</v>
      </c>
      <c r="P23" s="68">
        <v>32718</v>
      </c>
      <c r="Q23" s="68">
        <v>968</v>
      </c>
      <c r="R23" s="414">
        <v>4752</v>
      </c>
      <c r="S23" s="415">
        <v>0.3644</v>
      </c>
      <c r="T23" s="416">
        <v>0</v>
      </c>
      <c r="U23" s="762">
        <v>0.3644</v>
      </c>
      <c r="V23" s="423">
        <f t="shared" si="3"/>
        <v>0</v>
      </c>
      <c r="W23" s="417">
        <f t="shared" si="3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4"/>
        <v>0</v>
      </c>
      <c r="AF23" s="417">
        <f t="shared" si="5"/>
        <v>0</v>
      </c>
      <c r="AG23" s="417">
        <f t="shared" si="6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7"/>
        <v>0</v>
      </c>
      <c r="AN23" s="417">
        <f t="shared" si="8"/>
        <v>0</v>
      </c>
      <c r="AO23" s="417">
        <f t="shared" si="9"/>
        <v>0</v>
      </c>
      <c r="AP23" s="417">
        <f t="shared" si="10"/>
        <v>0</v>
      </c>
      <c r="AQ23" s="417">
        <f t="shared" si="10"/>
        <v>0</v>
      </c>
      <c r="AR23" s="417">
        <f t="shared" si="11"/>
        <v>0</v>
      </c>
      <c r="AS23" s="68">
        <f t="shared" si="12"/>
        <v>0</v>
      </c>
      <c r="AT23" s="68">
        <f t="shared" si="13"/>
        <v>0</v>
      </c>
      <c r="AU23" s="417">
        <v>0</v>
      </c>
      <c r="AV23" s="417">
        <v>0</v>
      </c>
      <c r="AW23" s="417">
        <v>0</v>
      </c>
      <c r="AX23" s="417">
        <f t="shared" si="14"/>
        <v>0</v>
      </c>
      <c r="AY23" s="417">
        <f t="shared" si="15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6"/>
        <v>0</v>
      </c>
      <c r="BJ23" s="418">
        <f t="shared" si="17"/>
        <v>0</v>
      </c>
      <c r="BK23" s="420">
        <f t="shared" si="18"/>
        <v>0</v>
      </c>
      <c r="BL23" s="772">
        <f>I23+AY23</f>
        <v>135238</v>
      </c>
      <c r="BM23" s="417">
        <f>J23+AG23</f>
        <v>96800</v>
      </c>
      <c r="BN23" s="417">
        <f t="shared" si="26"/>
        <v>0</v>
      </c>
      <c r="BO23" s="417">
        <f t="shared" si="26"/>
        <v>96800</v>
      </c>
      <c r="BP23" s="417">
        <f>M23+AO23</f>
        <v>0</v>
      </c>
      <c r="BQ23" s="417">
        <f t="shared" si="27"/>
        <v>0</v>
      </c>
      <c r="BR23" s="417">
        <f t="shared" si="27"/>
        <v>0</v>
      </c>
      <c r="BS23" s="417">
        <f t="shared" si="28"/>
        <v>32718</v>
      </c>
      <c r="BT23" s="417">
        <f t="shared" si="28"/>
        <v>968</v>
      </c>
      <c r="BU23" s="417">
        <f>R23+AX23</f>
        <v>4752</v>
      </c>
      <c r="BV23" s="418">
        <f>S23+BK23</f>
        <v>0.3644</v>
      </c>
      <c r="BW23" s="418">
        <f t="shared" si="29"/>
        <v>0</v>
      </c>
      <c r="BX23" s="420">
        <f t="shared" si="29"/>
        <v>0.3644</v>
      </c>
      <c r="BY23" s="596"/>
      <c r="BZ23" s="595"/>
      <c r="CA23" s="595"/>
      <c r="CB23" s="595"/>
      <c r="CC23" s="595"/>
      <c r="CD23" s="981"/>
      <c r="CE23" s="596"/>
      <c r="CF23" s="595"/>
      <c r="CG23" s="595"/>
      <c r="CH23" s="595"/>
      <c r="CI23" s="595"/>
      <c r="CJ23" s="981"/>
    </row>
    <row r="24" spans="1:88" ht="12.95" customHeight="1">
      <c r="A24" s="273">
        <v>3</v>
      </c>
      <c r="B24" s="275">
        <v>4464</v>
      </c>
      <c r="C24" s="275" t="s">
        <v>306</v>
      </c>
      <c r="D24" s="275">
        <v>46750461</v>
      </c>
      <c r="E24" s="288" t="s">
        <v>310</v>
      </c>
      <c r="F24" s="275"/>
      <c r="G24" s="289"/>
      <c r="H24" s="289"/>
      <c r="I24" s="465">
        <v>45899410</v>
      </c>
      <c r="J24" s="462">
        <v>33476500</v>
      </c>
      <c r="K24" s="462">
        <v>28504323</v>
      </c>
      <c r="L24" s="462">
        <v>4972177</v>
      </c>
      <c r="M24" s="462">
        <v>80000</v>
      </c>
      <c r="N24" s="462">
        <v>70000</v>
      </c>
      <c r="O24" s="462">
        <v>10000</v>
      </c>
      <c r="P24" s="462">
        <v>11342095</v>
      </c>
      <c r="Q24" s="462">
        <v>334766</v>
      </c>
      <c r="R24" s="462">
        <v>666049</v>
      </c>
      <c r="S24" s="463">
        <v>58.198600000000006</v>
      </c>
      <c r="T24" s="463">
        <v>43.2166</v>
      </c>
      <c r="U24" s="533">
        <v>14.981999999999999</v>
      </c>
      <c r="V24" s="465">
        <f t="shared" ref="V24:BK24" si="30">SUM(V19:V23)</f>
        <v>0</v>
      </c>
      <c r="W24" s="462">
        <f t="shared" si="30"/>
        <v>0</v>
      </c>
      <c r="X24" s="462">
        <f t="shared" si="30"/>
        <v>-298013</v>
      </c>
      <c r="Y24" s="462">
        <f t="shared" si="30"/>
        <v>0</v>
      </c>
      <c r="Z24" s="462">
        <f t="shared" si="30"/>
        <v>-191442</v>
      </c>
      <c r="AA24" s="462">
        <f t="shared" si="30"/>
        <v>-63015</v>
      </c>
      <c r="AB24" s="462">
        <f t="shared" si="30"/>
        <v>0</v>
      </c>
      <c r="AC24" s="462">
        <f t="shared" si="30"/>
        <v>0</v>
      </c>
      <c r="AD24" s="462">
        <f t="shared" si="30"/>
        <v>0</v>
      </c>
      <c r="AE24" s="462">
        <f t="shared" si="30"/>
        <v>-489455</v>
      </c>
      <c r="AF24" s="462">
        <f t="shared" si="30"/>
        <v>-63015</v>
      </c>
      <c r="AG24" s="462">
        <f t="shared" si="30"/>
        <v>-552470</v>
      </c>
      <c r="AH24" s="462">
        <f t="shared" si="30"/>
        <v>0</v>
      </c>
      <c r="AI24" s="462">
        <f t="shared" si="30"/>
        <v>0</v>
      </c>
      <c r="AJ24" s="462">
        <f t="shared" si="30"/>
        <v>0</v>
      </c>
      <c r="AK24" s="462">
        <f t="shared" si="30"/>
        <v>0</v>
      </c>
      <c r="AL24" s="462">
        <f t="shared" si="30"/>
        <v>0</v>
      </c>
      <c r="AM24" s="462">
        <f t="shared" si="30"/>
        <v>0</v>
      </c>
      <c r="AN24" s="462">
        <f t="shared" si="30"/>
        <v>0</v>
      </c>
      <c r="AO24" s="462">
        <f t="shared" si="30"/>
        <v>0</v>
      </c>
      <c r="AP24" s="462">
        <f t="shared" si="30"/>
        <v>-489455</v>
      </c>
      <c r="AQ24" s="462">
        <f t="shared" si="30"/>
        <v>-63015</v>
      </c>
      <c r="AR24" s="462">
        <f t="shared" si="30"/>
        <v>-552470</v>
      </c>
      <c r="AS24" s="462">
        <f t="shared" si="30"/>
        <v>-186734</v>
      </c>
      <c r="AT24" s="462">
        <f t="shared" si="30"/>
        <v>-5524</v>
      </c>
      <c r="AU24" s="462">
        <f t="shared" si="30"/>
        <v>0</v>
      </c>
      <c r="AV24" s="462">
        <f t="shared" si="30"/>
        <v>0</v>
      </c>
      <c r="AW24" s="462">
        <f t="shared" si="30"/>
        <v>0</v>
      </c>
      <c r="AX24" s="462">
        <f t="shared" si="30"/>
        <v>0</v>
      </c>
      <c r="AY24" s="462">
        <f t="shared" si="30"/>
        <v>-744728</v>
      </c>
      <c r="AZ24" s="463">
        <f t="shared" si="30"/>
        <v>-7.0000000000000007E-2</v>
      </c>
      <c r="BA24" s="463">
        <f t="shared" si="30"/>
        <v>0</v>
      </c>
      <c r="BB24" s="463">
        <f t="shared" si="30"/>
        <v>-0.77</v>
      </c>
      <c r="BC24" s="463">
        <f t="shared" si="30"/>
        <v>-0.38</v>
      </c>
      <c r="BD24" s="463">
        <f t="shared" si="30"/>
        <v>-0.19</v>
      </c>
      <c r="BE24" s="463">
        <f t="shared" si="30"/>
        <v>0</v>
      </c>
      <c r="BF24" s="463">
        <f t="shared" si="30"/>
        <v>0</v>
      </c>
      <c r="BG24" s="463">
        <f t="shared" si="30"/>
        <v>0</v>
      </c>
      <c r="BH24" s="463">
        <f t="shared" si="30"/>
        <v>0</v>
      </c>
      <c r="BI24" s="463">
        <f t="shared" si="30"/>
        <v>-1.22</v>
      </c>
      <c r="BJ24" s="463">
        <f t="shared" si="30"/>
        <v>-0.19</v>
      </c>
      <c r="BK24" s="290">
        <f t="shared" si="30"/>
        <v>-1.41</v>
      </c>
      <c r="BL24" s="776">
        <f t="shared" ref="BL24:CG24" si="31">SUM(BL19:BL23)</f>
        <v>45154682</v>
      </c>
      <c r="BM24" s="462">
        <f t="shared" si="31"/>
        <v>32924030</v>
      </c>
      <c r="BN24" s="462">
        <f t="shared" si="31"/>
        <v>28014868</v>
      </c>
      <c r="BO24" s="462">
        <f t="shared" si="31"/>
        <v>4909162</v>
      </c>
      <c r="BP24" s="462">
        <f t="shared" si="31"/>
        <v>80000</v>
      </c>
      <c r="BQ24" s="462">
        <f t="shared" si="31"/>
        <v>70000</v>
      </c>
      <c r="BR24" s="462">
        <f t="shared" si="31"/>
        <v>10000</v>
      </c>
      <c r="BS24" s="462">
        <f t="shared" si="31"/>
        <v>11155361</v>
      </c>
      <c r="BT24" s="462">
        <f t="shared" si="31"/>
        <v>329242</v>
      </c>
      <c r="BU24" s="462">
        <f t="shared" si="31"/>
        <v>666049</v>
      </c>
      <c r="BV24" s="463">
        <f t="shared" si="31"/>
        <v>56.788600000000002</v>
      </c>
      <c r="BW24" s="463">
        <f t="shared" si="31"/>
        <v>41.996600000000001</v>
      </c>
      <c r="BX24" s="290">
        <f t="shared" si="31"/>
        <v>14.791999999999998</v>
      </c>
      <c r="BY24" s="820">
        <f t="shared" si="31"/>
        <v>0</v>
      </c>
      <c r="BZ24" s="716">
        <f t="shared" si="31"/>
        <v>0</v>
      </c>
      <c r="CA24" s="716">
        <f t="shared" si="31"/>
        <v>0</v>
      </c>
      <c r="CB24" s="716">
        <f t="shared" si="31"/>
        <v>0</v>
      </c>
      <c r="CC24" s="716">
        <f t="shared" si="31"/>
        <v>0</v>
      </c>
      <c r="CD24" s="821">
        <f t="shared" si="31"/>
        <v>0</v>
      </c>
      <c r="CE24" s="982">
        <f t="shared" si="31"/>
        <v>1236403</v>
      </c>
      <c r="CF24" s="982">
        <f t="shared" si="31"/>
        <v>803273</v>
      </c>
      <c r="CG24" s="982">
        <f t="shared" si="31"/>
        <v>271506</v>
      </c>
      <c r="CH24" s="982">
        <f t="shared" ref="CH24:CJ24" si="32">SUM(CH19:CH23)</f>
        <v>8033</v>
      </c>
      <c r="CI24" s="982">
        <f t="shared" si="32"/>
        <v>153591</v>
      </c>
      <c r="CJ24" s="935">
        <f t="shared" si="32"/>
        <v>2.3982999999999999</v>
      </c>
    </row>
    <row r="25" spans="1:88" ht="12.95" customHeight="1">
      <c r="A25" s="280">
        <v>4</v>
      </c>
      <c r="B25" s="281">
        <v>4457</v>
      </c>
      <c r="C25" s="281">
        <v>600074609</v>
      </c>
      <c r="D25" s="281">
        <v>72743964</v>
      </c>
      <c r="E25" s="283" t="s">
        <v>311</v>
      </c>
      <c r="F25" s="281">
        <v>3117</v>
      </c>
      <c r="G25" s="284" t="s">
        <v>308</v>
      </c>
      <c r="H25" s="284" t="s">
        <v>271</v>
      </c>
      <c r="I25" s="563">
        <v>6166318</v>
      </c>
      <c r="J25" s="414">
        <v>4470236</v>
      </c>
      <c r="K25" s="414">
        <v>3918034</v>
      </c>
      <c r="L25" s="414">
        <v>552202</v>
      </c>
      <c r="M25" s="414">
        <v>30000</v>
      </c>
      <c r="N25" s="414">
        <v>20000</v>
      </c>
      <c r="O25" s="414">
        <v>10000</v>
      </c>
      <c r="P25" s="68">
        <v>1521079</v>
      </c>
      <c r="Q25" s="68">
        <v>44703</v>
      </c>
      <c r="R25" s="414">
        <v>100300</v>
      </c>
      <c r="S25" s="415">
        <v>7.2668000000000008</v>
      </c>
      <c r="T25" s="416">
        <v>5.8471000000000002</v>
      </c>
      <c r="U25" s="762">
        <v>1.4197</v>
      </c>
      <c r="V25" s="423">
        <f t="shared" si="3"/>
        <v>0</v>
      </c>
      <c r="W25" s="417">
        <f t="shared" si="3"/>
        <v>-30000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4"/>
        <v>0</v>
      </c>
      <c r="AF25" s="417">
        <f t="shared" si="5"/>
        <v>-30000</v>
      </c>
      <c r="AG25" s="417">
        <f t="shared" si="6"/>
        <v>-30000</v>
      </c>
      <c r="AH25" s="417">
        <v>0</v>
      </c>
      <c r="AI25" s="417">
        <v>30000</v>
      </c>
      <c r="AJ25" s="417">
        <v>0</v>
      </c>
      <c r="AK25" s="417">
        <v>0</v>
      </c>
      <c r="AL25" s="417">
        <v>0</v>
      </c>
      <c r="AM25" s="417">
        <f t="shared" si="7"/>
        <v>0</v>
      </c>
      <c r="AN25" s="417">
        <f t="shared" si="8"/>
        <v>30000</v>
      </c>
      <c r="AO25" s="417">
        <f t="shared" si="9"/>
        <v>30000</v>
      </c>
      <c r="AP25" s="417">
        <f t="shared" si="10"/>
        <v>0</v>
      </c>
      <c r="AQ25" s="417">
        <f t="shared" si="10"/>
        <v>0</v>
      </c>
      <c r="AR25" s="417">
        <f t="shared" si="11"/>
        <v>0</v>
      </c>
      <c r="AS25" s="68">
        <f t="shared" si="12"/>
        <v>0</v>
      </c>
      <c r="AT25" s="68">
        <f t="shared" si="13"/>
        <v>-300</v>
      </c>
      <c r="AU25" s="417">
        <v>0</v>
      </c>
      <c r="AV25" s="417">
        <v>0</v>
      </c>
      <c r="AW25" s="417">
        <v>0</v>
      </c>
      <c r="AX25" s="417">
        <f t="shared" si="14"/>
        <v>0</v>
      </c>
      <c r="AY25" s="417">
        <f t="shared" si="15"/>
        <v>-300</v>
      </c>
      <c r="AZ25" s="418">
        <v>0</v>
      </c>
      <c r="BA25" s="418">
        <v>-0.09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6"/>
        <v>0</v>
      </c>
      <c r="BJ25" s="418">
        <f t="shared" si="17"/>
        <v>-0.09</v>
      </c>
      <c r="BK25" s="420">
        <f t="shared" si="18"/>
        <v>-0.09</v>
      </c>
      <c r="BL25" s="772">
        <f>I25+AY25</f>
        <v>6166018</v>
      </c>
      <c r="BM25" s="417">
        <f>J25+AG25</f>
        <v>4440236</v>
      </c>
      <c r="BN25" s="417">
        <f t="shared" ref="BN25:BO29" si="33">K25+AE25</f>
        <v>3918034</v>
      </c>
      <c r="BO25" s="417">
        <f t="shared" si="33"/>
        <v>522202</v>
      </c>
      <c r="BP25" s="417">
        <f>M25+AO25</f>
        <v>60000</v>
      </c>
      <c r="BQ25" s="417">
        <f t="shared" ref="BQ25:BR29" si="34">N25+AM25</f>
        <v>20000</v>
      </c>
      <c r="BR25" s="417">
        <f t="shared" si="34"/>
        <v>40000</v>
      </c>
      <c r="BS25" s="417">
        <f t="shared" ref="BS25:BT29" si="35">P25+AS25</f>
        <v>1521079</v>
      </c>
      <c r="BT25" s="417">
        <f t="shared" si="35"/>
        <v>44403</v>
      </c>
      <c r="BU25" s="417">
        <f>R25+AX25</f>
        <v>100300</v>
      </c>
      <c r="BV25" s="418">
        <f>S25+BK25</f>
        <v>7.176800000000001</v>
      </c>
      <c r="BW25" s="418">
        <f t="shared" ref="BW25:BX29" si="36">T25+BI25</f>
        <v>5.8471000000000002</v>
      </c>
      <c r="BX25" s="420">
        <f t="shared" si="36"/>
        <v>1.3296999999999999</v>
      </c>
      <c r="BY25" s="596"/>
      <c r="BZ25" s="595"/>
      <c r="CA25" s="595"/>
      <c r="CB25" s="595"/>
      <c r="CC25" s="595"/>
      <c r="CD25" s="981"/>
      <c r="CE25" s="596">
        <v>260822</v>
      </c>
      <c r="CF25" s="595">
        <v>180473</v>
      </c>
      <c r="CG25" s="595">
        <v>61000</v>
      </c>
      <c r="CH25" s="595">
        <v>1805</v>
      </c>
      <c r="CI25" s="595">
        <v>17544</v>
      </c>
      <c r="CJ25" s="981">
        <v>0.46539999999999998</v>
      </c>
    </row>
    <row r="26" spans="1:88" ht="12.95" customHeight="1">
      <c r="A26" s="280">
        <v>4</v>
      </c>
      <c r="B26" s="281">
        <v>4457</v>
      </c>
      <c r="C26" s="281">
        <v>600074609</v>
      </c>
      <c r="D26" s="281">
        <v>72743964</v>
      </c>
      <c r="E26" s="283" t="s">
        <v>311</v>
      </c>
      <c r="F26" s="281">
        <v>3117</v>
      </c>
      <c r="G26" s="284" t="s">
        <v>298</v>
      </c>
      <c r="H26" s="284" t="s">
        <v>272</v>
      </c>
      <c r="I26" s="563">
        <v>1415341</v>
      </c>
      <c r="J26" s="414">
        <v>1043836</v>
      </c>
      <c r="K26" s="414">
        <v>1043836</v>
      </c>
      <c r="L26" s="414">
        <v>0</v>
      </c>
      <c r="M26" s="414">
        <v>0</v>
      </c>
      <c r="N26" s="414">
        <v>0</v>
      </c>
      <c r="O26" s="414">
        <v>0</v>
      </c>
      <c r="P26" s="68">
        <v>352817</v>
      </c>
      <c r="Q26" s="68">
        <v>10438</v>
      </c>
      <c r="R26" s="414">
        <v>8250</v>
      </c>
      <c r="S26" s="415">
        <v>2.7700000000000005</v>
      </c>
      <c r="T26" s="416">
        <v>2.7700000000000005</v>
      </c>
      <c r="U26" s="762">
        <v>0</v>
      </c>
      <c r="V26" s="423">
        <f t="shared" si="3"/>
        <v>0</v>
      </c>
      <c r="W26" s="417">
        <f t="shared" si="3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4"/>
        <v>0</v>
      </c>
      <c r="AF26" s="417">
        <f t="shared" si="5"/>
        <v>0</v>
      </c>
      <c r="AG26" s="417">
        <f t="shared" si="6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7"/>
        <v>0</v>
      </c>
      <c r="AN26" s="417">
        <f t="shared" si="8"/>
        <v>0</v>
      </c>
      <c r="AO26" s="417">
        <f t="shared" si="9"/>
        <v>0</v>
      </c>
      <c r="AP26" s="417">
        <f t="shared" si="10"/>
        <v>0</v>
      </c>
      <c r="AQ26" s="417">
        <f t="shared" si="10"/>
        <v>0</v>
      </c>
      <c r="AR26" s="417">
        <f t="shared" si="11"/>
        <v>0</v>
      </c>
      <c r="AS26" s="68">
        <f t="shared" si="12"/>
        <v>0</v>
      </c>
      <c r="AT26" s="68">
        <f t="shared" si="13"/>
        <v>0</v>
      </c>
      <c r="AU26" s="417">
        <v>2500</v>
      </c>
      <c r="AV26" s="417">
        <v>0</v>
      </c>
      <c r="AW26" s="417">
        <v>0</v>
      </c>
      <c r="AX26" s="417">
        <f t="shared" si="14"/>
        <v>2500</v>
      </c>
      <c r="AY26" s="417">
        <f t="shared" si="15"/>
        <v>2500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6"/>
        <v>0</v>
      </c>
      <c r="BJ26" s="418">
        <f t="shared" si="17"/>
        <v>0</v>
      </c>
      <c r="BK26" s="420">
        <f t="shared" si="18"/>
        <v>0</v>
      </c>
      <c r="BL26" s="772">
        <f>I26+AY26</f>
        <v>1417841</v>
      </c>
      <c r="BM26" s="417">
        <f>J26+AG26</f>
        <v>1043836</v>
      </c>
      <c r="BN26" s="417">
        <f t="shared" si="33"/>
        <v>1043836</v>
      </c>
      <c r="BO26" s="417">
        <f t="shared" si="33"/>
        <v>0</v>
      </c>
      <c r="BP26" s="417">
        <f>M26+AO26</f>
        <v>0</v>
      </c>
      <c r="BQ26" s="417">
        <f t="shared" si="34"/>
        <v>0</v>
      </c>
      <c r="BR26" s="417">
        <f t="shared" si="34"/>
        <v>0</v>
      </c>
      <c r="BS26" s="417">
        <f t="shared" si="35"/>
        <v>352817</v>
      </c>
      <c r="BT26" s="417">
        <f t="shared" si="35"/>
        <v>10438</v>
      </c>
      <c r="BU26" s="417">
        <f>R26+AX26</f>
        <v>10750</v>
      </c>
      <c r="BV26" s="418">
        <f>S26+BK26</f>
        <v>2.7700000000000005</v>
      </c>
      <c r="BW26" s="418">
        <f t="shared" si="36"/>
        <v>2.7700000000000005</v>
      </c>
      <c r="BX26" s="420">
        <f t="shared" si="36"/>
        <v>0</v>
      </c>
      <c r="BY26" s="596"/>
      <c r="BZ26" s="595"/>
      <c r="CA26" s="595"/>
      <c r="CB26" s="595"/>
      <c r="CC26" s="595"/>
      <c r="CD26" s="981"/>
      <c r="CE26" s="596"/>
      <c r="CF26" s="595"/>
      <c r="CG26" s="595"/>
      <c r="CH26" s="595"/>
      <c r="CI26" s="595"/>
      <c r="CJ26" s="981"/>
    </row>
    <row r="27" spans="1:88" ht="12.95" customHeight="1">
      <c r="A27" s="280">
        <v>4</v>
      </c>
      <c r="B27" s="281">
        <v>4457</v>
      </c>
      <c r="C27" s="281">
        <v>600074609</v>
      </c>
      <c r="D27" s="281">
        <v>72743964</v>
      </c>
      <c r="E27" s="283" t="s">
        <v>311</v>
      </c>
      <c r="F27" s="281">
        <v>3141</v>
      </c>
      <c r="G27" s="284" t="s">
        <v>294</v>
      </c>
      <c r="H27" s="284" t="s">
        <v>272</v>
      </c>
      <c r="I27" s="563">
        <v>259007</v>
      </c>
      <c r="J27" s="414">
        <v>190502</v>
      </c>
      <c r="K27" s="414">
        <v>0</v>
      </c>
      <c r="L27" s="414">
        <v>190502</v>
      </c>
      <c r="M27" s="414">
        <v>0</v>
      </c>
      <c r="N27" s="414">
        <v>0</v>
      </c>
      <c r="O27" s="414">
        <v>0</v>
      </c>
      <c r="P27" s="68">
        <v>64390</v>
      </c>
      <c r="Q27" s="68">
        <v>1905</v>
      </c>
      <c r="R27" s="414">
        <v>2210</v>
      </c>
      <c r="S27" s="415">
        <v>0.57000000000000006</v>
      </c>
      <c r="T27" s="416">
        <v>0</v>
      </c>
      <c r="U27" s="762">
        <v>0.57000000000000006</v>
      </c>
      <c r="V27" s="423">
        <f t="shared" si="3"/>
        <v>0</v>
      </c>
      <c r="W27" s="417">
        <f t="shared" si="3"/>
        <v>0</v>
      </c>
      <c r="X27" s="417">
        <v>0</v>
      </c>
      <c r="Y27" s="417">
        <v>0</v>
      </c>
      <c r="Z27" s="417">
        <v>0</v>
      </c>
      <c r="AA27" s="417">
        <v>-6600</v>
      </c>
      <c r="AB27" s="417">
        <v>0</v>
      </c>
      <c r="AC27" s="417">
        <v>0</v>
      </c>
      <c r="AD27" s="417">
        <v>0</v>
      </c>
      <c r="AE27" s="417">
        <f t="shared" si="4"/>
        <v>0</v>
      </c>
      <c r="AF27" s="417">
        <f t="shared" si="5"/>
        <v>-6600</v>
      </c>
      <c r="AG27" s="417">
        <f t="shared" si="6"/>
        <v>-6600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7"/>
        <v>0</v>
      </c>
      <c r="AN27" s="417">
        <f t="shared" si="8"/>
        <v>0</v>
      </c>
      <c r="AO27" s="417">
        <f t="shared" si="9"/>
        <v>0</v>
      </c>
      <c r="AP27" s="417">
        <f t="shared" si="10"/>
        <v>0</v>
      </c>
      <c r="AQ27" s="417">
        <f t="shared" si="10"/>
        <v>-6600</v>
      </c>
      <c r="AR27" s="417">
        <f t="shared" si="11"/>
        <v>-6600</v>
      </c>
      <c r="AS27" s="68">
        <f t="shared" si="12"/>
        <v>-2231</v>
      </c>
      <c r="AT27" s="68">
        <f t="shared" si="13"/>
        <v>-66</v>
      </c>
      <c r="AU27" s="417">
        <v>0</v>
      </c>
      <c r="AV27" s="417">
        <v>0</v>
      </c>
      <c r="AW27" s="417">
        <v>0</v>
      </c>
      <c r="AX27" s="417">
        <f t="shared" si="14"/>
        <v>0</v>
      </c>
      <c r="AY27" s="417">
        <f t="shared" si="15"/>
        <v>-8897</v>
      </c>
      <c r="AZ27" s="418">
        <v>0</v>
      </c>
      <c r="BA27" s="418">
        <v>0</v>
      </c>
      <c r="BB27" s="418">
        <v>0</v>
      </c>
      <c r="BC27" s="418">
        <v>0</v>
      </c>
      <c r="BD27" s="418">
        <v>-0.02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6"/>
        <v>0</v>
      </c>
      <c r="BJ27" s="418">
        <f t="shared" si="17"/>
        <v>-0.02</v>
      </c>
      <c r="BK27" s="420">
        <f t="shared" si="18"/>
        <v>-0.02</v>
      </c>
      <c r="BL27" s="772">
        <f>I27+AY27</f>
        <v>250110</v>
      </c>
      <c r="BM27" s="417">
        <f>J27+AG27</f>
        <v>183902</v>
      </c>
      <c r="BN27" s="417">
        <f t="shared" si="33"/>
        <v>0</v>
      </c>
      <c r="BO27" s="417">
        <f t="shared" si="33"/>
        <v>183902</v>
      </c>
      <c r="BP27" s="417">
        <f>M27+AO27</f>
        <v>0</v>
      </c>
      <c r="BQ27" s="417">
        <f t="shared" si="34"/>
        <v>0</v>
      </c>
      <c r="BR27" s="417">
        <f t="shared" si="34"/>
        <v>0</v>
      </c>
      <c r="BS27" s="417">
        <f t="shared" si="35"/>
        <v>62159</v>
      </c>
      <c r="BT27" s="417">
        <f t="shared" si="35"/>
        <v>1839</v>
      </c>
      <c r="BU27" s="417">
        <f>R27+AX27</f>
        <v>2210</v>
      </c>
      <c r="BV27" s="418">
        <f>S27+BK27</f>
        <v>0.55000000000000004</v>
      </c>
      <c r="BW27" s="418">
        <f t="shared" si="36"/>
        <v>0</v>
      </c>
      <c r="BX27" s="420">
        <f t="shared" si="36"/>
        <v>0.55000000000000004</v>
      </c>
      <c r="BY27" s="596"/>
      <c r="BZ27" s="595"/>
      <c r="CA27" s="595"/>
      <c r="CB27" s="595"/>
      <c r="CC27" s="595"/>
      <c r="CD27" s="981"/>
      <c r="CE27" s="596"/>
      <c r="CF27" s="595"/>
      <c r="CG27" s="595"/>
      <c r="CH27" s="595"/>
      <c r="CI27" s="595"/>
      <c r="CJ27" s="981"/>
    </row>
    <row r="28" spans="1:88" ht="12.95" customHeight="1">
      <c r="A28" s="280">
        <v>4</v>
      </c>
      <c r="B28" s="281">
        <v>4457</v>
      </c>
      <c r="C28" s="281">
        <v>600074609</v>
      </c>
      <c r="D28" s="281">
        <v>72743964</v>
      </c>
      <c r="E28" s="283" t="s">
        <v>311</v>
      </c>
      <c r="F28" s="281">
        <v>3143</v>
      </c>
      <c r="G28" s="284" t="s">
        <v>595</v>
      </c>
      <c r="H28" s="284" t="s">
        <v>271</v>
      </c>
      <c r="I28" s="563">
        <v>1184946</v>
      </c>
      <c r="J28" s="414">
        <v>879040</v>
      </c>
      <c r="K28" s="414">
        <v>879040</v>
      </c>
      <c r="L28" s="414">
        <v>0</v>
      </c>
      <c r="M28" s="414">
        <v>0</v>
      </c>
      <c r="N28" s="414">
        <v>0</v>
      </c>
      <c r="O28" s="414">
        <v>0</v>
      </c>
      <c r="P28" s="68">
        <v>297116</v>
      </c>
      <c r="Q28" s="68">
        <v>8790</v>
      </c>
      <c r="R28" s="414">
        <v>0</v>
      </c>
      <c r="S28" s="415">
        <v>1.716</v>
      </c>
      <c r="T28" s="416">
        <v>1.716</v>
      </c>
      <c r="U28" s="762">
        <v>0</v>
      </c>
      <c r="V28" s="423">
        <f t="shared" si="3"/>
        <v>0</v>
      </c>
      <c r="W28" s="417">
        <f t="shared" si="3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4"/>
        <v>0</v>
      </c>
      <c r="AF28" s="417">
        <f t="shared" si="5"/>
        <v>0</v>
      </c>
      <c r="AG28" s="417">
        <f t="shared" si="6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7"/>
        <v>0</v>
      </c>
      <c r="AN28" s="417">
        <f t="shared" si="8"/>
        <v>0</v>
      </c>
      <c r="AO28" s="417">
        <f t="shared" si="9"/>
        <v>0</v>
      </c>
      <c r="AP28" s="417">
        <f t="shared" si="10"/>
        <v>0</v>
      </c>
      <c r="AQ28" s="417">
        <f t="shared" si="10"/>
        <v>0</v>
      </c>
      <c r="AR28" s="417">
        <f t="shared" si="11"/>
        <v>0</v>
      </c>
      <c r="AS28" s="68">
        <f t="shared" si="12"/>
        <v>0</v>
      </c>
      <c r="AT28" s="68">
        <f t="shared" si="13"/>
        <v>0</v>
      </c>
      <c r="AU28" s="417">
        <v>0</v>
      </c>
      <c r="AV28" s="417">
        <v>0</v>
      </c>
      <c r="AW28" s="417">
        <v>0</v>
      </c>
      <c r="AX28" s="417">
        <f t="shared" si="14"/>
        <v>0</v>
      </c>
      <c r="AY28" s="417">
        <f t="shared" si="15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6"/>
        <v>0</v>
      </c>
      <c r="BJ28" s="418">
        <f t="shared" si="17"/>
        <v>0</v>
      </c>
      <c r="BK28" s="420">
        <f t="shared" si="18"/>
        <v>0</v>
      </c>
      <c r="BL28" s="772">
        <f>I28+AY28</f>
        <v>1184946</v>
      </c>
      <c r="BM28" s="417">
        <f>J28+AG28</f>
        <v>879040</v>
      </c>
      <c r="BN28" s="417">
        <f t="shared" si="33"/>
        <v>879040</v>
      </c>
      <c r="BO28" s="417">
        <f t="shared" si="33"/>
        <v>0</v>
      </c>
      <c r="BP28" s="417">
        <f>M28+AO28</f>
        <v>0</v>
      </c>
      <c r="BQ28" s="417">
        <f t="shared" si="34"/>
        <v>0</v>
      </c>
      <c r="BR28" s="417">
        <f t="shared" si="34"/>
        <v>0</v>
      </c>
      <c r="BS28" s="417">
        <f t="shared" si="35"/>
        <v>297116</v>
      </c>
      <c r="BT28" s="417">
        <f t="shared" si="35"/>
        <v>8790</v>
      </c>
      <c r="BU28" s="417">
        <f>R28+AX28</f>
        <v>0</v>
      </c>
      <c r="BV28" s="418">
        <f>S28+BK28</f>
        <v>1.716</v>
      </c>
      <c r="BW28" s="418">
        <f t="shared" si="36"/>
        <v>1.716</v>
      </c>
      <c r="BX28" s="420">
        <f t="shared" si="36"/>
        <v>0</v>
      </c>
      <c r="BY28" s="596"/>
      <c r="BZ28" s="595"/>
      <c r="CA28" s="595"/>
      <c r="CB28" s="595"/>
      <c r="CC28" s="595"/>
      <c r="CD28" s="981"/>
      <c r="CE28" s="596"/>
      <c r="CF28" s="595"/>
      <c r="CG28" s="595"/>
      <c r="CH28" s="595"/>
      <c r="CI28" s="595"/>
      <c r="CJ28" s="981"/>
    </row>
    <row r="29" spans="1:88" ht="12.95" customHeight="1">
      <c r="A29" s="280">
        <v>4</v>
      </c>
      <c r="B29" s="281">
        <v>4457</v>
      </c>
      <c r="C29" s="281">
        <v>600074609</v>
      </c>
      <c r="D29" s="281">
        <v>72743964</v>
      </c>
      <c r="E29" s="283" t="s">
        <v>311</v>
      </c>
      <c r="F29" s="281">
        <v>3143</v>
      </c>
      <c r="G29" s="284" t="s">
        <v>596</v>
      </c>
      <c r="H29" s="284" t="s">
        <v>272</v>
      </c>
      <c r="I29" s="563">
        <v>30736</v>
      </c>
      <c r="J29" s="414">
        <v>22000</v>
      </c>
      <c r="K29" s="414">
        <v>0</v>
      </c>
      <c r="L29" s="414">
        <v>22000</v>
      </c>
      <c r="M29" s="414">
        <v>0</v>
      </c>
      <c r="N29" s="414">
        <v>0</v>
      </c>
      <c r="O29" s="414">
        <v>0</v>
      </c>
      <c r="P29" s="68">
        <v>7436</v>
      </c>
      <c r="Q29" s="68">
        <v>220</v>
      </c>
      <c r="R29" s="414">
        <v>1080</v>
      </c>
      <c r="S29" s="415">
        <v>8.5599999999999996E-2</v>
      </c>
      <c r="T29" s="416">
        <v>0</v>
      </c>
      <c r="U29" s="762">
        <v>8.5599999999999996E-2</v>
      </c>
      <c r="V29" s="423">
        <f t="shared" si="3"/>
        <v>0</v>
      </c>
      <c r="W29" s="417">
        <f t="shared" si="3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4"/>
        <v>0</v>
      </c>
      <c r="AF29" s="417">
        <f t="shared" si="5"/>
        <v>0</v>
      </c>
      <c r="AG29" s="417">
        <f t="shared" si="6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7"/>
        <v>0</v>
      </c>
      <c r="AN29" s="417">
        <f t="shared" si="8"/>
        <v>0</v>
      </c>
      <c r="AO29" s="417">
        <f t="shared" si="9"/>
        <v>0</v>
      </c>
      <c r="AP29" s="417">
        <f t="shared" si="10"/>
        <v>0</v>
      </c>
      <c r="AQ29" s="417">
        <f t="shared" si="10"/>
        <v>0</v>
      </c>
      <c r="AR29" s="417">
        <f t="shared" si="11"/>
        <v>0</v>
      </c>
      <c r="AS29" s="68">
        <f t="shared" si="12"/>
        <v>0</v>
      </c>
      <c r="AT29" s="68">
        <f t="shared" si="13"/>
        <v>0</v>
      </c>
      <c r="AU29" s="417">
        <v>0</v>
      </c>
      <c r="AV29" s="417">
        <v>0</v>
      </c>
      <c r="AW29" s="417">
        <v>0</v>
      </c>
      <c r="AX29" s="417">
        <f t="shared" si="14"/>
        <v>0</v>
      </c>
      <c r="AY29" s="417">
        <f t="shared" si="15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6"/>
        <v>0</v>
      </c>
      <c r="BJ29" s="418">
        <f t="shared" si="17"/>
        <v>0</v>
      </c>
      <c r="BK29" s="420">
        <f t="shared" si="18"/>
        <v>0</v>
      </c>
      <c r="BL29" s="772">
        <f>I29+AY29</f>
        <v>30736</v>
      </c>
      <c r="BM29" s="417">
        <f>J29+AG29</f>
        <v>22000</v>
      </c>
      <c r="BN29" s="417">
        <f t="shared" si="33"/>
        <v>0</v>
      </c>
      <c r="BO29" s="417">
        <f t="shared" si="33"/>
        <v>22000</v>
      </c>
      <c r="BP29" s="417">
        <f>M29+AO29</f>
        <v>0</v>
      </c>
      <c r="BQ29" s="417">
        <f t="shared" si="34"/>
        <v>0</v>
      </c>
      <c r="BR29" s="417">
        <f t="shared" si="34"/>
        <v>0</v>
      </c>
      <c r="BS29" s="417">
        <f t="shared" si="35"/>
        <v>7436</v>
      </c>
      <c r="BT29" s="417">
        <f t="shared" si="35"/>
        <v>220</v>
      </c>
      <c r="BU29" s="417">
        <f>R29+AX29</f>
        <v>1080</v>
      </c>
      <c r="BV29" s="418">
        <f>S29+BK29</f>
        <v>8.5599999999999996E-2</v>
      </c>
      <c r="BW29" s="418">
        <f t="shared" si="36"/>
        <v>0</v>
      </c>
      <c r="BX29" s="420">
        <f t="shared" si="36"/>
        <v>8.5599999999999996E-2</v>
      </c>
      <c r="BY29" s="596"/>
      <c r="BZ29" s="595"/>
      <c r="CA29" s="595"/>
      <c r="CB29" s="595"/>
      <c r="CC29" s="595"/>
      <c r="CD29" s="981"/>
      <c r="CE29" s="596"/>
      <c r="CF29" s="595"/>
      <c r="CG29" s="595"/>
      <c r="CH29" s="595"/>
      <c r="CI29" s="595"/>
      <c r="CJ29" s="981"/>
    </row>
    <row r="30" spans="1:88" ht="12.95" customHeight="1">
      <c r="A30" s="273">
        <v>4</v>
      </c>
      <c r="B30" s="275">
        <v>4457</v>
      </c>
      <c r="C30" s="275">
        <v>600074609</v>
      </c>
      <c r="D30" s="275">
        <v>72743964</v>
      </c>
      <c r="E30" s="288" t="s">
        <v>312</v>
      </c>
      <c r="F30" s="291"/>
      <c r="G30" s="292"/>
      <c r="H30" s="292"/>
      <c r="I30" s="465">
        <v>9056348</v>
      </c>
      <c r="J30" s="462">
        <v>6605614</v>
      </c>
      <c r="K30" s="462">
        <v>5840910</v>
      </c>
      <c r="L30" s="462">
        <v>764704</v>
      </c>
      <c r="M30" s="462">
        <v>30000</v>
      </c>
      <c r="N30" s="462">
        <v>20000</v>
      </c>
      <c r="O30" s="462">
        <v>10000</v>
      </c>
      <c r="P30" s="462">
        <v>2242838</v>
      </c>
      <c r="Q30" s="462">
        <v>66056</v>
      </c>
      <c r="R30" s="462">
        <v>111840</v>
      </c>
      <c r="S30" s="463">
        <v>12.4084</v>
      </c>
      <c r="T30" s="463">
        <v>10.3331</v>
      </c>
      <c r="U30" s="533">
        <v>2.0752999999999999</v>
      </c>
      <c r="V30" s="465">
        <f t="shared" ref="V30:BK30" si="37">SUM(V25:V29)</f>
        <v>0</v>
      </c>
      <c r="W30" s="462">
        <f t="shared" si="37"/>
        <v>-30000</v>
      </c>
      <c r="X30" s="462">
        <f t="shared" si="37"/>
        <v>0</v>
      </c>
      <c r="Y30" s="462">
        <f t="shared" si="37"/>
        <v>0</v>
      </c>
      <c r="Z30" s="462">
        <f t="shared" si="37"/>
        <v>0</v>
      </c>
      <c r="AA30" s="462">
        <f t="shared" si="37"/>
        <v>-6600</v>
      </c>
      <c r="AB30" s="462">
        <f t="shared" si="37"/>
        <v>0</v>
      </c>
      <c r="AC30" s="462">
        <f t="shared" si="37"/>
        <v>0</v>
      </c>
      <c r="AD30" s="462">
        <f t="shared" si="37"/>
        <v>0</v>
      </c>
      <c r="AE30" s="462">
        <f t="shared" si="37"/>
        <v>0</v>
      </c>
      <c r="AF30" s="462">
        <f t="shared" si="37"/>
        <v>-36600</v>
      </c>
      <c r="AG30" s="462">
        <f t="shared" si="37"/>
        <v>-36600</v>
      </c>
      <c r="AH30" s="462">
        <f t="shared" si="37"/>
        <v>0</v>
      </c>
      <c r="AI30" s="462">
        <f t="shared" si="37"/>
        <v>30000</v>
      </c>
      <c r="AJ30" s="462">
        <f t="shared" si="37"/>
        <v>0</v>
      </c>
      <c r="AK30" s="462">
        <f t="shared" si="37"/>
        <v>0</v>
      </c>
      <c r="AL30" s="462">
        <f t="shared" si="37"/>
        <v>0</v>
      </c>
      <c r="AM30" s="462">
        <f t="shared" si="37"/>
        <v>0</v>
      </c>
      <c r="AN30" s="462">
        <f t="shared" si="37"/>
        <v>30000</v>
      </c>
      <c r="AO30" s="462">
        <f t="shared" si="37"/>
        <v>30000</v>
      </c>
      <c r="AP30" s="462">
        <f t="shared" si="37"/>
        <v>0</v>
      </c>
      <c r="AQ30" s="462">
        <f t="shared" si="37"/>
        <v>-6600</v>
      </c>
      <c r="AR30" s="462">
        <f t="shared" si="37"/>
        <v>-6600</v>
      </c>
      <c r="AS30" s="462">
        <f t="shared" si="37"/>
        <v>-2231</v>
      </c>
      <c r="AT30" s="462">
        <f t="shared" si="37"/>
        <v>-366</v>
      </c>
      <c r="AU30" s="462">
        <f t="shared" si="37"/>
        <v>2500</v>
      </c>
      <c r="AV30" s="462">
        <f t="shared" si="37"/>
        <v>0</v>
      </c>
      <c r="AW30" s="462">
        <f t="shared" si="37"/>
        <v>0</v>
      </c>
      <c r="AX30" s="462">
        <f t="shared" si="37"/>
        <v>2500</v>
      </c>
      <c r="AY30" s="462">
        <f t="shared" si="37"/>
        <v>-6697</v>
      </c>
      <c r="AZ30" s="463">
        <f t="shared" si="37"/>
        <v>0</v>
      </c>
      <c r="BA30" s="463">
        <f t="shared" si="37"/>
        <v>-0.09</v>
      </c>
      <c r="BB30" s="463">
        <f t="shared" si="37"/>
        <v>0</v>
      </c>
      <c r="BC30" s="463">
        <f t="shared" si="37"/>
        <v>0</v>
      </c>
      <c r="BD30" s="463">
        <f t="shared" si="37"/>
        <v>-0.02</v>
      </c>
      <c r="BE30" s="463">
        <f t="shared" si="37"/>
        <v>0</v>
      </c>
      <c r="BF30" s="463">
        <f t="shared" si="37"/>
        <v>0</v>
      </c>
      <c r="BG30" s="463">
        <f t="shared" si="37"/>
        <v>0</v>
      </c>
      <c r="BH30" s="463">
        <f t="shared" si="37"/>
        <v>0</v>
      </c>
      <c r="BI30" s="463">
        <f t="shared" si="37"/>
        <v>0</v>
      </c>
      <c r="BJ30" s="463">
        <f t="shared" si="37"/>
        <v>-0.11</v>
      </c>
      <c r="BK30" s="290">
        <f t="shared" si="37"/>
        <v>-0.11</v>
      </c>
      <c r="BL30" s="776">
        <f t="shared" ref="BL30:CG30" si="38">SUM(BL25:BL29)</f>
        <v>9049651</v>
      </c>
      <c r="BM30" s="462">
        <f t="shared" si="38"/>
        <v>6569014</v>
      </c>
      <c r="BN30" s="462">
        <f t="shared" si="38"/>
        <v>5840910</v>
      </c>
      <c r="BO30" s="462">
        <f t="shared" si="38"/>
        <v>728104</v>
      </c>
      <c r="BP30" s="462">
        <f t="shared" si="38"/>
        <v>60000</v>
      </c>
      <c r="BQ30" s="462">
        <f t="shared" si="38"/>
        <v>20000</v>
      </c>
      <c r="BR30" s="462">
        <f t="shared" si="38"/>
        <v>40000</v>
      </c>
      <c r="BS30" s="462">
        <f t="shared" si="38"/>
        <v>2240607</v>
      </c>
      <c r="BT30" s="462">
        <f t="shared" si="38"/>
        <v>65690</v>
      </c>
      <c r="BU30" s="462">
        <f t="shared" si="38"/>
        <v>114340</v>
      </c>
      <c r="BV30" s="463">
        <f t="shared" si="38"/>
        <v>12.298400000000001</v>
      </c>
      <c r="BW30" s="463">
        <f t="shared" si="38"/>
        <v>10.3331</v>
      </c>
      <c r="BX30" s="290">
        <f t="shared" si="38"/>
        <v>1.9652999999999998</v>
      </c>
      <c r="BY30" s="820">
        <f t="shared" si="38"/>
        <v>0</v>
      </c>
      <c r="BZ30" s="716">
        <f t="shared" si="38"/>
        <v>0</v>
      </c>
      <c r="CA30" s="716">
        <f t="shared" si="38"/>
        <v>0</v>
      </c>
      <c r="CB30" s="716">
        <f t="shared" si="38"/>
        <v>0</v>
      </c>
      <c r="CC30" s="716">
        <f t="shared" si="38"/>
        <v>0</v>
      </c>
      <c r="CD30" s="821">
        <f t="shared" si="38"/>
        <v>0</v>
      </c>
      <c r="CE30" s="982">
        <f t="shared" si="38"/>
        <v>260822</v>
      </c>
      <c r="CF30" s="982">
        <f t="shared" si="38"/>
        <v>180473</v>
      </c>
      <c r="CG30" s="982">
        <f t="shared" si="38"/>
        <v>61000</v>
      </c>
      <c r="CH30" s="982">
        <f t="shared" ref="CH30:CJ30" si="39">SUM(CH25:CH29)</f>
        <v>1805</v>
      </c>
      <c r="CI30" s="982">
        <f t="shared" si="39"/>
        <v>17544</v>
      </c>
      <c r="CJ30" s="935">
        <f t="shared" si="39"/>
        <v>0.46539999999999998</v>
      </c>
    </row>
    <row r="31" spans="1:88" ht="12.95" customHeight="1">
      <c r="A31" s="280">
        <v>5</v>
      </c>
      <c r="B31" s="281">
        <v>4456</v>
      </c>
      <c r="C31" s="281">
        <v>600074617</v>
      </c>
      <c r="D31" s="281">
        <v>68430132</v>
      </c>
      <c r="E31" s="283" t="s">
        <v>313</v>
      </c>
      <c r="F31" s="281">
        <v>3113</v>
      </c>
      <c r="G31" s="284" t="s">
        <v>308</v>
      </c>
      <c r="H31" s="284" t="s">
        <v>271</v>
      </c>
      <c r="I31" s="563">
        <v>49798730</v>
      </c>
      <c r="J31" s="414">
        <v>35988167</v>
      </c>
      <c r="K31" s="414">
        <v>32859920</v>
      </c>
      <c r="L31" s="414">
        <v>3128247</v>
      </c>
      <c r="M31" s="414">
        <v>305920</v>
      </c>
      <c r="N31" s="414">
        <v>285920</v>
      </c>
      <c r="O31" s="414">
        <v>20000</v>
      </c>
      <c r="P31" s="68">
        <v>12267401</v>
      </c>
      <c r="Q31" s="68">
        <v>359882</v>
      </c>
      <c r="R31" s="414">
        <v>877360</v>
      </c>
      <c r="S31" s="415">
        <v>56.435100000000006</v>
      </c>
      <c r="T31" s="416">
        <v>46.853500000000004</v>
      </c>
      <c r="U31" s="762">
        <v>9.5815999999999999</v>
      </c>
      <c r="V31" s="423">
        <f t="shared" si="3"/>
        <v>80920</v>
      </c>
      <c r="W31" s="417">
        <f t="shared" si="3"/>
        <v>10000</v>
      </c>
      <c r="X31" s="417">
        <v>0</v>
      </c>
      <c r="Y31" s="417">
        <v>0</v>
      </c>
      <c r="Z31" s="417">
        <v>324554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4"/>
        <v>405474</v>
      </c>
      <c r="AF31" s="417">
        <f t="shared" si="5"/>
        <v>10000</v>
      </c>
      <c r="AG31" s="417">
        <f t="shared" si="6"/>
        <v>415474</v>
      </c>
      <c r="AH31" s="417">
        <v>-80920</v>
      </c>
      <c r="AI31" s="417">
        <v>-10000</v>
      </c>
      <c r="AJ31" s="417">
        <v>0</v>
      </c>
      <c r="AK31" s="417">
        <v>0</v>
      </c>
      <c r="AL31" s="417">
        <v>0</v>
      </c>
      <c r="AM31" s="417">
        <f t="shared" si="7"/>
        <v>-80920</v>
      </c>
      <c r="AN31" s="417">
        <f t="shared" si="8"/>
        <v>-10000</v>
      </c>
      <c r="AO31" s="417">
        <f t="shared" si="9"/>
        <v>-90920</v>
      </c>
      <c r="AP31" s="417">
        <f t="shared" si="10"/>
        <v>324554</v>
      </c>
      <c r="AQ31" s="417">
        <f t="shared" si="10"/>
        <v>0</v>
      </c>
      <c r="AR31" s="417">
        <f t="shared" si="11"/>
        <v>324554</v>
      </c>
      <c r="AS31" s="68">
        <f t="shared" si="12"/>
        <v>109699</v>
      </c>
      <c r="AT31" s="68">
        <f t="shared" si="13"/>
        <v>4155</v>
      </c>
      <c r="AU31" s="417">
        <v>0</v>
      </c>
      <c r="AV31" s="417">
        <v>0</v>
      </c>
      <c r="AW31" s="417">
        <v>0</v>
      </c>
      <c r="AX31" s="417">
        <f t="shared" si="14"/>
        <v>0</v>
      </c>
      <c r="AY31" s="417">
        <f t="shared" si="15"/>
        <v>438408</v>
      </c>
      <c r="AZ31" s="418">
        <v>-0.08</v>
      </c>
      <c r="BA31" s="418">
        <v>0</v>
      </c>
      <c r="BB31" s="418">
        <v>0</v>
      </c>
      <c r="BC31" s="418">
        <v>0.65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6"/>
        <v>0.57000000000000006</v>
      </c>
      <c r="BJ31" s="418">
        <f t="shared" si="17"/>
        <v>0</v>
      </c>
      <c r="BK31" s="420">
        <f t="shared" si="18"/>
        <v>0.57000000000000006</v>
      </c>
      <c r="BL31" s="772">
        <f>I31+AY31</f>
        <v>50237138</v>
      </c>
      <c r="BM31" s="417">
        <f>J31+AG31</f>
        <v>36403641</v>
      </c>
      <c r="BN31" s="417">
        <f t="shared" ref="BN31:BO35" si="40">K31+AE31</f>
        <v>33265394</v>
      </c>
      <c r="BO31" s="417">
        <f t="shared" si="40"/>
        <v>3138247</v>
      </c>
      <c r="BP31" s="417">
        <f>M31+AO31</f>
        <v>215000</v>
      </c>
      <c r="BQ31" s="417">
        <f t="shared" ref="BQ31:BR35" si="41">N31+AM31</f>
        <v>205000</v>
      </c>
      <c r="BR31" s="417">
        <f t="shared" si="41"/>
        <v>10000</v>
      </c>
      <c r="BS31" s="417">
        <f t="shared" ref="BS31:BT35" si="42">P31+AS31</f>
        <v>12377100</v>
      </c>
      <c r="BT31" s="417">
        <f t="shared" si="42"/>
        <v>364037</v>
      </c>
      <c r="BU31" s="417">
        <f>R31+AX31</f>
        <v>877360</v>
      </c>
      <c r="BV31" s="418">
        <f>S31+BK31</f>
        <v>57.005100000000006</v>
      </c>
      <c r="BW31" s="418">
        <f t="shared" ref="BW31:BX35" si="43">T31+BI31</f>
        <v>47.423500000000004</v>
      </c>
      <c r="BX31" s="420">
        <f t="shared" si="43"/>
        <v>9.5815999999999999</v>
      </c>
      <c r="BY31" s="596">
        <v>152054</v>
      </c>
      <c r="BZ31" s="595">
        <v>112800</v>
      </c>
      <c r="CA31" s="595">
        <v>0</v>
      </c>
      <c r="CB31" s="595">
        <v>38126</v>
      </c>
      <c r="CC31" s="595">
        <v>1128</v>
      </c>
      <c r="CD31" s="981">
        <v>0.2</v>
      </c>
      <c r="CE31" s="596">
        <v>1579622</v>
      </c>
      <c r="CF31" s="595">
        <v>1010598</v>
      </c>
      <c r="CG31" s="595">
        <v>341582</v>
      </c>
      <c r="CH31" s="595">
        <v>10106</v>
      </c>
      <c r="CI31" s="595">
        <v>217336</v>
      </c>
      <c r="CJ31" s="981">
        <v>3.0760000000000001</v>
      </c>
    </row>
    <row r="32" spans="1:88" ht="12.95" customHeight="1">
      <c r="A32" s="280">
        <v>5</v>
      </c>
      <c r="B32" s="281">
        <v>4456</v>
      </c>
      <c r="C32" s="281">
        <v>600074617</v>
      </c>
      <c r="D32" s="281">
        <v>68430132</v>
      </c>
      <c r="E32" s="283" t="s">
        <v>313</v>
      </c>
      <c r="F32" s="281">
        <v>3113</v>
      </c>
      <c r="G32" s="284" t="s">
        <v>298</v>
      </c>
      <c r="H32" s="284" t="s">
        <v>272</v>
      </c>
      <c r="I32" s="563">
        <v>3597753</v>
      </c>
      <c r="J32" s="414">
        <v>2668585</v>
      </c>
      <c r="K32" s="414">
        <v>2668585</v>
      </c>
      <c r="L32" s="414">
        <v>0</v>
      </c>
      <c r="M32" s="414">
        <v>0</v>
      </c>
      <c r="N32" s="414">
        <v>0</v>
      </c>
      <c r="O32" s="414">
        <v>0</v>
      </c>
      <c r="P32" s="68">
        <v>901982</v>
      </c>
      <c r="Q32" s="68">
        <v>26686</v>
      </c>
      <c r="R32" s="414">
        <v>500</v>
      </c>
      <c r="S32" s="415">
        <v>7.21</v>
      </c>
      <c r="T32" s="416">
        <v>7.21</v>
      </c>
      <c r="U32" s="762">
        <v>0</v>
      </c>
      <c r="V32" s="423">
        <f t="shared" si="3"/>
        <v>0</v>
      </c>
      <c r="W32" s="417">
        <f t="shared" si="3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4"/>
        <v>0</v>
      </c>
      <c r="AF32" s="417">
        <f t="shared" si="5"/>
        <v>0</v>
      </c>
      <c r="AG32" s="417">
        <f t="shared" si="6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7"/>
        <v>0</v>
      </c>
      <c r="AN32" s="417">
        <f t="shared" si="8"/>
        <v>0</v>
      </c>
      <c r="AO32" s="417">
        <f t="shared" si="9"/>
        <v>0</v>
      </c>
      <c r="AP32" s="417">
        <f t="shared" si="10"/>
        <v>0</v>
      </c>
      <c r="AQ32" s="417">
        <f t="shared" si="10"/>
        <v>0</v>
      </c>
      <c r="AR32" s="417">
        <f t="shared" si="11"/>
        <v>0</v>
      </c>
      <c r="AS32" s="68">
        <f t="shared" si="12"/>
        <v>0</v>
      </c>
      <c r="AT32" s="68">
        <f t="shared" si="13"/>
        <v>0</v>
      </c>
      <c r="AU32" s="417">
        <v>0</v>
      </c>
      <c r="AV32" s="417">
        <v>0</v>
      </c>
      <c r="AW32" s="417">
        <v>0</v>
      </c>
      <c r="AX32" s="417">
        <f t="shared" si="14"/>
        <v>0</v>
      </c>
      <c r="AY32" s="417">
        <f t="shared" si="15"/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6"/>
        <v>0</v>
      </c>
      <c r="BJ32" s="418">
        <f t="shared" si="17"/>
        <v>0</v>
      </c>
      <c r="BK32" s="420">
        <f t="shared" si="18"/>
        <v>0</v>
      </c>
      <c r="BL32" s="772">
        <f>I32+AY32</f>
        <v>3597753</v>
      </c>
      <c r="BM32" s="417">
        <f>J32+AG32</f>
        <v>2668585</v>
      </c>
      <c r="BN32" s="417">
        <f t="shared" si="40"/>
        <v>2668585</v>
      </c>
      <c r="BO32" s="417">
        <f t="shared" si="40"/>
        <v>0</v>
      </c>
      <c r="BP32" s="417">
        <f>M32+AO32</f>
        <v>0</v>
      </c>
      <c r="BQ32" s="417">
        <f t="shared" si="41"/>
        <v>0</v>
      </c>
      <c r="BR32" s="417">
        <f t="shared" si="41"/>
        <v>0</v>
      </c>
      <c r="BS32" s="417">
        <f t="shared" si="42"/>
        <v>901982</v>
      </c>
      <c r="BT32" s="417">
        <f t="shared" si="42"/>
        <v>26686</v>
      </c>
      <c r="BU32" s="417">
        <f>R32+AX32</f>
        <v>500</v>
      </c>
      <c r="BV32" s="418">
        <f>S32+BK32</f>
        <v>7.21</v>
      </c>
      <c r="BW32" s="418">
        <f t="shared" si="43"/>
        <v>7.21</v>
      </c>
      <c r="BX32" s="420">
        <f t="shared" si="43"/>
        <v>0</v>
      </c>
      <c r="BY32" s="596"/>
      <c r="BZ32" s="595"/>
      <c r="CA32" s="595"/>
      <c r="CB32" s="595"/>
      <c r="CC32" s="595"/>
      <c r="CD32" s="981"/>
      <c r="CE32" s="596"/>
      <c r="CF32" s="595"/>
      <c r="CG32" s="595"/>
      <c r="CH32" s="595"/>
      <c r="CI32" s="595"/>
      <c r="CJ32" s="981"/>
    </row>
    <row r="33" spans="1:88" ht="12.95" customHeight="1">
      <c r="A33" s="280">
        <v>5</v>
      </c>
      <c r="B33" s="281">
        <v>4456</v>
      </c>
      <c r="C33" s="281">
        <v>600074617</v>
      </c>
      <c r="D33" s="281">
        <v>68430132</v>
      </c>
      <c r="E33" s="283" t="s">
        <v>313</v>
      </c>
      <c r="F33" s="281">
        <v>3141</v>
      </c>
      <c r="G33" s="284" t="s">
        <v>294</v>
      </c>
      <c r="H33" s="284" t="s">
        <v>272</v>
      </c>
      <c r="I33" s="563">
        <v>4553876</v>
      </c>
      <c r="J33" s="414">
        <v>3341549</v>
      </c>
      <c r="K33" s="414">
        <v>0</v>
      </c>
      <c r="L33" s="414">
        <v>3341549</v>
      </c>
      <c r="M33" s="414">
        <v>10000</v>
      </c>
      <c r="N33" s="414">
        <v>0</v>
      </c>
      <c r="O33" s="414">
        <v>10000</v>
      </c>
      <c r="P33" s="68">
        <v>1132824</v>
      </c>
      <c r="Q33" s="68">
        <v>33415</v>
      </c>
      <c r="R33" s="414">
        <v>36088</v>
      </c>
      <c r="S33" s="415">
        <v>10.050000000000001</v>
      </c>
      <c r="T33" s="416">
        <v>0</v>
      </c>
      <c r="U33" s="762">
        <v>10.050000000000001</v>
      </c>
      <c r="V33" s="423">
        <f t="shared" si="3"/>
        <v>0</v>
      </c>
      <c r="W33" s="417">
        <f t="shared" si="3"/>
        <v>-10000</v>
      </c>
      <c r="X33" s="417">
        <v>0</v>
      </c>
      <c r="Y33" s="417">
        <v>0</v>
      </c>
      <c r="Z33" s="417">
        <v>0</v>
      </c>
      <c r="AA33" s="417">
        <v>27428</v>
      </c>
      <c r="AB33" s="417">
        <v>0</v>
      </c>
      <c r="AC33" s="417">
        <v>0</v>
      </c>
      <c r="AD33" s="417">
        <v>0</v>
      </c>
      <c r="AE33" s="417">
        <f t="shared" si="4"/>
        <v>0</v>
      </c>
      <c r="AF33" s="417">
        <f t="shared" si="5"/>
        <v>17428</v>
      </c>
      <c r="AG33" s="417">
        <f t="shared" si="6"/>
        <v>17428</v>
      </c>
      <c r="AH33" s="417">
        <v>0</v>
      </c>
      <c r="AI33" s="417">
        <v>10000</v>
      </c>
      <c r="AJ33" s="417">
        <v>0</v>
      </c>
      <c r="AK33" s="417">
        <v>0</v>
      </c>
      <c r="AL33" s="417">
        <v>0</v>
      </c>
      <c r="AM33" s="417">
        <f t="shared" si="7"/>
        <v>0</v>
      </c>
      <c r="AN33" s="417">
        <f t="shared" si="8"/>
        <v>10000</v>
      </c>
      <c r="AO33" s="417">
        <f t="shared" si="9"/>
        <v>10000</v>
      </c>
      <c r="AP33" s="417">
        <f t="shared" si="10"/>
        <v>0</v>
      </c>
      <c r="AQ33" s="417">
        <f t="shared" si="10"/>
        <v>27428</v>
      </c>
      <c r="AR33" s="417">
        <f t="shared" si="11"/>
        <v>27428</v>
      </c>
      <c r="AS33" s="68">
        <f t="shared" si="12"/>
        <v>9271</v>
      </c>
      <c r="AT33" s="68">
        <f t="shared" si="13"/>
        <v>174</v>
      </c>
      <c r="AU33" s="417">
        <v>0</v>
      </c>
      <c r="AV33" s="417">
        <v>0</v>
      </c>
      <c r="AW33" s="417">
        <v>0</v>
      </c>
      <c r="AX33" s="417">
        <f t="shared" si="14"/>
        <v>0</v>
      </c>
      <c r="AY33" s="417">
        <f t="shared" si="15"/>
        <v>36873</v>
      </c>
      <c r="AZ33" s="418">
        <v>0</v>
      </c>
      <c r="BA33" s="418">
        <v>0</v>
      </c>
      <c r="BB33" s="418">
        <v>0</v>
      </c>
      <c r="BC33" s="418">
        <v>0</v>
      </c>
      <c r="BD33" s="418">
        <v>0.08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6"/>
        <v>0</v>
      </c>
      <c r="BJ33" s="418">
        <f t="shared" si="17"/>
        <v>0.08</v>
      </c>
      <c r="BK33" s="420">
        <f t="shared" si="18"/>
        <v>0.08</v>
      </c>
      <c r="BL33" s="772">
        <f>I33+AY33</f>
        <v>4590749</v>
      </c>
      <c r="BM33" s="417">
        <f>J33+AG33</f>
        <v>3358977</v>
      </c>
      <c r="BN33" s="417">
        <f t="shared" si="40"/>
        <v>0</v>
      </c>
      <c r="BO33" s="417">
        <f t="shared" si="40"/>
        <v>3358977</v>
      </c>
      <c r="BP33" s="417">
        <f>M33+AO33</f>
        <v>20000</v>
      </c>
      <c r="BQ33" s="417">
        <f t="shared" si="41"/>
        <v>0</v>
      </c>
      <c r="BR33" s="417">
        <f t="shared" si="41"/>
        <v>20000</v>
      </c>
      <c r="BS33" s="417">
        <f t="shared" si="42"/>
        <v>1142095</v>
      </c>
      <c r="BT33" s="417">
        <f t="shared" si="42"/>
        <v>33589</v>
      </c>
      <c r="BU33" s="417">
        <f>R33+AX33</f>
        <v>36088</v>
      </c>
      <c r="BV33" s="418">
        <f>S33+BK33</f>
        <v>10.130000000000001</v>
      </c>
      <c r="BW33" s="418">
        <f t="shared" si="43"/>
        <v>0</v>
      </c>
      <c r="BX33" s="420">
        <f t="shared" si="43"/>
        <v>10.130000000000001</v>
      </c>
      <c r="BY33" s="596"/>
      <c r="BZ33" s="595"/>
      <c r="CA33" s="595"/>
      <c r="CB33" s="595"/>
      <c r="CC33" s="595"/>
      <c r="CD33" s="981"/>
      <c r="CE33" s="596"/>
      <c r="CF33" s="595"/>
      <c r="CG33" s="595"/>
      <c r="CH33" s="595"/>
      <c r="CI33" s="595"/>
      <c r="CJ33" s="981"/>
    </row>
    <row r="34" spans="1:88" ht="12.95" customHeight="1">
      <c r="A34" s="280">
        <v>5</v>
      </c>
      <c r="B34" s="281">
        <v>4456</v>
      </c>
      <c r="C34" s="281">
        <v>600074617</v>
      </c>
      <c r="D34" s="281">
        <v>68430132</v>
      </c>
      <c r="E34" s="283" t="s">
        <v>313</v>
      </c>
      <c r="F34" s="281">
        <v>3143</v>
      </c>
      <c r="G34" s="284" t="s">
        <v>595</v>
      </c>
      <c r="H34" s="284" t="s">
        <v>271</v>
      </c>
      <c r="I34" s="563">
        <v>4150461</v>
      </c>
      <c r="J34" s="414">
        <v>3009496</v>
      </c>
      <c r="K34" s="414">
        <v>3009496</v>
      </c>
      <c r="L34" s="414">
        <v>0</v>
      </c>
      <c r="M34" s="414">
        <v>70000</v>
      </c>
      <c r="N34" s="414">
        <v>70000</v>
      </c>
      <c r="O34" s="414">
        <v>0</v>
      </c>
      <c r="P34" s="68">
        <v>1040870</v>
      </c>
      <c r="Q34" s="68">
        <v>30095</v>
      </c>
      <c r="R34" s="414">
        <v>0</v>
      </c>
      <c r="S34" s="415">
        <v>5.8930999999999996</v>
      </c>
      <c r="T34" s="416">
        <v>5.8930999999999996</v>
      </c>
      <c r="U34" s="762">
        <v>0</v>
      </c>
      <c r="V34" s="423">
        <f t="shared" si="3"/>
        <v>25000</v>
      </c>
      <c r="W34" s="417">
        <f t="shared" si="3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4"/>
        <v>25000</v>
      </c>
      <c r="AF34" s="417">
        <f t="shared" si="5"/>
        <v>0</v>
      </c>
      <c r="AG34" s="417">
        <f t="shared" si="6"/>
        <v>25000</v>
      </c>
      <c r="AH34" s="417">
        <v>-25000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7"/>
        <v>-25000</v>
      </c>
      <c r="AN34" s="417">
        <f t="shared" si="8"/>
        <v>0</v>
      </c>
      <c r="AO34" s="417">
        <f t="shared" si="9"/>
        <v>-25000</v>
      </c>
      <c r="AP34" s="417">
        <f t="shared" si="10"/>
        <v>0</v>
      </c>
      <c r="AQ34" s="417">
        <f t="shared" si="10"/>
        <v>0</v>
      </c>
      <c r="AR34" s="417">
        <f t="shared" si="11"/>
        <v>0</v>
      </c>
      <c r="AS34" s="68">
        <f t="shared" si="12"/>
        <v>0</v>
      </c>
      <c r="AT34" s="68">
        <f t="shared" si="13"/>
        <v>250</v>
      </c>
      <c r="AU34" s="417">
        <v>0</v>
      </c>
      <c r="AV34" s="417">
        <v>0</v>
      </c>
      <c r="AW34" s="417">
        <v>0</v>
      </c>
      <c r="AX34" s="417">
        <f t="shared" si="14"/>
        <v>0</v>
      </c>
      <c r="AY34" s="417">
        <f t="shared" si="15"/>
        <v>250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6"/>
        <v>0</v>
      </c>
      <c r="BJ34" s="418">
        <f t="shared" si="17"/>
        <v>0</v>
      </c>
      <c r="BK34" s="420">
        <f t="shared" si="18"/>
        <v>0</v>
      </c>
      <c r="BL34" s="772">
        <f>I34+AY34</f>
        <v>4150711</v>
      </c>
      <c r="BM34" s="417">
        <f>J34+AG34</f>
        <v>3034496</v>
      </c>
      <c r="BN34" s="417">
        <f t="shared" si="40"/>
        <v>3034496</v>
      </c>
      <c r="BO34" s="417">
        <f t="shared" si="40"/>
        <v>0</v>
      </c>
      <c r="BP34" s="417">
        <f>M34+AO34</f>
        <v>45000</v>
      </c>
      <c r="BQ34" s="417">
        <f t="shared" si="41"/>
        <v>45000</v>
      </c>
      <c r="BR34" s="417">
        <f t="shared" si="41"/>
        <v>0</v>
      </c>
      <c r="BS34" s="417">
        <f t="shared" si="42"/>
        <v>1040870</v>
      </c>
      <c r="BT34" s="417">
        <f t="shared" si="42"/>
        <v>30345</v>
      </c>
      <c r="BU34" s="417">
        <f>R34+AX34</f>
        <v>0</v>
      </c>
      <c r="BV34" s="418">
        <f>S34+BK34</f>
        <v>5.8930999999999996</v>
      </c>
      <c r="BW34" s="418">
        <f t="shared" si="43"/>
        <v>5.8930999999999996</v>
      </c>
      <c r="BX34" s="420">
        <f t="shared" si="43"/>
        <v>0</v>
      </c>
      <c r="BY34" s="596"/>
      <c r="BZ34" s="595"/>
      <c r="CA34" s="595"/>
      <c r="CB34" s="595"/>
      <c r="CC34" s="595"/>
      <c r="CD34" s="981"/>
      <c r="CE34" s="596"/>
      <c r="CF34" s="595"/>
      <c r="CG34" s="595"/>
      <c r="CH34" s="595"/>
      <c r="CI34" s="595"/>
      <c r="CJ34" s="981"/>
    </row>
    <row r="35" spans="1:88" ht="12.95" customHeight="1">
      <c r="A35" s="280">
        <v>5</v>
      </c>
      <c r="B35" s="281">
        <v>4456</v>
      </c>
      <c r="C35" s="281">
        <v>600074617</v>
      </c>
      <c r="D35" s="281">
        <v>68430132</v>
      </c>
      <c r="E35" s="283" t="s">
        <v>313</v>
      </c>
      <c r="F35" s="281">
        <v>3143</v>
      </c>
      <c r="G35" s="284" t="s">
        <v>596</v>
      </c>
      <c r="H35" s="284" t="s">
        <v>272</v>
      </c>
      <c r="I35" s="563">
        <v>154448</v>
      </c>
      <c r="J35" s="414">
        <v>110550</v>
      </c>
      <c r="K35" s="414">
        <v>0</v>
      </c>
      <c r="L35" s="414">
        <v>110550</v>
      </c>
      <c r="M35" s="414">
        <v>0</v>
      </c>
      <c r="N35" s="414">
        <v>0</v>
      </c>
      <c r="O35" s="414">
        <v>0</v>
      </c>
      <c r="P35" s="68">
        <v>37366</v>
      </c>
      <c r="Q35" s="68">
        <v>1105</v>
      </c>
      <c r="R35" s="414">
        <v>5427</v>
      </c>
      <c r="S35" s="415">
        <v>0.41920000000000002</v>
      </c>
      <c r="T35" s="416">
        <v>0</v>
      </c>
      <c r="U35" s="762">
        <v>0.41920000000000002</v>
      </c>
      <c r="V35" s="423">
        <f t="shared" si="3"/>
        <v>0</v>
      </c>
      <c r="W35" s="417">
        <f t="shared" si="3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4"/>
        <v>0</v>
      </c>
      <c r="AF35" s="417">
        <f t="shared" si="5"/>
        <v>0</v>
      </c>
      <c r="AG35" s="417">
        <f t="shared" si="6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7"/>
        <v>0</v>
      </c>
      <c r="AN35" s="417">
        <f t="shared" si="8"/>
        <v>0</v>
      </c>
      <c r="AO35" s="417">
        <f t="shared" si="9"/>
        <v>0</v>
      </c>
      <c r="AP35" s="417">
        <f t="shared" si="10"/>
        <v>0</v>
      </c>
      <c r="AQ35" s="417">
        <f t="shared" si="10"/>
        <v>0</v>
      </c>
      <c r="AR35" s="417">
        <f t="shared" si="11"/>
        <v>0</v>
      </c>
      <c r="AS35" s="68">
        <f t="shared" si="12"/>
        <v>0</v>
      </c>
      <c r="AT35" s="68">
        <f t="shared" si="13"/>
        <v>0</v>
      </c>
      <c r="AU35" s="417">
        <v>0</v>
      </c>
      <c r="AV35" s="417">
        <v>0</v>
      </c>
      <c r="AW35" s="417">
        <v>0</v>
      </c>
      <c r="AX35" s="417">
        <f t="shared" si="14"/>
        <v>0</v>
      </c>
      <c r="AY35" s="417">
        <f t="shared" si="15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6"/>
        <v>0</v>
      </c>
      <c r="BJ35" s="418">
        <f t="shared" si="17"/>
        <v>0</v>
      </c>
      <c r="BK35" s="420">
        <f t="shared" si="18"/>
        <v>0</v>
      </c>
      <c r="BL35" s="772">
        <f>I35+AY35</f>
        <v>154448</v>
      </c>
      <c r="BM35" s="417">
        <f>J35+AG35</f>
        <v>110550</v>
      </c>
      <c r="BN35" s="417">
        <f t="shared" si="40"/>
        <v>0</v>
      </c>
      <c r="BO35" s="417">
        <f t="shared" si="40"/>
        <v>110550</v>
      </c>
      <c r="BP35" s="417">
        <f>M35+AO35</f>
        <v>0</v>
      </c>
      <c r="BQ35" s="417">
        <f t="shared" si="41"/>
        <v>0</v>
      </c>
      <c r="BR35" s="417">
        <f t="shared" si="41"/>
        <v>0</v>
      </c>
      <c r="BS35" s="417">
        <f t="shared" si="42"/>
        <v>37366</v>
      </c>
      <c r="BT35" s="417">
        <f t="shared" si="42"/>
        <v>1105</v>
      </c>
      <c r="BU35" s="417">
        <f>R35+AX35</f>
        <v>5427</v>
      </c>
      <c r="BV35" s="418">
        <f>S35+BK35</f>
        <v>0.41920000000000002</v>
      </c>
      <c r="BW35" s="418">
        <f t="shared" si="43"/>
        <v>0</v>
      </c>
      <c r="BX35" s="420">
        <f t="shared" si="43"/>
        <v>0.41920000000000002</v>
      </c>
      <c r="BY35" s="596"/>
      <c r="BZ35" s="595"/>
      <c r="CA35" s="595"/>
      <c r="CB35" s="595"/>
      <c r="CC35" s="595"/>
      <c r="CD35" s="981"/>
      <c r="CE35" s="596"/>
      <c r="CF35" s="595"/>
      <c r="CG35" s="595"/>
      <c r="CH35" s="595"/>
      <c r="CI35" s="595"/>
      <c r="CJ35" s="981"/>
    </row>
    <row r="36" spans="1:88" ht="12.95" customHeight="1">
      <c r="A36" s="273">
        <v>5</v>
      </c>
      <c r="B36" s="275">
        <v>4456</v>
      </c>
      <c r="C36" s="275">
        <v>600074617</v>
      </c>
      <c r="D36" s="275">
        <v>68430132</v>
      </c>
      <c r="E36" s="288" t="s">
        <v>314</v>
      </c>
      <c r="F36" s="291"/>
      <c r="G36" s="292"/>
      <c r="H36" s="292"/>
      <c r="I36" s="465">
        <v>62255268</v>
      </c>
      <c r="J36" s="462">
        <v>45118347</v>
      </c>
      <c r="K36" s="462">
        <v>38538001</v>
      </c>
      <c r="L36" s="462">
        <v>6580346</v>
      </c>
      <c r="M36" s="462">
        <v>385920</v>
      </c>
      <c r="N36" s="462">
        <v>355920</v>
      </c>
      <c r="O36" s="462">
        <v>30000</v>
      </c>
      <c r="P36" s="462">
        <v>15380443</v>
      </c>
      <c r="Q36" s="462">
        <v>451183</v>
      </c>
      <c r="R36" s="462">
        <v>919375</v>
      </c>
      <c r="S36" s="463">
        <v>80.007400000000018</v>
      </c>
      <c r="T36" s="463">
        <v>59.956600000000002</v>
      </c>
      <c r="U36" s="533">
        <v>20.050799999999999</v>
      </c>
      <c r="V36" s="465">
        <f t="shared" ref="V36:BK36" si="44">SUM(V31:V35)</f>
        <v>105920</v>
      </c>
      <c r="W36" s="462">
        <f t="shared" si="44"/>
        <v>0</v>
      </c>
      <c r="X36" s="462">
        <f t="shared" si="44"/>
        <v>0</v>
      </c>
      <c r="Y36" s="462">
        <f t="shared" si="44"/>
        <v>0</v>
      </c>
      <c r="Z36" s="462">
        <f t="shared" si="44"/>
        <v>324554</v>
      </c>
      <c r="AA36" s="462">
        <f t="shared" si="44"/>
        <v>27428</v>
      </c>
      <c r="AB36" s="462">
        <f t="shared" si="44"/>
        <v>0</v>
      </c>
      <c r="AC36" s="462">
        <f t="shared" si="44"/>
        <v>0</v>
      </c>
      <c r="AD36" s="462">
        <f t="shared" si="44"/>
        <v>0</v>
      </c>
      <c r="AE36" s="462">
        <f t="shared" si="44"/>
        <v>430474</v>
      </c>
      <c r="AF36" s="462">
        <f t="shared" si="44"/>
        <v>27428</v>
      </c>
      <c r="AG36" s="462">
        <f t="shared" si="44"/>
        <v>457902</v>
      </c>
      <c r="AH36" s="462">
        <f t="shared" si="44"/>
        <v>-105920</v>
      </c>
      <c r="AI36" s="462">
        <f t="shared" si="44"/>
        <v>0</v>
      </c>
      <c r="AJ36" s="462">
        <f t="shared" si="44"/>
        <v>0</v>
      </c>
      <c r="AK36" s="462">
        <f t="shared" si="44"/>
        <v>0</v>
      </c>
      <c r="AL36" s="462">
        <f t="shared" si="44"/>
        <v>0</v>
      </c>
      <c r="AM36" s="462">
        <f t="shared" si="44"/>
        <v>-105920</v>
      </c>
      <c r="AN36" s="462">
        <f t="shared" si="44"/>
        <v>0</v>
      </c>
      <c r="AO36" s="462">
        <f t="shared" si="44"/>
        <v>-105920</v>
      </c>
      <c r="AP36" s="462">
        <f t="shared" si="44"/>
        <v>324554</v>
      </c>
      <c r="AQ36" s="462">
        <f t="shared" si="44"/>
        <v>27428</v>
      </c>
      <c r="AR36" s="462">
        <f t="shared" si="44"/>
        <v>351982</v>
      </c>
      <c r="AS36" s="462">
        <f t="shared" si="44"/>
        <v>118970</v>
      </c>
      <c r="AT36" s="462">
        <f t="shared" si="44"/>
        <v>4579</v>
      </c>
      <c r="AU36" s="462">
        <f t="shared" si="44"/>
        <v>0</v>
      </c>
      <c r="AV36" s="462">
        <f t="shared" si="44"/>
        <v>0</v>
      </c>
      <c r="AW36" s="462">
        <f t="shared" si="44"/>
        <v>0</v>
      </c>
      <c r="AX36" s="462">
        <f t="shared" si="44"/>
        <v>0</v>
      </c>
      <c r="AY36" s="462">
        <f t="shared" si="44"/>
        <v>475531</v>
      </c>
      <c r="AZ36" s="463">
        <f t="shared" si="44"/>
        <v>-0.08</v>
      </c>
      <c r="BA36" s="463">
        <f t="shared" si="44"/>
        <v>0</v>
      </c>
      <c r="BB36" s="463">
        <f t="shared" si="44"/>
        <v>0</v>
      </c>
      <c r="BC36" s="463">
        <f t="shared" si="44"/>
        <v>0.65</v>
      </c>
      <c r="BD36" s="463">
        <f t="shared" si="44"/>
        <v>0.08</v>
      </c>
      <c r="BE36" s="463">
        <f t="shared" si="44"/>
        <v>0</v>
      </c>
      <c r="BF36" s="463">
        <f t="shared" si="44"/>
        <v>0</v>
      </c>
      <c r="BG36" s="463">
        <f t="shared" si="44"/>
        <v>0</v>
      </c>
      <c r="BH36" s="463">
        <f t="shared" si="44"/>
        <v>0</v>
      </c>
      <c r="BI36" s="463">
        <f t="shared" si="44"/>
        <v>0.57000000000000006</v>
      </c>
      <c r="BJ36" s="463">
        <f t="shared" si="44"/>
        <v>0.08</v>
      </c>
      <c r="BK36" s="290">
        <f t="shared" si="44"/>
        <v>0.65</v>
      </c>
      <c r="BL36" s="776">
        <f t="shared" ref="BL36:CG36" si="45">SUM(BL31:BL35)</f>
        <v>62730799</v>
      </c>
      <c r="BM36" s="462">
        <f t="shared" si="45"/>
        <v>45576249</v>
      </c>
      <c r="BN36" s="462">
        <f t="shared" si="45"/>
        <v>38968475</v>
      </c>
      <c r="BO36" s="462">
        <f t="shared" si="45"/>
        <v>6607774</v>
      </c>
      <c r="BP36" s="462">
        <f t="shared" si="45"/>
        <v>280000</v>
      </c>
      <c r="BQ36" s="462">
        <f t="shared" si="45"/>
        <v>250000</v>
      </c>
      <c r="BR36" s="462">
        <f t="shared" si="45"/>
        <v>30000</v>
      </c>
      <c r="BS36" s="462">
        <f t="shared" si="45"/>
        <v>15499413</v>
      </c>
      <c r="BT36" s="462">
        <f t="shared" si="45"/>
        <v>455762</v>
      </c>
      <c r="BU36" s="462">
        <f t="shared" si="45"/>
        <v>919375</v>
      </c>
      <c r="BV36" s="463">
        <f t="shared" si="45"/>
        <v>80.65740000000001</v>
      </c>
      <c r="BW36" s="463">
        <f t="shared" si="45"/>
        <v>60.526600000000002</v>
      </c>
      <c r="BX36" s="290">
        <f t="shared" si="45"/>
        <v>20.130800000000001</v>
      </c>
      <c r="BY36" s="820">
        <f t="shared" si="45"/>
        <v>152054</v>
      </c>
      <c r="BZ36" s="716">
        <f t="shared" si="45"/>
        <v>112800</v>
      </c>
      <c r="CA36" s="716">
        <f t="shared" si="45"/>
        <v>0</v>
      </c>
      <c r="CB36" s="716">
        <f t="shared" si="45"/>
        <v>38126</v>
      </c>
      <c r="CC36" s="716">
        <f t="shared" si="45"/>
        <v>1128</v>
      </c>
      <c r="CD36" s="821">
        <f t="shared" si="45"/>
        <v>0.2</v>
      </c>
      <c r="CE36" s="982">
        <f t="shared" si="45"/>
        <v>1579622</v>
      </c>
      <c r="CF36" s="982">
        <f t="shared" si="45"/>
        <v>1010598</v>
      </c>
      <c r="CG36" s="982">
        <f t="shared" si="45"/>
        <v>341582</v>
      </c>
      <c r="CH36" s="982">
        <f t="shared" ref="CH36:CJ36" si="46">SUM(CH31:CH35)</f>
        <v>10106</v>
      </c>
      <c r="CI36" s="982">
        <f t="shared" si="46"/>
        <v>217336</v>
      </c>
      <c r="CJ36" s="935">
        <f t="shared" si="46"/>
        <v>3.0760000000000001</v>
      </c>
    </row>
    <row r="37" spans="1:88" ht="12.95" customHeight="1">
      <c r="A37" s="280">
        <v>6</v>
      </c>
      <c r="B37" s="281">
        <v>4478</v>
      </c>
      <c r="C37" s="281">
        <v>600075141</v>
      </c>
      <c r="D37" s="281">
        <v>70975191</v>
      </c>
      <c r="E37" s="283" t="s">
        <v>315</v>
      </c>
      <c r="F37" s="281">
        <v>3114</v>
      </c>
      <c r="G37" s="286" t="s">
        <v>525</v>
      </c>
      <c r="H37" s="284" t="s">
        <v>271</v>
      </c>
      <c r="I37" s="563">
        <v>8521400</v>
      </c>
      <c r="J37" s="414">
        <v>6166424</v>
      </c>
      <c r="K37" s="414">
        <v>5449976</v>
      </c>
      <c r="L37" s="414">
        <v>716448</v>
      </c>
      <c r="M37" s="414">
        <v>90000</v>
      </c>
      <c r="N37" s="414">
        <v>70000</v>
      </c>
      <c r="O37" s="414">
        <v>20000</v>
      </c>
      <c r="P37" s="68">
        <v>2114671</v>
      </c>
      <c r="Q37" s="68">
        <v>61665</v>
      </c>
      <c r="R37" s="414">
        <v>88640</v>
      </c>
      <c r="S37" s="415">
        <v>9.1777999999999995</v>
      </c>
      <c r="T37" s="416">
        <v>7.1272000000000002</v>
      </c>
      <c r="U37" s="762">
        <v>2.0506000000000002</v>
      </c>
      <c r="V37" s="423">
        <f t="shared" si="3"/>
        <v>2660</v>
      </c>
      <c r="W37" s="417">
        <f t="shared" si="3"/>
        <v>-40000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4"/>
        <v>2660</v>
      </c>
      <c r="AF37" s="417">
        <f t="shared" si="5"/>
        <v>-40000</v>
      </c>
      <c r="AG37" s="417">
        <f t="shared" si="6"/>
        <v>-37340</v>
      </c>
      <c r="AH37" s="417">
        <v>-2660</v>
      </c>
      <c r="AI37" s="417">
        <v>40000</v>
      </c>
      <c r="AJ37" s="417">
        <v>0</v>
      </c>
      <c r="AK37" s="417">
        <v>0</v>
      </c>
      <c r="AL37" s="417">
        <v>0</v>
      </c>
      <c r="AM37" s="417">
        <f t="shared" si="7"/>
        <v>-2660</v>
      </c>
      <c r="AN37" s="417">
        <f t="shared" si="8"/>
        <v>40000</v>
      </c>
      <c r="AO37" s="417">
        <f t="shared" si="9"/>
        <v>37340</v>
      </c>
      <c r="AP37" s="417">
        <f t="shared" si="10"/>
        <v>0</v>
      </c>
      <c r="AQ37" s="417">
        <f t="shared" si="10"/>
        <v>0</v>
      </c>
      <c r="AR37" s="417">
        <f t="shared" si="11"/>
        <v>0</v>
      </c>
      <c r="AS37" s="68">
        <f t="shared" si="12"/>
        <v>0</v>
      </c>
      <c r="AT37" s="68">
        <f t="shared" si="13"/>
        <v>-373</v>
      </c>
      <c r="AU37" s="417">
        <v>0</v>
      </c>
      <c r="AV37" s="417">
        <v>0</v>
      </c>
      <c r="AW37" s="417">
        <v>0</v>
      </c>
      <c r="AX37" s="417">
        <f t="shared" si="14"/>
        <v>0</v>
      </c>
      <c r="AY37" s="417">
        <f t="shared" si="15"/>
        <v>-373</v>
      </c>
      <c r="AZ37" s="418">
        <v>0</v>
      </c>
      <c r="BA37" s="418">
        <v>-0.12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6"/>
        <v>0</v>
      </c>
      <c r="BJ37" s="418">
        <f t="shared" si="17"/>
        <v>-0.12</v>
      </c>
      <c r="BK37" s="420">
        <f t="shared" si="18"/>
        <v>-0.12</v>
      </c>
      <c r="BL37" s="772">
        <f>I37+AY37</f>
        <v>8521027</v>
      </c>
      <c r="BM37" s="417">
        <f>J37+AG37</f>
        <v>6129084</v>
      </c>
      <c r="BN37" s="417">
        <f t="shared" ref="BN37:BO41" si="47">K37+AE37</f>
        <v>5452636</v>
      </c>
      <c r="BO37" s="417">
        <f t="shared" si="47"/>
        <v>676448</v>
      </c>
      <c r="BP37" s="417">
        <f>M37+AO37</f>
        <v>127340</v>
      </c>
      <c r="BQ37" s="417">
        <f t="shared" ref="BQ37:BR41" si="48">N37+AM37</f>
        <v>67340</v>
      </c>
      <c r="BR37" s="417">
        <f t="shared" si="48"/>
        <v>60000</v>
      </c>
      <c r="BS37" s="417">
        <f t="shared" ref="BS37:BT41" si="49">P37+AS37</f>
        <v>2114671</v>
      </c>
      <c r="BT37" s="417">
        <f t="shared" si="49"/>
        <v>61292</v>
      </c>
      <c r="BU37" s="417">
        <f>R37+AX37</f>
        <v>88640</v>
      </c>
      <c r="BV37" s="418">
        <f>S37+BK37</f>
        <v>9.0578000000000003</v>
      </c>
      <c r="BW37" s="418">
        <f t="shared" ref="BW37:BX41" si="50">T37+BI37</f>
        <v>7.1272000000000002</v>
      </c>
      <c r="BX37" s="420">
        <f t="shared" si="50"/>
        <v>1.9306000000000001</v>
      </c>
      <c r="BY37" s="596"/>
      <c r="BZ37" s="595"/>
      <c r="CA37" s="595"/>
      <c r="CB37" s="595"/>
      <c r="CC37" s="595"/>
      <c r="CD37" s="981"/>
      <c r="CE37" s="596">
        <v>343108</v>
      </c>
      <c r="CF37" s="595">
        <v>236332</v>
      </c>
      <c r="CG37" s="595">
        <v>79880</v>
      </c>
      <c r="CH37" s="595">
        <v>2363</v>
      </c>
      <c r="CI37" s="595">
        <v>24533</v>
      </c>
      <c r="CJ37" s="981">
        <v>0.67730000000000001</v>
      </c>
    </row>
    <row r="38" spans="1:88" ht="12.95" customHeight="1">
      <c r="A38" s="280">
        <v>6</v>
      </c>
      <c r="B38" s="281">
        <v>4478</v>
      </c>
      <c r="C38" s="281">
        <v>600075141</v>
      </c>
      <c r="D38" s="281">
        <v>70975191</v>
      </c>
      <c r="E38" s="283" t="s">
        <v>315</v>
      </c>
      <c r="F38" s="281">
        <v>3114</v>
      </c>
      <c r="G38" s="286" t="s">
        <v>298</v>
      </c>
      <c r="H38" s="284" t="s">
        <v>272</v>
      </c>
      <c r="I38" s="563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68">
        <v>0</v>
      </c>
      <c r="Q38" s="68">
        <v>0</v>
      </c>
      <c r="R38" s="414">
        <v>0</v>
      </c>
      <c r="S38" s="415">
        <v>0</v>
      </c>
      <c r="T38" s="416">
        <v>0</v>
      </c>
      <c r="U38" s="762">
        <v>0</v>
      </c>
      <c r="V38" s="423">
        <f t="shared" si="3"/>
        <v>0</v>
      </c>
      <c r="W38" s="417">
        <f t="shared" si="3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4"/>
        <v>0</v>
      </c>
      <c r="AF38" s="417">
        <f t="shared" si="5"/>
        <v>0</v>
      </c>
      <c r="AG38" s="417">
        <f t="shared" si="6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7"/>
        <v>0</v>
      </c>
      <c r="AN38" s="417">
        <f t="shared" si="8"/>
        <v>0</v>
      </c>
      <c r="AO38" s="417">
        <f t="shared" si="9"/>
        <v>0</v>
      </c>
      <c r="AP38" s="417">
        <f t="shared" si="10"/>
        <v>0</v>
      </c>
      <c r="AQ38" s="417">
        <f t="shared" si="10"/>
        <v>0</v>
      </c>
      <c r="AR38" s="417">
        <f t="shared" si="11"/>
        <v>0</v>
      </c>
      <c r="AS38" s="68">
        <f t="shared" si="12"/>
        <v>0</v>
      </c>
      <c r="AT38" s="68">
        <f t="shared" si="13"/>
        <v>0</v>
      </c>
      <c r="AU38" s="417">
        <v>0</v>
      </c>
      <c r="AV38" s="417">
        <v>0</v>
      </c>
      <c r="AW38" s="417">
        <v>0</v>
      </c>
      <c r="AX38" s="417">
        <f t="shared" si="14"/>
        <v>0</v>
      </c>
      <c r="AY38" s="417">
        <f t="shared" si="15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6"/>
        <v>0</v>
      </c>
      <c r="BJ38" s="418">
        <f t="shared" si="17"/>
        <v>0</v>
      </c>
      <c r="BK38" s="420">
        <f t="shared" si="18"/>
        <v>0</v>
      </c>
      <c r="BL38" s="772">
        <f>I38+AY38</f>
        <v>0</v>
      </c>
      <c r="BM38" s="417">
        <f>J38+AG38</f>
        <v>0</v>
      </c>
      <c r="BN38" s="417">
        <f t="shared" si="47"/>
        <v>0</v>
      </c>
      <c r="BO38" s="417">
        <f t="shared" si="47"/>
        <v>0</v>
      </c>
      <c r="BP38" s="417">
        <f>M38+AO38</f>
        <v>0</v>
      </c>
      <c r="BQ38" s="417">
        <f t="shared" si="48"/>
        <v>0</v>
      </c>
      <c r="BR38" s="417">
        <f t="shared" si="48"/>
        <v>0</v>
      </c>
      <c r="BS38" s="417">
        <f t="shared" si="49"/>
        <v>0</v>
      </c>
      <c r="BT38" s="417">
        <f t="shared" si="49"/>
        <v>0</v>
      </c>
      <c r="BU38" s="417">
        <f>R38+AX38</f>
        <v>0</v>
      </c>
      <c r="BV38" s="418">
        <f>S38+BK38</f>
        <v>0</v>
      </c>
      <c r="BW38" s="418">
        <f t="shared" si="50"/>
        <v>0</v>
      </c>
      <c r="BX38" s="420">
        <f t="shared" si="50"/>
        <v>0</v>
      </c>
      <c r="BY38" s="596"/>
      <c r="BZ38" s="595"/>
      <c r="CA38" s="595"/>
      <c r="CB38" s="595"/>
      <c r="CC38" s="595"/>
      <c r="CD38" s="981"/>
      <c r="CE38" s="596"/>
      <c r="CF38" s="595"/>
      <c r="CG38" s="595"/>
      <c r="CH38" s="595"/>
      <c r="CI38" s="595"/>
      <c r="CJ38" s="981"/>
    </row>
    <row r="39" spans="1:88" ht="12.95" customHeight="1">
      <c r="A39" s="280">
        <v>6</v>
      </c>
      <c r="B39" s="281">
        <v>4478</v>
      </c>
      <c r="C39" s="281">
        <v>600075141</v>
      </c>
      <c r="D39" s="281">
        <v>70975191</v>
      </c>
      <c r="E39" s="283" t="s">
        <v>315</v>
      </c>
      <c r="F39" s="281">
        <v>3114</v>
      </c>
      <c r="G39" s="286" t="s">
        <v>292</v>
      </c>
      <c r="H39" s="284" t="s">
        <v>271</v>
      </c>
      <c r="I39" s="563">
        <v>801720</v>
      </c>
      <c r="J39" s="414">
        <v>594748</v>
      </c>
      <c r="K39" s="414">
        <v>594748</v>
      </c>
      <c r="L39" s="414">
        <v>0</v>
      </c>
      <c r="M39" s="414">
        <v>0</v>
      </c>
      <c r="N39" s="414">
        <v>0</v>
      </c>
      <c r="O39" s="414">
        <v>0</v>
      </c>
      <c r="P39" s="68">
        <v>201025</v>
      </c>
      <c r="Q39" s="68">
        <v>5947</v>
      </c>
      <c r="R39" s="414">
        <v>0</v>
      </c>
      <c r="S39" s="415">
        <v>1.4166000000000001</v>
      </c>
      <c r="T39" s="416">
        <v>1.4166000000000001</v>
      </c>
      <c r="U39" s="762">
        <v>0</v>
      </c>
      <c r="V39" s="423">
        <f t="shared" si="3"/>
        <v>0</v>
      </c>
      <c r="W39" s="417">
        <f t="shared" si="3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4"/>
        <v>0</v>
      </c>
      <c r="AF39" s="417">
        <f t="shared" si="5"/>
        <v>0</v>
      </c>
      <c r="AG39" s="417">
        <f t="shared" si="6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7"/>
        <v>0</v>
      </c>
      <c r="AN39" s="417">
        <f t="shared" si="8"/>
        <v>0</v>
      </c>
      <c r="AO39" s="417">
        <f t="shared" si="9"/>
        <v>0</v>
      </c>
      <c r="AP39" s="417">
        <f t="shared" si="10"/>
        <v>0</v>
      </c>
      <c r="AQ39" s="417">
        <f t="shared" si="10"/>
        <v>0</v>
      </c>
      <c r="AR39" s="417">
        <f t="shared" si="11"/>
        <v>0</v>
      </c>
      <c r="AS39" s="68">
        <f t="shared" si="12"/>
        <v>0</v>
      </c>
      <c r="AT39" s="68">
        <f t="shared" si="13"/>
        <v>0</v>
      </c>
      <c r="AU39" s="417">
        <v>0</v>
      </c>
      <c r="AV39" s="417">
        <v>0</v>
      </c>
      <c r="AW39" s="417">
        <v>0</v>
      </c>
      <c r="AX39" s="417">
        <f t="shared" si="14"/>
        <v>0</v>
      </c>
      <c r="AY39" s="417">
        <f t="shared" si="15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6"/>
        <v>0</v>
      </c>
      <c r="BJ39" s="418">
        <f t="shared" si="17"/>
        <v>0</v>
      </c>
      <c r="BK39" s="420">
        <f t="shared" si="18"/>
        <v>0</v>
      </c>
      <c r="BL39" s="772">
        <f>I39+AY39</f>
        <v>801720</v>
      </c>
      <c r="BM39" s="417">
        <f>J39+AG39</f>
        <v>594748</v>
      </c>
      <c r="BN39" s="417">
        <f t="shared" si="47"/>
        <v>594748</v>
      </c>
      <c r="BO39" s="417">
        <f t="shared" si="47"/>
        <v>0</v>
      </c>
      <c r="BP39" s="417">
        <f>M39+AO39</f>
        <v>0</v>
      </c>
      <c r="BQ39" s="417">
        <f t="shared" si="48"/>
        <v>0</v>
      </c>
      <c r="BR39" s="417">
        <f t="shared" si="48"/>
        <v>0</v>
      </c>
      <c r="BS39" s="417">
        <f t="shared" si="49"/>
        <v>201025</v>
      </c>
      <c r="BT39" s="417">
        <f t="shared" si="49"/>
        <v>5947</v>
      </c>
      <c r="BU39" s="417">
        <f>R39+AX39</f>
        <v>0</v>
      </c>
      <c r="BV39" s="418">
        <f>S39+BK39</f>
        <v>1.4166000000000001</v>
      </c>
      <c r="BW39" s="418">
        <f t="shared" si="50"/>
        <v>1.4166000000000001</v>
      </c>
      <c r="BX39" s="420">
        <f t="shared" si="50"/>
        <v>0</v>
      </c>
      <c r="BY39" s="596"/>
      <c r="BZ39" s="595"/>
      <c r="CA39" s="595"/>
      <c r="CB39" s="595"/>
      <c r="CC39" s="595"/>
      <c r="CD39" s="981"/>
      <c r="CE39" s="596"/>
      <c r="CF39" s="595"/>
      <c r="CG39" s="595"/>
      <c r="CH39" s="595"/>
      <c r="CI39" s="595"/>
      <c r="CJ39" s="981"/>
    </row>
    <row r="40" spans="1:88" ht="12.95" customHeight="1">
      <c r="A40" s="280">
        <v>6</v>
      </c>
      <c r="B40" s="281">
        <v>4478</v>
      </c>
      <c r="C40" s="281">
        <v>600075141</v>
      </c>
      <c r="D40" s="281">
        <v>70975191</v>
      </c>
      <c r="E40" s="283" t="s">
        <v>315</v>
      </c>
      <c r="F40" s="281">
        <v>3143</v>
      </c>
      <c r="G40" s="284" t="s">
        <v>595</v>
      </c>
      <c r="H40" s="284" t="s">
        <v>271</v>
      </c>
      <c r="I40" s="563">
        <v>114601</v>
      </c>
      <c r="J40" s="414">
        <v>85016</v>
      </c>
      <c r="K40" s="414">
        <v>85016</v>
      </c>
      <c r="L40" s="414">
        <v>0</v>
      </c>
      <c r="M40" s="414">
        <v>0</v>
      </c>
      <c r="N40" s="414">
        <v>0</v>
      </c>
      <c r="O40" s="414">
        <v>0</v>
      </c>
      <c r="P40" s="68">
        <v>28735</v>
      </c>
      <c r="Q40" s="68">
        <v>850</v>
      </c>
      <c r="R40" s="414">
        <v>0</v>
      </c>
      <c r="S40" s="415">
        <v>0.17849999999999999</v>
      </c>
      <c r="T40" s="416">
        <v>0.17849999999999999</v>
      </c>
      <c r="U40" s="762">
        <v>0</v>
      </c>
      <c r="V40" s="423">
        <f t="shared" si="3"/>
        <v>0</v>
      </c>
      <c r="W40" s="417">
        <f t="shared" si="3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4"/>
        <v>0</v>
      </c>
      <c r="AF40" s="417">
        <f t="shared" si="5"/>
        <v>0</v>
      </c>
      <c r="AG40" s="417">
        <f t="shared" si="6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7"/>
        <v>0</v>
      </c>
      <c r="AN40" s="417">
        <f t="shared" si="8"/>
        <v>0</v>
      </c>
      <c r="AO40" s="417">
        <f t="shared" si="9"/>
        <v>0</v>
      </c>
      <c r="AP40" s="417">
        <f t="shared" si="10"/>
        <v>0</v>
      </c>
      <c r="AQ40" s="417">
        <f t="shared" si="10"/>
        <v>0</v>
      </c>
      <c r="AR40" s="417">
        <f t="shared" si="11"/>
        <v>0</v>
      </c>
      <c r="AS40" s="68">
        <f t="shared" si="12"/>
        <v>0</v>
      </c>
      <c r="AT40" s="68">
        <f t="shared" si="13"/>
        <v>0</v>
      </c>
      <c r="AU40" s="417">
        <v>0</v>
      </c>
      <c r="AV40" s="417">
        <v>0</v>
      </c>
      <c r="AW40" s="417">
        <v>0</v>
      </c>
      <c r="AX40" s="417">
        <f t="shared" si="14"/>
        <v>0</v>
      </c>
      <c r="AY40" s="417">
        <f t="shared" si="15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6"/>
        <v>0</v>
      </c>
      <c r="BJ40" s="418">
        <f t="shared" si="17"/>
        <v>0</v>
      </c>
      <c r="BK40" s="420">
        <f t="shared" si="18"/>
        <v>0</v>
      </c>
      <c r="BL40" s="772">
        <f>I40+AY40</f>
        <v>114601</v>
      </c>
      <c r="BM40" s="417">
        <f>J40+AG40</f>
        <v>85016</v>
      </c>
      <c r="BN40" s="417">
        <f t="shared" si="47"/>
        <v>85016</v>
      </c>
      <c r="BO40" s="417">
        <f t="shared" si="47"/>
        <v>0</v>
      </c>
      <c r="BP40" s="417">
        <f>M40+AO40</f>
        <v>0</v>
      </c>
      <c r="BQ40" s="417">
        <f t="shared" si="48"/>
        <v>0</v>
      </c>
      <c r="BR40" s="417">
        <f t="shared" si="48"/>
        <v>0</v>
      </c>
      <c r="BS40" s="417">
        <f t="shared" si="49"/>
        <v>28735</v>
      </c>
      <c r="BT40" s="417">
        <f t="shared" si="49"/>
        <v>850</v>
      </c>
      <c r="BU40" s="417">
        <f>R40+AX40</f>
        <v>0</v>
      </c>
      <c r="BV40" s="418">
        <f>S40+BK40</f>
        <v>0.17849999999999999</v>
      </c>
      <c r="BW40" s="418">
        <f t="shared" si="50"/>
        <v>0.17849999999999999</v>
      </c>
      <c r="BX40" s="420">
        <f t="shared" si="50"/>
        <v>0</v>
      </c>
      <c r="BY40" s="596"/>
      <c r="BZ40" s="595"/>
      <c r="CA40" s="595"/>
      <c r="CB40" s="595"/>
      <c r="CC40" s="595"/>
      <c r="CD40" s="981"/>
      <c r="CE40" s="596"/>
      <c r="CF40" s="595"/>
      <c r="CG40" s="595"/>
      <c r="CH40" s="595"/>
      <c r="CI40" s="595"/>
      <c r="CJ40" s="981"/>
    </row>
    <row r="41" spans="1:88" ht="12.95" customHeight="1">
      <c r="A41" s="280">
        <v>6</v>
      </c>
      <c r="B41" s="281">
        <v>4478</v>
      </c>
      <c r="C41" s="281">
        <v>600075141</v>
      </c>
      <c r="D41" s="281">
        <v>70975191</v>
      </c>
      <c r="E41" s="283" t="s">
        <v>315</v>
      </c>
      <c r="F41" s="281">
        <v>3143</v>
      </c>
      <c r="G41" s="284" t="s">
        <v>596</v>
      </c>
      <c r="H41" s="284" t="s">
        <v>272</v>
      </c>
      <c r="I41" s="563">
        <v>8452</v>
      </c>
      <c r="J41" s="414">
        <v>6050</v>
      </c>
      <c r="K41" s="414">
        <v>0</v>
      </c>
      <c r="L41" s="414">
        <v>6050</v>
      </c>
      <c r="M41" s="414">
        <v>0</v>
      </c>
      <c r="N41" s="414">
        <v>0</v>
      </c>
      <c r="O41" s="414">
        <v>0</v>
      </c>
      <c r="P41" s="68">
        <v>2045</v>
      </c>
      <c r="Q41" s="68">
        <v>60</v>
      </c>
      <c r="R41" s="414">
        <v>297</v>
      </c>
      <c r="S41" s="415">
        <v>2.53E-2</v>
      </c>
      <c r="T41" s="416">
        <v>0</v>
      </c>
      <c r="U41" s="762">
        <v>2.53E-2</v>
      </c>
      <c r="V41" s="423">
        <f t="shared" si="3"/>
        <v>0</v>
      </c>
      <c r="W41" s="417">
        <f t="shared" si="3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4"/>
        <v>0</v>
      </c>
      <c r="AF41" s="417">
        <f t="shared" si="5"/>
        <v>0</v>
      </c>
      <c r="AG41" s="417">
        <f t="shared" si="6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7"/>
        <v>0</v>
      </c>
      <c r="AN41" s="417">
        <f t="shared" si="8"/>
        <v>0</v>
      </c>
      <c r="AO41" s="417">
        <f t="shared" si="9"/>
        <v>0</v>
      </c>
      <c r="AP41" s="417">
        <f t="shared" si="10"/>
        <v>0</v>
      </c>
      <c r="AQ41" s="417">
        <f t="shared" si="10"/>
        <v>0</v>
      </c>
      <c r="AR41" s="417">
        <f t="shared" si="11"/>
        <v>0</v>
      </c>
      <c r="AS41" s="68">
        <f t="shared" si="12"/>
        <v>0</v>
      </c>
      <c r="AT41" s="68">
        <f t="shared" si="13"/>
        <v>0</v>
      </c>
      <c r="AU41" s="417">
        <v>0</v>
      </c>
      <c r="AV41" s="417">
        <v>0</v>
      </c>
      <c r="AW41" s="417">
        <v>0</v>
      </c>
      <c r="AX41" s="417">
        <f t="shared" si="14"/>
        <v>0</v>
      </c>
      <c r="AY41" s="417">
        <f t="shared" si="15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6"/>
        <v>0</v>
      </c>
      <c r="BJ41" s="418">
        <f t="shared" si="17"/>
        <v>0</v>
      </c>
      <c r="BK41" s="420">
        <f t="shared" si="18"/>
        <v>0</v>
      </c>
      <c r="BL41" s="772">
        <f>I41+AY41</f>
        <v>8452</v>
      </c>
      <c r="BM41" s="417">
        <f>J41+AG41</f>
        <v>6050</v>
      </c>
      <c r="BN41" s="417">
        <f t="shared" si="47"/>
        <v>0</v>
      </c>
      <c r="BO41" s="417">
        <f t="shared" si="47"/>
        <v>6050</v>
      </c>
      <c r="BP41" s="417">
        <f>M41+AO41</f>
        <v>0</v>
      </c>
      <c r="BQ41" s="417">
        <f t="shared" si="48"/>
        <v>0</v>
      </c>
      <c r="BR41" s="417">
        <f t="shared" si="48"/>
        <v>0</v>
      </c>
      <c r="BS41" s="417">
        <f t="shared" si="49"/>
        <v>2045</v>
      </c>
      <c r="BT41" s="417">
        <f t="shared" si="49"/>
        <v>60</v>
      </c>
      <c r="BU41" s="417">
        <f>R41+AX41</f>
        <v>297</v>
      </c>
      <c r="BV41" s="418">
        <f>S41+BK41</f>
        <v>2.53E-2</v>
      </c>
      <c r="BW41" s="418">
        <f t="shared" si="50"/>
        <v>0</v>
      </c>
      <c r="BX41" s="420">
        <f t="shared" si="50"/>
        <v>2.53E-2</v>
      </c>
      <c r="BY41" s="596"/>
      <c r="BZ41" s="595"/>
      <c r="CA41" s="595"/>
      <c r="CB41" s="595"/>
      <c r="CC41" s="595"/>
      <c r="CD41" s="981"/>
      <c r="CE41" s="596"/>
      <c r="CF41" s="595"/>
      <c r="CG41" s="595"/>
      <c r="CH41" s="595"/>
      <c r="CI41" s="595"/>
      <c r="CJ41" s="981"/>
    </row>
    <row r="42" spans="1:88" ht="12.95" customHeight="1">
      <c r="A42" s="273">
        <v>6</v>
      </c>
      <c r="B42" s="275">
        <v>4478</v>
      </c>
      <c r="C42" s="275">
        <v>600075141</v>
      </c>
      <c r="D42" s="275">
        <v>70975191</v>
      </c>
      <c r="E42" s="288" t="s">
        <v>316</v>
      </c>
      <c r="F42" s="291"/>
      <c r="G42" s="292"/>
      <c r="H42" s="292"/>
      <c r="I42" s="465">
        <v>9446173</v>
      </c>
      <c r="J42" s="462">
        <v>6852238</v>
      </c>
      <c r="K42" s="462">
        <v>6129740</v>
      </c>
      <c r="L42" s="462">
        <v>722498</v>
      </c>
      <c r="M42" s="462">
        <v>90000</v>
      </c>
      <c r="N42" s="462">
        <v>70000</v>
      </c>
      <c r="O42" s="462">
        <v>20000</v>
      </c>
      <c r="P42" s="462">
        <v>2346476</v>
      </c>
      <c r="Q42" s="462">
        <v>68522</v>
      </c>
      <c r="R42" s="462">
        <v>88937</v>
      </c>
      <c r="S42" s="463">
        <v>10.7982</v>
      </c>
      <c r="T42" s="463">
        <v>8.7223000000000006</v>
      </c>
      <c r="U42" s="533">
        <v>2.0759000000000003</v>
      </c>
      <c r="V42" s="465">
        <f t="shared" ref="V42:BK42" si="51">SUM(V37:V41)</f>
        <v>2660</v>
      </c>
      <c r="W42" s="462">
        <f t="shared" si="51"/>
        <v>-40000</v>
      </c>
      <c r="X42" s="462">
        <f t="shared" si="51"/>
        <v>0</v>
      </c>
      <c r="Y42" s="462">
        <f t="shared" si="51"/>
        <v>0</v>
      </c>
      <c r="Z42" s="462">
        <f t="shared" si="51"/>
        <v>0</v>
      </c>
      <c r="AA42" s="462">
        <f t="shared" si="51"/>
        <v>0</v>
      </c>
      <c r="AB42" s="462">
        <f t="shared" si="51"/>
        <v>0</v>
      </c>
      <c r="AC42" s="462">
        <f t="shared" si="51"/>
        <v>0</v>
      </c>
      <c r="AD42" s="462">
        <f t="shared" si="51"/>
        <v>0</v>
      </c>
      <c r="AE42" s="462">
        <f t="shared" si="51"/>
        <v>2660</v>
      </c>
      <c r="AF42" s="462">
        <f t="shared" si="51"/>
        <v>-40000</v>
      </c>
      <c r="AG42" s="462">
        <f t="shared" si="51"/>
        <v>-37340</v>
      </c>
      <c r="AH42" s="462">
        <f t="shared" si="51"/>
        <v>-2660</v>
      </c>
      <c r="AI42" s="462">
        <f t="shared" si="51"/>
        <v>40000</v>
      </c>
      <c r="AJ42" s="462">
        <f t="shared" si="51"/>
        <v>0</v>
      </c>
      <c r="AK42" s="462">
        <f t="shared" si="51"/>
        <v>0</v>
      </c>
      <c r="AL42" s="462">
        <f t="shared" si="51"/>
        <v>0</v>
      </c>
      <c r="AM42" s="462">
        <f t="shared" si="51"/>
        <v>-2660</v>
      </c>
      <c r="AN42" s="462">
        <f t="shared" si="51"/>
        <v>40000</v>
      </c>
      <c r="AO42" s="462">
        <f t="shared" si="51"/>
        <v>37340</v>
      </c>
      <c r="AP42" s="462">
        <f t="shared" si="51"/>
        <v>0</v>
      </c>
      <c r="AQ42" s="462">
        <f t="shared" si="51"/>
        <v>0</v>
      </c>
      <c r="AR42" s="462">
        <f t="shared" si="51"/>
        <v>0</v>
      </c>
      <c r="AS42" s="462">
        <f t="shared" si="51"/>
        <v>0</v>
      </c>
      <c r="AT42" s="462">
        <f t="shared" si="51"/>
        <v>-373</v>
      </c>
      <c r="AU42" s="462">
        <f t="shared" si="51"/>
        <v>0</v>
      </c>
      <c r="AV42" s="462">
        <f t="shared" si="51"/>
        <v>0</v>
      </c>
      <c r="AW42" s="462">
        <f t="shared" si="51"/>
        <v>0</v>
      </c>
      <c r="AX42" s="462">
        <f t="shared" si="51"/>
        <v>0</v>
      </c>
      <c r="AY42" s="462">
        <f t="shared" si="51"/>
        <v>-373</v>
      </c>
      <c r="AZ42" s="463">
        <f t="shared" si="51"/>
        <v>0</v>
      </c>
      <c r="BA42" s="463">
        <f t="shared" si="51"/>
        <v>-0.12</v>
      </c>
      <c r="BB42" s="463">
        <f t="shared" si="51"/>
        <v>0</v>
      </c>
      <c r="BC42" s="463">
        <f t="shared" si="51"/>
        <v>0</v>
      </c>
      <c r="BD42" s="463">
        <f t="shared" si="51"/>
        <v>0</v>
      </c>
      <c r="BE42" s="463">
        <f t="shared" si="51"/>
        <v>0</v>
      </c>
      <c r="BF42" s="463">
        <f t="shared" si="51"/>
        <v>0</v>
      </c>
      <c r="BG42" s="463">
        <f t="shared" si="51"/>
        <v>0</v>
      </c>
      <c r="BH42" s="463">
        <f t="shared" si="51"/>
        <v>0</v>
      </c>
      <c r="BI42" s="463">
        <f t="shared" si="51"/>
        <v>0</v>
      </c>
      <c r="BJ42" s="463">
        <f t="shared" si="51"/>
        <v>-0.12</v>
      </c>
      <c r="BK42" s="290">
        <f t="shared" si="51"/>
        <v>-0.12</v>
      </c>
      <c r="BL42" s="776">
        <f t="shared" ref="BL42:CG42" si="52">SUM(BL37:BL41)</f>
        <v>9445800</v>
      </c>
      <c r="BM42" s="462">
        <f t="shared" si="52"/>
        <v>6814898</v>
      </c>
      <c r="BN42" s="462">
        <f t="shared" si="52"/>
        <v>6132400</v>
      </c>
      <c r="BO42" s="462">
        <f t="shared" si="52"/>
        <v>682498</v>
      </c>
      <c r="BP42" s="462">
        <f t="shared" si="52"/>
        <v>127340</v>
      </c>
      <c r="BQ42" s="462">
        <f t="shared" si="52"/>
        <v>67340</v>
      </c>
      <c r="BR42" s="462">
        <f t="shared" si="52"/>
        <v>60000</v>
      </c>
      <c r="BS42" s="462">
        <f t="shared" si="52"/>
        <v>2346476</v>
      </c>
      <c r="BT42" s="462">
        <f t="shared" si="52"/>
        <v>68149</v>
      </c>
      <c r="BU42" s="462">
        <f t="shared" si="52"/>
        <v>88937</v>
      </c>
      <c r="BV42" s="463">
        <f t="shared" si="52"/>
        <v>10.6782</v>
      </c>
      <c r="BW42" s="463">
        <f t="shared" si="52"/>
        <v>8.7223000000000006</v>
      </c>
      <c r="BX42" s="290">
        <f t="shared" si="52"/>
        <v>1.9559000000000002</v>
      </c>
      <c r="BY42" s="820">
        <f t="shared" si="52"/>
        <v>0</v>
      </c>
      <c r="BZ42" s="716">
        <f t="shared" si="52"/>
        <v>0</v>
      </c>
      <c r="CA42" s="716">
        <f t="shared" si="52"/>
        <v>0</v>
      </c>
      <c r="CB42" s="716">
        <f t="shared" si="52"/>
        <v>0</v>
      </c>
      <c r="CC42" s="716">
        <f t="shared" si="52"/>
        <v>0</v>
      </c>
      <c r="CD42" s="821">
        <f t="shared" si="52"/>
        <v>0</v>
      </c>
      <c r="CE42" s="982">
        <f t="shared" si="52"/>
        <v>343108</v>
      </c>
      <c r="CF42" s="982">
        <f t="shared" si="52"/>
        <v>236332</v>
      </c>
      <c r="CG42" s="982">
        <f t="shared" si="52"/>
        <v>79880</v>
      </c>
      <c r="CH42" s="982">
        <f t="shared" ref="CH42:CJ42" si="53">SUM(CH37:CH41)</f>
        <v>2363</v>
      </c>
      <c r="CI42" s="982">
        <f t="shared" si="53"/>
        <v>24533</v>
      </c>
      <c r="CJ42" s="935">
        <f t="shared" si="53"/>
        <v>0.67730000000000001</v>
      </c>
    </row>
    <row r="43" spans="1:88" ht="12.95" customHeight="1">
      <c r="A43" s="280">
        <v>7</v>
      </c>
      <c r="B43" s="281">
        <v>4471</v>
      </c>
      <c r="C43" s="281">
        <v>600075061</v>
      </c>
      <c r="D43" s="281">
        <v>70975205</v>
      </c>
      <c r="E43" s="283" t="s">
        <v>317</v>
      </c>
      <c r="F43" s="281">
        <v>3231</v>
      </c>
      <c r="G43" s="284" t="s">
        <v>295</v>
      </c>
      <c r="H43" s="284" t="s">
        <v>271</v>
      </c>
      <c r="I43" s="563">
        <v>13402153</v>
      </c>
      <c r="J43" s="414">
        <v>9895950</v>
      </c>
      <c r="K43" s="414">
        <v>9395810</v>
      </c>
      <c r="L43" s="414">
        <v>500140</v>
      </c>
      <c r="M43" s="414">
        <v>30000</v>
      </c>
      <c r="N43" s="414">
        <v>0</v>
      </c>
      <c r="O43" s="414">
        <v>30000</v>
      </c>
      <c r="P43" s="68">
        <v>3354971</v>
      </c>
      <c r="Q43" s="68">
        <v>98960</v>
      </c>
      <c r="R43" s="414">
        <v>22272</v>
      </c>
      <c r="S43" s="415">
        <v>16.3796</v>
      </c>
      <c r="T43" s="416">
        <v>14.892099999999999</v>
      </c>
      <c r="U43" s="762">
        <v>1.4875</v>
      </c>
      <c r="V43" s="423">
        <f t="shared" si="3"/>
        <v>0</v>
      </c>
      <c r="W43" s="417">
        <f t="shared" si="3"/>
        <v>30000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4"/>
        <v>0</v>
      </c>
      <c r="AF43" s="417">
        <f t="shared" si="5"/>
        <v>30000</v>
      </c>
      <c r="AG43" s="417">
        <f t="shared" si="6"/>
        <v>30000</v>
      </c>
      <c r="AH43" s="417">
        <v>0</v>
      </c>
      <c r="AI43" s="417">
        <v>-30000</v>
      </c>
      <c r="AJ43" s="417">
        <v>0</v>
      </c>
      <c r="AK43" s="417">
        <v>0</v>
      </c>
      <c r="AL43" s="417">
        <v>0</v>
      </c>
      <c r="AM43" s="417">
        <f t="shared" si="7"/>
        <v>0</v>
      </c>
      <c r="AN43" s="417">
        <f t="shared" si="8"/>
        <v>-30000</v>
      </c>
      <c r="AO43" s="417">
        <f t="shared" si="9"/>
        <v>-30000</v>
      </c>
      <c r="AP43" s="417">
        <f t="shared" si="10"/>
        <v>0</v>
      </c>
      <c r="AQ43" s="417">
        <f t="shared" si="10"/>
        <v>0</v>
      </c>
      <c r="AR43" s="417">
        <f t="shared" si="11"/>
        <v>0</v>
      </c>
      <c r="AS43" s="68">
        <f t="shared" si="12"/>
        <v>0</v>
      </c>
      <c r="AT43" s="68">
        <f t="shared" si="13"/>
        <v>300</v>
      </c>
      <c r="AU43" s="417">
        <v>0</v>
      </c>
      <c r="AV43" s="417">
        <v>0</v>
      </c>
      <c r="AW43" s="417">
        <v>0</v>
      </c>
      <c r="AX43" s="417">
        <f t="shared" si="14"/>
        <v>0</v>
      </c>
      <c r="AY43" s="417">
        <f t="shared" si="15"/>
        <v>300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6"/>
        <v>0</v>
      </c>
      <c r="BJ43" s="418">
        <f t="shared" si="17"/>
        <v>0</v>
      </c>
      <c r="BK43" s="420">
        <f t="shared" si="18"/>
        <v>0</v>
      </c>
      <c r="BL43" s="772">
        <f>I43+AY43</f>
        <v>13402453</v>
      </c>
      <c r="BM43" s="417">
        <f>J43+AG43</f>
        <v>9925950</v>
      </c>
      <c r="BN43" s="417">
        <f>K43+AE43</f>
        <v>9395810</v>
      </c>
      <c r="BO43" s="417">
        <f>L43+AF43</f>
        <v>530140</v>
      </c>
      <c r="BP43" s="417">
        <f>M43+AO43</f>
        <v>0</v>
      </c>
      <c r="BQ43" s="417">
        <f>N43+AM43</f>
        <v>0</v>
      </c>
      <c r="BR43" s="417">
        <f>O43+AN43</f>
        <v>0</v>
      </c>
      <c r="BS43" s="417">
        <f>P43+AS43</f>
        <v>3354971</v>
      </c>
      <c r="BT43" s="417">
        <f>Q43+AT43</f>
        <v>99260</v>
      </c>
      <c r="BU43" s="417">
        <f>R43+AX43</f>
        <v>22272</v>
      </c>
      <c r="BV43" s="418">
        <f>S43+BK43</f>
        <v>16.3796</v>
      </c>
      <c r="BW43" s="418">
        <f>T43+BI43</f>
        <v>14.892099999999999</v>
      </c>
      <c r="BX43" s="420">
        <f>U43+BJ43</f>
        <v>1.4875</v>
      </c>
      <c r="BY43" s="596"/>
      <c r="BZ43" s="595"/>
      <c r="CA43" s="595"/>
      <c r="CB43" s="595"/>
      <c r="CC43" s="595"/>
      <c r="CD43" s="981"/>
      <c r="CE43" s="596">
        <v>241672</v>
      </c>
      <c r="CF43" s="595">
        <v>173870</v>
      </c>
      <c r="CG43" s="595">
        <v>58768</v>
      </c>
      <c r="CH43" s="595">
        <v>1739</v>
      </c>
      <c r="CI43" s="595">
        <v>7295</v>
      </c>
      <c r="CJ43" s="981">
        <v>0.48780000000000001</v>
      </c>
    </row>
    <row r="44" spans="1:88" ht="12.95" customHeight="1">
      <c r="A44" s="273">
        <v>7</v>
      </c>
      <c r="B44" s="275">
        <v>4471</v>
      </c>
      <c r="C44" s="275">
        <v>600075061</v>
      </c>
      <c r="D44" s="275">
        <v>70975205</v>
      </c>
      <c r="E44" s="288" t="s">
        <v>318</v>
      </c>
      <c r="F44" s="291"/>
      <c r="G44" s="292"/>
      <c r="H44" s="292"/>
      <c r="I44" s="465">
        <v>13402153</v>
      </c>
      <c r="J44" s="462">
        <v>9895950</v>
      </c>
      <c r="K44" s="462">
        <v>9395810</v>
      </c>
      <c r="L44" s="462">
        <v>500140</v>
      </c>
      <c r="M44" s="462">
        <v>30000</v>
      </c>
      <c r="N44" s="462">
        <v>0</v>
      </c>
      <c r="O44" s="462">
        <v>30000</v>
      </c>
      <c r="P44" s="462">
        <v>3354971</v>
      </c>
      <c r="Q44" s="462">
        <v>98960</v>
      </c>
      <c r="R44" s="462">
        <v>22272</v>
      </c>
      <c r="S44" s="463">
        <v>16.3796</v>
      </c>
      <c r="T44" s="463">
        <v>14.892099999999999</v>
      </c>
      <c r="U44" s="533">
        <v>1.4875</v>
      </c>
      <c r="V44" s="465">
        <f t="shared" ref="V44:BK44" si="54">SUM(V43)</f>
        <v>0</v>
      </c>
      <c r="W44" s="462">
        <f t="shared" si="54"/>
        <v>30000</v>
      </c>
      <c r="X44" s="462">
        <f t="shared" si="54"/>
        <v>0</v>
      </c>
      <c r="Y44" s="462">
        <f t="shared" si="54"/>
        <v>0</v>
      </c>
      <c r="Z44" s="462">
        <f t="shared" si="54"/>
        <v>0</v>
      </c>
      <c r="AA44" s="462">
        <f t="shared" si="54"/>
        <v>0</v>
      </c>
      <c r="AB44" s="462">
        <f t="shared" si="54"/>
        <v>0</v>
      </c>
      <c r="AC44" s="462">
        <f t="shared" si="54"/>
        <v>0</v>
      </c>
      <c r="AD44" s="462">
        <f t="shared" si="54"/>
        <v>0</v>
      </c>
      <c r="AE44" s="462">
        <f t="shared" si="54"/>
        <v>0</v>
      </c>
      <c r="AF44" s="462">
        <f t="shared" si="54"/>
        <v>30000</v>
      </c>
      <c r="AG44" s="462">
        <f t="shared" si="54"/>
        <v>30000</v>
      </c>
      <c r="AH44" s="462">
        <f t="shared" si="54"/>
        <v>0</v>
      </c>
      <c r="AI44" s="462">
        <f t="shared" si="54"/>
        <v>-30000</v>
      </c>
      <c r="AJ44" s="462">
        <f t="shared" si="54"/>
        <v>0</v>
      </c>
      <c r="AK44" s="462">
        <f t="shared" si="54"/>
        <v>0</v>
      </c>
      <c r="AL44" s="462">
        <f t="shared" si="54"/>
        <v>0</v>
      </c>
      <c r="AM44" s="462">
        <f t="shared" si="54"/>
        <v>0</v>
      </c>
      <c r="AN44" s="462">
        <f t="shared" si="54"/>
        <v>-30000</v>
      </c>
      <c r="AO44" s="462">
        <f t="shared" si="54"/>
        <v>-30000</v>
      </c>
      <c r="AP44" s="462">
        <f t="shared" si="54"/>
        <v>0</v>
      </c>
      <c r="AQ44" s="462">
        <f t="shared" si="54"/>
        <v>0</v>
      </c>
      <c r="AR44" s="462">
        <f t="shared" si="54"/>
        <v>0</v>
      </c>
      <c r="AS44" s="462">
        <f t="shared" si="54"/>
        <v>0</v>
      </c>
      <c r="AT44" s="462">
        <f t="shared" si="54"/>
        <v>300</v>
      </c>
      <c r="AU44" s="462">
        <f t="shared" si="54"/>
        <v>0</v>
      </c>
      <c r="AV44" s="462">
        <f t="shared" si="54"/>
        <v>0</v>
      </c>
      <c r="AW44" s="462">
        <f t="shared" si="54"/>
        <v>0</v>
      </c>
      <c r="AX44" s="462">
        <f t="shared" si="54"/>
        <v>0</v>
      </c>
      <c r="AY44" s="462">
        <f t="shared" si="54"/>
        <v>300</v>
      </c>
      <c r="AZ44" s="463">
        <f t="shared" si="54"/>
        <v>0</v>
      </c>
      <c r="BA44" s="463">
        <f t="shared" si="54"/>
        <v>0</v>
      </c>
      <c r="BB44" s="463">
        <f t="shared" si="54"/>
        <v>0</v>
      </c>
      <c r="BC44" s="463">
        <f t="shared" si="54"/>
        <v>0</v>
      </c>
      <c r="BD44" s="463">
        <f t="shared" si="54"/>
        <v>0</v>
      </c>
      <c r="BE44" s="463">
        <f t="shared" si="54"/>
        <v>0</v>
      </c>
      <c r="BF44" s="463">
        <f t="shared" si="54"/>
        <v>0</v>
      </c>
      <c r="BG44" s="463">
        <f t="shared" si="54"/>
        <v>0</v>
      </c>
      <c r="BH44" s="463">
        <f t="shared" si="54"/>
        <v>0</v>
      </c>
      <c r="BI44" s="463">
        <f t="shared" si="54"/>
        <v>0</v>
      </c>
      <c r="BJ44" s="463">
        <f t="shared" si="54"/>
        <v>0</v>
      </c>
      <c r="BK44" s="290">
        <f t="shared" si="54"/>
        <v>0</v>
      </c>
      <c r="BL44" s="776">
        <f t="shared" ref="BL44:CG44" si="55">SUM(BL43)</f>
        <v>13402453</v>
      </c>
      <c r="BM44" s="462">
        <f t="shared" si="55"/>
        <v>9925950</v>
      </c>
      <c r="BN44" s="462">
        <f t="shared" si="55"/>
        <v>9395810</v>
      </c>
      <c r="BO44" s="462">
        <f t="shared" si="55"/>
        <v>530140</v>
      </c>
      <c r="BP44" s="462">
        <f t="shared" si="55"/>
        <v>0</v>
      </c>
      <c r="BQ44" s="462">
        <f t="shared" si="55"/>
        <v>0</v>
      </c>
      <c r="BR44" s="462">
        <f t="shared" si="55"/>
        <v>0</v>
      </c>
      <c r="BS44" s="462">
        <f t="shared" si="55"/>
        <v>3354971</v>
      </c>
      <c r="BT44" s="462">
        <f t="shared" si="55"/>
        <v>99260</v>
      </c>
      <c r="BU44" s="462">
        <f t="shared" si="55"/>
        <v>22272</v>
      </c>
      <c r="BV44" s="463">
        <f t="shared" si="55"/>
        <v>16.3796</v>
      </c>
      <c r="BW44" s="463">
        <f t="shared" si="55"/>
        <v>14.892099999999999</v>
      </c>
      <c r="BX44" s="290">
        <f t="shared" si="55"/>
        <v>1.4875</v>
      </c>
      <c r="BY44" s="820">
        <f t="shared" si="55"/>
        <v>0</v>
      </c>
      <c r="BZ44" s="716">
        <f t="shared" si="55"/>
        <v>0</v>
      </c>
      <c r="CA44" s="716">
        <f t="shared" si="55"/>
        <v>0</v>
      </c>
      <c r="CB44" s="716">
        <f t="shared" si="55"/>
        <v>0</v>
      </c>
      <c r="CC44" s="716">
        <f t="shared" si="55"/>
        <v>0</v>
      </c>
      <c r="CD44" s="821">
        <f t="shared" si="55"/>
        <v>0</v>
      </c>
      <c r="CE44" s="982">
        <f t="shared" si="55"/>
        <v>241672</v>
      </c>
      <c r="CF44" s="982">
        <f t="shared" si="55"/>
        <v>173870</v>
      </c>
      <c r="CG44" s="982">
        <f t="shared" si="55"/>
        <v>58768</v>
      </c>
      <c r="CH44" s="982">
        <f t="shared" ref="CH44:CJ44" si="56">SUM(CH43)</f>
        <v>1739</v>
      </c>
      <c r="CI44" s="982">
        <f t="shared" si="56"/>
        <v>7295</v>
      </c>
      <c r="CJ44" s="935">
        <f t="shared" si="56"/>
        <v>0.48780000000000001</v>
      </c>
    </row>
    <row r="45" spans="1:88" ht="12.95" customHeight="1">
      <c r="A45" s="280">
        <v>8</v>
      </c>
      <c r="B45" s="281">
        <v>4474</v>
      </c>
      <c r="C45" s="281">
        <v>600075192</v>
      </c>
      <c r="D45" s="281">
        <v>49864661</v>
      </c>
      <c r="E45" s="283" t="s">
        <v>319</v>
      </c>
      <c r="F45" s="281">
        <v>3233</v>
      </c>
      <c r="G45" s="293" t="s">
        <v>297</v>
      </c>
      <c r="H45" s="284" t="s">
        <v>272</v>
      </c>
      <c r="I45" s="563">
        <v>1903659</v>
      </c>
      <c r="J45" s="414">
        <v>1410979</v>
      </c>
      <c r="K45" s="414">
        <v>1149932</v>
      </c>
      <c r="L45" s="414">
        <v>261047</v>
      </c>
      <c r="M45" s="414">
        <v>0</v>
      </c>
      <c r="N45" s="414">
        <v>0</v>
      </c>
      <c r="O45" s="414">
        <v>0</v>
      </c>
      <c r="P45" s="68">
        <v>476911</v>
      </c>
      <c r="Q45" s="68">
        <v>14110</v>
      </c>
      <c r="R45" s="414">
        <v>1659</v>
      </c>
      <c r="S45" s="415">
        <v>2.92</v>
      </c>
      <c r="T45" s="416">
        <v>2.08</v>
      </c>
      <c r="U45" s="762">
        <v>0.84000000000000008</v>
      </c>
      <c r="V45" s="423">
        <f t="shared" si="3"/>
        <v>0</v>
      </c>
      <c r="W45" s="417">
        <f t="shared" si="3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4"/>
        <v>0</v>
      </c>
      <c r="AF45" s="417">
        <f t="shared" si="5"/>
        <v>0</v>
      </c>
      <c r="AG45" s="417">
        <f t="shared" si="6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7"/>
        <v>0</v>
      </c>
      <c r="AN45" s="417">
        <f t="shared" si="8"/>
        <v>0</v>
      </c>
      <c r="AO45" s="417">
        <f t="shared" si="9"/>
        <v>0</v>
      </c>
      <c r="AP45" s="417">
        <f t="shared" si="10"/>
        <v>0</v>
      </c>
      <c r="AQ45" s="417">
        <f t="shared" si="10"/>
        <v>0</v>
      </c>
      <c r="AR45" s="417">
        <f t="shared" si="11"/>
        <v>0</v>
      </c>
      <c r="AS45" s="68">
        <f t="shared" si="12"/>
        <v>0</v>
      </c>
      <c r="AT45" s="68">
        <f t="shared" si="13"/>
        <v>0</v>
      </c>
      <c r="AU45" s="417">
        <v>0</v>
      </c>
      <c r="AV45" s="417">
        <v>0</v>
      </c>
      <c r="AW45" s="417">
        <v>0</v>
      </c>
      <c r="AX45" s="417">
        <f t="shared" si="14"/>
        <v>0</v>
      </c>
      <c r="AY45" s="417">
        <f t="shared" si="15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6"/>
        <v>0</v>
      </c>
      <c r="BJ45" s="418">
        <f t="shared" si="17"/>
        <v>0</v>
      </c>
      <c r="BK45" s="420">
        <f t="shared" si="18"/>
        <v>0</v>
      </c>
      <c r="BL45" s="772">
        <f>I45+AY45</f>
        <v>1903659</v>
      </c>
      <c r="BM45" s="417">
        <f>J45+AG45</f>
        <v>1410979</v>
      </c>
      <c r="BN45" s="417">
        <f>K45+AE45</f>
        <v>1149932</v>
      </c>
      <c r="BO45" s="417">
        <f>L45+AF45</f>
        <v>261047</v>
      </c>
      <c r="BP45" s="417">
        <f>M45+AO45</f>
        <v>0</v>
      </c>
      <c r="BQ45" s="417">
        <f>N45+AM45</f>
        <v>0</v>
      </c>
      <c r="BR45" s="417">
        <f>O45+AN45</f>
        <v>0</v>
      </c>
      <c r="BS45" s="417">
        <f>P45+AS45</f>
        <v>476911</v>
      </c>
      <c r="BT45" s="417">
        <f>Q45+AT45</f>
        <v>14110</v>
      </c>
      <c r="BU45" s="417">
        <f>R45+AX45</f>
        <v>1659</v>
      </c>
      <c r="BV45" s="418">
        <f>S45+BK45</f>
        <v>2.92</v>
      </c>
      <c r="BW45" s="418">
        <f>T45+BI45</f>
        <v>2.08</v>
      </c>
      <c r="BX45" s="420">
        <f>U45+BJ45</f>
        <v>0.84000000000000008</v>
      </c>
      <c r="BY45" s="596"/>
      <c r="BZ45" s="595"/>
      <c r="CA45" s="595"/>
      <c r="CB45" s="595"/>
      <c r="CC45" s="595"/>
      <c r="CD45" s="981"/>
      <c r="CE45" s="596"/>
      <c r="CF45" s="595"/>
      <c r="CG45" s="595"/>
      <c r="CH45" s="595"/>
      <c r="CI45" s="595"/>
      <c r="CJ45" s="981"/>
    </row>
    <row r="46" spans="1:88" ht="12.95" customHeight="1">
      <c r="A46" s="273">
        <v>8</v>
      </c>
      <c r="B46" s="275">
        <v>4474</v>
      </c>
      <c r="C46" s="275">
        <v>600075192</v>
      </c>
      <c r="D46" s="275">
        <v>49864661</v>
      </c>
      <c r="E46" s="288" t="s">
        <v>320</v>
      </c>
      <c r="F46" s="291"/>
      <c r="G46" s="292"/>
      <c r="H46" s="292"/>
      <c r="I46" s="465">
        <v>1903659</v>
      </c>
      <c r="J46" s="462">
        <v>1410979</v>
      </c>
      <c r="K46" s="462">
        <v>1149932</v>
      </c>
      <c r="L46" s="462">
        <v>261047</v>
      </c>
      <c r="M46" s="462">
        <v>0</v>
      </c>
      <c r="N46" s="462">
        <v>0</v>
      </c>
      <c r="O46" s="462">
        <v>0</v>
      </c>
      <c r="P46" s="462">
        <v>476911</v>
      </c>
      <c r="Q46" s="462">
        <v>14110</v>
      </c>
      <c r="R46" s="462">
        <v>1659</v>
      </c>
      <c r="S46" s="463">
        <v>2.92</v>
      </c>
      <c r="T46" s="463">
        <v>2.08</v>
      </c>
      <c r="U46" s="533">
        <v>0.84000000000000008</v>
      </c>
      <c r="V46" s="465">
        <f t="shared" ref="V46:BK46" si="57">SUM(V45)</f>
        <v>0</v>
      </c>
      <c r="W46" s="462">
        <f t="shared" si="57"/>
        <v>0</v>
      </c>
      <c r="X46" s="462">
        <f t="shared" si="57"/>
        <v>0</v>
      </c>
      <c r="Y46" s="462">
        <f t="shared" si="57"/>
        <v>0</v>
      </c>
      <c r="Z46" s="462">
        <f t="shared" si="57"/>
        <v>0</v>
      </c>
      <c r="AA46" s="462">
        <f t="shared" si="57"/>
        <v>0</v>
      </c>
      <c r="AB46" s="462">
        <f t="shared" si="57"/>
        <v>0</v>
      </c>
      <c r="AC46" s="462">
        <f t="shared" si="57"/>
        <v>0</v>
      </c>
      <c r="AD46" s="462">
        <f t="shared" si="57"/>
        <v>0</v>
      </c>
      <c r="AE46" s="462">
        <f t="shared" si="57"/>
        <v>0</v>
      </c>
      <c r="AF46" s="462">
        <f t="shared" si="57"/>
        <v>0</v>
      </c>
      <c r="AG46" s="462">
        <f t="shared" si="57"/>
        <v>0</v>
      </c>
      <c r="AH46" s="462">
        <f t="shared" si="57"/>
        <v>0</v>
      </c>
      <c r="AI46" s="462">
        <f t="shared" si="57"/>
        <v>0</v>
      </c>
      <c r="AJ46" s="462">
        <f t="shared" si="57"/>
        <v>0</v>
      </c>
      <c r="AK46" s="462">
        <f t="shared" si="57"/>
        <v>0</v>
      </c>
      <c r="AL46" s="462">
        <f t="shared" si="57"/>
        <v>0</v>
      </c>
      <c r="AM46" s="462">
        <f t="shared" si="57"/>
        <v>0</v>
      </c>
      <c r="AN46" s="462">
        <f t="shared" si="57"/>
        <v>0</v>
      </c>
      <c r="AO46" s="462">
        <f t="shared" si="57"/>
        <v>0</v>
      </c>
      <c r="AP46" s="462">
        <f t="shared" si="57"/>
        <v>0</v>
      </c>
      <c r="AQ46" s="462">
        <f t="shared" si="57"/>
        <v>0</v>
      </c>
      <c r="AR46" s="462">
        <f t="shared" si="57"/>
        <v>0</v>
      </c>
      <c r="AS46" s="462">
        <f t="shared" si="57"/>
        <v>0</v>
      </c>
      <c r="AT46" s="462">
        <f t="shared" si="57"/>
        <v>0</v>
      </c>
      <c r="AU46" s="462">
        <f t="shared" si="57"/>
        <v>0</v>
      </c>
      <c r="AV46" s="462">
        <f t="shared" si="57"/>
        <v>0</v>
      </c>
      <c r="AW46" s="462">
        <f t="shared" si="57"/>
        <v>0</v>
      </c>
      <c r="AX46" s="462">
        <f t="shared" si="57"/>
        <v>0</v>
      </c>
      <c r="AY46" s="462">
        <f t="shared" si="57"/>
        <v>0</v>
      </c>
      <c r="AZ46" s="463">
        <f t="shared" si="57"/>
        <v>0</v>
      </c>
      <c r="BA46" s="463">
        <f t="shared" si="57"/>
        <v>0</v>
      </c>
      <c r="BB46" s="463">
        <f t="shared" si="57"/>
        <v>0</v>
      </c>
      <c r="BC46" s="463">
        <f t="shared" si="57"/>
        <v>0</v>
      </c>
      <c r="BD46" s="463">
        <f t="shared" si="57"/>
        <v>0</v>
      </c>
      <c r="BE46" s="463">
        <f t="shared" si="57"/>
        <v>0</v>
      </c>
      <c r="BF46" s="463">
        <f t="shared" si="57"/>
        <v>0</v>
      </c>
      <c r="BG46" s="463">
        <f t="shared" si="57"/>
        <v>0</v>
      </c>
      <c r="BH46" s="463">
        <f t="shared" si="57"/>
        <v>0</v>
      </c>
      <c r="BI46" s="463">
        <f t="shared" si="57"/>
        <v>0</v>
      </c>
      <c r="BJ46" s="463">
        <f t="shared" si="57"/>
        <v>0</v>
      </c>
      <c r="BK46" s="290">
        <f t="shared" si="57"/>
        <v>0</v>
      </c>
      <c r="BL46" s="776">
        <f t="shared" ref="BL46:CG46" si="58">SUM(BL45)</f>
        <v>1903659</v>
      </c>
      <c r="BM46" s="462">
        <f t="shared" si="58"/>
        <v>1410979</v>
      </c>
      <c r="BN46" s="462">
        <f t="shared" si="58"/>
        <v>1149932</v>
      </c>
      <c r="BO46" s="462">
        <f t="shared" si="58"/>
        <v>261047</v>
      </c>
      <c r="BP46" s="462">
        <f t="shared" si="58"/>
        <v>0</v>
      </c>
      <c r="BQ46" s="462">
        <f t="shared" si="58"/>
        <v>0</v>
      </c>
      <c r="BR46" s="462">
        <f t="shared" si="58"/>
        <v>0</v>
      </c>
      <c r="BS46" s="462">
        <f t="shared" si="58"/>
        <v>476911</v>
      </c>
      <c r="BT46" s="462">
        <f t="shared" si="58"/>
        <v>14110</v>
      </c>
      <c r="BU46" s="462">
        <f t="shared" si="58"/>
        <v>1659</v>
      </c>
      <c r="BV46" s="463">
        <f t="shared" si="58"/>
        <v>2.92</v>
      </c>
      <c r="BW46" s="463">
        <f t="shared" si="58"/>
        <v>2.08</v>
      </c>
      <c r="BX46" s="290">
        <f t="shared" si="58"/>
        <v>0.84000000000000008</v>
      </c>
      <c r="BY46" s="820">
        <f t="shared" si="58"/>
        <v>0</v>
      </c>
      <c r="BZ46" s="716">
        <f t="shared" si="58"/>
        <v>0</v>
      </c>
      <c r="CA46" s="716">
        <f t="shared" si="58"/>
        <v>0</v>
      </c>
      <c r="CB46" s="716">
        <f t="shared" si="58"/>
        <v>0</v>
      </c>
      <c r="CC46" s="716">
        <f t="shared" si="58"/>
        <v>0</v>
      </c>
      <c r="CD46" s="821">
        <f t="shared" si="58"/>
        <v>0</v>
      </c>
      <c r="CE46" s="982">
        <f t="shared" si="58"/>
        <v>0</v>
      </c>
      <c r="CF46" s="982">
        <f t="shared" si="58"/>
        <v>0</v>
      </c>
      <c r="CG46" s="982">
        <f t="shared" si="58"/>
        <v>0</v>
      </c>
      <c r="CH46" s="982">
        <f t="shared" ref="CH46:CJ46" si="59">SUM(CH45)</f>
        <v>0</v>
      </c>
      <c r="CI46" s="982">
        <f t="shared" si="59"/>
        <v>0</v>
      </c>
      <c r="CJ46" s="935">
        <f t="shared" si="59"/>
        <v>0</v>
      </c>
    </row>
    <row r="47" spans="1:88" ht="12.95" customHeight="1">
      <c r="A47" s="280">
        <v>9</v>
      </c>
      <c r="B47" s="281">
        <v>4402</v>
      </c>
      <c r="C47" s="282">
        <v>600074021</v>
      </c>
      <c r="D47" s="281">
        <v>70695342</v>
      </c>
      <c r="E47" s="283" t="s">
        <v>321</v>
      </c>
      <c r="F47" s="281">
        <v>3111</v>
      </c>
      <c r="G47" s="284" t="s">
        <v>304</v>
      </c>
      <c r="H47" s="284" t="s">
        <v>271</v>
      </c>
      <c r="I47" s="563">
        <v>12878176</v>
      </c>
      <c r="J47" s="414">
        <v>9506362</v>
      </c>
      <c r="K47" s="414">
        <v>8132705</v>
      </c>
      <c r="L47" s="414">
        <v>1373657</v>
      </c>
      <c r="M47" s="414">
        <v>0</v>
      </c>
      <c r="N47" s="414">
        <v>0</v>
      </c>
      <c r="O47" s="414">
        <v>0</v>
      </c>
      <c r="P47" s="68">
        <v>3213150</v>
      </c>
      <c r="Q47" s="68">
        <v>95064</v>
      </c>
      <c r="R47" s="414">
        <v>63600</v>
      </c>
      <c r="S47" s="415">
        <v>18.712999999999997</v>
      </c>
      <c r="T47" s="416">
        <v>13.951599999999999</v>
      </c>
      <c r="U47" s="762">
        <v>4.7614000000000001</v>
      </c>
      <c r="V47" s="423">
        <f t="shared" si="3"/>
        <v>0</v>
      </c>
      <c r="W47" s="417">
        <f t="shared" si="3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4"/>
        <v>0</v>
      </c>
      <c r="AF47" s="417">
        <f t="shared" si="5"/>
        <v>0</v>
      </c>
      <c r="AG47" s="417">
        <f t="shared" si="6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7"/>
        <v>0</v>
      </c>
      <c r="AN47" s="417">
        <f t="shared" si="8"/>
        <v>0</v>
      </c>
      <c r="AO47" s="417">
        <f t="shared" si="9"/>
        <v>0</v>
      </c>
      <c r="AP47" s="417">
        <f t="shared" si="10"/>
        <v>0</v>
      </c>
      <c r="AQ47" s="417">
        <f t="shared" si="10"/>
        <v>0</v>
      </c>
      <c r="AR47" s="417">
        <f t="shared" si="11"/>
        <v>0</v>
      </c>
      <c r="AS47" s="68">
        <f t="shared" si="12"/>
        <v>0</v>
      </c>
      <c r="AT47" s="68">
        <f t="shared" si="13"/>
        <v>0</v>
      </c>
      <c r="AU47" s="417">
        <v>0</v>
      </c>
      <c r="AV47" s="417">
        <v>0</v>
      </c>
      <c r="AW47" s="417">
        <v>0</v>
      </c>
      <c r="AX47" s="417">
        <f t="shared" si="14"/>
        <v>0</v>
      </c>
      <c r="AY47" s="417">
        <f t="shared" si="15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6"/>
        <v>0</v>
      </c>
      <c r="BJ47" s="418">
        <f t="shared" si="17"/>
        <v>0</v>
      </c>
      <c r="BK47" s="420">
        <f t="shared" si="18"/>
        <v>0</v>
      </c>
      <c r="BL47" s="772">
        <f>I47+AY47</f>
        <v>12878176</v>
      </c>
      <c r="BM47" s="417">
        <f>J47+AG47</f>
        <v>9506362</v>
      </c>
      <c r="BN47" s="417">
        <f t="shared" ref="BN47:BO49" si="60">K47+AE47</f>
        <v>8132705</v>
      </c>
      <c r="BO47" s="417">
        <f t="shared" si="60"/>
        <v>1373657</v>
      </c>
      <c r="BP47" s="417">
        <f>M47+AO47</f>
        <v>0</v>
      </c>
      <c r="BQ47" s="417">
        <f t="shared" ref="BQ47:BR49" si="61">N47+AM47</f>
        <v>0</v>
      </c>
      <c r="BR47" s="417">
        <f t="shared" si="61"/>
        <v>0</v>
      </c>
      <c r="BS47" s="417">
        <f t="shared" ref="BS47:BT49" si="62">P47+AS47</f>
        <v>3213150</v>
      </c>
      <c r="BT47" s="417">
        <f t="shared" si="62"/>
        <v>95064</v>
      </c>
      <c r="BU47" s="417">
        <f>R47+AX47</f>
        <v>63600</v>
      </c>
      <c r="BV47" s="418">
        <f>S47+BK47</f>
        <v>18.712999999999997</v>
      </c>
      <c r="BW47" s="418">
        <f t="shared" ref="BW47:BX49" si="63">T47+BI47</f>
        <v>13.951599999999999</v>
      </c>
      <c r="BX47" s="420">
        <f t="shared" si="63"/>
        <v>4.7614000000000001</v>
      </c>
      <c r="BY47" s="596"/>
      <c r="BZ47" s="595"/>
      <c r="CA47" s="595"/>
      <c r="CB47" s="595"/>
      <c r="CC47" s="595"/>
      <c r="CD47" s="981"/>
      <c r="CE47" s="596">
        <v>615316</v>
      </c>
      <c r="CF47" s="595">
        <v>440778</v>
      </c>
      <c r="CG47" s="595">
        <v>148983</v>
      </c>
      <c r="CH47" s="595">
        <v>4408</v>
      </c>
      <c r="CI47" s="595">
        <v>21147</v>
      </c>
      <c r="CJ47" s="981">
        <v>1.5278</v>
      </c>
    </row>
    <row r="48" spans="1:88" ht="12.95" customHeight="1">
      <c r="A48" s="280">
        <v>9</v>
      </c>
      <c r="B48" s="281">
        <v>4402</v>
      </c>
      <c r="C48" s="282">
        <v>600074021</v>
      </c>
      <c r="D48" s="281">
        <v>70695342</v>
      </c>
      <c r="E48" s="283" t="s">
        <v>321</v>
      </c>
      <c r="F48" s="281">
        <v>3111</v>
      </c>
      <c r="G48" s="284" t="s">
        <v>298</v>
      </c>
      <c r="H48" s="284" t="s">
        <v>272</v>
      </c>
      <c r="I48" s="563">
        <v>396636</v>
      </c>
      <c r="J48" s="414">
        <v>294241</v>
      </c>
      <c r="K48" s="414">
        <v>294241</v>
      </c>
      <c r="L48" s="414">
        <v>0</v>
      </c>
      <c r="M48" s="414">
        <v>0</v>
      </c>
      <c r="N48" s="414">
        <v>0</v>
      </c>
      <c r="O48" s="414">
        <v>0</v>
      </c>
      <c r="P48" s="68">
        <v>99453</v>
      </c>
      <c r="Q48" s="68">
        <v>2942</v>
      </c>
      <c r="R48" s="414">
        <v>0</v>
      </c>
      <c r="S48" s="415">
        <v>0.80999999999999994</v>
      </c>
      <c r="T48" s="416">
        <v>0.80999999999999994</v>
      </c>
      <c r="U48" s="762">
        <v>0</v>
      </c>
      <c r="V48" s="423">
        <f t="shared" si="3"/>
        <v>0</v>
      </c>
      <c r="W48" s="417">
        <f t="shared" si="3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4"/>
        <v>0</v>
      </c>
      <c r="AF48" s="417">
        <f t="shared" si="5"/>
        <v>0</v>
      </c>
      <c r="AG48" s="417">
        <f t="shared" si="6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7"/>
        <v>0</v>
      </c>
      <c r="AN48" s="417">
        <f t="shared" si="8"/>
        <v>0</v>
      </c>
      <c r="AO48" s="417">
        <f t="shared" si="9"/>
        <v>0</v>
      </c>
      <c r="AP48" s="417">
        <f t="shared" si="10"/>
        <v>0</v>
      </c>
      <c r="AQ48" s="417">
        <f t="shared" si="10"/>
        <v>0</v>
      </c>
      <c r="AR48" s="417">
        <f t="shared" si="11"/>
        <v>0</v>
      </c>
      <c r="AS48" s="68">
        <f t="shared" si="12"/>
        <v>0</v>
      </c>
      <c r="AT48" s="68">
        <f t="shared" si="13"/>
        <v>0</v>
      </c>
      <c r="AU48" s="417">
        <v>0</v>
      </c>
      <c r="AV48" s="417">
        <v>0</v>
      </c>
      <c r="AW48" s="417">
        <v>0</v>
      </c>
      <c r="AX48" s="417">
        <f t="shared" si="14"/>
        <v>0</v>
      </c>
      <c r="AY48" s="417">
        <f t="shared" si="15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6"/>
        <v>0</v>
      </c>
      <c r="BJ48" s="418">
        <f t="shared" si="17"/>
        <v>0</v>
      </c>
      <c r="BK48" s="420">
        <f t="shared" si="18"/>
        <v>0</v>
      </c>
      <c r="BL48" s="772">
        <f>I48+AY48</f>
        <v>396636</v>
      </c>
      <c r="BM48" s="417">
        <f>J48+AG48</f>
        <v>294241</v>
      </c>
      <c r="BN48" s="417">
        <f t="shared" si="60"/>
        <v>294241</v>
      </c>
      <c r="BO48" s="417">
        <f t="shared" si="60"/>
        <v>0</v>
      </c>
      <c r="BP48" s="417">
        <f>M48+AO48</f>
        <v>0</v>
      </c>
      <c r="BQ48" s="417">
        <f t="shared" si="61"/>
        <v>0</v>
      </c>
      <c r="BR48" s="417">
        <f t="shared" si="61"/>
        <v>0</v>
      </c>
      <c r="BS48" s="417">
        <f t="shared" si="62"/>
        <v>99453</v>
      </c>
      <c r="BT48" s="417">
        <f t="shared" si="62"/>
        <v>2942</v>
      </c>
      <c r="BU48" s="417">
        <f>R48+AX48</f>
        <v>0</v>
      </c>
      <c r="BV48" s="418">
        <f>S48+BK48</f>
        <v>0.80999999999999994</v>
      </c>
      <c r="BW48" s="418">
        <f t="shared" si="63"/>
        <v>0.80999999999999994</v>
      </c>
      <c r="BX48" s="420">
        <f t="shared" si="63"/>
        <v>0</v>
      </c>
      <c r="BY48" s="596"/>
      <c r="BZ48" s="595"/>
      <c r="CA48" s="595"/>
      <c r="CB48" s="595"/>
      <c r="CC48" s="595"/>
      <c r="CD48" s="981"/>
      <c r="CE48" s="596"/>
      <c r="CF48" s="595"/>
      <c r="CG48" s="595"/>
      <c r="CH48" s="595"/>
      <c r="CI48" s="595"/>
      <c r="CJ48" s="981"/>
    </row>
    <row r="49" spans="1:88" ht="12.95" customHeight="1">
      <c r="A49" s="280">
        <v>9</v>
      </c>
      <c r="B49" s="281">
        <v>4402</v>
      </c>
      <c r="C49" s="282">
        <v>600074021</v>
      </c>
      <c r="D49" s="281">
        <v>70695342</v>
      </c>
      <c r="E49" s="283" t="s">
        <v>321</v>
      </c>
      <c r="F49" s="281">
        <v>3141</v>
      </c>
      <c r="G49" s="284" t="s">
        <v>294</v>
      </c>
      <c r="H49" s="284" t="s">
        <v>272</v>
      </c>
      <c r="I49" s="563">
        <v>2022992</v>
      </c>
      <c r="J49" s="414">
        <v>1494448</v>
      </c>
      <c r="K49" s="414">
        <v>0</v>
      </c>
      <c r="L49" s="414">
        <v>1494448</v>
      </c>
      <c r="M49" s="414">
        <v>0</v>
      </c>
      <c r="N49" s="414">
        <v>0</v>
      </c>
      <c r="O49" s="414">
        <v>0</v>
      </c>
      <c r="P49" s="68">
        <v>505124</v>
      </c>
      <c r="Q49" s="68">
        <v>14944</v>
      </c>
      <c r="R49" s="414">
        <v>8476</v>
      </c>
      <c r="S49" s="415">
        <v>4.4932999999999996</v>
      </c>
      <c r="T49" s="416">
        <v>0</v>
      </c>
      <c r="U49" s="762">
        <v>4.4932999999999996</v>
      </c>
      <c r="V49" s="423">
        <f t="shared" si="3"/>
        <v>0</v>
      </c>
      <c r="W49" s="417">
        <f t="shared" si="3"/>
        <v>0</v>
      </c>
      <c r="X49" s="417">
        <v>0</v>
      </c>
      <c r="Y49" s="417">
        <v>0</v>
      </c>
      <c r="Z49" s="417">
        <v>0</v>
      </c>
      <c r="AA49" s="417">
        <v>-71358</v>
      </c>
      <c r="AB49" s="417">
        <v>0</v>
      </c>
      <c r="AC49" s="417">
        <v>0</v>
      </c>
      <c r="AD49" s="417">
        <v>0</v>
      </c>
      <c r="AE49" s="417">
        <f t="shared" si="4"/>
        <v>0</v>
      </c>
      <c r="AF49" s="417">
        <f t="shared" si="5"/>
        <v>-71358</v>
      </c>
      <c r="AG49" s="417">
        <f t="shared" si="6"/>
        <v>-71358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7"/>
        <v>0</v>
      </c>
      <c r="AN49" s="417">
        <f t="shared" si="8"/>
        <v>0</v>
      </c>
      <c r="AO49" s="417">
        <f t="shared" si="9"/>
        <v>0</v>
      </c>
      <c r="AP49" s="417">
        <f t="shared" si="10"/>
        <v>0</v>
      </c>
      <c r="AQ49" s="417">
        <f t="shared" si="10"/>
        <v>-71358</v>
      </c>
      <c r="AR49" s="417">
        <f t="shared" si="11"/>
        <v>-71358</v>
      </c>
      <c r="AS49" s="68">
        <f t="shared" si="12"/>
        <v>-24119</v>
      </c>
      <c r="AT49" s="68">
        <f t="shared" si="13"/>
        <v>-714</v>
      </c>
      <c r="AU49" s="417">
        <v>0</v>
      </c>
      <c r="AV49" s="417">
        <v>0</v>
      </c>
      <c r="AW49" s="417">
        <v>0</v>
      </c>
      <c r="AX49" s="417">
        <f t="shared" si="14"/>
        <v>0</v>
      </c>
      <c r="AY49" s="417">
        <f t="shared" si="15"/>
        <v>-96191</v>
      </c>
      <c r="AZ49" s="418">
        <v>0</v>
      </c>
      <c r="BA49" s="418">
        <v>0</v>
      </c>
      <c r="BB49" s="418">
        <v>0</v>
      </c>
      <c r="BC49" s="418">
        <v>0</v>
      </c>
      <c r="BD49" s="418">
        <v>-0.22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6"/>
        <v>0</v>
      </c>
      <c r="BJ49" s="418">
        <f t="shared" si="17"/>
        <v>-0.22</v>
      </c>
      <c r="BK49" s="420">
        <f t="shared" si="18"/>
        <v>-0.22</v>
      </c>
      <c r="BL49" s="772">
        <f>I49+AY49</f>
        <v>1926801</v>
      </c>
      <c r="BM49" s="417">
        <f>J49+AG49</f>
        <v>1423090</v>
      </c>
      <c r="BN49" s="417">
        <f t="shared" si="60"/>
        <v>0</v>
      </c>
      <c r="BO49" s="417">
        <f t="shared" si="60"/>
        <v>1423090</v>
      </c>
      <c r="BP49" s="417">
        <f>M49+AO49</f>
        <v>0</v>
      </c>
      <c r="BQ49" s="417">
        <f t="shared" si="61"/>
        <v>0</v>
      </c>
      <c r="BR49" s="417">
        <f t="shared" si="61"/>
        <v>0</v>
      </c>
      <c r="BS49" s="417">
        <f t="shared" si="62"/>
        <v>481005</v>
      </c>
      <c r="BT49" s="417">
        <f t="shared" si="62"/>
        <v>14230</v>
      </c>
      <c r="BU49" s="417">
        <f>R49+AX49</f>
        <v>8476</v>
      </c>
      <c r="BV49" s="418">
        <f>S49+BK49</f>
        <v>4.2732999999999999</v>
      </c>
      <c r="BW49" s="418">
        <f t="shared" si="63"/>
        <v>0</v>
      </c>
      <c r="BX49" s="420">
        <f t="shared" si="63"/>
        <v>4.2732999999999999</v>
      </c>
      <c r="BY49" s="596"/>
      <c r="BZ49" s="595"/>
      <c r="CA49" s="595"/>
      <c r="CB49" s="595"/>
      <c r="CC49" s="595"/>
      <c r="CD49" s="981"/>
      <c r="CE49" s="596"/>
      <c r="CF49" s="595"/>
      <c r="CG49" s="595"/>
      <c r="CH49" s="595"/>
      <c r="CI49" s="595"/>
      <c r="CJ49" s="981"/>
    </row>
    <row r="50" spans="1:88" ht="12.95" customHeight="1">
      <c r="A50" s="273">
        <v>9</v>
      </c>
      <c r="B50" s="275">
        <v>4402</v>
      </c>
      <c r="C50" s="287">
        <v>600074021</v>
      </c>
      <c r="D50" s="275">
        <v>70695342</v>
      </c>
      <c r="E50" s="288" t="s">
        <v>322</v>
      </c>
      <c r="F50" s="291"/>
      <c r="G50" s="292"/>
      <c r="H50" s="292"/>
      <c r="I50" s="465">
        <v>15297804</v>
      </c>
      <c r="J50" s="462">
        <v>11295051</v>
      </c>
      <c r="K50" s="462">
        <v>8426946</v>
      </c>
      <c r="L50" s="462">
        <v>2868105</v>
      </c>
      <c r="M50" s="462">
        <v>0</v>
      </c>
      <c r="N50" s="462">
        <v>0</v>
      </c>
      <c r="O50" s="462">
        <v>0</v>
      </c>
      <c r="P50" s="462">
        <v>3817727</v>
      </c>
      <c r="Q50" s="462">
        <v>112950</v>
      </c>
      <c r="R50" s="462">
        <v>72076</v>
      </c>
      <c r="S50" s="463">
        <v>24.016299999999994</v>
      </c>
      <c r="T50" s="463">
        <v>14.7616</v>
      </c>
      <c r="U50" s="533">
        <v>9.2546999999999997</v>
      </c>
      <c r="V50" s="465">
        <f t="shared" ref="V50:BK50" si="64">SUM(V47:V49)</f>
        <v>0</v>
      </c>
      <c r="W50" s="462">
        <f t="shared" si="64"/>
        <v>0</v>
      </c>
      <c r="X50" s="462">
        <f t="shared" si="64"/>
        <v>0</v>
      </c>
      <c r="Y50" s="462">
        <f t="shared" si="64"/>
        <v>0</v>
      </c>
      <c r="Z50" s="462">
        <f t="shared" si="64"/>
        <v>0</v>
      </c>
      <c r="AA50" s="462">
        <f t="shared" si="64"/>
        <v>-71358</v>
      </c>
      <c r="AB50" s="462">
        <f t="shared" si="64"/>
        <v>0</v>
      </c>
      <c r="AC50" s="462">
        <f t="shared" si="64"/>
        <v>0</v>
      </c>
      <c r="AD50" s="462">
        <f t="shared" si="64"/>
        <v>0</v>
      </c>
      <c r="AE50" s="462">
        <f t="shared" si="64"/>
        <v>0</v>
      </c>
      <c r="AF50" s="462">
        <f t="shared" si="64"/>
        <v>-71358</v>
      </c>
      <c r="AG50" s="462">
        <f t="shared" si="64"/>
        <v>-71358</v>
      </c>
      <c r="AH50" s="462">
        <f t="shared" si="64"/>
        <v>0</v>
      </c>
      <c r="AI50" s="462">
        <f t="shared" si="64"/>
        <v>0</v>
      </c>
      <c r="AJ50" s="462">
        <f t="shared" si="64"/>
        <v>0</v>
      </c>
      <c r="AK50" s="462">
        <f t="shared" si="64"/>
        <v>0</v>
      </c>
      <c r="AL50" s="462">
        <f t="shared" si="64"/>
        <v>0</v>
      </c>
      <c r="AM50" s="462">
        <f t="shared" si="64"/>
        <v>0</v>
      </c>
      <c r="AN50" s="462">
        <f t="shared" si="64"/>
        <v>0</v>
      </c>
      <c r="AO50" s="462">
        <f t="shared" si="64"/>
        <v>0</v>
      </c>
      <c r="AP50" s="462">
        <f t="shared" si="64"/>
        <v>0</v>
      </c>
      <c r="AQ50" s="462">
        <f t="shared" si="64"/>
        <v>-71358</v>
      </c>
      <c r="AR50" s="462">
        <f t="shared" si="64"/>
        <v>-71358</v>
      </c>
      <c r="AS50" s="462">
        <f t="shared" si="64"/>
        <v>-24119</v>
      </c>
      <c r="AT50" s="462">
        <f t="shared" si="64"/>
        <v>-714</v>
      </c>
      <c r="AU50" s="462">
        <f t="shared" si="64"/>
        <v>0</v>
      </c>
      <c r="AV50" s="462">
        <f t="shared" si="64"/>
        <v>0</v>
      </c>
      <c r="AW50" s="462">
        <f t="shared" si="64"/>
        <v>0</v>
      </c>
      <c r="AX50" s="462">
        <f t="shared" si="64"/>
        <v>0</v>
      </c>
      <c r="AY50" s="462">
        <f t="shared" si="64"/>
        <v>-96191</v>
      </c>
      <c r="AZ50" s="463">
        <f t="shared" si="64"/>
        <v>0</v>
      </c>
      <c r="BA50" s="463">
        <f t="shared" si="64"/>
        <v>0</v>
      </c>
      <c r="BB50" s="463">
        <f t="shared" si="64"/>
        <v>0</v>
      </c>
      <c r="BC50" s="463">
        <f t="shared" si="64"/>
        <v>0</v>
      </c>
      <c r="BD50" s="463">
        <f t="shared" si="64"/>
        <v>-0.22</v>
      </c>
      <c r="BE50" s="463">
        <f t="shared" si="64"/>
        <v>0</v>
      </c>
      <c r="BF50" s="463">
        <f t="shared" si="64"/>
        <v>0</v>
      </c>
      <c r="BG50" s="463">
        <f t="shared" si="64"/>
        <v>0</v>
      </c>
      <c r="BH50" s="463">
        <f t="shared" si="64"/>
        <v>0</v>
      </c>
      <c r="BI50" s="463">
        <f t="shared" si="64"/>
        <v>0</v>
      </c>
      <c r="BJ50" s="463">
        <f t="shared" si="64"/>
        <v>-0.22</v>
      </c>
      <c r="BK50" s="290">
        <f t="shared" si="64"/>
        <v>-0.22</v>
      </c>
      <c r="BL50" s="776">
        <f t="shared" ref="BL50:CG50" si="65">SUM(BL47:BL49)</f>
        <v>15201613</v>
      </c>
      <c r="BM50" s="462">
        <f t="shared" si="65"/>
        <v>11223693</v>
      </c>
      <c r="BN50" s="462">
        <f t="shared" si="65"/>
        <v>8426946</v>
      </c>
      <c r="BO50" s="462">
        <f t="shared" si="65"/>
        <v>2796747</v>
      </c>
      <c r="BP50" s="462">
        <f t="shared" si="65"/>
        <v>0</v>
      </c>
      <c r="BQ50" s="462">
        <f t="shared" si="65"/>
        <v>0</v>
      </c>
      <c r="BR50" s="462">
        <f t="shared" si="65"/>
        <v>0</v>
      </c>
      <c r="BS50" s="462">
        <f t="shared" si="65"/>
        <v>3793608</v>
      </c>
      <c r="BT50" s="462">
        <f t="shared" si="65"/>
        <v>112236</v>
      </c>
      <c r="BU50" s="462">
        <f t="shared" si="65"/>
        <v>72076</v>
      </c>
      <c r="BV50" s="463">
        <f t="shared" si="65"/>
        <v>23.796299999999995</v>
      </c>
      <c r="BW50" s="463">
        <f t="shared" si="65"/>
        <v>14.7616</v>
      </c>
      <c r="BX50" s="290">
        <f t="shared" si="65"/>
        <v>9.0347000000000008</v>
      </c>
      <c r="BY50" s="820">
        <f t="shared" si="65"/>
        <v>0</v>
      </c>
      <c r="BZ50" s="716">
        <f t="shared" si="65"/>
        <v>0</v>
      </c>
      <c r="CA50" s="716">
        <f t="shared" si="65"/>
        <v>0</v>
      </c>
      <c r="CB50" s="716">
        <f t="shared" si="65"/>
        <v>0</v>
      </c>
      <c r="CC50" s="716">
        <f t="shared" si="65"/>
        <v>0</v>
      </c>
      <c r="CD50" s="821">
        <f t="shared" si="65"/>
        <v>0</v>
      </c>
      <c r="CE50" s="982">
        <f t="shared" si="65"/>
        <v>615316</v>
      </c>
      <c r="CF50" s="982">
        <f t="shared" si="65"/>
        <v>440778</v>
      </c>
      <c r="CG50" s="982">
        <f t="shared" si="65"/>
        <v>148983</v>
      </c>
      <c r="CH50" s="982">
        <f t="shared" ref="CH50:CJ50" si="66">SUM(CH47:CH49)</f>
        <v>4408</v>
      </c>
      <c r="CI50" s="982">
        <f t="shared" si="66"/>
        <v>21147</v>
      </c>
      <c r="CJ50" s="935">
        <f t="shared" si="66"/>
        <v>1.5278</v>
      </c>
    </row>
    <row r="51" spans="1:88" ht="12.95" customHeight="1">
      <c r="A51" s="280">
        <v>10</v>
      </c>
      <c r="B51" s="281">
        <v>4481</v>
      </c>
      <c r="C51" s="281">
        <v>600074722</v>
      </c>
      <c r="D51" s="281">
        <v>70942692</v>
      </c>
      <c r="E51" s="283" t="s">
        <v>323</v>
      </c>
      <c r="F51" s="281">
        <v>3113</v>
      </c>
      <c r="G51" s="284" t="s">
        <v>324</v>
      </c>
      <c r="H51" s="284" t="s">
        <v>271</v>
      </c>
      <c r="I51" s="563">
        <v>27490105</v>
      </c>
      <c r="J51" s="414">
        <v>20062644</v>
      </c>
      <c r="K51" s="414">
        <v>17844229</v>
      </c>
      <c r="L51" s="414">
        <v>2218415</v>
      </c>
      <c r="M51" s="414">
        <v>0</v>
      </c>
      <c r="N51" s="414">
        <v>0</v>
      </c>
      <c r="O51" s="414">
        <v>0</v>
      </c>
      <c r="P51" s="68">
        <v>6781174</v>
      </c>
      <c r="Q51" s="68">
        <v>200627</v>
      </c>
      <c r="R51" s="414">
        <v>445660</v>
      </c>
      <c r="S51" s="415">
        <v>31.506699999999999</v>
      </c>
      <c r="T51" s="416">
        <v>24.899699999999999</v>
      </c>
      <c r="U51" s="762">
        <v>6.6070000000000002</v>
      </c>
      <c r="V51" s="423">
        <f t="shared" si="3"/>
        <v>0</v>
      </c>
      <c r="W51" s="417">
        <f t="shared" si="3"/>
        <v>0</v>
      </c>
      <c r="X51" s="417">
        <v>0</v>
      </c>
      <c r="Y51" s="417">
        <v>0</v>
      </c>
      <c r="Z51" s="417">
        <v>137700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4"/>
        <v>137700</v>
      </c>
      <c r="AF51" s="417">
        <f t="shared" si="5"/>
        <v>0</v>
      </c>
      <c r="AG51" s="417">
        <f t="shared" si="6"/>
        <v>137700</v>
      </c>
      <c r="AH51" s="417">
        <v>0</v>
      </c>
      <c r="AI51" s="417">
        <v>0</v>
      </c>
      <c r="AJ51" s="417">
        <v>0</v>
      </c>
      <c r="AK51" s="417">
        <v>113034</v>
      </c>
      <c r="AL51" s="417">
        <v>0</v>
      </c>
      <c r="AM51" s="417">
        <f t="shared" si="7"/>
        <v>113034</v>
      </c>
      <c r="AN51" s="417">
        <f t="shared" si="8"/>
        <v>0</v>
      </c>
      <c r="AO51" s="417">
        <f t="shared" si="9"/>
        <v>113034</v>
      </c>
      <c r="AP51" s="417">
        <f t="shared" si="10"/>
        <v>250734</v>
      </c>
      <c r="AQ51" s="417">
        <f t="shared" si="10"/>
        <v>0</v>
      </c>
      <c r="AR51" s="417">
        <f t="shared" si="11"/>
        <v>250734</v>
      </c>
      <c r="AS51" s="68">
        <f t="shared" si="12"/>
        <v>46543</v>
      </c>
      <c r="AT51" s="68">
        <f t="shared" si="13"/>
        <v>1377</v>
      </c>
      <c r="AU51" s="417">
        <v>0</v>
      </c>
      <c r="AV51" s="417">
        <v>0</v>
      </c>
      <c r="AW51" s="417">
        <v>0</v>
      </c>
      <c r="AX51" s="417">
        <f t="shared" si="14"/>
        <v>0</v>
      </c>
      <c r="AY51" s="417">
        <f t="shared" si="15"/>
        <v>298654</v>
      </c>
      <c r="AZ51" s="418">
        <v>0</v>
      </c>
      <c r="BA51" s="418">
        <v>0</v>
      </c>
      <c r="BB51" s="418">
        <v>0</v>
      </c>
      <c r="BC51" s="418">
        <v>0.26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6"/>
        <v>0.26</v>
      </c>
      <c r="BJ51" s="418">
        <f t="shared" si="17"/>
        <v>0</v>
      </c>
      <c r="BK51" s="420">
        <f t="shared" si="18"/>
        <v>0.26</v>
      </c>
      <c r="BL51" s="772">
        <f>I51+AY51</f>
        <v>27788759</v>
      </c>
      <c r="BM51" s="417">
        <f>J51+AG51</f>
        <v>20200344</v>
      </c>
      <c r="BN51" s="417">
        <f t="shared" ref="BN51:BO55" si="67">K51+AE51</f>
        <v>17981929</v>
      </c>
      <c r="BO51" s="417">
        <f t="shared" si="67"/>
        <v>2218415</v>
      </c>
      <c r="BP51" s="417">
        <f>M51+AO51</f>
        <v>113034</v>
      </c>
      <c r="BQ51" s="417">
        <f t="shared" ref="BQ51:BR55" si="68">N51+AM51</f>
        <v>113034</v>
      </c>
      <c r="BR51" s="417">
        <f t="shared" si="68"/>
        <v>0</v>
      </c>
      <c r="BS51" s="417">
        <f t="shared" ref="BS51:BT55" si="69">P51+AS51</f>
        <v>6827717</v>
      </c>
      <c r="BT51" s="417">
        <f t="shared" si="69"/>
        <v>202004</v>
      </c>
      <c r="BU51" s="417">
        <f>R51+AX51</f>
        <v>445660</v>
      </c>
      <c r="BV51" s="418">
        <f>S51+BK51</f>
        <v>31.7667</v>
      </c>
      <c r="BW51" s="418">
        <f t="shared" ref="BW51:BX55" si="70">T51+BI51</f>
        <v>25.159700000000001</v>
      </c>
      <c r="BX51" s="420">
        <f t="shared" si="70"/>
        <v>6.6070000000000002</v>
      </c>
      <c r="BY51" s="596">
        <v>304109</v>
      </c>
      <c r="BZ51" s="595">
        <v>225600</v>
      </c>
      <c r="CA51" s="595">
        <v>0</v>
      </c>
      <c r="CB51" s="595">
        <v>76253</v>
      </c>
      <c r="CC51" s="595">
        <v>2256</v>
      </c>
      <c r="CD51" s="981">
        <v>0.4</v>
      </c>
      <c r="CE51" s="596">
        <v>1065727</v>
      </c>
      <c r="CF51" s="595">
        <v>712076</v>
      </c>
      <c r="CG51" s="595">
        <v>240682</v>
      </c>
      <c r="CH51" s="595">
        <v>7121</v>
      </c>
      <c r="CI51" s="595">
        <v>105848</v>
      </c>
      <c r="CJ51" s="981">
        <v>2.1208999999999998</v>
      </c>
    </row>
    <row r="52" spans="1:88" ht="12.95" customHeight="1">
      <c r="A52" s="280">
        <v>10</v>
      </c>
      <c r="B52" s="281">
        <v>4481</v>
      </c>
      <c r="C52" s="281">
        <v>600074722</v>
      </c>
      <c r="D52" s="281">
        <v>70942692</v>
      </c>
      <c r="E52" s="283" t="s">
        <v>325</v>
      </c>
      <c r="F52" s="281">
        <v>3113</v>
      </c>
      <c r="G52" s="284" t="s">
        <v>298</v>
      </c>
      <c r="H52" s="284" t="s">
        <v>272</v>
      </c>
      <c r="I52" s="563">
        <v>3216460</v>
      </c>
      <c r="J52" s="414">
        <v>2382760</v>
      </c>
      <c r="K52" s="414">
        <v>2382760</v>
      </c>
      <c r="L52" s="414">
        <v>0</v>
      </c>
      <c r="M52" s="414">
        <v>0</v>
      </c>
      <c r="N52" s="414">
        <v>0</v>
      </c>
      <c r="O52" s="414">
        <v>0</v>
      </c>
      <c r="P52" s="68">
        <v>805373</v>
      </c>
      <c r="Q52" s="68">
        <v>23827</v>
      </c>
      <c r="R52" s="414">
        <v>4500</v>
      </c>
      <c r="S52" s="415">
        <v>6.43</v>
      </c>
      <c r="T52" s="416">
        <v>6.43</v>
      </c>
      <c r="U52" s="762">
        <v>0</v>
      </c>
      <c r="V52" s="423">
        <f t="shared" si="3"/>
        <v>0</v>
      </c>
      <c r="W52" s="417">
        <f t="shared" si="3"/>
        <v>0</v>
      </c>
      <c r="X52" s="417">
        <v>6866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4"/>
        <v>6866</v>
      </c>
      <c r="AF52" s="417">
        <f t="shared" si="5"/>
        <v>0</v>
      </c>
      <c r="AG52" s="417">
        <f t="shared" si="6"/>
        <v>6866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7"/>
        <v>0</v>
      </c>
      <c r="AN52" s="417">
        <f t="shared" si="8"/>
        <v>0</v>
      </c>
      <c r="AO52" s="417">
        <f t="shared" si="9"/>
        <v>0</v>
      </c>
      <c r="AP52" s="417">
        <f t="shared" si="10"/>
        <v>6866</v>
      </c>
      <c r="AQ52" s="417">
        <f t="shared" si="10"/>
        <v>0</v>
      </c>
      <c r="AR52" s="417">
        <f t="shared" si="11"/>
        <v>6866</v>
      </c>
      <c r="AS52" s="68">
        <f t="shared" si="12"/>
        <v>2321</v>
      </c>
      <c r="AT52" s="68">
        <f t="shared" si="13"/>
        <v>69</v>
      </c>
      <c r="AU52" s="417">
        <v>3500</v>
      </c>
      <c r="AV52" s="417">
        <v>0</v>
      </c>
      <c r="AW52" s="417">
        <v>0</v>
      </c>
      <c r="AX52" s="417">
        <f t="shared" si="14"/>
        <v>3500</v>
      </c>
      <c r="AY52" s="417">
        <f t="shared" si="15"/>
        <v>12756</v>
      </c>
      <c r="AZ52" s="418">
        <v>0</v>
      </c>
      <c r="BA52" s="418">
        <v>0</v>
      </c>
      <c r="BB52" s="418">
        <v>0.01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6"/>
        <v>0.01</v>
      </c>
      <c r="BJ52" s="418">
        <f t="shared" si="17"/>
        <v>0</v>
      </c>
      <c r="BK52" s="420">
        <f t="shared" si="18"/>
        <v>0.01</v>
      </c>
      <c r="BL52" s="772">
        <f>I52+AY52</f>
        <v>3229216</v>
      </c>
      <c r="BM52" s="417">
        <f>J52+AG52</f>
        <v>2389626</v>
      </c>
      <c r="BN52" s="417">
        <f t="shared" si="67"/>
        <v>2389626</v>
      </c>
      <c r="BO52" s="417">
        <f t="shared" si="67"/>
        <v>0</v>
      </c>
      <c r="BP52" s="417">
        <f>M52+AO52</f>
        <v>0</v>
      </c>
      <c r="BQ52" s="417">
        <f t="shared" si="68"/>
        <v>0</v>
      </c>
      <c r="BR52" s="417">
        <f t="shared" si="68"/>
        <v>0</v>
      </c>
      <c r="BS52" s="417">
        <f t="shared" si="69"/>
        <v>807694</v>
      </c>
      <c r="BT52" s="417">
        <f t="shared" si="69"/>
        <v>23896</v>
      </c>
      <c r="BU52" s="417">
        <f>R52+AX52</f>
        <v>8000</v>
      </c>
      <c r="BV52" s="418">
        <f>S52+BK52</f>
        <v>6.4399999999999995</v>
      </c>
      <c r="BW52" s="418">
        <f t="shared" si="70"/>
        <v>6.4399999999999995</v>
      </c>
      <c r="BX52" s="420">
        <f t="shared" si="70"/>
        <v>0</v>
      </c>
      <c r="BY52" s="596"/>
      <c r="BZ52" s="595"/>
      <c r="CA52" s="595"/>
      <c r="CB52" s="595"/>
      <c r="CC52" s="595"/>
      <c r="CD52" s="981"/>
      <c r="CE52" s="596"/>
      <c r="CF52" s="595"/>
      <c r="CG52" s="595"/>
      <c r="CH52" s="595"/>
      <c r="CI52" s="595"/>
      <c r="CJ52" s="981"/>
    </row>
    <row r="53" spans="1:88" ht="12.95" customHeight="1">
      <c r="A53" s="280">
        <v>10</v>
      </c>
      <c r="B53" s="281">
        <v>4481</v>
      </c>
      <c r="C53" s="281">
        <v>600074722</v>
      </c>
      <c r="D53" s="281">
        <v>70942692</v>
      </c>
      <c r="E53" s="283" t="s">
        <v>325</v>
      </c>
      <c r="F53" s="281">
        <v>3141</v>
      </c>
      <c r="G53" s="284" t="s">
        <v>294</v>
      </c>
      <c r="H53" s="284" t="s">
        <v>272</v>
      </c>
      <c r="I53" s="563">
        <v>1734656</v>
      </c>
      <c r="J53" s="414">
        <v>1277810</v>
      </c>
      <c r="K53" s="414">
        <v>0</v>
      </c>
      <c r="L53" s="414">
        <v>1277810</v>
      </c>
      <c r="M53" s="414">
        <v>0</v>
      </c>
      <c r="N53" s="414">
        <v>0</v>
      </c>
      <c r="O53" s="414">
        <v>0</v>
      </c>
      <c r="P53" s="68">
        <v>431900</v>
      </c>
      <c r="Q53" s="68">
        <v>12778</v>
      </c>
      <c r="R53" s="414">
        <v>12168</v>
      </c>
      <c r="S53" s="415">
        <v>3.8333000000000004</v>
      </c>
      <c r="T53" s="416">
        <v>0</v>
      </c>
      <c r="U53" s="762">
        <v>3.8333000000000004</v>
      </c>
      <c r="V53" s="423">
        <f t="shared" si="3"/>
        <v>0</v>
      </c>
      <c r="W53" s="417">
        <f t="shared" si="3"/>
        <v>0</v>
      </c>
      <c r="X53" s="417">
        <v>0</v>
      </c>
      <c r="Y53" s="417">
        <v>0</v>
      </c>
      <c r="Z53" s="417">
        <v>0</v>
      </c>
      <c r="AA53" s="417">
        <v>4322</v>
      </c>
      <c r="AB53" s="417">
        <v>0</v>
      </c>
      <c r="AC53" s="417">
        <v>0</v>
      </c>
      <c r="AD53" s="417">
        <v>0</v>
      </c>
      <c r="AE53" s="417">
        <f t="shared" si="4"/>
        <v>0</v>
      </c>
      <c r="AF53" s="417">
        <f t="shared" si="5"/>
        <v>4322</v>
      </c>
      <c r="AG53" s="417">
        <f t="shared" si="6"/>
        <v>4322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7"/>
        <v>0</v>
      </c>
      <c r="AN53" s="417">
        <f t="shared" si="8"/>
        <v>0</v>
      </c>
      <c r="AO53" s="417">
        <f t="shared" si="9"/>
        <v>0</v>
      </c>
      <c r="AP53" s="417">
        <f t="shared" si="10"/>
        <v>0</v>
      </c>
      <c r="AQ53" s="417">
        <f t="shared" si="10"/>
        <v>4322</v>
      </c>
      <c r="AR53" s="417">
        <f t="shared" si="11"/>
        <v>4322</v>
      </c>
      <c r="AS53" s="68">
        <f t="shared" si="12"/>
        <v>1461</v>
      </c>
      <c r="AT53" s="68">
        <f t="shared" si="13"/>
        <v>43</v>
      </c>
      <c r="AU53" s="417">
        <v>0</v>
      </c>
      <c r="AV53" s="417">
        <v>0</v>
      </c>
      <c r="AW53" s="417">
        <v>0</v>
      </c>
      <c r="AX53" s="417">
        <f t="shared" si="14"/>
        <v>0</v>
      </c>
      <c r="AY53" s="417">
        <f t="shared" si="15"/>
        <v>5826</v>
      </c>
      <c r="AZ53" s="418">
        <v>0</v>
      </c>
      <c r="BA53" s="418">
        <v>0</v>
      </c>
      <c r="BB53" s="418">
        <v>0</v>
      </c>
      <c r="BC53" s="418">
        <v>0</v>
      </c>
      <c r="BD53" s="418">
        <v>0.01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6"/>
        <v>0</v>
      </c>
      <c r="BJ53" s="418">
        <f t="shared" si="17"/>
        <v>0.01</v>
      </c>
      <c r="BK53" s="420">
        <f t="shared" si="18"/>
        <v>0.01</v>
      </c>
      <c r="BL53" s="772">
        <f>I53+AY53</f>
        <v>1740482</v>
      </c>
      <c r="BM53" s="417">
        <f>J53+AG53</f>
        <v>1282132</v>
      </c>
      <c r="BN53" s="417">
        <f t="shared" si="67"/>
        <v>0</v>
      </c>
      <c r="BO53" s="417">
        <f t="shared" si="67"/>
        <v>1282132</v>
      </c>
      <c r="BP53" s="417">
        <f>M53+AO53</f>
        <v>0</v>
      </c>
      <c r="BQ53" s="417">
        <f t="shared" si="68"/>
        <v>0</v>
      </c>
      <c r="BR53" s="417">
        <f t="shared" si="68"/>
        <v>0</v>
      </c>
      <c r="BS53" s="417">
        <f t="shared" si="69"/>
        <v>433361</v>
      </c>
      <c r="BT53" s="417">
        <f t="shared" si="69"/>
        <v>12821</v>
      </c>
      <c r="BU53" s="417">
        <f>R53+AX53</f>
        <v>12168</v>
      </c>
      <c r="BV53" s="418">
        <f>S53+BK53</f>
        <v>3.8433000000000002</v>
      </c>
      <c r="BW53" s="418">
        <f t="shared" si="70"/>
        <v>0</v>
      </c>
      <c r="BX53" s="420">
        <f t="shared" si="70"/>
        <v>3.8433000000000002</v>
      </c>
      <c r="BY53" s="596"/>
      <c r="BZ53" s="595"/>
      <c r="CA53" s="595"/>
      <c r="CB53" s="595"/>
      <c r="CC53" s="595"/>
      <c r="CD53" s="981"/>
      <c r="CE53" s="596"/>
      <c r="CF53" s="595"/>
      <c r="CG53" s="595"/>
      <c r="CH53" s="595"/>
      <c r="CI53" s="595"/>
      <c r="CJ53" s="981"/>
    </row>
    <row r="54" spans="1:88" ht="12.95" customHeight="1">
      <c r="A54" s="280">
        <v>10</v>
      </c>
      <c r="B54" s="281">
        <v>4481</v>
      </c>
      <c r="C54" s="281">
        <v>600074722</v>
      </c>
      <c r="D54" s="281">
        <v>70942692</v>
      </c>
      <c r="E54" s="283" t="s">
        <v>325</v>
      </c>
      <c r="F54" s="281">
        <v>3143</v>
      </c>
      <c r="G54" s="284" t="s">
        <v>595</v>
      </c>
      <c r="H54" s="284" t="s">
        <v>271</v>
      </c>
      <c r="I54" s="563">
        <v>1822073</v>
      </c>
      <c r="J54" s="414">
        <v>1351686</v>
      </c>
      <c r="K54" s="414">
        <v>1351686</v>
      </c>
      <c r="L54" s="414">
        <v>0</v>
      </c>
      <c r="M54" s="414">
        <v>0</v>
      </c>
      <c r="N54" s="414">
        <v>0</v>
      </c>
      <c r="O54" s="414">
        <v>0</v>
      </c>
      <c r="P54" s="68">
        <v>456870</v>
      </c>
      <c r="Q54" s="68">
        <v>13517</v>
      </c>
      <c r="R54" s="414">
        <v>0</v>
      </c>
      <c r="S54" s="415">
        <v>2.5714000000000001</v>
      </c>
      <c r="T54" s="416">
        <v>2.5714000000000001</v>
      </c>
      <c r="U54" s="762">
        <v>0</v>
      </c>
      <c r="V54" s="423">
        <f t="shared" si="3"/>
        <v>0</v>
      </c>
      <c r="W54" s="417">
        <f t="shared" si="3"/>
        <v>0</v>
      </c>
      <c r="X54" s="417">
        <v>0</v>
      </c>
      <c r="Y54" s="417">
        <v>0</v>
      </c>
      <c r="Z54" s="417">
        <v>71487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4"/>
        <v>71487</v>
      </c>
      <c r="AF54" s="417">
        <f t="shared" si="5"/>
        <v>0</v>
      </c>
      <c r="AG54" s="417">
        <f t="shared" si="6"/>
        <v>71487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7"/>
        <v>0</v>
      </c>
      <c r="AN54" s="417">
        <f t="shared" si="8"/>
        <v>0</v>
      </c>
      <c r="AO54" s="417">
        <f t="shared" si="9"/>
        <v>0</v>
      </c>
      <c r="AP54" s="417">
        <f t="shared" si="10"/>
        <v>71487</v>
      </c>
      <c r="AQ54" s="417">
        <f t="shared" si="10"/>
        <v>0</v>
      </c>
      <c r="AR54" s="417">
        <f t="shared" si="11"/>
        <v>71487</v>
      </c>
      <c r="AS54" s="68">
        <f t="shared" si="12"/>
        <v>24163</v>
      </c>
      <c r="AT54" s="68">
        <f t="shared" si="13"/>
        <v>715</v>
      </c>
      <c r="AU54" s="417">
        <v>0</v>
      </c>
      <c r="AV54" s="417">
        <v>0</v>
      </c>
      <c r="AW54" s="417">
        <v>0</v>
      </c>
      <c r="AX54" s="417">
        <f t="shared" si="14"/>
        <v>0</v>
      </c>
      <c r="AY54" s="417">
        <f t="shared" si="15"/>
        <v>96365</v>
      </c>
      <c r="AZ54" s="418">
        <v>0</v>
      </c>
      <c r="BA54" s="418">
        <v>0</v>
      </c>
      <c r="BB54" s="418">
        <v>0</v>
      </c>
      <c r="BC54" s="418">
        <v>0.16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6"/>
        <v>0.16</v>
      </c>
      <c r="BJ54" s="418">
        <f t="shared" si="17"/>
        <v>0</v>
      </c>
      <c r="BK54" s="420">
        <f t="shared" si="18"/>
        <v>0.16</v>
      </c>
      <c r="BL54" s="772">
        <f>I54+AY54</f>
        <v>1918438</v>
      </c>
      <c r="BM54" s="417">
        <f>J54+AG54</f>
        <v>1423173</v>
      </c>
      <c r="BN54" s="417">
        <f t="shared" si="67"/>
        <v>1423173</v>
      </c>
      <c r="BO54" s="417">
        <f t="shared" si="67"/>
        <v>0</v>
      </c>
      <c r="BP54" s="417">
        <f>M54+AO54</f>
        <v>0</v>
      </c>
      <c r="BQ54" s="417">
        <f t="shared" si="68"/>
        <v>0</v>
      </c>
      <c r="BR54" s="417">
        <f t="shared" si="68"/>
        <v>0</v>
      </c>
      <c r="BS54" s="417">
        <f t="shared" si="69"/>
        <v>481033</v>
      </c>
      <c r="BT54" s="417">
        <f t="shared" si="69"/>
        <v>14232</v>
      </c>
      <c r="BU54" s="417">
        <f>R54+AX54</f>
        <v>0</v>
      </c>
      <c r="BV54" s="418">
        <f>S54+BK54</f>
        <v>2.7314000000000003</v>
      </c>
      <c r="BW54" s="418">
        <f t="shared" si="70"/>
        <v>2.7314000000000003</v>
      </c>
      <c r="BX54" s="420">
        <f t="shared" si="70"/>
        <v>0</v>
      </c>
      <c r="BY54" s="596"/>
      <c r="BZ54" s="595"/>
      <c r="CA54" s="595"/>
      <c r="CB54" s="595"/>
      <c r="CC54" s="595"/>
      <c r="CD54" s="981"/>
      <c r="CE54" s="596"/>
      <c r="CF54" s="595"/>
      <c r="CG54" s="595"/>
      <c r="CH54" s="595"/>
      <c r="CI54" s="595"/>
      <c r="CJ54" s="981"/>
    </row>
    <row r="55" spans="1:88" ht="12.95" customHeight="1">
      <c r="A55" s="280">
        <v>10</v>
      </c>
      <c r="B55" s="281">
        <v>4481</v>
      </c>
      <c r="C55" s="281">
        <v>600074722</v>
      </c>
      <c r="D55" s="281">
        <v>70942692</v>
      </c>
      <c r="E55" s="283" t="s">
        <v>325</v>
      </c>
      <c r="F55" s="281">
        <v>3143</v>
      </c>
      <c r="G55" s="284" t="s">
        <v>596</v>
      </c>
      <c r="H55" s="284" t="s">
        <v>272</v>
      </c>
      <c r="I55" s="563">
        <v>66082</v>
      </c>
      <c r="J55" s="414">
        <v>47300</v>
      </c>
      <c r="K55" s="414">
        <v>0</v>
      </c>
      <c r="L55" s="414">
        <v>47300</v>
      </c>
      <c r="M55" s="414">
        <v>0</v>
      </c>
      <c r="N55" s="414">
        <v>0</v>
      </c>
      <c r="O55" s="414">
        <v>0</v>
      </c>
      <c r="P55" s="68">
        <v>15987</v>
      </c>
      <c r="Q55" s="68">
        <v>473</v>
      </c>
      <c r="R55" s="414">
        <v>2322</v>
      </c>
      <c r="S55" s="415">
        <v>0.1794</v>
      </c>
      <c r="T55" s="416">
        <v>0</v>
      </c>
      <c r="U55" s="762">
        <v>0.1794</v>
      </c>
      <c r="V55" s="423">
        <f t="shared" si="3"/>
        <v>0</v>
      </c>
      <c r="W55" s="417">
        <f t="shared" si="3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4"/>
        <v>0</v>
      </c>
      <c r="AF55" s="417">
        <f t="shared" si="5"/>
        <v>0</v>
      </c>
      <c r="AG55" s="417">
        <f t="shared" si="6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7"/>
        <v>0</v>
      </c>
      <c r="AN55" s="417">
        <f t="shared" si="8"/>
        <v>0</v>
      </c>
      <c r="AO55" s="417">
        <f t="shared" si="9"/>
        <v>0</v>
      </c>
      <c r="AP55" s="417">
        <f t="shared" si="10"/>
        <v>0</v>
      </c>
      <c r="AQ55" s="417">
        <f t="shared" si="10"/>
        <v>0</v>
      </c>
      <c r="AR55" s="417">
        <f t="shared" si="11"/>
        <v>0</v>
      </c>
      <c r="AS55" s="68">
        <f t="shared" si="12"/>
        <v>0</v>
      </c>
      <c r="AT55" s="68">
        <f t="shared" si="13"/>
        <v>0</v>
      </c>
      <c r="AU55" s="417">
        <v>0</v>
      </c>
      <c r="AV55" s="417">
        <v>0</v>
      </c>
      <c r="AW55" s="417">
        <v>0</v>
      </c>
      <c r="AX55" s="417">
        <f t="shared" si="14"/>
        <v>0</v>
      </c>
      <c r="AY55" s="417">
        <f t="shared" si="15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6"/>
        <v>0</v>
      </c>
      <c r="BJ55" s="418">
        <f t="shared" si="17"/>
        <v>0</v>
      </c>
      <c r="BK55" s="420">
        <f t="shared" si="18"/>
        <v>0</v>
      </c>
      <c r="BL55" s="772">
        <f>I55+AY55</f>
        <v>66082</v>
      </c>
      <c r="BM55" s="417">
        <f>J55+AG55</f>
        <v>47300</v>
      </c>
      <c r="BN55" s="417">
        <f t="shared" si="67"/>
        <v>0</v>
      </c>
      <c r="BO55" s="417">
        <f t="shared" si="67"/>
        <v>47300</v>
      </c>
      <c r="BP55" s="417">
        <f>M55+AO55</f>
        <v>0</v>
      </c>
      <c r="BQ55" s="417">
        <f t="shared" si="68"/>
        <v>0</v>
      </c>
      <c r="BR55" s="417">
        <f t="shared" si="68"/>
        <v>0</v>
      </c>
      <c r="BS55" s="417">
        <f t="shared" si="69"/>
        <v>15987</v>
      </c>
      <c r="BT55" s="417">
        <f t="shared" si="69"/>
        <v>473</v>
      </c>
      <c r="BU55" s="417">
        <f>R55+AX55</f>
        <v>2322</v>
      </c>
      <c r="BV55" s="418">
        <f>S55+BK55</f>
        <v>0.1794</v>
      </c>
      <c r="BW55" s="418">
        <f t="shared" si="70"/>
        <v>0</v>
      </c>
      <c r="BX55" s="420">
        <f t="shared" si="70"/>
        <v>0.1794</v>
      </c>
      <c r="BY55" s="596"/>
      <c r="BZ55" s="595"/>
      <c r="CA55" s="595"/>
      <c r="CB55" s="595"/>
      <c r="CC55" s="595"/>
      <c r="CD55" s="981"/>
      <c r="CE55" s="596"/>
      <c r="CF55" s="595"/>
      <c r="CG55" s="595"/>
      <c r="CH55" s="595"/>
      <c r="CI55" s="595"/>
      <c r="CJ55" s="981"/>
    </row>
    <row r="56" spans="1:88" ht="12.95" customHeight="1">
      <c r="A56" s="273">
        <v>10</v>
      </c>
      <c r="B56" s="275">
        <v>4481</v>
      </c>
      <c r="C56" s="275">
        <v>600074722</v>
      </c>
      <c r="D56" s="275">
        <v>70942692</v>
      </c>
      <c r="E56" s="288" t="s">
        <v>326</v>
      </c>
      <c r="F56" s="291"/>
      <c r="G56" s="292"/>
      <c r="H56" s="292"/>
      <c r="I56" s="465">
        <v>34329376</v>
      </c>
      <c r="J56" s="462">
        <v>25122200</v>
      </c>
      <c r="K56" s="462">
        <v>21578675</v>
      </c>
      <c r="L56" s="462">
        <v>3543525</v>
      </c>
      <c r="M56" s="462">
        <v>0</v>
      </c>
      <c r="N56" s="462">
        <v>0</v>
      </c>
      <c r="O56" s="462">
        <v>0</v>
      </c>
      <c r="P56" s="462">
        <v>8491304</v>
      </c>
      <c r="Q56" s="462">
        <v>251222</v>
      </c>
      <c r="R56" s="462">
        <v>464650</v>
      </c>
      <c r="S56" s="463">
        <v>44.520800000000001</v>
      </c>
      <c r="T56" s="463">
        <v>33.9011</v>
      </c>
      <c r="U56" s="533">
        <v>10.6197</v>
      </c>
      <c r="V56" s="465">
        <f t="shared" ref="V56:BK56" si="71">SUM(V51:V55)</f>
        <v>0</v>
      </c>
      <c r="W56" s="462">
        <f t="shared" si="71"/>
        <v>0</v>
      </c>
      <c r="X56" s="462">
        <f t="shared" si="71"/>
        <v>6866</v>
      </c>
      <c r="Y56" s="462">
        <f t="shared" si="71"/>
        <v>0</v>
      </c>
      <c r="Z56" s="462">
        <f t="shared" si="71"/>
        <v>209187</v>
      </c>
      <c r="AA56" s="462">
        <f t="shared" si="71"/>
        <v>4322</v>
      </c>
      <c r="AB56" s="462">
        <f t="shared" si="71"/>
        <v>0</v>
      </c>
      <c r="AC56" s="462">
        <f t="shared" si="71"/>
        <v>0</v>
      </c>
      <c r="AD56" s="462">
        <f t="shared" si="71"/>
        <v>0</v>
      </c>
      <c r="AE56" s="462">
        <f t="shared" si="71"/>
        <v>216053</v>
      </c>
      <c r="AF56" s="462">
        <f t="shared" si="71"/>
        <v>4322</v>
      </c>
      <c r="AG56" s="462">
        <f t="shared" si="71"/>
        <v>220375</v>
      </c>
      <c r="AH56" s="462">
        <f t="shared" si="71"/>
        <v>0</v>
      </c>
      <c r="AI56" s="462">
        <f t="shared" si="71"/>
        <v>0</v>
      </c>
      <c r="AJ56" s="462">
        <f t="shared" si="71"/>
        <v>0</v>
      </c>
      <c r="AK56" s="462">
        <f t="shared" si="71"/>
        <v>113034</v>
      </c>
      <c r="AL56" s="462">
        <f t="shared" si="71"/>
        <v>0</v>
      </c>
      <c r="AM56" s="462">
        <f t="shared" si="71"/>
        <v>113034</v>
      </c>
      <c r="AN56" s="462">
        <f t="shared" si="71"/>
        <v>0</v>
      </c>
      <c r="AO56" s="462">
        <f t="shared" si="71"/>
        <v>113034</v>
      </c>
      <c r="AP56" s="462">
        <f t="shared" si="71"/>
        <v>329087</v>
      </c>
      <c r="AQ56" s="462">
        <f t="shared" si="71"/>
        <v>4322</v>
      </c>
      <c r="AR56" s="462">
        <f t="shared" si="71"/>
        <v>333409</v>
      </c>
      <c r="AS56" s="462">
        <f t="shared" si="71"/>
        <v>74488</v>
      </c>
      <c r="AT56" s="462">
        <f t="shared" si="71"/>
        <v>2204</v>
      </c>
      <c r="AU56" s="462">
        <f t="shared" si="71"/>
        <v>3500</v>
      </c>
      <c r="AV56" s="462">
        <f t="shared" si="71"/>
        <v>0</v>
      </c>
      <c r="AW56" s="462">
        <f t="shared" si="71"/>
        <v>0</v>
      </c>
      <c r="AX56" s="462">
        <f t="shared" si="71"/>
        <v>3500</v>
      </c>
      <c r="AY56" s="462">
        <f t="shared" si="71"/>
        <v>413601</v>
      </c>
      <c r="AZ56" s="463">
        <f t="shared" si="71"/>
        <v>0</v>
      </c>
      <c r="BA56" s="463">
        <f t="shared" si="71"/>
        <v>0</v>
      </c>
      <c r="BB56" s="463">
        <f t="shared" si="71"/>
        <v>0.01</v>
      </c>
      <c r="BC56" s="463">
        <f t="shared" si="71"/>
        <v>0.42000000000000004</v>
      </c>
      <c r="BD56" s="463">
        <f t="shared" si="71"/>
        <v>0.01</v>
      </c>
      <c r="BE56" s="463">
        <f t="shared" si="71"/>
        <v>0</v>
      </c>
      <c r="BF56" s="463">
        <f t="shared" si="71"/>
        <v>0</v>
      </c>
      <c r="BG56" s="463">
        <f t="shared" si="71"/>
        <v>0</v>
      </c>
      <c r="BH56" s="463">
        <f t="shared" si="71"/>
        <v>0</v>
      </c>
      <c r="BI56" s="463">
        <f t="shared" si="71"/>
        <v>0.43000000000000005</v>
      </c>
      <c r="BJ56" s="463">
        <f t="shared" si="71"/>
        <v>0.01</v>
      </c>
      <c r="BK56" s="290">
        <f t="shared" si="71"/>
        <v>0.44000000000000006</v>
      </c>
      <c r="BL56" s="776">
        <f t="shared" ref="BL56:CG56" si="72">SUM(BL51:BL55)</f>
        <v>34742977</v>
      </c>
      <c r="BM56" s="462">
        <f t="shared" si="72"/>
        <v>25342575</v>
      </c>
      <c r="BN56" s="462">
        <f t="shared" si="72"/>
        <v>21794728</v>
      </c>
      <c r="BO56" s="462">
        <f t="shared" si="72"/>
        <v>3547847</v>
      </c>
      <c r="BP56" s="462">
        <f t="shared" si="72"/>
        <v>113034</v>
      </c>
      <c r="BQ56" s="462">
        <f t="shared" si="72"/>
        <v>113034</v>
      </c>
      <c r="BR56" s="462">
        <f t="shared" si="72"/>
        <v>0</v>
      </c>
      <c r="BS56" s="462">
        <f t="shared" si="72"/>
        <v>8565792</v>
      </c>
      <c r="BT56" s="462">
        <f t="shared" si="72"/>
        <v>253426</v>
      </c>
      <c r="BU56" s="462">
        <f t="shared" si="72"/>
        <v>468150</v>
      </c>
      <c r="BV56" s="463">
        <f t="shared" si="72"/>
        <v>44.960799999999999</v>
      </c>
      <c r="BW56" s="463">
        <f t="shared" si="72"/>
        <v>34.331099999999999</v>
      </c>
      <c r="BX56" s="290">
        <f t="shared" si="72"/>
        <v>10.6297</v>
      </c>
      <c r="BY56" s="820">
        <f t="shared" si="72"/>
        <v>304109</v>
      </c>
      <c r="BZ56" s="716">
        <f t="shared" si="72"/>
        <v>225600</v>
      </c>
      <c r="CA56" s="716">
        <f t="shared" si="72"/>
        <v>0</v>
      </c>
      <c r="CB56" s="716">
        <f t="shared" si="72"/>
        <v>76253</v>
      </c>
      <c r="CC56" s="716">
        <f t="shared" si="72"/>
        <v>2256</v>
      </c>
      <c r="CD56" s="821">
        <f t="shared" si="72"/>
        <v>0.4</v>
      </c>
      <c r="CE56" s="982">
        <f t="shared" si="72"/>
        <v>1065727</v>
      </c>
      <c r="CF56" s="982">
        <f t="shared" si="72"/>
        <v>712076</v>
      </c>
      <c r="CG56" s="982">
        <f t="shared" si="72"/>
        <v>240682</v>
      </c>
      <c r="CH56" s="982">
        <f t="shared" ref="CH56:CJ56" si="73">SUM(CH51:CH55)</f>
        <v>7121</v>
      </c>
      <c r="CI56" s="982">
        <f t="shared" si="73"/>
        <v>105848</v>
      </c>
      <c r="CJ56" s="935">
        <f t="shared" si="73"/>
        <v>2.1208999999999998</v>
      </c>
    </row>
    <row r="57" spans="1:88" ht="12.95" customHeight="1">
      <c r="A57" s="280">
        <v>11</v>
      </c>
      <c r="B57" s="281">
        <v>4469</v>
      </c>
      <c r="C57" s="281">
        <v>600075079</v>
      </c>
      <c r="D57" s="281">
        <v>70695334</v>
      </c>
      <c r="E57" s="283" t="s">
        <v>327</v>
      </c>
      <c r="F57" s="281">
        <v>3231</v>
      </c>
      <c r="G57" s="284" t="s">
        <v>397</v>
      </c>
      <c r="H57" s="284" t="s">
        <v>271</v>
      </c>
      <c r="I57" s="563">
        <v>3416367</v>
      </c>
      <c r="J57" s="414">
        <v>2530113</v>
      </c>
      <c r="K57" s="414">
        <v>2392154</v>
      </c>
      <c r="L57" s="414">
        <v>137959</v>
      </c>
      <c r="M57" s="414">
        <v>0</v>
      </c>
      <c r="N57" s="414">
        <v>0</v>
      </c>
      <c r="O57" s="414">
        <v>0</v>
      </c>
      <c r="P57" s="68">
        <v>855178</v>
      </c>
      <c r="Q57" s="68">
        <v>25301</v>
      </c>
      <c r="R57" s="414">
        <v>5775</v>
      </c>
      <c r="S57" s="415">
        <v>4.1786000000000003</v>
      </c>
      <c r="T57" s="416">
        <v>3.7915000000000001</v>
      </c>
      <c r="U57" s="762">
        <v>0.3871</v>
      </c>
      <c r="V57" s="423">
        <f t="shared" si="3"/>
        <v>0</v>
      </c>
      <c r="W57" s="417">
        <f t="shared" si="3"/>
        <v>0</v>
      </c>
      <c r="X57" s="417">
        <v>0</v>
      </c>
      <c r="Y57" s="417">
        <v>0</v>
      </c>
      <c r="Z57" s="417">
        <v>146759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4"/>
        <v>146759</v>
      </c>
      <c r="AF57" s="417">
        <f t="shared" si="5"/>
        <v>0</v>
      </c>
      <c r="AG57" s="417">
        <f t="shared" si="6"/>
        <v>146759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7"/>
        <v>0</v>
      </c>
      <c r="AN57" s="417">
        <f t="shared" si="8"/>
        <v>0</v>
      </c>
      <c r="AO57" s="417">
        <f t="shared" si="9"/>
        <v>0</v>
      </c>
      <c r="AP57" s="417">
        <f t="shared" si="10"/>
        <v>146759</v>
      </c>
      <c r="AQ57" s="417">
        <f t="shared" si="10"/>
        <v>0</v>
      </c>
      <c r="AR57" s="417">
        <f t="shared" si="11"/>
        <v>146759</v>
      </c>
      <c r="AS57" s="68">
        <f t="shared" si="12"/>
        <v>49605</v>
      </c>
      <c r="AT57" s="68">
        <f t="shared" si="13"/>
        <v>1468</v>
      </c>
      <c r="AU57" s="417">
        <v>0</v>
      </c>
      <c r="AV57" s="417">
        <v>0</v>
      </c>
      <c r="AW57" s="417">
        <v>0</v>
      </c>
      <c r="AX57" s="417">
        <f t="shared" si="14"/>
        <v>0</v>
      </c>
      <c r="AY57" s="417">
        <f t="shared" si="15"/>
        <v>197832</v>
      </c>
      <c r="AZ57" s="418">
        <v>0</v>
      </c>
      <c r="BA57" s="418">
        <v>0</v>
      </c>
      <c r="BB57" s="418">
        <v>0</v>
      </c>
      <c r="BC57" s="418">
        <v>0.23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6"/>
        <v>0.23</v>
      </c>
      <c r="BJ57" s="418">
        <f t="shared" si="17"/>
        <v>0</v>
      </c>
      <c r="BK57" s="420">
        <f t="shared" si="18"/>
        <v>0.23</v>
      </c>
      <c r="BL57" s="772">
        <f>I57+AY57</f>
        <v>3614199</v>
      </c>
      <c r="BM57" s="417">
        <f>J57+AG57</f>
        <v>2676872</v>
      </c>
      <c r="BN57" s="417">
        <f>K57+AE57</f>
        <v>2538913</v>
      </c>
      <c r="BO57" s="417">
        <f>L57+AF57</f>
        <v>137959</v>
      </c>
      <c r="BP57" s="417">
        <f>M57+AO57</f>
        <v>0</v>
      </c>
      <c r="BQ57" s="417">
        <f>N57+AM57</f>
        <v>0</v>
      </c>
      <c r="BR57" s="417">
        <f>O57+AN57</f>
        <v>0</v>
      </c>
      <c r="BS57" s="417">
        <f>P57+AS57</f>
        <v>904783</v>
      </c>
      <c r="BT57" s="417">
        <f>Q57+AT57</f>
        <v>26769</v>
      </c>
      <c r="BU57" s="417">
        <f>R57+AX57</f>
        <v>5775</v>
      </c>
      <c r="BV57" s="418">
        <f>S57+BK57</f>
        <v>4.4086000000000007</v>
      </c>
      <c r="BW57" s="418">
        <f>T57+BI57</f>
        <v>4.0215000000000005</v>
      </c>
      <c r="BX57" s="420">
        <f>U57+BJ57</f>
        <v>0.3871</v>
      </c>
      <c r="BY57" s="596"/>
      <c r="BZ57" s="595"/>
      <c r="CA57" s="595"/>
      <c r="CB57" s="595"/>
      <c r="CC57" s="595"/>
      <c r="CD57" s="981"/>
      <c r="CE57" s="596">
        <v>62862</v>
      </c>
      <c r="CF57" s="595">
        <v>45230</v>
      </c>
      <c r="CG57" s="595">
        <v>15288</v>
      </c>
      <c r="CH57" s="595">
        <v>452</v>
      </c>
      <c r="CI57" s="595">
        <v>1892</v>
      </c>
      <c r="CJ57" s="981">
        <v>0.12690000000000001</v>
      </c>
    </row>
    <row r="58" spans="1:88" ht="12.95" customHeight="1">
      <c r="A58" s="273">
        <v>11</v>
      </c>
      <c r="B58" s="275">
        <v>4469</v>
      </c>
      <c r="C58" s="275">
        <v>600075079</v>
      </c>
      <c r="D58" s="275">
        <v>70695334</v>
      </c>
      <c r="E58" s="288" t="s">
        <v>328</v>
      </c>
      <c r="F58" s="291"/>
      <c r="G58" s="292"/>
      <c r="H58" s="292"/>
      <c r="I58" s="465">
        <v>3416367</v>
      </c>
      <c r="J58" s="462">
        <v>2530113</v>
      </c>
      <c r="K58" s="462">
        <v>2392154</v>
      </c>
      <c r="L58" s="462">
        <v>137959</v>
      </c>
      <c r="M58" s="462">
        <v>0</v>
      </c>
      <c r="N58" s="462">
        <v>0</v>
      </c>
      <c r="O58" s="462">
        <v>0</v>
      </c>
      <c r="P58" s="462">
        <v>855178</v>
      </c>
      <c r="Q58" s="462">
        <v>25301</v>
      </c>
      <c r="R58" s="462">
        <v>5775</v>
      </c>
      <c r="S58" s="463">
        <v>4.1786000000000003</v>
      </c>
      <c r="T58" s="463">
        <v>3.7915000000000001</v>
      </c>
      <c r="U58" s="533">
        <v>0.3871</v>
      </c>
      <c r="V58" s="465">
        <f t="shared" ref="V58:BK58" si="74">SUM(V57)</f>
        <v>0</v>
      </c>
      <c r="W58" s="462">
        <f t="shared" si="74"/>
        <v>0</v>
      </c>
      <c r="X58" s="462">
        <f t="shared" si="74"/>
        <v>0</v>
      </c>
      <c r="Y58" s="462">
        <f t="shared" si="74"/>
        <v>0</v>
      </c>
      <c r="Z58" s="462">
        <f t="shared" si="74"/>
        <v>146759</v>
      </c>
      <c r="AA58" s="462">
        <f t="shared" si="74"/>
        <v>0</v>
      </c>
      <c r="AB58" s="462">
        <f t="shared" si="74"/>
        <v>0</v>
      </c>
      <c r="AC58" s="462">
        <f t="shared" si="74"/>
        <v>0</v>
      </c>
      <c r="AD58" s="462">
        <f t="shared" si="74"/>
        <v>0</v>
      </c>
      <c r="AE58" s="462">
        <f t="shared" si="74"/>
        <v>146759</v>
      </c>
      <c r="AF58" s="462">
        <f t="shared" si="74"/>
        <v>0</v>
      </c>
      <c r="AG58" s="462">
        <f t="shared" si="74"/>
        <v>146759</v>
      </c>
      <c r="AH58" s="462">
        <f t="shared" si="74"/>
        <v>0</v>
      </c>
      <c r="AI58" s="462">
        <f t="shared" si="74"/>
        <v>0</v>
      </c>
      <c r="AJ58" s="462">
        <f t="shared" si="74"/>
        <v>0</v>
      </c>
      <c r="AK58" s="462">
        <f t="shared" si="74"/>
        <v>0</v>
      </c>
      <c r="AL58" s="462">
        <f t="shared" si="74"/>
        <v>0</v>
      </c>
      <c r="AM58" s="462">
        <f t="shared" si="74"/>
        <v>0</v>
      </c>
      <c r="AN58" s="462">
        <f t="shared" si="74"/>
        <v>0</v>
      </c>
      <c r="AO58" s="462">
        <f t="shared" si="74"/>
        <v>0</v>
      </c>
      <c r="AP58" s="462">
        <f t="shared" si="74"/>
        <v>146759</v>
      </c>
      <c r="AQ58" s="462">
        <f t="shared" si="74"/>
        <v>0</v>
      </c>
      <c r="AR58" s="462">
        <f t="shared" si="74"/>
        <v>146759</v>
      </c>
      <c r="AS58" s="462">
        <f t="shared" si="74"/>
        <v>49605</v>
      </c>
      <c r="AT58" s="462">
        <f t="shared" si="74"/>
        <v>1468</v>
      </c>
      <c r="AU58" s="462">
        <f t="shared" si="74"/>
        <v>0</v>
      </c>
      <c r="AV58" s="462">
        <f t="shared" si="74"/>
        <v>0</v>
      </c>
      <c r="AW58" s="462">
        <f t="shared" si="74"/>
        <v>0</v>
      </c>
      <c r="AX58" s="462">
        <f t="shared" si="74"/>
        <v>0</v>
      </c>
      <c r="AY58" s="462">
        <f t="shared" si="74"/>
        <v>197832</v>
      </c>
      <c r="AZ58" s="463">
        <f t="shared" si="74"/>
        <v>0</v>
      </c>
      <c r="BA58" s="463">
        <f t="shared" si="74"/>
        <v>0</v>
      </c>
      <c r="BB58" s="463">
        <f t="shared" si="74"/>
        <v>0</v>
      </c>
      <c r="BC58" s="463">
        <f t="shared" si="74"/>
        <v>0.23</v>
      </c>
      <c r="BD58" s="463">
        <f t="shared" si="74"/>
        <v>0</v>
      </c>
      <c r="BE58" s="463">
        <f t="shared" si="74"/>
        <v>0</v>
      </c>
      <c r="BF58" s="463">
        <f t="shared" si="74"/>
        <v>0</v>
      </c>
      <c r="BG58" s="463">
        <f t="shared" si="74"/>
        <v>0</v>
      </c>
      <c r="BH58" s="463">
        <f t="shared" si="74"/>
        <v>0</v>
      </c>
      <c r="BI58" s="463">
        <f t="shared" si="74"/>
        <v>0.23</v>
      </c>
      <c r="BJ58" s="463">
        <f t="shared" si="74"/>
        <v>0</v>
      </c>
      <c r="BK58" s="290">
        <f t="shared" si="74"/>
        <v>0.23</v>
      </c>
      <c r="BL58" s="776">
        <f t="shared" ref="BL58:CG58" si="75">SUM(BL57)</f>
        <v>3614199</v>
      </c>
      <c r="BM58" s="462">
        <f t="shared" si="75"/>
        <v>2676872</v>
      </c>
      <c r="BN58" s="462">
        <f t="shared" si="75"/>
        <v>2538913</v>
      </c>
      <c r="BO58" s="462">
        <f t="shared" si="75"/>
        <v>137959</v>
      </c>
      <c r="BP58" s="462">
        <f t="shared" si="75"/>
        <v>0</v>
      </c>
      <c r="BQ58" s="462">
        <f t="shared" si="75"/>
        <v>0</v>
      </c>
      <c r="BR58" s="462">
        <f t="shared" si="75"/>
        <v>0</v>
      </c>
      <c r="BS58" s="462">
        <f t="shared" si="75"/>
        <v>904783</v>
      </c>
      <c r="BT58" s="462">
        <f t="shared" si="75"/>
        <v>26769</v>
      </c>
      <c r="BU58" s="462">
        <f t="shared" si="75"/>
        <v>5775</v>
      </c>
      <c r="BV58" s="463">
        <f t="shared" si="75"/>
        <v>4.4086000000000007</v>
      </c>
      <c r="BW58" s="463">
        <f t="shared" si="75"/>
        <v>4.0215000000000005</v>
      </c>
      <c r="BX58" s="290">
        <f t="shared" si="75"/>
        <v>0.3871</v>
      </c>
      <c r="BY58" s="820">
        <f t="shared" si="75"/>
        <v>0</v>
      </c>
      <c r="BZ58" s="716">
        <f t="shared" si="75"/>
        <v>0</v>
      </c>
      <c r="CA58" s="716">
        <f t="shared" si="75"/>
        <v>0</v>
      </c>
      <c r="CB58" s="716">
        <f t="shared" si="75"/>
        <v>0</v>
      </c>
      <c r="CC58" s="716">
        <f t="shared" si="75"/>
        <v>0</v>
      </c>
      <c r="CD58" s="821">
        <f t="shared" si="75"/>
        <v>0</v>
      </c>
      <c r="CE58" s="982">
        <f t="shared" si="75"/>
        <v>62862</v>
      </c>
      <c r="CF58" s="982">
        <f t="shared" si="75"/>
        <v>45230</v>
      </c>
      <c r="CG58" s="982">
        <f t="shared" si="75"/>
        <v>15288</v>
      </c>
      <c r="CH58" s="982">
        <f t="shared" ref="CH58:CJ58" si="76">SUM(CH57)</f>
        <v>452</v>
      </c>
      <c r="CI58" s="982">
        <f t="shared" si="76"/>
        <v>1892</v>
      </c>
      <c r="CJ58" s="935">
        <f t="shared" si="76"/>
        <v>0.12690000000000001</v>
      </c>
    </row>
    <row r="59" spans="1:88" ht="12.95" customHeight="1">
      <c r="A59" s="280">
        <v>12</v>
      </c>
      <c r="B59" s="281">
        <v>4451</v>
      </c>
      <c r="C59" s="281">
        <v>600074927</v>
      </c>
      <c r="D59" s="281">
        <v>49864653</v>
      </c>
      <c r="E59" s="283" t="s">
        <v>329</v>
      </c>
      <c r="F59" s="281">
        <v>3111</v>
      </c>
      <c r="G59" s="284" t="s">
        <v>304</v>
      </c>
      <c r="H59" s="284" t="s">
        <v>271</v>
      </c>
      <c r="I59" s="563">
        <v>8479720</v>
      </c>
      <c r="J59" s="414">
        <v>6207821</v>
      </c>
      <c r="K59" s="414">
        <v>5769731</v>
      </c>
      <c r="L59" s="414">
        <v>438090</v>
      </c>
      <c r="M59" s="414">
        <v>52000</v>
      </c>
      <c r="N59" s="414">
        <v>0</v>
      </c>
      <c r="O59" s="414">
        <v>52000</v>
      </c>
      <c r="P59" s="68">
        <v>2115820</v>
      </c>
      <c r="Q59" s="68">
        <v>62079</v>
      </c>
      <c r="R59" s="414">
        <v>42000</v>
      </c>
      <c r="S59" s="415">
        <v>11.793500000000002</v>
      </c>
      <c r="T59" s="416">
        <v>10</v>
      </c>
      <c r="U59" s="762">
        <v>1.7934999999999999</v>
      </c>
      <c r="V59" s="423">
        <f t="shared" si="3"/>
        <v>-17500</v>
      </c>
      <c r="W59" s="417">
        <f t="shared" si="3"/>
        <v>38756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4"/>
        <v>-17500</v>
      </c>
      <c r="AF59" s="417">
        <f t="shared" si="5"/>
        <v>38756</v>
      </c>
      <c r="AG59" s="417">
        <f t="shared" si="6"/>
        <v>21256</v>
      </c>
      <c r="AH59" s="417">
        <v>17500</v>
      </c>
      <c r="AI59" s="417">
        <v>-38756</v>
      </c>
      <c r="AJ59" s="417">
        <v>0</v>
      </c>
      <c r="AK59" s="417">
        <v>0</v>
      </c>
      <c r="AL59" s="417">
        <v>0</v>
      </c>
      <c r="AM59" s="417">
        <f t="shared" si="7"/>
        <v>17500</v>
      </c>
      <c r="AN59" s="417">
        <f t="shared" si="8"/>
        <v>-38756</v>
      </c>
      <c r="AO59" s="417">
        <f t="shared" si="9"/>
        <v>-21256</v>
      </c>
      <c r="AP59" s="417">
        <f t="shared" si="10"/>
        <v>0</v>
      </c>
      <c r="AQ59" s="417">
        <f t="shared" si="10"/>
        <v>0</v>
      </c>
      <c r="AR59" s="417">
        <f t="shared" si="11"/>
        <v>0</v>
      </c>
      <c r="AS59" s="68">
        <f t="shared" si="12"/>
        <v>0</v>
      </c>
      <c r="AT59" s="68">
        <f t="shared" si="13"/>
        <v>213</v>
      </c>
      <c r="AU59" s="417">
        <v>0</v>
      </c>
      <c r="AV59" s="417">
        <v>0</v>
      </c>
      <c r="AW59" s="417">
        <v>0</v>
      </c>
      <c r="AX59" s="417">
        <f t="shared" si="14"/>
        <v>0</v>
      </c>
      <c r="AY59" s="417">
        <f t="shared" si="15"/>
        <v>213</v>
      </c>
      <c r="AZ59" s="418">
        <v>-0.03</v>
      </c>
      <c r="BA59" s="418">
        <v>0.13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6"/>
        <v>-0.03</v>
      </c>
      <c r="BJ59" s="418">
        <f t="shared" si="17"/>
        <v>0.13</v>
      </c>
      <c r="BK59" s="420">
        <f t="shared" si="18"/>
        <v>0.1</v>
      </c>
      <c r="BL59" s="772">
        <f t="shared" ref="BL59:BL64" si="77">I59+AY59</f>
        <v>8479933</v>
      </c>
      <c r="BM59" s="417">
        <f t="shared" ref="BM59:BM64" si="78">J59+AG59</f>
        <v>6229077</v>
      </c>
      <c r="BN59" s="417">
        <f t="shared" ref="BN59:BO64" si="79">K59+AE59</f>
        <v>5752231</v>
      </c>
      <c r="BO59" s="417">
        <f t="shared" si="79"/>
        <v>476846</v>
      </c>
      <c r="BP59" s="417">
        <f t="shared" ref="BP59:BP64" si="80">M59+AO59</f>
        <v>30744</v>
      </c>
      <c r="BQ59" s="417">
        <f t="shared" ref="BQ59:BR64" si="81">N59+AM59</f>
        <v>17500</v>
      </c>
      <c r="BR59" s="417">
        <f t="shared" si="81"/>
        <v>13244</v>
      </c>
      <c r="BS59" s="417">
        <f t="shared" ref="BS59:BT64" si="82">P59+AS59</f>
        <v>2115820</v>
      </c>
      <c r="BT59" s="417">
        <f t="shared" si="82"/>
        <v>62292</v>
      </c>
      <c r="BU59" s="417">
        <f t="shared" ref="BU59:BU64" si="83">R59+AX59</f>
        <v>42000</v>
      </c>
      <c r="BV59" s="418">
        <f t="shared" ref="BV59:BV64" si="84">S59+BK59</f>
        <v>11.893500000000001</v>
      </c>
      <c r="BW59" s="418">
        <f t="shared" ref="BW59:BX64" si="85">T59+BI59</f>
        <v>9.9700000000000006</v>
      </c>
      <c r="BX59" s="420">
        <f t="shared" si="85"/>
        <v>1.9234999999999998</v>
      </c>
      <c r="BY59" s="596"/>
      <c r="BZ59" s="595"/>
      <c r="CA59" s="595"/>
      <c r="CB59" s="595"/>
      <c r="CC59" s="595"/>
      <c r="CD59" s="981"/>
      <c r="CE59" s="596">
        <v>225938</v>
      </c>
      <c r="CF59" s="595">
        <v>157250</v>
      </c>
      <c r="CG59" s="595">
        <v>53151</v>
      </c>
      <c r="CH59" s="595">
        <v>1572</v>
      </c>
      <c r="CI59" s="595">
        <v>13965</v>
      </c>
      <c r="CJ59" s="981">
        <v>0.63</v>
      </c>
    </row>
    <row r="60" spans="1:88" ht="12.95" customHeight="1">
      <c r="A60" s="280">
        <v>12</v>
      </c>
      <c r="B60" s="281">
        <v>4451</v>
      </c>
      <c r="C60" s="281">
        <v>600074927</v>
      </c>
      <c r="D60" s="281">
        <v>49864653</v>
      </c>
      <c r="E60" s="283" t="s">
        <v>329</v>
      </c>
      <c r="F60" s="281">
        <v>3113</v>
      </c>
      <c r="G60" s="284" t="s">
        <v>308</v>
      </c>
      <c r="H60" s="284" t="s">
        <v>271</v>
      </c>
      <c r="I60" s="563">
        <v>29322097</v>
      </c>
      <c r="J60" s="414">
        <v>21229467</v>
      </c>
      <c r="K60" s="414">
        <v>18906625</v>
      </c>
      <c r="L60" s="414">
        <v>2322842</v>
      </c>
      <c r="M60" s="414">
        <v>175000</v>
      </c>
      <c r="N60" s="414">
        <v>99000</v>
      </c>
      <c r="O60" s="414">
        <v>76000</v>
      </c>
      <c r="P60" s="68">
        <v>7234710</v>
      </c>
      <c r="Q60" s="68">
        <v>212295</v>
      </c>
      <c r="R60" s="414">
        <v>470625</v>
      </c>
      <c r="S60" s="415">
        <v>34.224900000000005</v>
      </c>
      <c r="T60" s="416">
        <v>27.268799999999999</v>
      </c>
      <c r="U60" s="762">
        <v>6.9561000000000002</v>
      </c>
      <c r="V60" s="423">
        <f t="shared" si="3"/>
        <v>-7340</v>
      </c>
      <c r="W60" s="417">
        <f t="shared" si="3"/>
        <v>32800</v>
      </c>
      <c r="X60" s="417">
        <v>0</v>
      </c>
      <c r="Y60" s="417">
        <v>0</v>
      </c>
      <c r="Z60" s="417">
        <v>-210460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4"/>
        <v>-217800</v>
      </c>
      <c r="AF60" s="417">
        <f t="shared" si="5"/>
        <v>32800</v>
      </c>
      <c r="AG60" s="417">
        <f t="shared" si="6"/>
        <v>-185000</v>
      </c>
      <c r="AH60" s="417">
        <v>7340</v>
      </c>
      <c r="AI60" s="417">
        <v>-32800</v>
      </c>
      <c r="AJ60" s="417">
        <v>0</v>
      </c>
      <c r="AK60" s="417">
        <v>0</v>
      </c>
      <c r="AL60" s="417">
        <v>0</v>
      </c>
      <c r="AM60" s="417">
        <f t="shared" si="7"/>
        <v>7340</v>
      </c>
      <c r="AN60" s="417">
        <f t="shared" si="8"/>
        <v>-32800</v>
      </c>
      <c r="AO60" s="417">
        <f t="shared" si="9"/>
        <v>-25460</v>
      </c>
      <c r="AP60" s="417">
        <f t="shared" si="10"/>
        <v>-210460</v>
      </c>
      <c r="AQ60" s="417">
        <f t="shared" si="10"/>
        <v>0</v>
      </c>
      <c r="AR60" s="417">
        <f t="shared" si="11"/>
        <v>-210460</v>
      </c>
      <c r="AS60" s="68">
        <f t="shared" si="12"/>
        <v>-71135</v>
      </c>
      <c r="AT60" s="68">
        <f t="shared" si="13"/>
        <v>-1850</v>
      </c>
      <c r="AU60" s="417">
        <v>0</v>
      </c>
      <c r="AV60" s="417">
        <v>0</v>
      </c>
      <c r="AW60" s="417">
        <v>0</v>
      </c>
      <c r="AX60" s="417">
        <f t="shared" si="14"/>
        <v>0</v>
      </c>
      <c r="AY60" s="417">
        <f t="shared" si="15"/>
        <v>-283445</v>
      </c>
      <c r="AZ60" s="418">
        <v>-0.01</v>
      </c>
      <c r="BA60" s="418">
        <v>0.1</v>
      </c>
      <c r="BB60" s="418">
        <v>0</v>
      </c>
      <c r="BC60" s="418">
        <v>-0.42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6"/>
        <v>-0.43</v>
      </c>
      <c r="BJ60" s="418">
        <f t="shared" si="17"/>
        <v>0.1</v>
      </c>
      <c r="BK60" s="420">
        <f t="shared" si="18"/>
        <v>-0.32999999999999996</v>
      </c>
      <c r="BL60" s="772">
        <f t="shared" si="77"/>
        <v>29038652</v>
      </c>
      <c r="BM60" s="417">
        <f t="shared" si="78"/>
        <v>21044467</v>
      </c>
      <c r="BN60" s="417">
        <f t="shared" si="79"/>
        <v>18688825</v>
      </c>
      <c r="BO60" s="417">
        <f t="shared" si="79"/>
        <v>2355642</v>
      </c>
      <c r="BP60" s="417">
        <f t="shared" si="80"/>
        <v>149540</v>
      </c>
      <c r="BQ60" s="417">
        <f t="shared" si="81"/>
        <v>106340</v>
      </c>
      <c r="BR60" s="417">
        <f t="shared" si="81"/>
        <v>43200</v>
      </c>
      <c r="BS60" s="417">
        <f t="shared" si="82"/>
        <v>7163575</v>
      </c>
      <c r="BT60" s="417">
        <f t="shared" si="82"/>
        <v>210445</v>
      </c>
      <c r="BU60" s="417">
        <f t="shared" si="83"/>
        <v>470625</v>
      </c>
      <c r="BV60" s="418">
        <f t="shared" si="84"/>
        <v>33.894900000000007</v>
      </c>
      <c r="BW60" s="418">
        <f t="shared" si="85"/>
        <v>26.838799999999999</v>
      </c>
      <c r="BX60" s="420">
        <f t="shared" si="85"/>
        <v>7.0560999999999998</v>
      </c>
      <c r="BY60" s="596"/>
      <c r="BZ60" s="595"/>
      <c r="CA60" s="595"/>
      <c r="CB60" s="595"/>
      <c r="CC60" s="595"/>
      <c r="CD60" s="981"/>
      <c r="CE60" s="596">
        <v>1153257</v>
      </c>
      <c r="CF60" s="595">
        <v>769964</v>
      </c>
      <c r="CG60" s="595">
        <v>260247</v>
      </c>
      <c r="CH60" s="595">
        <v>7700</v>
      </c>
      <c r="CI60" s="595">
        <v>115346</v>
      </c>
      <c r="CJ60" s="981">
        <v>2.3067000000000002</v>
      </c>
    </row>
    <row r="61" spans="1:88" ht="12.95" customHeight="1">
      <c r="A61" s="280">
        <v>12</v>
      </c>
      <c r="B61" s="281">
        <v>4451</v>
      </c>
      <c r="C61" s="281">
        <v>600074927</v>
      </c>
      <c r="D61" s="281">
        <v>49864653</v>
      </c>
      <c r="E61" s="283" t="s">
        <v>329</v>
      </c>
      <c r="F61" s="281">
        <v>3113</v>
      </c>
      <c r="G61" s="284" t="s">
        <v>298</v>
      </c>
      <c r="H61" s="284" t="s">
        <v>272</v>
      </c>
      <c r="I61" s="563">
        <v>5814821</v>
      </c>
      <c r="J61" s="414">
        <v>4313666</v>
      </c>
      <c r="K61" s="414">
        <v>4313666</v>
      </c>
      <c r="L61" s="414">
        <v>0</v>
      </c>
      <c r="M61" s="414">
        <v>0</v>
      </c>
      <c r="N61" s="414">
        <v>0</v>
      </c>
      <c r="O61" s="414">
        <v>0</v>
      </c>
      <c r="P61" s="68">
        <v>1458019</v>
      </c>
      <c r="Q61" s="68">
        <v>43136</v>
      </c>
      <c r="R61" s="414">
        <v>0</v>
      </c>
      <c r="S61" s="415">
        <v>12.6</v>
      </c>
      <c r="T61" s="416">
        <v>12.6</v>
      </c>
      <c r="U61" s="762">
        <v>0</v>
      </c>
      <c r="V61" s="423">
        <f t="shared" si="3"/>
        <v>0</v>
      </c>
      <c r="W61" s="417">
        <f t="shared" si="3"/>
        <v>0</v>
      </c>
      <c r="X61" s="417">
        <v>46350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4"/>
        <v>46350</v>
      </c>
      <c r="AF61" s="417">
        <f t="shared" si="5"/>
        <v>0</v>
      </c>
      <c r="AG61" s="417">
        <f t="shared" si="6"/>
        <v>46350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7"/>
        <v>0</v>
      </c>
      <c r="AN61" s="417">
        <f t="shared" si="8"/>
        <v>0</v>
      </c>
      <c r="AO61" s="417">
        <f t="shared" si="9"/>
        <v>0</v>
      </c>
      <c r="AP61" s="417">
        <f t="shared" si="10"/>
        <v>46350</v>
      </c>
      <c r="AQ61" s="417">
        <f t="shared" si="10"/>
        <v>0</v>
      </c>
      <c r="AR61" s="417">
        <f t="shared" si="11"/>
        <v>46350</v>
      </c>
      <c r="AS61" s="68">
        <f t="shared" si="12"/>
        <v>15666</v>
      </c>
      <c r="AT61" s="68">
        <f t="shared" si="13"/>
        <v>464</v>
      </c>
      <c r="AU61" s="417">
        <v>2500</v>
      </c>
      <c r="AV61" s="417">
        <v>0</v>
      </c>
      <c r="AW61" s="417">
        <v>0</v>
      </c>
      <c r="AX61" s="417">
        <f t="shared" si="14"/>
        <v>2500</v>
      </c>
      <c r="AY61" s="417">
        <f t="shared" si="15"/>
        <v>64980</v>
      </c>
      <c r="AZ61" s="418">
        <v>0</v>
      </c>
      <c r="BA61" s="418">
        <v>0</v>
      </c>
      <c r="BB61" s="418">
        <v>0.13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6"/>
        <v>0.13</v>
      </c>
      <c r="BJ61" s="418">
        <f t="shared" si="17"/>
        <v>0</v>
      </c>
      <c r="BK61" s="420">
        <f t="shared" si="18"/>
        <v>0.13</v>
      </c>
      <c r="BL61" s="772">
        <f t="shared" si="77"/>
        <v>5879801</v>
      </c>
      <c r="BM61" s="417">
        <f t="shared" si="78"/>
        <v>4360016</v>
      </c>
      <c r="BN61" s="417">
        <f t="shared" si="79"/>
        <v>4360016</v>
      </c>
      <c r="BO61" s="417">
        <f t="shared" si="79"/>
        <v>0</v>
      </c>
      <c r="BP61" s="417">
        <f t="shared" si="80"/>
        <v>0</v>
      </c>
      <c r="BQ61" s="417">
        <f t="shared" si="81"/>
        <v>0</v>
      </c>
      <c r="BR61" s="417">
        <f t="shared" si="81"/>
        <v>0</v>
      </c>
      <c r="BS61" s="417">
        <f t="shared" si="82"/>
        <v>1473685</v>
      </c>
      <c r="BT61" s="417">
        <f t="shared" si="82"/>
        <v>43600</v>
      </c>
      <c r="BU61" s="417">
        <f t="shared" si="83"/>
        <v>2500</v>
      </c>
      <c r="BV61" s="418">
        <f t="shared" si="84"/>
        <v>12.73</v>
      </c>
      <c r="BW61" s="418">
        <f t="shared" si="85"/>
        <v>12.73</v>
      </c>
      <c r="BX61" s="420">
        <f t="shared" si="85"/>
        <v>0</v>
      </c>
      <c r="BY61" s="596"/>
      <c r="BZ61" s="595"/>
      <c r="CA61" s="595"/>
      <c r="CB61" s="595"/>
      <c r="CC61" s="595"/>
      <c r="CD61" s="981"/>
      <c r="CE61" s="596"/>
      <c r="CF61" s="595"/>
      <c r="CG61" s="595"/>
      <c r="CH61" s="595"/>
      <c r="CI61" s="595"/>
      <c r="CJ61" s="981"/>
    </row>
    <row r="62" spans="1:88" ht="12.95" customHeight="1">
      <c r="A62" s="280">
        <v>12</v>
      </c>
      <c r="B62" s="281">
        <v>4451</v>
      </c>
      <c r="C62" s="281">
        <v>600074927</v>
      </c>
      <c r="D62" s="281">
        <v>49864653</v>
      </c>
      <c r="E62" s="283" t="s">
        <v>329</v>
      </c>
      <c r="F62" s="281">
        <v>3141</v>
      </c>
      <c r="G62" s="284" t="s">
        <v>294</v>
      </c>
      <c r="H62" s="284" t="s">
        <v>272</v>
      </c>
      <c r="I62" s="563">
        <v>3934786</v>
      </c>
      <c r="J62" s="414">
        <v>2900794</v>
      </c>
      <c r="K62" s="414">
        <v>0</v>
      </c>
      <c r="L62" s="414">
        <v>2900794</v>
      </c>
      <c r="M62" s="414">
        <v>0</v>
      </c>
      <c r="N62" s="414">
        <v>0</v>
      </c>
      <c r="O62" s="414">
        <v>0</v>
      </c>
      <c r="P62" s="68">
        <v>980468</v>
      </c>
      <c r="Q62" s="68">
        <v>29008</v>
      </c>
      <c r="R62" s="414">
        <v>24516</v>
      </c>
      <c r="S62" s="415">
        <v>8.7000000000000011</v>
      </c>
      <c r="T62" s="416">
        <v>0</v>
      </c>
      <c r="U62" s="762">
        <v>8.7000000000000011</v>
      </c>
      <c r="V62" s="423">
        <f t="shared" si="3"/>
        <v>0</v>
      </c>
      <c r="W62" s="417">
        <f t="shared" si="3"/>
        <v>0</v>
      </c>
      <c r="X62" s="417">
        <v>0</v>
      </c>
      <c r="Y62" s="417">
        <v>0</v>
      </c>
      <c r="Z62" s="417">
        <v>0</v>
      </c>
      <c r="AA62" s="417">
        <v>-31725</v>
      </c>
      <c r="AB62" s="417">
        <v>0</v>
      </c>
      <c r="AC62" s="417">
        <v>0</v>
      </c>
      <c r="AD62" s="417">
        <v>0</v>
      </c>
      <c r="AE62" s="417">
        <f t="shared" si="4"/>
        <v>0</v>
      </c>
      <c r="AF62" s="417">
        <f t="shared" si="5"/>
        <v>-31725</v>
      </c>
      <c r="AG62" s="417">
        <f t="shared" si="6"/>
        <v>-31725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7"/>
        <v>0</v>
      </c>
      <c r="AN62" s="417">
        <f t="shared" si="8"/>
        <v>0</v>
      </c>
      <c r="AO62" s="417">
        <f t="shared" si="9"/>
        <v>0</v>
      </c>
      <c r="AP62" s="417">
        <f t="shared" si="10"/>
        <v>0</v>
      </c>
      <c r="AQ62" s="417">
        <f t="shared" si="10"/>
        <v>-31725</v>
      </c>
      <c r="AR62" s="417">
        <f t="shared" si="11"/>
        <v>-31725</v>
      </c>
      <c r="AS62" s="68">
        <f t="shared" si="12"/>
        <v>-10723</v>
      </c>
      <c r="AT62" s="68">
        <f t="shared" si="13"/>
        <v>-317</v>
      </c>
      <c r="AU62" s="417">
        <v>0</v>
      </c>
      <c r="AV62" s="417">
        <v>0</v>
      </c>
      <c r="AW62" s="417">
        <v>0</v>
      </c>
      <c r="AX62" s="417">
        <f t="shared" si="14"/>
        <v>0</v>
      </c>
      <c r="AY62" s="417">
        <f t="shared" si="15"/>
        <v>-42765</v>
      </c>
      <c r="AZ62" s="418">
        <v>0</v>
      </c>
      <c r="BA62" s="418">
        <v>0</v>
      </c>
      <c r="BB62" s="418">
        <v>0</v>
      </c>
      <c r="BC62" s="418">
        <v>0</v>
      </c>
      <c r="BD62" s="418">
        <v>-0.09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6"/>
        <v>0</v>
      </c>
      <c r="BJ62" s="418">
        <f t="shared" si="17"/>
        <v>-0.09</v>
      </c>
      <c r="BK62" s="420">
        <f t="shared" si="18"/>
        <v>-0.09</v>
      </c>
      <c r="BL62" s="772">
        <f t="shared" si="77"/>
        <v>3892021</v>
      </c>
      <c r="BM62" s="417">
        <f t="shared" si="78"/>
        <v>2869069</v>
      </c>
      <c r="BN62" s="417">
        <f t="shared" si="79"/>
        <v>0</v>
      </c>
      <c r="BO62" s="417">
        <f t="shared" si="79"/>
        <v>2869069</v>
      </c>
      <c r="BP62" s="417">
        <f t="shared" si="80"/>
        <v>0</v>
      </c>
      <c r="BQ62" s="417">
        <f t="shared" si="81"/>
        <v>0</v>
      </c>
      <c r="BR62" s="417">
        <f t="shared" si="81"/>
        <v>0</v>
      </c>
      <c r="BS62" s="417">
        <f t="shared" si="82"/>
        <v>969745</v>
      </c>
      <c r="BT62" s="417">
        <f t="shared" si="82"/>
        <v>28691</v>
      </c>
      <c r="BU62" s="417">
        <f t="shared" si="83"/>
        <v>24516</v>
      </c>
      <c r="BV62" s="418">
        <f t="shared" si="84"/>
        <v>8.6100000000000012</v>
      </c>
      <c r="BW62" s="418">
        <f t="shared" si="85"/>
        <v>0</v>
      </c>
      <c r="BX62" s="420">
        <f t="shared" si="85"/>
        <v>8.6100000000000012</v>
      </c>
      <c r="BY62" s="596"/>
      <c r="BZ62" s="595"/>
      <c r="CA62" s="595"/>
      <c r="CB62" s="595"/>
      <c r="CC62" s="595"/>
      <c r="CD62" s="981"/>
      <c r="CE62" s="596"/>
      <c r="CF62" s="595"/>
      <c r="CG62" s="595"/>
      <c r="CH62" s="595"/>
      <c r="CI62" s="595"/>
      <c r="CJ62" s="981"/>
    </row>
    <row r="63" spans="1:88" ht="12.95" customHeight="1">
      <c r="A63" s="280">
        <v>12</v>
      </c>
      <c r="B63" s="281">
        <v>4451</v>
      </c>
      <c r="C63" s="281">
        <v>600074927</v>
      </c>
      <c r="D63" s="281">
        <v>49864653</v>
      </c>
      <c r="E63" s="283" t="s">
        <v>329</v>
      </c>
      <c r="F63" s="281">
        <v>3143</v>
      </c>
      <c r="G63" s="284" t="s">
        <v>595</v>
      </c>
      <c r="H63" s="284" t="s">
        <v>271</v>
      </c>
      <c r="I63" s="563">
        <v>2335790</v>
      </c>
      <c r="J63" s="414">
        <v>1732782</v>
      </c>
      <c r="K63" s="414">
        <v>1732782</v>
      </c>
      <c r="L63" s="414">
        <v>0</v>
      </c>
      <c r="M63" s="414">
        <v>0</v>
      </c>
      <c r="N63" s="414">
        <v>0</v>
      </c>
      <c r="O63" s="414">
        <v>0</v>
      </c>
      <c r="P63" s="68">
        <v>585680</v>
      </c>
      <c r="Q63" s="68">
        <v>17328</v>
      </c>
      <c r="R63" s="414">
        <v>0</v>
      </c>
      <c r="S63" s="415">
        <v>3.5259</v>
      </c>
      <c r="T63" s="416">
        <v>3.5259</v>
      </c>
      <c r="U63" s="762">
        <v>0</v>
      </c>
      <c r="V63" s="423">
        <f t="shared" si="3"/>
        <v>0</v>
      </c>
      <c r="W63" s="417">
        <f t="shared" si="3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4"/>
        <v>0</v>
      </c>
      <c r="AF63" s="417">
        <f t="shared" si="5"/>
        <v>0</v>
      </c>
      <c r="AG63" s="417">
        <f t="shared" si="6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7"/>
        <v>0</v>
      </c>
      <c r="AN63" s="417">
        <f t="shared" si="8"/>
        <v>0</v>
      </c>
      <c r="AO63" s="417">
        <f t="shared" si="9"/>
        <v>0</v>
      </c>
      <c r="AP63" s="417">
        <f t="shared" si="10"/>
        <v>0</v>
      </c>
      <c r="AQ63" s="417">
        <f t="shared" si="10"/>
        <v>0</v>
      </c>
      <c r="AR63" s="417">
        <f t="shared" si="11"/>
        <v>0</v>
      </c>
      <c r="AS63" s="68">
        <f t="shared" si="12"/>
        <v>0</v>
      </c>
      <c r="AT63" s="68">
        <f t="shared" si="13"/>
        <v>0</v>
      </c>
      <c r="AU63" s="417">
        <v>0</v>
      </c>
      <c r="AV63" s="417">
        <v>0</v>
      </c>
      <c r="AW63" s="417">
        <v>0</v>
      </c>
      <c r="AX63" s="417">
        <f t="shared" si="14"/>
        <v>0</v>
      </c>
      <c r="AY63" s="417">
        <f t="shared" si="15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6"/>
        <v>0</v>
      </c>
      <c r="BJ63" s="418">
        <f t="shared" si="17"/>
        <v>0</v>
      </c>
      <c r="BK63" s="420">
        <f t="shared" si="18"/>
        <v>0</v>
      </c>
      <c r="BL63" s="772">
        <f t="shared" si="77"/>
        <v>2335790</v>
      </c>
      <c r="BM63" s="417">
        <f t="shared" si="78"/>
        <v>1732782</v>
      </c>
      <c r="BN63" s="417">
        <f t="shared" si="79"/>
        <v>1732782</v>
      </c>
      <c r="BO63" s="417">
        <f t="shared" si="79"/>
        <v>0</v>
      </c>
      <c r="BP63" s="417">
        <f t="shared" si="80"/>
        <v>0</v>
      </c>
      <c r="BQ63" s="417">
        <f t="shared" si="81"/>
        <v>0</v>
      </c>
      <c r="BR63" s="417">
        <f t="shared" si="81"/>
        <v>0</v>
      </c>
      <c r="BS63" s="417">
        <f t="shared" si="82"/>
        <v>585680</v>
      </c>
      <c r="BT63" s="417">
        <f t="shared" si="82"/>
        <v>17328</v>
      </c>
      <c r="BU63" s="417">
        <f t="shared" si="83"/>
        <v>0</v>
      </c>
      <c r="BV63" s="418">
        <f t="shared" si="84"/>
        <v>3.5259</v>
      </c>
      <c r="BW63" s="418">
        <f t="shared" si="85"/>
        <v>3.5259</v>
      </c>
      <c r="BX63" s="420">
        <f t="shared" si="85"/>
        <v>0</v>
      </c>
      <c r="BY63" s="596"/>
      <c r="BZ63" s="595"/>
      <c r="CA63" s="595"/>
      <c r="CB63" s="595"/>
      <c r="CC63" s="595"/>
      <c r="CD63" s="981"/>
      <c r="CE63" s="596"/>
      <c r="CF63" s="595"/>
      <c r="CG63" s="595"/>
      <c r="CH63" s="595"/>
      <c r="CI63" s="595"/>
      <c r="CJ63" s="981"/>
    </row>
    <row r="64" spans="1:88" ht="12.95" customHeight="1">
      <c r="A64" s="280">
        <v>12</v>
      </c>
      <c r="B64" s="281">
        <v>4451</v>
      </c>
      <c r="C64" s="281">
        <v>600074927</v>
      </c>
      <c r="D64" s="281">
        <v>49864653</v>
      </c>
      <c r="E64" s="283" t="s">
        <v>329</v>
      </c>
      <c r="F64" s="281">
        <v>3143</v>
      </c>
      <c r="G64" s="284" t="s">
        <v>596</v>
      </c>
      <c r="H64" s="284" t="s">
        <v>272</v>
      </c>
      <c r="I64" s="563">
        <v>69156</v>
      </c>
      <c r="J64" s="414">
        <v>49500</v>
      </c>
      <c r="K64" s="414">
        <v>0</v>
      </c>
      <c r="L64" s="414">
        <v>49500</v>
      </c>
      <c r="M64" s="414">
        <v>0</v>
      </c>
      <c r="N64" s="414">
        <v>0</v>
      </c>
      <c r="O64" s="414">
        <v>0</v>
      </c>
      <c r="P64" s="68">
        <v>16731</v>
      </c>
      <c r="Q64" s="68">
        <v>495</v>
      </c>
      <c r="R64" s="414">
        <v>2430</v>
      </c>
      <c r="S64" s="415">
        <v>0.185</v>
      </c>
      <c r="T64" s="416">
        <v>0</v>
      </c>
      <c r="U64" s="762">
        <v>0.185</v>
      </c>
      <c r="V64" s="423">
        <f t="shared" si="3"/>
        <v>0</v>
      </c>
      <c r="W64" s="417">
        <f t="shared" si="3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4"/>
        <v>0</v>
      </c>
      <c r="AF64" s="417">
        <f t="shared" si="5"/>
        <v>0</v>
      </c>
      <c r="AG64" s="417">
        <f t="shared" si="6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7"/>
        <v>0</v>
      </c>
      <c r="AN64" s="417">
        <f t="shared" si="8"/>
        <v>0</v>
      </c>
      <c r="AO64" s="417">
        <f t="shared" si="9"/>
        <v>0</v>
      </c>
      <c r="AP64" s="417">
        <f t="shared" si="10"/>
        <v>0</v>
      </c>
      <c r="AQ64" s="417">
        <f t="shared" si="10"/>
        <v>0</v>
      </c>
      <c r="AR64" s="417">
        <f t="shared" si="11"/>
        <v>0</v>
      </c>
      <c r="AS64" s="68">
        <f t="shared" si="12"/>
        <v>0</v>
      </c>
      <c r="AT64" s="68">
        <f t="shared" si="13"/>
        <v>0</v>
      </c>
      <c r="AU64" s="417">
        <v>0</v>
      </c>
      <c r="AV64" s="417">
        <v>0</v>
      </c>
      <c r="AW64" s="417">
        <v>0</v>
      </c>
      <c r="AX64" s="417">
        <f t="shared" si="14"/>
        <v>0</v>
      </c>
      <c r="AY64" s="417">
        <f t="shared" si="15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6"/>
        <v>0</v>
      </c>
      <c r="BJ64" s="418">
        <f t="shared" si="17"/>
        <v>0</v>
      </c>
      <c r="BK64" s="420">
        <f t="shared" si="18"/>
        <v>0</v>
      </c>
      <c r="BL64" s="772">
        <f t="shared" si="77"/>
        <v>69156</v>
      </c>
      <c r="BM64" s="417">
        <f t="shared" si="78"/>
        <v>49500</v>
      </c>
      <c r="BN64" s="417">
        <f t="shared" si="79"/>
        <v>0</v>
      </c>
      <c r="BO64" s="417">
        <f t="shared" si="79"/>
        <v>49500</v>
      </c>
      <c r="BP64" s="417">
        <f t="shared" si="80"/>
        <v>0</v>
      </c>
      <c r="BQ64" s="417">
        <f t="shared" si="81"/>
        <v>0</v>
      </c>
      <c r="BR64" s="417">
        <f t="shared" si="81"/>
        <v>0</v>
      </c>
      <c r="BS64" s="417">
        <f t="shared" si="82"/>
        <v>16731</v>
      </c>
      <c r="BT64" s="417">
        <f t="shared" si="82"/>
        <v>495</v>
      </c>
      <c r="BU64" s="417">
        <f t="shared" si="83"/>
        <v>2430</v>
      </c>
      <c r="BV64" s="418">
        <f t="shared" si="84"/>
        <v>0.185</v>
      </c>
      <c r="BW64" s="418">
        <f t="shared" si="85"/>
        <v>0</v>
      </c>
      <c r="BX64" s="420">
        <f t="shared" si="85"/>
        <v>0.185</v>
      </c>
      <c r="BY64" s="596"/>
      <c r="BZ64" s="595"/>
      <c r="CA64" s="595"/>
      <c r="CB64" s="595"/>
      <c r="CC64" s="595"/>
      <c r="CD64" s="981"/>
      <c r="CE64" s="596"/>
      <c r="CF64" s="595"/>
      <c r="CG64" s="595"/>
      <c r="CH64" s="595"/>
      <c r="CI64" s="595"/>
      <c r="CJ64" s="981"/>
    </row>
    <row r="65" spans="1:88" ht="12.95" customHeight="1">
      <c r="A65" s="273">
        <v>12</v>
      </c>
      <c r="B65" s="275">
        <v>4451</v>
      </c>
      <c r="C65" s="275">
        <v>600074927</v>
      </c>
      <c r="D65" s="275">
        <v>49864653</v>
      </c>
      <c r="E65" s="288" t="s">
        <v>330</v>
      </c>
      <c r="F65" s="291"/>
      <c r="G65" s="292"/>
      <c r="H65" s="292"/>
      <c r="I65" s="465">
        <v>49956370</v>
      </c>
      <c r="J65" s="462">
        <v>36434030</v>
      </c>
      <c r="K65" s="462">
        <v>30722804</v>
      </c>
      <c r="L65" s="462">
        <v>5711226</v>
      </c>
      <c r="M65" s="462">
        <v>227000</v>
      </c>
      <c r="N65" s="462">
        <v>99000</v>
      </c>
      <c r="O65" s="462">
        <v>128000</v>
      </c>
      <c r="P65" s="462">
        <v>12391428</v>
      </c>
      <c r="Q65" s="462">
        <v>364341</v>
      </c>
      <c r="R65" s="462">
        <v>539571</v>
      </c>
      <c r="S65" s="463">
        <v>71.029300000000006</v>
      </c>
      <c r="T65" s="463">
        <v>53.3947</v>
      </c>
      <c r="U65" s="533">
        <v>17.634600000000002</v>
      </c>
      <c r="V65" s="465">
        <f t="shared" ref="V65:BK65" si="86">SUM(V59:V64)</f>
        <v>-24840</v>
      </c>
      <c r="W65" s="462">
        <f t="shared" si="86"/>
        <v>71556</v>
      </c>
      <c r="X65" s="462">
        <f t="shared" si="86"/>
        <v>46350</v>
      </c>
      <c r="Y65" s="462">
        <f t="shared" si="86"/>
        <v>0</v>
      </c>
      <c r="Z65" s="462">
        <f t="shared" si="86"/>
        <v>-210460</v>
      </c>
      <c r="AA65" s="462">
        <f t="shared" si="86"/>
        <v>-31725</v>
      </c>
      <c r="AB65" s="462">
        <f t="shared" si="86"/>
        <v>0</v>
      </c>
      <c r="AC65" s="462">
        <f t="shared" si="86"/>
        <v>0</v>
      </c>
      <c r="AD65" s="462">
        <f t="shared" si="86"/>
        <v>0</v>
      </c>
      <c r="AE65" s="462">
        <f t="shared" si="86"/>
        <v>-188950</v>
      </c>
      <c r="AF65" s="462">
        <f t="shared" si="86"/>
        <v>39831</v>
      </c>
      <c r="AG65" s="462">
        <f t="shared" si="86"/>
        <v>-149119</v>
      </c>
      <c r="AH65" s="462">
        <f t="shared" si="86"/>
        <v>24840</v>
      </c>
      <c r="AI65" s="462">
        <f t="shared" si="86"/>
        <v>-71556</v>
      </c>
      <c r="AJ65" s="462">
        <f t="shared" si="86"/>
        <v>0</v>
      </c>
      <c r="AK65" s="462">
        <f t="shared" si="86"/>
        <v>0</v>
      </c>
      <c r="AL65" s="462">
        <f t="shared" si="86"/>
        <v>0</v>
      </c>
      <c r="AM65" s="462">
        <f t="shared" si="86"/>
        <v>24840</v>
      </c>
      <c r="AN65" s="462">
        <f t="shared" si="86"/>
        <v>-71556</v>
      </c>
      <c r="AO65" s="462">
        <f t="shared" si="86"/>
        <v>-46716</v>
      </c>
      <c r="AP65" s="462">
        <f t="shared" si="86"/>
        <v>-164110</v>
      </c>
      <c r="AQ65" s="462">
        <f t="shared" si="86"/>
        <v>-31725</v>
      </c>
      <c r="AR65" s="462">
        <f t="shared" si="86"/>
        <v>-195835</v>
      </c>
      <c r="AS65" s="462">
        <f t="shared" si="86"/>
        <v>-66192</v>
      </c>
      <c r="AT65" s="462">
        <f t="shared" si="86"/>
        <v>-1490</v>
      </c>
      <c r="AU65" s="462">
        <f t="shared" si="86"/>
        <v>2500</v>
      </c>
      <c r="AV65" s="462">
        <f t="shared" si="86"/>
        <v>0</v>
      </c>
      <c r="AW65" s="462">
        <f t="shared" si="86"/>
        <v>0</v>
      </c>
      <c r="AX65" s="462">
        <f t="shared" si="86"/>
        <v>2500</v>
      </c>
      <c r="AY65" s="462">
        <f t="shared" si="86"/>
        <v>-261017</v>
      </c>
      <c r="AZ65" s="463">
        <f t="shared" si="86"/>
        <v>-0.04</v>
      </c>
      <c r="BA65" s="463">
        <f t="shared" si="86"/>
        <v>0.23</v>
      </c>
      <c r="BB65" s="463">
        <f t="shared" si="86"/>
        <v>0.13</v>
      </c>
      <c r="BC65" s="463">
        <f t="shared" si="86"/>
        <v>-0.42</v>
      </c>
      <c r="BD65" s="463">
        <f t="shared" si="86"/>
        <v>-0.09</v>
      </c>
      <c r="BE65" s="463">
        <f t="shared" si="86"/>
        <v>0</v>
      </c>
      <c r="BF65" s="463">
        <f t="shared" si="86"/>
        <v>0</v>
      </c>
      <c r="BG65" s="463">
        <f t="shared" si="86"/>
        <v>0</v>
      </c>
      <c r="BH65" s="463">
        <f t="shared" si="86"/>
        <v>0</v>
      </c>
      <c r="BI65" s="463">
        <f t="shared" si="86"/>
        <v>-0.32999999999999996</v>
      </c>
      <c r="BJ65" s="463">
        <f t="shared" si="86"/>
        <v>0.14000000000000001</v>
      </c>
      <c r="BK65" s="290">
        <f t="shared" si="86"/>
        <v>-0.18999999999999995</v>
      </c>
      <c r="BL65" s="776">
        <f t="shared" ref="BL65:CG65" si="87">SUM(BL59:BL64)</f>
        <v>49695353</v>
      </c>
      <c r="BM65" s="462">
        <f t="shared" si="87"/>
        <v>36284911</v>
      </c>
      <c r="BN65" s="462">
        <f t="shared" si="87"/>
        <v>30533854</v>
      </c>
      <c r="BO65" s="462">
        <f t="shared" si="87"/>
        <v>5751057</v>
      </c>
      <c r="BP65" s="462">
        <f t="shared" si="87"/>
        <v>180284</v>
      </c>
      <c r="BQ65" s="462">
        <f t="shared" si="87"/>
        <v>123840</v>
      </c>
      <c r="BR65" s="462">
        <f t="shared" si="87"/>
        <v>56444</v>
      </c>
      <c r="BS65" s="462">
        <f t="shared" si="87"/>
        <v>12325236</v>
      </c>
      <c r="BT65" s="462">
        <f t="shared" si="87"/>
        <v>362851</v>
      </c>
      <c r="BU65" s="462">
        <f t="shared" si="87"/>
        <v>542071</v>
      </c>
      <c r="BV65" s="463">
        <f t="shared" si="87"/>
        <v>70.839300000000009</v>
      </c>
      <c r="BW65" s="463">
        <f t="shared" si="87"/>
        <v>53.064699999999995</v>
      </c>
      <c r="BX65" s="290">
        <f t="shared" si="87"/>
        <v>17.7746</v>
      </c>
      <c r="BY65" s="820">
        <f t="shared" si="87"/>
        <v>0</v>
      </c>
      <c r="BZ65" s="716">
        <f t="shared" si="87"/>
        <v>0</v>
      </c>
      <c r="CA65" s="716">
        <f t="shared" si="87"/>
        <v>0</v>
      </c>
      <c r="CB65" s="716">
        <f t="shared" si="87"/>
        <v>0</v>
      </c>
      <c r="CC65" s="716">
        <f t="shared" si="87"/>
        <v>0</v>
      </c>
      <c r="CD65" s="821">
        <f t="shared" si="87"/>
        <v>0</v>
      </c>
      <c r="CE65" s="982">
        <f t="shared" si="87"/>
        <v>1379195</v>
      </c>
      <c r="CF65" s="982">
        <f t="shared" si="87"/>
        <v>927214</v>
      </c>
      <c r="CG65" s="982">
        <f t="shared" si="87"/>
        <v>313398</v>
      </c>
      <c r="CH65" s="982">
        <f t="shared" ref="CH65:CJ65" si="88">SUM(CH59:CH64)</f>
        <v>9272</v>
      </c>
      <c r="CI65" s="982">
        <f t="shared" si="88"/>
        <v>129311</v>
      </c>
      <c r="CJ65" s="935">
        <f t="shared" si="88"/>
        <v>2.9367000000000001</v>
      </c>
    </row>
    <row r="66" spans="1:88" ht="12.95" customHeight="1">
      <c r="A66" s="280">
        <v>13</v>
      </c>
      <c r="B66" s="281">
        <v>4450</v>
      </c>
      <c r="C66" s="281">
        <v>650033841</v>
      </c>
      <c r="D66" s="281">
        <v>72744995</v>
      </c>
      <c r="E66" s="283" t="s">
        <v>331</v>
      </c>
      <c r="F66" s="281">
        <v>3111</v>
      </c>
      <c r="G66" s="284" t="s">
        <v>332</v>
      </c>
      <c r="H66" s="284" t="s">
        <v>271</v>
      </c>
      <c r="I66" s="563">
        <v>1634139</v>
      </c>
      <c r="J66" s="414">
        <v>1188468</v>
      </c>
      <c r="K66" s="414">
        <v>1106259</v>
      </c>
      <c r="L66" s="414">
        <v>82209</v>
      </c>
      <c r="M66" s="414">
        <v>18000</v>
      </c>
      <c r="N66" s="414">
        <v>12000</v>
      </c>
      <c r="O66" s="414">
        <v>6000</v>
      </c>
      <c r="P66" s="68">
        <v>407786</v>
      </c>
      <c r="Q66" s="68">
        <v>11885</v>
      </c>
      <c r="R66" s="414">
        <v>8000</v>
      </c>
      <c r="S66" s="415">
        <v>2.2888999999999999</v>
      </c>
      <c r="T66" s="416">
        <v>1.9355</v>
      </c>
      <c r="U66" s="762">
        <v>0.35339999999999999</v>
      </c>
      <c r="V66" s="423">
        <f t="shared" si="3"/>
        <v>2000</v>
      </c>
      <c r="W66" s="417">
        <f t="shared" si="3"/>
        <v>6000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4"/>
        <v>2000</v>
      </c>
      <c r="AF66" s="417">
        <f t="shared" si="5"/>
        <v>6000</v>
      </c>
      <c r="AG66" s="417">
        <f t="shared" si="6"/>
        <v>8000</v>
      </c>
      <c r="AH66" s="417">
        <v>-2000</v>
      </c>
      <c r="AI66" s="417">
        <v>-6000</v>
      </c>
      <c r="AJ66" s="417">
        <v>0</v>
      </c>
      <c r="AK66" s="417">
        <v>0</v>
      </c>
      <c r="AL66" s="417">
        <v>0</v>
      </c>
      <c r="AM66" s="417">
        <f t="shared" si="7"/>
        <v>-2000</v>
      </c>
      <c r="AN66" s="417">
        <f t="shared" si="8"/>
        <v>-6000</v>
      </c>
      <c r="AO66" s="417">
        <f t="shared" si="9"/>
        <v>-8000</v>
      </c>
      <c r="AP66" s="417">
        <f t="shared" si="10"/>
        <v>0</v>
      </c>
      <c r="AQ66" s="417">
        <f t="shared" si="10"/>
        <v>0</v>
      </c>
      <c r="AR66" s="417">
        <f t="shared" si="11"/>
        <v>0</v>
      </c>
      <c r="AS66" s="68">
        <f t="shared" si="12"/>
        <v>0</v>
      </c>
      <c r="AT66" s="68">
        <f t="shared" si="13"/>
        <v>80</v>
      </c>
      <c r="AU66" s="417">
        <v>0</v>
      </c>
      <c r="AV66" s="417">
        <v>0</v>
      </c>
      <c r="AW66" s="417">
        <v>0</v>
      </c>
      <c r="AX66" s="417">
        <f t="shared" si="14"/>
        <v>0</v>
      </c>
      <c r="AY66" s="417">
        <f t="shared" si="15"/>
        <v>80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6"/>
        <v>0</v>
      </c>
      <c r="BJ66" s="418">
        <f t="shared" si="17"/>
        <v>0</v>
      </c>
      <c r="BK66" s="420">
        <f t="shared" si="18"/>
        <v>0</v>
      </c>
      <c r="BL66" s="772">
        <f t="shared" ref="BL66:BL71" si="89">I66+AY66</f>
        <v>1634219</v>
      </c>
      <c r="BM66" s="417">
        <f t="shared" ref="BM66:BM71" si="90">J66+AG66</f>
        <v>1196468</v>
      </c>
      <c r="BN66" s="417">
        <f t="shared" ref="BN66:BO71" si="91">K66+AE66</f>
        <v>1108259</v>
      </c>
      <c r="BO66" s="417">
        <f t="shared" si="91"/>
        <v>88209</v>
      </c>
      <c r="BP66" s="417">
        <f t="shared" ref="BP66:BP71" si="92">M66+AO66</f>
        <v>10000</v>
      </c>
      <c r="BQ66" s="417">
        <f t="shared" ref="BQ66:BR71" si="93">N66+AM66</f>
        <v>10000</v>
      </c>
      <c r="BR66" s="417">
        <f t="shared" si="93"/>
        <v>0</v>
      </c>
      <c r="BS66" s="417">
        <f t="shared" ref="BS66:BT71" si="94">P66+AS66</f>
        <v>407786</v>
      </c>
      <c r="BT66" s="417">
        <f t="shared" si="94"/>
        <v>11965</v>
      </c>
      <c r="BU66" s="417">
        <f t="shared" ref="BU66:BU71" si="95">R66+AX66</f>
        <v>8000</v>
      </c>
      <c r="BV66" s="418">
        <f t="shared" ref="BV66:BV71" si="96">S66+BK66</f>
        <v>2.2888999999999999</v>
      </c>
      <c r="BW66" s="418">
        <f t="shared" ref="BW66:BX71" si="97">T66+BI66</f>
        <v>1.9355</v>
      </c>
      <c r="BX66" s="420">
        <f t="shared" si="97"/>
        <v>0.35339999999999999</v>
      </c>
      <c r="BY66" s="596"/>
      <c r="BZ66" s="595"/>
      <c r="CA66" s="595"/>
      <c r="CB66" s="595"/>
      <c r="CC66" s="595"/>
      <c r="CD66" s="981"/>
      <c r="CE66" s="596">
        <v>40815</v>
      </c>
      <c r="CF66" s="595">
        <v>28305</v>
      </c>
      <c r="CG66" s="595">
        <v>9567</v>
      </c>
      <c r="CH66" s="595">
        <v>283</v>
      </c>
      <c r="CI66" s="595">
        <v>2660</v>
      </c>
      <c r="CJ66" s="981">
        <v>0.1134</v>
      </c>
    </row>
    <row r="67" spans="1:88" ht="12.95" customHeight="1">
      <c r="A67" s="280">
        <v>13</v>
      </c>
      <c r="B67" s="281">
        <v>4450</v>
      </c>
      <c r="C67" s="281">
        <v>650033841</v>
      </c>
      <c r="D67" s="281">
        <v>72744995</v>
      </c>
      <c r="E67" s="283" t="s">
        <v>331</v>
      </c>
      <c r="F67" s="281">
        <v>3117</v>
      </c>
      <c r="G67" s="284" t="s">
        <v>308</v>
      </c>
      <c r="H67" s="284" t="s">
        <v>271</v>
      </c>
      <c r="I67" s="563">
        <v>3579744</v>
      </c>
      <c r="J67" s="414">
        <v>2606864</v>
      </c>
      <c r="K67" s="414">
        <v>2195886</v>
      </c>
      <c r="L67" s="414">
        <v>410978</v>
      </c>
      <c r="M67" s="414">
        <v>5000</v>
      </c>
      <c r="N67" s="414">
        <v>1800</v>
      </c>
      <c r="O67" s="414">
        <v>3200</v>
      </c>
      <c r="P67" s="68">
        <v>882811</v>
      </c>
      <c r="Q67" s="68">
        <v>26069</v>
      </c>
      <c r="R67" s="414">
        <v>59000</v>
      </c>
      <c r="S67" s="415">
        <v>4.5910000000000002</v>
      </c>
      <c r="T67" s="416">
        <v>3.5182000000000002</v>
      </c>
      <c r="U67" s="762">
        <v>1.0728</v>
      </c>
      <c r="V67" s="423">
        <f t="shared" si="3"/>
        <v>-3200</v>
      </c>
      <c r="W67" s="417">
        <f t="shared" si="3"/>
        <v>3200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4"/>
        <v>-3200</v>
      </c>
      <c r="AF67" s="417">
        <f t="shared" si="5"/>
        <v>3200</v>
      </c>
      <c r="AG67" s="417">
        <f t="shared" si="6"/>
        <v>0</v>
      </c>
      <c r="AH67" s="417">
        <v>3200</v>
      </c>
      <c r="AI67" s="417">
        <v>-3200</v>
      </c>
      <c r="AJ67" s="417">
        <v>0</v>
      </c>
      <c r="AK67" s="417">
        <v>0</v>
      </c>
      <c r="AL67" s="417">
        <v>0</v>
      </c>
      <c r="AM67" s="417">
        <f t="shared" si="7"/>
        <v>3200</v>
      </c>
      <c r="AN67" s="417">
        <f t="shared" si="8"/>
        <v>-3200</v>
      </c>
      <c r="AO67" s="417">
        <f t="shared" si="9"/>
        <v>0</v>
      </c>
      <c r="AP67" s="417">
        <f t="shared" si="10"/>
        <v>0</v>
      </c>
      <c r="AQ67" s="417">
        <f t="shared" si="10"/>
        <v>0</v>
      </c>
      <c r="AR67" s="417">
        <f t="shared" si="11"/>
        <v>0</v>
      </c>
      <c r="AS67" s="68">
        <f t="shared" si="12"/>
        <v>0</v>
      </c>
      <c r="AT67" s="68">
        <f t="shared" si="13"/>
        <v>0</v>
      </c>
      <c r="AU67" s="417">
        <v>0</v>
      </c>
      <c r="AV67" s="417">
        <v>0</v>
      </c>
      <c r="AW67" s="417">
        <v>0</v>
      </c>
      <c r="AX67" s="417">
        <f t="shared" si="14"/>
        <v>0</v>
      </c>
      <c r="AY67" s="417">
        <f t="shared" si="15"/>
        <v>0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6"/>
        <v>0</v>
      </c>
      <c r="BJ67" s="418">
        <f t="shared" si="17"/>
        <v>0</v>
      </c>
      <c r="BK67" s="420">
        <f t="shared" si="18"/>
        <v>0</v>
      </c>
      <c r="BL67" s="772">
        <f t="shared" si="89"/>
        <v>3579744</v>
      </c>
      <c r="BM67" s="417">
        <f t="shared" si="90"/>
        <v>2606864</v>
      </c>
      <c r="BN67" s="417">
        <f t="shared" si="91"/>
        <v>2192686</v>
      </c>
      <c r="BO67" s="417">
        <f t="shared" si="91"/>
        <v>414178</v>
      </c>
      <c r="BP67" s="417">
        <f t="shared" si="92"/>
        <v>5000</v>
      </c>
      <c r="BQ67" s="417">
        <f t="shared" si="93"/>
        <v>5000</v>
      </c>
      <c r="BR67" s="417">
        <f t="shared" si="93"/>
        <v>0</v>
      </c>
      <c r="BS67" s="417">
        <f t="shared" si="94"/>
        <v>882811</v>
      </c>
      <c r="BT67" s="417">
        <f t="shared" si="94"/>
        <v>26069</v>
      </c>
      <c r="BU67" s="417">
        <f t="shared" si="95"/>
        <v>59000</v>
      </c>
      <c r="BV67" s="418">
        <f t="shared" si="96"/>
        <v>4.5910000000000002</v>
      </c>
      <c r="BW67" s="418">
        <f t="shared" si="97"/>
        <v>3.5182000000000002</v>
      </c>
      <c r="BX67" s="420">
        <f t="shared" si="97"/>
        <v>1.0728</v>
      </c>
      <c r="BY67" s="596"/>
      <c r="BZ67" s="595"/>
      <c r="CA67" s="595"/>
      <c r="CB67" s="595"/>
      <c r="CC67" s="595"/>
      <c r="CD67" s="981"/>
      <c r="CE67" s="596">
        <v>189544</v>
      </c>
      <c r="CF67" s="595">
        <v>132955</v>
      </c>
      <c r="CG67" s="595">
        <v>44939</v>
      </c>
      <c r="CH67" s="595">
        <v>1330</v>
      </c>
      <c r="CI67" s="595">
        <v>10320</v>
      </c>
      <c r="CJ67" s="981">
        <v>0.34440000000000004</v>
      </c>
    </row>
    <row r="68" spans="1:88" ht="12.95" customHeight="1">
      <c r="A68" s="280">
        <v>13</v>
      </c>
      <c r="B68" s="281">
        <v>4450</v>
      </c>
      <c r="C68" s="281">
        <v>650033841</v>
      </c>
      <c r="D68" s="281">
        <v>72744995</v>
      </c>
      <c r="E68" s="283" t="s">
        <v>331</v>
      </c>
      <c r="F68" s="281">
        <v>3117</v>
      </c>
      <c r="G68" s="284" t="s">
        <v>298</v>
      </c>
      <c r="H68" s="284" t="s">
        <v>272</v>
      </c>
      <c r="I68" s="563">
        <v>840568</v>
      </c>
      <c r="J68" s="414">
        <v>618003</v>
      </c>
      <c r="K68" s="414">
        <v>618003</v>
      </c>
      <c r="L68" s="414">
        <v>0</v>
      </c>
      <c r="M68" s="414">
        <v>0</v>
      </c>
      <c r="N68" s="414">
        <v>0</v>
      </c>
      <c r="O68" s="414">
        <v>0</v>
      </c>
      <c r="P68" s="68">
        <v>208885</v>
      </c>
      <c r="Q68" s="68">
        <v>6180</v>
      </c>
      <c r="R68" s="414">
        <v>7500</v>
      </c>
      <c r="S68" s="415">
        <v>1.67</v>
      </c>
      <c r="T68" s="416">
        <v>1.67</v>
      </c>
      <c r="U68" s="762">
        <v>0</v>
      </c>
      <c r="V68" s="423">
        <f t="shared" si="3"/>
        <v>0</v>
      </c>
      <c r="W68" s="417">
        <f t="shared" si="3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4"/>
        <v>0</v>
      </c>
      <c r="AF68" s="417">
        <f t="shared" si="5"/>
        <v>0</v>
      </c>
      <c r="AG68" s="417">
        <f t="shared" si="6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7"/>
        <v>0</v>
      </c>
      <c r="AN68" s="417">
        <f t="shared" si="8"/>
        <v>0</v>
      </c>
      <c r="AO68" s="417">
        <f t="shared" si="9"/>
        <v>0</v>
      </c>
      <c r="AP68" s="417">
        <f t="shared" si="10"/>
        <v>0</v>
      </c>
      <c r="AQ68" s="417">
        <f t="shared" si="10"/>
        <v>0</v>
      </c>
      <c r="AR68" s="417">
        <f t="shared" si="11"/>
        <v>0</v>
      </c>
      <c r="AS68" s="68">
        <f t="shared" si="12"/>
        <v>0</v>
      </c>
      <c r="AT68" s="68">
        <f t="shared" si="13"/>
        <v>0</v>
      </c>
      <c r="AU68" s="417">
        <v>0</v>
      </c>
      <c r="AV68" s="417">
        <v>0</v>
      </c>
      <c r="AW68" s="417">
        <v>0</v>
      </c>
      <c r="AX68" s="417">
        <f t="shared" si="14"/>
        <v>0</v>
      </c>
      <c r="AY68" s="417">
        <f t="shared" si="15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6"/>
        <v>0</v>
      </c>
      <c r="BJ68" s="418">
        <f t="shared" si="17"/>
        <v>0</v>
      </c>
      <c r="BK68" s="420">
        <f t="shared" si="18"/>
        <v>0</v>
      </c>
      <c r="BL68" s="772">
        <f t="shared" si="89"/>
        <v>840568</v>
      </c>
      <c r="BM68" s="417">
        <f t="shared" si="90"/>
        <v>618003</v>
      </c>
      <c r="BN68" s="417">
        <f t="shared" si="91"/>
        <v>618003</v>
      </c>
      <c r="BO68" s="417">
        <f t="shared" si="91"/>
        <v>0</v>
      </c>
      <c r="BP68" s="417">
        <f t="shared" si="92"/>
        <v>0</v>
      </c>
      <c r="BQ68" s="417">
        <f t="shared" si="93"/>
        <v>0</v>
      </c>
      <c r="BR68" s="417">
        <f t="shared" si="93"/>
        <v>0</v>
      </c>
      <c r="BS68" s="417">
        <f t="shared" si="94"/>
        <v>208885</v>
      </c>
      <c r="BT68" s="417">
        <f t="shared" si="94"/>
        <v>6180</v>
      </c>
      <c r="BU68" s="417">
        <f t="shared" si="95"/>
        <v>7500</v>
      </c>
      <c r="BV68" s="418">
        <f t="shared" si="96"/>
        <v>1.67</v>
      </c>
      <c r="BW68" s="418">
        <f t="shared" si="97"/>
        <v>1.67</v>
      </c>
      <c r="BX68" s="420">
        <f t="shared" si="97"/>
        <v>0</v>
      </c>
      <c r="BY68" s="596"/>
      <c r="BZ68" s="595"/>
      <c r="CA68" s="595"/>
      <c r="CB68" s="595"/>
      <c r="CC68" s="595"/>
      <c r="CD68" s="981"/>
      <c r="CE68" s="596"/>
      <c r="CF68" s="595"/>
      <c r="CG68" s="595"/>
      <c r="CH68" s="595"/>
      <c r="CI68" s="595"/>
      <c r="CJ68" s="981"/>
    </row>
    <row r="69" spans="1:88" ht="12.95" customHeight="1">
      <c r="A69" s="280">
        <v>13</v>
      </c>
      <c r="B69" s="281">
        <v>4450</v>
      </c>
      <c r="C69" s="281">
        <v>650033841</v>
      </c>
      <c r="D69" s="281">
        <v>72744995</v>
      </c>
      <c r="E69" s="283" t="s">
        <v>331</v>
      </c>
      <c r="F69" s="281">
        <v>3141</v>
      </c>
      <c r="G69" s="284" t="s">
        <v>294</v>
      </c>
      <c r="H69" s="284" t="s">
        <v>272</v>
      </c>
      <c r="I69" s="563">
        <v>301172</v>
      </c>
      <c r="J69" s="414">
        <v>206203</v>
      </c>
      <c r="K69" s="414">
        <v>0</v>
      </c>
      <c r="L69" s="414">
        <v>206203</v>
      </c>
      <c r="M69" s="414">
        <v>16000</v>
      </c>
      <c r="N69" s="414">
        <v>0</v>
      </c>
      <c r="O69" s="414">
        <v>16000</v>
      </c>
      <c r="P69" s="68">
        <v>75105</v>
      </c>
      <c r="Q69" s="68">
        <v>2062</v>
      </c>
      <c r="R69" s="414">
        <v>1802</v>
      </c>
      <c r="S69" s="415">
        <v>0.63669999999999993</v>
      </c>
      <c r="T69" s="416">
        <v>0</v>
      </c>
      <c r="U69" s="762">
        <v>0.63669999999999993</v>
      </c>
      <c r="V69" s="423">
        <f t="shared" si="3"/>
        <v>-4000</v>
      </c>
      <c r="W69" s="417">
        <f t="shared" si="3"/>
        <v>4000</v>
      </c>
      <c r="X69" s="417">
        <v>0</v>
      </c>
      <c r="Y69" s="417">
        <v>0</v>
      </c>
      <c r="Z69" s="417">
        <v>0</v>
      </c>
      <c r="AA69" s="417">
        <v>2432</v>
      </c>
      <c r="AB69" s="417">
        <v>0</v>
      </c>
      <c r="AC69" s="417">
        <v>0</v>
      </c>
      <c r="AD69" s="417">
        <v>0</v>
      </c>
      <c r="AE69" s="417">
        <f t="shared" si="4"/>
        <v>-4000</v>
      </c>
      <c r="AF69" s="417">
        <f t="shared" si="5"/>
        <v>6432</v>
      </c>
      <c r="AG69" s="417">
        <f t="shared" si="6"/>
        <v>2432</v>
      </c>
      <c r="AH69" s="417">
        <v>4000</v>
      </c>
      <c r="AI69" s="417">
        <v>-4000</v>
      </c>
      <c r="AJ69" s="417">
        <v>0</v>
      </c>
      <c r="AK69" s="417">
        <v>0</v>
      </c>
      <c r="AL69" s="417">
        <v>0</v>
      </c>
      <c r="AM69" s="417">
        <f t="shared" si="7"/>
        <v>4000</v>
      </c>
      <c r="AN69" s="417">
        <f t="shared" si="8"/>
        <v>-4000</v>
      </c>
      <c r="AO69" s="417">
        <f t="shared" si="9"/>
        <v>0</v>
      </c>
      <c r="AP69" s="417">
        <f t="shared" si="10"/>
        <v>0</v>
      </c>
      <c r="AQ69" s="417">
        <f t="shared" si="10"/>
        <v>2432</v>
      </c>
      <c r="AR69" s="417">
        <f t="shared" si="11"/>
        <v>2432</v>
      </c>
      <c r="AS69" s="68">
        <f t="shared" si="12"/>
        <v>822</v>
      </c>
      <c r="AT69" s="68">
        <f t="shared" si="13"/>
        <v>24</v>
      </c>
      <c r="AU69" s="417">
        <v>0</v>
      </c>
      <c r="AV69" s="417">
        <v>0</v>
      </c>
      <c r="AW69" s="417">
        <v>0</v>
      </c>
      <c r="AX69" s="417">
        <f t="shared" si="14"/>
        <v>0</v>
      </c>
      <c r="AY69" s="417">
        <f t="shared" si="15"/>
        <v>3278</v>
      </c>
      <c r="AZ69" s="418">
        <v>0</v>
      </c>
      <c r="BA69" s="418">
        <v>0</v>
      </c>
      <c r="BB69" s="418">
        <v>0</v>
      </c>
      <c r="BC69" s="418">
        <v>0</v>
      </c>
      <c r="BD69" s="418">
        <v>0.01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6"/>
        <v>0</v>
      </c>
      <c r="BJ69" s="418">
        <f t="shared" si="17"/>
        <v>0.01</v>
      </c>
      <c r="BK69" s="420">
        <f t="shared" si="18"/>
        <v>0.01</v>
      </c>
      <c r="BL69" s="772">
        <f t="shared" si="89"/>
        <v>304450</v>
      </c>
      <c r="BM69" s="417">
        <f t="shared" si="90"/>
        <v>208635</v>
      </c>
      <c r="BN69" s="417">
        <f t="shared" si="91"/>
        <v>-4000</v>
      </c>
      <c r="BO69" s="417">
        <f t="shared" si="91"/>
        <v>212635</v>
      </c>
      <c r="BP69" s="417">
        <f t="shared" si="92"/>
        <v>16000</v>
      </c>
      <c r="BQ69" s="417">
        <f t="shared" si="93"/>
        <v>4000</v>
      </c>
      <c r="BR69" s="417">
        <f t="shared" si="93"/>
        <v>12000</v>
      </c>
      <c r="BS69" s="417">
        <f t="shared" si="94"/>
        <v>75927</v>
      </c>
      <c r="BT69" s="417">
        <f t="shared" si="94"/>
        <v>2086</v>
      </c>
      <c r="BU69" s="417">
        <f t="shared" si="95"/>
        <v>1802</v>
      </c>
      <c r="BV69" s="418">
        <f t="shared" si="96"/>
        <v>0.64669999999999994</v>
      </c>
      <c r="BW69" s="418">
        <f t="shared" si="97"/>
        <v>0</v>
      </c>
      <c r="BX69" s="420">
        <f t="shared" si="97"/>
        <v>0.64669999999999994</v>
      </c>
      <c r="BY69" s="596"/>
      <c r="BZ69" s="595"/>
      <c r="CA69" s="595"/>
      <c r="CB69" s="595"/>
      <c r="CC69" s="595"/>
      <c r="CD69" s="981"/>
      <c r="CE69" s="596"/>
      <c r="CF69" s="595"/>
      <c r="CG69" s="595"/>
      <c r="CH69" s="595"/>
      <c r="CI69" s="595"/>
      <c r="CJ69" s="981"/>
    </row>
    <row r="70" spans="1:88" ht="12.95" customHeight="1">
      <c r="A70" s="280">
        <v>13</v>
      </c>
      <c r="B70" s="281">
        <v>4450</v>
      </c>
      <c r="C70" s="281">
        <v>650033841</v>
      </c>
      <c r="D70" s="281">
        <v>72744995</v>
      </c>
      <c r="E70" s="283" t="s">
        <v>331</v>
      </c>
      <c r="F70" s="281">
        <v>3143</v>
      </c>
      <c r="G70" s="284" t="s">
        <v>595</v>
      </c>
      <c r="H70" s="284" t="s">
        <v>271</v>
      </c>
      <c r="I70" s="563">
        <v>434878</v>
      </c>
      <c r="J70" s="414">
        <v>322610</v>
      </c>
      <c r="K70" s="414">
        <v>322610</v>
      </c>
      <c r="L70" s="414">
        <v>0</v>
      </c>
      <c r="M70" s="414">
        <v>0</v>
      </c>
      <c r="N70" s="414">
        <v>0</v>
      </c>
      <c r="O70" s="414">
        <v>0</v>
      </c>
      <c r="P70" s="68">
        <v>109042</v>
      </c>
      <c r="Q70" s="68">
        <v>3226</v>
      </c>
      <c r="R70" s="414">
        <v>0</v>
      </c>
      <c r="S70" s="415">
        <v>0.66659999999999997</v>
      </c>
      <c r="T70" s="416">
        <v>0.66659999999999997</v>
      </c>
      <c r="U70" s="762">
        <v>0</v>
      </c>
      <c r="V70" s="423">
        <f t="shared" si="3"/>
        <v>0</v>
      </c>
      <c r="W70" s="417">
        <f t="shared" si="3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4"/>
        <v>0</v>
      </c>
      <c r="AF70" s="417">
        <f t="shared" si="5"/>
        <v>0</v>
      </c>
      <c r="AG70" s="417">
        <f t="shared" si="6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7"/>
        <v>0</v>
      </c>
      <c r="AN70" s="417">
        <f t="shared" si="8"/>
        <v>0</v>
      </c>
      <c r="AO70" s="417">
        <f t="shared" si="9"/>
        <v>0</v>
      </c>
      <c r="AP70" s="417">
        <f t="shared" si="10"/>
        <v>0</v>
      </c>
      <c r="AQ70" s="417">
        <f t="shared" si="10"/>
        <v>0</v>
      </c>
      <c r="AR70" s="417">
        <f t="shared" si="11"/>
        <v>0</v>
      </c>
      <c r="AS70" s="68">
        <f t="shared" si="12"/>
        <v>0</v>
      </c>
      <c r="AT70" s="68">
        <f t="shared" si="13"/>
        <v>0</v>
      </c>
      <c r="AU70" s="417">
        <v>0</v>
      </c>
      <c r="AV70" s="417">
        <v>0</v>
      </c>
      <c r="AW70" s="417">
        <v>0</v>
      </c>
      <c r="AX70" s="417">
        <f t="shared" si="14"/>
        <v>0</v>
      </c>
      <c r="AY70" s="417">
        <f t="shared" si="15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6"/>
        <v>0</v>
      </c>
      <c r="BJ70" s="418">
        <f t="shared" si="17"/>
        <v>0</v>
      </c>
      <c r="BK70" s="420">
        <f t="shared" si="18"/>
        <v>0</v>
      </c>
      <c r="BL70" s="772">
        <f t="shared" si="89"/>
        <v>434878</v>
      </c>
      <c r="BM70" s="417">
        <f t="shared" si="90"/>
        <v>322610</v>
      </c>
      <c r="BN70" s="417">
        <f t="shared" si="91"/>
        <v>322610</v>
      </c>
      <c r="BO70" s="417">
        <f t="shared" si="91"/>
        <v>0</v>
      </c>
      <c r="BP70" s="417">
        <f t="shared" si="92"/>
        <v>0</v>
      </c>
      <c r="BQ70" s="417">
        <f t="shared" si="93"/>
        <v>0</v>
      </c>
      <c r="BR70" s="417">
        <f t="shared" si="93"/>
        <v>0</v>
      </c>
      <c r="BS70" s="417">
        <f t="shared" si="94"/>
        <v>109042</v>
      </c>
      <c r="BT70" s="417">
        <f t="shared" si="94"/>
        <v>3226</v>
      </c>
      <c r="BU70" s="417">
        <f t="shared" si="95"/>
        <v>0</v>
      </c>
      <c r="BV70" s="418">
        <f t="shared" si="96"/>
        <v>0.66659999999999997</v>
      </c>
      <c r="BW70" s="418">
        <f t="shared" si="97"/>
        <v>0.66659999999999997</v>
      </c>
      <c r="BX70" s="420">
        <f t="shared" si="97"/>
        <v>0</v>
      </c>
      <c r="BY70" s="596"/>
      <c r="BZ70" s="595"/>
      <c r="CA70" s="595"/>
      <c r="CB70" s="595"/>
      <c r="CC70" s="595"/>
      <c r="CD70" s="981"/>
      <c r="CE70" s="596"/>
      <c r="CF70" s="595"/>
      <c r="CG70" s="595"/>
      <c r="CH70" s="595"/>
      <c r="CI70" s="595"/>
      <c r="CJ70" s="981"/>
    </row>
    <row r="71" spans="1:88" ht="12.95" customHeight="1">
      <c r="A71" s="280">
        <v>13</v>
      </c>
      <c r="B71" s="281">
        <v>4450</v>
      </c>
      <c r="C71" s="281">
        <v>650033841</v>
      </c>
      <c r="D71" s="281">
        <v>72744995</v>
      </c>
      <c r="E71" s="283" t="s">
        <v>331</v>
      </c>
      <c r="F71" s="281">
        <v>3143</v>
      </c>
      <c r="G71" s="284" t="s">
        <v>596</v>
      </c>
      <c r="H71" s="284" t="s">
        <v>272</v>
      </c>
      <c r="I71" s="563">
        <v>16136</v>
      </c>
      <c r="J71" s="414">
        <v>11550</v>
      </c>
      <c r="K71" s="414">
        <v>0</v>
      </c>
      <c r="L71" s="414">
        <v>11550</v>
      </c>
      <c r="M71" s="414">
        <v>0</v>
      </c>
      <c r="N71" s="414">
        <v>0</v>
      </c>
      <c r="O71" s="414">
        <v>0</v>
      </c>
      <c r="P71" s="68">
        <v>3904</v>
      </c>
      <c r="Q71" s="68">
        <v>115</v>
      </c>
      <c r="R71" s="414">
        <v>567</v>
      </c>
      <c r="S71" s="415">
        <v>3.9199999999999999E-2</v>
      </c>
      <c r="T71" s="416">
        <v>0</v>
      </c>
      <c r="U71" s="762">
        <v>3.9199999999999999E-2</v>
      </c>
      <c r="V71" s="423">
        <f t="shared" si="3"/>
        <v>0</v>
      </c>
      <c r="W71" s="417">
        <f t="shared" si="3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4"/>
        <v>0</v>
      </c>
      <c r="AF71" s="417">
        <f t="shared" si="5"/>
        <v>0</v>
      </c>
      <c r="AG71" s="417">
        <f t="shared" si="6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7"/>
        <v>0</v>
      </c>
      <c r="AN71" s="417">
        <f t="shared" si="8"/>
        <v>0</v>
      </c>
      <c r="AO71" s="417">
        <f t="shared" si="9"/>
        <v>0</v>
      </c>
      <c r="AP71" s="417">
        <f t="shared" si="10"/>
        <v>0</v>
      </c>
      <c r="AQ71" s="417">
        <f t="shared" si="10"/>
        <v>0</v>
      </c>
      <c r="AR71" s="417">
        <f t="shared" si="11"/>
        <v>0</v>
      </c>
      <c r="AS71" s="68">
        <f t="shared" si="12"/>
        <v>0</v>
      </c>
      <c r="AT71" s="68">
        <f t="shared" si="13"/>
        <v>0</v>
      </c>
      <c r="AU71" s="417">
        <v>0</v>
      </c>
      <c r="AV71" s="417">
        <v>0</v>
      </c>
      <c r="AW71" s="417">
        <v>0</v>
      </c>
      <c r="AX71" s="417">
        <f t="shared" si="14"/>
        <v>0</v>
      </c>
      <c r="AY71" s="417">
        <f t="shared" si="15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6"/>
        <v>0</v>
      </c>
      <c r="BJ71" s="418">
        <f t="shared" si="17"/>
        <v>0</v>
      </c>
      <c r="BK71" s="420">
        <f t="shared" si="18"/>
        <v>0</v>
      </c>
      <c r="BL71" s="772">
        <f t="shared" si="89"/>
        <v>16136</v>
      </c>
      <c r="BM71" s="417">
        <f t="shared" si="90"/>
        <v>11550</v>
      </c>
      <c r="BN71" s="417">
        <f t="shared" si="91"/>
        <v>0</v>
      </c>
      <c r="BO71" s="417">
        <f t="shared" si="91"/>
        <v>11550</v>
      </c>
      <c r="BP71" s="417">
        <f t="shared" si="92"/>
        <v>0</v>
      </c>
      <c r="BQ71" s="417">
        <f t="shared" si="93"/>
        <v>0</v>
      </c>
      <c r="BR71" s="417">
        <f t="shared" si="93"/>
        <v>0</v>
      </c>
      <c r="BS71" s="417">
        <f t="shared" si="94"/>
        <v>3904</v>
      </c>
      <c r="BT71" s="417">
        <f t="shared" si="94"/>
        <v>115</v>
      </c>
      <c r="BU71" s="417">
        <f t="shared" si="95"/>
        <v>567</v>
      </c>
      <c r="BV71" s="418">
        <f t="shared" si="96"/>
        <v>3.9199999999999999E-2</v>
      </c>
      <c r="BW71" s="418">
        <f t="shared" si="97"/>
        <v>0</v>
      </c>
      <c r="BX71" s="420">
        <f t="shared" si="97"/>
        <v>3.9199999999999999E-2</v>
      </c>
      <c r="BY71" s="596"/>
      <c r="BZ71" s="595"/>
      <c r="CA71" s="595"/>
      <c r="CB71" s="595"/>
      <c r="CC71" s="595"/>
      <c r="CD71" s="981"/>
      <c r="CE71" s="596"/>
      <c r="CF71" s="595"/>
      <c r="CG71" s="595"/>
      <c r="CH71" s="595"/>
      <c r="CI71" s="595"/>
      <c r="CJ71" s="981"/>
    </row>
    <row r="72" spans="1:88" ht="12.95" customHeight="1">
      <c r="A72" s="273">
        <v>13</v>
      </c>
      <c r="B72" s="275">
        <v>4450</v>
      </c>
      <c r="C72" s="275">
        <v>650033841</v>
      </c>
      <c r="D72" s="275">
        <v>72744995</v>
      </c>
      <c r="E72" s="288" t="s">
        <v>333</v>
      </c>
      <c r="F72" s="291"/>
      <c r="G72" s="292"/>
      <c r="H72" s="292"/>
      <c r="I72" s="465">
        <v>6806637</v>
      </c>
      <c r="J72" s="462">
        <v>4953698</v>
      </c>
      <c r="K72" s="462">
        <v>4242758</v>
      </c>
      <c r="L72" s="462">
        <v>710940</v>
      </c>
      <c r="M72" s="462">
        <v>39000</v>
      </c>
      <c r="N72" s="462">
        <v>13800</v>
      </c>
      <c r="O72" s="462">
        <v>25200</v>
      </c>
      <c r="P72" s="462">
        <v>1687533</v>
      </c>
      <c r="Q72" s="462">
        <v>49537</v>
      </c>
      <c r="R72" s="462">
        <v>76869</v>
      </c>
      <c r="S72" s="463">
        <v>9.8924000000000003</v>
      </c>
      <c r="T72" s="463">
        <v>7.7903000000000002</v>
      </c>
      <c r="U72" s="533">
        <v>2.1021000000000001</v>
      </c>
      <c r="V72" s="465">
        <f t="shared" ref="V72:BK72" si="98">SUM(V66:V71)</f>
        <v>-5200</v>
      </c>
      <c r="W72" s="462">
        <f t="shared" si="98"/>
        <v>13200</v>
      </c>
      <c r="X72" s="462">
        <f t="shared" si="98"/>
        <v>0</v>
      </c>
      <c r="Y72" s="462">
        <f t="shared" si="98"/>
        <v>0</v>
      </c>
      <c r="Z72" s="462">
        <f t="shared" si="98"/>
        <v>0</v>
      </c>
      <c r="AA72" s="462">
        <f t="shared" si="98"/>
        <v>2432</v>
      </c>
      <c r="AB72" s="462">
        <f t="shared" si="98"/>
        <v>0</v>
      </c>
      <c r="AC72" s="462">
        <f t="shared" si="98"/>
        <v>0</v>
      </c>
      <c r="AD72" s="462">
        <f t="shared" si="98"/>
        <v>0</v>
      </c>
      <c r="AE72" s="462">
        <f t="shared" si="98"/>
        <v>-5200</v>
      </c>
      <c r="AF72" s="462">
        <f t="shared" si="98"/>
        <v>15632</v>
      </c>
      <c r="AG72" s="462">
        <f t="shared" si="98"/>
        <v>10432</v>
      </c>
      <c r="AH72" s="462">
        <f t="shared" si="98"/>
        <v>5200</v>
      </c>
      <c r="AI72" s="462">
        <f t="shared" si="98"/>
        <v>-13200</v>
      </c>
      <c r="AJ72" s="462">
        <f t="shared" si="98"/>
        <v>0</v>
      </c>
      <c r="AK72" s="462">
        <f t="shared" si="98"/>
        <v>0</v>
      </c>
      <c r="AL72" s="462">
        <f t="shared" si="98"/>
        <v>0</v>
      </c>
      <c r="AM72" s="462">
        <f t="shared" si="98"/>
        <v>5200</v>
      </c>
      <c r="AN72" s="462">
        <f t="shared" si="98"/>
        <v>-13200</v>
      </c>
      <c r="AO72" s="462">
        <f t="shared" si="98"/>
        <v>-8000</v>
      </c>
      <c r="AP72" s="462">
        <f t="shared" si="98"/>
        <v>0</v>
      </c>
      <c r="AQ72" s="462">
        <f t="shared" si="98"/>
        <v>2432</v>
      </c>
      <c r="AR72" s="462">
        <f t="shared" si="98"/>
        <v>2432</v>
      </c>
      <c r="AS72" s="462">
        <f t="shared" si="98"/>
        <v>822</v>
      </c>
      <c r="AT72" s="462">
        <f t="shared" si="98"/>
        <v>104</v>
      </c>
      <c r="AU72" s="462">
        <f t="shared" si="98"/>
        <v>0</v>
      </c>
      <c r="AV72" s="462">
        <f t="shared" si="98"/>
        <v>0</v>
      </c>
      <c r="AW72" s="462">
        <f t="shared" si="98"/>
        <v>0</v>
      </c>
      <c r="AX72" s="462">
        <f t="shared" si="98"/>
        <v>0</v>
      </c>
      <c r="AY72" s="462">
        <f t="shared" si="98"/>
        <v>3358</v>
      </c>
      <c r="AZ72" s="463">
        <f t="shared" si="98"/>
        <v>0</v>
      </c>
      <c r="BA72" s="463">
        <f t="shared" si="98"/>
        <v>0</v>
      </c>
      <c r="BB72" s="463">
        <f t="shared" si="98"/>
        <v>0</v>
      </c>
      <c r="BC72" s="463">
        <f t="shared" si="98"/>
        <v>0</v>
      </c>
      <c r="BD72" s="463">
        <f t="shared" si="98"/>
        <v>0.01</v>
      </c>
      <c r="BE72" s="463">
        <f t="shared" si="98"/>
        <v>0</v>
      </c>
      <c r="BF72" s="463">
        <f t="shared" si="98"/>
        <v>0</v>
      </c>
      <c r="BG72" s="463">
        <f t="shared" si="98"/>
        <v>0</v>
      </c>
      <c r="BH72" s="463">
        <f t="shared" si="98"/>
        <v>0</v>
      </c>
      <c r="BI72" s="463">
        <f t="shared" si="98"/>
        <v>0</v>
      </c>
      <c r="BJ72" s="463">
        <f t="shared" si="98"/>
        <v>0.01</v>
      </c>
      <c r="BK72" s="290">
        <f t="shared" si="98"/>
        <v>0.01</v>
      </c>
      <c r="BL72" s="776">
        <f t="shared" ref="BL72:CG72" si="99">SUM(BL66:BL71)</f>
        <v>6809995</v>
      </c>
      <c r="BM72" s="462">
        <f t="shared" si="99"/>
        <v>4964130</v>
      </c>
      <c r="BN72" s="462">
        <f t="shared" si="99"/>
        <v>4237558</v>
      </c>
      <c r="BO72" s="462">
        <f t="shared" si="99"/>
        <v>726572</v>
      </c>
      <c r="BP72" s="462">
        <f t="shared" si="99"/>
        <v>31000</v>
      </c>
      <c r="BQ72" s="462">
        <f t="shared" si="99"/>
        <v>19000</v>
      </c>
      <c r="BR72" s="462">
        <f t="shared" si="99"/>
        <v>12000</v>
      </c>
      <c r="BS72" s="462">
        <f t="shared" si="99"/>
        <v>1688355</v>
      </c>
      <c r="BT72" s="462">
        <f t="shared" si="99"/>
        <v>49641</v>
      </c>
      <c r="BU72" s="462">
        <f t="shared" si="99"/>
        <v>76869</v>
      </c>
      <c r="BV72" s="463">
        <f t="shared" si="99"/>
        <v>9.9024000000000001</v>
      </c>
      <c r="BW72" s="463">
        <f t="shared" si="99"/>
        <v>7.7903000000000002</v>
      </c>
      <c r="BX72" s="290">
        <f t="shared" si="99"/>
        <v>2.1120999999999999</v>
      </c>
      <c r="BY72" s="820">
        <f t="shared" si="99"/>
        <v>0</v>
      </c>
      <c r="BZ72" s="716">
        <f t="shared" si="99"/>
        <v>0</v>
      </c>
      <c r="CA72" s="716">
        <f t="shared" si="99"/>
        <v>0</v>
      </c>
      <c r="CB72" s="716">
        <f t="shared" si="99"/>
        <v>0</v>
      </c>
      <c r="CC72" s="716">
        <f t="shared" si="99"/>
        <v>0</v>
      </c>
      <c r="CD72" s="821">
        <f t="shared" si="99"/>
        <v>0</v>
      </c>
      <c r="CE72" s="982">
        <f t="shared" si="99"/>
        <v>230359</v>
      </c>
      <c r="CF72" s="982">
        <f t="shared" si="99"/>
        <v>161260</v>
      </c>
      <c r="CG72" s="982">
        <f t="shared" si="99"/>
        <v>54506</v>
      </c>
      <c r="CH72" s="982">
        <f t="shared" ref="CH72:CJ72" si="100">SUM(CH66:CH71)</f>
        <v>1613</v>
      </c>
      <c r="CI72" s="982">
        <f t="shared" si="100"/>
        <v>12980</v>
      </c>
      <c r="CJ72" s="935">
        <f t="shared" si="100"/>
        <v>0.45780000000000004</v>
      </c>
    </row>
    <row r="73" spans="1:88" ht="12.95" customHeight="1">
      <c r="A73" s="280">
        <v>14</v>
      </c>
      <c r="B73" s="281">
        <v>4430</v>
      </c>
      <c r="C73" s="281">
        <v>600074862</v>
      </c>
      <c r="D73" s="281">
        <v>70695024</v>
      </c>
      <c r="E73" s="283" t="s">
        <v>334</v>
      </c>
      <c r="F73" s="281">
        <v>3111</v>
      </c>
      <c r="G73" s="284" t="s">
        <v>332</v>
      </c>
      <c r="H73" s="284" t="s">
        <v>271</v>
      </c>
      <c r="I73" s="563">
        <v>1684105</v>
      </c>
      <c r="J73" s="414">
        <v>1242214</v>
      </c>
      <c r="K73" s="414">
        <v>1144196</v>
      </c>
      <c r="L73" s="414">
        <v>98018</v>
      </c>
      <c r="M73" s="414">
        <v>0</v>
      </c>
      <c r="N73" s="414">
        <v>0</v>
      </c>
      <c r="O73" s="414">
        <v>0</v>
      </c>
      <c r="P73" s="68">
        <v>419868</v>
      </c>
      <c r="Q73" s="68">
        <v>12423</v>
      </c>
      <c r="R73" s="414">
        <v>9600</v>
      </c>
      <c r="S73" s="415">
        <v>2.3927</v>
      </c>
      <c r="T73" s="416">
        <v>2</v>
      </c>
      <c r="U73" s="762">
        <v>0.39269999999999999</v>
      </c>
      <c r="V73" s="423">
        <f t="shared" si="3"/>
        <v>0</v>
      </c>
      <c r="W73" s="417">
        <f t="shared" si="3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4"/>
        <v>0</v>
      </c>
      <c r="AF73" s="417">
        <f t="shared" si="5"/>
        <v>0</v>
      </c>
      <c r="AG73" s="417">
        <f t="shared" si="6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7"/>
        <v>0</v>
      </c>
      <c r="AN73" s="417">
        <f t="shared" si="8"/>
        <v>0</v>
      </c>
      <c r="AO73" s="417">
        <f t="shared" si="9"/>
        <v>0</v>
      </c>
      <c r="AP73" s="417">
        <f t="shared" si="10"/>
        <v>0</v>
      </c>
      <c r="AQ73" s="417">
        <f t="shared" si="10"/>
        <v>0</v>
      </c>
      <c r="AR73" s="417">
        <f t="shared" si="11"/>
        <v>0</v>
      </c>
      <c r="AS73" s="68">
        <f t="shared" si="12"/>
        <v>0</v>
      </c>
      <c r="AT73" s="68">
        <f t="shared" si="13"/>
        <v>0</v>
      </c>
      <c r="AU73" s="417">
        <v>0</v>
      </c>
      <c r="AV73" s="417">
        <v>0</v>
      </c>
      <c r="AW73" s="417">
        <v>0</v>
      </c>
      <c r="AX73" s="417">
        <f t="shared" si="14"/>
        <v>0</v>
      </c>
      <c r="AY73" s="417">
        <f t="shared" si="15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6"/>
        <v>0</v>
      </c>
      <c r="BJ73" s="418">
        <f t="shared" si="17"/>
        <v>0</v>
      </c>
      <c r="BK73" s="420">
        <f t="shared" si="18"/>
        <v>0</v>
      </c>
      <c r="BL73" s="772">
        <f t="shared" ref="BL73:BL78" si="101">I73+AY73</f>
        <v>1684105</v>
      </c>
      <c r="BM73" s="417">
        <f t="shared" ref="BM73:BM78" si="102">J73+AG73</f>
        <v>1242214</v>
      </c>
      <c r="BN73" s="417">
        <f t="shared" ref="BN73:BO78" si="103">K73+AE73</f>
        <v>1144196</v>
      </c>
      <c r="BO73" s="417">
        <f t="shared" si="103"/>
        <v>98018</v>
      </c>
      <c r="BP73" s="417">
        <f t="shared" ref="BP73:BP78" si="104">M73+AO73</f>
        <v>0</v>
      </c>
      <c r="BQ73" s="417">
        <f t="shared" ref="BQ73:BR78" si="105">N73+AM73</f>
        <v>0</v>
      </c>
      <c r="BR73" s="417">
        <f t="shared" si="105"/>
        <v>0</v>
      </c>
      <c r="BS73" s="417">
        <f t="shared" ref="BS73:BT78" si="106">P73+AS73</f>
        <v>419868</v>
      </c>
      <c r="BT73" s="417">
        <f t="shared" si="106"/>
        <v>12423</v>
      </c>
      <c r="BU73" s="417">
        <f t="shared" ref="BU73:BU78" si="107">R73+AX73</f>
        <v>9600</v>
      </c>
      <c r="BV73" s="418">
        <f t="shared" ref="BV73:BV78" si="108">S73+BK73</f>
        <v>2.3927</v>
      </c>
      <c r="BW73" s="418">
        <f t="shared" ref="BW73:BX78" si="109">T73+BI73</f>
        <v>2</v>
      </c>
      <c r="BX73" s="420">
        <f t="shared" si="109"/>
        <v>0.39269999999999999</v>
      </c>
      <c r="BY73" s="596"/>
      <c r="BZ73" s="595"/>
      <c r="CA73" s="595"/>
      <c r="CB73" s="595"/>
      <c r="CC73" s="595"/>
      <c r="CD73" s="981"/>
      <c r="CE73" s="596">
        <v>45587</v>
      </c>
      <c r="CF73" s="595">
        <v>31450</v>
      </c>
      <c r="CG73" s="595">
        <v>10630</v>
      </c>
      <c r="CH73" s="595">
        <v>315</v>
      </c>
      <c r="CI73" s="595">
        <v>3192</v>
      </c>
      <c r="CJ73" s="981">
        <v>0.126</v>
      </c>
    </row>
    <row r="74" spans="1:88" ht="12.95" customHeight="1">
      <c r="A74" s="280">
        <v>14</v>
      </c>
      <c r="B74" s="281">
        <v>4430</v>
      </c>
      <c r="C74" s="281">
        <v>600074862</v>
      </c>
      <c r="D74" s="281">
        <v>70695024</v>
      </c>
      <c r="E74" s="283" t="s">
        <v>334</v>
      </c>
      <c r="F74" s="281">
        <v>3117</v>
      </c>
      <c r="G74" s="284" t="s">
        <v>293</v>
      </c>
      <c r="H74" s="284" t="s">
        <v>271</v>
      </c>
      <c r="I74" s="563">
        <v>2915425</v>
      </c>
      <c r="J74" s="414">
        <v>2135422</v>
      </c>
      <c r="K74" s="414">
        <v>1833077</v>
      </c>
      <c r="L74" s="414">
        <v>302345</v>
      </c>
      <c r="M74" s="414">
        <v>0</v>
      </c>
      <c r="N74" s="414">
        <v>0</v>
      </c>
      <c r="O74" s="414">
        <v>0</v>
      </c>
      <c r="P74" s="68">
        <v>721773</v>
      </c>
      <c r="Q74" s="68">
        <v>21355</v>
      </c>
      <c r="R74" s="414">
        <v>36875</v>
      </c>
      <c r="S74" s="415">
        <v>3.7658</v>
      </c>
      <c r="T74" s="416">
        <v>2.9805000000000001</v>
      </c>
      <c r="U74" s="762">
        <v>0.7853</v>
      </c>
      <c r="V74" s="423">
        <f t="shared" si="3"/>
        <v>0</v>
      </c>
      <c r="W74" s="417">
        <f t="shared" si="3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4"/>
        <v>0</v>
      </c>
      <c r="AF74" s="417">
        <f t="shared" si="5"/>
        <v>0</v>
      </c>
      <c r="AG74" s="417">
        <f t="shared" si="6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7"/>
        <v>0</v>
      </c>
      <c r="AN74" s="417">
        <f t="shared" si="8"/>
        <v>0</v>
      </c>
      <c r="AO74" s="417">
        <f t="shared" si="9"/>
        <v>0</v>
      </c>
      <c r="AP74" s="417">
        <f t="shared" si="10"/>
        <v>0</v>
      </c>
      <c r="AQ74" s="417">
        <f t="shared" si="10"/>
        <v>0</v>
      </c>
      <c r="AR74" s="417">
        <f t="shared" si="11"/>
        <v>0</v>
      </c>
      <c r="AS74" s="68">
        <f t="shared" si="12"/>
        <v>0</v>
      </c>
      <c r="AT74" s="68">
        <f t="shared" si="13"/>
        <v>0</v>
      </c>
      <c r="AU74" s="417">
        <v>0</v>
      </c>
      <c r="AV74" s="417">
        <v>0</v>
      </c>
      <c r="AW74" s="417">
        <v>0</v>
      </c>
      <c r="AX74" s="417">
        <f t="shared" si="14"/>
        <v>0</v>
      </c>
      <c r="AY74" s="417">
        <f t="shared" si="15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6"/>
        <v>0</v>
      </c>
      <c r="BJ74" s="418">
        <f t="shared" si="17"/>
        <v>0</v>
      </c>
      <c r="BK74" s="420">
        <f t="shared" si="18"/>
        <v>0</v>
      </c>
      <c r="BL74" s="772">
        <f t="shared" si="101"/>
        <v>2915425</v>
      </c>
      <c r="BM74" s="417">
        <f t="shared" si="102"/>
        <v>2135422</v>
      </c>
      <c r="BN74" s="417">
        <f t="shared" si="103"/>
        <v>1833077</v>
      </c>
      <c r="BO74" s="417">
        <f t="shared" si="103"/>
        <v>302345</v>
      </c>
      <c r="BP74" s="417">
        <f t="shared" si="104"/>
        <v>0</v>
      </c>
      <c r="BQ74" s="417">
        <f t="shared" si="105"/>
        <v>0</v>
      </c>
      <c r="BR74" s="417">
        <f t="shared" si="105"/>
        <v>0</v>
      </c>
      <c r="BS74" s="417">
        <f t="shared" si="106"/>
        <v>721773</v>
      </c>
      <c r="BT74" s="417">
        <f t="shared" si="106"/>
        <v>21355</v>
      </c>
      <c r="BU74" s="417">
        <f t="shared" si="107"/>
        <v>36875</v>
      </c>
      <c r="BV74" s="418">
        <f t="shared" si="108"/>
        <v>3.7658</v>
      </c>
      <c r="BW74" s="418">
        <f t="shared" si="109"/>
        <v>2.9805000000000001</v>
      </c>
      <c r="BX74" s="420">
        <f t="shared" si="109"/>
        <v>0.7853</v>
      </c>
      <c r="BY74" s="596"/>
      <c r="BZ74" s="595"/>
      <c r="CA74" s="595"/>
      <c r="CB74" s="595"/>
      <c r="CC74" s="595"/>
      <c r="CD74" s="981"/>
      <c r="CE74" s="596">
        <v>137273</v>
      </c>
      <c r="CF74" s="595">
        <v>97050</v>
      </c>
      <c r="CG74" s="595">
        <v>32803</v>
      </c>
      <c r="CH74" s="595">
        <v>970</v>
      </c>
      <c r="CI74" s="595">
        <v>6450</v>
      </c>
      <c r="CJ74" s="981">
        <v>0.25209999999999999</v>
      </c>
    </row>
    <row r="75" spans="1:88" ht="12.95" customHeight="1">
      <c r="A75" s="280">
        <v>14</v>
      </c>
      <c r="B75" s="281">
        <v>4430</v>
      </c>
      <c r="C75" s="281">
        <v>600074862</v>
      </c>
      <c r="D75" s="281">
        <v>70695024</v>
      </c>
      <c r="E75" s="283" t="s">
        <v>334</v>
      </c>
      <c r="F75" s="281">
        <v>3117</v>
      </c>
      <c r="G75" s="284" t="s">
        <v>298</v>
      </c>
      <c r="H75" s="284" t="s">
        <v>272</v>
      </c>
      <c r="I75" s="563">
        <v>178190</v>
      </c>
      <c r="J75" s="414">
        <v>132188</v>
      </c>
      <c r="K75" s="414">
        <v>132188</v>
      </c>
      <c r="L75" s="414">
        <v>0</v>
      </c>
      <c r="M75" s="414">
        <v>0</v>
      </c>
      <c r="N75" s="414">
        <v>0</v>
      </c>
      <c r="O75" s="414">
        <v>0</v>
      </c>
      <c r="P75" s="68">
        <v>44680</v>
      </c>
      <c r="Q75" s="68">
        <v>1322</v>
      </c>
      <c r="R75" s="414">
        <v>0</v>
      </c>
      <c r="S75" s="415">
        <v>0.36</v>
      </c>
      <c r="T75" s="416">
        <v>0.36</v>
      </c>
      <c r="U75" s="762">
        <v>0</v>
      </c>
      <c r="V75" s="423">
        <f t="shared" si="3"/>
        <v>0</v>
      </c>
      <c r="W75" s="417">
        <f t="shared" si="3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4"/>
        <v>0</v>
      </c>
      <c r="AF75" s="417">
        <f t="shared" si="5"/>
        <v>0</v>
      </c>
      <c r="AG75" s="417">
        <f t="shared" si="6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7"/>
        <v>0</v>
      </c>
      <c r="AN75" s="417">
        <f t="shared" si="8"/>
        <v>0</v>
      </c>
      <c r="AO75" s="417">
        <f t="shared" si="9"/>
        <v>0</v>
      </c>
      <c r="AP75" s="417">
        <f t="shared" si="10"/>
        <v>0</v>
      </c>
      <c r="AQ75" s="417">
        <f t="shared" si="10"/>
        <v>0</v>
      </c>
      <c r="AR75" s="417">
        <f t="shared" si="11"/>
        <v>0</v>
      </c>
      <c r="AS75" s="68">
        <f t="shared" si="12"/>
        <v>0</v>
      </c>
      <c r="AT75" s="68">
        <f t="shared" si="13"/>
        <v>0</v>
      </c>
      <c r="AU75" s="417">
        <v>0</v>
      </c>
      <c r="AV75" s="417">
        <v>0</v>
      </c>
      <c r="AW75" s="417">
        <v>0</v>
      </c>
      <c r="AX75" s="417">
        <f t="shared" si="14"/>
        <v>0</v>
      </c>
      <c r="AY75" s="417">
        <f t="shared" si="15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6"/>
        <v>0</v>
      </c>
      <c r="BJ75" s="418">
        <f t="shared" si="17"/>
        <v>0</v>
      </c>
      <c r="BK75" s="420">
        <f t="shared" si="18"/>
        <v>0</v>
      </c>
      <c r="BL75" s="772">
        <f t="shared" si="101"/>
        <v>178190</v>
      </c>
      <c r="BM75" s="417">
        <f t="shared" si="102"/>
        <v>132188</v>
      </c>
      <c r="BN75" s="417">
        <f t="shared" si="103"/>
        <v>132188</v>
      </c>
      <c r="BO75" s="417">
        <f t="shared" si="103"/>
        <v>0</v>
      </c>
      <c r="BP75" s="417">
        <f t="shared" si="104"/>
        <v>0</v>
      </c>
      <c r="BQ75" s="417">
        <f t="shared" si="105"/>
        <v>0</v>
      </c>
      <c r="BR75" s="417">
        <f t="shared" si="105"/>
        <v>0</v>
      </c>
      <c r="BS75" s="417">
        <f t="shared" si="106"/>
        <v>44680</v>
      </c>
      <c r="BT75" s="417">
        <f t="shared" si="106"/>
        <v>1322</v>
      </c>
      <c r="BU75" s="417">
        <f t="shared" si="107"/>
        <v>0</v>
      </c>
      <c r="BV75" s="418">
        <f t="shared" si="108"/>
        <v>0.36</v>
      </c>
      <c r="BW75" s="418">
        <f t="shared" si="109"/>
        <v>0.36</v>
      </c>
      <c r="BX75" s="420">
        <f t="shared" si="109"/>
        <v>0</v>
      </c>
      <c r="BY75" s="596"/>
      <c r="BZ75" s="595"/>
      <c r="CA75" s="595"/>
      <c r="CB75" s="595"/>
      <c r="CC75" s="595"/>
      <c r="CD75" s="981"/>
      <c r="CE75" s="596"/>
      <c r="CF75" s="595"/>
      <c r="CG75" s="595"/>
      <c r="CH75" s="595"/>
      <c r="CI75" s="595"/>
      <c r="CJ75" s="981"/>
    </row>
    <row r="76" spans="1:88" ht="12.95" customHeight="1">
      <c r="A76" s="280">
        <v>14</v>
      </c>
      <c r="B76" s="281">
        <v>4430</v>
      </c>
      <c r="C76" s="281">
        <v>600074862</v>
      </c>
      <c r="D76" s="281">
        <v>70695024</v>
      </c>
      <c r="E76" s="283" t="s">
        <v>334</v>
      </c>
      <c r="F76" s="281">
        <v>3141</v>
      </c>
      <c r="G76" s="284" t="s">
        <v>294</v>
      </c>
      <c r="H76" s="284" t="s">
        <v>272</v>
      </c>
      <c r="I76" s="563">
        <v>629009</v>
      </c>
      <c r="J76" s="414">
        <v>465004</v>
      </c>
      <c r="K76" s="414">
        <v>0</v>
      </c>
      <c r="L76" s="414">
        <v>465004</v>
      </c>
      <c r="M76" s="414">
        <v>0</v>
      </c>
      <c r="N76" s="414">
        <v>0</v>
      </c>
      <c r="O76" s="414">
        <v>0</v>
      </c>
      <c r="P76" s="68">
        <v>157171</v>
      </c>
      <c r="Q76" s="68">
        <v>4650</v>
      </c>
      <c r="R76" s="414">
        <v>2184</v>
      </c>
      <c r="S76" s="415">
        <v>1.3867</v>
      </c>
      <c r="T76" s="416">
        <v>0</v>
      </c>
      <c r="U76" s="762">
        <v>1.3867</v>
      </c>
      <c r="V76" s="423">
        <f t="shared" si="3"/>
        <v>0</v>
      </c>
      <c r="W76" s="417">
        <f t="shared" si="3"/>
        <v>0</v>
      </c>
      <c r="X76" s="417">
        <v>0</v>
      </c>
      <c r="Y76" s="417">
        <v>0</v>
      </c>
      <c r="Z76" s="417">
        <v>0</v>
      </c>
      <c r="AA76" s="417">
        <v>-661</v>
      </c>
      <c r="AB76" s="417">
        <v>0</v>
      </c>
      <c r="AC76" s="417">
        <v>0</v>
      </c>
      <c r="AD76" s="417">
        <v>0</v>
      </c>
      <c r="AE76" s="417">
        <f t="shared" si="4"/>
        <v>0</v>
      </c>
      <c r="AF76" s="417">
        <f t="shared" si="5"/>
        <v>-661</v>
      </c>
      <c r="AG76" s="417">
        <f t="shared" si="6"/>
        <v>-661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7"/>
        <v>0</v>
      </c>
      <c r="AN76" s="417">
        <f t="shared" si="8"/>
        <v>0</v>
      </c>
      <c r="AO76" s="417">
        <f t="shared" si="9"/>
        <v>0</v>
      </c>
      <c r="AP76" s="417">
        <f t="shared" si="10"/>
        <v>0</v>
      </c>
      <c r="AQ76" s="417">
        <f t="shared" si="10"/>
        <v>-661</v>
      </c>
      <c r="AR76" s="417">
        <f t="shared" si="11"/>
        <v>-661</v>
      </c>
      <c r="AS76" s="68">
        <f t="shared" si="12"/>
        <v>-223</v>
      </c>
      <c r="AT76" s="68">
        <f t="shared" si="13"/>
        <v>-7</v>
      </c>
      <c r="AU76" s="417">
        <v>0</v>
      </c>
      <c r="AV76" s="417">
        <v>0</v>
      </c>
      <c r="AW76" s="417">
        <v>0</v>
      </c>
      <c r="AX76" s="417">
        <f t="shared" si="14"/>
        <v>0</v>
      </c>
      <c r="AY76" s="417">
        <f t="shared" si="15"/>
        <v>-891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6"/>
        <v>0</v>
      </c>
      <c r="BJ76" s="418">
        <f t="shared" si="17"/>
        <v>0</v>
      </c>
      <c r="BK76" s="420">
        <f t="shared" si="18"/>
        <v>0</v>
      </c>
      <c r="BL76" s="772">
        <f t="shared" si="101"/>
        <v>628118</v>
      </c>
      <c r="BM76" s="417">
        <f t="shared" si="102"/>
        <v>464343</v>
      </c>
      <c r="BN76" s="417">
        <f t="shared" si="103"/>
        <v>0</v>
      </c>
      <c r="BO76" s="417">
        <f t="shared" si="103"/>
        <v>464343</v>
      </c>
      <c r="BP76" s="417">
        <f t="shared" si="104"/>
        <v>0</v>
      </c>
      <c r="BQ76" s="417">
        <f t="shared" si="105"/>
        <v>0</v>
      </c>
      <c r="BR76" s="417">
        <f t="shared" si="105"/>
        <v>0</v>
      </c>
      <c r="BS76" s="417">
        <f t="shared" si="106"/>
        <v>156948</v>
      </c>
      <c r="BT76" s="417">
        <f t="shared" si="106"/>
        <v>4643</v>
      </c>
      <c r="BU76" s="417">
        <f t="shared" si="107"/>
        <v>2184</v>
      </c>
      <c r="BV76" s="418">
        <f t="shared" si="108"/>
        <v>1.3867</v>
      </c>
      <c r="BW76" s="418">
        <f t="shared" si="109"/>
        <v>0</v>
      </c>
      <c r="BX76" s="420">
        <f t="shared" si="109"/>
        <v>1.3867</v>
      </c>
      <c r="BY76" s="596"/>
      <c r="BZ76" s="595"/>
      <c r="CA76" s="595"/>
      <c r="CB76" s="595"/>
      <c r="CC76" s="595"/>
      <c r="CD76" s="981"/>
      <c r="CE76" s="596"/>
      <c r="CF76" s="595"/>
      <c r="CG76" s="595"/>
      <c r="CH76" s="595"/>
      <c r="CI76" s="595"/>
      <c r="CJ76" s="981"/>
    </row>
    <row r="77" spans="1:88" ht="12.95" customHeight="1">
      <c r="A77" s="280">
        <v>14</v>
      </c>
      <c r="B77" s="281">
        <v>4430</v>
      </c>
      <c r="C77" s="281">
        <v>600074862</v>
      </c>
      <c r="D77" s="281">
        <v>70695024</v>
      </c>
      <c r="E77" s="283" t="s">
        <v>334</v>
      </c>
      <c r="F77" s="281">
        <v>3143</v>
      </c>
      <c r="G77" s="284" t="s">
        <v>595</v>
      </c>
      <c r="H77" s="284" t="s">
        <v>271</v>
      </c>
      <c r="I77" s="563">
        <v>630230</v>
      </c>
      <c r="J77" s="414">
        <v>467530</v>
      </c>
      <c r="K77" s="414">
        <v>467530</v>
      </c>
      <c r="L77" s="414">
        <v>0</v>
      </c>
      <c r="M77" s="414">
        <v>0</v>
      </c>
      <c r="N77" s="414">
        <v>0</v>
      </c>
      <c r="O77" s="414">
        <v>0</v>
      </c>
      <c r="P77" s="68">
        <v>158025</v>
      </c>
      <c r="Q77" s="68">
        <v>4675</v>
      </c>
      <c r="R77" s="414">
        <v>0</v>
      </c>
      <c r="S77" s="415">
        <v>1</v>
      </c>
      <c r="T77" s="416">
        <v>1</v>
      </c>
      <c r="U77" s="762">
        <v>0</v>
      </c>
      <c r="V77" s="423">
        <f t="shared" ref="V77:W122" si="110">AH77*-1</f>
        <v>0</v>
      </c>
      <c r="W77" s="417">
        <f t="shared" si="110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si="4"/>
        <v>0</v>
      </c>
      <c r="AF77" s="417">
        <f t="shared" si="5"/>
        <v>0</v>
      </c>
      <c r="AG77" s="417">
        <f t="shared" si="6"/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si="7"/>
        <v>0</v>
      </c>
      <c r="AN77" s="417">
        <f t="shared" si="8"/>
        <v>0</v>
      </c>
      <c r="AO77" s="417">
        <f t="shared" si="9"/>
        <v>0</v>
      </c>
      <c r="AP77" s="417">
        <f t="shared" ref="AP77:AQ122" si="111">AE77+AM77</f>
        <v>0</v>
      </c>
      <c r="AQ77" s="417">
        <f t="shared" si="111"/>
        <v>0</v>
      </c>
      <c r="AR77" s="417">
        <f t="shared" si="11"/>
        <v>0</v>
      </c>
      <c r="AS77" s="68">
        <f t="shared" si="12"/>
        <v>0</v>
      </c>
      <c r="AT77" s="68">
        <f t="shared" si="13"/>
        <v>0</v>
      </c>
      <c r="AU77" s="417">
        <v>0</v>
      </c>
      <c r="AV77" s="417">
        <v>0</v>
      </c>
      <c r="AW77" s="417">
        <v>0</v>
      </c>
      <c r="AX77" s="417">
        <f t="shared" si="14"/>
        <v>0</v>
      </c>
      <c r="AY77" s="417">
        <f t="shared" si="15"/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si="16"/>
        <v>0</v>
      </c>
      <c r="BJ77" s="418">
        <f t="shared" si="17"/>
        <v>0</v>
      </c>
      <c r="BK77" s="420">
        <f t="shared" si="18"/>
        <v>0</v>
      </c>
      <c r="BL77" s="772">
        <f t="shared" si="101"/>
        <v>630230</v>
      </c>
      <c r="BM77" s="417">
        <f t="shared" si="102"/>
        <v>467530</v>
      </c>
      <c r="BN77" s="417">
        <f t="shared" si="103"/>
        <v>467530</v>
      </c>
      <c r="BO77" s="417">
        <f t="shared" si="103"/>
        <v>0</v>
      </c>
      <c r="BP77" s="417">
        <f t="shared" si="104"/>
        <v>0</v>
      </c>
      <c r="BQ77" s="417">
        <f t="shared" si="105"/>
        <v>0</v>
      </c>
      <c r="BR77" s="417">
        <f t="shared" si="105"/>
        <v>0</v>
      </c>
      <c r="BS77" s="417">
        <f t="shared" si="106"/>
        <v>158025</v>
      </c>
      <c r="BT77" s="417">
        <f t="shared" si="106"/>
        <v>4675</v>
      </c>
      <c r="BU77" s="417">
        <f t="shared" si="107"/>
        <v>0</v>
      </c>
      <c r="BV77" s="418">
        <f t="shared" si="108"/>
        <v>1</v>
      </c>
      <c r="BW77" s="418">
        <f t="shared" si="109"/>
        <v>1</v>
      </c>
      <c r="BX77" s="420">
        <f t="shared" si="109"/>
        <v>0</v>
      </c>
      <c r="BY77" s="596"/>
      <c r="BZ77" s="595"/>
      <c r="CA77" s="595"/>
      <c r="CB77" s="595"/>
      <c r="CC77" s="595"/>
      <c r="CD77" s="981"/>
      <c r="CE77" s="596"/>
      <c r="CF77" s="595"/>
      <c r="CG77" s="595"/>
      <c r="CH77" s="595"/>
      <c r="CI77" s="595"/>
      <c r="CJ77" s="981"/>
    </row>
    <row r="78" spans="1:88" ht="12.95" customHeight="1">
      <c r="A78" s="280">
        <v>14</v>
      </c>
      <c r="B78" s="281">
        <v>4430</v>
      </c>
      <c r="C78" s="281">
        <v>600074862</v>
      </c>
      <c r="D78" s="281">
        <v>70695024</v>
      </c>
      <c r="E78" s="283" t="s">
        <v>334</v>
      </c>
      <c r="F78" s="281">
        <v>3143</v>
      </c>
      <c r="G78" s="284" t="s">
        <v>596</v>
      </c>
      <c r="H78" s="284" t="s">
        <v>272</v>
      </c>
      <c r="I78" s="563">
        <v>16904</v>
      </c>
      <c r="J78" s="414">
        <v>12100</v>
      </c>
      <c r="K78" s="414">
        <v>0</v>
      </c>
      <c r="L78" s="414">
        <v>12100</v>
      </c>
      <c r="M78" s="414">
        <v>0</v>
      </c>
      <c r="N78" s="414">
        <v>0</v>
      </c>
      <c r="O78" s="414">
        <v>0</v>
      </c>
      <c r="P78" s="68">
        <v>4089</v>
      </c>
      <c r="Q78" s="68">
        <v>121</v>
      </c>
      <c r="R78" s="414">
        <v>594</v>
      </c>
      <c r="S78" s="415">
        <v>5.0599999999999999E-2</v>
      </c>
      <c r="T78" s="416">
        <v>0</v>
      </c>
      <c r="U78" s="762">
        <v>5.0599999999999999E-2</v>
      </c>
      <c r="V78" s="423">
        <f t="shared" si="110"/>
        <v>0</v>
      </c>
      <c r="W78" s="417">
        <f t="shared" si="110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ref="AE78:AE122" si="112">V78+X78+Y78+Z78+AC78</f>
        <v>0</v>
      </c>
      <c r="AF78" s="417">
        <f t="shared" ref="AF78:AF122" si="113">W78+AA78+AD78+AB78</f>
        <v>0</v>
      </c>
      <c r="AG78" s="417">
        <f t="shared" ref="AG78:AG122" si="114">SUM(AE78:AF78)</f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22" si="115">AH78+AJ78+AK78</f>
        <v>0</v>
      </c>
      <c r="AN78" s="417">
        <f t="shared" ref="AN78:AN122" si="116">AI78+AL78</f>
        <v>0</v>
      </c>
      <c r="AO78" s="417">
        <f t="shared" ref="AO78:AO122" si="117">SUM(AM78:AN78)</f>
        <v>0</v>
      </c>
      <c r="AP78" s="417">
        <f t="shared" si="111"/>
        <v>0</v>
      </c>
      <c r="AQ78" s="417">
        <f t="shared" si="111"/>
        <v>0</v>
      </c>
      <c r="AR78" s="417">
        <f t="shared" ref="AR78:AR122" si="118">SUM(AP78:AQ78)</f>
        <v>0</v>
      </c>
      <c r="AS78" s="68">
        <f t="shared" ref="AS78:AS122" si="119">ROUND((AG78+AH78+AI78+AJ78)*33.8%,0)</f>
        <v>0</v>
      </c>
      <c r="AT78" s="68">
        <f t="shared" ref="AT78:AT122" si="120">ROUND(AG78*1%,0)</f>
        <v>0</v>
      </c>
      <c r="AU78" s="417">
        <v>0</v>
      </c>
      <c r="AV78" s="417">
        <v>0</v>
      </c>
      <c r="AW78" s="417">
        <v>0</v>
      </c>
      <c r="AX78" s="417">
        <f t="shared" ref="AX78:AX122" si="121">SUM(AU78:AW78)</f>
        <v>0</v>
      </c>
      <c r="AY78" s="417">
        <f t="shared" ref="AY78:AY122" si="122">AR78+AS78+AT78+AX78</f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ref="BI78:BI122" si="123">AZ78+BB78+BC78+BE78+BG78</f>
        <v>0</v>
      </c>
      <c r="BJ78" s="418">
        <f t="shared" ref="BJ78:BJ122" si="124">BA78+BD78+BH78+BF78</f>
        <v>0</v>
      </c>
      <c r="BK78" s="420">
        <f t="shared" ref="BK78:BK122" si="125">SUM(BI78:BJ78)</f>
        <v>0</v>
      </c>
      <c r="BL78" s="772">
        <f t="shared" si="101"/>
        <v>16904</v>
      </c>
      <c r="BM78" s="417">
        <f t="shared" si="102"/>
        <v>12100</v>
      </c>
      <c r="BN78" s="417">
        <f t="shared" si="103"/>
        <v>0</v>
      </c>
      <c r="BO78" s="417">
        <f t="shared" si="103"/>
        <v>12100</v>
      </c>
      <c r="BP78" s="417">
        <f t="shared" si="104"/>
        <v>0</v>
      </c>
      <c r="BQ78" s="417">
        <f t="shared" si="105"/>
        <v>0</v>
      </c>
      <c r="BR78" s="417">
        <f t="shared" si="105"/>
        <v>0</v>
      </c>
      <c r="BS78" s="417">
        <f t="shared" si="106"/>
        <v>4089</v>
      </c>
      <c r="BT78" s="417">
        <f t="shared" si="106"/>
        <v>121</v>
      </c>
      <c r="BU78" s="417">
        <f t="shared" si="107"/>
        <v>594</v>
      </c>
      <c r="BV78" s="418">
        <f t="shared" si="108"/>
        <v>5.0599999999999999E-2</v>
      </c>
      <c r="BW78" s="418">
        <f t="shared" si="109"/>
        <v>0</v>
      </c>
      <c r="BX78" s="420">
        <f t="shared" si="109"/>
        <v>5.0599999999999999E-2</v>
      </c>
      <c r="BY78" s="596"/>
      <c r="BZ78" s="595"/>
      <c r="CA78" s="595"/>
      <c r="CB78" s="595"/>
      <c r="CC78" s="595"/>
      <c r="CD78" s="981"/>
      <c r="CE78" s="596"/>
      <c r="CF78" s="595"/>
      <c r="CG78" s="595"/>
      <c r="CH78" s="595"/>
      <c r="CI78" s="595"/>
      <c r="CJ78" s="981"/>
    </row>
    <row r="79" spans="1:88" ht="12.95" customHeight="1">
      <c r="A79" s="273">
        <v>14</v>
      </c>
      <c r="B79" s="275">
        <v>4430</v>
      </c>
      <c r="C79" s="275">
        <v>600074862</v>
      </c>
      <c r="D79" s="275">
        <v>70695024</v>
      </c>
      <c r="E79" s="288" t="s">
        <v>335</v>
      </c>
      <c r="F79" s="291"/>
      <c r="G79" s="292"/>
      <c r="H79" s="292"/>
      <c r="I79" s="465">
        <v>6053863</v>
      </c>
      <c r="J79" s="462">
        <v>4454458</v>
      </c>
      <c r="K79" s="462">
        <v>3576991</v>
      </c>
      <c r="L79" s="462">
        <v>877467</v>
      </c>
      <c r="M79" s="462">
        <v>0</v>
      </c>
      <c r="N79" s="462">
        <v>0</v>
      </c>
      <c r="O79" s="462">
        <v>0</v>
      </c>
      <c r="P79" s="462">
        <v>1505606</v>
      </c>
      <c r="Q79" s="462">
        <v>44546</v>
      </c>
      <c r="R79" s="462">
        <v>49253</v>
      </c>
      <c r="S79" s="463">
        <v>8.9558</v>
      </c>
      <c r="T79" s="463">
        <v>6.3405000000000005</v>
      </c>
      <c r="U79" s="533">
        <v>2.6153000000000004</v>
      </c>
      <c r="V79" s="465">
        <f t="shared" ref="V79:BK79" si="126">SUM(V73:V78)</f>
        <v>0</v>
      </c>
      <c r="W79" s="462">
        <f t="shared" si="126"/>
        <v>0</v>
      </c>
      <c r="X79" s="462">
        <f t="shared" si="126"/>
        <v>0</v>
      </c>
      <c r="Y79" s="462">
        <f t="shared" si="126"/>
        <v>0</v>
      </c>
      <c r="Z79" s="462">
        <f t="shared" si="126"/>
        <v>0</v>
      </c>
      <c r="AA79" s="462">
        <f t="shared" si="126"/>
        <v>-661</v>
      </c>
      <c r="AB79" s="462">
        <f t="shared" si="126"/>
        <v>0</v>
      </c>
      <c r="AC79" s="462">
        <f t="shared" si="126"/>
        <v>0</v>
      </c>
      <c r="AD79" s="462">
        <f t="shared" si="126"/>
        <v>0</v>
      </c>
      <c r="AE79" s="462">
        <f t="shared" si="126"/>
        <v>0</v>
      </c>
      <c r="AF79" s="462">
        <f t="shared" si="126"/>
        <v>-661</v>
      </c>
      <c r="AG79" s="462">
        <f t="shared" si="126"/>
        <v>-661</v>
      </c>
      <c r="AH79" s="462">
        <f t="shared" si="126"/>
        <v>0</v>
      </c>
      <c r="AI79" s="462">
        <f t="shared" si="126"/>
        <v>0</v>
      </c>
      <c r="AJ79" s="462">
        <f t="shared" si="126"/>
        <v>0</v>
      </c>
      <c r="AK79" s="462">
        <f t="shared" si="126"/>
        <v>0</v>
      </c>
      <c r="AL79" s="462">
        <f t="shared" si="126"/>
        <v>0</v>
      </c>
      <c r="AM79" s="462">
        <f t="shared" si="126"/>
        <v>0</v>
      </c>
      <c r="AN79" s="462">
        <f t="shared" si="126"/>
        <v>0</v>
      </c>
      <c r="AO79" s="462">
        <f t="shared" si="126"/>
        <v>0</v>
      </c>
      <c r="AP79" s="462">
        <f t="shared" si="126"/>
        <v>0</v>
      </c>
      <c r="AQ79" s="462">
        <f t="shared" si="126"/>
        <v>-661</v>
      </c>
      <c r="AR79" s="462">
        <f t="shared" si="126"/>
        <v>-661</v>
      </c>
      <c r="AS79" s="462">
        <f t="shared" si="126"/>
        <v>-223</v>
      </c>
      <c r="AT79" s="462">
        <f t="shared" si="126"/>
        <v>-7</v>
      </c>
      <c r="AU79" s="462">
        <f t="shared" si="126"/>
        <v>0</v>
      </c>
      <c r="AV79" s="462">
        <f t="shared" si="126"/>
        <v>0</v>
      </c>
      <c r="AW79" s="462">
        <f t="shared" si="126"/>
        <v>0</v>
      </c>
      <c r="AX79" s="462">
        <f t="shared" si="126"/>
        <v>0</v>
      </c>
      <c r="AY79" s="462">
        <f t="shared" si="126"/>
        <v>-891</v>
      </c>
      <c r="AZ79" s="463">
        <f t="shared" si="126"/>
        <v>0</v>
      </c>
      <c r="BA79" s="463">
        <f t="shared" si="126"/>
        <v>0</v>
      </c>
      <c r="BB79" s="463">
        <f t="shared" si="126"/>
        <v>0</v>
      </c>
      <c r="BC79" s="463">
        <f t="shared" si="126"/>
        <v>0</v>
      </c>
      <c r="BD79" s="463">
        <f t="shared" si="126"/>
        <v>0</v>
      </c>
      <c r="BE79" s="463">
        <f t="shared" si="126"/>
        <v>0</v>
      </c>
      <c r="BF79" s="463">
        <f t="shared" si="126"/>
        <v>0</v>
      </c>
      <c r="BG79" s="463">
        <f t="shared" si="126"/>
        <v>0</v>
      </c>
      <c r="BH79" s="463">
        <f t="shared" si="126"/>
        <v>0</v>
      </c>
      <c r="BI79" s="463">
        <f t="shared" si="126"/>
        <v>0</v>
      </c>
      <c r="BJ79" s="463">
        <f t="shared" si="126"/>
        <v>0</v>
      </c>
      <c r="BK79" s="290">
        <f t="shared" si="126"/>
        <v>0</v>
      </c>
      <c r="BL79" s="776">
        <f t="shared" ref="BL79:CG79" si="127">SUM(BL73:BL78)</f>
        <v>6052972</v>
      </c>
      <c r="BM79" s="462">
        <f t="shared" si="127"/>
        <v>4453797</v>
      </c>
      <c r="BN79" s="462">
        <f t="shared" si="127"/>
        <v>3576991</v>
      </c>
      <c r="BO79" s="462">
        <f t="shared" si="127"/>
        <v>876806</v>
      </c>
      <c r="BP79" s="462">
        <f t="shared" si="127"/>
        <v>0</v>
      </c>
      <c r="BQ79" s="462">
        <f t="shared" si="127"/>
        <v>0</v>
      </c>
      <c r="BR79" s="462">
        <f t="shared" si="127"/>
        <v>0</v>
      </c>
      <c r="BS79" s="462">
        <f t="shared" si="127"/>
        <v>1505383</v>
      </c>
      <c r="BT79" s="462">
        <f t="shared" si="127"/>
        <v>44539</v>
      </c>
      <c r="BU79" s="462">
        <f t="shared" si="127"/>
        <v>49253</v>
      </c>
      <c r="BV79" s="463">
        <f t="shared" si="127"/>
        <v>8.9558</v>
      </c>
      <c r="BW79" s="463">
        <f t="shared" si="127"/>
        <v>6.3405000000000005</v>
      </c>
      <c r="BX79" s="290">
        <f t="shared" si="127"/>
        <v>2.6153000000000004</v>
      </c>
      <c r="BY79" s="820">
        <f t="shared" si="127"/>
        <v>0</v>
      </c>
      <c r="BZ79" s="716">
        <f t="shared" si="127"/>
        <v>0</v>
      </c>
      <c r="CA79" s="716">
        <f t="shared" si="127"/>
        <v>0</v>
      </c>
      <c r="CB79" s="716">
        <f t="shared" si="127"/>
        <v>0</v>
      </c>
      <c r="CC79" s="716">
        <f t="shared" si="127"/>
        <v>0</v>
      </c>
      <c r="CD79" s="821">
        <f t="shared" si="127"/>
        <v>0</v>
      </c>
      <c r="CE79" s="982">
        <f t="shared" si="127"/>
        <v>182860</v>
      </c>
      <c r="CF79" s="982">
        <f t="shared" si="127"/>
        <v>128500</v>
      </c>
      <c r="CG79" s="982">
        <f t="shared" si="127"/>
        <v>43433</v>
      </c>
      <c r="CH79" s="982">
        <f t="shared" ref="CH79:CJ79" si="128">SUM(CH73:CH78)</f>
        <v>1285</v>
      </c>
      <c r="CI79" s="982">
        <f t="shared" si="128"/>
        <v>9642</v>
      </c>
      <c r="CJ79" s="935">
        <f t="shared" si="128"/>
        <v>0.37809999999999999</v>
      </c>
    </row>
    <row r="80" spans="1:88" ht="12.95" customHeight="1">
      <c r="A80" s="280">
        <v>15</v>
      </c>
      <c r="B80" s="281">
        <v>4433</v>
      </c>
      <c r="C80" s="281">
        <v>600075001</v>
      </c>
      <c r="D80" s="281">
        <v>70695440</v>
      </c>
      <c r="E80" s="283" t="s">
        <v>336</v>
      </c>
      <c r="F80" s="281">
        <v>3111</v>
      </c>
      <c r="G80" s="284" t="s">
        <v>304</v>
      </c>
      <c r="H80" s="284" t="s">
        <v>271</v>
      </c>
      <c r="I80" s="563">
        <v>1639166</v>
      </c>
      <c r="J80" s="414">
        <v>1211844</v>
      </c>
      <c r="K80" s="414">
        <v>1123635</v>
      </c>
      <c r="L80" s="414">
        <v>88209</v>
      </c>
      <c r="M80" s="414">
        <v>0</v>
      </c>
      <c r="N80" s="414">
        <v>0</v>
      </c>
      <c r="O80" s="414">
        <v>0</v>
      </c>
      <c r="P80" s="68">
        <v>409603</v>
      </c>
      <c r="Q80" s="68">
        <v>12119</v>
      </c>
      <c r="R80" s="414">
        <v>5600</v>
      </c>
      <c r="S80" s="415">
        <v>2.3534000000000002</v>
      </c>
      <c r="T80" s="416">
        <v>2</v>
      </c>
      <c r="U80" s="762">
        <v>0.35339999999999999</v>
      </c>
      <c r="V80" s="423">
        <f t="shared" si="110"/>
        <v>0</v>
      </c>
      <c r="W80" s="417">
        <f t="shared" si="110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12"/>
        <v>0</v>
      </c>
      <c r="AF80" s="417">
        <f t="shared" si="113"/>
        <v>0</v>
      </c>
      <c r="AG80" s="417">
        <f t="shared" si="114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5"/>
        <v>0</v>
      </c>
      <c r="AN80" s="417">
        <f t="shared" si="116"/>
        <v>0</v>
      </c>
      <c r="AO80" s="417">
        <f t="shared" si="117"/>
        <v>0</v>
      </c>
      <c r="AP80" s="417">
        <f t="shared" si="111"/>
        <v>0</v>
      </c>
      <c r="AQ80" s="417">
        <f t="shared" si="111"/>
        <v>0</v>
      </c>
      <c r="AR80" s="417">
        <f t="shared" si="118"/>
        <v>0</v>
      </c>
      <c r="AS80" s="68">
        <f t="shared" si="119"/>
        <v>0</v>
      </c>
      <c r="AT80" s="68">
        <f t="shared" si="120"/>
        <v>0</v>
      </c>
      <c r="AU80" s="417">
        <v>0</v>
      </c>
      <c r="AV80" s="417">
        <v>0</v>
      </c>
      <c r="AW80" s="417">
        <v>0</v>
      </c>
      <c r="AX80" s="417">
        <f t="shared" si="121"/>
        <v>0</v>
      </c>
      <c r="AY80" s="417">
        <f t="shared" si="122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23"/>
        <v>0</v>
      </c>
      <c r="BJ80" s="418">
        <f t="shared" si="124"/>
        <v>0</v>
      </c>
      <c r="BK80" s="420">
        <f t="shared" si="125"/>
        <v>0</v>
      </c>
      <c r="BL80" s="772">
        <f t="shared" ref="BL80:BL85" si="129">I80+AY80</f>
        <v>1639166</v>
      </c>
      <c r="BM80" s="417">
        <f t="shared" ref="BM80:BM85" si="130">J80+AG80</f>
        <v>1211844</v>
      </c>
      <c r="BN80" s="417">
        <f t="shared" ref="BN80:BO85" si="131">K80+AE80</f>
        <v>1123635</v>
      </c>
      <c r="BO80" s="417">
        <f t="shared" si="131"/>
        <v>88209</v>
      </c>
      <c r="BP80" s="417">
        <f t="shared" ref="BP80:BP85" si="132">M80+AO80</f>
        <v>0</v>
      </c>
      <c r="BQ80" s="417">
        <f t="shared" ref="BQ80:BR85" si="133">N80+AM80</f>
        <v>0</v>
      </c>
      <c r="BR80" s="417">
        <f t="shared" si="133"/>
        <v>0</v>
      </c>
      <c r="BS80" s="417">
        <f t="shared" ref="BS80:BT85" si="134">P80+AS80</f>
        <v>409603</v>
      </c>
      <c r="BT80" s="417">
        <f t="shared" si="134"/>
        <v>12119</v>
      </c>
      <c r="BU80" s="417">
        <f t="shared" ref="BU80:BU85" si="135">R80+AX80</f>
        <v>5600</v>
      </c>
      <c r="BV80" s="418">
        <f t="shared" ref="BV80:BV85" si="136">S80+BK80</f>
        <v>2.3534000000000002</v>
      </c>
      <c r="BW80" s="418">
        <f t="shared" ref="BW80:BX85" si="137">T80+BI80</f>
        <v>2</v>
      </c>
      <c r="BX80" s="420">
        <f t="shared" si="137"/>
        <v>0.35339999999999999</v>
      </c>
      <c r="BY80" s="596"/>
      <c r="BZ80" s="595"/>
      <c r="CA80" s="595"/>
      <c r="CB80" s="595"/>
      <c r="CC80" s="595"/>
      <c r="CD80" s="981"/>
      <c r="CE80" s="596">
        <v>40017</v>
      </c>
      <c r="CF80" s="595">
        <v>28305</v>
      </c>
      <c r="CG80" s="595">
        <v>9567</v>
      </c>
      <c r="CH80" s="595">
        <v>283</v>
      </c>
      <c r="CI80" s="595">
        <v>1862</v>
      </c>
      <c r="CJ80" s="981">
        <v>0.1134</v>
      </c>
    </row>
    <row r="81" spans="1:88" ht="12.95" customHeight="1">
      <c r="A81" s="280">
        <v>15</v>
      </c>
      <c r="B81" s="281">
        <v>4433</v>
      </c>
      <c r="C81" s="281">
        <v>600075001</v>
      </c>
      <c r="D81" s="281">
        <v>70695440</v>
      </c>
      <c r="E81" s="283" t="s">
        <v>336</v>
      </c>
      <c r="F81" s="281">
        <v>3117</v>
      </c>
      <c r="G81" s="284" t="s">
        <v>308</v>
      </c>
      <c r="H81" s="284" t="s">
        <v>271</v>
      </c>
      <c r="I81" s="563">
        <v>1570856</v>
      </c>
      <c r="J81" s="414">
        <v>1151099</v>
      </c>
      <c r="K81" s="414">
        <v>962316</v>
      </c>
      <c r="L81" s="414">
        <v>188783</v>
      </c>
      <c r="M81" s="414">
        <v>0</v>
      </c>
      <c r="N81" s="414">
        <v>0</v>
      </c>
      <c r="O81" s="414">
        <v>0</v>
      </c>
      <c r="P81" s="68">
        <v>389071</v>
      </c>
      <c r="Q81" s="68">
        <v>11511</v>
      </c>
      <c r="R81" s="414">
        <v>19175</v>
      </c>
      <c r="S81" s="415">
        <v>2.0365000000000002</v>
      </c>
      <c r="T81" s="416">
        <v>1.5455000000000001</v>
      </c>
      <c r="U81" s="762">
        <v>0.49099999999999999</v>
      </c>
      <c r="V81" s="423">
        <f t="shared" si="110"/>
        <v>0</v>
      </c>
      <c r="W81" s="417">
        <f t="shared" si="110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12"/>
        <v>0</v>
      </c>
      <c r="AF81" s="417">
        <f t="shared" si="113"/>
        <v>0</v>
      </c>
      <c r="AG81" s="417">
        <f t="shared" si="114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15"/>
        <v>0</v>
      </c>
      <c r="AN81" s="417">
        <f t="shared" si="116"/>
        <v>0</v>
      </c>
      <c r="AO81" s="417">
        <f t="shared" si="117"/>
        <v>0</v>
      </c>
      <c r="AP81" s="417">
        <f t="shared" si="111"/>
        <v>0</v>
      </c>
      <c r="AQ81" s="417">
        <f t="shared" si="111"/>
        <v>0</v>
      </c>
      <c r="AR81" s="417">
        <f t="shared" si="118"/>
        <v>0</v>
      </c>
      <c r="AS81" s="68">
        <f t="shared" si="119"/>
        <v>0</v>
      </c>
      <c r="AT81" s="68">
        <f t="shared" si="120"/>
        <v>0</v>
      </c>
      <c r="AU81" s="417">
        <v>0</v>
      </c>
      <c r="AV81" s="417">
        <v>0</v>
      </c>
      <c r="AW81" s="417">
        <v>0</v>
      </c>
      <c r="AX81" s="417">
        <f t="shared" si="121"/>
        <v>0</v>
      </c>
      <c r="AY81" s="417">
        <f t="shared" si="122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23"/>
        <v>0</v>
      </c>
      <c r="BJ81" s="418">
        <f t="shared" si="124"/>
        <v>0</v>
      </c>
      <c r="BK81" s="420">
        <f t="shared" si="125"/>
        <v>0</v>
      </c>
      <c r="BL81" s="772">
        <f t="shared" si="129"/>
        <v>1570856</v>
      </c>
      <c r="BM81" s="417">
        <f t="shared" si="130"/>
        <v>1151099</v>
      </c>
      <c r="BN81" s="417">
        <f t="shared" si="131"/>
        <v>962316</v>
      </c>
      <c r="BO81" s="417">
        <f t="shared" si="131"/>
        <v>188783</v>
      </c>
      <c r="BP81" s="417">
        <f t="shared" si="132"/>
        <v>0</v>
      </c>
      <c r="BQ81" s="417">
        <f t="shared" si="133"/>
        <v>0</v>
      </c>
      <c r="BR81" s="417">
        <f t="shared" si="133"/>
        <v>0</v>
      </c>
      <c r="BS81" s="417">
        <f t="shared" si="134"/>
        <v>389071</v>
      </c>
      <c r="BT81" s="417">
        <f t="shared" si="134"/>
        <v>11511</v>
      </c>
      <c r="BU81" s="417">
        <f t="shared" si="135"/>
        <v>19175</v>
      </c>
      <c r="BV81" s="418">
        <f t="shared" si="136"/>
        <v>2.0365000000000002</v>
      </c>
      <c r="BW81" s="418">
        <f t="shared" si="137"/>
        <v>1.5455000000000001</v>
      </c>
      <c r="BX81" s="420">
        <f t="shared" si="137"/>
        <v>0.49099999999999999</v>
      </c>
      <c r="BY81" s="596"/>
      <c r="BZ81" s="595"/>
      <c r="CA81" s="595"/>
      <c r="CB81" s="595"/>
      <c r="CC81" s="595"/>
      <c r="CD81" s="981"/>
      <c r="CE81" s="596">
        <v>85030</v>
      </c>
      <c r="CF81" s="595">
        <v>60590</v>
      </c>
      <c r="CG81" s="595">
        <v>20480</v>
      </c>
      <c r="CH81" s="595">
        <v>606</v>
      </c>
      <c r="CI81" s="595">
        <v>3354</v>
      </c>
      <c r="CJ81" s="981">
        <v>0.15760000000000002</v>
      </c>
    </row>
    <row r="82" spans="1:88" ht="12.95" customHeight="1">
      <c r="A82" s="280">
        <v>15</v>
      </c>
      <c r="B82" s="281">
        <v>4433</v>
      </c>
      <c r="C82" s="281">
        <v>600075001</v>
      </c>
      <c r="D82" s="281">
        <v>70695440</v>
      </c>
      <c r="E82" s="283" t="s">
        <v>336</v>
      </c>
      <c r="F82" s="281">
        <v>3117</v>
      </c>
      <c r="G82" s="284" t="s">
        <v>298</v>
      </c>
      <c r="H82" s="284" t="s">
        <v>272</v>
      </c>
      <c r="I82" s="563">
        <v>249921</v>
      </c>
      <c r="J82" s="414">
        <v>185401</v>
      </c>
      <c r="K82" s="414">
        <v>185401</v>
      </c>
      <c r="L82" s="414">
        <v>0</v>
      </c>
      <c r="M82" s="414">
        <v>0</v>
      </c>
      <c r="N82" s="414">
        <v>0</v>
      </c>
      <c r="O82" s="414">
        <v>0</v>
      </c>
      <c r="P82" s="68">
        <v>62666</v>
      </c>
      <c r="Q82" s="68">
        <v>1854</v>
      </c>
      <c r="R82" s="414">
        <v>0</v>
      </c>
      <c r="S82" s="415">
        <v>0.5</v>
      </c>
      <c r="T82" s="416">
        <v>0.5</v>
      </c>
      <c r="U82" s="762">
        <v>0</v>
      </c>
      <c r="V82" s="423">
        <f t="shared" si="110"/>
        <v>0</v>
      </c>
      <c r="W82" s="417">
        <f t="shared" si="110"/>
        <v>0</v>
      </c>
      <c r="X82" s="417">
        <v>46350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12"/>
        <v>46350</v>
      </c>
      <c r="AF82" s="417">
        <f t="shared" si="113"/>
        <v>0</v>
      </c>
      <c r="AG82" s="417">
        <f t="shared" si="114"/>
        <v>46350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15"/>
        <v>0</v>
      </c>
      <c r="AN82" s="417">
        <f t="shared" si="116"/>
        <v>0</v>
      </c>
      <c r="AO82" s="417">
        <f t="shared" si="117"/>
        <v>0</v>
      </c>
      <c r="AP82" s="417">
        <f t="shared" si="111"/>
        <v>46350</v>
      </c>
      <c r="AQ82" s="417">
        <f t="shared" si="111"/>
        <v>0</v>
      </c>
      <c r="AR82" s="417">
        <f t="shared" si="118"/>
        <v>46350</v>
      </c>
      <c r="AS82" s="68">
        <f t="shared" si="119"/>
        <v>15666</v>
      </c>
      <c r="AT82" s="68">
        <f t="shared" si="120"/>
        <v>464</v>
      </c>
      <c r="AU82" s="417">
        <v>3000</v>
      </c>
      <c r="AV82" s="417">
        <v>0</v>
      </c>
      <c r="AW82" s="417">
        <v>0</v>
      </c>
      <c r="AX82" s="417">
        <f t="shared" si="121"/>
        <v>3000</v>
      </c>
      <c r="AY82" s="417">
        <f t="shared" si="122"/>
        <v>65480</v>
      </c>
      <c r="AZ82" s="418">
        <v>0</v>
      </c>
      <c r="BA82" s="418">
        <v>0</v>
      </c>
      <c r="BB82" s="418">
        <v>0.13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23"/>
        <v>0.13</v>
      </c>
      <c r="BJ82" s="418">
        <f t="shared" si="124"/>
        <v>0</v>
      </c>
      <c r="BK82" s="420">
        <f t="shared" si="125"/>
        <v>0.13</v>
      </c>
      <c r="BL82" s="772">
        <f t="shared" si="129"/>
        <v>315401</v>
      </c>
      <c r="BM82" s="417">
        <f t="shared" si="130"/>
        <v>231751</v>
      </c>
      <c r="BN82" s="417">
        <f t="shared" si="131"/>
        <v>231751</v>
      </c>
      <c r="BO82" s="417">
        <f t="shared" si="131"/>
        <v>0</v>
      </c>
      <c r="BP82" s="417">
        <f t="shared" si="132"/>
        <v>0</v>
      </c>
      <c r="BQ82" s="417">
        <f t="shared" si="133"/>
        <v>0</v>
      </c>
      <c r="BR82" s="417">
        <f t="shared" si="133"/>
        <v>0</v>
      </c>
      <c r="BS82" s="417">
        <f t="shared" si="134"/>
        <v>78332</v>
      </c>
      <c r="BT82" s="417">
        <f t="shared" si="134"/>
        <v>2318</v>
      </c>
      <c r="BU82" s="417">
        <f t="shared" si="135"/>
        <v>3000</v>
      </c>
      <c r="BV82" s="418">
        <f t="shared" si="136"/>
        <v>0.63</v>
      </c>
      <c r="BW82" s="418">
        <f t="shared" si="137"/>
        <v>0.63</v>
      </c>
      <c r="BX82" s="420">
        <f t="shared" si="137"/>
        <v>0</v>
      </c>
      <c r="BY82" s="596"/>
      <c r="BZ82" s="595"/>
      <c r="CA82" s="595"/>
      <c r="CB82" s="595"/>
      <c r="CC82" s="595"/>
      <c r="CD82" s="981"/>
      <c r="CE82" s="596"/>
      <c r="CF82" s="595"/>
      <c r="CG82" s="595"/>
      <c r="CH82" s="595"/>
      <c r="CI82" s="595"/>
      <c r="CJ82" s="981"/>
    </row>
    <row r="83" spans="1:88" ht="12.95" customHeight="1">
      <c r="A83" s="280">
        <v>15</v>
      </c>
      <c r="B83" s="281">
        <v>4433</v>
      </c>
      <c r="C83" s="281">
        <v>600075001</v>
      </c>
      <c r="D83" s="281">
        <v>70695440</v>
      </c>
      <c r="E83" s="283" t="s">
        <v>336</v>
      </c>
      <c r="F83" s="281">
        <v>3141</v>
      </c>
      <c r="G83" s="284" t="s">
        <v>294</v>
      </c>
      <c r="H83" s="284" t="s">
        <v>272</v>
      </c>
      <c r="I83" s="563">
        <v>425375</v>
      </c>
      <c r="J83" s="414">
        <v>314519</v>
      </c>
      <c r="K83" s="414">
        <v>0</v>
      </c>
      <c r="L83" s="414">
        <v>314519</v>
      </c>
      <c r="M83" s="414">
        <v>0</v>
      </c>
      <c r="N83" s="414">
        <v>0</v>
      </c>
      <c r="O83" s="414">
        <v>0</v>
      </c>
      <c r="P83" s="68">
        <v>106307</v>
      </c>
      <c r="Q83" s="68">
        <v>3145</v>
      </c>
      <c r="R83" s="414">
        <v>1404</v>
      </c>
      <c r="S83" s="415">
        <v>0.93670000000000009</v>
      </c>
      <c r="T83" s="416">
        <v>0</v>
      </c>
      <c r="U83" s="762">
        <v>0.93670000000000009</v>
      </c>
      <c r="V83" s="423">
        <f t="shared" si="110"/>
        <v>0</v>
      </c>
      <c r="W83" s="417">
        <f t="shared" si="110"/>
        <v>0</v>
      </c>
      <c r="X83" s="417">
        <v>0</v>
      </c>
      <c r="Y83" s="417">
        <v>0</v>
      </c>
      <c r="Z83" s="417">
        <v>0</v>
      </c>
      <c r="AA83" s="417">
        <v>6031</v>
      </c>
      <c r="AB83" s="417">
        <v>0</v>
      </c>
      <c r="AC83" s="417">
        <v>0</v>
      </c>
      <c r="AD83" s="417">
        <v>0</v>
      </c>
      <c r="AE83" s="417">
        <f t="shared" si="112"/>
        <v>0</v>
      </c>
      <c r="AF83" s="417">
        <f t="shared" si="113"/>
        <v>6031</v>
      </c>
      <c r="AG83" s="417">
        <f t="shared" si="114"/>
        <v>6031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15"/>
        <v>0</v>
      </c>
      <c r="AN83" s="417">
        <f t="shared" si="116"/>
        <v>0</v>
      </c>
      <c r="AO83" s="417">
        <f t="shared" si="117"/>
        <v>0</v>
      </c>
      <c r="AP83" s="417">
        <f t="shared" si="111"/>
        <v>0</v>
      </c>
      <c r="AQ83" s="417">
        <f t="shared" si="111"/>
        <v>6031</v>
      </c>
      <c r="AR83" s="417">
        <f t="shared" si="118"/>
        <v>6031</v>
      </c>
      <c r="AS83" s="68">
        <f t="shared" si="119"/>
        <v>2038</v>
      </c>
      <c r="AT83" s="68">
        <f t="shared" si="120"/>
        <v>60</v>
      </c>
      <c r="AU83" s="417">
        <v>0</v>
      </c>
      <c r="AV83" s="417">
        <v>0</v>
      </c>
      <c r="AW83" s="417">
        <v>0</v>
      </c>
      <c r="AX83" s="417">
        <f t="shared" si="121"/>
        <v>0</v>
      </c>
      <c r="AY83" s="417">
        <f t="shared" si="122"/>
        <v>8129</v>
      </c>
      <c r="AZ83" s="418">
        <v>0</v>
      </c>
      <c r="BA83" s="418">
        <v>0</v>
      </c>
      <c r="BB83" s="418">
        <v>0</v>
      </c>
      <c r="BC83" s="418">
        <v>0</v>
      </c>
      <c r="BD83" s="418">
        <v>0.02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23"/>
        <v>0</v>
      </c>
      <c r="BJ83" s="418">
        <f t="shared" si="124"/>
        <v>0.02</v>
      </c>
      <c r="BK83" s="420">
        <f t="shared" si="125"/>
        <v>0.02</v>
      </c>
      <c r="BL83" s="772">
        <f t="shared" si="129"/>
        <v>433504</v>
      </c>
      <c r="BM83" s="417">
        <f t="shared" si="130"/>
        <v>320550</v>
      </c>
      <c r="BN83" s="417">
        <f t="shared" si="131"/>
        <v>0</v>
      </c>
      <c r="BO83" s="417">
        <f t="shared" si="131"/>
        <v>320550</v>
      </c>
      <c r="BP83" s="417">
        <f t="shared" si="132"/>
        <v>0</v>
      </c>
      <c r="BQ83" s="417">
        <f t="shared" si="133"/>
        <v>0</v>
      </c>
      <c r="BR83" s="417">
        <f t="shared" si="133"/>
        <v>0</v>
      </c>
      <c r="BS83" s="417">
        <f t="shared" si="134"/>
        <v>108345</v>
      </c>
      <c r="BT83" s="417">
        <f t="shared" si="134"/>
        <v>3205</v>
      </c>
      <c r="BU83" s="417">
        <f t="shared" si="135"/>
        <v>1404</v>
      </c>
      <c r="BV83" s="418">
        <f t="shared" si="136"/>
        <v>0.95670000000000011</v>
      </c>
      <c r="BW83" s="418">
        <f t="shared" si="137"/>
        <v>0</v>
      </c>
      <c r="BX83" s="420">
        <f t="shared" si="137"/>
        <v>0.95670000000000011</v>
      </c>
      <c r="BY83" s="596"/>
      <c r="BZ83" s="595"/>
      <c r="CA83" s="595"/>
      <c r="CB83" s="595"/>
      <c r="CC83" s="595"/>
      <c r="CD83" s="981"/>
      <c r="CE83" s="596"/>
      <c r="CF83" s="595"/>
      <c r="CG83" s="595"/>
      <c r="CH83" s="595"/>
      <c r="CI83" s="595"/>
      <c r="CJ83" s="981"/>
    </row>
    <row r="84" spans="1:88" ht="12.95" customHeight="1">
      <c r="A84" s="280">
        <v>15</v>
      </c>
      <c r="B84" s="281">
        <v>4433</v>
      </c>
      <c r="C84" s="281">
        <v>600075001</v>
      </c>
      <c r="D84" s="281">
        <v>70695440</v>
      </c>
      <c r="E84" s="283" t="s">
        <v>336</v>
      </c>
      <c r="F84" s="281">
        <v>3143</v>
      </c>
      <c r="G84" s="284" t="s">
        <v>595</v>
      </c>
      <c r="H84" s="284" t="s">
        <v>271</v>
      </c>
      <c r="I84" s="563">
        <v>625383</v>
      </c>
      <c r="J84" s="414">
        <v>463934</v>
      </c>
      <c r="K84" s="414">
        <v>463934</v>
      </c>
      <c r="L84" s="414">
        <v>0</v>
      </c>
      <c r="M84" s="414">
        <v>0</v>
      </c>
      <c r="N84" s="414">
        <v>0</v>
      </c>
      <c r="O84" s="414">
        <v>0</v>
      </c>
      <c r="P84" s="68">
        <v>156810</v>
      </c>
      <c r="Q84" s="68">
        <v>4639</v>
      </c>
      <c r="R84" s="414">
        <v>0</v>
      </c>
      <c r="S84" s="415">
        <v>1</v>
      </c>
      <c r="T84" s="416">
        <v>1</v>
      </c>
      <c r="U84" s="762">
        <v>0</v>
      </c>
      <c r="V84" s="423">
        <f t="shared" si="110"/>
        <v>0</v>
      </c>
      <c r="W84" s="417">
        <f t="shared" si="110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112"/>
        <v>0</v>
      </c>
      <c r="AF84" s="417">
        <f t="shared" si="113"/>
        <v>0</v>
      </c>
      <c r="AG84" s="417">
        <f t="shared" si="114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15"/>
        <v>0</v>
      </c>
      <c r="AN84" s="417">
        <f t="shared" si="116"/>
        <v>0</v>
      </c>
      <c r="AO84" s="417">
        <f t="shared" si="117"/>
        <v>0</v>
      </c>
      <c r="AP84" s="417">
        <f t="shared" si="111"/>
        <v>0</v>
      </c>
      <c r="AQ84" s="417">
        <f t="shared" si="111"/>
        <v>0</v>
      </c>
      <c r="AR84" s="417">
        <f t="shared" si="118"/>
        <v>0</v>
      </c>
      <c r="AS84" s="68">
        <f t="shared" si="119"/>
        <v>0</v>
      </c>
      <c r="AT84" s="68">
        <f t="shared" si="120"/>
        <v>0</v>
      </c>
      <c r="AU84" s="417">
        <v>0</v>
      </c>
      <c r="AV84" s="417">
        <v>0</v>
      </c>
      <c r="AW84" s="417">
        <v>0</v>
      </c>
      <c r="AX84" s="417">
        <f t="shared" si="121"/>
        <v>0</v>
      </c>
      <c r="AY84" s="417">
        <f t="shared" si="122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23"/>
        <v>0</v>
      </c>
      <c r="BJ84" s="418">
        <f t="shared" si="124"/>
        <v>0</v>
      </c>
      <c r="BK84" s="420">
        <f t="shared" si="125"/>
        <v>0</v>
      </c>
      <c r="BL84" s="772">
        <f t="shared" si="129"/>
        <v>625383</v>
      </c>
      <c r="BM84" s="417">
        <f t="shared" si="130"/>
        <v>463934</v>
      </c>
      <c r="BN84" s="417">
        <f t="shared" si="131"/>
        <v>463934</v>
      </c>
      <c r="BO84" s="417">
        <f t="shared" si="131"/>
        <v>0</v>
      </c>
      <c r="BP84" s="417">
        <f t="shared" si="132"/>
        <v>0</v>
      </c>
      <c r="BQ84" s="417">
        <f t="shared" si="133"/>
        <v>0</v>
      </c>
      <c r="BR84" s="417">
        <f t="shared" si="133"/>
        <v>0</v>
      </c>
      <c r="BS84" s="417">
        <f t="shared" si="134"/>
        <v>156810</v>
      </c>
      <c r="BT84" s="417">
        <f t="shared" si="134"/>
        <v>4639</v>
      </c>
      <c r="BU84" s="417">
        <f t="shared" si="135"/>
        <v>0</v>
      </c>
      <c r="BV84" s="418">
        <f t="shared" si="136"/>
        <v>1</v>
      </c>
      <c r="BW84" s="418">
        <f t="shared" si="137"/>
        <v>1</v>
      </c>
      <c r="BX84" s="420">
        <f t="shared" si="137"/>
        <v>0</v>
      </c>
      <c r="BY84" s="596"/>
      <c r="BZ84" s="595"/>
      <c r="CA84" s="595"/>
      <c r="CB84" s="595"/>
      <c r="CC84" s="595"/>
      <c r="CD84" s="981"/>
      <c r="CE84" s="596"/>
      <c r="CF84" s="595"/>
      <c r="CG84" s="595"/>
      <c r="CH84" s="595"/>
      <c r="CI84" s="595"/>
      <c r="CJ84" s="981"/>
    </row>
    <row r="85" spans="1:88" ht="12.95" customHeight="1">
      <c r="A85" s="280">
        <v>15</v>
      </c>
      <c r="B85" s="281">
        <v>4433</v>
      </c>
      <c r="C85" s="281">
        <v>600075001</v>
      </c>
      <c r="D85" s="281">
        <v>70695440</v>
      </c>
      <c r="E85" s="283" t="s">
        <v>336</v>
      </c>
      <c r="F85" s="281">
        <v>3143</v>
      </c>
      <c r="G85" s="284" t="s">
        <v>596</v>
      </c>
      <c r="H85" s="284" t="s">
        <v>272</v>
      </c>
      <c r="I85" s="563">
        <v>9990</v>
      </c>
      <c r="J85" s="414">
        <v>7150</v>
      </c>
      <c r="K85" s="414">
        <v>0</v>
      </c>
      <c r="L85" s="414">
        <v>7150</v>
      </c>
      <c r="M85" s="414">
        <v>0</v>
      </c>
      <c r="N85" s="414">
        <v>0</v>
      </c>
      <c r="O85" s="414">
        <v>0</v>
      </c>
      <c r="P85" s="68">
        <v>2417</v>
      </c>
      <c r="Q85" s="68">
        <v>72</v>
      </c>
      <c r="R85" s="414">
        <v>351</v>
      </c>
      <c r="S85" s="415">
        <v>2.81E-2</v>
      </c>
      <c r="T85" s="416">
        <v>0</v>
      </c>
      <c r="U85" s="762">
        <v>2.81E-2</v>
      </c>
      <c r="V85" s="423">
        <f t="shared" si="110"/>
        <v>0</v>
      </c>
      <c r="W85" s="417">
        <f t="shared" si="110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12"/>
        <v>0</v>
      </c>
      <c r="AF85" s="417">
        <f t="shared" si="113"/>
        <v>0</v>
      </c>
      <c r="AG85" s="417">
        <f t="shared" si="114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15"/>
        <v>0</v>
      </c>
      <c r="AN85" s="417">
        <f t="shared" si="116"/>
        <v>0</v>
      </c>
      <c r="AO85" s="417">
        <f t="shared" si="117"/>
        <v>0</v>
      </c>
      <c r="AP85" s="417">
        <f t="shared" si="111"/>
        <v>0</v>
      </c>
      <c r="AQ85" s="417">
        <f t="shared" si="111"/>
        <v>0</v>
      </c>
      <c r="AR85" s="417">
        <f t="shared" si="118"/>
        <v>0</v>
      </c>
      <c r="AS85" s="68">
        <f t="shared" si="119"/>
        <v>0</v>
      </c>
      <c r="AT85" s="68">
        <f t="shared" si="120"/>
        <v>0</v>
      </c>
      <c r="AU85" s="417">
        <v>0</v>
      </c>
      <c r="AV85" s="417">
        <v>0</v>
      </c>
      <c r="AW85" s="417">
        <v>0</v>
      </c>
      <c r="AX85" s="417">
        <f t="shared" si="121"/>
        <v>0</v>
      </c>
      <c r="AY85" s="417">
        <f t="shared" si="122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23"/>
        <v>0</v>
      </c>
      <c r="BJ85" s="418">
        <f t="shared" si="124"/>
        <v>0</v>
      </c>
      <c r="BK85" s="420">
        <f t="shared" si="125"/>
        <v>0</v>
      </c>
      <c r="BL85" s="772">
        <f t="shared" si="129"/>
        <v>9990</v>
      </c>
      <c r="BM85" s="417">
        <f t="shared" si="130"/>
        <v>7150</v>
      </c>
      <c r="BN85" s="417">
        <f t="shared" si="131"/>
        <v>0</v>
      </c>
      <c r="BO85" s="417">
        <f t="shared" si="131"/>
        <v>7150</v>
      </c>
      <c r="BP85" s="417">
        <f t="shared" si="132"/>
        <v>0</v>
      </c>
      <c r="BQ85" s="417">
        <f t="shared" si="133"/>
        <v>0</v>
      </c>
      <c r="BR85" s="417">
        <f t="shared" si="133"/>
        <v>0</v>
      </c>
      <c r="BS85" s="417">
        <f t="shared" si="134"/>
        <v>2417</v>
      </c>
      <c r="BT85" s="417">
        <f t="shared" si="134"/>
        <v>72</v>
      </c>
      <c r="BU85" s="417">
        <f t="shared" si="135"/>
        <v>351</v>
      </c>
      <c r="BV85" s="418">
        <f t="shared" si="136"/>
        <v>2.81E-2</v>
      </c>
      <c r="BW85" s="418">
        <f t="shared" si="137"/>
        <v>0</v>
      </c>
      <c r="BX85" s="420">
        <f t="shared" si="137"/>
        <v>2.81E-2</v>
      </c>
      <c r="BY85" s="596"/>
      <c r="BZ85" s="595"/>
      <c r="CA85" s="595"/>
      <c r="CB85" s="595"/>
      <c r="CC85" s="595"/>
      <c r="CD85" s="981"/>
      <c r="CE85" s="596"/>
      <c r="CF85" s="595"/>
      <c r="CG85" s="595"/>
      <c r="CH85" s="595"/>
      <c r="CI85" s="595"/>
      <c r="CJ85" s="981"/>
    </row>
    <row r="86" spans="1:88" ht="12.95" customHeight="1">
      <c r="A86" s="273">
        <v>15</v>
      </c>
      <c r="B86" s="275">
        <v>4433</v>
      </c>
      <c r="C86" s="275">
        <v>600075001</v>
      </c>
      <c r="D86" s="275">
        <v>70695440</v>
      </c>
      <c r="E86" s="288" t="s">
        <v>337</v>
      </c>
      <c r="F86" s="291"/>
      <c r="G86" s="292"/>
      <c r="H86" s="292"/>
      <c r="I86" s="465">
        <v>4520691</v>
      </c>
      <c r="J86" s="462">
        <v>3333947</v>
      </c>
      <c r="K86" s="462">
        <v>2735286</v>
      </c>
      <c r="L86" s="462">
        <v>598661</v>
      </c>
      <c r="M86" s="462">
        <v>0</v>
      </c>
      <c r="N86" s="462">
        <v>0</v>
      </c>
      <c r="O86" s="462">
        <v>0</v>
      </c>
      <c r="P86" s="462">
        <v>1126874</v>
      </c>
      <c r="Q86" s="462">
        <v>33340</v>
      </c>
      <c r="R86" s="462">
        <v>26530</v>
      </c>
      <c r="S86" s="463">
        <v>6.8547000000000011</v>
      </c>
      <c r="T86" s="463">
        <v>5.0455000000000005</v>
      </c>
      <c r="U86" s="533">
        <v>1.8092000000000001</v>
      </c>
      <c r="V86" s="465">
        <f t="shared" ref="V86:BK86" si="138">SUM(V80:V85)</f>
        <v>0</v>
      </c>
      <c r="W86" s="462">
        <f t="shared" si="138"/>
        <v>0</v>
      </c>
      <c r="X86" s="462">
        <f t="shared" si="138"/>
        <v>46350</v>
      </c>
      <c r="Y86" s="462">
        <f t="shared" si="138"/>
        <v>0</v>
      </c>
      <c r="Z86" s="462">
        <f t="shared" si="138"/>
        <v>0</v>
      </c>
      <c r="AA86" s="462">
        <f t="shared" si="138"/>
        <v>6031</v>
      </c>
      <c r="AB86" s="462">
        <f t="shared" si="138"/>
        <v>0</v>
      </c>
      <c r="AC86" s="462">
        <f t="shared" si="138"/>
        <v>0</v>
      </c>
      <c r="AD86" s="462">
        <f t="shared" si="138"/>
        <v>0</v>
      </c>
      <c r="AE86" s="462">
        <f t="shared" si="138"/>
        <v>46350</v>
      </c>
      <c r="AF86" s="462">
        <f t="shared" si="138"/>
        <v>6031</v>
      </c>
      <c r="AG86" s="462">
        <f t="shared" si="138"/>
        <v>52381</v>
      </c>
      <c r="AH86" s="462">
        <f t="shared" si="138"/>
        <v>0</v>
      </c>
      <c r="AI86" s="462">
        <f t="shared" si="138"/>
        <v>0</v>
      </c>
      <c r="AJ86" s="462">
        <f t="shared" si="138"/>
        <v>0</v>
      </c>
      <c r="AK86" s="462">
        <f t="shared" si="138"/>
        <v>0</v>
      </c>
      <c r="AL86" s="462">
        <f t="shared" si="138"/>
        <v>0</v>
      </c>
      <c r="AM86" s="462">
        <f t="shared" si="138"/>
        <v>0</v>
      </c>
      <c r="AN86" s="462">
        <f t="shared" si="138"/>
        <v>0</v>
      </c>
      <c r="AO86" s="462">
        <f t="shared" si="138"/>
        <v>0</v>
      </c>
      <c r="AP86" s="462">
        <f t="shared" si="138"/>
        <v>46350</v>
      </c>
      <c r="AQ86" s="462">
        <f t="shared" si="138"/>
        <v>6031</v>
      </c>
      <c r="AR86" s="462">
        <f t="shared" si="138"/>
        <v>52381</v>
      </c>
      <c r="AS86" s="462">
        <f t="shared" si="138"/>
        <v>17704</v>
      </c>
      <c r="AT86" s="462">
        <f t="shared" si="138"/>
        <v>524</v>
      </c>
      <c r="AU86" s="462">
        <f t="shared" si="138"/>
        <v>3000</v>
      </c>
      <c r="AV86" s="462">
        <f t="shared" si="138"/>
        <v>0</v>
      </c>
      <c r="AW86" s="462">
        <f t="shared" si="138"/>
        <v>0</v>
      </c>
      <c r="AX86" s="462">
        <f t="shared" si="138"/>
        <v>3000</v>
      </c>
      <c r="AY86" s="462">
        <f t="shared" si="138"/>
        <v>73609</v>
      </c>
      <c r="AZ86" s="463">
        <f t="shared" si="138"/>
        <v>0</v>
      </c>
      <c r="BA86" s="463">
        <f t="shared" si="138"/>
        <v>0</v>
      </c>
      <c r="BB86" s="463">
        <f t="shared" si="138"/>
        <v>0.13</v>
      </c>
      <c r="BC86" s="463">
        <f t="shared" si="138"/>
        <v>0</v>
      </c>
      <c r="BD86" s="463">
        <f t="shared" si="138"/>
        <v>0.02</v>
      </c>
      <c r="BE86" s="463">
        <f t="shared" si="138"/>
        <v>0</v>
      </c>
      <c r="BF86" s="463">
        <f t="shared" si="138"/>
        <v>0</v>
      </c>
      <c r="BG86" s="463">
        <f t="shared" si="138"/>
        <v>0</v>
      </c>
      <c r="BH86" s="463">
        <f t="shared" si="138"/>
        <v>0</v>
      </c>
      <c r="BI86" s="463">
        <f t="shared" si="138"/>
        <v>0.13</v>
      </c>
      <c r="BJ86" s="463">
        <f t="shared" si="138"/>
        <v>0.02</v>
      </c>
      <c r="BK86" s="290">
        <f t="shared" si="138"/>
        <v>0.15</v>
      </c>
      <c r="BL86" s="776">
        <f t="shared" ref="BL86:CG86" si="139">SUM(BL80:BL85)</f>
        <v>4594300</v>
      </c>
      <c r="BM86" s="462">
        <f t="shared" si="139"/>
        <v>3386328</v>
      </c>
      <c r="BN86" s="462">
        <f t="shared" si="139"/>
        <v>2781636</v>
      </c>
      <c r="BO86" s="462">
        <f t="shared" si="139"/>
        <v>604692</v>
      </c>
      <c r="BP86" s="462">
        <f t="shared" si="139"/>
        <v>0</v>
      </c>
      <c r="BQ86" s="462">
        <f t="shared" si="139"/>
        <v>0</v>
      </c>
      <c r="BR86" s="462">
        <f t="shared" si="139"/>
        <v>0</v>
      </c>
      <c r="BS86" s="462">
        <f t="shared" si="139"/>
        <v>1144578</v>
      </c>
      <c r="BT86" s="462">
        <f t="shared" si="139"/>
        <v>33864</v>
      </c>
      <c r="BU86" s="462">
        <f t="shared" si="139"/>
        <v>29530</v>
      </c>
      <c r="BV86" s="463">
        <f t="shared" si="139"/>
        <v>7.0047000000000015</v>
      </c>
      <c r="BW86" s="463">
        <f t="shared" si="139"/>
        <v>5.1755000000000004</v>
      </c>
      <c r="BX86" s="290">
        <f t="shared" si="139"/>
        <v>1.8292000000000002</v>
      </c>
      <c r="BY86" s="820">
        <f t="shared" si="139"/>
        <v>0</v>
      </c>
      <c r="BZ86" s="716">
        <f t="shared" si="139"/>
        <v>0</v>
      </c>
      <c r="CA86" s="716">
        <f t="shared" si="139"/>
        <v>0</v>
      </c>
      <c r="CB86" s="716">
        <f t="shared" si="139"/>
        <v>0</v>
      </c>
      <c r="CC86" s="716">
        <f t="shared" si="139"/>
        <v>0</v>
      </c>
      <c r="CD86" s="821">
        <f t="shared" si="139"/>
        <v>0</v>
      </c>
      <c r="CE86" s="982">
        <f t="shared" si="139"/>
        <v>125047</v>
      </c>
      <c r="CF86" s="982">
        <f t="shared" si="139"/>
        <v>88895</v>
      </c>
      <c r="CG86" s="982">
        <f t="shared" si="139"/>
        <v>30047</v>
      </c>
      <c r="CH86" s="982">
        <f t="shared" ref="CH86:CJ86" si="140">SUM(CH80:CH85)</f>
        <v>889</v>
      </c>
      <c r="CI86" s="982">
        <f t="shared" si="140"/>
        <v>5216</v>
      </c>
      <c r="CJ86" s="935">
        <f t="shared" si="140"/>
        <v>0.27100000000000002</v>
      </c>
    </row>
    <row r="87" spans="1:88" ht="12.95" customHeight="1">
      <c r="A87" s="280">
        <v>16</v>
      </c>
      <c r="B87" s="281">
        <v>4487</v>
      </c>
      <c r="C87" s="281">
        <v>600074854</v>
      </c>
      <c r="D87" s="281">
        <v>70698503</v>
      </c>
      <c r="E87" s="283" t="s">
        <v>338</v>
      </c>
      <c r="F87" s="281">
        <v>3111</v>
      </c>
      <c r="G87" s="284" t="s">
        <v>304</v>
      </c>
      <c r="H87" s="284" t="s">
        <v>271</v>
      </c>
      <c r="I87" s="563">
        <v>2432682</v>
      </c>
      <c r="J87" s="414">
        <v>1797835</v>
      </c>
      <c r="K87" s="414">
        <v>1635531</v>
      </c>
      <c r="L87" s="414">
        <v>162304</v>
      </c>
      <c r="M87" s="414">
        <v>0</v>
      </c>
      <c r="N87" s="414">
        <v>0</v>
      </c>
      <c r="O87" s="414">
        <v>0</v>
      </c>
      <c r="P87" s="68">
        <v>607668</v>
      </c>
      <c r="Q87" s="68">
        <v>17979</v>
      </c>
      <c r="R87" s="414">
        <v>9200</v>
      </c>
      <c r="S87" s="415">
        <v>3.6583000000000001</v>
      </c>
      <c r="T87" s="416">
        <v>3.008</v>
      </c>
      <c r="U87" s="762">
        <v>0.65029999999999999</v>
      </c>
      <c r="V87" s="423">
        <f t="shared" si="110"/>
        <v>0</v>
      </c>
      <c r="W87" s="417">
        <f t="shared" si="110"/>
        <v>0</v>
      </c>
      <c r="X87" s="417">
        <v>0</v>
      </c>
      <c r="Y87" s="417">
        <v>0</v>
      </c>
      <c r="Z87" s="417">
        <v>-80691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12"/>
        <v>-80691</v>
      </c>
      <c r="AF87" s="417">
        <f t="shared" si="113"/>
        <v>0</v>
      </c>
      <c r="AG87" s="417">
        <f t="shared" si="114"/>
        <v>-80691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15"/>
        <v>0</v>
      </c>
      <c r="AN87" s="417">
        <f t="shared" si="116"/>
        <v>0</v>
      </c>
      <c r="AO87" s="417">
        <f t="shared" si="117"/>
        <v>0</v>
      </c>
      <c r="AP87" s="417">
        <f t="shared" si="111"/>
        <v>-80691</v>
      </c>
      <c r="AQ87" s="417">
        <f t="shared" si="111"/>
        <v>0</v>
      </c>
      <c r="AR87" s="417">
        <f t="shared" si="118"/>
        <v>-80691</v>
      </c>
      <c r="AS87" s="68">
        <f t="shared" si="119"/>
        <v>-27274</v>
      </c>
      <c r="AT87" s="68">
        <f t="shared" si="120"/>
        <v>-807</v>
      </c>
      <c r="AU87" s="417">
        <v>0</v>
      </c>
      <c r="AV87" s="417">
        <v>0</v>
      </c>
      <c r="AW87" s="417">
        <v>0</v>
      </c>
      <c r="AX87" s="417">
        <f t="shared" si="121"/>
        <v>0</v>
      </c>
      <c r="AY87" s="417">
        <f t="shared" si="122"/>
        <v>-108772</v>
      </c>
      <c r="AZ87" s="418">
        <v>0</v>
      </c>
      <c r="BA87" s="418">
        <v>0</v>
      </c>
      <c r="BB87" s="418">
        <v>0</v>
      </c>
      <c r="BC87" s="418">
        <v>-0.18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23"/>
        <v>-0.18</v>
      </c>
      <c r="BJ87" s="418">
        <f t="shared" si="124"/>
        <v>0</v>
      </c>
      <c r="BK87" s="420">
        <f t="shared" si="125"/>
        <v>-0.18</v>
      </c>
      <c r="BL87" s="772">
        <f t="shared" ref="BL87:BL92" si="141">I87+AY87</f>
        <v>2323910</v>
      </c>
      <c r="BM87" s="417">
        <f t="shared" ref="BM87:BM92" si="142">J87+AG87</f>
        <v>1717144</v>
      </c>
      <c r="BN87" s="417">
        <f t="shared" ref="BN87:BO92" si="143">K87+AE87</f>
        <v>1554840</v>
      </c>
      <c r="BO87" s="417">
        <f t="shared" si="143"/>
        <v>162304</v>
      </c>
      <c r="BP87" s="417">
        <f t="shared" ref="BP87:BP92" si="144">M87+AO87</f>
        <v>0</v>
      </c>
      <c r="BQ87" s="417">
        <f t="shared" ref="BQ87:BR92" si="145">N87+AM87</f>
        <v>0</v>
      </c>
      <c r="BR87" s="417">
        <f t="shared" si="145"/>
        <v>0</v>
      </c>
      <c r="BS87" s="417">
        <f t="shared" ref="BS87:BT92" si="146">P87+AS87</f>
        <v>580394</v>
      </c>
      <c r="BT87" s="417">
        <f t="shared" si="146"/>
        <v>17172</v>
      </c>
      <c r="BU87" s="417">
        <f t="shared" ref="BU87:BU92" si="147">R87+AX87</f>
        <v>9200</v>
      </c>
      <c r="BV87" s="418">
        <f t="shared" ref="BV87:BV92" si="148">S87+BK87</f>
        <v>3.4782999999999999</v>
      </c>
      <c r="BW87" s="418">
        <f t="shared" ref="BW87:BX92" si="149">T87+BI87</f>
        <v>2.8279999999999998</v>
      </c>
      <c r="BX87" s="420">
        <f t="shared" si="149"/>
        <v>0.65029999999999999</v>
      </c>
      <c r="BY87" s="596"/>
      <c r="BZ87" s="595"/>
      <c r="CA87" s="595"/>
      <c r="CB87" s="595"/>
      <c r="CC87" s="595"/>
      <c r="CD87" s="981"/>
      <c r="CE87" s="596">
        <v>73263</v>
      </c>
      <c r="CF87" s="595">
        <v>52081</v>
      </c>
      <c r="CG87" s="595">
        <v>17603</v>
      </c>
      <c r="CH87" s="595">
        <v>520</v>
      </c>
      <c r="CI87" s="595">
        <v>3059</v>
      </c>
      <c r="CJ87" s="981">
        <v>0.2087</v>
      </c>
    </row>
    <row r="88" spans="1:88" ht="12.95" customHeight="1">
      <c r="A88" s="280">
        <v>16</v>
      </c>
      <c r="B88" s="281">
        <v>4487</v>
      </c>
      <c r="C88" s="281">
        <v>600074854</v>
      </c>
      <c r="D88" s="281">
        <v>70698503</v>
      </c>
      <c r="E88" s="283" t="s">
        <v>338</v>
      </c>
      <c r="F88" s="281">
        <v>3117</v>
      </c>
      <c r="G88" s="284" t="s">
        <v>308</v>
      </c>
      <c r="H88" s="284" t="s">
        <v>271</v>
      </c>
      <c r="I88" s="563">
        <v>4246680</v>
      </c>
      <c r="J88" s="414">
        <v>2878528</v>
      </c>
      <c r="K88" s="414">
        <v>2514702</v>
      </c>
      <c r="L88" s="414">
        <v>363826</v>
      </c>
      <c r="M88" s="414">
        <v>200000</v>
      </c>
      <c r="N88" s="414">
        <v>0</v>
      </c>
      <c r="O88" s="414">
        <v>200000</v>
      </c>
      <c r="P88" s="68">
        <v>1040542</v>
      </c>
      <c r="Q88" s="68">
        <v>28785</v>
      </c>
      <c r="R88" s="414">
        <v>98825</v>
      </c>
      <c r="S88" s="415">
        <v>5.1419999999999995</v>
      </c>
      <c r="T88" s="416">
        <v>4.2954999999999997</v>
      </c>
      <c r="U88" s="762">
        <v>0.84650000000000003</v>
      </c>
      <c r="V88" s="423">
        <f t="shared" si="110"/>
        <v>0</v>
      </c>
      <c r="W88" s="417">
        <f t="shared" si="110"/>
        <v>-50000</v>
      </c>
      <c r="X88" s="417">
        <v>0</v>
      </c>
      <c r="Y88" s="417">
        <v>0</v>
      </c>
      <c r="Z88" s="417">
        <v>-64687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12"/>
        <v>-64687</v>
      </c>
      <c r="AF88" s="417">
        <f t="shared" si="113"/>
        <v>-50000</v>
      </c>
      <c r="AG88" s="417">
        <f t="shared" si="114"/>
        <v>-114687</v>
      </c>
      <c r="AH88" s="417">
        <v>0</v>
      </c>
      <c r="AI88" s="417">
        <v>50000</v>
      </c>
      <c r="AJ88" s="417">
        <v>0</v>
      </c>
      <c r="AK88" s="417">
        <v>0</v>
      </c>
      <c r="AL88" s="417">
        <v>0</v>
      </c>
      <c r="AM88" s="417">
        <f t="shared" si="115"/>
        <v>0</v>
      </c>
      <c r="AN88" s="417">
        <f t="shared" si="116"/>
        <v>50000</v>
      </c>
      <c r="AO88" s="417">
        <f t="shared" si="117"/>
        <v>50000</v>
      </c>
      <c r="AP88" s="417">
        <f t="shared" si="111"/>
        <v>-64687</v>
      </c>
      <c r="AQ88" s="417">
        <f t="shared" si="111"/>
        <v>0</v>
      </c>
      <c r="AR88" s="417">
        <f t="shared" si="118"/>
        <v>-64687</v>
      </c>
      <c r="AS88" s="68">
        <f t="shared" si="119"/>
        <v>-21864</v>
      </c>
      <c r="AT88" s="68">
        <f t="shared" si="120"/>
        <v>-1147</v>
      </c>
      <c r="AU88" s="417">
        <v>0</v>
      </c>
      <c r="AV88" s="417">
        <v>0</v>
      </c>
      <c r="AW88" s="417">
        <v>0</v>
      </c>
      <c r="AX88" s="417">
        <f t="shared" si="121"/>
        <v>0</v>
      </c>
      <c r="AY88" s="417">
        <f t="shared" si="122"/>
        <v>-87698</v>
      </c>
      <c r="AZ88" s="418">
        <v>0</v>
      </c>
      <c r="BA88" s="418">
        <v>-0.15</v>
      </c>
      <c r="BB88" s="418">
        <v>0</v>
      </c>
      <c r="BC88" s="418">
        <v>-0.14000000000000001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23"/>
        <v>-0.14000000000000001</v>
      </c>
      <c r="BJ88" s="418">
        <f t="shared" si="124"/>
        <v>-0.15</v>
      </c>
      <c r="BK88" s="420">
        <f t="shared" si="125"/>
        <v>-0.29000000000000004</v>
      </c>
      <c r="BL88" s="772">
        <f t="shared" si="141"/>
        <v>4158982</v>
      </c>
      <c r="BM88" s="417">
        <f t="shared" si="142"/>
        <v>2763841</v>
      </c>
      <c r="BN88" s="417">
        <f t="shared" si="143"/>
        <v>2450015</v>
      </c>
      <c r="BO88" s="417">
        <f t="shared" si="143"/>
        <v>313826</v>
      </c>
      <c r="BP88" s="417">
        <f t="shared" si="144"/>
        <v>250000</v>
      </c>
      <c r="BQ88" s="417">
        <f t="shared" si="145"/>
        <v>0</v>
      </c>
      <c r="BR88" s="417">
        <f t="shared" si="145"/>
        <v>250000</v>
      </c>
      <c r="BS88" s="417">
        <f t="shared" si="146"/>
        <v>1018678</v>
      </c>
      <c r="BT88" s="417">
        <f t="shared" si="146"/>
        <v>27638</v>
      </c>
      <c r="BU88" s="417">
        <f t="shared" si="147"/>
        <v>98825</v>
      </c>
      <c r="BV88" s="418">
        <f t="shared" si="148"/>
        <v>4.8519999999999994</v>
      </c>
      <c r="BW88" s="418">
        <f t="shared" si="149"/>
        <v>4.1555</v>
      </c>
      <c r="BX88" s="420">
        <f t="shared" si="149"/>
        <v>0.69650000000000001</v>
      </c>
      <c r="BY88" s="596"/>
      <c r="BZ88" s="595"/>
      <c r="CA88" s="595"/>
      <c r="CB88" s="595"/>
      <c r="CC88" s="595"/>
      <c r="CD88" s="981"/>
      <c r="CE88" s="596">
        <v>261228</v>
      </c>
      <c r="CF88" s="595">
        <v>180965</v>
      </c>
      <c r="CG88" s="595">
        <v>61167</v>
      </c>
      <c r="CH88" s="595">
        <v>1810</v>
      </c>
      <c r="CI88" s="595">
        <v>17286</v>
      </c>
      <c r="CJ88" s="981">
        <v>0.46429999999999999</v>
      </c>
    </row>
    <row r="89" spans="1:88" ht="12.95" customHeight="1">
      <c r="A89" s="280">
        <v>16</v>
      </c>
      <c r="B89" s="281">
        <v>4487</v>
      </c>
      <c r="C89" s="281">
        <v>600074854</v>
      </c>
      <c r="D89" s="281">
        <v>70698503</v>
      </c>
      <c r="E89" s="283" t="s">
        <v>338</v>
      </c>
      <c r="F89" s="281">
        <v>3117</v>
      </c>
      <c r="G89" s="284" t="s">
        <v>298</v>
      </c>
      <c r="H89" s="284" t="s">
        <v>272</v>
      </c>
      <c r="I89" s="563">
        <v>2007111</v>
      </c>
      <c r="J89" s="414">
        <v>1483205</v>
      </c>
      <c r="K89" s="414">
        <v>1483205</v>
      </c>
      <c r="L89" s="414">
        <v>0</v>
      </c>
      <c r="M89" s="414">
        <v>0</v>
      </c>
      <c r="N89" s="414">
        <v>0</v>
      </c>
      <c r="O89" s="414">
        <v>0</v>
      </c>
      <c r="P89" s="68">
        <v>501324</v>
      </c>
      <c r="Q89" s="68">
        <v>14832</v>
      </c>
      <c r="R89" s="414">
        <v>7750</v>
      </c>
      <c r="S89" s="415">
        <v>4</v>
      </c>
      <c r="T89" s="416">
        <v>4</v>
      </c>
      <c r="U89" s="762">
        <v>0</v>
      </c>
      <c r="V89" s="423">
        <f t="shared" si="110"/>
        <v>0</v>
      </c>
      <c r="W89" s="417">
        <f t="shared" si="110"/>
        <v>0</v>
      </c>
      <c r="X89" s="417">
        <v>-254926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12"/>
        <v>-254926</v>
      </c>
      <c r="AF89" s="417">
        <f t="shared" si="113"/>
        <v>0</v>
      </c>
      <c r="AG89" s="417">
        <f t="shared" si="114"/>
        <v>-254926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15"/>
        <v>0</v>
      </c>
      <c r="AN89" s="417">
        <f t="shared" si="116"/>
        <v>0</v>
      </c>
      <c r="AO89" s="417">
        <f t="shared" si="117"/>
        <v>0</v>
      </c>
      <c r="AP89" s="417">
        <f t="shared" si="111"/>
        <v>-254926</v>
      </c>
      <c r="AQ89" s="417">
        <f t="shared" si="111"/>
        <v>0</v>
      </c>
      <c r="AR89" s="417">
        <f t="shared" si="118"/>
        <v>-254926</v>
      </c>
      <c r="AS89" s="68">
        <f t="shared" si="119"/>
        <v>-86165</v>
      </c>
      <c r="AT89" s="68">
        <f t="shared" si="120"/>
        <v>-2549</v>
      </c>
      <c r="AU89" s="417">
        <v>0</v>
      </c>
      <c r="AV89" s="417">
        <v>0</v>
      </c>
      <c r="AW89" s="417">
        <v>0</v>
      </c>
      <c r="AX89" s="417">
        <f t="shared" si="121"/>
        <v>0</v>
      </c>
      <c r="AY89" s="417">
        <f t="shared" si="122"/>
        <v>-343640</v>
      </c>
      <c r="AZ89" s="418">
        <v>0</v>
      </c>
      <c r="BA89" s="418">
        <v>0</v>
      </c>
      <c r="BB89" s="418">
        <v>-0.69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23"/>
        <v>-0.69</v>
      </c>
      <c r="BJ89" s="418">
        <f t="shared" si="124"/>
        <v>0</v>
      </c>
      <c r="BK89" s="420">
        <f t="shared" si="125"/>
        <v>-0.69</v>
      </c>
      <c r="BL89" s="772">
        <f t="shared" si="141"/>
        <v>1663471</v>
      </c>
      <c r="BM89" s="417">
        <f t="shared" si="142"/>
        <v>1228279</v>
      </c>
      <c r="BN89" s="417">
        <f t="shared" si="143"/>
        <v>1228279</v>
      </c>
      <c r="BO89" s="417">
        <f t="shared" si="143"/>
        <v>0</v>
      </c>
      <c r="BP89" s="417">
        <f t="shared" si="144"/>
        <v>0</v>
      </c>
      <c r="BQ89" s="417">
        <f t="shared" si="145"/>
        <v>0</v>
      </c>
      <c r="BR89" s="417">
        <f t="shared" si="145"/>
        <v>0</v>
      </c>
      <c r="BS89" s="417">
        <f t="shared" si="146"/>
        <v>415159</v>
      </c>
      <c r="BT89" s="417">
        <f t="shared" si="146"/>
        <v>12283</v>
      </c>
      <c r="BU89" s="417">
        <f t="shared" si="147"/>
        <v>7750</v>
      </c>
      <c r="BV89" s="418">
        <f t="shared" si="148"/>
        <v>3.31</v>
      </c>
      <c r="BW89" s="418">
        <f t="shared" si="149"/>
        <v>3.31</v>
      </c>
      <c r="BX89" s="420">
        <f t="shared" si="149"/>
        <v>0</v>
      </c>
      <c r="BY89" s="596"/>
      <c r="BZ89" s="595"/>
      <c r="CA89" s="595"/>
      <c r="CB89" s="595"/>
      <c r="CC89" s="595"/>
      <c r="CD89" s="981"/>
      <c r="CE89" s="596"/>
      <c r="CF89" s="595"/>
      <c r="CG89" s="595"/>
      <c r="CH89" s="595"/>
      <c r="CI89" s="595"/>
      <c r="CJ89" s="981"/>
    </row>
    <row r="90" spans="1:88" ht="12.95" customHeight="1">
      <c r="A90" s="280">
        <v>16</v>
      </c>
      <c r="B90" s="281">
        <v>4487</v>
      </c>
      <c r="C90" s="281">
        <v>600074854</v>
      </c>
      <c r="D90" s="281">
        <v>70698503</v>
      </c>
      <c r="E90" s="283" t="s">
        <v>338</v>
      </c>
      <c r="F90" s="281">
        <v>3141</v>
      </c>
      <c r="G90" s="284" t="s">
        <v>294</v>
      </c>
      <c r="H90" s="284" t="s">
        <v>272</v>
      </c>
      <c r="I90" s="563">
        <v>797116</v>
      </c>
      <c r="J90" s="414">
        <v>588979</v>
      </c>
      <c r="K90" s="414">
        <v>0</v>
      </c>
      <c r="L90" s="414">
        <v>588979</v>
      </c>
      <c r="M90" s="414">
        <v>0</v>
      </c>
      <c r="N90" s="414">
        <v>0</v>
      </c>
      <c r="O90" s="414">
        <v>0</v>
      </c>
      <c r="P90" s="68">
        <v>199075</v>
      </c>
      <c r="Q90" s="68">
        <v>5890</v>
      </c>
      <c r="R90" s="414">
        <v>3172</v>
      </c>
      <c r="S90" s="415">
        <v>1.77</v>
      </c>
      <c r="T90" s="416">
        <v>0</v>
      </c>
      <c r="U90" s="762">
        <v>1.77</v>
      </c>
      <c r="V90" s="423">
        <f t="shared" si="110"/>
        <v>0</v>
      </c>
      <c r="W90" s="417">
        <f t="shared" si="110"/>
        <v>0</v>
      </c>
      <c r="X90" s="417">
        <v>0</v>
      </c>
      <c r="Y90" s="417">
        <v>0</v>
      </c>
      <c r="Z90" s="417">
        <v>0</v>
      </c>
      <c r="AA90" s="417">
        <v>6825</v>
      </c>
      <c r="AB90" s="417">
        <v>0</v>
      </c>
      <c r="AC90" s="417">
        <v>0</v>
      </c>
      <c r="AD90" s="417">
        <v>0</v>
      </c>
      <c r="AE90" s="417">
        <f t="shared" si="112"/>
        <v>0</v>
      </c>
      <c r="AF90" s="417">
        <f t="shared" si="113"/>
        <v>6825</v>
      </c>
      <c r="AG90" s="417">
        <f t="shared" si="114"/>
        <v>6825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15"/>
        <v>0</v>
      </c>
      <c r="AN90" s="417">
        <f t="shared" si="116"/>
        <v>0</v>
      </c>
      <c r="AO90" s="417">
        <f t="shared" si="117"/>
        <v>0</v>
      </c>
      <c r="AP90" s="417">
        <f t="shared" si="111"/>
        <v>0</v>
      </c>
      <c r="AQ90" s="417">
        <f t="shared" si="111"/>
        <v>6825</v>
      </c>
      <c r="AR90" s="417">
        <f t="shared" si="118"/>
        <v>6825</v>
      </c>
      <c r="AS90" s="68">
        <f t="shared" si="119"/>
        <v>2307</v>
      </c>
      <c r="AT90" s="68">
        <f t="shared" si="120"/>
        <v>68</v>
      </c>
      <c r="AU90" s="417">
        <v>0</v>
      </c>
      <c r="AV90" s="417">
        <v>0</v>
      </c>
      <c r="AW90" s="417">
        <v>0</v>
      </c>
      <c r="AX90" s="417">
        <f t="shared" si="121"/>
        <v>0</v>
      </c>
      <c r="AY90" s="417">
        <f t="shared" si="122"/>
        <v>9200</v>
      </c>
      <c r="AZ90" s="418">
        <v>0</v>
      </c>
      <c r="BA90" s="418">
        <v>0</v>
      </c>
      <c r="BB90" s="418">
        <v>0</v>
      </c>
      <c r="BC90" s="418">
        <v>0</v>
      </c>
      <c r="BD90" s="418">
        <v>0.02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23"/>
        <v>0</v>
      </c>
      <c r="BJ90" s="418">
        <f t="shared" si="124"/>
        <v>0.02</v>
      </c>
      <c r="BK90" s="420">
        <f t="shared" si="125"/>
        <v>0.02</v>
      </c>
      <c r="BL90" s="772">
        <f t="shared" si="141"/>
        <v>806316</v>
      </c>
      <c r="BM90" s="417">
        <f t="shared" si="142"/>
        <v>595804</v>
      </c>
      <c r="BN90" s="417">
        <f t="shared" si="143"/>
        <v>0</v>
      </c>
      <c r="BO90" s="417">
        <f t="shared" si="143"/>
        <v>595804</v>
      </c>
      <c r="BP90" s="417">
        <f t="shared" si="144"/>
        <v>0</v>
      </c>
      <c r="BQ90" s="417">
        <f t="shared" si="145"/>
        <v>0</v>
      </c>
      <c r="BR90" s="417">
        <f t="shared" si="145"/>
        <v>0</v>
      </c>
      <c r="BS90" s="417">
        <f t="shared" si="146"/>
        <v>201382</v>
      </c>
      <c r="BT90" s="417">
        <f t="shared" si="146"/>
        <v>5958</v>
      </c>
      <c r="BU90" s="417">
        <f t="shared" si="147"/>
        <v>3172</v>
      </c>
      <c r="BV90" s="418">
        <f t="shared" si="148"/>
        <v>1.79</v>
      </c>
      <c r="BW90" s="418">
        <f t="shared" si="149"/>
        <v>0</v>
      </c>
      <c r="BX90" s="420">
        <f t="shared" si="149"/>
        <v>1.79</v>
      </c>
      <c r="BY90" s="596"/>
      <c r="BZ90" s="595"/>
      <c r="CA90" s="595"/>
      <c r="CB90" s="595"/>
      <c r="CC90" s="595"/>
      <c r="CD90" s="981"/>
      <c r="CE90" s="596"/>
      <c r="CF90" s="595"/>
      <c r="CG90" s="595"/>
      <c r="CH90" s="595"/>
      <c r="CI90" s="595"/>
      <c r="CJ90" s="981"/>
    </row>
    <row r="91" spans="1:88" ht="12.95" customHeight="1">
      <c r="A91" s="280">
        <v>16</v>
      </c>
      <c r="B91" s="281">
        <v>4487</v>
      </c>
      <c r="C91" s="281">
        <v>600074854</v>
      </c>
      <c r="D91" s="281">
        <v>70698503</v>
      </c>
      <c r="E91" s="283" t="s">
        <v>338</v>
      </c>
      <c r="F91" s="281">
        <v>3143</v>
      </c>
      <c r="G91" s="284" t="s">
        <v>595</v>
      </c>
      <c r="H91" s="284" t="s">
        <v>271</v>
      </c>
      <c r="I91" s="563">
        <v>1152012</v>
      </c>
      <c r="J91" s="414">
        <v>854608</v>
      </c>
      <c r="K91" s="414">
        <v>854608</v>
      </c>
      <c r="L91" s="414">
        <v>0</v>
      </c>
      <c r="M91" s="414">
        <v>0</v>
      </c>
      <c r="N91" s="414">
        <v>0</v>
      </c>
      <c r="O91" s="414">
        <v>0</v>
      </c>
      <c r="P91" s="68">
        <v>288858</v>
      </c>
      <c r="Q91" s="68">
        <v>8546</v>
      </c>
      <c r="R91" s="414">
        <v>0</v>
      </c>
      <c r="S91" s="415">
        <v>2</v>
      </c>
      <c r="T91" s="416">
        <v>2</v>
      </c>
      <c r="U91" s="762">
        <v>0</v>
      </c>
      <c r="V91" s="423">
        <f t="shared" si="110"/>
        <v>0</v>
      </c>
      <c r="W91" s="417">
        <f t="shared" si="110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12"/>
        <v>0</v>
      </c>
      <c r="AF91" s="417">
        <f t="shared" si="113"/>
        <v>0</v>
      </c>
      <c r="AG91" s="417">
        <f t="shared" si="114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5"/>
        <v>0</v>
      </c>
      <c r="AN91" s="417">
        <f t="shared" si="116"/>
        <v>0</v>
      </c>
      <c r="AO91" s="417">
        <f t="shared" si="117"/>
        <v>0</v>
      </c>
      <c r="AP91" s="417">
        <f t="shared" si="111"/>
        <v>0</v>
      </c>
      <c r="AQ91" s="417">
        <f t="shared" si="111"/>
        <v>0</v>
      </c>
      <c r="AR91" s="417">
        <f t="shared" si="118"/>
        <v>0</v>
      </c>
      <c r="AS91" s="68">
        <f t="shared" si="119"/>
        <v>0</v>
      </c>
      <c r="AT91" s="68">
        <f t="shared" si="120"/>
        <v>0</v>
      </c>
      <c r="AU91" s="417">
        <v>0</v>
      </c>
      <c r="AV91" s="417">
        <v>0</v>
      </c>
      <c r="AW91" s="417">
        <v>0</v>
      </c>
      <c r="AX91" s="417">
        <f t="shared" si="121"/>
        <v>0</v>
      </c>
      <c r="AY91" s="417">
        <f t="shared" si="122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23"/>
        <v>0</v>
      </c>
      <c r="BJ91" s="418">
        <f t="shared" si="124"/>
        <v>0</v>
      </c>
      <c r="BK91" s="420">
        <f t="shared" si="125"/>
        <v>0</v>
      </c>
      <c r="BL91" s="772">
        <f t="shared" si="141"/>
        <v>1152012</v>
      </c>
      <c r="BM91" s="417">
        <f t="shared" si="142"/>
        <v>854608</v>
      </c>
      <c r="BN91" s="417">
        <f t="shared" si="143"/>
        <v>854608</v>
      </c>
      <c r="BO91" s="417">
        <f t="shared" si="143"/>
        <v>0</v>
      </c>
      <c r="BP91" s="417">
        <f t="shared" si="144"/>
        <v>0</v>
      </c>
      <c r="BQ91" s="417">
        <f t="shared" si="145"/>
        <v>0</v>
      </c>
      <c r="BR91" s="417">
        <f t="shared" si="145"/>
        <v>0</v>
      </c>
      <c r="BS91" s="417">
        <f t="shared" si="146"/>
        <v>288858</v>
      </c>
      <c r="BT91" s="417">
        <f t="shared" si="146"/>
        <v>8546</v>
      </c>
      <c r="BU91" s="417">
        <f t="shared" si="147"/>
        <v>0</v>
      </c>
      <c r="BV91" s="418">
        <f t="shared" si="148"/>
        <v>2</v>
      </c>
      <c r="BW91" s="418">
        <f t="shared" si="149"/>
        <v>2</v>
      </c>
      <c r="BX91" s="420">
        <f t="shared" si="149"/>
        <v>0</v>
      </c>
      <c r="BY91" s="596"/>
      <c r="BZ91" s="595"/>
      <c r="CA91" s="595"/>
      <c r="CB91" s="595"/>
      <c r="CC91" s="595"/>
      <c r="CD91" s="981"/>
      <c r="CE91" s="596"/>
      <c r="CF91" s="595"/>
      <c r="CG91" s="595"/>
      <c r="CH91" s="595"/>
      <c r="CI91" s="595"/>
      <c r="CJ91" s="981"/>
    </row>
    <row r="92" spans="1:88" ht="12.95" customHeight="1">
      <c r="A92" s="280">
        <v>16</v>
      </c>
      <c r="B92" s="281">
        <v>4487</v>
      </c>
      <c r="C92" s="281">
        <v>600074854</v>
      </c>
      <c r="D92" s="281">
        <v>70698503</v>
      </c>
      <c r="E92" s="283" t="s">
        <v>338</v>
      </c>
      <c r="F92" s="281">
        <v>3143</v>
      </c>
      <c r="G92" s="284" t="s">
        <v>596</v>
      </c>
      <c r="H92" s="284" t="s">
        <v>272</v>
      </c>
      <c r="I92" s="563">
        <v>33041</v>
      </c>
      <c r="J92" s="414">
        <v>23650</v>
      </c>
      <c r="K92" s="414">
        <v>0</v>
      </c>
      <c r="L92" s="414">
        <v>23650</v>
      </c>
      <c r="M92" s="414">
        <v>0</v>
      </c>
      <c r="N92" s="414">
        <v>0</v>
      </c>
      <c r="O92" s="414">
        <v>0</v>
      </c>
      <c r="P92" s="68">
        <v>7993</v>
      </c>
      <c r="Q92" s="68">
        <v>237</v>
      </c>
      <c r="R92" s="414">
        <v>1161</v>
      </c>
      <c r="S92" s="415">
        <v>8.9700000000000002E-2</v>
      </c>
      <c r="T92" s="416">
        <v>0</v>
      </c>
      <c r="U92" s="762">
        <v>8.9700000000000002E-2</v>
      </c>
      <c r="V92" s="423">
        <f t="shared" si="110"/>
        <v>0</v>
      </c>
      <c r="W92" s="417">
        <f t="shared" si="110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112"/>
        <v>0</v>
      </c>
      <c r="AF92" s="417">
        <f t="shared" si="113"/>
        <v>0</v>
      </c>
      <c r="AG92" s="417">
        <f t="shared" si="114"/>
        <v>0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15"/>
        <v>0</v>
      </c>
      <c r="AN92" s="417">
        <f t="shared" si="116"/>
        <v>0</v>
      </c>
      <c r="AO92" s="417">
        <f t="shared" si="117"/>
        <v>0</v>
      </c>
      <c r="AP92" s="417">
        <f t="shared" si="111"/>
        <v>0</v>
      </c>
      <c r="AQ92" s="417">
        <f t="shared" si="111"/>
        <v>0</v>
      </c>
      <c r="AR92" s="417">
        <f t="shared" si="118"/>
        <v>0</v>
      </c>
      <c r="AS92" s="68">
        <f t="shared" si="119"/>
        <v>0</v>
      </c>
      <c r="AT92" s="68">
        <f t="shared" si="120"/>
        <v>0</v>
      </c>
      <c r="AU92" s="417">
        <v>0</v>
      </c>
      <c r="AV92" s="417">
        <v>0</v>
      </c>
      <c r="AW92" s="417">
        <v>0</v>
      </c>
      <c r="AX92" s="417">
        <f t="shared" si="121"/>
        <v>0</v>
      </c>
      <c r="AY92" s="417">
        <f t="shared" si="122"/>
        <v>0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23"/>
        <v>0</v>
      </c>
      <c r="BJ92" s="418">
        <f t="shared" si="124"/>
        <v>0</v>
      </c>
      <c r="BK92" s="420">
        <f t="shared" si="125"/>
        <v>0</v>
      </c>
      <c r="BL92" s="772">
        <f t="shared" si="141"/>
        <v>33041</v>
      </c>
      <c r="BM92" s="417">
        <f t="shared" si="142"/>
        <v>23650</v>
      </c>
      <c r="BN92" s="417">
        <f t="shared" si="143"/>
        <v>0</v>
      </c>
      <c r="BO92" s="417">
        <f t="shared" si="143"/>
        <v>23650</v>
      </c>
      <c r="BP92" s="417">
        <f t="shared" si="144"/>
        <v>0</v>
      </c>
      <c r="BQ92" s="417">
        <f t="shared" si="145"/>
        <v>0</v>
      </c>
      <c r="BR92" s="417">
        <f t="shared" si="145"/>
        <v>0</v>
      </c>
      <c r="BS92" s="417">
        <f t="shared" si="146"/>
        <v>7993</v>
      </c>
      <c r="BT92" s="417">
        <f t="shared" si="146"/>
        <v>237</v>
      </c>
      <c r="BU92" s="417">
        <f t="shared" si="147"/>
        <v>1161</v>
      </c>
      <c r="BV92" s="418">
        <f t="shared" si="148"/>
        <v>8.9700000000000002E-2</v>
      </c>
      <c r="BW92" s="418">
        <f t="shared" si="149"/>
        <v>0</v>
      </c>
      <c r="BX92" s="420">
        <f t="shared" si="149"/>
        <v>8.9700000000000002E-2</v>
      </c>
      <c r="BY92" s="596"/>
      <c r="BZ92" s="595"/>
      <c r="CA92" s="595"/>
      <c r="CB92" s="595"/>
      <c r="CC92" s="595"/>
      <c r="CD92" s="981"/>
      <c r="CE92" s="596"/>
      <c r="CF92" s="595"/>
      <c r="CG92" s="595"/>
      <c r="CH92" s="595"/>
      <c r="CI92" s="595"/>
      <c r="CJ92" s="981"/>
    </row>
    <row r="93" spans="1:88" ht="12.95" customHeight="1">
      <c r="A93" s="273">
        <v>16</v>
      </c>
      <c r="B93" s="275">
        <v>4487</v>
      </c>
      <c r="C93" s="275">
        <v>600074854</v>
      </c>
      <c r="D93" s="275">
        <v>70698503</v>
      </c>
      <c r="E93" s="288" t="s">
        <v>339</v>
      </c>
      <c r="F93" s="291"/>
      <c r="G93" s="292"/>
      <c r="H93" s="292"/>
      <c r="I93" s="465">
        <v>10668642</v>
      </c>
      <c r="J93" s="462">
        <v>7626805</v>
      </c>
      <c r="K93" s="462">
        <v>6488046</v>
      </c>
      <c r="L93" s="462">
        <v>1138759</v>
      </c>
      <c r="M93" s="462">
        <v>200000</v>
      </c>
      <c r="N93" s="462">
        <v>0</v>
      </c>
      <c r="O93" s="462">
        <v>200000</v>
      </c>
      <c r="P93" s="462">
        <v>2645460</v>
      </c>
      <c r="Q93" s="462">
        <v>76269</v>
      </c>
      <c r="R93" s="462">
        <v>120108</v>
      </c>
      <c r="S93" s="463">
        <v>16.66</v>
      </c>
      <c r="T93" s="463">
        <v>13.3035</v>
      </c>
      <c r="U93" s="533">
        <v>3.3565</v>
      </c>
      <c r="V93" s="465">
        <f t="shared" ref="V93:BK93" si="150">SUM(V87:V92)</f>
        <v>0</v>
      </c>
      <c r="W93" s="462">
        <f t="shared" si="150"/>
        <v>-50000</v>
      </c>
      <c r="X93" s="462">
        <f t="shared" si="150"/>
        <v>-254926</v>
      </c>
      <c r="Y93" s="462">
        <f t="shared" si="150"/>
        <v>0</v>
      </c>
      <c r="Z93" s="462">
        <f t="shared" si="150"/>
        <v>-145378</v>
      </c>
      <c r="AA93" s="462">
        <f t="shared" si="150"/>
        <v>6825</v>
      </c>
      <c r="AB93" s="462">
        <f t="shared" si="150"/>
        <v>0</v>
      </c>
      <c r="AC93" s="462">
        <f t="shared" si="150"/>
        <v>0</v>
      </c>
      <c r="AD93" s="462">
        <f t="shared" si="150"/>
        <v>0</v>
      </c>
      <c r="AE93" s="462">
        <f t="shared" si="150"/>
        <v>-400304</v>
      </c>
      <c r="AF93" s="462">
        <f t="shared" si="150"/>
        <v>-43175</v>
      </c>
      <c r="AG93" s="462">
        <f t="shared" si="150"/>
        <v>-443479</v>
      </c>
      <c r="AH93" s="462">
        <f t="shared" si="150"/>
        <v>0</v>
      </c>
      <c r="AI93" s="462">
        <f t="shared" si="150"/>
        <v>50000</v>
      </c>
      <c r="AJ93" s="462">
        <f t="shared" si="150"/>
        <v>0</v>
      </c>
      <c r="AK93" s="462">
        <f t="shared" si="150"/>
        <v>0</v>
      </c>
      <c r="AL93" s="462">
        <f t="shared" si="150"/>
        <v>0</v>
      </c>
      <c r="AM93" s="462">
        <f t="shared" si="150"/>
        <v>0</v>
      </c>
      <c r="AN93" s="462">
        <f t="shared" si="150"/>
        <v>50000</v>
      </c>
      <c r="AO93" s="462">
        <f t="shared" si="150"/>
        <v>50000</v>
      </c>
      <c r="AP93" s="462">
        <f t="shared" si="150"/>
        <v>-400304</v>
      </c>
      <c r="AQ93" s="462">
        <f t="shared" si="150"/>
        <v>6825</v>
      </c>
      <c r="AR93" s="462">
        <f t="shared" si="150"/>
        <v>-393479</v>
      </c>
      <c r="AS93" s="462">
        <f t="shared" si="150"/>
        <v>-132996</v>
      </c>
      <c r="AT93" s="462">
        <f t="shared" si="150"/>
        <v>-4435</v>
      </c>
      <c r="AU93" s="462">
        <f t="shared" si="150"/>
        <v>0</v>
      </c>
      <c r="AV93" s="462">
        <f t="shared" si="150"/>
        <v>0</v>
      </c>
      <c r="AW93" s="462">
        <f t="shared" si="150"/>
        <v>0</v>
      </c>
      <c r="AX93" s="462">
        <f t="shared" si="150"/>
        <v>0</v>
      </c>
      <c r="AY93" s="462">
        <f t="shared" si="150"/>
        <v>-530910</v>
      </c>
      <c r="AZ93" s="463">
        <f t="shared" si="150"/>
        <v>0</v>
      </c>
      <c r="BA93" s="463">
        <f t="shared" si="150"/>
        <v>-0.15</v>
      </c>
      <c r="BB93" s="463">
        <f t="shared" si="150"/>
        <v>-0.69</v>
      </c>
      <c r="BC93" s="463">
        <f t="shared" si="150"/>
        <v>-0.32</v>
      </c>
      <c r="BD93" s="463">
        <f t="shared" si="150"/>
        <v>0.02</v>
      </c>
      <c r="BE93" s="463">
        <f t="shared" si="150"/>
        <v>0</v>
      </c>
      <c r="BF93" s="463">
        <f t="shared" si="150"/>
        <v>0</v>
      </c>
      <c r="BG93" s="463">
        <f t="shared" si="150"/>
        <v>0</v>
      </c>
      <c r="BH93" s="463">
        <f t="shared" si="150"/>
        <v>0</v>
      </c>
      <c r="BI93" s="463">
        <f t="shared" si="150"/>
        <v>-1.01</v>
      </c>
      <c r="BJ93" s="463">
        <f t="shared" si="150"/>
        <v>-0.13</v>
      </c>
      <c r="BK93" s="290">
        <f t="shared" si="150"/>
        <v>-1.1399999999999999</v>
      </c>
      <c r="BL93" s="776">
        <f t="shared" ref="BL93:CG93" si="151">SUM(BL87:BL92)</f>
        <v>10137732</v>
      </c>
      <c r="BM93" s="462">
        <f t="shared" si="151"/>
        <v>7183326</v>
      </c>
      <c r="BN93" s="462">
        <f t="shared" si="151"/>
        <v>6087742</v>
      </c>
      <c r="BO93" s="462">
        <f t="shared" si="151"/>
        <v>1095584</v>
      </c>
      <c r="BP93" s="462">
        <f t="shared" si="151"/>
        <v>250000</v>
      </c>
      <c r="BQ93" s="462">
        <f t="shared" si="151"/>
        <v>0</v>
      </c>
      <c r="BR93" s="462">
        <f t="shared" si="151"/>
        <v>250000</v>
      </c>
      <c r="BS93" s="462">
        <f t="shared" si="151"/>
        <v>2512464</v>
      </c>
      <c r="BT93" s="462">
        <f t="shared" si="151"/>
        <v>71834</v>
      </c>
      <c r="BU93" s="462">
        <f t="shared" si="151"/>
        <v>120108</v>
      </c>
      <c r="BV93" s="463">
        <f t="shared" si="151"/>
        <v>15.52</v>
      </c>
      <c r="BW93" s="463">
        <f t="shared" si="151"/>
        <v>12.2935</v>
      </c>
      <c r="BX93" s="290">
        <f t="shared" si="151"/>
        <v>3.2265000000000001</v>
      </c>
      <c r="BY93" s="820">
        <f t="shared" si="151"/>
        <v>0</v>
      </c>
      <c r="BZ93" s="716">
        <f t="shared" si="151"/>
        <v>0</v>
      </c>
      <c r="CA93" s="716">
        <f t="shared" si="151"/>
        <v>0</v>
      </c>
      <c r="CB93" s="716">
        <f t="shared" si="151"/>
        <v>0</v>
      </c>
      <c r="CC93" s="716">
        <f t="shared" si="151"/>
        <v>0</v>
      </c>
      <c r="CD93" s="821">
        <f t="shared" si="151"/>
        <v>0</v>
      </c>
      <c r="CE93" s="982">
        <f t="shared" si="151"/>
        <v>334491</v>
      </c>
      <c r="CF93" s="982">
        <f t="shared" si="151"/>
        <v>233046</v>
      </c>
      <c r="CG93" s="982">
        <f t="shared" si="151"/>
        <v>78770</v>
      </c>
      <c r="CH93" s="982">
        <f t="shared" ref="CH93:CJ93" si="152">SUM(CH87:CH92)</f>
        <v>2330</v>
      </c>
      <c r="CI93" s="982">
        <f t="shared" si="152"/>
        <v>20345</v>
      </c>
      <c r="CJ93" s="935">
        <f t="shared" si="152"/>
        <v>0.67300000000000004</v>
      </c>
    </row>
    <row r="94" spans="1:88" ht="12.95" customHeight="1">
      <c r="A94" s="280">
        <v>17</v>
      </c>
      <c r="B94" s="281">
        <v>4488</v>
      </c>
      <c r="C94" s="281">
        <v>600074803</v>
      </c>
      <c r="D94" s="281">
        <v>72742089</v>
      </c>
      <c r="E94" s="283" t="s">
        <v>340</v>
      </c>
      <c r="F94" s="281">
        <v>3111</v>
      </c>
      <c r="G94" s="284" t="s">
        <v>304</v>
      </c>
      <c r="H94" s="284" t="s">
        <v>271</v>
      </c>
      <c r="I94" s="563">
        <v>1672248</v>
      </c>
      <c r="J94" s="414">
        <v>1234011</v>
      </c>
      <c r="K94" s="414">
        <v>1135993</v>
      </c>
      <c r="L94" s="414">
        <v>98018</v>
      </c>
      <c r="M94" s="414">
        <v>0</v>
      </c>
      <c r="N94" s="414">
        <v>0</v>
      </c>
      <c r="O94" s="414">
        <v>0</v>
      </c>
      <c r="P94" s="68">
        <v>417096</v>
      </c>
      <c r="Q94" s="68">
        <v>12341</v>
      </c>
      <c r="R94" s="414">
        <v>8800</v>
      </c>
      <c r="S94" s="415">
        <v>2.3927</v>
      </c>
      <c r="T94" s="416">
        <v>2</v>
      </c>
      <c r="U94" s="762">
        <v>0.39269999999999999</v>
      </c>
      <c r="V94" s="423">
        <f t="shared" si="110"/>
        <v>0</v>
      </c>
      <c r="W94" s="417">
        <f t="shared" si="110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12"/>
        <v>0</v>
      </c>
      <c r="AF94" s="417">
        <f t="shared" si="113"/>
        <v>0</v>
      </c>
      <c r="AG94" s="417">
        <f t="shared" si="114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15"/>
        <v>0</v>
      </c>
      <c r="AN94" s="417">
        <f t="shared" si="116"/>
        <v>0</v>
      </c>
      <c r="AO94" s="417">
        <f t="shared" si="117"/>
        <v>0</v>
      </c>
      <c r="AP94" s="417">
        <f t="shared" si="111"/>
        <v>0</v>
      </c>
      <c r="AQ94" s="417">
        <f t="shared" si="111"/>
        <v>0</v>
      </c>
      <c r="AR94" s="417">
        <f t="shared" si="118"/>
        <v>0</v>
      </c>
      <c r="AS94" s="68">
        <f t="shared" si="119"/>
        <v>0</v>
      </c>
      <c r="AT94" s="68">
        <f t="shared" si="120"/>
        <v>0</v>
      </c>
      <c r="AU94" s="417">
        <v>0</v>
      </c>
      <c r="AV94" s="417">
        <v>0</v>
      </c>
      <c r="AW94" s="417">
        <v>0</v>
      </c>
      <c r="AX94" s="417">
        <f t="shared" si="121"/>
        <v>0</v>
      </c>
      <c r="AY94" s="417">
        <f t="shared" si="122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23"/>
        <v>0</v>
      </c>
      <c r="BJ94" s="418">
        <f t="shared" si="124"/>
        <v>0</v>
      </c>
      <c r="BK94" s="420">
        <f t="shared" si="125"/>
        <v>0</v>
      </c>
      <c r="BL94" s="772">
        <f t="shared" ref="BL94:BL99" si="153">I94+AY94</f>
        <v>1672248</v>
      </c>
      <c r="BM94" s="417">
        <f t="shared" ref="BM94:BM99" si="154">J94+AG94</f>
        <v>1234011</v>
      </c>
      <c r="BN94" s="417">
        <f t="shared" ref="BN94:BO99" si="155">K94+AE94</f>
        <v>1135993</v>
      </c>
      <c r="BO94" s="417">
        <f t="shared" si="155"/>
        <v>98018</v>
      </c>
      <c r="BP94" s="417">
        <f t="shared" ref="BP94:BP99" si="156">M94+AO94</f>
        <v>0</v>
      </c>
      <c r="BQ94" s="417">
        <f t="shared" ref="BQ94:BR99" si="157">N94+AM94</f>
        <v>0</v>
      </c>
      <c r="BR94" s="417">
        <f t="shared" si="157"/>
        <v>0</v>
      </c>
      <c r="BS94" s="417">
        <f t="shared" ref="BS94:BT99" si="158">P94+AS94</f>
        <v>417096</v>
      </c>
      <c r="BT94" s="417">
        <f t="shared" si="158"/>
        <v>12341</v>
      </c>
      <c r="BU94" s="417">
        <f t="shared" ref="BU94:BU99" si="159">R94+AX94</f>
        <v>8800</v>
      </c>
      <c r="BV94" s="418">
        <f t="shared" ref="BV94:BV99" si="160">S94+BK94</f>
        <v>2.3927</v>
      </c>
      <c r="BW94" s="418">
        <f t="shared" ref="BW94:BX99" si="161">T94+BI94</f>
        <v>2</v>
      </c>
      <c r="BX94" s="420">
        <f t="shared" si="161"/>
        <v>0.39269999999999999</v>
      </c>
      <c r="BY94" s="596"/>
      <c r="BZ94" s="595"/>
      <c r="CA94" s="595"/>
      <c r="CB94" s="595"/>
      <c r="CC94" s="595"/>
      <c r="CD94" s="981"/>
      <c r="CE94" s="596">
        <v>45321</v>
      </c>
      <c r="CF94" s="595">
        <v>31450</v>
      </c>
      <c r="CG94" s="595">
        <v>10630</v>
      </c>
      <c r="CH94" s="595">
        <v>315</v>
      </c>
      <c r="CI94" s="595">
        <v>2926</v>
      </c>
      <c r="CJ94" s="981">
        <v>0.126</v>
      </c>
    </row>
    <row r="95" spans="1:88" ht="12.95" customHeight="1">
      <c r="A95" s="280">
        <v>17</v>
      </c>
      <c r="B95" s="281">
        <v>4488</v>
      </c>
      <c r="C95" s="281">
        <v>600074803</v>
      </c>
      <c r="D95" s="281">
        <v>72742089</v>
      </c>
      <c r="E95" s="283" t="s">
        <v>340</v>
      </c>
      <c r="F95" s="281">
        <v>3117</v>
      </c>
      <c r="G95" s="284" t="s">
        <v>308</v>
      </c>
      <c r="H95" s="284" t="s">
        <v>271</v>
      </c>
      <c r="I95" s="563">
        <v>3255936</v>
      </c>
      <c r="J95" s="414">
        <v>2381463</v>
      </c>
      <c r="K95" s="414">
        <v>2053228</v>
      </c>
      <c r="L95" s="414">
        <v>328235</v>
      </c>
      <c r="M95" s="414">
        <v>0</v>
      </c>
      <c r="N95" s="414">
        <v>0</v>
      </c>
      <c r="O95" s="414">
        <v>0</v>
      </c>
      <c r="P95" s="68">
        <v>804934</v>
      </c>
      <c r="Q95" s="68">
        <v>23814</v>
      </c>
      <c r="R95" s="414">
        <v>45725</v>
      </c>
      <c r="S95" s="415">
        <v>3.8835000000000002</v>
      </c>
      <c r="T95" s="416">
        <v>3</v>
      </c>
      <c r="U95" s="762">
        <v>0.88349999999999995</v>
      </c>
      <c r="V95" s="423">
        <f t="shared" si="110"/>
        <v>0</v>
      </c>
      <c r="W95" s="417">
        <f t="shared" si="110"/>
        <v>0</v>
      </c>
      <c r="X95" s="417">
        <v>0</v>
      </c>
      <c r="Y95" s="417">
        <v>0</v>
      </c>
      <c r="Z95" s="417">
        <v>92476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12"/>
        <v>92476</v>
      </c>
      <c r="AF95" s="417">
        <f t="shared" si="113"/>
        <v>0</v>
      </c>
      <c r="AG95" s="417">
        <f t="shared" si="114"/>
        <v>92476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15"/>
        <v>0</v>
      </c>
      <c r="AN95" s="417">
        <f t="shared" si="116"/>
        <v>0</v>
      </c>
      <c r="AO95" s="417">
        <f t="shared" si="117"/>
        <v>0</v>
      </c>
      <c r="AP95" s="417">
        <f t="shared" si="111"/>
        <v>92476</v>
      </c>
      <c r="AQ95" s="417">
        <f t="shared" si="111"/>
        <v>0</v>
      </c>
      <c r="AR95" s="417">
        <f t="shared" si="118"/>
        <v>92476</v>
      </c>
      <c r="AS95" s="68">
        <f t="shared" si="119"/>
        <v>31257</v>
      </c>
      <c r="AT95" s="68">
        <f t="shared" si="120"/>
        <v>925</v>
      </c>
      <c r="AU95" s="417">
        <v>0</v>
      </c>
      <c r="AV95" s="417">
        <v>0</v>
      </c>
      <c r="AW95" s="417">
        <v>0</v>
      </c>
      <c r="AX95" s="417">
        <f t="shared" si="121"/>
        <v>0</v>
      </c>
      <c r="AY95" s="417">
        <f t="shared" si="122"/>
        <v>124658</v>
      </c>
      <c r="AZ95" s="418">
        <v>0</v>
      </c>
      <c r="BA95" s="418">
        <v>0</v>
      </c>
      <c r="BB95" s="418">
        <v>0</v>
      </c>
      <c r="BC95" s="418">
        <v>0.17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23"/>
        <v>0.17</v>
      </c>
      <c r="BJ95" s="418">
        <f t="shared" si="124"/>
        <v>0</v>
      </c>
      <c r="BK95" s="420">
        <f t="shared" si="125"/>
        <v>0.17</v>
      </c>
      <c r="BL95" s="772">
        <f t="shared" si="153"/>
        <v>3380594</v>
      </c>
      <c r="BM95" s="417">
        <f t="shared" si="154"/>
        <v>2473939</v>
      </c>
      <c r="BN95" s="417">
        <f t="shared" si="155"/>
        <v>2145704</v>
      </c>
      <c r="BO95" s="417">
        <f t="shared" si="155"/>
        <v>328235</v>
      </c>
      <c r="BP95" s="417">
        <f t="shared" si="156"/>
        <v>0</v>
      </c>
      <c r="BQ95" s="417">
        <f t="shared" si="157"/>
        <v>0</v>
      </c>
      <c r="BR95" s="417">
        <f t="shared" si="157"/>
        <v>0</v>
      </c>
      <c r="BS95" s="417">
        <f t="shared" si="158"/>
        <v>836191</v>
      </c>
      <c r="BT95" s="417">
        <f t="shared" si="158"/>
        <v>24739</v>
      </c>
      <c r="BU95" s="417">
        <f t="shared" si="159"/>
        <v>45725</v>
      </c>
      <c r="BV95" s="418">
        <f t="shared" si="160"/>
        <v>4.0535000000000005</v>
      </c>
      <c r="BW95" s="418">
        <f t="shared" si="161"/>
        <v>3.17</v>
      </c>
      <c r="BX95" s="420">
        <f t="shared" si="161"/>
        <v>0.88349999999999995</v>
      </c>
      <c r="BY95" s="596"/>
      <c r="BZ95" s="595"/>
      <c r="CA95" s="595"/>
      <c r="CB95" s="595"/>
      <c r="CC95" s="595"/>
      <c r="CD95" s="981"/>
      <c r="CE95" s="596">
        <v>149980</v>
      </c>
      <c r="CF95" s="595">
        <v>105328</v>
      </c>
      <c r="CG95" s="595">
        <v>35601</v>
      </c>
      <c r="CH95" s="595">
        <v>1053</v>
      </c>
      <c r="CI95" s="595">
        <v>7998</v>
      </c>
      <c r="CJ95" s="981">
        <v>0.28349999999999997</v>
      </c>
    </row>
    <row r="96" spans="1:88" ht="12.95" customHeight="1">
      <c r="A96" s="280">
        <v>17</v>
      </c>
      <c r="B96" s="281">
        <v>4488</v>
      </c>
      <c r="C96" s="281">
        <v>600074803</v>
      </c>
      <c r="D96" s="281">
        <v>72742089</v>
      </c>
      <c r="E96" s="283" t="s">
        <v>340</v>
      </c>
      <c r="F96" s="281">
        <v>3117</v>
      </c>
      <c r="G96" s="284" t="s">
        <v>298</v>
      </c>
      <c r="H96" s="284" t="s">
        <v>272</v>
      </c>
      <c r="I96" s="563">
        <v>1044996</v>
      </c>
      <c r="J96" s="414">
        <v>756711</v>
      </c>
      <c r="K96" s="414">
        <v>756711</v>
      </c>
      <c r="L96" s="414">
        <v>0</v>
      </c>
      <c r="M96" s="414">
        <v>0</v>
      </c>
      <c r="N96" s="414">
        <v>0</v>
      </c>
      <c r="O96" s="414">
        <v>0</v>
      </c>
      <c r="P96" s="68">
        <v>255768</v>
      </c>
      <c r="Q96" s="68">
        <v>7567</v>
      </c>
      <c r="R96" s="414">
        <v>24950</v>
      </c>
      <c r="S96" s="415">
        <v>2.13</v>
      </c>
      <c r="T96" s="416">
        <v>2.13</v>
      </c>
      <c r="U96" s="762">
        <v>0</v>
      </c>
      <c r="V96" s="423">
        <f t="shared" si="110"/>
        <v>0</v>
      </c>
      <c r="W96" s="417">
        <f t="shared" si="110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112"/>
        <v>0</v>
      </c>
      <c r="AF96" s="417">
        <f t="shared" si="113"/>
        <v>0</v>
      </c>
      <c r="AG96" s="417">
        <f t="shared" si="114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15"/>
        <v>0</v>
      </c>
      <c r="AN96" s="417">
        <f t="shared" si="116"/>
        <v>0</v>
      </c>
      <c r="AO96" s="417">
        <f t="shared" si="117"/>
        <v>0</v>
      </c>
      <c r="AP96" s="417">
        <f t="shared" si="111"/>
        <v>0</v>
      </c>
      <c r="AQ96" s="417">
        <f t="shared" si="111"/>
        <v>0</v>
      </c>
      <c r="AR96" s="417">
        <f t="shared" si="118"/>
        <v>0</v>
      </c>
      <c r="AS96" s="68">
        <f t="shared" si="119"/>
        <v>0</v>
      </c>
      <c r="AT96" s="68">
        <f t="shared" si="120"/>
        <v>0</v>
      </c>
      <c r="AU96" s="417">
        <v>0</v>
      </c>
      <c r="AV96" s="417">
        <v>0</v>
      </c>
      <c r="AW96" s="417">
        <v>0</v>
      </c>
      <c r="AX96" s="417">
        <f t="shared" si="121"/>
        <v>0</v>
      </c>
      <c r="AY96" s="417">
        <f t="shared" si="122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23"/>
        <v>0</v>
      </c>
      <c r="BJ96" s="418">
        <f t="shared" si="124"/>
        <v>0</v>
      </c>
      <c r="BK96" s="420">
        <f t="shared" si="125"/>
        <v>0</v>
      </c>
      <c r="BL96" s="772">
        <f t="shared" si="153"/>
        <v>1044996</v>
      </c>
      <c r="BM96" s="417">
        <f t="shared" si="154"/>
        <v>756711</v>
      </c>
      <c r="BN96" s="417">
        <f t="shared" si="155"/>
        <v>756711</v>
      </c>
      <c r="BO96" s="417">
        <f t="shared" si="155"/>
        <v>0</v>
      </c>
      <c r="BP96" s="417">
        <f t="shared" si="156"/>
        <v>0</v>
      </c>
      <c r="BQ96" s="417">
        <f t="shared" si="157"/>
        <v>0</v>
      </c>
      <c r="BR96" s="417">
        <f t="shared" si="157"/>
        <v>0</v>
      </c>
      <c r="BS96" s="417">
        <f t="shared" si="158"/>
        <v>255768</v>
      </c>
      <c r="BT96" s="417">
        <f t="shared" si="158"/>
        <v>7567</v>
      </c>
      <c r="BU96" s="417">
        <f t="shared" si="159"/>
        <v>24950</v>
      </c>
      <c r="BV96" s="418">
        <f t="shared" si="160"/>
        <v>2.13</v>
      </c>
      <c r="BW96" s="418">
        <f t="shared" si="161"/>
        <v>2.13</v>
      </c>
      <c r="BX96" s="420">
        <f t="shared" si="161"/>
        <v>0</v>
      </c>
      <c r="BY96" s="596"/>
      <c r="BZ96" s="595"/>
      <c r="CA96" s="595"/>
      <c r="CB96" s="595"/>
      <c r="CC96" s="595"/>
      <c r="CD96" s="981"/>
      <c r="CE96" s="596"/>
      <c r="CF96" s="595"/>
      <c r="CG96" s="595"/>
      <c r="CH96" s="595"/>
      <c r="CI96" s="595"/>
      <c r="CJ96" s="981"/>
    </row>
    <row r="97" spans="1:88" ht="12.95" customHeight="1">
      <c r="A97" s="280">
        <v>17</v>
      </c>
      <c r="B97" s="281">
        <v>4488</v>
      </c>
      <c r="C97" s="281">
        <v>600074803</v>
      </c>
      <c r="D97" s="281">
        <v>72742089</v>
      </c>
      <c r="E97" s="283" t="s">
        <v>340</v>
      </c>
      <c r="F97" s="281">
        <v>3141</v>
      </c>
      <c r="G97" s="284" t="s">
        <v>294</v>
      </c>
      <c r="H97" s="284" t="s">
        <v>272</v>
      </c>
      <c r="I97" s="563">
        <v>300216</v>
      </c>
      <c r="J97" s="414">
        <v>221401</v>
      </c>
      <c r="K97" s="414">
        <v>0</v>
      </c>
      <c r="L97" s="414">
        <v>221401</v>
      </c>
      <c r="M97" s="414">
        <v>0</v>
      </c>
      <c r="N97" s="414">
        <v>0</v>
      </c>
      <c r="O97" s="414">
        <v>0</v>
      </c>
      <c r="P97" s="68">
        <v>74833</v>
      </c>
      <c r="Q97" s="68">
        <v>2214</v>
      </c>
      <c r="R97" s="414">
        <v>1768</v>
      </c>
      <c r="S97" s="415">
        <v>0.66</v>
      </c>
      <c r="T97" s="416">
        <v>0</v>
      </c>
      <c r="U97" s="762">
        <v>0.66</v>
      </c>
      <c r="V97" s="423">
        <f t="shared" si="110"/>
        <v>0</v>
      </c>
      <c r="W97" s="417">
        <f t="shared" si="110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12"/>
        <v>0</v>
      </c>
      <c r="AF97" s="417">
        <f t="shared" si="113"/>
        <v>0</v>
      </c>
      <c r="AG97" s="417">
        <f t="shared" si="114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15"/>
        <v>0</v>
      </c>
      <c r="AN97" s="417">
        <f t="shared" si="116"/>
        <v>0</v>
      </c>
      <c r="AO97" s="417">
        <f t="shared" si="117"/>
        <v>0</v>
      </c>
      <c r="AP97" s="417">
        <f t="shared" si="111"/>
        <v>0</v>
      </c>
      <c r="AQ97" s="417">
        <f t="shared" si="111"/>
        <v>0</v>
      </c>
      <c r="AR97" s="417">
        <f t="shared" si="118"/>
        <v>0</v>
      </c>
      <c r="AS97" s="68">
        <f t="shared" si="119"/>
        <v>0</v>
      </c>
      <c r="AT97" s="68">
        <f t="shared" si="120"/>
        <v>0</v>
      </c>
      <c r="AU97" s="417">
        <v>0</v>
      </c>
      <c r="AV97" s="417">
        <v>0</v>
      </c>
      <c r="AW97" s="417">
        <v>0</v>
      </c>
      <c r="AX97" s="417">
        <f t="shared" si="121"/>
        <v>0</v>
      </c>
      <c r="AY97" s="417">
        <f t="shared" si="122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23"/>
        <v>0</v>
      </c>
      <c r="BJ97" s="418">
        <f t="shared" si="124"/>
        <v>0</v>
      </c>
      <c r="BK97" s="420">
        <f t="shared" si="125"/>
        <v>0</v>
      </c>
      <c r="BL97" s="772">
        <f t="shared" si="153"/>
        <v>300216</v>
      </c>
      <c r="BM97" s="417">
        <f t="shared" si="154"/>
        <v>221401</v>
      </c>
      <c r="BN97" s="417">
        <f t="shared" si="155"/>
        <v>0</v>
      </c>
      <c r="BO97" s="417">
        <f t="shared" si="155"/>
        <v>221401</v>
      </c>
      <c r="BP97" s="417">
        <f t="shared" si="156"/>
        <v>0</v>
      </c>
      <c r="BQ97" s="417">
        <f t="shared" si="157"/>
        <v>0</v>
      </c>
      <c r="BR97" s="417">
        <f t="shared" si="157"/>
        <v>0</v>
      </c>
      <c r="BS97" s="417">
        <f t="shared" si="158"/>
        <v>74833</v>
      </c>
      <c r="BT97" s="417">
        <f t="shared" si="158"/>
        <v>2214</v>
      </c>
      <c r="BU97" s="417">
        <f t="shared" si="159"/>
        <v>1768</v>
      </c>
      <c r="BV97" s="418">
        <f t="shared" si="160"/>
        <v>0.66</v>
      </c>
      <c r="BW97" s="418">
        <f t="shared" si="161"/>
        <v>0</v>
      </c>
      <c r="BX97" s="420">
        <f t="shared" si="161"/>
        <v>0.66</v>
      </c>
      <c r="BY97" s="596"/>
      <c r="BZ97" s="595"/>
      <c r="CA97" s="595"/>
      <c r="CB97" s="595"/>
      <c r="CC97" s="595"/>
      <c r="CD97" s="981"/>
      <c r="CE97" s="596"/>
      <c r="CF97" s="595"/>
      <c r="CG97" s="595"/>
      <c r="CH97" s="595"/>
      <c r="CI97" s="595"/>
      <c r="CJ97" s="981"/>
    </row>
    <row r="98" spans="1:88" ht="12.95" customHeight="1">
      <c r="A98" s="280">
        <v>17</v>
      </c>
      <c r="B98" s="281">
        <v>4488</v>
      </c>
      <c r="C98" s="281">
        <v>600074803</v>
      </c>
      <c r="D98" s="281">
        <v>72742089</v>
      </c>
      <c r="E98" s="283" t="s">
        <v>340</v>
      </c>
      <c r="F98" s="281">
        <v>3143</v>
      </c>
      <c r="G98" s="284" t="s">
        <v>595</v>
      </c>
      <c r="H98" s="284" t="s">
        <v>271</v>
      </c>
      <c r="I98" s="563">
        <v>664923</v>
      </c>
      <c r="J98" s="414">
        <v>493266</v>
      </c>
      <c r="K98" s="414">
        <v>493266</v>
      </c>
      <c r="L98" s="414">
        <v>0</v>
      </c>
      <c r="M98" s="414">
        <v>0</v>
      </c>
      <c r="N98" s="414">
        <v>0</v>
      </c>
      <c r="O98" s="414">
        <v>0</v>
      </c>
      <c r="P98" s="68">
        <v>166724</v>
      </c>
      <c r="Q98" s="68">
        <v>4933</v>
      </c>
      <c r="R98" s="414">
        <v>0</v>
      </c>
      <c r="S98" s="415">
        <v>1.0287999999999999</v>
      </c>
      <c r="T98" s="416">
        <v>1.0287999999999999</v>
      </c>
      <c r="U98" s="762">
        <v>0</v>
      </c>
      <c r="V98" s="423">
        <f t="shared" si="110"/>
        <v>0</v>
      </c>
      <c r="W98" s="417">
        <f t="shared" si="110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12"/>
        <v>0</v>
      </c>
      <c r="AF98" s="417">
        <f t="shared" si="113"/>
        <v>0</v>
      </c>
      <c r="AG98" s="417">
        <f t="shared" si="114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15"/>
        <v>0</v>
      </c>
      <c r="AN98" s="417">
        <f t="shared" si="116"/>
        <v>0</v>
      </c>
      <c r="AO98" s="417">
        <f t="shared" si="117"/>
        <v>0</v>
      </c>
      <c r="AP98" s="417">
        <f t="shared" si="111"/>
        <v>0</v>
      </c>
      <c r="AQ98" s="417">
        <f t="shared" si="111"/>
        <v>0</v>
      </c>
      <c r="AR98" s="417">
        <f t="shared" si="118"/>
        <v>0</v>
      </c>
      <c r="AS98" s="68">
        <f t="shared" si="119"/>
        <v>0</v>
      </c>
      <c r="AT98" s="68">
        <f t="shared" si="120"/>
        <v>0</v>
      </c>
      <c r="AU98" s="417">
        <v>0</v>
      </c>
      <c r="AV98" s="417">
        <v>0</v>
      </c>
      <c r="AW98" s="417">
        <v>0</v>
      </c>
      <c r="AX98" s="417">
        <f t="shared" si="121"/>
        <v>0</v>
      </c>
      <c r="AY98" s="417">
        <f t="shared" si="122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23"/>
        <v>0</v>
      </c>
      <c r="BJ98" s="418">
        <f t="shared" si="124"/>
        <v>0</v>
      </c>
      <c r="BK98" s="420">
        <f t="shared" si="125"/>
        <v>0</v>
      </c>
      <c r="BL98" s="772">
        <f t="shared" si="153"/>
        <v>664923</v>
      </c>
      <c r="BM98" s="417">
        <f t="shared" si="154"/>
        <v>493266</v>
      </c>
      <c r="BN98" s="417">
        <f t="shared" si="155"/>
        <v>493266</v>
      </c>
      <c r="BO98" s="417">
        <f t="shared" si="155"/>
        <v>0</v>
      </c>
      <c r="BP98" s="417">
        <f t="shared" si="156"/>
        <v>0</v>
      </c>
      <c r="BQ98" s="417">
        <f t="shared" si="157"/>
        <v>0</v>
      </c>
      <c r="BR98" s="417">
        <f t="shared" si="157"/>
        <v>0</v>
      </c>
      <c r="BS98" s="417">
        <f t="shared" si="158"/>
        <v>166724</v>
      </c>
      <c r="BT98" s="417">
        <f t="shared" si="158"/>
        <v>4933</v>
      </c>
      <c r="BU98" s="417">
        <f t="shared" si="159"/>
        <v>0</v>
      </c>
      <c r="BV98" s="418">
        <f t="shared" si="160"/>
        <v>1.0287999999999999</v>
      </c>
      <c r="BW98" s="418">
        <f t="shared" si="161"/>
        <v>1.0287999999999999</v>
      </c>
      <c r="BX98" s="420">
        <f t="shared" si="161"/>
        <v>0</v>
      </c>
      <c r="BY98" s="596"/>
      <c r="BZ98" s="595"/>
      <c r="CA98" s="595"/>
      <c r="CB98" s="595"/>
      <c r="CC98" s="595"/>
      <c r="CD98" s="981"/>
      <c r="CE98" s="596"/>
      <c r="CF98" s="595"/>
      <c r="CG98" s="595"/>
      <c r="CH98" s="595"/>
      <c r="CI98" s="595"/>
      <c r="CJ98" s="981"/>
    </row>
    <row r="99" spans="1:88" ht="12.95" customHeight="1">
      <c r="A99" s="280">
        <v>17</v>
      </c>
      <c r="B99" s="281">
        <v>4488</v>
      </c>
      <c r="C99" s="281">
        <v>600074803</v>
      </c>
      <c r="D99" s="281">
        <v>72742089</v>
      </c>
      <c r="E99" s="283" t="s">
        <v>340</v>
      </c>
      <c r="F99" s="281">
        <v>3143</v>
      </c>
      <c r="G99" s="284" t="s">
        <v>596</v>
      </c>
      <c r="H99" s="284" t="s">
        <v>272</v>
      </c>
      <c r="I99" s="563">
        <v>19210</v>
      </c>
      <c r="J99" s="414">
        <v>13750</v>
      </c>
      <c r="K99" s="414">
        <v>0</v>
      </c>
      <c r="L99" s="414">
        <v>13750</v>
      </c>
      <c r="M99" s="414">
        <v>0</v>
      </c>
      <c r="N99" s="414">
        <v>0</v>
      </c>
      <c r="O99" s="414">
        <v>0</v>
      </c>
      <c r="P99" s="68">
        <v>4647</v>
      </c>
      <c r="Q99" s="68">
        <v>138</v>
      </c>
      <c r="R99" s="414">
        <v>675</v>
      </c>
      <c r="S99" s="415">
        <v>5.4699999999999999E-2</v>
      </c>
      <c r="T99" s="416">
        <v>0</v>
      </c>
      <c r="U99" s="762">
        <v>5.4699999999999999E-2</v>
      </c>
      <c r="V99" s="423">
        <f t="shared" si="110"/>
        <v>0</v>
      </c>
      <c r="W99" s="417">
        <f t="shared" si="110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12"/>
        <v>0</v>
      </c>
      <c r="AF99" s="417">
        <f t="shared" si="113"/>
        <v>0</v>
      </c>
      <c r="AG99" s="417">
        <f t="shared" si="114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15"/>
        <v>0</v>
      </c>
      <c r="AN99" s="417">
        <f t="shared" si="116"/>
        <v>0</v>
      </c>
      <c r="AO99" s="417">
        <f t="shared" si="117"/>
        <v>0</v>
      </c>
      <c r="AP99" s="417">
        <f t="shared" si="111"/>
        <v>0</v>
      </c>
      <c r="AQ99" s="417">
        <f t="shared" si="111"/>
        <v>0</v>
      </c>
      <c r="AR99" s="417">
        <f t="shared" si="118"/>
        <v>0</v>
      </c>
      <c r="AS99" s="68">
        <f t="shared" si="119"/>
        <v>0</v>
      </c>
      <c r="AT99" s="68">
        <f t="shared" si="120"/>
        <v>0</v>
      </c>
      <c r="AU99" s="417">
        <v>0</v>
      </c>
      <c r="AV99" s="417">
        <v>0</v>
      </c>
      <c r="AW99" s="417">
        <v>0</v>
      </c>
      <c r="AX99" s="417">
        <f t="shared" si="121"/>
        <v>0</v>
      </c>
      <c r="AY99" s="417">
        <f t="shared" si="122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23"/>
        <v>0</v>
      </c>
      <c r="BJ99" s="418">
        <f t="shared" si="124"/>
        <v>0</v>
      </c>
      <c r="BK99" s="420">
        <f t="shared" si="125"/>
        <v>0</v>
      </c>
      <c r="BL99" s="772">
        <f t="shared" si="153"/>
        <v>19210</v>
      </c>
      <c r="BM99" s="417">
        <f t="shared" si="154"/>
        <v>13750</v>
      </c>
      <c r="BN99" s="417">
        <f t="shared" si="155"/>
        <v>0</v>
      </c>
      <c r="BO99" s="417">
        <f t="shared" si="155"/>
        <v>13750</v>
      </c>
      <c r="BP99" s="417">
        <f t="shared" si="156"/>
        <v>0</v>
      </c>
      <c r="BQ99" s="417">
        <f t="shared" si="157"/>
        <v>0</v>
      </c>
      <c r="BR99" s="417">
        <f t="shared" si="157"/>
        <v>0</v>
      </c>
      <c r="BS99" s="417">
        <f t="shared" si="158"/>
        <v>4647</v>
      </c>
      <c r="BT99" s="417">
        <f t="shared" si="158"/>
        <v>138</v>
      </c>
      <c r="BU99" s="417">
        <f t="shared" si="159"/>
        <v>675</v>
      </c>
      <c r="BV99" s="418">
        <f t="shared" si="160"/>
        <v>5.4699999999999999E-2</v>
      </c>
      <c r="BW99" s="418">
        <f t="shared" si="161"/>
        <v>0</v>
      </c>
      <c r="BX99" s="420">
        <f t="shared" si="161"/>
        <v>5.4699999999999999E-2</v>
      </c>
      <c r="BY99" s="596"/>
      <c r="BZ99" s="595"/>
      <c r="CA99" s="595"/>
      <c r="CB99" s="595"/>
      <c r="CC99" s="595"/>
      <c r="CD99" s="981"/>
      <c r="CE99" s="596"/>
      <c r="CF99" s="595"/>
      <c r="CG99" s="595"/>
      <c r="CH99" s="595"/>
      <c r="CI99" s="595"/>
      <c r="CJ99" s="981"/>
    </row>
    <row r="100" spans="1:88" ht="12.95" customHeight="1">
      <c r="A100" s="273">
        <v>17</v>
      </c>
      <c r="B100" s="275">
        <v>4488</v>
      </c>
      <c r="C100" s="275">
        <v>600074803</v>
      </c>
      <c r="D100" s="275">
        <v>72742089</v>
      </c>
      <c r="E100" s="288" t="s">
        <v>341</v>
      </c>
      <c r="F100" s="291"/>
      <c r="G100" s="292"/>
      <c r="H100" s="292"/>
      <c r="I100" s="465">
        <v>6957529</v>
      </c>
      <c r="J100" s="462">
        <v>5100602</v>
      </c>
      <c r="K100" s="462">
        <v>4439198</v>
      </c>
      <c r="L100" s="462">
        <v>661404</v>
      </c>
      <c r="M100" s="462">
        <v>0</v>
      </c>
      <c r="N100" s="462">
        <v>0</v>
      </c>
      <c r="O100" s="462">
        <v>0</v>
      </c>
      <c r="P100" s="462">
        <v>1724002</v>
      </c>
      <c r="Q100" s="462">
        <v>51007</v>
      </c>
      <c r="R100" s="462">
        <v>81918</v>
      </c>
      <c r="S100" s="463">
        <v>10.149700000000001</v>
      </c>
      <c r="T100" s="463">
        <v>8.1587999999999994</v>
      </c>
      <c r="U100" s="533">
        <v>1.9908999999999999</v>
      </c>
      <c r="V100" s="465">
        <f t="shared" ref="V100:BK100" si="162">SUM(V94:V99)</f>
        <v>0</v>
      </c>
      <c r="W100" s="462">
        <f t="shared" si="162"/>
        <v>0</v>
      </c>
      <c r="X100" s="462">
        <f t="shared" si="162"/>
        <v>0</v>
      </c>
      <c r="Y100" s="462">
        <f t="shared" si="162"/>
        <v>0</v>
      </c>
      <c r="Z100" s="462">
        <f t="shared" si="162"/>
        <v>92476</v>
      </c>
      <c r="AA100" s="462">
        <f t="shared" si="162"/>
        <v>0</v>
      </c>
      <c r="AB100" s="462">
        <f t="shared" si="162"/>
        <v>0</v>
      </c>
      <c r="AC100" s="462">
        <f t="shared" si="162"/>
        <v>0</v>
      </c>
      <c r="AD100" s="462">
        <f t="shared" si="162"/>
        <v>0</v>
      </c>
      <c r="AE100" s="462">
        <f t="shared" si="162"/>
        <v>92476</v>
      </c>
      <c r="AF100" s="462">
        <f t="shared" si="162"/>
        <v>0</v>
      </c>
      <c r="AG100" s="462">
        <f t="shared" si="162"/>
        <v>92476</v>
      </c>
      <c r="AH100" s="462">
        <f t="shared" si="162"/>
        <v>0</v>
      </c>
      <c r="AI100" s="462">
        <f t="shared" si="162"/>
        <v>0</v>
      </c>
      <c r="AJ100" s="462">
        <f t="shared" si="162"/>
        <v>0</v>
      </c>
      <c r="AK100" s="462">
        <f t="shared" si="162"/>
        <v>0</v>
      </c>
      <c r="AL100" s="462">
        <f t="shared" si="162"/>
        <v>0</v>
      </c>
      <c r="AM100" s="462">
        <f t="shared" si="162"/>
        <v>0</v>
      </c>
      <c r="AN100" s="462">
        <f t="shared" si="162"/>
        <v>0</v>
      </c>
      <c r="AO100" s="462">
        <f t="shared" si="162"/>
        <v>0</v>
      </c>
      <c r="AP100" s="462">
        <f t="shared" si="162"/>
        <v>92476</v>
      </c>
      <c r="AQ100" s="462">
        <f t="shared" si="162"/>
        <v>0</v>
      </c>
      <c r="AR100" s="462">
        <f t="shared" si="162"/>
        <v>92476</v>
      </c>
      <c r="AS100" s="462">
        <f t="shared" si="162"/>
        <v>31257</v>
      </c>
      <c r="AT100" s="462">
        <f t="shared" si="162"/>
        <v>925</v>
      </c>
      <c r="AU100" s="462">
        <f t="shared" si="162"/>
        <v>0</v>
      </c>
      <c r="AV100" s="462">
        <f t="shared" si="162"/>
        <v>0</v>
      </c>
      <c r="AW100" s="462">
        <f t="shared" si="162"/>
        <v>0</v>
      </c>
      <c r="AX100" s="462">
        <f t="shared" si="162"/>
        <v>0</v>
      </c>
      <c r="AY100" s="462">
        <f t="shared" si="162"/>
        <v>124658</v>
      </c>
      <c r="AZ100" s="463">
        <f t="shared" si="162"/>
        <v>0</v>
      </c>
      <c r="BA100" s="463">
        <f t="shared" si="162"/>
        <v>0</v>
      </c>
      <c r="BB100" s="463">
        <f t="shared" si="162"/>
        <v>0</v>
      </c>
      <c r="BC100" s="463">
        <f t="shared" si="162"/>
        <v>0.17</v>
      </c>
      <c r="BD100" s="463">
        <f t="shared" si="162"/>
        <v>0</v>
      </c>
      <c r="BE100" s="463">
        <f t="shared" si="162"/>
        <v>0</v>
      </c>
      <c r="BF100" s="463">
        <f t="shared" si="162"/>
        <v>0</v>
      </c>
      <c r="BG100" s="463">
        <f t="shared" si="162"/>
        <v>0</v>
      </c>
      <c r="BH100" s="463">
        <f t="shared" si="162"/>
        <v>0</v>
      </c>
      <c r="BI100" s="463">
        <f t="shared" si="162"/>
        <v>0.17</v>
      </c>
      <c r="BJ100" s="463">
        <f t="shared" si="162"/>
        <v>0</v>
      </c>
      <c r="BK100" s="290">
        <f t="shared" si="162"/>
        <v>0.17</v>
      </c>
      <c r="BL100" s="776">
        <f t="shared" ref="BL100:CG100" si="163">SUM(BL94:BL99)</f>
        <v>7082187</v>
      </c>
      <c r="BM100" s="462">
        <f t="shared" si="163"/>
        <v>5193078</v>
      </c>
      <c r="BN100" s="462">
        <f t="shared" si="163"/>
        <v>4531674</v>
      </c>
      <c r="BO100" s="462">
        <f t="shared" si="163"/>
        <v>661404</v>
      </c>
      <c r="BP100" s="462">
        <f t="shared" si="163"/>
        <v>0</v>
      </c>
      <c r="BQ100" s="462">
        <f t="shared" si="163"/>
        <v>0</v>
      </c>
      <c r="BR100" s="462">
        <f t="shared" si="163"/>
        <v>0</v>
      </c>
      <c r="BS100" s="462">
        <f t="shared" si="163"/>
        <v>1755259</v>
      </c>
      <c r="BT100" s="462">
        <f t="shared" si="163"/>
        <v>51932</v>
      </c>
      <c r="BU100" s="462">
        <f t="shared" si="163"/>
        <v>81918</v>
      </c>
      <c r="BV100" s="463">
        <f t="shared" si="163"/>
        <v>10.319700000000001</v>
      </c>
      <c r="BW100" s="463">
        <f t="shared" si="163"/>
        <v>8.3287999999999993</v>
      </c>
      <c r="BX100" s="290">
        <f t="shared" si="163"/>
        <v>1.9908999999999999</v>
      </c>
      <c r="BY100" s="820">
        <f t="shared" si="163"/>
        <v>0</v>
      </c>
      <c r="BZ100" s="716">
        <f t="shared" si="163"/>
        <v>0</v>
      </c>
      <c r="CA100" s="716">
        <f t="shared" si="163"/>
        <v>0</v>
      </c>
      <c r="CB100" s="716">
        <f t="shared" si="163"/>
        <v>0</v>
      </c>
      <c r="CC100" s="716">
        <f t="shared" si="163"/>
        <v>0</v>
      </c>
      <c r="CD100" s="821">
        <f t="shared" si="163"/>
        <v>0</v>
      </c>
      <c r="CE100" s="982">
        <f t="shared" si="163"/>
        <v>195301</v>
      </c>
      <c r="CF100" s="982">
        <f t="shared" si="163"/>
        <v>136778</v>
      </c>
      <c r="CG100" s="982">
        <f t="shared" si="163"/>
        <v>46231</v>
      </c>
      <c r="CH100" s="982">
        <f t="shared" ref="CH100:CJ100" si="164">SUM(CH94:CH99)</f>
        <v>1368</v>
      </c>
      <c r="CI100" s="982">
        <f t="shared" si="164"/>
        <v>10924</v>
      </c>
      <c r="CJ100" s="935">
        <f t="shared" si="164"/>
        <v>0.40949999999999998</v>
      </c>
    </row>
    <row r="101" spans="1:88" ht="12.95" customHeight="1">
      <c r="A101" s="280">
        <v>18</v>
      </c>
      <c r="B101" s="281">
        <v>4434</v>
      </c>
      <c r="C101" s="281">
        <v>650025768</v>
      </c>
      <c r="D101" s="281">
        <v>72744481</v>
      </c>
      <c r="E101" s="283" t="s">
        <v>342</v>
      </c>
      <c r="F101" s="281">
        <v>3111</v>
      </c>
      <c r="G101" s="284" t="s">
        <v>304</v>
      </c>
      <c r="H101" s="284" t="s">
        <v>271</v>
      </c>
      <c r="I101" s="563">
        <v>4780827</v>
      </c>
      <c r="J101" s="414">
        <v>3511029</v>
      </c>
      <c r="K101" s="414">
        <v>3246402</v>
      </c>
      <c r="L101" s="414">
        <v>264627</v>
      </c>
      <c r="M101" s="414">
        <v>20000</v>
      </c>
      <c r="N101" s="414">
        <v>20000</v>
      </c>
      <c r="O101" s="414">
        <v>0</v>
      </c>
      <c r="P101" s="68">
        <v>1193488</v>
      </c>
      <c r="Q101" s="68">
        <v>35110</v>
      </c>
      <c r="R101" s="414">
        <v>21200</v>
      </c>
      <c r="S101" s="415">
        <v>6.9118000000000004</v>
      </c>
      <c r="T101" s="416">
        <v>5.8516000000000004</v>
      </c>
      <c r="U101" s="762">
        <v>1.0602</v>
      </c>
      <c r="V101" s="423">
        <f t="shared" si="110"/>
        <v>20000</v>
      </c>
      <c r="W101" s="417">
        <f t="shared" si="110"/>
        <v>-2500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12"/>
        <v>20000</v>
      </c>
      <c r="AF101" s="417">
        <f t="shared" si="113"/>
        <v>-2500</v>
      </c>
      <c r="AG101" s="417">
        <f t="shared" si="114"/>
        <v>17500</v>
      </c>
      <c r="AH101" s="417">
        <v>-20000</v>
      </c>
      <c r="AI101" s="417">
        <v>2500</v>
      </c>
      <c r="AJ101" s="417">
        <v>0</v>
      </c>
      <c r="AK101" s="417">
        <v>0</v>
      </c>
      <c r="AL101" s="417">
        <v>0</v>
      </c>
      <c r="AM101" s="417">
        <f t="shared" si="115"/>
        <v>-20000</v>
      </c>
      <c r="AN101" s="417">
        <f t="shared" si="116"/>
        <v>2500</v>
      </c>
      <c r="AO101" s="417">
        <f t="shared" si="117"/>
        <v>-17500</v>
      </c>
      <c r="AP101" s="417">
        <f t="shared" si="111"/>
        <v>0</v>
      </c>
      <c r="AQ101" s="417">
        <f t="shared" si="111"/>
        <v>0</v>
      </c>
      <c r="AR101" s="417">
        <f t="shared" si="118"/>
        <v>0</v>
      </c>
      <c r="AS101" s="68">
        <f t="shared" si="119"/>
        <v>0</v>
      </c>
      <c r="AT101" s="68">
        <f t="shared" si="120"/>
        <v>175</v>
      </c>
      <c r="AU101" s="417">
        <v>0</v>
      </c>
      <c r="AV101" s="417">
        <v>0</v>
      </c>
      <c r="AW101" s="417">
        <v>0</v>
      </c>
      <c r="AX101" s="417">
        <f t="shared" si="121"/>
        <v>0</v>
      </c>
      <c r="AY101" s="417">
        <f t="shared" si="122"/>
        <v>175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23"/>
        <v>0</v>
      </c>
      <c r="BJ101" s="418">
        <f t="shared" si="124"/>
        <v>0</v>
      </c>
      <c r="BK101" s="420">
        <f t="shared" si="125"/>
        <v>0</v>
      </c>
      <c r="BL101" s="772">
        <f t="shared" ref="BL101:BL106" si="165">I101+AY101</f>
        <v>4781002</v>
      </c>
      <c r="BM101" s="417">
        <f t="shared" ref="BM101:BM106" si="166">J101+AG101</f>
        <v>3528529</v>
      </c>
      <c r="BN101" s="417">
        <f t="shared" ref="BN101:BO106" si="167">K101+AE101</f>
        <v>3266402</v>
      </c>
      <c r="BO101" s="417">
        <f t="shared" si="167"/>
        <v>262127</v>
      </c>
      <c r="BP101" s="417">
        <f t="shared" ref="BP101:BP106" si="168">M101+AO101</f>
        <v>2500</v>
      </c>
      <c r="BQ101" s="417">
        <f t="shared" ref="BQ101:BR106" si="169">N101+AM101</f>
        <v>0</v>
      </c>
      <c r="BR101" s="417">
        <f t="shared" si="169"/>
        <v>2500</v>
      </c>
      <c r="BS101" s="417">
        <f t="shared" ref="BS101:BT106" si="170">P101+AS101</f>
        <v>1193488</v>
      </c>
      <c r="BT101" s="417">
        <f t="shared" si="170"/>
        <v>35285</v>
      </c>
      <c r="BU101" s="417">
        <f t="shared" ref="BU101:BU106" si="171">R101+AX101</f>
        <v>21200</v>
      </c>
      <c r="BV101" s="418">
        <f t="shared" ref="BV101:BV106" si="172">S101+BK101</f>
        <v>6.9118000000000004</v>
      </c>
      <c r="BW101" s="418">
        <f t="shared" ref="BW101:BX106" si="173">T101+BI101</f>
        <v>5.8516000000000004</v>
      </c>
      <c r="BX101" s="420">
        <f t="shared" si="173"/>
        <v>1.0602</v>
      </c>
      <c r="BY101" s="596"/>
      <c r="BZ101" s="595"/>
      <c r="CA101" s="595"/>
      <c r="CB101" s="595"/>
      <c r="CC101" s="595"/>
      <c r="CD101" s="981"/>
      <c r="CE101" s="596">
        <v>121514</v>
      </c>
      <c r="CF101" s="595">
        <v>84915</v>
      </c>
      <c r="CG101" s="595">
        <v>28701</v>
      </c>
      <c r="CH101" s="595">
        <v>849</v>
      </c>
      <c r="CI101" s="595">
        <v>7049</v>
      </c>
      <c r="CJ101" s="981">
        <v>0.3402</v>
      </c>
    </row>
    <row r="102" spans="1:88" ht="12.95" customHeight="1">
      <c r="A102" s="280">
        <v>18</v>
      </c>
      <c r="B102" s="281">
        <v>4434</v>
      </c>
      <c r="C102" s="281">
        <v>650025768</v>
      </c>
      <c r="D102" s="281">
        <v>72744481</v>
      </c>
      <c r="E102" s="283" t="s">
        <v>342</v>
      </c>
      <c r="F102" s="281">
        <v>3113</v>
      </c>
      <c r="G102" s="284" t="s">
        <v>308</v>
      </c>
      <c r="H102" s="284" t="s">
        <v>271</v>
      </c>
      <c r="I102" s="563">
        <v>13788939</v>
      </c>
      <c r="J102" s="414">
        <v>9949840</v>
      </c>
      <c r="K102" s="414">
        <v>8545075</v>
      </c>
      <c r="L102" s="414">
        <v>1404765</v>
      </c>
      <c r="M102" s="414">
        <v>112000</v>
      </c>
      <c r="N102" s="414">
        <v>50920</v>
      </c>
      <c r="O102" s="414">
        <v>61080</v>
      </c>
      <c r="P102" s="68">
        <v>3400901</v>
      </c>
      <c r="Q102" s="68">
        <v>99498</v>
      </c>
      <c r="R102" s="414">
        <v>226700</v>
      </c>
      <c r="S102" s="415">
        <v>16.757999999999999</v>
      </c>
      <c r="T102" s="416">
        <v>12.7273</v>
      </c>
      <c r="U102" s="762">
        <v>4.0307000000000004</v>
      </c>
      <c r="V102" s="423">
        <f t="shared" si="110"/>
        <v>50920</v>
      </c>
      <c r="W102" s="417">
        <f t="shared" si="110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112"/>
        <v>50920</v>
      </c>
      <c r="AF102" s="417">
        <f t="shared" si="113"/>
        <v>0</v>
      </c>
      <c r="AG102" s="417">
        <f t="shared" si="114"/>
        <v>50920</v>
      </c>
      <c r="AH102" s="417">
        <v>-50920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15"/>
        <v>-50920</v>
      </c>
      <c r="AN102" s="417">
        <v>15920</v>
      </c>
      <c r="AO102" s="417">
        <f t="shared" si="117"/>
        <v>-35000</v>
      </c>
      <c r="AP102" s="417">
        <f t="shared" si="111"/>
        <v>0</v>
      </c>
      <c r="AQ102" s="417">
        <f t="shared" si="111"/>
        <v>15920</v>
      </c>
      <c r="AR102" s="417">
        <f t="shared" si="118"/>
        <v>15920</v>
      </c>
      <c r="AS102" s="68">
        <f t="shared" si="119"/>
        <v>0</v>
      </c>
      <c r="AT102" s="68">
        <f t="shared" si="120"/>
        <v>509</v>
      </c>
      <c r="AU102" s="417">
        <v>0</v>
      </c>
      <c r="AV102" s="417">
        <v>0</v>
      </c>
      <c r="AW102" s="417">
        <v>0</v>
      </c>
      <c r="AX102" s="417">
        <f t="shared" si="121"/>
        <v>0</v>
      </c>
      <c r="AY102" s="417">
        <f t="shared" si="122"/>
        <v>16429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418">
        <v>0</v>
      </c>
      <c r="BG102" s="418">
        <v>0</v>
      </c>
      <c r="BH102" s="418">
        <v>0</v>
      </c>
      <c r="BI102" s="418">
        <f t="shared" si="123"/>
        <v>0</v>
      </c>
      <c r="BJ102" s="418">
        <f t="shared" si="124"/>
        <v>0</v>
      </c>
      <c r="BK102" s="420">
        <f t="shared" si="125"/>
        <v>0</v>
      </c>
      <c r="BL102" s="772">
        <f t="shared" si="165"/>
        <v>13805368</v>
      </c>
      <c r="BM102" s="417">
        <f t="shared" si="166"/>
        <v>10000760</v>
      </c>
      <c r="BN102" s="417">
        <f t="shared" si="167"/>
        <v>8595995</v>
      </c>
      <c r="BO102" s="417">
        <f t="shared" si="167"/>
        <v>1404765</v>
      </c>
      <c r="BP102" s="417">
        <f t="shared" si="168"/>
        <v>77000</v>
      </c>
      <c r="BQ102" s="417">
        <f t="shared" si="169"/>
        <v>0</v>
      </c>
      <c r="BR102" s="417">
        <f t="shared" si="169"/>
        <v>77000</v>
      </c>
      <c r="BS102" s="417">
        <f t="shared" si="170"/>
        <v>3400901</v>
      </c>
      <c r="BT102" s="417">
        <f t="shared" si="170"/>
        <v>100007</v>
      </c>
      <c r="BU102" s="417">
        <f t="shared" si="171"/>
        <v>226700</v>
      </c>
      <c r="BV102" s="418">
        <f t="shared" si="172"/>
        <v>16.757999999999999</v>
      </c>
      <c r="BW102" s="418">
        <f t="shared" si="173"/>
        <v>12.7273</v>
      </c>
      <c r="BX102" s="420">
        <f t="shared" si="173"/>
        <v>4.0307000000000004</v>
      </c>
      <c r="BY102" s="596"/>
      <c r="BZ102" s="595"/>
      <c r="CA102" s="595"/>
      <c r="CB102" s="595"/>
      <c r="CC102" s="595"/>
      <c r="CD102" s="981"/>
      <c r="CE102" s="596">
        <v>687134</v>
      </c>
      <c r="CF102" s="595">
        <v>470480</v>
      </c>
      <c r="CG102" s="595">
        <v>159023</v>
      </c>
      <c r="CH102" s="595">
        <v>4705</v>
      </c>
      <c r="CI102" s="595">
        <v>52926</v>
      </c>
      <c r="CJ102" s="981">
        <v>1.3644000000000001</v>
      </c>
    </row>
    <row r="103" spans="1:88" ht="12.95" customHeight="1">
      <c r="A103" s="280">
        <v>18</v>
      </c>
      <c r="B103" s="281">
        <v>4434</v>
      </c>
      <c r="C103" s="281">
        <v>650025768</v>
      </c>
      <c r="D103" s="281">
        <v>72744481</v>
      </c>
      <c r="E103" s="283" t="s">
        <v>342</v>
      </c>
      <c r="F103" s="281">
        <v>3113</v>
      </c>
      <c r="G103" s="284" t="s">
        <v>298</v>
      </c>
      <c r="H103" s="284" t="s">
        <v>272</v>
      </c>
      <c r="I103" s="563">
        <v>1968121</v>
      </c>
      <c r="J103" s="414">
        <v>1460031</v>
      </c>
      <c r="K103" s="414">
        <v>1460031</v>
      </c>
      <c r="L103" s="414">
        <v>0</v>
      </c>
      <c r="M103" s="414">
        <v>0</v>
      </c>
      <c r="N103" s="414">
        <v>0</v>
      </c>
      <c r="O103" s="414">
        <v>0</v>
      </c>
      <c r="P103" s="68">
        <v>493490</v>
      </c>
      <c r="Q103" s="68">
        <v>14600</v>
      </c>
      <c r="R103" s="414">
        <v>0</v>
      </c>
      <c r="S103" s="415">
        <v>3.9299999999999997</v>
      </c>
      <c r="T103" s="416">
        <v>3.9299999999999997</v>
      </c>
      <c r="U103" s="762">
        <v>0</v>
      </c>
      <c r="V103" s="423">
        <f t="shared" si="110"/>
        <v>0</v>
      </c>
      <c r="W103" s="417">
        <f t="shared" si="110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12"/>
        <v>0</v>
      </c>
      <c r="AF103" s="417">
        <f t="shared" si="113"/>
        <v>0</v>
      </c>
      <c r="AG103" s="417">
        <f t="shared" si="114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15"/>
        <v>0</v>
      </c>
      <c r="AN103" s="417">
        <f t="shared" si="116"/>
        <v>0</v>
      </c>
      <c r="AO103" s="417">
        <f t="shared" si="117"/>
        <v>0</v>
      </c>
      <c r="AP103" s="417">
        <f t="shared" si="111"/>
        <v>0</v>
      </c>
      <c r="AQ103" s="417">
        <f t="shared" si="111"/>
        <v>0</v>
      </c>
      <c r="AR103" s="417">
        <f t="shared" si="118"/>
        <v>0</v>
      </c>
      <c r="AS103" s="68">
        <f t="shared" si="119"/>
        <v>0</v>
      </c>
      <c r="AT103" s="68">
        <f t="shared" si="120"/>
        <v>0</v>
      </c>
      <c r="AU103" s="417">
        <v>0</v>
      </c>
      <c r="AV103" s="417">
        <v>0</v>
      </c>
      <c r="AW103" s="417">
        <v>0</v>
      </c>
      <c r="AX103" s="417">
        <f t="shared" si="121"/>
        <v>0</v>
      </c>
      <c r="AY103" s="417">
        <f t="shared" si="122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23"/>
        <v>0</v>
      </c>
      <c r="BJ103" s="418">
        <f t="shared" si="124"/>
        <v>0</v>
      </c>
      <c r="BK103" s="420">
        <f t="shared" si="125"/>
        <v>0</v>
      </c>
      <c r="BL103" s="772">
        <f t="shared" si="165"/>
        <v>1968121</v>
      </c>
      <c r="BM103" s="417">
        <f t="shared" si="166"/>
        <v>1460031</v>
      </c>
      <c r="BN103" s="417">
        <f t="shared" si="167"/>
        <v>1460031</v>
      </c>
      <c r="BO103" s="417">
        <f t="shared" si="167"/>
        <v>0</v>
      </c>
      <c r="BP103" s="417">
        <f t="shared" si="168"/>
        <v>0</v>
      </c>
      <c r="BQ103" s="417">
        <f t="shared" si="169"/>
        <v>0</v>
      </c>
      <c r="BR103" s="417">
        <f t="shared" si="169"/>
        <v>0</v>
      </c>
      <c r="BS103" s="417">
        <f t="shared" si="170"/>
        <v>493490</v>
      </c>
      <c r="BT103" s="417">
        <f t="shared" si="170"/>
        <v>14600</v>
      </c>
      <c r="BU103" s="417">
        <f t="shared" si="171"/>
        <v>0</v>
      </c>
      <c r="BV103" s="418">
        <f t="shared" si="172"/>
        <v>3.9299999999999997</v>
      </c>
      <c r="BW103" s="418">
        <f t="shared" si="173"/>
        <v>3.9299999999999997</v>
      </c>
      <c r="BX103" s="420">
        <f t="shared" si="173"/>
        <v>0</v>
      </c>
      <c r="BY103" s="596"/>
      <c r="BZ103" s="595"/>
      <c r="CA103" s="595"/>
      <c r="CB103" s="595"/>
      <c r="CC103" s="595"/>
      <c r="CD103" s="981"/>
      <c r="CE103" s="596"/>
      <c r="CF103" s="595"/>
      <c r="CG103" s="595"/>
      <c r="CH103" s="595"/>
      <c r="CI103" s="595"/>
      <c r="CJ103" s="981"/>
    </row>
    <row r="104" spans="1:88" ht="12.95" customHeight="1">
      <c r="A104" s="280">
        <v>18</v>
      </c>
      <c r="B104" s="281">
        <v>4434</v>
      </c>
      <c r="C104" s="281">
        <v>650025768</v>
      </c>
      <c r="D104" s="281">
        <v>72744481</v>
      </c>
      <c r="E104" s="283" t="s">
        <v>342</v>
      </c>
      <c r="F104" s="281">
        <v>3141</v>
      </c>
      <c r="G104" s="284" t="s">
        <v>294</v>
      </c>
      <c r="H104" s="284" t="s">
        <v>272</v>
      </c>
      <c r="I104" s="563">
        <v>1853459</v>
      </c>
      <c r="J104" s="414">
        <v>1342826</v>
      </c>
      <c r="K104" s="414">
        <v>0</v>
      </c>
      <c r="L104" s="414">
        <v>1342826</v>
      </c>
      <c r="M104" s="414">
        <v>25000</v>
      </c>
      <c r="N104" s="414">
        <v>0</v>
      </c>
      <c r="O104" s="414">
        <v>25000</v>
      </c>
      <c r="P104" s="68">
        <v>462325</v>
      </c>
      <c r="Q104" s="68">
        <v>13428</v>
      </c>
      <c r="R104" s="414">
        <v>9880</v>
      </c>
      <c r="S104" s="415">
        <v>4.1034000000000006</v>
      </c>
      <c r="T104" s="416">
        <v>0</v>
      </c>
      <c r="U104" s="762">
        <v>4.1034000000000006</v>
      </c>
      <c r="V104" s="423">
        <f t="shared" si="110"/>
        <v>0</v>
      </c>
      <c r="W104" s="417">
        <f t="shared" si="110"/>
        <v>15000</v>
      </c>
      <c r="X104" s="417">
        <v>0</v>
      </c>
      <c r="Y104" s="417">
        <v>0</v>
      </c>
      <c r="Z104" s="417">
        <v>0</v>
      </c>
      <c r="AA104" s="417">
        <f>15699+2328</f>
        <v>18027</v>
      </c>
      <c r="AB104" s="417">
        <v>0</v>
      </c>
      <c r="AC104" s="417">
        <v>0</v>
      </c>
      <c r="AD104" s="417">
        <v>0</v>
      </c>
      <c r="AE104" s="417">
        <f t="shared" si="112"/>
        <v>0</v>
      </c>
      <c r="AF104" s="417">
        <f t="shared" si="113"/>
        <v>33027</v>
      </c>
      <c r="AG104" s="417">
        <f t="shared" si="114"/>
        <v>33027</v>
      </c>
      <c r="AH104" s="417">
        <v>0</v>
      </c>
      <c r="AI104" s="417">
        <v>-15000</v>
      </c>
      <c r="AJ104" s="417">
        <v>0</v>
      </c>
      <c r="AK104" s="417">
        <v>0</v>
      </c>
      <c r="AL104" s="417">
        <v>0</v>
      </c>
      <c r="AM104" s="417">
        <f t="shared" si="115"/>
        <v>0</v>
      </c>
      <c r="AN104" s="417">
        <f t="shared" si="116"/>
        <v>-15000</v>
      </c>
      <c r="AO104" s="417">
        <f t="shared" si="117"/>
        <v>-15000</v>
      </c>
      <c r="AP104" s="417">
        <f t="shared" si="111"/>
        <v>0</v>
      </c>
      <c r="AQ104" s="417">
        <f t="shared" si="111"/>
        <v>18027</v>
      </c>
      <c r="AR104" s="417">
        <f t="shared" si="118"/>
        <v>18027</v>
      </c>
      <c r="AS104" s="68">
        <f t="shared" si="119"/>
        <v>6093</v>
      </c>
      <c r="AT104" s="68">
        <f t="shared" si="120"/>
        <v>330</v>
      </c>
      <c r="AU104" s="417">
        <v>0</v>
      </c>
      <c r="AV104" s="417">
        <v>0</v>
      </c>
      <c r="AW104" s="417">
        <v>0</v>
      </c>
      <c r="AX104" s="417">
        <f t="shared" si="121"/>
        <v>0</v>
      </c>
      <c r="AY104" s="417">
        <f t="shared" si="122"/>
        <v>24450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0.06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23"/>
        <v>0</v>
      </c>
      <c r="BJ104" s="418">
        <f t="shared" si="124"/>
        <v>0.06</v>
      </c>
      <c r="BK104" s="420">
        <f t="shared" si="125"/>
        <v>0.06</v>
      </c>
      <c r="BL104" s="772">
        <f t="shared" si="165"/>
        <v>1877909</v>
      </c>
      <c r="BM104" s="417">
        <f t="shared" si="166"/>
        <v>1375853</v>
      </c>
      <c r="BN104" s="417">
        <f t="shared" si="167"/>
        <v>0</v>
      </c>
      <c r="BO104" s="417">
        <f t="shared" si="167"/>
        <v>1375853</v>
      </c>
      <c r="BP104" s="417">
        <f t="shared" si="168"/>
        <v>10000</v>
      </c>
      <c r="BQ104" s="417">
        <f t="shared" si="169"/>
        <v>0</v>
      </c>
      <c r="BR104" s="417">
        <f t="shared" si="169"/>
        <v>10000</v>
      </c>
      <c r="BS104" s="417">
        <f t="shared" si="170"/>
        <v>468418</v>
      </c>
      <c r="BT104" s="417">
        <f t="shared" si="170"/>
        <v>13758</v>
      </c>
      <c r="BU104" s="417">
        <f t="shared" si="171"/>
        <v>9880</v>
      </c>
      <c r="BV104" s="418">
        <f t="shared" si="172"/>
        <v>4.1634000000000002</v>
      </c>
      <c r="BW104" s="418">
        <f t="shared" si="173"/>
        <v>0</v>
      </c>
      <c r="BX104" s="420">
        <f t="shared" si="173"/>
        <v>4.1634000000000002</v>
      </c>
      <c r="BY104" s="596"/>
      <c r="BZ104" s="595"/>
      <c r="CA104" s="595"/>
      <c r="CB104" s="595"/>
      <c r="CC104" s="595"/>
      <c r="CD104" s="981"/>
      <c r="CE104" s="596"/>
      <c r="CF104" s="595"/>
      <c r="CG104" s="595"/>
      <c r="CH104" s="595"/>
      <c r="CI104" s="595"/>
      <c r="CJ104" s="981"/>
    </row>
    <row r="105" spans="1:88" ht="12.95" customHeight="1">
      <c r="A105" s="280">
        <v>18</v>
      </c>
      <c r="B105" s="281">
        <v>4434</v>
      </c>
      <c r="C105" s="281">
        <v>650025768</v>
      </c>
      <c r="D105" s="281">
        <v>72744481</v>
      </c>
      <c r="E105" s="283" t="s">
        <v>342</v>
      </c>
      <c r="F105" s="281">
        <v>3143</v>
      </c>
      <c r="G105" s="284" t="s">
        <v>595</v>
      </c>
      <c r="H105" s="284" t="s">
        <v>271</v>
      </c>
      <c r="I105" s="563">
        <v>1396243</v>
      </c>
      <c r="J105" s="414">
        <v>1010974</v>
      </c>
      <c r="K105" s="414">
        <v>1010974</v>
      </c>
      <c r="L105" s="414">
        <v>0</v>
      </c>
      <c r="M105" s="414">
        <v>25000</v>
      </c>
      <c r="N105" s="414">
        <v>25000</v>
      </c>
      <c r="O105" s="414">
        <v>0</v>
      </c>
      <c r="P105" s="68">
        <v>350159</v>
      </c>
      <c r="Q105" s="68">
        <v>10110</v>
      </c>
      <c r="R105" s="414">
        <v>0</v>
      </c>
      <c r="S105" s="415">
        <v>2</v>
      </c>
      <c r="T105" s="416">
        <v>2</v>
      </c>
      <c r="U105" s="762">
        <v>0</v>
      </c>
      <c r="V105" s="423">
        <f t="shared" si="110"/>
        <v>21000</v>
      </c>
      <c r="W105" s="417">
        <f t="shared" si="110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12"/>
        <v>21000</v>
      </c>
      <c r="AF105" s="417">
        <f t="shared" si="113"/>
        <v>0</v>
      </c>
      <c r="AG105" s="417">
        <f t="shared" si="114"/>
        <v>21000</v>
      </c>
      <c r="AH105" s="417">
        <v>-21000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15"/>
        <v>-21000</v>
      </c>
      <c r="AN105" s="417">
        <f t="shared" si="116"/>
        <v>0</v>
      </c>
      <c r="AO105" s="417">
        <f t="shared" si="117"/>
        <v>-21000</v>
      </c>
      <c r="AP105" s="417">
        <f t="shared" si="111"/>
        <v>0</v>
      </c>
      <c r="AQ105" s="417">
        <f t="shared" si="111"/>
        <v>0</v>
      </c>
      <c r="AR105" s="417">
        <f t="shared" si="118"/>
        <v>0</v>
      </c>
      <c r="AS105" s="68">
        <f t="shared" si="119"/>
        <v>0</v>
      </c>
      <c r="AT105" s="68">
        <f t="shared" si="120"/>
        <v>210</v>
      </c>
      <c r="AU105" s="417">
        <v>0</v>
      </c>
      <c r="AV105" s="417">
        <v>0</v>
      </c>
      <c r="AW105" s="417">
        <v>0</v>
      </c>
      <c r="AX105" s="417">
        <f t="shared" si="121"/>
        <v>0</v>
      </c>
      <c r="AY105" s="417">
        <f t="shared" si="122"/>
        <v>210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23"/>
        <v>0</v>
      </c>
      <c r="BJ105" s="418">
        <f t="shared" si="124"/>
        <v>0</v>
      </c>
      <c r="BK105" s="420">
        <f t="shared" si="125"/>
        <v>0</v>
      </c>
      <c r="BL105" s="772">
        <f t="shared" si="165"/>
        <v>1396453</v>
      </c>
      <c r="BM105" s="417">
        <f t="shared" si="166"/>
        <v>1031974</v>
      </c>
      <c r="BN105" s="417">
        <f t="shared" si="167"/>
        <v>1031974</v>
      </c>
      <c r="BO105" s="417">
        <f t="shared" si="167"/>
        <v>0</v>
      </c>
      <c r="BP105" s="417">
        <f t="shared" si="168"/>
        <v>4000</v>
      </c>
      <c r="BQ105" s="417">
        <f t="shared" si="169"/>
        <v>4000</v>
      </c>
      <c r="BR105" s="417">
        <f t="shared" si="169"/>
        <v>0</v>
      </c>
      <c r="BS105" s="417">
        <f t="shared" si="170"/>
        <v>350159</v>
      </c>
      <c r="BT105" s="417">
        <f t="shared" si="170"/>
        <v>10320</v>
      </c>
      <c r="BU105" s="417">
        <f t="shared" si="171"/>
        <v>0</v>
      </c>
      <c r="BV105" s="418">
        <f t="shared" si="172"/>
        <v>2</v>
      </c>
      <c r="BW105" s="418">
        <f t="shared" si="173"/>
        <v>2</v>
      </c>
      <c r="BX105" s="420">
        <f t="shared" si="173"/>
        <v>0</v>
      </c>
      <c r="BY105" s="596"/>
      <c r="BZ105" s="595"/>
      <c r="CA105" s="595"/>
      <c r="CB105" s="595"/>
      <c r="CC105" s="595"/>
      <c r="CD105" s="981"/>
      <c r="CE105" s="596"/>
      <c r="CF105" s="595"/>
      <c r="CG105" s="595"/>
      <c r="CH105" s="595"/>
      <c r="CI105" s="595"/>
      <c r="CJ105" s="981"/>
    </row>
    <row r="106" spans="1:88" ht="12.95" customHeight="1">
      <c r="A106" s="280">
        <v>18</v>
      </c>
      <c r="B106" s="281">
        <v>4434</v>
      </c>
      <c r="C106" s="281">
        <v>650025768</v>
      </c>
      <c r="D106" s="281">
        <v>72744481</v>
      </c>
      <c r="E106" s="283" t="s">
        <v>342</v>
      </c>
      <c r="F106" s="281">
        <v>3143</v>
      </c>
      <c r="G106" s="284" t="s">
        <v>596</v>
      </c>
      <c r="H106" s="284" t="s">
        <v>272</v>
      </c>
      <c r="I106" s="563">
        <v>32273</v>
      </c>
      <c r="J106" s="414">
        <v>23100</v>
      </c>
      <c r="K106" s="414">
        <v>0</v>
      </c>
      <c r="L106" s="414">
        <v>23100</v>
      </c>
      <c r="M106" s="414">
        <v>0</v>
      </c>
      <c r="N106" s="414">
        <v>0</v>
      </c>
      <c r="O106" s="414">
        <v>0</v>
      </c>
      <c r="P106" s="68">
        <v>7808</v>
      </c>
      <c r="Q106" s="68">
        <v>231</v>
      </c>
      <c r="R106" s="414">
        <v>1134</v>
      </c>
      <c r="S106" s="415">
        <v>8.829999999999999E-2</v>
      </c>
      <c r="T106" s="416">
        <v>0</v>
      </c>
      <c r="U106" s="762">
        <v>8.829999999999999E-2</v>
      </c>
      <c r="V106" s="423">
        <f t="shared" si="110"/>
        <v>0</v>
      </c>
      <c r="W106" s="417">
        <f t="shared" si="110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12"/>
        <v>0</v>
      </c>
      <c r="AF106" s="417">
        <f t="shared" si="113"/>
        <v>0</v>
      </c>
      <c r="AG106" s="417">
        <f t="shared" si="114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15"/>
        <v>0</v>
      </c>
      <c r="AN106" s="417">
        <f t="shared" si="116"/>
        <v>0</v>
      </c>
      <c r="AO106" s="417">
        <f t="shared" si="117"/>
        <v>0</v>
      </c>
      <c r="AP106" s="417">
        <f t="shared" si="111"/>
        <v>0</v>
      </c>
      <c r="AQ106" s="417">
        <f t="shared" si="111"/>
        <v>0</v>
      </c>
      <c r="AR106" s="417">
        <f t="shared" si="118"/>
        <v>0</v>
      </c>
      <c r="AS106" s="68">
        <f t="shared" si="119"/>
        <v>0</v>
      </c>
      <c r="AT106" s="68">
        <f t="shared" si="120"/>
        <v>0</v>
      </c>
      <c r="AU106" s="417">
        <v>0</v>
      </c>
      <c r="AV106" s="417">
        <v>0</v>
      </c>
      <c r="AW106" s="417">
        <v>0</v>
      </c>
      <c r="AX106" s="417">
        <f t="shared" si="121"/>
        <v>0</v>
      </c>
      <c r="AY106" s="417">
        <f t="shared" si="122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23"/>
        <v>0</v>
      </c>
      <c r="BJ106" s="418">
        <f t="shared" si="124"/>
        <v>0</v>
      </c>
      <c r="BK106" s="420">
        <f t="shared" si="125"/>
        <v>0</v>
      </c>
      <c r="BL106" s="772">
        <f t="shared" si="165"/>
        <v>32273</v>
      </c>
      <c r="BM106" s="417">
        <f t="shared" si="166"/>
        <v>23100</v>
      </c>
      <c r="BN106" s="417">
        <f t="shared" si="167"/>
        <v>0</v>
      </c>
      <c r="BO106" s="417">
        <f t="shared" si="167"/>
        <v>23100</v>
      </c>
      <c r="BP106" s="417">
        <f t="shared" si="168"/>
        <v>0</v>
      </c>
      <c r="BQ106" s="417">
        <f t="shared" si="169"/>
        <v>0</v>
      </c>
      <c r="BR106" s="417">
        <f t="shared" si="169"/>
        <v>0</v>
      </c>
      <c r="BS106" s="417">
        <f t="shared" si="170"/>
        <v>7808</v>
      </c>
      <c r="BT106" s="417">
        <f t="shared" si="170"/>
        <v>231</v>
      </c>
      <c r="BU106" s="417">
        <f t="shared" si="171"/>
        <v>1134</v>
      </c>
      <c r="BV106" s="418">
        <f t="shared" si="172"/>
        <v>8.829999999999999E-2</v>
      </c>
      <c r="BW106" s="418">
        <f t="shared" si="173"/>
        <v>0</v>
      </c>
      <c r="BX106" s="420">
        <f t="shared" si="173"/>
        <v>8.829999999999999E-2</v>
      </c>
      <c r="BY106" s="596"/>
      <c r="BZ106" s="595"/>
      <c r="CA106" s="595"/>
      <c r="CB106" s="595"/>
      <c r="CC106" s="595"/>
      <c r="CD106" s="981"/>
      <c r="CE106" s="596"/>
      <c r="CF106" s="595"/>
      <c r="CG106" s="595"/>
      <c r="CH106" s="595"/>
      <c r="CI106" s="595"/>
      <c r="CJ106" s="981"/>
    </row>
    <row r="107" spans="1:88" ht="12.95" customHeight="1">
      <c r="A107" s="273">
        <v>18</v>
      </c>
      <c r="B107" s="275">
        <v>4434</v>
      </c>
      <c r="C107" s="275">
        <v>650025768</v>
      </c>
      <c r="D107" s="275">
        <v>72744481</v>
      </c>
      <c r="E107" s="294" t="s">
        <v>343</v>
      </c>
      <c r="F107" s="295"/>
      <c r="G107" s="296"/>
      <c r="H107" s="296"/>
      <c r="I107" s="465">
        <v>23819862</v>
      </c>
      <c r="J107" s="462">
        <v>17297800</v>
      </c>
      <c r="K107" s="462">
        <v>14262482</v>
      </c>
      <c r="L107" s="462">
        <v>3035318</v>
      </c>
      <c r="M107" s="462">
        <v>182000</v>
      </c>
      <c r="N107" s="462">
        <v>95920</v>
      </c>
      <c r="O107" s="462">
        <v>86080</v>
      </c>
      <c r="P107" s="462">
        <v>5908171</v>
      </c>
      <c r="Q107" s="462">
        <v>172977</v>
      </c>
      <c r="R107" s="462">
        <v>258914</v>
      </c>
      <c r="S107" s="463">
        <v>33.791499999999992</v>
      </c>
      <c r="T107" s="463">
        <v>24.508900000000001</v>
      </c>
      <c r="U107" s="533">
        <v>9.2826000000000022</v>
      </c>
      <c r="V107" s="465">
        <f t="shared" ref="V107:BK107" si="174">SUM(V101:V106)</f>
        <v>91920</v>
      </c>
      <c r="W107" s="462">
        <f t="shared" si="174"/>
        <v>12500</v>
      </c>
      <c r="X107" s="462">
        <f t="shared" si="174"/>
        <v>0</v>
      </c>
      <c r="Y107" s="462">
        <f t="shared" si="174"/>
        <v>0</v>
      </c>
      <c r="Z107" s="462">
        <f t="shared" si="174"/>
        <v>0</v>
      </c>
      <c r="AA107" s="462">
        <f t="shared" si="174"/>
        <v>18027</v>
      </c>
      <c r="AB107" s="462">
        <f t="shared" si="174"/>
        <v>0</v>
      </c>
      <c r="AC107" s="462">
        <f t="shared" si="174"/>
        <v>0</v>
      </c>
      <c r="AD107" s="462">
        <f t="shared" si="174"/>
        <v>0</v>
      </c>
      <c r="AE107" s="462">
        <f t="shared" si="174"/>
        <v>91920</v>
      </c>
      <c r="AF107" s="462">
        <f t="shared" si="174"/>
        <v>30527</v>
      </c>
      <c r="AG107" s="462">
        <f t="shared" si="174"/>
        <v>122447</v>
      </c>
      <c r="AH107" s="462">
        <f t="shared" si="174"/>
        <v>-91920</v>
      </c>
      <c r="AI107" s="462">
        <f t="shared" si="174"/>
        <v>-12500</v>
      </c>
      <c r="AJ107" s="462">
        <f t="shared" si="174"/>
        <v>0</v>
      </c>
      <c r="AK107" s="462">
        <f t="shared" si="174"/>
        <v>0</v>
      </c>
      <c r="AL107" s="462">
        <f t="shared" si="174"/>
        <v>0</v>
      </c>
      <c r="AM107" s="462">
        <f t="shared" si="174"/>
        <v>-91920</v>
      </c>
      <c r="AN107" s="462">
        <f t="shared" si="174"/>
        <v>3420</v>
      </c>
      <c r="AO107" s="462">
        <f t="shared" si="174"/>
        <v>-88500</v>
      </c>
      <c r="AP107" s="462">
        <f t="shared" si="174"/>
        <v>0</v>
      </c>
      <c r="AQ107" s="462">
        <f t="shared" si="174"/>
        <v>33947</v>
      </c>
      <c r="AR107" s="462">
        <f t="shared" si="174"/>
        <v>33947</v>
      </c>
      <c r="AS107" s="462">
        <f t="shared" si="174"/>
        <v>6093</v>
      </c>
      <c r="AT107" s="462">
        <f t="shared" si="174"/>
        <v>1224</v>
      </c>
      <c r="AU107" s="462">
        <f t="shared" si="174"/>
        <v>0</v>
      </c>
      <c r="AV107" s="462">
        <f t="shared" si="174"/>
        <v>0</v>
      </c>
      <c r="AW107" s="462">
        <f t="shared" si="174"/>
        <v>0</v>
      </c>
      <c r="AX107" s="462">
        <f t="shared" si="174"/>
        <v>0</v>
      </c>
      <c r="AY107" s="462">
        <f t="shared" si="174"/>
        <v>41264</v>
      </c>
      <c r="AZ107" s="463">
        <f t="shared" si="174"/>
        <v>0</v>
      </c>
      <c r="BA107" s="463">
        <f t="shared" si="174"/>
        <v>0</v>
      </c>
      <c r="BB107" s="463">
        <f t="shared" si="174"/>
        <v>0</v>
      </c>
      <c r="BC107" s="463">
        <f t="shared" si="174"/>
        <v>0</v>
      </c>
      <c r="BD107" s="463">
        <f t="shared" si="174"/>
        <v>0.06</v>
      </c>
      <c r="BE107" s="463">
        <f t="shared" si="174"/>
        <v>0</v>
      </c>
      <c r="BF107" s="463">
        <f t="shared" si="174"/>
        <v>0</v>
      </c>
      <c r="BG107" s="463">
        <f t="shared" si="174"/>
        <v>0</v>
      </c>
      <c r="BH107" s="463">
        <f t="shared" si="174"/>
        <v>0</v>
      </c>
      <c r="BI107" s="463">
        <f t="shared" si="174"/>
        <v>0</v>
      </c>
      <c r="BJ107" s="463">
        <f t="shared" si="174"/>
        <v>0.06</v>
      </c>
      <c r="BK107" s="290">
        <f t="shared" si="174"/>
        <v>0.06</v>
      </c>
      <c r="BL107" s="776">
        <f t="shared" ref="BL107:CG107" si="175">SUM(BL101:BL106)</f>
        <v>23861126</v>
      </c>
      <c r="BM107" s="462">
        <f t="shared" si="175"/>
        <v>17420247</v>
      </c>
      <c r="BN107" s="462">
        <f t="shared" si="175"/>
        <v>14354402</v>
      </c>
      <c r="BO107" s="462">
        <f t="shared" si="175"/>
        <v>3065845</v>
      </c>
      <c r="BP107" s="462">
        <f t="shared" si="175"/>
        <v>93500</v>
      </c>
      <c r="BQ107" s="462">
        <f t="shared" si="175"/>
        <v>4000</v>
      </c>
      <c r="BR107" s="462">
        <f t="shared" si="175"/>
        <v>89500</v>
      </c>
      <c r="BS107" s="462">
        <f t="shared" si="175"/>
        <v>5914264</v>
      </c>
      <c r="BT107" s="462">
        <f t="shared" si="175"/>
        <v>174201</v>
      </c>
      <c r="BU107" s="462">
        <f t="shared" si="175"/>
        <v>258914</v>
      </c>
      <c r="BV107" s="463">
        <f t="shared" si="175"/>
        <v>33.851499999999994</v>
      </c>
      <c r="BW107" s="463">
        <f t="shared" si="175"/>
        <v>24.508900000000001</v>
      </c>
      <c r="BX107" s="290">
        <f t="shared" si="175"/>
        <v>9.3426000000000009</v>
      </c>
      <c r="BY107" s="820">
        <f t="shared" si="175"/>
        <v>0</v>
      </c>
      <c r="BZ107" s="716">
        <f t="shared" si="175"/>
        <v>0</v>
      </c>
      <c r="CA107" s="716">
        <f t="shared" si="175"/>
        <v>0</v>
      </c>
      <c r="CB107" s="716">
        <f t="shared" si="175"/>
        <v>0</v>
      </c>
      <c r="CC107" s="716">
        <f t="shared" si="175"/>
        <v>0</v>
      </c>
      <c r="CD107" s="821">
        <f t="shared" si="175"/>
        <v>0</v>
      </c>
      <c r="CE107" s="982">
        <f t="shared" si="175"/>
        <v>808648</v>
      </c>
      <c r="CF107" s="982">
        <f t="shared" si="175"/>
        <v>555395</v>
      </c>
      <c r="CG107" s="982">
        <f t="shared" si="175"/>
        <v>187724</v>
      </c>
      <c r="CH107" s="982">
        <f t="shared" ref="CH107:CJ107" si="176">SUM(CH101:CH106)</f>
        <v>5554</v>
      </c>
      <c r="CI107" s="982">
        <f t="shared" si="176"/>
        <v>59975</v>
      </c>
      <c r="CJ107" s="935">
        <f t="shared" si="176"/>
        <v>1.7046000000000001</v>
      </c>
    </row>
    <row r="108" spans="1:88" ht="12.95" customHeight="1">
      <c r="A108" s="280">
        <v>19</v>
      </c>
      <c r="B108" s="281">
        <v>4441</v>
      </c>
      <c r="C108" s="281">
        <v>600074668</v>
      </c>
      <c r="D108" s="281">
        <v>46750495</v>
      </c>
      <c r="E108" s="297" t="s">
        <v>344</v>
      </c>
      <c r="F108" s="298">
        <v>3111</v>
      </c>
      <c r="G108" s="284" t="s">
        <v>304</v>
      </c>
      <c r="H108" s="284" t="s">
        <v>271</v>
      </c>
      <c r="I108" s="563">
        <v>4620151</v>
      </c>
      <c r="J108" s="414">
        <v>3411685</v>
      </c>
      <c r="K108" s="414">
        <v>3147058</v>
      </c>
      <c r="L108" s="414">
        <v>264627</v>
      </c>
      <c r="M108" s="414">
        <v>0</v>
      </c>
      <c r="N108" s="414">
        <v>0</v>
      </c>
      <c r="O108" s="414">
        <v>0</v>
      </c>
      <c r="P108" s="68">
        <v>1153149</v>
      </c>
      <c r="Q108" s="68">
        <v>34117</v>
      </c>
      <c r="R108" s="414">
        <v>21200</v>
      </c>
      <c r="S108" s="415">
        <v>6.7054</v>
      </c>
      <c r="T108" s="416">
        <v>5.6452</v>
      </c>
      <c r="U108" s="762">
        <v>1.0602</v>
      </c>
      <c r="V108" s="423">
        <f t="shared" si="110"/>
        <v>0</v>
      </c>
      <c r="W108" s="417">
        <f t="shared" si="110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12"/>
        <v>0</v>
      </c>
      <c r="AF108" s="417">
        <f t="shared" si="113"/>
        <v>0</v>
      </c>
      <c r="AG108" s="417">
        <f t="shared" si="114"/>
        <v>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15"/>
        <v>0</v>
      </c>
      <c r="AN108" s="417">
        <f t="shared" si="116"/>
        <v>0</v>
      </c>
      <c r="AO108" s="417">
        <f t="shared" si="117"/>
        <v>0</v>
      </c>
      <c r="AP108" s="417">
        <f t="shared" si="111"/>
        <v>0</v>
      </c>
      <c r="AQ108" s="417">
        <f t="shared" si="111"/>
        <v>0</v>
      </c>
      <c r="AR108" s="417">
        <f t="shared" si="118"/>
        <v>0</v>
      </c>
      <c r="AS108" s="68">
        <f t="shared" si="119"/>
        <v>0</v>
      </c>
      <c r="AT108" s="68">
        <f t="shared" si="120"/>
        <v>0</v>
      </c>
      <c r="AU108" s="417">
        <v>0</v>
      </c>
      <c r="AV108" s="417">
        <v>0</v>
      </c>
      <c r="AW108" s="417">
        <v>0</v>
      </c>
      <c r="AX108" s="417">
        <f t="shared" si="121"/>
        <v>0</v>
      </c>
      <c r="AY108" s="417">
        <f t="shared" si="122"/>
        <v>0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23"/>
        <v>0</v>
      </c>
      <c r="BJ108" s="418">
        <f t="shared" si="124"/>
        <v>0</v>
      </c>
      <c r="BK108" s="420">
        <f t="shared" si="125"/>
        <v>0</v>
      </c>
      <c r="BL108" s="772">
        <f t="shared" ref="BL108:BL113" si="177">I108+AY108</f>
        <v>4620151</v>
      </c>
      <c r="BM108" s="417">
        <f t="shared" ref="BM108:BM113" si="178">J108+AG108</f>
        <v>3411685</v>
      </c>
      <c r="BN108" s="417">
        <f t="shared" ref="BN108:BO113" si="179">K108+AE108</f>
        <v>3147058</v>
      </c>
      <c r="BO108" s="417">
        <f t="shared" si="179"/>
        <v>264627</v>
      </c>
      <c r="BP108" s="417">
        <f t="shared" ref="BP108:BP113" si="180">M108+AO108</f>
        <v>0</v>
      </c>
      <c r="BQ108" s="417">
        <f t="shared" ref="BQ108:BR113" si="181">N108+AM108</f>
        <v>0</v>
      </c>
      <c r="BR108" s="417">
        <f t="shared" si="181"/>
        <v>0</v>
      </c>
      <c r="BS108" s="417">
        <f t="shared" ref="BS108:BT113" si="182">P108+AS108</f>
        <v>1153149</v>
      </c>
      <c r="BT108" s="417">
        <f t="shared" si="182"/>
        <v>34117</v>
      </c>
      <c r="BU108" s="417">
        <f t="shared" ref="BU108:BU113" si="183">R108+AX108</f>
        <v>21200</v>
      </c>
      <c r="BV108" s="418">
        <f t="shared" ref="BV108:BV113" si="184">S108+BK108</f>
        <v>6.7054</v>
      </c>
      <c r="BW108" s="418">
        <f t="shared" ref="BW108:BX113" si="185">T108+BI108</f>
        <v>5.6452</v>
      </c>
      <c r="BX108" s="420">
        <f t="shared" si="185"/>
        <v>1.0602</v>
      </c>
      <c r="BY108" s="596"/>
      <c r="BZ108" s="595"/>
      <c r="CA108" s="595"/>
      <c r="CB108" s="595"/>
      <c r="CC108" s="595"/>
      <c r="CD108" s="981"/>
      <c r="CE108" s="596">
        <v>121514</v>
      </c>
      <c r="CF108" s="595">
        <v>84915</v>
      </c>
      <c r="CG108" s="595">
        <v>28701</v>
      </c>
      <c r="CH108" s="595">
        <v>849</v>
      </c>
      <c r="CI108" s="595">
        <v>7049</v>
      </c>
      <c r="CJ108" s="981">
        <v>0.3402</v>
      </c>
    </row>
    <row r="109" spans="1:88" ht="12.95" customHeight="1">
      <c r="A109" s="280">
        <v>19</v>
      </c>
      <c r="B109" s="281">
        <v>4441</v>
      </c>
      <c r="C109" s="281">
        <v>600074668</v>
      </c>
      <c r="D109" s="281">
        <v>46750495</v>
      </c>
      <c r="E109" s="297" t="s">
        <v>344</v>
      </c>
      <c r="F109" s="298">
        <v>3117</v>
      </c>
      <c r="G109" s="284" t="s">
        <v>308</v>
      </c>
      <c r="H109" s="284" t="s">
        <v>271</v>
      </c>
      <c r="I109" s="563">
        <v>4413027</v>
      </c>
      <c r="J109" s="414">
        <v>3206043</v>
      </c>
      <c r="K109" s="414">
        <v>2639286</v>
      </c>
      <c r="L109" s="414">
        <v>566757</v>
      </c>
      <c r="M109" s="414">
        <v>12000</v>
      </c>
      <c r="N109" s="414">
        <v>0</v>
      </c>
      <c r="O109" s="414">
        <v>12000</v>
      </c>
      <c r="P109" s="68">
        <v>1087699</v>
      </c>
      <c r="Q109" s="68">
        <v>32060</v>
      </c>
      <c r="R109" s="414">
        <v>75225</v>
      </c>
      <c r="S109" s="415">
        <v>5.5667</v>
      </c>
      <c r="T109" s="416">
        <v>4.0454999999999997</v>
      </c>
      <c r="U109" s="762">
        <v>1.5211999999999999</v>
      </c>
      <c r="V109" s="423">
        <f t="shared" si="110"/>
        <v>0</v>
      </c>
      <c r="W109" s="417">
        <f t="shared" si="110"/>
        <v>-45596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12"/>
        <v>0</v>
      </c>
      <c r="AF109" s="417">
        <f t="shared" si="113"/>
        <v>-45596</v>
      </c>
      <c r="AG109" s="417">
        <f t="shared" si="114"/>
        <v>-45596</v>
      </c>
      <c r="AH109" s="417">
        <v>0</v>
      </c>
      <c r="AI109" s="417">
        <v>45596</v>
      </c>
      <c r="AJ109" s="417">
        <v>0</v>
      </c>
      <c r="AK109" s="417">
        <v>0</v>
      </c>
      <c r="AL109" s="417">
        <v>0</v>
      </c>
      <c r="AM109" s="417">
        <f t="shared" si="115"/>
        <v>0</v>
      </c>
      <c r="AN109" s="417">
        <f t="shared" si="116"/>
        <v>45596</v>
      </c>
      <c r="AO109" s="417">
        <f t="shared" si="117"/>
        <v>45596</v>
      </c>
      <c r="AP109" s="417">
        <f t="shared" si="111"/>
        <v>0</v>
      </c>
      <c r="AQ109" s="417">
        <f t="shared" si="111"/>
        <v>0</v>
      </c>
      <c r="AR109" s="417">
        <f t="shared" si="118"/>
        <v>0</v>
      </c>
      <c r="AS109" s="68">
        <f t="shared" si="119"/>
        <v>0</v>
      </c>
      <c r="AT109" s="68">
        <f t="shared" si="120"/>
        <v>-456</v>
      </c>
      <c r="AU109" s="417">
        <v>0</v>
      </c>
      <c r="AV109" s="417">
        <v>0</v>
      </c>
      <c r="AW109" s="417">
        <v>0</v>
      </c>
      <c r="AX109" s="417">
        <f t="shared" si="121"/>
        <v>0</v>
      </c>
      <c r="AY109" s="417">
        <f t="shared" si="122"/>
        <v>-456</v>
      </c>
      <c r="AZ109" s="418">
        <v>0</v>
      </c>
      <c r="BA109" s="418">
        <v>-0.12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23"/>
        <v>0</v>
      </c>
      <c r="BJ109" s="418">
        <f t="shared" si="124"/>
        <v>-0.12</v>
      </c>
      <c r="BK109" s="420">
        <f t="shared" si="125"/>
        <v>-0.12</v>
      </c>
      <c r="BL109" s="772">
        <f t="shared" si="177"/>
        <v>4412571</v>
      </c>
      <c r="BM109" s="417">
        <f t="shared" si="178"/>
        <v>3160447</v>
      </c>
      <c r="BN109" s="417">
        <f t="shared" si="179"/>
        <v>2639286</v>
      </c>
      <c r="BO109" s="417">
        <f t="shared" si="179"/>
        <v>521161</v>
      </c>
      <c r="BP109" s="417">
        <f t="shared" si="180"/>
        <v>57596</v>
      </c>
      <c r="BQ109" s="417">
        <f t="shared" si="181"/>
        <v>0</v>
      </c>
      <c r="BR109" s="417">
        <f t="shared" si="181"/>
        <v>57596</v>
      </c>
      <c r="BS109" s="417">
        <f t="shared" si="182"/>
        <v>1087699</v>
      </c>
      <c r="BT109" s="417">
        <f t="shared" si="182"/>
        <v>31604</v>
      </c>
      <c r="BU109" s="417">
        <f t="shared" si="183"/>
        <v>75225</v>
      </c>
      <c r="BV109" s="418">
        <f t="shared" si="184"/>
        <v>5.4466999999999999</v>
      </c>
      <c r="BW109" s="418">
        <f t="shared" si="185"/>
        <v>4.0454999999999997</v>
      </c>
      <c r="BX109" s="420">
        <f t="shared" si="185"/>
        <v>1.4011999999999998</v>
      </c>
      <c r="BY109" s="596"/>
      <c r="BZ109" s="595"/>
      <c r="CA109" s="595"/>
      <c r="CB109" s="595"/>
      <c r="CC109" s="595"/>
      <c r="CD109" s="981"/>
      <c r="CE109" s="596">
        <v>263531</v>
      </c>
      <c r="CF109" s="595">
        <v>185736</v>
      </c>
      <c r="CG109" s="595">
        <v>62779</v>
      </c>
      <c r="CH109" s="595">
        <v>1858</v>
      </c>
      <c r="CI109" s="595">
        <v>13158</v>
      </c>
      <c r="CJ109" s="981">
        <v>0.49780000000000002</v>
      </c>
    </row>
    <row r="110" spans="1:88" ht="12.95" customHeight="1">
      <c r="A110" s="280">
        <v>19</v>
      </c>
      <c r="B110" s="281">
        <v>4441</v>
      </c>
      <c r="C110" s="281">
        <v>600074668</v>
      </c>
      <c r="D110" s="281">
        <v>46750495</v>
      </c>
      <c r="E110" s="297" t="s">
        <v>344</v>
      </c>
      <c r="F110" s="298">
        <v>3117</v>
      </c>
      <c r="G110" s="284" t="s">
        <v>298</v>
      </c>
      <c r="H110" s="284" t="s">
        <v>272</v>
      </c>
      <c r="I110" s="563">
        <v>541495</v>
      </c>
      <c r="J110" s="414">
        <v>401702</v>
      </c>
      <c r="K110" s="414">
        <v>401702</v>
      </c>
      <c r="L110" s="414">
        <v>0</v>
      </c>
      <c r="M110" s="414">
        <v>0</v>
      </c>
      <c r="N110" s="414">
        <v>0</v>
      </c>
      <c r="O110" s="414">
        <v>0</v>
      </c>
      <c r="P110" s="68">
        <v>135776</v>
      </c>
      <c r="Q110" s="68">
        <v>4017</v>
      </c>
      <c r="R110" s="414">
        <v>0</v>
      </c>
      <c r="S110" s="415">
        <v>1.08</v>
      </c>
      <c r="T110" s="416">
        <v>1.08</v>
      </c>
      <c r="U110" s="762">
        <v>0</v>
      </c>
      <c r="V110" s="423">
        <f t="shared" si="110"/>
        <v>0</v>
      </c>
      <c r="W110" s="417">
        <f t="shared" si="110"/>
        <v>0</v>
      </c>
      <c r="X110" s="417">
        <v>43610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12"/>
        <v>43610</v>
      </c>
      <c r="AF110" s="417">
        <f t="shared" si="113"/>
        <v>0</v>
      </c>
      <c r="AG110" s="417">
        <f t="shared" si="114"/>
        <v>43610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15"/>
        <v>0</v>
      </c>
      <c r="AN110" s="417">
        <f t="shared" si="116"/>
        <v>0</v>
      </c>
      <c r="AO110" s="417">
        <f t="shared" si="117"/>
        <v>0</v>
      </c>
      <c r="AP110" s="417">
        <f t="shared" si="111"/>
        <v>43610</v>
      </c>
      <c r="AQ110" s="417">
        <f t="shared" si="111"/>
        <v>0</v>
      </c>
      <c r="AR110" s="417">
        <f t="shared" si="118"/>
        <v>43610</v>
      </c>
      <c r="AS110" s="68">
        <f t="shared" si="119"/>
        <v>14740</v>
      </c>
      <c r="AT110" s="68">
        <f t="shared" si="120"/>
        <v>436</v>
      </c>
      <c r="AU110" s="417">
        <v>0</v>
      </c>
      <c r="AV110" s="417">
        <v>0</v>
      </c>
      <c r="AW110" s="417">
        <v>0</v>
      </c>
      <c r="AX110" s="417">
        <f t="shared" si="121"/>
        <v>0</v>
      </c>
      <c r="AY110" s="417">
        <f t="shared" si="122"/>
        <v>58786</v>
      </c>
      <c r="AZ110" s="418">
        <v>0</v>
      </c>
      <c r="BA110" s="418">
        <v>0</v>
      </c>
      <c r="BB110" s="418">
        <v>0.12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23"/>
        <v>0.12</v>
      </c>
      <c r="BJ110" s="418">
        <f t="shared" si="124"/>
        <v>0</v>
      </c>
      <c r="BK110" s="420">
        <f t="shared" si="125"/>
        <v>0.12</v>
      </c>
      <c r="BL110" s="772">
        <f t="shared" si="177"/>
        <v>600281</v>
      </c>
      <c r="BM110" s="417">
        <f t="shared" si="178"/>
        <v>445312</v>
      </c>
      <c r="BN110" s="417">
        <f t="shared" si="179"/>
        <v>445312</v>
      </c>
      <c r="BO110" s="417">
        <f t="shared" si="179"/>
        <v>0</v>
      </c>
      <c r="BP110" s="417">
        <f t="shared" si="180"/>
        <v>0</v>
      </c>
      <c r="BQ110" s="417">
        <f t="shared" si="181"/>
        <v>0</v>
      </c>
      <c r="BR110" s="417">
        <f t="shared" si="181"/>
        <v>0</v>
      </c>
      <c r="BS110" s="417">
        <f t="shared" si="182"/>
        <v>150516</v>
      </c>
      <c r="BT110" s="417">
        <f t="shared" si="182"/>
        <v>4453</v>
      </c>
      <c r="BU110" s="417">
        <f t="shared" si="183"/>
        <v>0</v>
      </c>
      <c r="BV110" s="418">
        <f t="shared" si="184"/>
        <v>1.2000000000000002</v>
      </c>
      <c r="BW110" s="418">
        <f t="shared" si="185"/>
        <v>1.2000000000000002</v>
      </c>
      <c r="BX110" s="420">
        <f t="shared" si="185"/>
        <v>0</v>
      </c>
      <c r="BY110" s="596"/>
      <c r="BZ110" s="595"/>
      <c r="CA110" s="595"/>
      <c r="CB110" s="595"/>
      <c r="CC110" s="595"/>
      <c r="CD110" s="981"/>
      <c r="CE110" s="596"/>
      <c r="CF110" s="595"/>
      <c r="CG110" s="595"/>
      <c r="CH110" s="595"/>
      <c r="CI110" s="595"/>
      <c r="CJ110" s="981"/>
    </row>
    <row r="111" spans="1:88" ht="12.95" customHeight="1">
      <c r="A111" s="280">
        <v>19</v>
      </c>
      <c r="B111" s="281">
        <v>4441</v>
      </c>
      <c r="C111" s="281">
        <v>600074668</v>
      </c>
      <c r="D111" s="281">
        <v>46750495</v>
      </c>
      <c r="E111" s="297" t="s">
        <v>344</v>
      </c>
      <c r="F111" s="298">
        <v>3141</v>
      </c>
      <c r="G111" s="284" t="s">
        <v>294</v>
      </c>
      <c r="H111" s="284" t="s">
        <v>272</v>
      </c>
      <c r="I111" s="563">
        <v>1200078</v>
      </c>
      <c r="J111" s="414">
        <v>886562</v>
      </c>
      <c r="K111" s="414">
        <v>0</v>
      </c>
      <c r="L111" s="414">
        <v>886562</v>
      </c>
      <c r="M111" s="414">
        <v>0</v>
      </c>
      <c r="N111" s="414">
        <v>0</v>
      </c>
      <c r="O111" s="414">
        <v>0</v>
      </c>
      <c r="P111" s="68">
        <v>299658</v>
      </c>
      <c r="Q111" s="68">
        <v>8866</v>
      </c>
      <c r="R111" s="414">
        <v>4992</v>
      </c>
      <c r="S111" s="415">
        <v>2.6633</v>
      </c>
      <c r="T111" s="416">
        <v>0</v>
      </c>
      <c r="U111" s="762">
        <v>2.6633</v>
      </c>
      <c r="V111" s="423">
        <f t="shared" si="110"/>
        <v>0</v>
      </c>
      <c r="W111" s="417">
        <f t="shared" si="110"/>
        <v>0</v>
      </c>
      <c r="X111" s="417">
        <v>0</v>
      </c>
      <c r="Y111" s="417">
        <v>0</v>
      </c>
      <c r="Z111" s="417">
        <v>0</v>
      </c>
      <c r="AA111" s="417">
        <v>15692</v>
      </c>
      <c r="AB111" s="417">
        <v>0</v>
      </c>
      <c r="AC111" s="417">
        <v>0</v>
      </c>
      <c r="AD111" s="417">
        <v>0</v>
      </c>
      <c r="AE111" s="417">
        <f t="shared" si="112"/>
        <v>0</v>
      </c>
      <c r="AF111" s="417">
        <f t="shared" si="113"/>
        <v>15692</v>
      </c>
      <c r="AG111" s="417">
        <f t="shared" si="114"/>
        <v>15692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15"/>
        <v>0</v>
      </c>
      <c r="AN111" s="417">
        <f t="shared" si="116"/>
        <v>0</v>
      </c>
      <c r="AO111" s="417">
        <f t="shared" si="117"/>
        <v>0</v>
      </c>
      <c r="AP111" s="417">
        <f t="shared" si="111"/>
        <v>0</v>
      </c>
      <c r="AQ111" s="417">
        <f t="shared" si="111"/>
        <v>15692</v>
      </c>
      <c r="AR111" s="417">
        <f t="shared" si="118"/>
        <v>15692</v>
      </c>
      <c r="AS111" s="68">
        <f t="shared" si="119"/>
        <v>5304</v>
      </c>
      <c r="AT111" s="68">
        <f t="shared" si="120"/>
        <v>157</v>
      </c>
      <c r="AU111" s="417">
        <v>0</v>
      </c>
      <c r="AV111" s="417">
        <v>0</v>
      </c>
      <c r="AW111" s="417">
        <v>0</v>
      </c>
      <c r="AX111" s="417">
        <f t="shared" si="121"/>
        <v>0</v>
      </c>
      <c r="AY111" s="417">
        <f t="shared" si="122"/>
        <v>21153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0.04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23"/>
        <v>0</v>
      </c>
      <c r="BJ111" s="418">
        <f t="shared" si="124"/>
        <v>0.04</v>
      </c>
      <c r="BK111" s="420">
        <f t="shared" si="125"/>
        <v>0.04</v>
      </c>
      <c r="BL111" s="772">
        <f t="shared" si="177"/>
        <v>1221231</v>
      </c>
      <c r="BM111" s="417">
        <f t="shared" si="178"/>
        <v>902254</v>
      </c>
      <c r="BN111" s="417">
        <f t="shared" si="179"/>
        <v>0</v>
      </c>
      <c r="BO111" s="417">
        <f t="shared" si="179"/>
        <v>902254</v>
      </c>
      <c r="BP111" s="417">
        <f t="shared" si="180"/>
        <v>0</v>
      </c>
      <c r="BQ111" s="417">
        <f t="shared" si="181"/>
        <v>0</v>
      </c>
      <c r="BR111" s="417">
        <f t="shared" si="181"/>
        <v>0</v>
      </c>
      <c r="BS111" s="417">
        <f t="shared" si="182"/>
        <v>304962</v>
      </c>
      <c r="BT111" s="417">
        <f t="shared" si="182"/>
        <v>9023</v>
      </c>
      <c r="BU111" s="417">
        <f t="shared" si="183"/>
        <v>4992</v>
      </c>
      <c r="BV111" s="418">
        <f t="shared" si="184"/>
        <v>2.7033</v>
      </c>
      <c r="BW111" s="418">
        <f t="shared" si="185"/>
        <v>0</v>
      </c>
      <c r="BX111" s="420">
        <f t="shared" si="185"/>
        <v>2.7033</v>
      </c>
      <c r="BY111" s="596"/>
      <c r="BZ111" s="595"/>
      <c r="CA111" s="595"/>
      <c r="CB111" s="595"/>
      <c r="CC111" s="595"/>
      <c r="CD111" s="981"/>
      <c r="CE111" s="596"/>
      <c r="CF111" s="595"/>
      <c r="CG111" s="595"/>
      <c r="CH111" s="595"/>
      <c r="CI111" s="595"/>
      <c r="CJ111" s="981"/>
    </row>
    <row r="112" spans="1:88" ht="12.95" customHeight="1">
      <c r="A112" s="280">
        <v>19</v>
      </c>
      <c r="B112" s="281">
        <v>4441</v>
      </c>
      <c r="C112" s="281">
        <v>600074668</v>
      </c>
      <c r="D112" s="281">
        <v>46750495</v>
      </c>
      <c r="E112" s="297" t="s">
        <v>344</v>
      </c>
      <c r="F112" s="298">
        <v>3143</v>
      </c>
      <c r="G112" s="284" t="s">
        <v>595</v>
      </c>
      <c r="H112" s="284" t="s">
        <v>271</v>
      </c>
      <c r="I112" s="563">
        <v>1250701</v>
      </c>
      <c r="J112" s="414">
        <v>927820</v>
      </c>
      <c r="K112" s="414">
        <v>927820</v>
      </c>
      <c r="L112" s="414">
        <v>0</v>
      </c>
      <c r="M112" s="414">
        <v>0</v>
      </c>
      <c r="N112" s="414">
        <v>0</v>
      </c>
      <c r="O112" s="414">
        <v>0</v>
      </c>
      <c r="P112" s="68">
        <v>313603</v>
      </c>
      <c r="Q112" s="68">
        <v>9278</v>
      </c>
      <c r="R112" s="414">
        <v>0</v>
      </c>
      <c r="S112" s="415">
        <v>1.8929</v>
      </c>
      <c r="T112" s="416">
        <v>1.8929</v>
      </c>
      <c r="U112" s="762">
        <v>0</v>
      </c>
      <c r="V112" s="423">
        <f t="shared" si="110"/>
        <v>0</v>
      </c>
      <c r="W112" s="417">
        <f t="shared" si="110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112"/>
        <v>0</v>
      </c>
      <c r="AF112" s="417">
        <f t="shared" si="113"/>
        <v>0</v>
      </c>
      <c r="AG112" s="417">
        <f t="shared" si="114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15"/>
        <v>0</v>
      </c>
      <c r="AN112" s="417">
        <f t="shared" si="116"/>
        <v>0</v>
      </c>
      <c r="AO112" s="417">
        <f t="shared" si="117"/>
        <v>0</v>
      </c>
      <c r="AP112" s="417">
        <f t="shared" si="111"/>
        <v>0</v>
      </c>
      <c r="AQ112" s="417">
        <f t="shared" si="111"/>
        <v>0</v>
      </c>
      <c r="AR112" s="417">
        <f t="shared" si="118"/>
        <v>0</v>
      </c>
      <c r="AS112" s="68">
        <f t="shared" si="119"/>
        <v>0</v>
      </c>
      <c r="AT112" s="68">
        <f t="shared" si="120"/>
        <v>0</v>
      </c>
      <c r="AU112" s="417">
        <v>0</v>
      </c>
      <c r="AV112" s="417">
        <v>0</v>
      </c>
      <c r="AW112" s="417">
        <v>0</v>
      </c>
      <c r="AX112" s="417">
        <f t="shared" si="121"/>
        <v>0</v>
      </c>
      <c r="AY112" s="417">
        <f t="shared" si="122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23"/>
        <v>0</v>
      </c>
      <c r="BJ112" s="418">
        <f t="shared" si="124"/>
        <v>0</v>
      </c>
      <c r="BK112" s="420">
        <f t="shared" si="125"/>
        <v>0</v>
      </c>
      <c r="BL112" s="772">
        <f t="shared" si="177"/>
        <v>1250701</v>
      </c>
      <c r="BM112" s="417">
        <f t="shared" si="178"/>
        <v>927820</v>
      </c>
      <c r="BN112" s="417">
        <f t="shared" si="179"/>
        <v>927820</v>
      </c>
      <c r="BO112" s="417">
        <f t="shared" si="179"/>
        <v>0</v>
      </c>
      <c r="BP112" s="417">
        <f t="shared" si="180"/>
        <v>0</v>
      </c>
      <c r="BQ112" s="417">
        <f t="shared" si="181"/>
        <v>0</v>
      </c>
      <c r="BR112" s="417">
        <f t="shared" si="181"/>
        <v>0</v>
      </c>
      <c r="BS112" s="417">
        <f t="shared" si="182"/>
        <v>313603</v>
      </c>
      <c r="BT112" s="417">
        <f t="shared" si="182"/>
        <v>9278</v>
      </c>
      <c r="BU112" s="417">
        <f t="shared" si="183"/>
        <v>0</v>
      </c>
      <c r="BV112" s="418">
        <f t="shared" si="184"/>
        <v>1.8929</v>
      </c>
      <c r="BW112" s="418">
        <f t="shared" si="185"/>
        <v>1.8929</v>
      </c>
      <c r="BX112" s="420">
        <f t="shared" si="185"/>
        <v>0</v>
      </c>
      <c r="BY112" s="596"/>
      <c r="BZ112" s="595"/>
      <c r="CA112" s="595"/>
      <c r="CB112" s="595"/>
      <c r="CC112" s="595"/>
      <c r="CD112" s="981"/>
      <c r="CE112" s="596"/>
      <c r="CF112" s="595"/>
      <c r="CG112" s="595"/>
      <c r="CH112" s="595"/>
      <c r="CI112" s="595"/>
      <c r="CJ112" s="981"/>
    </row>
    <row r="113" spans="1:88" ht="12.95" customHeight="1">
      <c r="A113" s="280">
        <v>19</v>
      </c>
      <c r="B113" s="281">
        <v>4441</v>
      </c>
      <c r="C113" s="281">
        <v>600074668</v>
      </c>
      <c r="D113" s="281">
        <v>46750495</v>
      </c>
      <c r="E113" s="297" t="s">
        <v>344</v>
      </c>
      <c r="F113" s="298">
        <v>3143</v>
      </c>
      <c r="G113" s="284" t="s">
        <v>596</v>
      </c>
      <c r="H113" s="284" t="s">
        <v>272</v>
      </c>
      <c r="I113" s="563">
        <v>33041</v>
      </c>
      <c r="J113" s="414">
        <v>23650</v>
      </c>
      <c r="K113" s="414">
        <v>0</v>
      </c>
      <c r="L113" s="414">
        <v>23650</v>
      </c>
      <c r="M113" s="414">
        <v>0</v>
      </c>
      <c r="N113" s="414">
        <v>0</v>
      </c>
      <c r="O113" s="414">
        <v>0</v>
      </c>
      <c r="P113" s="68">
        <v>7993</v>
      </c>
      <c r="Q113" s="68">
        <v>237</v>
      </c>
      <c r="R113" s="414">
        <v>1161</v>
      </c>
      <c r="S113" s="415">
        <v>8.9700000000000002E-2</v>
      </c>
      <c r="T113" s="416">
        <v>0</v>
      </c>
      <c r="U113" s="762">
        <v>8.9700000000000002E-2</v>
      </c>
      <c r="V113" s="423">
        <f t="shared" si="110"/>
        <v>0</v>
      </c>
      <c r="W113" s="417">
        <f t="shared" si="110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12"/>
        <v>0</v>
      </c>
      <c r="AF113" s="417">
        <f t="shared" si="113"/>
        <v>0</v>
      </c>
      <c r="AG113" s="417">
        <f t="shared" si="114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15"/>
        <v>0</v>
      </c>
      <c r="AN113" s="417">
        <f t="shared" si="116"/>
        <v>0</v>
      </c>
      <c r="AO113" s="417">
        <f t="shared" si="117"/>
        <v>0</v>
      </c>
      <c r="AP113" s="417">
        <f t="shared" si="111"/>
        <v>0</v>
      </c>
      <c r="AQ113" s="417">
        <f t="shared" si="111"/>
        <v>0</v>
      </c>
      <c r="AR113" s="417">
        <f t="shared" si="118"/>
        <v>0</v>
      </c>
      <c r="AS113" s="68">
        <f t="shared" si="119"/>
        <v>0</v>
      </c>
      <c r="AT113" s="68">
        <f t="shared" si="120"/>
        <v>0</v>
      </c>
      <c r="AU113" s="417">
        <v>0</v>
      </c>
      <c r="AV113" s="417">
        <v>0</v>
      </c>
      <c r="AW113" s="417">
        <v>0</v>
      </c>
      <c r="AX113" s="417">
        <f t="shared" si="121"/>
        <v>0</v>
      </c>
      <c r="AY113" s="417">
        <f t="shared" si="122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23"/>
        <v>0</v>
      </c>
      <c r="BJ113" s="418">
        <f t="shared" si="124"/>
        <v>0</v>
      </c>
      <c r="BK113" s="420">
        <f t="shared" si="125"/>
        <v>0</v>
      </c>
      <c r="BL113" s="772">
        <f t="shared" si="177"/>
        <v>33041</v>
      </c>
      <c r="BM113" s="417">
        <f t="shared" si="178"/>
        <v>23650</v>
      </c>
      <c r="BN113" s="417">
        <f t="shared" si="179"/>
        <v>0</v>
      </c>
      <c r="BO113" s="417">
        <f t="shared" si="179"/>
        <v>23650</v>
      </c>
      <c r="BP113" s="417">
        <f t="shared" si="180"/>
        <v>0</v>
      </c>
      <c r="BQ113" s="417">
        <f t="shared" si="181"/>
        <v>0</v>
      </c>
      <c r="BR113" s="417">
        <f t="shared" si="181"/>
        <v>0</v>
      </c>
      <c r="BS113" s="417">
        <f t="shared" si="182"/>
        <v>7993</v>
      </c>
      <c r="BT113" s="417">
        <f t="shared" si="182"/>
        <v>237</v>
      </c>
      <c r="BU113" s="417">
        <f t="shared" si="183"/>
        <v>1161</v>
      </c>
      <c r="BV113" s="418">
        <f t="shared" si="184"/>
        <v>8.9700000000000002E-2</v>
      </c>
      <c r="BW113" s="418">
        <f t="shared" si="185"/>
        <v>0</v>
      </c>
      <c r="BX113" s="420">
        <f t="shared" si="185"/>
        <v>8.9700000000000002E-2</v>
      </c>
      <c r="BY113" s="596"/>
      <c r="BZ113" s="595"/>
      <c r="CA113" s="595"/>
      <c r="CB113" s="595"/>
      <c r="CC113" s="595"/>
      <c r="CD113" s="981"/>
      <c r="CE113" s="596"/>
      <c r="CF113" s="595"/>
      <c r="CG113" s="595"/>
      <c r="CH113" s="595"/>
      <c r="CI113" s="595"/>
      <c r="CJ113" s="981"/>
    </row>
    <row r="114" spans="1:88" ht="12.95" customHeight="1">
      <c r="A114" s="273">
        <v>19</v>
      </c>
      <c r="B114" s="275">
        <v>4441</v>
      </c>
      <c r="C114" s="275">
        <v>600074668</v>
      </c>
      <c r="D114" s="275">
        <v>46750495</v>
      </c>
      <c r="E114" s="294" t="s">
        <v>345</v>
      </c>
      <c r="F114" s="295"/>
      <c r="G114" s="296"/>
      <c r="H114" s="296"/>
      <c r="I114" s="465">
        <v>12058493</v>
      </c>
      <c r="J114" s="462">
        <v>8857462</v>
      </c>
      <c r="K114" s="462">
        <v>7115866</v>
      </c>
      <c r="L114" s="462">
        <v>1741596</v>
      </c>
      <c r="M114" s="462">
        <v>12000</v>
      </c>
      <c r="N114" s="462">
        <v>0</v>
      </c>
      <c r="O114" s="462">
        <v>12000</v>
      </c>
      <c r="P114" s="462">
        <v>2997878</v>
      </c>
      <c r="Q114" s="462">
        <v>88575</v>
      </c>
      <c r="R114" s="462">
        <v>102578</v>
      </c>
      <c r="S114" s="463">
        <v>17.998000000000001</v>
      </c>
      <c r="T114" s="463">
        <v>12.663599999999999</v>
      </c>
      <c r="U114" s="533">
        <v>5.3343999999999996</v>
      </c>
      <c r="V114" s="465">
        <f t="shared" ref="V114:BK114" si="186">SUM(V108:V113)</f>
        <v>0</v>
      </c>
      <c r="W114" s="462">
        <f t="shared" si="186"/>
        <v>-45596</v>
      </c>
      <c r="X114" s="462">
        <f t="shared" si="186"/>
        <v>43610</v>
      </c>
      <c r="Y114" s="462">
        <f t="shared" si="186"/>
        <v>0</v>
      </c>
      <c r="Z114" s="462">
        <f t="shared" si="186"/>
        <v>0</v>
      </c>
      <c r="AA114" s="462">
        <f t="shared" si="186"/>
        <v>15692</v>
      </c>
      <c r="AB114" s="462">
        <f t="shared" si="186"/>
        <v>0</v>
      </c>
      <c r="AC114" s="462">
        <f t="shared" si="186"/>
        <v>0</v>
      </c>
      <c r="AD114" s="462">
        <f t="shared" si="186"/>
        <v>0</v>
      </c>
      <c r="AE114" s="462">
        <f t="shared" si="186"/>
        <v>43610</v>
      </c>
      <c r="AF114" s="462">
        <f t="shared" si="186"/>
        <v>-29904</v>
      </c>
      <c r="AG114" s="462">
        <f t="shared" si="186"/>
        <v>13706</v>
      </c>
      <c r="AH114" s="462">
        <f t="shared" si="186"/>
        <v>0</v>
      </c>
      <c r="AI114" s="462">
        <f t="shared" si="186"/>
        <v>45596</v>
      </c>
      <c r="AJ114" s="462">
        <f t="shared" si="186"/>
        <v>0</v>
      </c>
      <c r="AK114" s="462">
        <f t="shared" si="186"/>
        <v>0</v>
      </c>
      <c r="AL114" s="462">
        <f t="shared" si="186"/>
        <v>0</v>
      </c>
      <c r="AM114" s="462">
        <f t="shared" si="186"/>
        <v>0</v>
      </c>
      <c r="AN114" s="462">
        <f t="shared" si="186"/>
        <v>45596</v>
      </c>
      <c r="AO114" s="462">
        <f t="shared" si="186"/>
        <v>45596</v>
      </c>
      <c r="AP114" s="462">
        <f t="shared" si="186"/>
        <v>43610</v>
      </c>
      <c r="AQ114" s="462">
        <f t="shared" si="186"/>
        <v>15692</v>
      </c>
      <c r="AR114" s="462">
        <f t="shared" si="186"/>
        <v>59302</v>
      </c>
      <c r="AS114" s="462">
        <f t="shared" si="186"/>
        <v>20044</v>
      </c>
      <c r="AT114" s="462">
        <f t="shared" si="186"/>
        <v>137</v>
      </c>
      <c r="AU114" s="462">
        <f t="shared" si="186"/>
        <v>0</v>
      </c>
      <c r="AV114" s="462">
        <f t="shared" si="186"/>
        <v>0</v>
      </c>
      <c r="AW114" s="462">
        <f t="shared" si="186"/>
        <v>0</v>
      </c>
      <c r="AX114" s="462">
        <f t="shared" si="186"/>
        <v>0</v>
      </c>
      <c r="AY114" s="462">
        <f t="shared" si="186"/>
        <v>79483</v>
      </c>
      <c r="AZ114" s="463">
        <f t="shared" si="186"/>
        <v>0</v>
      </c>
      <c r="BA114" s="463">
        <f t="shared" si="186"/>
        <v>-0.12</v>
      </c>
      <c r="BB114" s="463">
        <f t="shared" si="186"/>
        <v>0.12</v>
      </c>
      <c r="BC114" s="463">
        <f t="shared" si="186"/>
        <v>0</v>
      </c>
      <c r="BD114" s="463">
        <f t="shared" si="186"/>
        <v>0.04</v>
      </c>
      <c r="BE114" s="463">
        <f t="shared" si="186"/>
        <v>0</v>
      </c>
      <c r="BF114" s="463">
        <f t="shared" si="186"/>
        <v>0</v>
      </c>
      <c r="BG114" s="463">
        <f t="shared" si="186"/>
        <v>0</v>
      </c>
      <c r="BH114" s="463">
        <f t="shared" si="186"/>
        <v>0</v>
      </c>
      <c r="BI114" s="463">
        <f t="shared" si="186"/>
        <v>0.12</v>
      </c>
      <c r="BJ114" s="463">
        <f t="shared" si="186"/>
        <v>-7.9999999999999988E-2</v>
      </c>
      <c r="BK114" s="290">
        <f t="shared" si="186"/>
        <v>0.04</v>
      </c>
      <c r="BL114" s="776">
        <f t="shared" ref="BL114:CG114" si="187">SUM(BL108:BL113)</f>
        <v>12137976</v>
      </c>
      <c r="BM114" s="462">
        <f t="shared" si="187"/>
        <v>8871168</v>
      </c>
      <c r="BN114" s="462">
        <f t="shared" si="187"/>
        <v>7159476</v>
      </c>
      <c r="BO114" s="462">
        <f t="shared" si="187"/>
        <v>1711692</v>
      </c>
      <c r="BP114" s="462">
        <f t="shared" si="187"/>
        <v>57596</v>
      </c>
      <c r="BQ114" s="462">
        <f t="shared" si="187"/>
        <v>0</v>
      </c>
      <c r="BR114" s="462">
        <f t="shared" si="187"/>
        <v>57596</v>
      </c>
      <c r="BS114" s="462">
        <f t="shared" si="187"/>
        <v>3017922</v>
      </c>
      <c r="BT114" s="462">
        <f t="shared" si="187"/>
        <v>88712</v>
      </c>
      <c r="BU114" s="462">
        <f t="shared" si="187"/>
        <v>102578</v>
      </c>
      <c r="BV114" s="463">
        <f t="shared" si="187"/>
        <v>18.038</v>
      </c>
      <c r="BW114" s="463">
        <f t="shared" si="187"/>
        <v>12.7836</v>
      </c>
      <c r="BX114" s="290">
        <f t="shared" si="187"/>
        <v>5.2543999999999995</v>
      </c>
      <c r="BY114" s="820">
        <f t="shared" si="187"/>
        <v>0</v>
      </c>
      <c r="BZ114" s="716">
        <f t="shared" si="187"/>
        <v>0</v>
      </c>
      <c r="CA114" s="716">
        <f t="shared" si="187"/>
        <v>0</v>
      </c>
      <c r="CB114" s="716">
        <f t="shared" si="187"/>
        <v>0</v>
      </c>
      <c r="CC114" s="716">
        <f t="shared" si="187"/>
        <v>0</v>
      </c>
      <c r="CD114" s="821">
        <f t="shared" si="187"/>
        <v>0</v>
      </c>
      <c r="CE114" s="982">
        <f t="shared" si="187"/>
        <v>385045</v>
      </c>
      <c r="CF114" s="982">
        <f t="shared" si="187"/>
        <v>270651</v>
      </c>
      <c r="CG114" s="982">
        <f t="shared" si="187"/>
        <v>91480</v>
      </c>
      <c r="CH114" s="982">
        <f t="shared" ref="CH114:CJ114" si="188">SUM(CH108:CH113)</f>
        <v>2707</v>
      </c>
      <c r="CI114" s="982">
        <f t="shared" si="188"/>
        <v>20207</v>
      </c>
      <c r="CJ114" s="935">
        <f t="shared" si="188"/>
        <v>0.83800000000000008</v>
      </c>
    </row>
    <row r="115" spans="1:88" ht="12.95" customHeight="1">
      <c r="A115" s="280">
        <v>20</v>
      </c>
      <c r="B115" s="281">
        <v>4428</v>
      </c>
      <c r="C115" s="281">
        <v>600074242</v>
      </c>
      <c r="D115" s="281">
        <v>71010513</v>
      </c>
      <c r="E115" s="297" t="s">
        <v>346</v>
      </c>
      <c r="F115" s="298">
        <v>3111</v>
      </c>
      <c r="G115" s="284" t="s">
        <v>304</v>
      </c>
      <c r="H115" s="284" t="s">
        <v>271</v>
      </c>
      <c r="I115" s="563">
        <v>3221316</v>
      </c>
      <c r="J115" s="414">
        <v>2367629</v>
      </c>
      <c r="K115" s="414">
        <v>2041046</v>
      </c>
      <c r="L115" s="414">
        <v>326583</v>
      </c>
      <c r="M115" s="414">
        <v>11400</v>
      </c>
      <c r="N115" s="414">
        <v>11400</v>
      </c>
      <c r="O115" s="414">
        <v>0</v>
      </c>
      <c r="P115" s="68">
        <v>804111</v>
      </c>
      <c r="Q115" s="68">
        <v>23676</v>
      </c>
      <c r="R115" s="414">
        <v>14500</v>
      </c>
      <c r="S115" s="415">
        <v>5.0994999999999999</v>
      </c>
      <c r="T115" s="416">
        <v>4</v>
      </c>
      <c r="U115" s="762">
        <v>1.0994999999999999</v>
      </c>
      <c r="V115" s="423">
        <f t="shared" si="110"/>
        <v>11400</v>
      </c>
      <c r="W115" s="417">
        <f t="shared" si="110"/>
        <v>-11400</v>
      </c>
      <c r="X115" s="417">
        <v>0</v>
      </c>
      <c r="Y115" s="417">
        <v>0</v>
      </c>
      <c r="Z115" s="417">
        <v>-237040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12"/>
        <v>-225640</v>
      </c>
      <c r="AF115" s="417">
        <f t="shared" si="113"/>
        <v>-11400</v>
      </c>
      <c r="AG115" s="417">
        <f t="shared" si="114"/>
        <v>-237040</v>
      </c>
      <c r="AH115" s="417">
        <v>-11400</v>
      </c>
      <c r="AI115" s="417">
        <v>11400</v>
      </c>
      <c r="AJ115" s="417">
        <v>0</v>
      </c>
      <c r="AK115" s="417">
        <v>0</v>
      </c>
      <c r="AL115" s="417">
        <v>0</v>
      </c>
      <c r="AM115" s="417">
        <f t="shared" si="115"/>
        <v>-11400</v>
      </c>
      <c r="AN115" s="417">
        <f t="shared" si="116"/>
        <v>11400</v>
      </c>
      <c r="AO115" s="417">
        <f t="shared" si="117"/>
        <v>0</v>
      </c>
      <c r="AP115" s="417">
        <f t="shared" si="111"/>
        <v>-237040</v>
      </c>
      <c r="AQ115" s="417">
        <f t="shared" si="111"/>
        <v>0</v>
      </c>
      <c r="AR115" s="417">
        <f t="shared" si="118"/>
        <v>-237040</v>
      </c>
      <c r="AS115" s="68">
        <f t="shared" si="119"/>
        <v>-80120</v>
      </c>
      <c r="AT115" s="68">
        <f t="shared" si="120"/>
        <v>-2370</v>
      </c>
      <c r="AU115" s="417">
        <v>0</v>
      </c>
      <c r="AV115" s="417">
        <v>0</v>
      </c>
      <c r="AW115" s="417">
        <v>0</v>
      </c>
      <c r="AX115" s="417">
        <f t="shared" si="121"/>
        <v>0</v>
      </c>
      <c r="AY115" s="417">
        <f t="shared" si="122"/>
        <v>-319530</v>
      </c>
      <c r="AZ115" s="418">
        <v>0</v>
      </c>
      <c r="BA115" s="418">
        <v>0</v>
      </c>
      <c r="BB115" s="418">
        <v>0</v>
      </c>
      <c r="BC115" s="418">
        <v>-0.56999999999999995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23"/>
        <v>-0.56999999999999995</v>
      </c>
      <c r="BJ115" s="418">
        <f t="shared" si="124"/>
        <v>0</v>
      </c>
      <c r="BK115" s="420">
        <f t="shared" si="125"/>
        <v>-0.56999999999999995</v>
      </c>
      <c r="BL115" s="772">
        <f>I115+AY115</f>
        <v>2901786</v>
      </c>
      <c r="BM115" s="417">
        <f>J115+AG115</f>
        <v>2130589</v>
      </c>
      <c r="BN115" s="417">
        <f t="shared" ref="BN115:BO117" si="189">K115+AE115</f>
        <v>1815406</v>
      </c>
      <c r="BO115" s="417">
        <f t="shared" si="189"/>
        <v>315183</v>
      </c>
      <c r="BP115" s="417">
        <f>M115+AO115</f>
        <v>11400</v>
      </c>
      <c r="BQ115" s="417">
        <f t="shared" ref="BQ115:BR117" si="190">N115+AM115</f>
        <v>0</v>
      </c>
      <c r="BR115" s="417">
        <f t="shared" si="190"/>
        <v>11400</v>
      </c>
      <c r="BS115" s="417">
        <f t="shared" ref="BS115:BT117" si="191">P115+AS115</f>
        <v>723991</v>
      </c>
      <c r="BT115" s="417">
        <f t="shared" si="191"/>
        <v>21306</v>
      </c>
      <c r="BU115" s="417">
        <f>R115+AX115</f>
        <v>14500</v>
      </c>
      <c r="BV115" s="418">
        <f>S115+BK115</f>
        <v>4.5294999999999996</v>
      </c>
      <c r="BW115" s="418">
        <f t="shared" ref="BW115:BX117" si="192">T115+BI115</f>
        <v>3.43</v>
      </c>
      <c r="BX115" s="420">
        <f t="shared" si="192"/>
        <v>1.0994999999999999</v>
      </c>
      <c r="BY115" s="985"/>
      <c r="BZ115" s="983"/>
      <c r="CA115" s="983"/>
      <c r="CB115" s="983"/>
      <c r="CC115" s="983"/>
      <c r="CD115" s="984"/>
      <c r="CE115" s="986">
        <v>146083</v>
      </c>
      <c r="CF115" s="729">
        <v>104791</v>
      </c>
      <c r="CG115" s="729">
        <v>35419</v>
      </c>
      <c r="CH115" s="729">
        <v>1048</v>
      </c>
      <c r="CI115" s="729">
        <v>4825</v>
      </c>
      <c r="CJ115" s="828">
        <v>0.3528</v>
      </c>
    </row>
    <row r="116" spans="1:88" ht="12.95" customHeight="1">
      <c r="A116" s="280">
        <v>20</v>
      </c>
      <c r="B116" s="281">
        <v>4428</v>
      </c>
      <c r="C116" s="281">
        <v>600074242</v>
      </c>
      <c r="D116" s="281">
        <v>71010513</v>
      </c>
      <c r="E116" s="297" t="s">
        <v>346</v>
      </c>
      <c r="F116" s="298">
        <v>3111</v>
      </c>
      <c r="G116" s="299" t="s">
        <v>298</v>
      </c>
      <c r="H116" s="284" t="s">
        <v>272</v>
      </c>
      <c r="I116" s="563">
        <v>166613</v>
      </c>
      <c r="J116" s="414">
        <v>123600</v>
      </c>
      <c r="K116" s="414">
        <v>123600</v>
      </c>
      <c r="L116" s="414">
        <v>0</v>
      </c>
      <c r="M116" s="414">
        <v>0</v>
      </c>
      <c r="N116" s="414">
        <v>0</v>
      </c>
      <c r="O116" s="414">
        <v>0</v>
      </c>
      <c r="P116" s="68">
        <v>41777</v>
      </c>
      <c r="Q116" s="68">
        <v>1236</v>
      </c>
      <c r="R116" s="414">
        <v>0</v>
      </c>
      <c r="S116" s="415">
        <v>0.32999999999999996</v>
      </c>
      <c r="T116" s="416">
        <v>0.32999999999999996</v>
      </c>
      <c r="U116" s="762">
        <v>0</v>
      </c>
      <c r="V116" s="423">
        <f t="shared" si="110"/>
        <v>0</v>
      </c>
      <c r="W116" s="417">
        <f t="shared" si="110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12"/>
        <v>0</v>
      </c>
      <c r="AF116" s="417">
        <f t="shared" si="113"/>
        <v>0</v>
      </c>
      <c r="AG116" s="417">
        <f t="shared" si="114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15"/>
        <v>0</v>
      </c>
      <c r="AN116" s="417">
        <f t="shared" si="116"/>
        <v>0</v>
      </c>
      <c r="AO116" s="417">
        <f t="shared" si="117"/>
        <v>0</v>
      </c>
      <c r="AP116" s="417">
        <f t="shared" si="111"/>
        <v>0</v>
      </c>
      <c r="AQ116" s="417">
        <f t="shared" si="111"/>
        <v>0</v>
      </c>
      <c r="AR116" s="417">
        <f t="shared" si="118"/>
        <v>0</v>
      </c>
      <c r="AS116" s="68">
        <f t="shared" si="119"/>
        <v>0</v>
      </c>
      <c r="AT116" s="68">
        <f t="shared" si="120"/>
        <v>0</v>
      </c>
      <c r="AU116" s="417">
        <v>0</v>
      </c>
      <c r="AV116" s="417">
        <v>0</v>
      </c>
      <c r="AW116" s="417">
        <v>0</v>
      </c>
      <c r="AX116" s="417">
        <f t="shared" si="121"/>
        <v>0</v>
      </c>
      <c r="AY116" s="417">
        <f t="shared" si="122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23"/>
        <v>0</v>
      </c>
      <c r="BJ116" s="418">
        <f t="shared" si="124"/>
        <v>0</v>
      </c>
      <c r="BK116" s="420">
        <f t="shared" si="125"/>
        <v>0</v>
      </c>
      <c r="BL116" s="772">
        <f>I116+AY116</f>
        <v>166613</v>
      </c>
      <c r="BM116" s="417">
        <f>J116+AG116</f>
        <v>123600</v>
      </c>
      <c r="BN116" s="417">
        <f t="shared" si="189"/>
        <v>123600</v>
      </c>
      <c r="BO116" s="417">
        <f t="shared" si="189"/>
        <v>0</v>
      </c>
      <c r="BP116" s="417">
        <f>M116+AO116</f>
        <v>0</v>
      </c>
      <c r="BQ116" s="417">
        <f t="shared" si="190"/>
        <v>0</v>
      </c>
      <c r="BR116" s="417">
        <f t="shared" si="190"/>
        <v>0</v>
      </c>
      <c r="BS116" s="417">
        <f t="shared" si="191"/>
        <v>41777</v>
      </c>
      <c r="BT116" s="417">
        <f t="shared" si="191"/>
        <v>1236</v>
      </c>
      <c r="BU116" s="417">
        <f>R116+AX116</f>
        <v>0</v>
      </c>
      <c r="BV116" s="418">
        <f>S116+BK116</f>
        <v>0.32999999999999996</v>
      </c>
      <c r="BW116" s="418">
        <f t="shared" si="192"/>
        <v>0.32999999999999996</v>
      </c>
      <c r="BX116" s="420">
        <f t="shared" si="192"/>
        <v>0</v>
      </c>
      <c r="BY116" s="985"/>
      <c r="BZ116" s="983"/>
      <c r="CA116" s="983"/>
      <c r="CB116" s="983"/>
      <c r="CC116" s="983"/>
      <c r="CD116" s="984"/>
      <c r="CE116" s="986"/>
      <c r="CF116" s="729"/>
      <c r="CG116" s="729"/>
      <c r="CH116" s="729"/>
      <c r="CI116" s="729"/>
      <c r="CJ116" s="828"/>
    </row>
    <row r="117" spans="1:88" ht="12.95" customHeight="1">
      <c r="A117" s="280">
        <v>20</v>
      </c>
      <c r="B117" s="281">
        <v>4428</v>
      </c>
      <c r="C117" s="281">
        <v>600074242</v>
      </c>
      <c r="D117" s="281">
        <v>71010513</v>
      </c>
      <c r="E117" s="297" t="s">
        <v>346</v>
      </c>
      <c r="F117" s="298">
        <v>3141</v>
      </c>
      <c r="G117" s="299" t="s">
        <v>294</v>
      </c>
      <c r="H117" s="284" t="s">
        <v>272</v>
      </c>
      <c r="I117" s="563">
        <v>753234</v>
      </c>
      <c r="J117" s="414">
        <v>556773</v>
      </c>
      <c r="K117" s="414">
        <v>0</v>
      </c>
      <c r="L117" s="414">
        <v>556773</v>
      </c>
      <c r="M117" s="414">
        <v>0</v>
      </c>
      <c r="N117" s="414">
        <v>0</v>
      </c>
      <c r="O117" s="414">
        <v>0</v>
      </c>
      <c r="P117" s="68">
        <v>188189</v>
      </c>
      <c r="Q117" s="68">
        <v>5568</v>
      </c>
      <c r="R117" s="414">
        <v>2704</v>
      </c>
      <c r="S117" s="415">
        <v>1.6733</v>
      </c>
      <c r="T117" s="416">
        <v>0</v>
      </c>
      <c r="U117" s="762">
        <v>1.6733</v>
      </c>
      <c r="V117" s="423">
        <f t="shared" si="110"/>
        <v>0</v>
      </c>
      <c r="W117" s="417">
        <f t="shared" si="110"/>
        <v>0</v>
      </c>
      <c r="X117" s="417">
        <v>0</v>
      </c>
      <c r="Y117" s="417">
        <v>0</v>
      </c>
      <c r="Z117" s="417">
        <v>0</v>
      </c>
      <c r="AA117" s="417">
        <v>-13578</v>
      </c>
      <c r="AB117" s="417">
        <v>0</v>
      </c>
      <c r="AC117" s="417">
        <v>0</v>
      </c>
      <c r="AD117" s="417">
        <v>0</v>
      </c>
      <c r="AE117" s="417">
        <f t="shared" si="112"/>
        <v>0</v>
      </c>
      <c r="AF117" s="417">
        <f t="shared" si="113"/>
        <v>-13578</v>
      </c>
      <c r="AG117" s="417">
        <f t="shared" si="114"/>
        <v>-13578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15"/>
        <v>0</v>
      </c>
      <c r="AN117" s="417">
        <f t="shared" si="116"/>
        <v>0</v>
      </c>
      <c r="AO117" s="417">
        <f t="shared" si="117"/>
        <v>0</v>
      </c>
      <c r="AP117" s="417">
        <f t="shared" si="111"/>
        <v>0</v>
      </c>
      <c r="AQ117" s="417">
        <f t="shared" si="111"/>
        <v>-13578</v>
      </c>
      <c r="AR117" s="417">
        <f t="shared" si="118"/>
        <v>-13578</v>
      </c>
      <c r="AS117" s="68">
        <f t="shared" si="119"/>
        <v>-4589</v>
      </c>
      <c r="AT117" s="68">
        <f t="shared" si="120"/>
        <v>-136</v>
      </c>
      <c r="AU117" s="417">
        <v>0</v>
      </c>
      <c r="AV117" s="417">
        <v>0</v>
      </c>
      <c r="AW117" s="417">
        <v>0</v>
      </c>
      <c r="AX117" s="417">
        <f t="shared" si="121"/>
        <v>0</v>
      </c>
      <c r="AY117" s="417">
        <f t="shared" si="122"/>
        <v>-18303</v>
      </c>
      <c r="AZ117" s="418">
        <v>0</v>
      </c>
      <c r="BA117" s="418">
        <v>0</v>
      </c>
      <c r="BB117" s="418">
        <v>0</v>
      </c>
      <c r="BC117" s="418">
        <v>0</v>
      </c>
      <c r="BD117" s="418">
        <v>-0.04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23"/>
        <v>0</v>
      </c>
      <c r="BJ117" s="418">
        <f t="shared" si="124"/>
        <v>-0.04</v>
      </c>
      <c r="BK117" s="420">
        <f t="shared" si="125"/>
        <v>-0.04</v>
      </c>
      <c r="BL117" s="772">
        <f>I117+AY117</f>
        <v>734931</v>
      </c>
      <c r="BM117" s="417">
        <f>J117+AG117</f>
        <v>543195</v>
      </c>
      <c r="BN117" s="417">
        <f t="shared" si="189"/>
        <v>0</v>
      </c>
      <c r="BO117" s="417">
        <f t="shared" si="189"/>
        <v>543195</v>
      </c>
      <c r="BP117" s="417">
        <f>M117+AO117</f>
        <v>0</v>
      </c>
      <c r="BQ117" s="417">
        <f t="shared" si="190"/>
        <v>0</v>
      </c>
      <c r="BR117" s="417">
        <f t="shared" si="190"/>
        <v>0</v>
      </c>
      <c r="BS117" s="417">
        <f t="shared" si="191"/>
        <v>183600</v>
      </c>
      <c r="BT117" s="417">
        <f t="shared" si="191"/>
        <v>5432</v>
      </c>
      <c r="BU117" s="417">
        <f>R117+AX117</f>
        <v>2704</v>
      </c>
      <c r="BV117" s="418">
        <f>S117+BK117</f>
        <v>1.6333</v>
      </c>
      <c r="BW117" s="418">
        <f t="shared" si="192"/>
        <v>0</v>
      </c>
      <c r="BX117" s="420">
        <f t="shared" si="192"/>
        <v>1.6333</v>
      </c>
      <c r="BY117" s="985"/>
      <c r="BZ117" s="983"/>
      <c r="CA117" s="983"/>
      <c r="CB117" s="983"/>
      <c r="CC117" s="983"/>
      <c r="CD117" s="984"/>
      <c r="CE117" s="986"/>
      <c r="CF117" s="729"/>
      <c r="CG117" s="729"/>
      <c r="CH117" s="729"/>
      <c r="CI117" s="729"/>
      <c r="CJ117" s="828"/>
    </row>
    <row r="118" spans="1:88" ht="12.95" customHeight="1">
      <c r="A118" s="273">
        <v>20</v>
      </c>
      <c r="B118" s="275">
        <v>4428</v>
      </c>
      <c r="C118" s="275">
        <v>600074242</v>
      </c>
      <c r="D118" s="275">
        <v>71010513</v>
      </c>
      <c r="E118" s="294" t="s">
        <v>347</v>
      </c>
      <c r="F118" s="295"/>
      <c r="G118" s="296"/>
      <c r="H118" s="296"/>
      <c r="I118" s="465">
        <v>4141163</v>
      </c>
      <c r="J118" s="462">
        <v>3048002</v>
      </c>
      <c r="K118" s="462">
        <v>2164646</v>
      </c>
      <c r="L118" s="462">
        <v>883356</v>
      </c>
      <c r="M118" s="462">
        <v>11400</v>
      </c>
      <c r="N118" s="462">
        <v>11400</v>
      </c>
      <c r="O118" s="462">
        <v>0</v>
      </c>
      <c r="P118" s="462">
        <v>1034077</v>
      </c>
      <c r="Q118" s="462">
        <v>30480</v>
      </c>
      <c r="R118" s="462">
        <v>17204</v>
      </c>
      <c r="S118" s="463">
        <v>7.1028000000000002</v>
      </c>
      <c r="T118" s="463">
        <v>4.33</v>
      </c>
      <c r="U118" s="533">
        <v>2.7728000000000002</v>
      </c>
      <c r="V118" s="465">
        <f t="shared" ref="V118:BK118" si="193">SUM(V115:V117)</f>
        <v>11400</v>
      </c>
      <c r="W118" s="462">
        <f t="shared" si="193"/>
        <v>-11400</v>
      </c>
      <c r="X118" s="462">
        <f t="shared" si="193"/>
        <v>0</v>
      </c>
      <c r="Y118" s="462">
        <f t="shared" si="193"/>
        <v>0</v>
      </c>
      <c r="Z118" s="462">
        <f t="shared" si="193"/>
        <v>-237040</v>
      </c>
      <c r="AA118" s="462">
        <f t="shared" si="193"/>
        <v>-13578</v>
      </c>
      <c r="AB118" s="462">
        <f t="shared" si="193"/>
        <v>0</v>
      </c>
      <c r="AC118" s="462">
        <f t="shared" si="193"/>
        <v>0</v>
      </c>
      <c r="AD118" s="462">
        <f t="shared" si="193"/>
        <v>0</v>
      </c>
      <c r="AE118" s="462">
        <f t="shared" si="193"/>
        <v>-225640</v>
      </c>
      <c r="AF118" s="462">
        <f t="shared" si="193"/>
        <v>-24978</v>
      </c>
      <c r="AG118" s="462">
        <f t="shared" si="193"/>
        <v>-250618</v>
      </c>
      <c r="AH118" s="462">
        <f t="shared" si="193"/>
        <v>-11400</v>
      </c>
      <c r="AI118" s="462">
        <f t="shared" si="193"/>
        <v>11400</v>
      </c>
      <c r="AJ118" s="462">
        <f t="shared" si="193"/>
        <v>0</v>
      </c>
      <c r="AK118" s="462">
        <f t="shared" si="193"/>
        <v>0</v>
      </c>
      <c r="AL118" s="462">
        <f t="shared" si="193"/>
        <v>0</v>
      </c>
      <c r="AM118" s="462">
        <f t="shared" si="193"/>
        <v>-11400</v>
      </c>
      <c r="AN118" s="462">
        <f t="shared" si="193"/>
        <v>11400</v>
      </c>
      <c r="AO118" s="462">
        <f t="shared" si="193"/>
        <v>0</v>
      </c>
      <c r="AP118" s="462">
        <f t="shared" si="193"/>
        <v>-237040</v>
      </c>
      <c r="AQ118" s="462">
        <f t="shared" si="193"/>
        <v>-13578</v>
      </c>
      <c r="AR118" s="462">
        <f t="shared" si="193"/>
        <v>-250618</v>
      </c>
      <c r="AS118" s="462">
        <f t="shared" si="193"/>
        <v>-84709</v>
      </c>
      <c r="AT118" s="462">
        <f t="shared" si="193"/>
        <v>-2506</v>
      </c>
      <c r="AU118" s="462">
        <f t="shared" si="193"/>
        <v>0</v>
      </c>
      <c r="AV118" s="462">
        <f t="shared" si="193"/>
        <v>0</v>
      </c>
      <c r="AW118" s="462">
        <f t="shared" si="193"/>
        <v>0</v>
      </c>
      <c r="AX118" s="462">
        <f t="shared" si="193"/>
        <v>0</v>
      </c>
      <c r="AY118" s="462">
        <f t="shared" si="193"/>
        <v>-337833</v>
      </c>
      <c r="AZ118" s="463">
        <f t="shared" si="193"/>
        <v>0</v>
      </c>
      <c r="BA118" s="463">
        <f t="shared" si="193"/>
        <v>0</v>
      </c>
      <c r="BB118" s="463">
        <f t="shared" si="193"/>
        <v>0</v>
      </c>
      <c r="BC118" s="463">
        <f t="shared" si="193"/>
        <v>-0.56999999999999995</v>
      </c>
      <c r="BD118" s="463">
        <f t="shared" si="193"/>
        <v>-0.04</v>
      </c>
      <c r="BE118" s="463">
        <f t="shared" si="193"/>
        <v>0</v>
      </c>
      <c r="BF118" s="463">
        <f t="shared" si="193"/>
        <v>0</v>
      </c>
      <c r="BG118" s="463">
        <f t="shared" si="193"/>
        <v>0</v>
      </c>
      <c r="BH118" s="463">
        <f t="shared" si="193"/>
        <v>0</v>
      </c>
      <c r="BI118" s="463">
        <f t="shared" si="193"/>
        <v>-0.56999999999999995</v>
      </c>
      <c r="BJ118" s="463">
        <f t="shared" si="193"/>
        <v>-0.04</v>
      </c>
      <c r="BK118" s="290">
        <f t="shared" si="193"/>
        <v>-0.61</v>
      </c>
      <c r="BL118" s="776">
        <f t="shared" ref="BL118:CG118" si="194">SUM(BL115:BL117)</f>
        <v>3803330</v>
      </c>
      <c r="BM118" s="462">
        <f t="shared" si="194"/>
        <v>2797384</v>
      </c>
      <c r="BN118" s="462">
        <f t="shared" si="194"/>
        <v>1939006</v>
      </c>
      <c r="BO118" s="462">
        <f t="shared" si="194"/>
        <v>858378</v>
      </c>
      <c r="BP118" s="462">
        <f t="shared" si="194"/>
        <v>11400</v>
      </c>
      <c r="BQ118" s="462">
        <f t="shared" si="194"/>
        <v>0</v>
      </c>
      <c r="BR118" s="462">
        <f t="shared" si="194"/>
        <v>11400</v>
      </c>
      <c r="BS118" s="462">
        <f t="shared" si="194"/>
        <v>949368</v>
      </c>
      <c r="BT118" s="462">
        <f t="shared" si="194"/>
        <v>27974</v>
      </c>
      <c r="BU118" s="462">
        <f t="shared" si="194"/>
        <v>17204</v>
      </c>
      <c r="BV118" s="463">
        <f t="shared" si="194"/>
        <v>6.4927999999999999</v>
      </c>
      <c r="BW118" s="463">
        <f t="shared" si="194"/>
        <v>3.7600000000000002</v>
      </c>
      <c r="BX118" s="290">
        <f t="shared" si="194"/>
        <v>2.7328000000000001</v>
      </c>
      <c r="BY118" s="820">
        <f t="shared" si="194"/>
        <v>0</v>
      </c>
      <c r="BZ118" s="716">
        <f t="shared" si="194"/>
        <v>0</v>
      </c>
      <c r="CA118" s="716">
        <f t="shared" si="194"/>
        <v>0</v>
      </c>
      <c r="CB118" s="716">
        <f t="shared" si="194"/>
        <v>0</v>
      </c>
      <c r="CC118" s="716">
        <f t="shared" si="194"/>
        <v>0</v>
      </c>
      <c r="CD118" s="821">
        <f t="shared" si="194"/>
        <v>0</v>
      </c>
      <c r="CE118" s="982">
        <f t="shared" si="194"/>
        <v>146083</v>
      </c>
      <c r="CF118" s="982">
        <f t="shared" si="194"/>
        <v>104791</v>
      </c>
      <c r="CG118" s="982">
        <f t="shared" si="194"/>
        <v>35419</v>
      </c>
      <c r="CH118" s="982">
        <f t="shared" ref="CH118:CJ118" si="195">SUM(CH115:CH117)</f>
        <v>1048</v>
      </c>
      <c r="CI118" s="982">
        <f t="shared" si="195"/>
        <v>4825</v>
      </c>
      <c r="CJ118" s="935">
        <f t="shared" si="195"/>
        <v>0.3528</v>
      </c>
    </row>
    <row r="119" spans="1:88" ht="12.95" customHeight="1">
      <c r="A119" s="280">
        <v>21</v>
      </c>
      <c r="B119" s="281">
        <v>4463</v>
      </c>
      <c r="C119" s="281">
        <v>600074684</v>
      </c>
      <c r="D119" s="281">
        <v>71010467</v>
      </c>
      <c r="E119" s="297" t="s">
        <v>348</v>
      </c>
      <c r="F119" s="298">
        <v>3117</v>
      </c>
      <c r="G119" s="299" t="s">
        <v>308</v>
      </c>
      <c r="H119" s="284" t="s">
        <v>271</v>
      </c>
      <c r="I119" s="563">
        <v>2878118</v>
      </c>
      <c r="J119" s="414">
        <v>2105558</v>
      </c>
      <c r="K119" s="414">
        <v>1878277</v>
      </c>
      <c r="L119" s="414">
        <v>227281</v>
      </c>
      <c r="M119" s="414">
        <v>0</v>
      </c>
      <c r="N119" s="414">
        <v>0</v>
      </c>
      <c r="O119" s="414">
        <v>0</v>
      </c>
      <c r="P119" s="68">
        <v>711679</v>
      </c>
      <c r="Q119" s="68">
        <v>21056</v>
      </c>
      <c r="R119" s="414">
        <v>39825</v>
      </c>
      <c r="S119" s="415">
        <v>3.2254</v>
      </c>
      <c r="T119" s="416">
        <v>2.6364000000000001</v>
      </c>
      <c r="U119" s="762">
        <v>0.58899999999999997</v>
      </c>
      <c r="V119" s="423">
        <f t="shared" si="110"/>
        <v>0</v>
      </c>
      <c r="W119" s="417">
        <f t="shared" si="110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12"/>
        <v>0</v>
      </c>
      <c r="AF119" s="417">
        <f t="shared" si="113"/>
        <v>0</v>
      </c>
      <c r="AG119" s="417">
        <f t="shared" si="114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15"/>
        <v>0</v>
      </c>
      <c r="AN119" s="417">
        <f t="shared" si="116"/>
        <v>0</v>
      </c>
      <c r="AO119" s="417">
        <f t="shared" si="117"/>
        <v>0</v>
      </c>
      <c r="AP119" s="417">
        <f t="shared" si="111"/>
        <v>0</v>
      </c>
      <c r="AQ119" s="417">
        <f t="shared" si="111"/>
        <v>0</v>
      </c>
      <c r="AR119" s="417">
        <f t="shared" si="118"/>
        <v>0</v>
      </c>
      <c r="AS119" s="68">
        <f t="shared" si="119"/>
        <v>0</v>
      </c>
      <c r="AT119" s="68">
        <f t="shared" si="120"/>
        <v>0</v>
      </c>
      <c r="AU119" s="417">
        <v>0</v>
      </c>
      <c r="AV119" s="417">
        <v>0</v>
      </c>
      <c r="AW119" s="417">
        <v>0</v>
      </c>
      <c r="AX119" s="417">
        <f t="shared" si="121"/>
        <v>0</v>
      </c>
      <c r="AY119" s="417">
        <f t="shared" si="122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23"/>
        <v>0</v>
      </c>
      <c r="BJ119" s="418">
        <f t="shared" si="124"/>
        <v>0</v>
      </c>
      <c r="BK119" s="420">
        <f t="shared" si="125"/>
        <v>0</v>
      </c>
      <c r="BL119" s="772">
        <f>I119+AY119</f>
        <v>2878118</v>
      </c>
      <c r="BM119" s="417">
        <f>J119+AG119</f>
        <v>2105558</v>
      </c>
      <c r="BN119" s="417">
        <f t="shared" ref="BN119:BO122" si="196">K119+AE119</f>
        <v>1878277</v>
      </c>
      <c r="BO119" s="417">
        <f t="shared" si="196"/>
        <v>227281</v>
      </c>
      <c r="BP119" s="417">
        <f>M119+AO119</f>
        <v>0</v>
      </c>
      <c r="BQ119" s="417">
        <f t="shared" ref="BQ119:BR122" si="197">N119+AM119</f>
        <v>0</v>
      </c>
      <c r="BR119" s="417">
        <f t="shared" si="197"/>
        <v>0</v>
      </c>
      <c r="BS119" s="417">
        <f t="shared" ref="BS119:BT122" si="198">P119+AS119</f>
        <v>711679</v>
      </c>
      <c r="BT119" s="417">
        <f t="shared" si="198"/>
        <v>21056</v>
      </c>
      <c r="BU119" s="417">
        <f>R119+AX119</f>
        <v>39825</v>
      </c>
      <c r="BV119" s="418">
        <f>S119+BK119</f>
        <v>3.2254</v>
      </c>
      <c r="BW119" s="418">
        <f t="shared" ref="BW119:BX122" si="199">T119+BI119</f>
        <v>2.6364000000000001</v>
      </c>
      <c r="BX119" s="420">
        <f t="shared" si="199"/>
        <v>0.58899999999999997</v>
      </c>
      <c r="BY119" s="985"/>
      <c r="BZ119" s="983"/>
      <c r="CA119" s="983"/>
      <c r="CB119" s="983"/>
      <c r="CC119" s="983"/>
      <c r="CD119" s="984"/>
      <c r="CE119" s="986">
        <v>105315</v>
      </c>
      <c r="CF119" s="729">
        <v>72959</v>
      </c>
      <c r="CG119" s="729">
        <v>24660</v>
      </c>
      <c r="CH119" s="729">
        <v>730</v>
      </c>
      <c r="CI119" s="729">
        <v>6966</v>
      </c>
      <c r="CJ119" s="828">
        <v>0.18909999999999999</v>
      </c>
    </row>
    <row r="120" spans="1:88" ht="12.95" customHeight="1">
      <c r="A120" s="280">
        <v>21</v>
      </c>
      <c r="B120" s="281">
        <v>4463</v>
      </c>
      <c r="C120" s="281">
        <v>600074684</v>
      </c>
      <c r="D120" s="281">
        <v>71010467</v>
      </c>
      <c r="E120" s="297" t="s">
        <v>348</v>
      </c>
      <c r="F120" s="298">
        <v>3117</v>
      </c>
      <c r="G120" s="284" t="s">
        <v>298</v>
      </c>
      <c r="H120" s="284" t="s">
        <v>272</v>
      </c>
      <c r="I120" s="563">
        <v>254421</v>
      </c>
      <c r="J120" s="414">
        <v>185401</v>
      </c>
      <c r="K120" s="414">
        <v>185401</v>
      </c>
      <c r="L120" s="414">
        <v>0</v>
      </c>
      <c r="M120" s="414">
        <v>0</v>
      </c>
      <c r="N120" s="414">
        <v>0</v>
      </c>
      <c r="O120" s="414">
        <v>0</v>
      </c>
      <c r="P120" s="68">
        <v>62666</v>
      </c>
      <c r="Q120" s="68">
        <v>1854</v>
      </c>
      <c r="R120" s="414">
        <v>4500</v>
      </c>
      <c r="S120" s="415">
        <v>0.5</v>
      </c>
      <c r="T120" s="416">
        <v>0.5</v>
      </c>
      <c r="U120" s="762">
        <v>0</v>
      </c>
      <c r="V120" s="423">
        <f t="shared" si="110"/>
        <v>0</v>
      </c>
      <c r="W120" s="417">
        <f t="shared" si="110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112"/>
        <v>0</v>
      </c>
      <c r="AF120" s="417">
        <f t="shared" si="113"/>
        <v>0</v>
      </c>
      <c r="AG120" s="417">
        <f t="shared" si="114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15"/>
        <v>0</v>
      </c>
      <c r="AN120" s="417">
        <f t="shared" si="116"/>
        <v>0</v>
      </c>
      <c r="AO120" s="417">
        <f t="shared" si="117"/>
        <v>0</v>
      </c>
      <c r="AP120" s="417">
        <f t="shared" si="111"/>
        <v>0</v>
      </c>
      <c r="AQ120" s="417">
        <f t="shared" si="111"/>
        <v>0</v>
      </c>
      <c r="AR120" s="417">
        <f t="shared" si="118"/>
        <v>0</v>
      </c>
      <c r="AS120" s="68">
        <f t="shared" si="119"/>
        <v>0</v>
      </c>
      <c r="AT120" s="68">
        <f t="shared" si="120"/>
        <v>0</v>
      </c>
      <c r="AU120" s="417">
        <v>0</v>
      </c>
      <c r="AV120" s="417">
        <v>0</v>
      </c>
      <c r="AW120" s="417">
        <v>0</v>
      </c>
      <c r="AX120" s="417">
        <f t="shared" si="121"/>
        <v>0</v>
      </c>
      <c r="AY120" s="417">
        <f t="shared" si="122"/>
        <v>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23"/>
        <v>0</v>
      </c>
      <c r="BJ120" s="418">
        <f t="shared" si="124"/>
        <v>0</v>
      </c>
      <c r="BK120" s="420">
        <f t="shared" si="125"/>
        <v>0</v>
      </c>
      <c r="BL120" s="772">
        <f>I120+AY120</f>
        <v>254421</v>
      </c>
      <c r="BM120" s="417">
        <f>J120+AG120</f>
        <v>185401</v>
      </c>
      <c r="BN120" s="417">
        <f t="shared" si="196"/>
        <v>185401</v>
      </c>
      <c r="BO120" s="417">
        <f t="shared" si="196"/>
        <v>0</v>
      </c>
      <c r="BP120" s="417">
        <f>M120+AO120</f>
        <v>0</v>
      </c>
      <c r="BQ120" s="417">
        <f t="shared" si="197"/>
        <v>0</v>
      </c>
      <c r="BR120" s="417">
        <f t="shared" si="197"/>
        <v>0</v>
      </c>
      <c r="BS120" s="417">
        <f t="shared" si="198"/>
        <v>62666</v>
      </c>
      <c r="BT120" s="417">
        <f t="shared" si="198"/>
        <v>1854</v>
      </c>
      <c r="BU120" s="417">
        <f>R120+AX120</f>
        <v>4500</v>
      </c>
      <c r="BV120" s="418">
        <f>S120+BK120</f>
        <v>0.5</v>
      </c>
      <c r="BW120" s="418">
        <f t="shared" si="199"/>
        <v>0.5</v>
      </c>
      <c r="BX120" s="420">
        <f t="shared" si="199"/>
        <v>0</v>
      </c>
      <c r="BY120" s="985"/>
      <c r="BZ120" s="983"/>
      <c r="CA120" s="983"/>
      <c r="CB120" s="983"/>
      <c r="CC120" s="983"/>
      <c r="CD120" s="984"/>
      <c r="CE120" s="986"/>
      <c r="CF120" s="729"/>
      <c r="CG120" s="729"/>
      <c r="CH120" s="729"/>
      <c r="CI120" s="729"/>
      <c r="CJ120" s="828"/>
    </row>
    <row r="121" spans="1:88" ht="12.95" customHeight="1">
      <c r="A121" s="280">
        <v>21</v>
      </c>
      <c r="B121" s="281">
        <v>4463</v>
      </c>
      <c r="C121" s="281">
        <v>600074684</v>
      </c>
      <c r="D121" s="281">
        <v>71010467</v>
      </c>
      <c r="E121" s="297" t="s">
        <v>348</v>
      </c>
      <c r="F121" s="298">
        <v>3143</v>
      </c>
      <c r="G121" s="284" t="s">
        <v>595</v>
      </c>
      <c r="H121" s="284" t="s">
        <v>271</v>
      </c>
      <c r="I121" s="563">
        <v>615391</v>
      </c>
      <c r="J121" s="414">
        <v>456522</v>
      </c>
      <c r="K121" s="414">
        <v>456522</v>
      </c>
      <c r="L121" s="414">
        <v>0</v>
      </c>
      <c r="M121" s="414">
        <v>0</v>
      </c>
      <c r="N121" s="414">
        <v>0</v>
      </c>
      <c r="O121" s="414">
        <v>0</v>
      </c>
      <c r="P121" s="68">
        <v>154304</v>
      </c>
      <c r="Q121" s="68">
        <v>4565</v>
      </c>
      <c r="R121" s="414">
        <v>0</v>
      </c>
      <c r="S121" s="415">
        <v>0.85709999999999997</v>
      </c>
      <c r="T121" s="416">
        <v>0.85709999999999997</v>
      </c>
      <c r="U121" s="762">
        <v>0</v>
      </c>
      <c r="V121" s="423">
        <f t="shared" si="110"/>
        <v>0</v>
      </c>
      <c r="W121" s="417">
        <f t="shared" si="110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112"/>
        <v>0</v>
      </c>
      <c r="AF121" s="417">
        <f t="shared" si="113"/>
        <v>0</v>
      </c>
      <c r="AG121" s="417">
        <f t="shared" si="114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15"/>
        <v>0</v>
      </c>
      <c r="AN121" s="417">
        <f t="shared" si="116"/>
        <v>0</v>
      </c>
      <c r="AO121" s="417">
        <f t="shared" si="117"/>
        <v>0</v>
      </c>
      <c r="AP121" s="417">
        <f t="shared" si="111"/>
        <v>0</v>
      </c>
      <c r="AQ121" s="417">
        <f t="shared" si="111"/>
        <v>0</v>
      </c>
      <c r="AR121" s="417">
        <f t="shared" si="118"/>
        <v>0</v>
      </c>
      <c r="AS121" s="68">
        <f t="shared" si="119"/>
        <v>0</v>
      </c>
      <c r="AT121" s="68">
        <f t="shared" si="120"/>
        <v>0</v>
      </c>
      <c r="AU121" s="417">
        <v>0</v>
      </c>
      <c r="AV121" s="417">
        <v>0</v>
      </c>
      <c r="AW121" s="417">
        <v>0</v>
      </c>
      <c r="AX121" s="417">
        <f t="shared" si="121"/>
        <v>0</v>
      </c>
      <c r="AY121" s="417">
        <f t="shared" si="122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23"/>
        <v>0</v>
      </c>
      <c r="BJ121" s="418">
        <f t="shared" si="124"/>
        <v>0</v>
      </c>
      <c r="BK121" s="420">
        <f t="shared" si="125"/>
        <v>0</v>
      </c>
      <c r="BL121" s="772">
        <f>I121+AY121</f>
        <v>615391</v>
      </c>
      <c r="BM121" s="417">
        <f>J121+AG121</f>
        <v>456522</v>
      </c>
      <c r="BN121" s="417">
        <f t="shared" si="196"/>
        <v>456522</v>
      </c>
      <c r="BO121" s="417">
        <f t="shared" si="196"/>
        <v>0</v>
      </c>
      <c r="BP121" s="417">
        <f>M121+AO121</f>
        <v>0</v>
      </c>
      <c r="BQ121" s="417">
        <f t="shared" si="197"/>
        <v>0</v>
      </c>
      <c r="BR121" s="417">
        <f t="shared" si="197"/>
        <v>0</v>
      </c>
      <c r="BS121" s="417">
        <f t="shared" si="198"/>
        <v>154304</v>
      </c>
      <c r="BT121" s="417">
        <f t="shared" si="198"/>
        <v>4565</v>
      </c>
      <c r="BU121" s="417">
        <f>R121+AX121</f>
        <v>0</v>
      </c>
      <c r="BV121" s="418">
        <f>S121+BK121</f>
        <v>0.85709999999999997</v>
      </c>
      <c r="BW121" s="418">
        <f t="shared" si="199"/>
        <v>0.85709999999999997</v>
      </c>
      <c r="BX121" s="420">
        <f t="shared" si="199"/>
        <v>0</v>
      </c>
      <c r="BY121" s="985"/>
      <c r="BZ121" s="983"/>
      <c r="CA121" s="983"/>
      <c r="CB121" s="983"/>
      <c r="CC121" s="983"/>
      <c r="CD121" s="984"/>
      <c r="CE121" s="986"/>
      <c r="CF121" s="729"/>
      <c r="CG121" s="729"/>
      <c r="CH121" s="729"/>
      <c r="CI121" s="729"/>
      <c r="CJ121" s="828"/>
    </row>
    <row r="122" spans="1:88" ht="12.95" customHeight="1">
      <c r="A122" s="280">
        <v>21</v>
      </c>
      <c r="B122" s="281">
        <v>4463</v>
      </c>
      <c r="C122" s="281">
        <v>600074684</v>
      </c>
      <c r="D122" s="281">
        <v>71010467</v>
      </c>
      <c r="E122" s="297" t="s">
        <v>348</v>
      </c>
      <c r="F122" s="298">
        <v>3143</v>
      </c>
      <c r="G122" s="284" t="s">
        <v>596</v>
      </c>
      <c r="H122" s="284" t="s">
        <v>272</v>
      </c>
      <c r="I122" s="563">
        <v>19210</v>
      </c>
      <c r="J122" s="414">
        <v>13750</v>
      </c>
      <c r="K122" s="414">
        <v>0</v>
      </c>
      <c r="L122" s="414">
        <v>13750</v>
      </c>
      <c r="M122" s="414">
        <v>0</v>
      </c>
      <c r="N122" s="414">
        <v>0</v>
      </c>
      <c r="O122" s="414">
        <v>0</v>
      </c>
      <c r="P122" s="68">
        <v>4647</v>
      </c>
      <c r="Q122" s="68">
        <v>138</v>
      </c>
      <c r="R122" s="414">
        <v>675</v>
      </c>
      <c r="S122" s="415">
        <v>5.4699999999999999E-2</v>
      </c>
      <c r="T122" s="416">
        <v>0</v>
      </c>
      <c r="U122" s="762">
        <v>5.4699999999999999E-2</v>
      </c>
      <c r="V122" s="423">
        <f t="shared" si="110"/>
        <v>0</v>
      </c>
      <c r="W122" s="417">
        <f t="shared" si="110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12"/>
        <v>0</v>
      </c>
      <c r="AF122" s="417">
        <f t="shared" si="113"/>
        <v>0</v>
      </c>
      <c r="AG122" s="417">
        <f t="shared" si="114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15"/>
        <v>0</v>
      </c>
      <c r="AN122" s="417">
        <f t="shared" si="116"/>
        <v>0</v>
      </c>
      <c r="AO122" s="417">
        <f t="shared" si="117"/>
        <v>0</v>
      </c>
      <c r="AP122" s="417">
        <f t="shared" si="111"/>
        <v>0</v>
      </c>
      <c r="AQ122" s="417">
        <f t="shared" si="111"/>
        <v>0</v>
      </c>
      <c r="AR122" s="417">
        <f t="shared" si="118"/>
        <v>0</v>
      </c>
      <c r="AS122" s="68">
        <f t="shared" si="119"/>
        <v>0</v>
      </c>
      <c r="AT122" s="68">
        <f t="shared" si="120"/>
        <v>0</v>
      </c>
      <c r="AU122" s="417">
        <v>0</v>
      </c>
      <c r="AV122" s="417">
        <v>0</v>
      </c>
      <c r="AW122" s="417">
        <v>0</v>
      </c>
      <c r="AX122" s="417">
        <f t="shared" si="121"/>
        <v>0</v>
      </c>
      <c r="AY122" s="417">
        <f t="shared" si="122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23"/>
        <v>0</v>
      </c>
      <c r="BJ122" s="418">
        <f t="shared" si="124"/>
        <v>0</v>
      </c>
      <c r="BK122" s="420">
        <f t="shared" si="125"/>
        <v>0</v>
      </c>
      <c r="BL122" s="772">
        <f>I122+AY122</f>
        <v>19210</v>
      </c>
      <c r="BM122" s="417">
        <f>J122+AG122</f>
        <v>13750</v>
      </c>
      <c r="BN122" s="417">
        <f t="shared" si="196"/>
        <v>0</v>
      </c>
      <c r="BO122" s="417">
        <f t="shared" si="196"/>
        <v>13750</v>
      </c>
      <c r="BP122" s="417">
        <f>M122+AO122</f>
        <v>0</v>
      </c>
      <c r="BQ122" s="417">
        <f t="shared" si="197"/>
        <v>0</v>
      </c>
      <c r="BR122" s="417">
        <f t="shared" si="197"/>
        <v>0</v>
      </c>
      <c r="BS122" s="417">
        <f t="shared" si="198"/>
        <v>4647</v>
      </c>
      <c r="BT122" s="417">
        <f t="shared" si="198"/>
        <v>138</v>
      </c>
      <c r="BU122" s="417">
        <f>R122+AX122</f>
        <v>675</v>
      </c>
      <c r="BV122" s="418">
        <f>S122+BK122</f>
        <v>5.4699999999999999E-2</v>
      </c>
      <c r="BW122" s="418">
        <f t="shared" si="199"/>
        <v>0</v>
      </c>
      <c r="BX122" s="420">
        <f t="shared" si="199"/>
        <v>5.4699999999999999E-2</v>
      </c>
      <c r="BY122" s="985"/>
      <c r="BZ122" s="983"/>
      <c r="CA122" s="983"/>
      <c r="CB122" s="983"/>
      <c r="CC122" s="983"/>
      <c r="CD122" s="984"/>
      <c r="CE122" s="986"/>
      <c r="CF122" s="729"/>
      <c r="CG122" s="729"/>
      <c r="CH122" s="729"/>
      <c r="CI122" s="729"/>
      <c r="CJ122" s="828"/>
    </row>
    <row r="123" spans="1:88" ht="12.95" customHeight="1" thickBot="1">
      <c r="A123" s="300">
        <v>21</v>
      </c>
      <c r="B123" s="301">
        <v>4463</v>
      </c>
      <c r="C123" s="301">
        <v>600074684</v>
      </c>
      <c r="D123" s="301">
        <v>71010467</v>
      </c>
      <c r="E123" s="294" t="s">
        <v>349</v>
      </c>
      <c r="F123" s="295"/>
      <c r="G123" s="296"/>
      <c r="H123" s="296"/>
      <c r="I123" s="499">
        <v>3767140</v>
      </c>
      <c r="J123" s="500">
        <v>2761231</v>
      </c>
      <c r="K123" s="500">
        <v>2520200</v>
      </c>
      <c r="L123" s="500">
        <v>241031</v>
      </c>
      <c r="M123" s="500">
        <v>0</v>
      </c>
      <c r="N123" s="500">
        <v>0</v>
      </c>
      <c r="O123" s="500">
        <v>0</v>
      </c>
      <c r="P123" s="500">
        <v>933296</v>
      </c>
      <c r="Q123" s="500">
        <v>27613</v>
      </c>
      <c r="R123" s="500">
        <v>45000</v>
      </c>
      <c r="S123" s="501">
        <v>4.6372</v>
      </c>
      <c r="T123" s="501">
        <v>3.9935</v>
      </c>
      <c r="U123" s="576">
        <v>0.64369999999999994</v>
      </c>
      <c r="V123" s="499">
        <f t="shared" ref="V123:BK123" si="200">SUM(V119:V122)</f>
        <v>0</v>
      </c>
      <c r="W123" s="500">
        <f t="shared" si="200"/>
        <v>0</v>
      </c>
      <c r="X123" s="500">
        <f t="shared" si="200"/>
        <v>0</v>
      </c>
      <c r="Y123" s="500">
        <f t="shared" si="200"/>
        <v>0</v>
      </c>
      <c r="Z123" s="500">
        <f t="shared" si="200"/>
        <v>0</v>
      </c>
      <c r="AA123" s="500">
        <f t="shared" si="200"/>
        <v>0</v>
      </c>
      <c r="AB123" s="500">
        <f t="shared" si="200"/>
        <v>0</v>
      </c>
      <c r="AC123" s="500">
        <f t="shared" si="200"/>
        <v>0</v>
      </c>
      <c r="AD123" s="500">
        <f t="shared" si="200"/>
        <v>0</v>
      </c>
      <c r="AE123" s="500">
        <f t="shared" si="200"/>
        <v>0</v>
      </c>
      <c r="AF123" s="500">
        <f t="shared" si="200"/>
        <v>0</v>
      </c>
      <c r="AG123" s="500">
        <f t="shared" si="200"/>
        <v>0</v>
      </c>
      <c r="AH123" s="500">
        <f t="shared" si="200"/>
        <v>0</v>
      </c>
      <c r="AI123" s="500">
        <f t="shared" si="200"/>
        <v>0</v>
      </c>
      <c r="AJ123" s="500">
        <f t="shared" si="200"/>
        <v>0</v>
      </c>
      <c r="AK123" s="500">
        <f t="shared" si="200"/>
        <v>0</v>
      </c>
      <c r="AL123" s="500">
        <f t="shared" si="200"/>
        <v>0</v>
      </c>
      <c r="AM123" s="500">
        <f t="shared" si="200"/>
        <v>0</v>
      </c>
      <c r="AN123" s="500">
        <f t="shared" si="200"/>
        <v>0</v>
      </c>
      <c r="AO123" s="500">
        <f t="shared" si="200"/>
        <v>0</v>
      </c>
      <c r="AP123" s="500">
        <f t="shared" si="200"/>
        <v>0</v>
      </c>
      <c r="AQ123" s="500">
        <f t="shared" si="200"/>
        <v>0</v>
      </c>
      <c r="AR123" s="500">
        <f t="shared" si="200"/>
        <v>0</v>
      </c>
      <c r="AS123" s="500">
        <f t="shared" si="200"/>
        <v>0</v>
      </c>
      <c r="AT123" s="500">
        <f t="shared" si="200"/>
        <v>0</v>
      </c>
      <c r="AU123" s="500">
        <f t="shared" si="200"/>
        <v>0</v>
      </c>
      <c r="AV123" s="500">
        <f t="shared" si="200"/>
        <v>0</v>
      </c>
      <c r="AW123" s="500">
        <f t="shared" si="200"/>
        <v>0</v>
      </c>
      <c r="AX123" s="500">
        <f t="shared" si="200"/>
        <v>0</v>
      </c>
      <c r="AY123" s="500">
        <f t="shared" si="200"/>
        <v>0</v>
      </c>
      <c r="AZ123" s="501">
        <f t="shared" si="200"/>
        <v>0</v>
      </c>
      <c r="BA123" s="501">
        <f t="shared" si="200"/>
        <v>0</v>
      </c>
      <c r="BB123" s="501">
        <f t="shared" si="200"/>
        <v>0</v>
      </c>
      <c r="BC123" s="501">
        <f t="shared" si="200"/>
        <v>0</v>
      </c>
      <c r="BD123" s="501">
        <f t="shared" si="200"/>
        <v>0</v>
      </c>
      <c r="BE123" s="501">
        <f t="shared" si="200"/>
        <v>0</v>
      </c>
      <c r="BF123" s="501">
        <f t="shared" si="200"/>
        <v>0</v>
      </c>
      <c r="BG123" s="501">
        <f t="shared" si="200"/>
        <v>0</v>
      </c>
      <c r="BH123" s="501">
        <f t="shared" si="200"/>
        <v>0</v>
      </c>
      <c r="BI123" s="501">
        <f t="shared" si="200"/>
        <v>0</v>
      </c>
      <c r="BJ123" s="501">
        <f t="shared" si="200"/>
        <v>0</v>
      </c>
      <c r="BK123" s="511">
        <f t="shared" si="200"/>
        <v>0</v>
      </c>
      <c r="BL123" s="777">
        <f t="shared" ref="BL123:CG123" si="201">SUM(BL119:BL122)</f>
        <v>3767140</v>
      </c>
      <c r="BM123" s="500">
        <f t="shared" si="201"/>
        <v>2761231</v>
      </c>
      <c r="BN123" s="500">
        <f t="shared" si="201"/>
        <v>2520200</v>
      </c>
      <c r="BO123" s="500">
        <f t="shared" si="201"/>
        <v>241031</v>
      </c>
      <c r="BP123" s="500">
        <f t="shared" si="201"/>
        <v>0</v>
      </c>
      <c r="BQ123" s="500">
        <f t="shared" si="201"/>
        <v>0</v>
      </c>
      <c r="BR123" s="500">
        <f t="shared" si="201"/>
        <v>0</v>
      </c>
      <c r="BS123" s="500">
        <f t="shared" si="201"/>
        <v>933296</v>
      </c>
      <c r="BT123" s="500">
        <f t="shared" si="201"/>
        <v>27613</v>
      </c>
      <c r="BU123" s="500">
        <f t="shared" si="201"/>
        <v>45000</v>
      </c>
      <c r="BV123" s="501">
        <f t="shared" si="201"/>
        <v>4.6372</v>
      </c>
      <c r="BW123" s="501">
        <f t="shared" si="201"/>
        <v>3.9935</v>
      </c>
      <c r="BX123" s="511">
        <f t="shared" si="201"/>
        <v>0.64369999999999994</v>
      </c>
      <c r="BY123" s="823">
        <f t="shared" si="201"/>
        <v>0</v>
      </c>
      <c r="BZ123" s="718">
        <f t="shared" si="201"/>
        <v>0</v>
      </c>
      <c r="CA123" s="718">
        <f t="shared" si="201"/>
        <v>0</v>
      </c>
      <c r="CB123" s="718">
        <f t="shared" si="201"/>
        <v>0</v>
      </c>
      <c r="CC123" s="718">
        <f t="shared" si="201"/>
        <v>0</v>
      </c>
      <c r="CD123" s="824">
        <f t="shared" si="201"/>
        <v>0</v>
      </c>
      <c r="CE123" s="987">
        <f t="shared" si="201"/>
        <v>105315</v>
      </c>
      <c r="CF123" s="987">
        <f t="shared" si="201"/>
        <v>72959</v>
      </c>
      <c r="CG123" s="987">
        <f t="shared" si="201"/>
        <v>24660</v>
      </c>
      <c r="CH123" s="987">
        <f t="shared" ref="CH123:CJ123" si="202">SUM(CH119:CH122)</f>
        <v>730</v>
      </c>
      <c r="CI123" s="987">
        <f t="shared" si="202"/>
        <v>6966</v>
      </c>
      <c r="CJ123" s="938">
        <f t="shared" si="202"/>
        <v>0.18909999999999999</v>
      </c>
    </row>
    <row r="124" spans="1:88" ht="14.25" customHeight="1" thickBot="1">
      <c r="A124" s="302"/>
      <c r="B124" s="303"/>
      <c r="C124" s="304"/>
      <c r="D124" s="303"/>
      <c r="E124" s="305" t="s">
        <v>756</v>
      </c>
      <c r="F124" s="304"/>
      <c r="G124" s="306"/>
      <c r="H124" s="307"/>
      <c r="I124" s="547">
        <f t="shared" ref="I124:BW124" si="203">I123+I118+I114+I107+I100+I93+I86+I79+I72+I65+I58+I56+I50+I46+I44+I42+I36+I30+I24+I18+I13</f>
        <v>362711590</v>
      </c>
      <c r="J124" s="466">
        <f t="shared" si="203"/>
        <v>264824931</v>
      </c>
      <c r="K124" s="466">
        <f t="shared" si="203"/>
        <v>222400643</v>
      </c>
      <c r="L124" s="466">
        <f t="shared" si="203"/>
        <v>42424288</v>
      </c>
      <c r="M124" s="466">
        <f t="shared" si="203"/>
        <v>1427320</v>
      </c>
      <c r="N124" s="466">
        <f t="shared" si="203"/>
        <v>836040</v>
      </c>
      <c r="O124" s="466">
        <f t="shared" si="203"/>
        <v>591280</v>
      </c>
      <c r="P124" s="555">
        <f t="shared" si="203"/>
        <v>89993255</v>
      </c>
      <c r="Q124" s="555">
        <f t="shared" si="203"/>
        <v>2648255</v>
      </c>
      <c r="R124" s="466">
        <f t="shared" si="203"/>
        <v>3817829</v>
      </c>
      <c r="S124" s="566">
        <f t="shared" si="203"/>
        <v>502.30549999999999</v>
      </c>
      <c r="T124" s="566">
        <f t="shared" si="203"/>
        <v>371.7894</v>
      </c>
      <c r="U124" s="624">
        <f t="shared" si="203"/>
        <v>130.51609999999999</v>
      </c>
      <c r="V124" s="555">
        <f t="shared" si="203"/>
        <v>249482</v>
      </c>
      <c r="W124" s="555">
        <f t="shared" si="203"/>
        <v>-117362</v>
      </c>
      <c r="X124" s="555">
        <f t="shared" si="203"/>
        <v>-380914</v>
      </c>
      <c r="Y124" s="555">
        <f t="shared" si="203"/>
        <v>0</v>
      </c>
      <c r="Z124" s="753">
        <f t="shared" si="203"/>
        <v>335526</v>
      </c>
      <c r="AA124" s="555">
        <f t="shared" si="203"/>
        <v>-140758</v>
      </c>
      <c r="AB124" s="555">
        <f t="shared" si="203"/>
        <v>0</v>
      </c>
      <c r="AC124" s="555">
        <f t="shared" si="203"/>
        <v>0</v>
      </c>
      <c r="AD124" s="555">
        <f t="shared" si="203"/>
        <v>0</v>
      </c>
      <c r="AE124" s="555">
        <f t="shared" si="203"/>
        <v>204094</v>
      </c>
      <c r="AF124" s="555">
        <f t="shared" si="203"/>
        <v>-258120</v>
      </c>
      <c r="AG124" s="555">
        <f t="shared" si="203"/>
        <v>-54026</v>
      </c>
      <c r="AH124" s="555">
        <f t="shared" si="203"/>
        <v>-249482</v>
      </c>
      <c r="AI124" s="555">
        <f t="shared" si="203"/>
        <v>117362</v>
      </c>
      <c r="AJ124" s="555">
        <f t="shared" si="203"/>
        <v>0</v>
      </c>
      <c r="AK124" s="555">
        <f t="shared" si="203"/>
        <v>113034</v>
      </c>
      <c r="AL124" s="555">
        <f t="shared" si="203"/>
        <v>0</v>
      </c>
      <c r="AM124" s="555">
        <f t="shared" si="203"/>
        <v>-136448</v>
      </c>
      <c r="AN124" s="555">
        <f t="shared" si="203"/>
        <v>133282</v>
      </c>
      <c r="AO124" s="555">
        <f t="shared" si="203"/>
        <v>-3166</v>
      </c>
      <c r="AP124" s="555">
        <f t="shared" si="203"/>
        <v>67646</v>
      </c>
      <c r="AQ124" s="555">
        <f t="shared" si="203"/>
        <v>-124838</v>
      </c>
      <c r="AR124" s="555">
        <f t="shared" si="203"/>
        <v>-57192</v>
      </c>
      <c r="AS124" s="555">
        <f t="shared" si="203"/>
        <v>-62915</v>
      </c>
      <c r="AT124" s="555">
        <f t="shared" si="203"/>
        <v>-540</v>
      </c>
      <c r="AU124" s="555">
        <f t="shared" si="203"/>
        <v>12000</v>
      </c>
      <c r="AV124" s="555">
        <f t="shared" si="203"/>
        <v>0</v>
      </c>
      <c r="AW124" s="555">
        <f t="shared" si="203"/>
        <v>0</v>
      </c>
      <c r="AX124" s="555">
        <f t="shared" si="203"/>
        <v>12000</v>
      </c>
      <c r="AY124" s="555">
        <f t="shared" si="203"/>
        <v>-108647</v>
      </c>
      <c r="AZ124" s="567">
        <f t="shared" si="203"/>
        <v>-6.9999999999999979E-2</v>
      </c>
      <c r="BA124" s="567">
        <f t="shared" si="203"/>
        <v>-0.25</v>
      </c>
      <c r="BB124" s="567">
        <f t="shared" si="203"/>
        <v>-0.97999999999999987</v>
      </c>
      <c r="BC124" s="567">
        <f t="shared" si="203"/>
        <v>0.64000000000000024</v>
      </c>
      <c r="BD124" s="567">
        <f t="shared" si="203"/>
        <v>-0.42000000000000004</v>
      </c>
      <c r="BE124" s="567">
        <f t="shared" si="203"/>
        <v>0</v>
      </c>
      <c r="BF124" s="567">
        <f t="shared" si="203"/>
        <v>0</v>
      </c>
      <c r="BG124" s="567">
        <f t="shared" si="203"/>
        <v>0</v>
      </c>
      <c r="BH124" s="567">
        <f t="shared" si="203"/>
        <v>0</v>
      </c>
      <c r="BI124" s="567">
        <f t="shared" si="203"/>
        <v>-0.40999999999999992</v>
      </c>
      <c r="BJ124" s="567">
        <f t="shared" si="203"/>
        <v>-0.66999999999999993</v>
      </c>
      <c r="BK124" s="577">
        <f t="shared" si="203"/>
        <v>-1.0799999999999996</v>
      </c>
      <c r="BL124" s="575">
        <f t="shared" si="203"/>
        <v>362602943</v>
      </c>
      <c r="BM124" s="555">
        <f t="shared" si="203"/>
        <v>264770905</v>
      </c>
      <c r="BN124" s="555">
        <f t="shared" si="203"/>
        <v>222604737</v>
      </c>
      <c r="BO124" s="555">
        <f t="shared" si="203"/>
        <v>42166168</v>
      </c>
      <c r="BP124" s="555">
        <f t="shared" si="203"/>
        <v>1424154</v>
      </c>
      <c r="BQ124" s="555">
        <f t="shared" si="203"/>
        <v>699592</v>
      </c>
      <c r="BR124" s="555">
        <f t="shared" si="203"/>
        <v>724562</v>
      </c>
      <c r="BS124" s="555">
        <f t="shared" si="203"/>
        <v>89930340</v>
      </c>
      <c r="BT124" s="555">
        <f t="shared" si="203"/>
        <v>2647715</v>
      </c>
      <c r="BU124" s="555">
        <f t="shared" si="203"/>
        <v>3829829</v>
      </c>
      <c r="BV124" s="567">
        <f t="shared" si="203"/>
        <v>501.22549999999995</v>
      </c>
      <c r="BW124" s="567">
        <f t="shared" si="203"/>
        <v>371.37940000000003</v>
      </c>
      <c r="BX124" s="763">
        <f t="shared" ref="BX124:CJ124" si="204">BX123+BX118+BX114+BX107+BX100+BX93+BX86+BX79+BX72+BX65+BX58+BX56+BX50+BX46+BX44+BX42+BX36+BX30+BX24+BX18+BX13</f>
        <v>129.84609999999998</v>
      </c>
      <c r="BY124" s="719">
        <f t="shared" si="204"/>
        <v>456163</v>
      </c>
      <c r="BZ124" s="720">
        <f t="shared" si="204"/>
        <v>338400</v>
      </c>
      <c r="CA124" s="720">
        <f t="shared" si="204"/>
        <v>0</v>
      </c>
      <c r="CB124" s="720">
        <f t="shared" si="204"/>
        <v>114379</v>
      </c>
      <c r="CC124" s="720">
        <f t="shared" si="204"/>
        <v>3384</v>
      </c>
      <c r="CD124" s="825">
        <f t="shared" si="204"/>
        <v>0.60000000000000009</v>
      </c>
      <c r="CE124" s="988">
        <f t="shared" si="204"/>
        <v>10419125</v>
      </c>
      <c r="CF124" s="988">
        <f t="shared" si="204"/>
        <v>7084424</v>
      </c>
      <c r="CG124" s="988">
        <f t="shared" si="204"/>
        <v>2394536</v>
      </c>
      <c r="CH124" s="988">
        <f t="shared" si="204"/>
        <v>70846</v>
      </c>
      <c r="CI124" s="988">
        <f t="shared" si="204"/>
        <v>869319</v>
      </c>
      <c r="CJ124" s="937">
        <f t="shared" si="204"/>
        <v>21.948099999999993</v>
      </c>
    </row>
    <row r="125" spans="1:88" ht="12.75" customHeight="1">
      <c r="B125" s="309"/>
      <c r="D125" s="309"/>
      <c r="E125" s="310"/>
      <c r="I125" s="427">
        <f>J124+M124+P124+Q124+R124</f>
        <v>362711590</v>
      </c>
      <c r="J125" s="427">
        <f>SUM(K124:L124)</f>
        <v>264824931</v>
      </c>
      <c r="K125" s="427"/>
      <c r="L125" s="427"/>
      <c r="M125" s="427">
        <f>SUM(N124:O124)</f>
        <v>1427320</v>
      </c>
      <c r="N125" s="427"/>
      <c r="O125" s="427"/>
      <c r="P125" s="427"/>
      <c r="Q125" s="427"/>
      <c r="R125" s="427"/>
      <c r="S125" s="428">
        <f>SUM(T124:U124)</f>
        <v>502.30549999999999</v>
      </c>
      <c r="T125" s="428"/>
      <c r="U125" s="428"/>
      <c r="V125" s="427">
        <f>AH124</f>
        <v>-249482</v>
      </c>
      <c r="W125" s="427">
        <f>AI124</f>
        <v>117362</v>
      </c>
      <c r="X125" s="428"/>
      <c r="Y125" s="428"/>
      <c r="Z125" s="428"/>
      <c r="AA125" s="428"/>
      <c r="AB125" s="427"/>
      <c r="AC125" s="428"/>
      <c r="AD125" s="428"/>
      <c r="AE125" s="429"/>
      <c r="AF125" s="429"/>
      <c r="AG125" s="429">
        <f>SUM(AE124:AF124)</f>
        <v>-54026</v>
      </c>
      <c r="AH125" s="429">
        <f>V124</f>
        <v>249482</v>
      </c>
      <c r="AI125" s="429">
        <f>W124</f>
        <v>-117362</v>
      </c>
      <c r="AJ125" s="430"/>
      <c r="AK125" s="430"/>
      <c r="AL125" s="430"/>
      <c r="AM125" s="429"/>
      <c r="AN125" s="429"/>
      <c r="AO125" s="429">
        <f>SUM(AM124:AN124)</f>
        <v>-3166</v>
      </c>
      <c r="AP125" s="429"/>
      <c r="AQ125" s="429"/>
      <c r="AR125" s="429">
        <f>SUM(AP124:AQ124)</f>
        <v>-57192</v>
      </c>
      <c r="AS125" s="431"/>
      <c r="AT125" s="431"/>
      <c r="AU125" s="430"/>
      <c r="AV125" s="430"/>
      <c r="AW125" s="429"/>
      <c r="AX125" s="429">
        <f>SUM(AU124:AW124)</f>
        <v>12000</v>
      </c>
      <c r="AY125" s="429">
        <f>AG124+AO124+AS124+AT124+AX124</f>
        <v>-108647</v>
      </c>
      <c r="AZ125" s="432"/>
      <c r="BA125" s="432"/>
      <c r="BB125" s="432"/>
      <c r="BC125" s="432"/>
      <c r="BD125" s="432"/>
      <c r="BE125" s="432"/>
      <c r="BF125" s="507"/>
      <c r="BG125" s="432"/>
      <c r="BH125" s="432"/>
      <c r="BI125" s="507">
        <f>AZ124+BB124+BC124+BE124+BG124</f>
        <v>-0.40999999999999959</v>
      </c>
      <c r="BJ125" s="507">
        <f>BA124+BD124+BF124+BH124</f>
        <v>-0.67</v>
      </c>
      <c r="BK125" s="507">
        <f>SUM(BI124:BJ124)</f>
        <v>-1.0799999999999998</v>
      </c>
      <c r="BL125" s="427">
        <f>BM124+BP124+BS124+BT124+BU124</f>
        <v>362602943</v>
      </c>
      <c r="BM125" s="427">
        <f>SUM(BN124:BO124)</f>
        <v>264770905</v>
      </c>
      <c r="BN125" s="429">
        <f>K124+AE124</f>
        <v>222604737</v>
      </c>
      <c r="BO125" s="429">
        <f>L124+AF124</f>
        <v>42166168</v>
      </c>
      <c r="BP125" s="86">
        <f>SUM(BQ124:BR124)</f>
        <v>1424154</v>
      </c>
      <c r="BQ125" s="429">
        <f>N124+AM124</f>
        <v>699592</v>
      </c>
      <c r="BR125" s="429">
        <f>O124+AN124</f>
        <v>724562</v>
      </c>
      <c r="BS125" s="429">
        <f>P124+AS124</f>
        <v>89930340</v>
      </c>
      <c r="BT125" s="429">
        <f>Q124+AT124</f>
        <v>2647715</v>
      </c>
      <c r="BU125" s="429">
        <f>R124+AX124</f>
        <v>3829829</v>
      </c>
      <c r="BV125" s="428">
        <f>SUM(BW124:BX124)</f>
        <v>501.22550000000001</v>
      </c>
      <c r="BW125" s="507">
        <f>T124+BI124</f>
        <v>371.37939999999998</v>
      </c>
      <c r="BX125" s="507">
        <f>U124+BJ124</f>
        <v>129.84610000000001</v>
      </c>
      <c r="BY125" s="235">
        <f>SUM(BZ124:CC124)</f>
        <v>456163</v>
      </c>
      <c r="BZ125" s="989"/>
      <c r="CA125" s="989"/>
      <c r="CB125" s="989"/>
      <c r="CC125" s="989"/>
      <c r="CD125" s="990"/>
      <c r="CE125" s="235">
        <f>SUM(CF124:CI124)</f>
        <v>10419125</v>
      </c>
      <c r="CF125" s="989"/>
      <c r="CG125" s="989"/>
      <c r="CH125" s="989"/>
      <c r="CI125" s="989"/>
      <c r="CJ125" s="990"/>
    </row>
    <row r="126" spans="1:88" ht="12.75" customHeight="1" thickBot="1">
      <c r="B126" s="309"/>
      <c r="D126" s="309"/>
      <c r="E126" s="250"/>
      <c r="I126" s="427">
        <f>J127+M127+P127+Q127+R127</f>
        <v>362711590</v>
      </c>
      <c r="J126" s="427">
        <f>SUM(K127:L127)</f>
        <v>264824931</v>
      </c>
      <c r="K126" s="427"/>
      <c r="L126" s="427"/>
      <c r="M126" s="427">
        <f>SUM(N127:O127)</f>
        <v>1427320</v>
      </c>
      <c r="N126" s="427"/>
      <c r="O126" s="427"/>
      <c r="P126" s="427"/>
      <c r="Q126" s="427"/>
      <c r="R126" s="427"/>
      <c r="S126" s="428">
        <f>SUM(T127:U127)</f>
        <v>502.30549999999999</v>
      </c>
      <c r="T126" s="428"/>
      <c r="U126" s="428"/>
      <c r="V126" s="427">
        <f>AH127</f>
        <v>-249482</v>
      </c>
      <c r="W126" s="427">
        <f>AI127</f>
        <v>117362</v>
      </c>
      <c r="X126" s="428"/>
      <c r="Y126" s="428"/>
      <c r="Z126" s="428"/>
      <c r="AA126" s="428"/>
      <c r="AB126" s="427"/>
      <c r="AC126" s="428"/>
      <c r="AD126" s="428"/>
      <c r="AE126" s="429"/>
      <c r="AF126" s="429"/>
      <c r="AG126" s="429">
        <f>SUM(AE127:AF127)</f>
        <v>-54026</v>
      </c>
      <c r="AH126" s="429"/>
      <c r="AI126" s="429"/>
      <c r="AJ126" s="430"/>
      <c r="AK126" s="430"/>
      <c r="AL126" s="430"/>
      <c r="AM126" s="429"/>
      <c r="AN126" s="429"/>
      <c r="AO126" s="429">
        <f>SUM(AM127:AN127)</f>
        <v>-3166</v>
      </c>
      <c r="AP126" s="429"/>
      <c r="AQ126" s="429"/>
      <c r="AR126" s="429">
        <f>SUM(AP127:AQ127)</f>
        <v>-57192</v>
      </c>
      <c r="AS126" s="431"/>
      <c r="AT126" s="431"/>
      <c r="AU126" s="430"/>
      <c r="AV126" s="430"/>
      <c r="AW126" s="429"/>
      <c r="AX126" s="429">
        <f>SUM(AU127:AW127)</f>
        <v>12000</v>
      </c>
      <c r="AY126" s="429">
        <f>AG127+AO127+AS127+AT127+AX127</f>
        <v>-108647</v>
      </c>
      <c r="AZ126" s="432"/>
      <c r="BA126" s="432"/>
      <c r="BB126" s="432"/>
      <c r="BC126" s="432"/>
      <c r="BD126" s="432"/>
      <c r="BE126" s="432"/>
      <c r="BF126" s="507"/>
      <c r="BG126" s="432"/>
      <c r="BH126" s="432"/>
      <c r="BI126" s="507">
        <f>AZ127+BB127+BC127+BE127+BG127</f>
        <v>-0.40999999999999981</v>
      </c>
      <c r="BJ126" s="507">
        <f>BA127+BD127+BF127+BH127</f>
        <v>-0.66999999999999993</v>
      </c>
      <c r="BK126" s="507">
        <f>SUM(BI127:BJ127)</f>
        <v>-1.0799999999999996</v>
      </c>
      <c r="BL126" s="427">
        <f>BM127+BP127+BS127+BT127+BU127</f>
        <v>362602943</v>
      </c>
      <c r="BM126" s="427">
        <f>SUM(BN127:BO127)</f>
        <v>264770905</v>
      </c>
      <c r="BN126" s="53"/>
      <c r="BO126" s="53"/>
      <c r="BP126" s="86">
        <f>SUM(BQ127:BR127)</f>
        <v>1424154</v>
      </c>
      <c r="BQ126" s="53"/>
      <c r="BR126" s="53"/>
      <c r="BS126" s="53"/>
      <c r="BT126" s="53"/>
      <c r="BU126" s="53"/>
      <c r="BV126" s="428">
        <f>SUM(BW127:BX127)</f>
        <v>501.22549999999995</v>
      </c>
      <c r="BW126" s="87"/>
      <c r="BX126" s="87"/>
      <c r="BY126" s="235">
        <f>SUM(BZ127:CC127)</f>
        <v>456163</v>
      </c>
      <c r="BZ126" s="989"/>
      <c r="CA126" s="989"/>
      <c r="CB126" s="989"/>
      <c r="CC126" s="989"/>
      <c r="CD126" s="990"/>
      <c r="CE126" s="235">
        <f>SUM(CF127:CI127)</f>
        <v>10419125</v>
      </c>
      <c r="CF126" s="989"/>
      <c r="CG126" s="989"/>
      <c r="CH126" s="989"/>
      <c r="CI126" s="989"/>
      <c r="CJ126" s="990"/>
    </row>
    <row r="127" spans="1:88" s="89" customFormat="1" ht="12.95" customHeight="1" thickBot="1">
      <c r="D127" s="311"/>
      <c r="E127" s="312"/>
      <c r="F127" s="311"/>
      <c r="G127" s="313"/>
      <c r="H127" s="474" t="s">
        <v>0</v>
      </c>
      <c r="I127" s="139">
        <f t="shared" ref="I127:BW127" si="205">SUM(I128:I137)</f>
        <v>362711590</v>
      </c>
      <c r="J127" s="34">
        <f t="shared" si="205"/>
        <v>264824931</v>
      </c>
      <c r="K127" s="34">
        <f t="shared" si="205"/>
        <v>222400643</v>
      </c>
      <c r="L127" s="34">
        <f t="shared" si="205"/>
        <v>42424288</v>
      </c>
      <c r="M127" s="34">
        <f t="shared" si="205"/>
        <v>1427320</v>
      </c>
      <c r="N127" s="34">
        <f t="shared" si="205"/>
        <v>836040</v>
      </c>
      <c r="O127" s="34">
        <f t="shared" si="205"/>
        <v>591280</v>
      </c>
      <c r="P127" s="34">
        <f t="shared" si="205"/>
        <v>89993255</v>
      </c>
      <c r="Q127" s="34">
        <f t="shared" si="205"/>
        <v>2648255</v>
      </c>
      <c r="R127" s="34">
        <f t="shared" si="205"/>
        <v>3817829</v>
      </c>
      <c r="S127" s="35">
        <f t="shared" si="205"/>
        <v>502.30550000000005</v>
      </c>
      <c r="T127" s="35">
        <f t="shared" si="205"/>
        <v>371.7894</v>
      </c>
      <c r="U127" s="625">
        <f t="shared" si="205"/>
        <v>130.51609999999999</v>
      </c>
      <c r="V127" s="149">
        <f t="shared" si="205"/>
        <v>249482</v>
      </c>
      <c r="W127" s="34">
        <f t="shared" si="205"/>
        <v>-117362</v>
      </c>
      <c r="X127" s="34">
        <f t="shared" si="205"/>
        <v>-380914</v>
      </c>
      <c r="Y127" s="34">
        <f t="shared" si="205"/>
        <v>0</v>
      </c>
      <c r="Z127" s="34">
        <f t="shared" si="205"/>
        <v>335526</v>
      </c>
      <c r="AA127" s="34">
        <f t="shared" si="205"/>
        <v>-140758</v>
      </c>
      <c r="AB127" s="34">
        <f t="shared" si="205"/>
        <v>0</v>
      </c>
      <c r="AC127" s="34">
        <f t="shared" si="205"/>
        <v>0</v>
      </c>
      <c r="AD127" s="34">
        <f t="shared" si="205"/>
        <v>0</v>
      </c>
      <c r="AE127" s="34">
        <f t="shared" si="205"/>
        <v>204094</v>
      </c>
      <c r="AF127" s="34">
        <f t="shared" si="205"/>
        <v>-258120</v>
      </c>
      <c r="AG127" s="34">
        <f t="shared" si="205"/>
        <v>-54026</v>
      </c>
      <c r="AH127" s="34">
        <f t="shared" si="205"/>
        <v>-249482</v>
      </c>
      <c r="AI127" s="34">
        <f t="shared" si="205"/>
        <v>117362</v>
      </c>
      <c r="AJ127" s="34">
        <f t="shared" si="205"/>
        <v>0</v>
      </c>
      <c r="AK127" s="34">
        <f t="shared" si="205"/>
        <v>113034</v>
      </c>
      <c r="AL127" s="34">
        <f t="shared" si="205"/>
        <v>0</v>
      </c>
      <c r="AM127" s="34">
        <f t="shared" si="205"/>
        <v>-136448</v>
      </c>
      <c r="AN127" s="34">
        <f t="shared" si="205"/>
        <v>133282</v>
      </c>
      <c r="AO127" s="34">
        <f t="shared" si="205"/>
        <v>-3166</v>
      </c>
      <c r="AP127" s="34">
        <f t="shared" si="205"/>
        <v>67646</v>
      </c>
      <c r="AQ127" s="34">
        <f t="shared" si="205"/>
        <v>-124838</v>
      </c>
      <c r="AR127" s="34">
        <f t="shared" si="205"/>
        <v>-57192</v>
      </c>
      <c r="AS127" s="34">
        <f t="shared" si="205"/>
        <v>-62915</v>
      </c>
      <c r="AT127" s="34">
        <f t="shared" si="205"/>
        <v>-540</v>
      </c>
      <c r="AU127" s="34">
        <f t="shared" si="205"/>
        <v>12000</v>
      </c>
      <c r="AV127" s="34">
        <f t="shared" si="205"/>
        <v>0</v>
      </c>
      <c r="AW127" s="34">
        <f t="shared" si="205"/>
        <v>0</v>
      </c>
      <c r="AX127" s="34">
        <f t="shared" si="205"/>
        <v>12000</v>
      </c>
      <c r="AY127" s="34">
        <f t="shared" si="205"/>
        <v>-108647</v>
      </c>
      <c r="AZ127" s="35">
        <f t="shared" si="205"/>
        <v>-7.0000000000000007E-2</v>
      </c>
      <c r="BA127" s="35">
        <f t="shared" si="205"/>
        <v>-0.24999999999999997</v>
      </c>
      <c r="BB127" s="35">
        <f t="shared" si="205"/>
        <v>-0.98</v>
      </c>
      <c r="BC127" s="35">
        <f t="shared" si="205"/>
        <v>0.64000000000000024</v>
      </c>
      <c r="BD127" s="35">
        <f t="shared" si="205"/>
        <v>-0.42</v>
      </c>
      <c r="BE127" s="35">
        <f t="shared" si="205"/>
        <v>0</v>
      </c>
      <c r="BF127" s="35">
        <f t="shared" si="205"/>
        <v>0</v>
      </c>
      <c r="BG127" s="35">
        <f t="shared" si="205"/>
        <v>0</v>
      </c>
      <c r="BH127" s="35">
        <f t="shared" si="205"/>
        <v>0</v>
      </c>
      <c r="BI127" s="35">
        <f t="shared" si="205"/>
        <v>-0.4099999999999997</v>
      </c>
      <c r="BJ127" s="35">
        <f t="shared" si="205"/>
        <v>-0.66999999999999993</v>
      </c>
      <c r="BK127" s="148">
        <f t="shared" si="205"/>
        <v>-1.0799999999999996</v>
      </c>
      <c r="BL127" s="139">
        <f t="shared" si="205"/>
        <v>362602943</v>
      </c>
      <c r="BM127" s="34">
        <f t="shared" si="205"/>
        <v>264770905</v>
      </c>
      <c r="BN127" s="34">
        <f t="shared" si="205"/>
        <v>222604737</v>
      </c>
      <c r="BO127" s="34">
        <f t="shared" si="205"/>
        <v>42166168</v>
      </c>
      <c r="BP127" s="34">
        <f t="shared" si="205"/>
        <v>1424154</v>
      </c>
      <c r="BQ127" s="34">
        <f t="shared" si="205"/>
        <v>699592</v>
      </c>
      <c r="BR127" s="34">
        <f t="shared" si="205"/>
        <v>724562</v>
      </c>
      <c r="BS127" s="34">
        <f t="shared" si="205"/>
        <v>89930340</v>
      </c>
      <c r="BT127" s="34">
        <f t="shared" si="205"/>
        <v>2647715</v>
      </c>
      <c r="BU127" s="34">
        <f t="shared" si="205"/>
        <v>3829829</v>
      </c>
      <c r="BV127" s="35">
        <f t="shared" si="205"/>
        <v>501.22550000000001</v>
      </c>
      <c r="BW127" s="35">
        <f t="shared" si="205"/>
        <v>371.37939999999998</v>
      </c>
      <c r="BX127" s="148">
        <f t="shared" ref="BX127:CJ127" si="206">SUM(BX128:BX137)</f>
        <v>129.84609999999998</v>
      </c>
      <c r="BY127" s="671">
        <f t="shared" si="206"/>
        <v>456163</v>
      </c>
      <c r="BZ127" s="667">
        <f t="shared" si="206"/>
        <v>338400</v>
      </c>
      <c r="CA127" s="667">
        <f t="shared" si="206"/>
        <v>0</v>
      </c>
      <c r="CB127" s="667">
        <f t="shared" si="206"/>
        <v>114379</v>
      </c>
      <c r="CC127" s="667">
        <f t="shared" si="206"/>
        <v>3384</v>
      </c>
      <c r="CD127" s="672">
        <f t="shared" si="206"/>
        <v>0.60000000000000009</v>
      </c>
      <c r="CE127" s="991">
        <f t="shared" si="206"/>
        <v>10419125</v>
      </c>
      <c r="CF127" s="991">
        <f t="shared" si="206"/>
        <v>7084424</v>
      </c>
      <c r="CG127" s="991">
        <f t="shared" si="206"/>
        <v>2394536</v>
      </c>
      <c r="CH127" s="991">
        <f t="shared" si="206"/>
        <v>70846</v>
      </c>
      <c r="CI127" s="991">
        <f t="shared" si="206"/>
        <v>869319</v>
      </c>
      <c r="CJ127" s="885">
        <f t="shared" si="206"/>
        <v>21.9481</v>
      </c>
    </row>
    <row r="128" spans="1:88" s="89" customFormat="1" ht="12.95" customHeight="1">
      <c r="D128" s="311"/>
      <c r="E128" s="312"/>
      <c r="F128" s="311"/>
      <c r="G128" s="313"/>
      <c r="H128" s="473">
        <v>3111</v>
      </c>
      <c r="I128" s="488">
        <f t="shared" ref="I128:BW128" si="207">SUMIF($F$12:$F$464,"=3111",I$12:I$464)</f>
        <v>72465669</v>
      </c>
      <c r="J128" s="489">
        <f t="shared" si="207"/>
        <v>53378803</v>
      </c>
      <c r="K128" s="489">
        <f t="shared" si="207"/>
        <v>47718080</v>
      </c>
      <c r="L128" s="489">
        <f t="shared" si="207"/>
        <v>5660723</v>
      </c>
      <c r="M128" s="489">
        <f t="shared" si="207"/>
        <v>137400</v>
      </c>
      <c r="N128" s="489">
        <f t="shared" si="207"/>
        <v>43400</v>
      </c>
      <c r="O128" s="489">
        <f t="shared" si="207"/>
        <v>94000</v>
      </c>
      <c r="P128" s="489">
        <f t="shared" si="207"/>
        <v>18088474</v>
      </c>
      <c r="Q128" s="489">
        <f t="shared" si="207"/>
        <v>533792</v>
      </c>
      <c r="R128" s="489">
        <f t="shared" si="207"/>
        <v>327200</v>
      </c>
      <c r="S128" s="492">
        <f t="shared" si="207"/>
        <v>106.87870000000001</v>
      </c>
      <c r="T128" s="492">
        <f t="shared" si="207"/>
        <v>86.057099999999991</v>
      </c>
      <c r="U128" s="626">
        <f t="shared" si="207"/>
        <v>20.821600000000004</v>
      </c>
      <c r="V128" s="490">
        <f t="shared" si="207"/>
        <v>3522</v>
      </c>
      <c r="W128" s="489">
        <f t="shared" si="207"/>
        <v>-30766</v>
      </c>
      <c r="X128" s="489">
        <f t="shared" si="207"/>
        <v>28849</v>
      </c>
      <c r="Y128" s="489">
        <f t="shared" si="207"/>
        <v>0</v>
      </c>
      <c r="Z128" s="489">
        <f t="shared" si="207"/>
        <v>29139</v>
      </c>
      <c r="AA128" s="489">
        <f t="shared" si="207"/>
        <v>0</v>
      </c>
      <c r="AB128" s="489">
        <f t="shared" si="207"/>
        <v>0</v>
      </c>
      <c r="AC128" s="489">
        <f t="shared" si="207"/>
        <v>0</v>
      </c>
      <c r="AD128" s="489">
        <f t="shared" si="207"/>
        <v>0</v>
      </c>
      <c r="AE128" s="489">
        <f t="shared" si="207"/>
        <v>61510</v>
      </c>
      <c r="AF128" s="489">
        <f t="shared" si="207"/>
        <v>-30766</v>
      </c>
      <c r="AG128" s="489">
        <f t="shared" si="207"/>
        <v>30744</v>
      </c>
      <c r="AH128" s="489">
        <f t="shared" si="207"/>
        <v>-3522</v>
      </c>
      <c r="AI128" s="489">
        <f t="shared" si="207"/>
        <v>30766</v>
      </c>
      <c r="AJ128" s="489">
        <f t="shared" si="207"/>
        <v>0</v>
      </c>
      <c r="AK128" s="489">
        <f t="shared" si="207"/>
        <v>0</v>
      </c>
      <c r="AL128" s="489">
        <f t="shared" si="207"/>
        <v>0</v>
      </c>
      <c r="AM128" s="489">
        <f t="shared" si="207"/>
        <v>-3522</v>
      </c>
      <c r="AN128" s="489">
        <f t="shared" si="207"/>
        <v>30766</v>
      </c>
      <c r="AO128" s="489">
        <f t="shared" si="207"/>
        <v>27244</v>
      </c>
      <c r="AP128" s="489">
        <f t="shared" si="207"/>
        <v>57988</v>
      </c>
      <c r="AQ128" s="489">
        <f t="shared" si="207"/>
        <v>0</v>
      </c>
      <c r="AR128" s="489">
        <f t="shared" si="207"/>
        <v>57988</v>
      </c>
      <c r="AS128" s="489">
        <f t="shared" si="207"/>
        <v>19599</v>
      </c>
      <c r="AT128" s="489">
        <f t="shared" si="207"/>
        <v>307</v>
      </c>
      <c r="AU128" s="489">
        <f t="shared" si="207"/>
        <v>500</v>
      </c>
      <c r="AV128" s="489">
        <f t="shared" si="207"/>
        <v>0</v>
      </c>
      <c r="AW128" s="489">
        <f t="shared" si="207"/>
        <v>0</v>
      </c>
      <c r="AX128" s="489">
        <f t="shared" si="207"/>
        <v>500</v>
      </c>
      <c r="AY128" s="489">
        <f t="shared" si="207"/>
        <v>78394</v>
      </c>
      <c r="AZ128" s="492">
        <f t="shared" si="207"/>
        <v>-0.05</v>
      </c>
      <c r="BA128" s="492">
        <f t="shared" si="207"/>
        <v>0.13</v>
      </c>
      <c r="BB128" s="492">
        <f t="shared" si="207"/>
        <v>0.09</v>
      </c>
      <c r="BC128" s="492">
        <f t="shared" si="207"/>
        <v>0.11000000000000021</v>
      </c>
      <c r="BD128" s="492">
        <f t="shared" si="207"/>
        <v>0</v>
      </c>
      <c r="BE128" s="492">
        <f t="shared" si="207"/>
        <v>0</v>
      </c>
      <c r="BF128" s="492">
        <f t="shared" si="207"/>
        <v>0</v>
      </c>
      <c r="BG128" s="492">
        <f t="shared" si="207"/>
        <v>0</v>
      </c>
      <c r="BH128" s="492">
        <f t="shared" si="207"/>
        <v>0</v>
      </c>
      <c r="BI128" s="492">
        <f t="shared" si="207"/>
        <v>0.15000000000000002</v>
      </c>
      <c r="BJ128" s="492">
        <f t="shared" si="207"/>
        <v>0.13</v>
      </c>
      <c r="BK128" s="493">
        <f t="shared" si="207"/>
        <v>0.28000000000000014</v>
      </c>
      <c r="BL128" s="488">
        <f t="shared" si="207"/>
        <v>72544063</v>
      </c>
      <c r="BM128" s="489">
        <f t="shared" si="207"/>
        <v>53409547</v>
      </c>
      <c r="BN128" s="489">
        <f t="shared" si="207"/>
        <v>47779590</v>
      </c>
      <c r="BO128" s="489">
        <f t="shared" si="207"/>
        <v>5629957</v>
      </c>
      <c r="BP128" s="489">
        <f t="shared" si="207"/>
        <v>164644</v>
      </c>
      <c r="BQ128" s="489">
        <f t="shared" si="207"/>
        <v>39878</v>
      </c>
      <c r="BR128" s="489">
        <f t="shared" si="207"/>
        <v>124766</v>
      </c>
      <c r="BS128" s="489">
        <f t="shared" si="207"/>
        <v>18108073</v>
      </c>
      <c r="BT128" s="489">
        <f t="shared" si="207"/>
        <v>534099</v>
      </c>
      <c r="BU128" s="489">
        <f t="shared" si="207"/>
        <v>327700</v>
      </c>
      <c r="BV128" s="492">
        <f t="shared" si="207"/>
        <v>107.1587</v>
      </c>
      <c r="BW128" s="492">
        <f t="shared" si="207"/>
        <v>86.207100000000011</v>
      </c>
      <c r="BX128" s="493">
        <f t="shared" ref="BX128:CJ128" si="208">SUMIF($F$12:$F$464,"=3111",BX$12:BX$464)</f>
        <v>20.951600000000006</v>
      </c>
      <c r="BY128" s="488">
        <f t="shared" si="208"/>
        <v>0</v>
      </c>
      <c r="BZ128" s="489">
        <f t="shared" si="208"/>
        <v>0</v>
      </c>
      <c r="CA128" s="489">
        <f t="shared" si="208"/>
        <v>0</v>
      </c>
      <c r="CB128" s="489">
        <f t="shared" si="208"/>
        <v>0</v>
      </c>
      <c r="CC128" s="489">
        <f t="shared" si="208"/>
        <v>0</v>
      </c>
      <c r="CD128" s="495">
        <f t="shared" si="208"/>
        <v>0</v>
      </c>
      <c r="CE128" s="488">
        <f t="shared" si="208"/>
        <v>2596617</v>
      </c>
      <c r="CF128" s="489">
        <f t="shared" si="208"/>
        <v>1846545</v>
      </c>
      <c r="CG128" s="489">
        <f t="shared" si="208"/>
        <v>624131</v>
      </c>
      <c r="CH128" s="489">
        <f t="shared" si="208"/>
        <v>18465</v>
      </c>
      <c r="CI128" s="489">
        <f t="shared" si="208"/>
        <v>107476</v>
      </c>
      <c r="CJ128" s="495">
        <f t="shared" si="208"/>
        <v>6.7356000000000025</v>
      </c>
    </row>
    <row r="129" spans="4:88" s="89" customFormat="1" ht="12.95" customHeight="1">
      <c r="D129" s="311"/>
      <c r="E129" s="312"/>
      <c r="F129" s="311"/>
      <c r="G129" s="313"/>
      <c r="H129" s="19">
        <v>3113</v>
      </c>
      <c r="I129" s="167">
        <f t="shared" ref="I129:BW129" si="209">SUMIF($F$12:$F$464,"=3113",I$12:I$464)</f>
        <v>173959800</v>
      </c>
      <c r="J129" s="16">
        <f t="shared" si="209"/>
        <v>126437504</v>
      </c>
      <c r="K129" s="16">
        <f t="shared" si="209"/>
        <v>114860750</v>
      </c>
      <c r="L129" s="16">
        <f t="shared" si="209"/>
        <v>11576754</v>
      </c>
      <c r="M129" s="16">
        <f t="shared" si="209"/>
        <v>642920</v>
      </c>
      <c r="N129" s="16">
        <f t="shared" si="209"/>
        <v>485840</v>
      </c>
      <c r="O129" s="16">
        <f t="shared" si="209"/>
        <v>157080</v>
      </c>
      <c r="P129" s="16">
        <f t="shared" si="209"/>
        <v>42953181</v>
      </c>
      <c r="Q129" s="16">
        <f t="shared" si="209"/>
        <v>1264375</v>
      </c>
      <c r="R129" s="16">
        <f t="shared" si="209"/>
        <v>2661820</v>
      </c>
      <c r="S129" s="13">
        <f t="shared" si="209"/>
        <v>214.78240000000005</v>
      </c>
      <c r="T129" s="13">
        <f t="shared" si="209"/>
        <v>180.1361</v>
      </c>
      <c r="U129" s="627">
        <f t="shared" si="209"/>
        <v>34.646299999999997</v>
      </c>
      <c r="V129" s="168">
        <f t="shared" si="209"/>
        <v>124500</v>
      </c>
      <c r="W129" s="16">
        <f t="shared" si="209"/>
        <v>42800</v>
      </c>
      <c r="X129" s="16">
        <f t="shared" si="209"/>
        <v>-244797</v>
      </c>
      <c r="Y129" s="16">
        <f t="shared" si="209"/>
        <v>0</v>
      </c>
      <c r="Z129" s="16">
        <f t="shared" si="209"/>
        <v>60352</v>
      </c>
      <c r="AA129" s="16">
        <f t="shared" si="209"/>
        <v>0</v>
      </c>
      <c r="AB129" s="16">
        <f t="shared" si="209"/>
        <v>0</v>
      </c>
      <c r="AC129" s="16">
        <f t="shared" si="209"/>
        <v>0</v>
      </c>
      <c r="AD129" s="16">
        <f t="shared" si="209"/>
        <v>0</v>
      </c>
      <c r="AE129" s="16">
        <f t="shared" si="209"/>
        <v>-59945</v>
      </c>
      <c r="AF129" s="16">
        <f t="shared" si="209"/>
        <v>42800</v>
      </c>
      <c r="AG129" s="16">
        <f t="shared" si="209"/>
        <v>-17145</v>
      </c>
      <c r="AH129" s="16">
        <f t="shared" si="209"/>
        <v>-124500</v>
      </c>
      <c r="AI129" s="16">
        <f t="shared" si="209"/>
        <v>-42800</v>
      </c>
      <c r="AJ129" s="16">
        <f t="shared" si="209"/>
        <v>0</v>
      </c>
      <c r="AK129" s="16">
        <f t="shared" si="209"/>
        <v>113034</v>
      </c>
      <c r="AL129" s="16">
        <f t="shared" si="209"/>
        <v>0</v>
      </c>
      <c r="AM129" s="16">
        <f t="shared" si="209"/>
        <v>-11466</v>
      </c>
      <c r="AN129" s="16">
        <f t="shared" si="209"/>
        <v>-26880</v>
      </c>
      <c r="AO129" s="16">
        <f t="shared" si="209"/>
        <v>-38346</v>
      </c>
      <c r="AP129" s="16">
        <f t="shared" si="209"/>
        <v>-71411</v>
      </c>
      <c r="AQ129" s="16">
        <f t="shared" si="209"/>
        <v>15920</v>
      </c>
      <c r="AR129" s="16">
        <f t="shared" si="209"/>
        <v>-55491</v>
      </c>
      <c r="AS129" s="16">
        <f t="shared" si="209"/>
        <v>-62341</v>
      </c>
      <c r="AT129" s="16">
        <f t="shared" si="209"/>
        <v>-170</v>
      </c>
      <c r="AU129" s="16">
        <f t="shared" si="209"/>
        <v>6000</v>
      </c>
      <c r="AV129" s="16">
        <f t="shared" si="209"/>
        <v>0</v>
      </c>
      <c r="AW129" s="16">
        <f t="shared" si="209"/>
        <v>0</v>
      </c>
      <c r="AX129" s="16">
        <f t="shared" si="209"/>
        <v>6000</v>
      </c>
      <c r="AY129" s="16">
        <f t="shared" si="209"/>
        <v>-112002</v>
      </c>
      <c r="AZ129" s="13">
        <f t="shared" si="209"/>
        <v>-0.16000000000000003</v>
      </c>
      <c r="BA129" s="13">
        <f t="shared" si="209"/>
        <v>0.1</v>
      </c>
      <c r="BB129" s="13">
        <f t="shared" si="209"/>
        <v>-0.63</v>
      </c>
      <c r="BC129" s="13">
        <f t="shared" si="209"/>
        <v>0.11000000000000004</v>
      </c>
      <c r="BD129" s="13">
        <f t="shared" si="209"/>
        <v>0</v>
      </c>
      <c r="BE129" s="13">
        <f t="shared" si="209"/>
        <v>0</v>
      </c>
      <c r="BF129" s="13">
        <f t="shared" si="209"/>
        <v>0</v>
      </c>
      <c r="BG129" s="13">
        <f t="shared" si="209"/>
        <v>0</v>
      </c>
      <c r="BH129" s="13">
        <f t="shared" si="209"/>
        <v>0</v>
      </c>
      <c r="BI129" s="13">
        <f t="shared" si="209"/>
        <v>-0.67999999999999983</v>
      </c>
      <c r="BJ129" s="13">
        <f t="shared" si="209"/>
        <v>0.1</v>
      </c>
      <c r="BK129" s="169">
        <f t="shared" si="209"/>
        <v>-0.57999999999999985</v>
      </c>
      <c r="BL129" s="167">
        <f t="shared" si="209"/>
        <v>173847798</v>
      </c>
      <c r="BM129" s="16">
        <f t="shared" si="209"/>
        <v>126420359</v>
      </c>
      <c r="BN129" s="16">
        <f t="shared" si="209"/>
        <v>114800805</v>
      </c>
      <c r="BO129" s="16">
        <f t="shared" si="209"/>
        <v>11619554</v>
      </c>
      <c r="BP129" s="16">
        <f t="shared" si="209"/>
        <v>604574</v>
      </c>
      <c r="BQ129" s="16">
        <f t="shared" si="209"/>
        <v>474374</v>
      </c>
      <c r="BR129" s="16">
        <f t="shared" si="209"/>
        <v>130200</v>
      </c>
      <c r="BS129" s="16">
        <f t="shared" si="209"/>
        <v>42890840</v>
      </c>
      <c r="BT129" s="16">
        <f t="shared" si="209"/>
        <v>1264205</v>
      </c>
      <c r="BU129" s="16">
        <f t="shared" si="209"/>
        <v>2667820</v>
      </c>
      <c r="BV129" s="13">
        <f t="shared" si="209"/>
        <v>214.20240000000001</v>
      </c>
      <c r="BW129" s="13">
        <f t="shared" si="209"/>
        <v>179.45609999999999</v>
      </c>
      <c r="BX129" s="169">
        <f t="shared" ref="BX129:CJ129" si="210">SUMIF($F$12:$F$464,"=3113",BX$12:BX$464)</f>
        <v>34.746299999999998</v>
      </c>
      <c r="BY129" s="167">
        <f t="shared" si="210"/>
        <v>456163</v>
      </c>
      <c r="BZ129" s="16">
        <f t="shared" si="210"/>
        <v>338400</v>
      </c>
      <c r="CA129" s="16">
        <f t="shared" si="210"/>
        <v>0</v>
      </c>
      <c r="CB129" s="16">
        <f t="shared" si="210"/>
        <v>114379</v>
      </c>
      <c r="CC129" s="16">
        <f t="shared" si="210"/>
        <v>3384</v>
      </c>
      <c r="CD129" s="17">
        <f t="shared" si="210"/>
        <v>0.60000000000000009</v>
      </c>
      <c r="CE129" s="167">
        <f t="shared" si="210"/>
        <v>5722143</v>
      </c>
      <c r="CF129" s="16">
        <f t="shared" si="210"/>
        <v>3766391</v>
      </c>
      <c r="CG129" s="16">
        <f t="shared" si="210"/>
        <v>1273040</v>
      </c>
      <c r="CH129" s="16">
        <f t="shared" si="210"/>
        <v>37665</v>
      </c>
      <c r="CI129" s="16">
        <f t="shared" si="210"/>
        <v>645047</v>
      </c>
      <c r="CJ129" s="17">
        <f t="shared" si="210"/>
        <v>11.266299999999999</v>
      </c>
    </row>
    <row r="130" spans="4:88" s="89" customFormat="1" ht="12.95" customHeight="1">
      <c r="D130" s="311"/>
      <c r="E130" s="312"/>
      <c r="F130" s="311"/>
      <c r="G130" s="313"/>
      <c r="H130" s="19">
        <v>3114</v>
      </c>
      <c r="I130" s="167">
        <f t="shared" ref="I130:BW130" si="211">SUMIF($F$12:$F$464,"=3114",I$12:I$464)</f>
        <v>9323120</v>
      </c>
      <c r="J130" s="16">
        <f t="shared" si="211"/>
        <v>6761172</v>
      </c>
      <c r="K130" s="16">
        <f t="shared" si="211"/>
        <v>6044724</v>
      </c>
      <c r="L130" s="16">
        <f t="shared" si="211"/>
        <v>716448</v>
      </c>
      <c r="M130" s="16">
        <f t="shared" si="211"/>
        <v>90000</v>
      </c>
      <c r="N130" s="16">
        <f t="shared" si="211"/>
        <v>70000</v>
      </c>
      <c r="O130" s="16">
        <f t="shared" si="211"/>
        <v>20000</v>
      </c>
      <c r="P130" s="16">
        <f t="shared" si="211"/>
        <v>2315696</v>
      </c>
      <c r="Q130" s="16">
        <f t="shared" si="211"/>
        <v>67612</v>
      </c>
      <c r="R130" s="16">
        <f t="shared" si="211"/>
        <v>88640</v>
      </c>
      <c r="S130" s="13">
        <f t="shared" si="211"/>
        <v>10.5944</v>
      </c>
      <c r="T130" s="13">
        <f t="shared" si="211"/>
        <v>8.5438000000000009</v>
      </c>
      <c r="U130" s="627">
        <f t="shared" si="211"/>
        <v>2.0506000000000002</v>
      </c>
      <c r="V130" s="168">
        <f t="shared" si="211"/>
        <v>2660</v>
      </c>
      <c r="W130" s="16">
        <f t="shared" si="211"/>
        <v>-40000</v>
      </c>
      <c r="X130" s="16">
        <f t="shared" si="211"/>
        <v>0</v>
      </c>
      <c r="Y130" s="16">
        <f t="shared" si="211"/>
        <v>0</v>
      </c>
      <c r="Z130" s="16">
        <f t="shared" si="211"/>
        <v>0</v>
      </c>
      <c r="AA130" s="16">
        <f t="shared" si="211"/>
        <v>0</v>
      </c>
      <c r="AB130" s="16">
        <f t="shared" si="211"/>
        <v>0</v>
      </c>
      <c r="AC130" s="16">
        <f t="shared" si="211"/>
        <v>0</v>
      </c>
      <c r="AD130" s="16">
        <f t="shared" si="211"/>
        <v>0</v>
      </c>
      <c r="AE130" s="16">
        <f t="shared" si="211"/>
        <v>2660</v>
      </c>
      <c r="AF130" s="16">
        <f t="shared" si="211"/>
        <v>-40000</v>
      </c>
      <c r="AG130" s="16">
        <f t="shared" si="211"/>
        <v>-37340</v>
      </c>
      <c r="AH130" s="16">
        <f t="shared" si="211"/>
        <v>-2660</v>
      </c>
      <c r="AI130" s="16">
        <f t="shared" si="211"/>
        <v>40000</v>
      </c>
      <c r="AJ130" s="16">
        <f t="shared" si="211"/>
        <v>0</v>
      </c>
      <c r="AK130" s="16">
        <f t="shared" si="211"/>
        <v>0</v>
      </c>
      <c r="AL130" s="16">
        <f t="shared" si="211"/>
        <v>0</v>
      </c>
      <c r="AM130" s="16">
        <f t="shared" si="211"/>
        <v>-2660</v>
      </c>
      <c r="AN130" s="16">
        <f t="shared" si="211"/>
        <v>40000</v>
      </c>
      <c r="AO130" s="16">
        <f t="shared" si="211"/>
        <v>37340</v>
      </c>
      <c r="AP130" s="16">
        <f t="shared" si="211"/>
        <v>0</v>
      </c>
      <c r="AQ130" s="16">
        <f t="shared" si="211"/>
        <v>0</v>
      </c>
      <c r="AR130" s="16">
        <f t="shared" si="211"/>
        <v>0</v>
      </c>
      <c r="AS130" s="16">
        <f t="shared" si="211"/>
        <v>0</v>
      </c>
      <c r="AT130" s="16">
        <f t="shared" si="211"/>
        <v>-373</v>
      </c>
      <c r="AU130" s="16">
        <f t="shared" si="211"/>
        <v>0</v>
      </c>
      <c r="AV130" s="16">
        <f t="shared" si="211"/>
        <v>0</v>
      </c>
      <c r="AW130" s="16">
        <f t="shared" si="211"/>
        <v>0</v>
      </c>
      <c r="AX130" s="16">
        <f t="shared" si="211"/>
        <v>0</v>
      </c>
      <c r="AY130" s="16">
        <f t="shared" si="211"/>
        <v>-373</v>
      </c>
      <c r="AZ130" s="13">
        <f t="shared" si="211"/>
        <v>0</v>
      </c>
      <c r="BA130" s="13">
        <f t="shared" si="211"/>
        <v>-0.12</v>
      </c>
      <c r="BB130" s="13">
        <f t="shared" si="211"/>
        <v>0</v>
      </c>
      <c r="BC130" s="13">
        <f t="shared" si="211"/>
        <v>0</v>
      </c>
      <c r="BD130" s="13">
        <f t="shared" si="211"/>
        <v>0</v>
      </c>
      <c r="BE130" s="13">
        <f t="shared" si="211"/>
        <v>0</v>
      </c>
      <c r="BF130" s="13">
        <f t="shared" si="211"/>
        <v>0</v>
      </c>
      <c r="BG130" s="13">
        <f t="shared" si="211"/>
        <v>0</v>
      </c>
      <c r="BH130" s="13">
        <f t="shared" si="211"/>
        <v>0</v>
      </c>
      <c r="BI130" s="13">
        <f t="shared" si="211"/>
        <v>0</v>
      </c>
      <c r="BJ130" s="13">
        <f t="shared" si="211"/>
        <v>-0.12</v>
      </c>
      <c r="BK130" s="169">
        <f t="shared" si="211"/>
        <v>-0.12</v>
      </c>
      <c r="BL130" s="167">
        <f t="shared" si="211"/>
        <v>9322747</v>
      </c>
      <c r="BM130" s="16">
        <f t="shared" si="211"/>
        <v>6723832</v>
      </c>
      <c r="BN130" s="16">
        <f t="shared" si="211"/>
        <v>6047384</v>
      </c>
      <c r="BO130" s="16">
        <f t="shared" si="211"/>
        <v>676448</v>
      </c>
      <c r="BP130" s="16">
        <f t="shared" si="211"/>
        <v>127340</v>
      </c>
      <c r="BQ130" s="16">
        <f t="shared" si="211"/>
        <v>67340</v>
      </c>
      <c r="BR130" s="16">
        <f t="shared" si="211"/>
        <v>60000</v>
      </c>
      <c r="BS130" s="16">
        <f t="shared" si="211"/>
        <v>2315696</v>
      </c>
      <c r="BT130" s="16">
        <f t="shared" si="211"/>
        <v>67239</v>
      </c>
      <c r="BU130" s="16">
        <f t="shared" si="211"/>
        <v>88640</v>
      </c>
      <c r="BV130" s="13">
        <f t="shared" si="211"/>
        <v>10.474400000000001</v>
      </c>
      <c r="BW130" s="13">
        <f t="shared" si="211"/>
        <v>8.5438000000000009</v>
      </c>
      <c r="BX130" s="169">
        <f t="shared" ref="BX130:CJ130" si="212">SUMIF($F$12:$F$464,"=3114",BX$12:BX$464)</f>
        <v>1.9306000000000001</v>
      </c>
      <c r="BY130" s="167">
        <f t="shared" si="212"/>
        <v>0</v>
      </c>
      <c r="BZ130" s="16">
        <f t="shared" si="212"/>
        <v>0</v>
      </c>
      <c r="CA130" s="16">
        <f t="shared" si="212"/>
        <v>0</v>
      </c>
      <c r="CB130" s="16">
        <f t="shared" si="212"/>
        <v>0</v>
      </c>
      <c r="CC130" s="16">
        <f t="shared" si="212"/>
        <v>0</v>
      </c>
      <c r="CD130" s="17">
        <f t="shared" si="212"/>
        <v>0</v>
      </c>
      <c r="CE130" s="167">
        <f t="shared" si="212"/>
        <v>343108</v>
      </c>
      <c r="CF130" s="16">
        <f t="shared" si="212"/>
        <v>236332</v>
      </c>
      <c r="CG130" s="16">
        <f t="shared" si="212"/>
        <v>79880</v>
      </c>
      <c r="CH130" s="16">
        <f t="shared" si="212"/>
        <v>2363</v>
      </c>
      <c r="CI130" s="16">
        <f t="shared" si="212"/>
        <v>24533</v>
      </c>
      <c r="CJ130" s="17">
        <f t="shared" si="212"/>
        <v>0.67730000000000001</v>
      </c>
    </row>
    <row r="131" spans="4:88" s="89" customFormat="1" ht="12.95" customHeight="1">
      <c r="D131" s="311"/>
      <c r="E131" s="312"/>
      <c r="F131" s="311"/>
      <c r="G131" s="313"/>
      <c r="H131" s="19">
        <v>3117</v>
      </c>
      <c r="I131" s="167">
        <f t="shared" ref="I131:BW131" si="213">SUMIF($F$12:$F$464,"=3117",I$12:I$464)</f>
        <v>35558147</v>
      </c>
      <c r="J131" s="16">
        <f t="shared" si="213"/>
        <v>25741660</v>
      </c>
      <c r="K131" s="16">
        <f t="shared" si="213"/>
        <v>22801253</v>
      </c>
      <c r="L131" s="16">
        <f t="shared" si="213"/>
        <v>2940407</v>
      </c>
      <c r="M131" s="16">
        <f t="shared" si="213"/>
        <v>247000</v>
      </c>
      <c r="N131" s="16">
        <f t="shared" si="213"/>
        <v>21800</v>
      </c>
      <c r="O131" s="16">
        <f t="shared" si="213"/>
        <v>225200</v>
      </c>
      <c r="P131" s="16">
        <f t="shared" si="213"/>
        <v>8784170</v>
      </c>
      <c r="Q131" s="16">
        <f t="shared" si="213"/>
        <v>257417</v>
      </c>
      <c r="R131" s="16">
        <f t="shared" si="213"/>
        <v>527900</v>
      </c>
      <c r="S131" s="13">
        <f t="shared" si="213"/>
        <v>48.487699999999997</v>
      </c>
      <c r="T131" s="13">
        <f t="shared" si="213"/>
        <v>40.878700000000002</v>
      </c>
      <c r="U131" s="627">
        <f t="shared" si="213"/>
        <v>7.609</v>
      </c>
      <c r="V131" s="168">
        <f t="shared" si="213"/>
        <v>-3200</v>
      </c>
      <c r="W131" s="16">
        <f t="shared" si="213"/>
        <v>-122396</v>
      </c>
      <c r="X131" s="16">
        <f t="shared" si="213"/>
        <v>-164966</v>
      </c>
      <c r="Y131" s="16">
        <f t="shared" si="213"/>
        <v>0</v>
      </c>
      <c r="Z131" s="16">
        <f t="shared" si="213"/>
        <v>27789</v>
      </c>
      <c r="AA131" s="16">
        <f t="shared" si="213"/>
        <v>0</v>
      </c>
      <c r="AB131" s="16">
        <f t="shared" si="213"/>
        <v>0</v>
      </c>
      <c r="AC131" s="16">
        <f t="shared" si="213"/>
        <v>0</v>
      </c>
      <c r="AD131" s="16">
        <f t="shared" si="213"/>
        <v>0</v>
      </c>
      <c r="AE131" s="16">
        <f t="shared" si="213"/>
        <v>-140377</v>
      </c>
      <c r="AF131" s="16">
        <f t="shared" si="213"/>
        <v>-122396</v>
      </c>
      <c r="AG131" s="16">
        <f t="shared" si="213"/>
        <v>-262773</v>
      </c>
      <c r="AH131" s="16">
        <f t="shared" si="213"/>
        <v>3200</v>
      </c>
      <c r="AI131" s="16">
        <f t="shared" si="213"/>
        <v>122396</v>
      </c>
      <c r="AJ131" s="16">
        <f t="shared" si="213"/>
        <v>0</v>
      </c>
      <c r="AK131" s="16">
        <f t="shared" si="213"/>
        <v>0</v>
      </c>
      <c r="AL131" s="16">
        <f t="shared" si="213"/>
        <v>0</v>
      </c>
      <c r="AM131" s="16">
        <f t="shared" si="213"/>
        <v>3200</v>
      </c>
      <c r="AN131" s="16">
        <f t="shared" si="213"/>
        <v>122396</v>
      </c>
      <c r="AO131" s="16">
        <f t="shared" si="213"/>
        <v>125596</v>
      </c>
      <c r="AP131" s="16">
        <f t="shared" si="213"/>
        <v>-137177</v>
      </c>
      <c r="AQ131" s="16">
        <f t="shared" si="213"/>
        <v>0</v>
      </c>
      <c r="AR131" s="16">
        <f t="shared" si="213"/>
        <v>-137177</v>
      </c>
      <c r="AS131" s="16">
        <f t="shared" si="213"/>
        <v>-46366</v>
      </c>
      <c r="AT131" s="16">
        <f t="shared" si="213"/>
        <v>-2627</v>
      </c>
      <c r="AU131" s="16">
        <f t="shared" si="213"/>
        <v>5500</v>
      </c>
      <c r="AV131" s="16">
        <f t="shared" si="213"/>
        <v>0</v>
      </c>
      <c r="AW131" s="16">
        <f t="shared" si="213"/>
        <v>0</v>
      </c>
      <c r="AX131" s="16">
        <f t="shared" si="213"/>
        <v>5500</v>
      </c>
      <c r="AY131" s="16">
        <f t="shared" si="213"/>
        <v>-180670</v>
      </c>
      <c r="AZ131" s="13">
        <f t="shared" si="213"/>
        <v>0</v>
      </c>
      <c r="BA131" s="13">
        <f t="shared" si="213"/>
        <v>-0.36</v>
      </c>
      <c r="BB131" s="13">
        <f t="shared" si="213"/>
        <v>-0.43999999999999995</v>
      </c>
      <c r="BC131" s="13">
        <f t="shared" si="213"/>
        <v>0.03</v>
      </c>
      <c r="BD131" s="13">
        <f t="shared" si="213"/>
        <v>0</v>
      </c>
      <c r="BE131" s="13">
        <f t="shared" si="213"/>
        <v>0</v>
      </c>
      <c r="BF131" s="13">
        <f t="shared" si="213"/>
        <v>0</v>
      </c>
      <c r="BG131" s="13">
        <f t="shared" si="213"/>
        <v>0</v>
      </c>
      <c r="BH131" s="13">
        <f t="shared" si="213"/>
        <v>0</v>
      </c>
      <c r="BI131" s="13">
        <f t="shared" si="213"/>
        <v>-0.40999999999999992</v>
      </c>
      <c r="BJ131" s="13">
        <f t="shared" si="213"/>
        <v>-0.36</v>
      </c>
      <c r="BK131" s="169">
        <f t="shared" si="213"/>
        <v>-0.76999999999999991</v>
      </c>
      <c r="BL131" s="167">
        <f t="shared" si="213"/>
        <v>35377477</v>
      </c>
      <c r="BM131" s="16">
        <f t="shared" si="213"/>
        <v>25478887</v>
      </c>
      <c r="BN131" s="16">
        <f t="shared" si="213"/>
        <v>22660876</v>
      </c>
      <c r="BO131" s="16">
        <f t="shared" si="213"/>
        <v>2818011</v>
      </c>
      <c r="BP131" s="16">
        <f t="shared" si="213"/>
        <v>372596</v>
      </c>
      <c r="BQ131" s="16">
        <f t="shared" si="213"/>
        <v>25000</v>
      </c>
      <c r="BR131" s="16">
        <f t="shared" si="213"/>
        <v>347596</v>
      </c>
      <c r="BS131" s="16">
        <f t="shared" si="213"/>
        <v>8737804</v>
      </c>
      <c r="BT131" s="16">
        <f t="shared" si="213"/>
        <v>254790</v>
      </c>
      <c r="BU131" s="16">
        <f t="shared" si="213"/>
        <v>533400</v>
      </c>
      <c r="BV131" s="13">
        <f t="shared" si="213"/>
        <v>47.717700000000001</v>
      </c>
      <c r="BW131" s="13">
        <f t="shared" si="213"/>
        <v>40.468700000000005</v>
      </c>
      <c r="BX131" s="169">
        <f t="shared" ref="BX131:CJ131" si="214">SUMIF($F$12:$F$464,"=3117",BX$12:BX$464)</f>
        <v>7.2490000000000006</v>
      </c>
      <c r="BY131" s="167">
        <f t="shared" si="214"/>
        <v>0</v>
      </c>
      <c r="BZ131" s="16">
        <f t="shared" si="214"/>
        <v>0</v>
      </c>
      <c r="CA131" s="16">
        <f t="shared" si="214"/>
        <v>0</v>
      </c>
      <c r="CB131" s="16">
        <f t="shared" si="214"/>
        <v>0</v>
      </c>
      <c r="CC131" s="16">
        <f t="shared" si="214"/>
        <v>0</v>
      </c>
      <c r="CD131" s="17">
        <f t="shared" si="214"/>
        <v>0</v>
      </c>
      <c r="CE131" s="167">
        <f t="shared" si="214"/>
        <v>1452723</v>
      </c>
      <c r="CF131" s="16">
        <f t="shared" si="214"/>
        <v>1016056</v>
      </c>
      <c r="CG131" s="16">
        <f t="shared" si="214"/>
        <v>343429</v>
      </c>
      <c r="CH131" s="16">
        <f t="shared" si="214"/>
        <v>10162</v>
      </c>
      <c r="CI131" s="16">
        <f t="shared" si="214"/>
        <v>83076</v>
      </c>
      <c r="CJ131" s="17">
        <f t="shared" si="214"/>
        <v>2.6541999999999994</v>
      </c>
    </row>
    <row r="132" spans="4:88" s="89" customFormat="1" ht="12.95" customHeight="1">
      <c r="D132" s="311"/>
      <c r="E132" s="312"/>
      <c r="F132" s="311"/>
      <c r="G132" s="313"/>
      <c r="H132" s="19">
        <v>3122</v>
      </c>
      <c r="I132" s="167">
        <f t="shared" ref="I132:BW132" si="215">SUMIF($F$12:$F$464,"=3122",I$12:I$464)</f>
        <v>0</v>
      </c>
      <c r="J132" s="16">
        <f t="shared" si="215"/>
        <v>0</v>
      </c>
      <c r="K132" s="16">
        <f t="shared" si="215"/>
        <v>0</v>
      </c>
      <c r="L132" s="16">
        <f t="shared" si="215"/>
        <v>0</v>
      </c>
      <c r="M132" s="16">
        <f t="shared" si="215"/>
        <v>0</v>
      </c>
      <c r="N132" s="16">
        <f t="shared" si="215"/>
        <v>0</v>
      </c>
      <c r="O132" s="16">
        <f t="shared" si="215"/>
        <v>0</v>
      </c>
      <c r="P132" s="16">
        <f t="shared" si="215"/>
        <v>0</v>
      </c>
      <c r="Q132" s="16">
        <f t="shared" si="215"/>
        <v>0</v>
      </c>
      <c r="R132" s="16">
        <f t="shared" si="215"/>
        <v>0</v>
      </c>
      <c r="S132" s="13">
        <f t="shared" si="215"/>
        <v>0</v>
      </c>
      <c r="T132" s="13">
        <f t="shared" si="215"/>
        <v>0</v>
      </c>
      <c r="U132" s="627">
        <f t="shared" si="215"/>
        <v>0</v>
      </c>
      <c r="V132" s="168">
        <f t="shared" si="215"/>
        <v>0</v>
      </c>
      <c r="W132" s="16">
        <f t="shared" si="215"/>
        <v>0</v>
      </c>
      <c r="X132" s="16">
        <f t="shared" si="215"/>
        <v>0</v>
      </c>
      <c r="Y132" s="16">
        <f t="shared" si="215"/>
        <v>0</v>
      </c>
      <c r="Z132" s="16">
        <f t="shared" si="215"/>
        <v>0</v>
      </c>
      <c r="AA132" s="16">
        <f t="shared" si="215"/>
        <v>0</v>
      </c>
      <c r="AB132" s="16">
        <f t="shared" si="215"/>
        <v>0</v>
      </c>
      <c r="AC132" s="16">
        <f t="shared" si="215"/>
        <v>0</v>
      </c>
      <c r="AD132" s="16">
        <f t="shared" si="215"/>
        <v>0</v>
      </c>
      <c r="AE132" s="16">
        <f t="shared" si="215"/>
        <v>0</v>
      </c>
      <c r="AF132" s="16">
        <f t="shared" si="215"/>
        <v>0</v>
      </c>
      <c r="AG132" s="16">
        <f t="shared" si="215"/>
        <v>0</v>
      </c>
      <c r="AH132" s="16">
        <f t="shared" si="215"/>
        <v>0</v>
      </c>
      <c r="AI132" s="16">
        <f t="shared" si="215"/>
        <v>0</v>
      </c>
      <c r="AJ132" s="16">
        <f t="shared" si="215"/>
        <v>0</v>
      </c>
      <c r="AK132" s="16">
        <f t="shared" si="215"/>
        <v>0</v>
      </c>
      <c r="AL132" s="16">
        <f t="shared" si="215"/>
        <v>0</v>
      </c>
      <c r="AM132" s="16">
        <f t="shared" si="215"/>
        <v>0</v>
      </c>
      <c r="AN132" s="16">
        <f t="shared" si="215"/>
        <v>0</v>
      </c>
      <c r="AO132" s="16">
        <f t="shared" si="215"/>
        <v>0</v>
      </c>
      <c r="AP132" s="16">
        <f t="shared" si="215"/>
        <v>0</v>
      </c>
      <c r="AQ132" s="16">
        <f t="shared" si="215"/>
        <v>0</v>
      </c>
      <c r="AR132" s="16">
        <f t="shared" si="215"/>
        <v>0</v>
      </c>
      <c r="AS132" s="16">
        <f t="shared" si="215"/>
        <v>0</v>
      </c>
      <c r="AT132" s="16">
        <f t="shared" si="215"/>
        <v>0</v>
      </c>
      <c r="AU132" s="16">
        <f t="shared" si="215"/>
        <v>0</v>
      </c>
      <c r="AV132" s="16">
        <f t="shared" si="215"/>
        <v>0</v>
      </c>
      <c r="AW132" s="16">
        <f t="shared" si="215"/>
        <v>0</v>
      </c>
      <c r="AX132" s="16">
        <f t="shared" si="215"/>
        <v>0</v>
      </c>
      <c r="AY132" s="16">
        <f t="shared" si="215"/>
        <v>0</v>
      </c>
      <c r="AZ132" s="13">
        <f t="shared" si="215"/>
        <v>0</v>
      </c>
      <c r="BA132" s="13">
        <f t="shared" si="215"/>
        <v>0</v>
      </c>
      <c r="BB132" s="13">
        <f t="shared" si="215"/>
        <v>0</v>
      </c>
      <c r="BC132" s="13">
        <f t="shared" si="215"/>
        <v>0</v>
      </c>
      <c r="BD132" s="13">
        <f t="shared" si="215"/>
        <v>0</v>
      </c>
      <c r="BE132" s="13">
        <f t="shared" si="215"/>
        <v>0</v>
      </c>
      <c r="BF132" s="13">
        <f t="shared" si="215"/>
        <v>0</v>
      </c>
      <c r="BG132" s="13">
        <f t="shared" si="215"/>
        <v>0</v>
      </c>
      <c r="BH132" s="13">
        <f t="shared" si="215"/>
        <v>0</v>
      </c>
      <c r="BI132" s="13">
        <f t="shared" si="215"/>
        <v>0</v>
      </c>
      <c r="BJ132" s="13">
        <f t="shared" si="215"/>
        <v>0</v>
      </c>
      <c r="BK132" s="169">
        <f t="shared" si="215"/>
        <v>0</v>
      </c>
      <c r="BL132" s="167">
        <f t="shared" si="215"/>
        <v>0</v>
      </c>
      <c r="BM132" s="16">
        <f t="shared" si="215"/>
        <v>0</v>
      </c>
      <c r="BN132" s="16">
        <f t="shared" si="215"/>
        <v>0</v>
      </c>
      <c r="BO132" s="16">
        <f t="shared" si="215"/>
        <v>0</v>
      </c>
      <c r="BP132" s="16">
        <f t="shared" si="215"/>
        <v>0</v>
      </c>
      <c r="BQ132" s="16">
        <f t="shared" si="215"/>
        <v>0</v>
      </c>
      <c r="BR132" s="16">
        <f t="shared" si="215"/>
        <v>0</v>
      </c>
      <c r="BS132" s="16">
        <f t="shared" si="215"/>
        <v>0</v>
      </c>
      <c r="BT132" s="16">
        <f t="shared" si="215"/>
        <v>0</v>
      </c>
      <c r="BU132" s="16">
        <f t="shared" si="215"/>
        <v>0</v>
      </c>
      <c r="BV132" s="13">
        <f t="shared" si="215"/>
        <v>0</v>
      </c>
      <c r="BW132" s="13">
        <f t="shared" si="215"/>
        <v>0</v>
      </c>
      <c r="BX132" s="169">
        <f t="shared" ref="BX132:CJ132" si="216">SUMIF($F$12:$F$464,"=3122",BX$12:BX$464)</f>
        <v>0</v>
      </c>
      <c r="BY132" s="167">
        <f t="shared" si="216"/>
        <v>0</v>
      </c>
      <c r="BZ132" s="16">
        <f t="shared" si="216"/>
        <v>0</v>
      </c>
      <c r="CA132" s="16">
        <f t="shared" si="216"/>
        <v>0</v>
      </c>
      <c r="CB132" s="16">
        <f t="shared" si="216"/>
        <v>0</v>
      </c>
      <c r="CC132" s="16">
        <f t="shared" si="216"/>
        <v>0</v>
      </c>
      <c r="CD132" s="17">
        <f t="shared" si="216"/>
        <v>0</v>
      </c>
      <c r="CE132" s="167">
        <f t="shared" si="216"/>
        <v>0</v>
      </c>
      <c r="CF132" s="16">
        <f t="shared" si="216"/>
        <v>0</v>
      </c>
      <c r="CG132" s="16">
        <f t="shared" si="216"/>
        <v>0</v>
      </c>
      <c r="CH132" s="16">
        <f t="shared" si="216"/>
        <v>0</v>
      </c>
      <c r="CI132" s="16">
        <f t="shared" si="216"/>
        <v>0</v>
      </c>
      <c r="CJ132" s="17">
        <f t="shared" si="216"/>
        <v>0</v>
      </c>
    </row>
    <row r="133" spans="4:88" s="89" customFormat="1" ht="12.95" customHeight="1">
      <c r="D133" s="311"/>
      <c r="E133" s="312"/>
      <c r="F133" s="311"/>
      <c r="G133" s="313"/>
      <c r="H133" s="19">
        <v>3124</v>
      </c>
      <c r="I133" s="167">
        <f t="shared" ref="I133:BW133" si="217">SUMIF($F$12:$F$464,"=3124",I$12:I$464)</f>
        <v>0</v>
      </c>
      <c r="J133" s="16">
        <f t="shared" si="217"/>
        <v>0</v>
      </c>
      <c r="K133" s="16">
        <f t="shared" si="217"/>
        <v>0</v>
      </c>
      <c r="L133" s="16">
        <f t="shared" si="217"/>
        <v>0</v>
      </c>
      <c r="M133" s="16">
        <f t="shared" si="217"/>
        <v>0</v>
      </c>
      <c r="N133" s="16">
        <f t="shared" si="217"/>
        <v>0</v>
      </c>
      <c r="O133" s="16">
        <f t="shared" si="217"/>
        <v>0</v>
      </c>
      <c r="P133" s="16">
        <f t="shared" si="217"/>
        <v>0</v>
      </c>
      <c r="Q133" s="16">
        <f t="shared" si="217"/>
        <v>0</v>
      </c>
      <c r="R133" s="16">
        <f t="shared" si="217"/>
        <v>0</v>
      </c>
      <c r="S133" s="13">
        <f t="shared" si="217"/>
        <v>0</v>
      </c>
      <c r="T133" s="13">
        <f t="shared" si="217"/>
        <v>0</v>
      </c>
      <c r="U133" s="627">
        <f t="shared" si="217"/>
        <v>0</v>
      </c>
      <c r="V133" s="168">
        <f t="shared" si="217"/>
        <v>0</v>
      </c>
      <c r="W133" s="16">
        <f t="shared" si="217"/>
        <v>0</v>
      </c>
      <c r="X133" s="16">
        <f t="shared" si="217"/>
        <v>0</v>
      </c>
      <c r="Y133" s="16">
        <f t="shared" si="217"/>
        <v>0</v>
      </c>
      <c r="Z133" s="16">
        <f t="shared" si="217"/>
        <v>0</v>
      </c>
      <c r="AA133" s="16">
        <f t="shared" si="217"/>
        <v>0</v>
      </c>
      <c r="AB133" s="16">
        <f t="shared" si="217"/>
        <v>0</v>
      </c>
      <c r="AC133" s="16">
        <f t="shared" si="217"/>
        <v>0</v>
      </c>
      <c r="AD133" s="16">
        <f t="shared" si="217"/>
        <v>0</v>
      </c>
      <c r="AE133" s="16">
        <f t="shared" si="217"/>
        <v>0</v>
      </c>
      <c r="AF133" s="16">
        <f t="shared" si="217"/>
        <v>0</v>
      </c>
      <c r="AG133" s="16">
        <f t="shared" si="217"/>
        <v>0</v>
      </c>
      <c r="AH133" s="16">
        <f t="shared" si="217"/>
        <v>0</v>
      </c>
      <c r="AI133" s="16">
        <f t="shared" si="217"/>
        <v>0</v>
      </c>
      <c r="AJ133" s="16">
        <f t="shared" si="217"/>
        <v>0</v>
      </c>
      <c r="AK133" s="16">
        <f t="shared" si="217"/>
        <v>0</v>
      </c>
      <c r="AL133" s="16">
        <f t="shared" si="217"/>
        <v>0</v>
      </c>
      <c r="AM133" s="16">
        <f t="shared" si="217"/>
        <v>0</v>
      </c>
      <c r="AN133" s="16">
        <f t="shared" si="217"/>
        <v>0</v>
      </c>
      <c r="AO133" s="16">
        <f t="shared" si="217"/>
        <v>0</v>
      </c>
      <c r="AP133" s="16">
        <f t="shared" si="217"/>
        <v>0</v>
      </c>
      <c r="AQ133" s="16">
        <f t="shared" si="217"/>
        <v>0</v>
      </c>
      <c r="AR133" s="16">
        <f t="shared" si="217"/>
        <v>0</v>
      </c>
      <c r="AS133" s="16">
        <f t="shared" si="217"/>
        <v>0</v>
      </c>
      <c r="AT133" s="16">
        <f t="shared" si="217"/>
        <v>0</v>
      </c>
      <c r="AU133" s="16">
        <f t="shared" si="217"/>
        <v>0</v>
      </c>
      <c r="AV133" s="16">
        <f t="shared" si="217"/>
        <v>0</v>
      </c>
      <c r="AW133" s="16">
        <f t="shared" si="217"/>
        <v>0</v>
      </c>
      <c r="AX133" s="16">
        <f t="shared" si="217"/>
        <v>0</v>
      </c>
      <c r="AY133" s="16">
        <f t="shared" si="217"/>
        <v>0</v>
      </c>
      <c r="AZ133" s="13">
        <f t="shared" si="217"/>
        <v>0</v>
      </c>
      <c r="BA133" s="13">
        <f t="shared" si="217"/>
        <v>0</v>
      </c>
      <c r="BB133" s="13">
        <f t="shared" si="217"/>
        <v>0</v>
      </c>
      <c r="BC133" s="13">
        <f t="shared" si="217"/>
        <v>0</v>
      </c>
      <c r="BD133" s="13">
        <f t="shared" si="217"/>
        <v>0</v>
      </c>
      <c r="BE133" s="13">
        <f t="shared" si="217"/>
        <v>0</v>
      </c>
      <c r="BF133" s="13">
        <f t="shared" si="217"/>
        <v>0</v>
      </c>
      <c r="BG133" s="13">
        <f t="shared" si="217"/>
        <v>0</v>
      </c>
      <c r="BH133" s="13">
        <f t="shared" si="217"/>
        <v>0</v>
      </c>
      <c r="BI133" s="13">
        <f t="shared" si="217"/>
        <v>0</v>
      </c>
      <c r="BJ133" s="13">
        <f t="shared" si="217"/>
        <v>0</v>
      </c>
      <c r="BK133" s="169">
        <f t="shared" si="217"/>
        <v>0</v>
      </c>
      <c r="BL133" s="167">
        <f t="shared" si="217"/>
        <v>0</v>
      </c>
      <c r="BM133" s="16">
        <f t="shared" si="217"/>
        <v>0</v>
      </c>
      <c r="BN133" s="16">
        <f t="shared" si="217"/>
        <v>0</v>
      </c>
      <c r="BO133" s="16">
        <f t="shared" si="217"/>
        <v>0</v>
      </c>
      <c r="BP133" s="16">
        <f t="shared" si="217"/>
        <v>0</v>
      </c>
      <c r="BQ133" s="16">
        <f t="shared" si="217"/>
        <v>0</v>
      </c>
      <c r="BR133" s="16">
        <f t="shared" si="217"/>
        <v>0</v>
      </c>
      <c r="BS133" s="16">
        <f t="shared" si="217"/>
        <v>0</v>
      </c>
      <c r="BT133" s="16">
        <f t="shared" si="217"/>
        <v>0</v>
      </c>
      <c r="BU133" s="16">
        <f t="shared" si="217"/>
        <v>0</v>
      </c>
      <c r="BV133" s="13">
        <f t="shared" si="217"/>
        <v>0</v>
      </c>
      <c r="BW133" s="13">
        <f t="shared" si="217"/>
        <v>0</v>
      </c>
      <c r="BX133" s="169">
        <f t="shared" ref="BX133:CJ133" si="218">SUMIF($F$12:$F$464,"=3124",BX$12:BX$464)</f>
        <v>0</v>
      </c>
      <c r="BY133" s="167">
        <f t="shared" si="218"/>
        <v>0</v>
      </c>
      <c r="BZ133" s="16">
        <f t="shared" si="218"/>
        <v>0</v>
      </c>
      <c r="CA133" s="16">
        <f t="shared" si="218"/>
        <v>0</v>
      </c>
      <c r="CB133" s="16">
        <f t="shared" si="218"/>
        <v>0</v>
      </c>
      <c r="CC133" s="16">
        <f t="shared" si="218"/>
        <v>0</v>
      </c>
      <c r="CD133" s="17">
        <f t="shared" si="218"/>
        <v>0</v>
      </c>
      <c r="CE133" s="167">
        <f t="shared" si="218"/>
        <v>0</v>
      </c>
      <c r="CF133" s="16">
        <f t="shared" si="218"/>
        <v>0</v>
      </c>
      <c r="CG133" s="16">
        <f t="shared" si="218"/>
        <v>0</v>
      </c>
      <c r="CH133" s="16">
        <f t="shared" si="218"/>
        <v>0</v>
      </c>
      <c r="CI133" s="16">
        <f t="shared" si="218"/>
        <v>0</v>
      </c>
      <c r="CJ133" s="17">
        <f t="shared" si="218"/>
        <v>0</v>
      </c>
    </row>
    <row r="134" spans="4:88" s="89" customFormat="1" ht="12.95" customHeight="1">
      <c r="D134" s="311"/>
      <c r="E134" s="312"/>
      <c r="F134" s="311"/>
      <c r="G134" s="313"/>
      <c r="H134" s="19">
        <v>3141</v>
      </c>
      <c r="I134" s="167">
        <f t="shared" ref="I134:BW134" si="219">SUMIF($F$12:$F$464,"=3141",I$12:I$464)</f>
        <v>25787572</v>
      </c>
      <c r="J134" s="16">
        <f t="shared" si="219"/>
        <v>18953193</v>
      </c>
      <c r="K134" s="16">
        <f t="shared" si="219"/>
        <v>0</v>
      </c>
      <c r="L134" s="16">
        <f t="shared" si="219"/>
        <v>18953193</v>
      </c>
      <c r="M134" s="16">
        <f t="shared" si="219"/>
        <v>65000</v>
      </c>
      <c r="N134" s="16">
        <f t="shared" si="219"/>
        <v>0</v>
      </c>
      <c r="O134" s="16">
        <f t="shared" si="219"/>
        <v>65000</v>
      </c>
      <c r="P134" s="16">
        <f t="shared" si="219"/>
        <v>6428149</v>
      </c>
      <c r="Q134" s="16">
        <f t="shared" si="219"/>
        <v>189532</v>
      </c>
      <c r="R134" s="16">
        <f t="shared" si="219"/>
        <v>151698</v>
      </c>
      <c r="S134" s="13">
        <f t="shared" si="219"/>
        <v>57.000099999999996</v>
      </c>
      <c r="T134" s="13">
        <f t="shared" si="219"/>
        <v>0</v>
      </c>
      <c r="U134" s="627">
        <f t="shared" si="219"/>
        <v>57.000099999999996</v>
      </c>
      <c r="V134" s="168">
        <f t="shared" si="219"/>
        <v>-4000</v>
      </c>
      <c r="W134" s="16">
        <f t="shared" si="219"/>
        <v>3000</v>
      </c>
      <c r="X134" s="16">
        <f t="shared" si="219"/>
        <v>0</v>
      </c>
      <c r="Y134" s="16">
        <f t="shared" si="219"/>
        <v>0</v>
      </c>
      <c r="Z134" s="16">
        <f t="shared" si="219"/>
        <v>0</v>
      </c>
      <c r="AA134" s="16">
        <f t="shared" si="219"/>
        <v>-140758</v>
      </c>
      <c r="AB134" s="16">
        <f t="shared" si="219"/>
        <v>0</v>
      </c>
      <c r="AC134" s="16">
        <f t="shared" si="219"/>
        <v>0</v>
      </c>
      <c r="AD134" s="16">
        <f t="shared" si="219"/>
        <v>0</v>
      </c>
      <c r="AE134" s="16">
        <f t="shared" si="219"/>
        <v>-4000</v>
      </c>
      <c r="AF134" s="16">
        <f t="shared" si="219"/>
        <v>-137758</v>
      </c>
      <c r="AG134" s="16">
        <f t="shared" si="219"/>
        <v>-141758</v>
      </c>
      <c r="AH134" s="16">
        <f t="shared" si="219"/>
        <v>4000</v>
      </c>
      <c r="AI134" s="16">
        <f t="shared" si="219"/>
        <v>-3000</v>
      </c>
      <c r="AJ134" s="16">
        <f t="shared" si="219"/>
        <v>0</v>
      </c>
      <c r="AK134" s="16">
        <f t="shared" si="219"/>
        <v>0</v>
      </c>
      <c r="AL134" s="16">
        <f t="shared" si="219"/>
        <v>0</v>
      </c>
      <c r="AM134" s="16">
        <f t="shared" si="219"/>
        <v>4000</v>
      </c>
      <c r="AN134" s="16">
        <f t="shared" si="219"/>
        <v>-3000</v>
      </c>
      <c r="AO134" s="16">
        <f t="shared" si="219"/>
        <v>1000</v>
      </c>
      <c r="AP134" s="16">
        <f t="shared" si="219"/>
        <v>0</v>
      </c>
      <c r="AQ134" s="16">
        <f t="shared" si="219"/>
        <v>-140758</v>
      </c>
      <c r="AR134" s="16">
        <f t="shared" si="219"/>
        <v>-140758</v>
      </c>
      <c r="AS134" s="16">
        <f t="shared" si="219"/>
        <v>-47575</v>
      </c>
      <c r="AT134" s="16">
        <f t="shared" si="219"/>
        <v>-1420</v>
      </c>
      <c r="AU134" s="16">
        <f t="shared" si="219"/>
        <v>0</v>
      </c>
      <c r="AV134" s="16">
        <f t="shared" si="219"/>
        <v>0</v>
      </c>
      <c r="AW134" s="16">
        <f t="shared" si="219"/>
        <v>0</v>
      </c>
      <c r="AX134" s="16">
        <f t="shared" si="219"/>
        <v>0</v>
      </c>
      <c r="AY134" s="16">
        <f t="shared" si="219"/>
        <v>-189753</v>
      </c>
      <c r="AZ134" s="13">
        <f t="shared" si="219"/>
        <v>0</v>
      </c>
      <c r="BA134" s="13">
        <f t="shared" si="219"/>
        <v>0</v>
      </c>
      <c r="BB134" s="13">
        <f t="shared" si="219"/>
        <v>0</v>
      </c>
      <c r="BC134" s="13">
        <f t="shared" si="219"/>
        <v>0</v>
      </c>
      <c r="BD134" s="13">
        <f t="shared" si="219"/>
        <v>-0.42</v>
      </c>
      <c r="BE134" s="13">
        <f t="shared" si="219"/>
        <v>0</v>
      </c>
      <c r="BF134" s="13">
        <f t="shared" si="219"/>
        <v>0</v>
      </c>
      <c r="BG134" s="13">
        <f t="shared" si="219"/>
        <v>0</v>
      </c>
      <c r="BH134" s="13">
        <f t="shared" si="219"/>
        <v>0</v>
      </c>
      <c r="BI134" s="13">
        <f t="shared" si="219"/>
        <v>0</v>
      </c>
      <c r="BJ134" s="13">
        <f t="shared" si="219"/>
        <v>-0.42</v>
      </c>
      <c r="BK134" s="169">
        <f t="shared" si="219"/>
        <v>-0.42</v>
      </c>
      <c r="BL134" s="167">
        <f t="shared" si="219"/>
        <v>25597819</v>
      </c>
      <c r="BM134" s="16">
        <f t="shared" si="219"/>
        <v>18811435</v>
      </c>
      <c r="BN134" s="16">
        <f t="shared" si="219"/>
        <v>-4000</v>
      </c>
      <c r="BO134" s="16">
        <f t="shared" si="219"/>
        <v>18815435</v>
      </c>
      <c r="BP134" s="16">
        <f t="shared" si="219"/>
        <v>66000</v>
      </c>
      <c r="BQ134" s="16">
        <f t="shared" si="219"/>
        <v>4000</v>
      </c>
      <c r="BR134" s="16">
        <f t="shared" si="219"/>
        <v>62000</v>
      </c>
      <c r="BS134" s="16">
        <f t="shared" si="219"/>
        <v>6380574</v>
      </c>
      <c r="BT134" s="16">
        <f t="shared" si="219"/>
        <v>188112</v>
      </c>
      <c r="BU134" s="16">
        <f t="shared" si="219"/>
        <v>151698</v>
      </c>
      <c r="BV134" s="13">
        <f t="shared" si="219"/>
        <v>56.580099999999995</v>
      </c>
      <c r="BW134" s="13">
        <f t="shared" si="219"/>
        <v>0</v>
      </c>
      <c r="BX134" s="169">
        <f t="shared" ref="BX134:CJ134" si="220">SUMIF($F$12:$F$464,"=3141",BX$12:BX$464)</f>
        <v>56.580099999999995</v>
      </c>
      <c r="BY134" s="167">
        <f t="shared" si="220"/>
        <v>0</v>
      </c>
      <c r="BZ134" s="16">
        <f t="shared" si="220"/>
        <v>0</v>
      </c>
      <c r="CA134" s="16">
        <f t="shared" si="220"/>
        <v>0</v>
      </c>
      <c r="CB134" s="16">
        <f t="shared" si="220"/>
        <v>0</v>
      </c>
      <c r="CC134" s="16">
        <f t="shared" si="220"/>
        <v>0</v>
      </c>
      <c r="CD134" s="17">
        <f t="shared" si="220"/>
        <v>0</v>
      </c>
      <c r="CE134" s="167">
        <f t="shared" si="220"/>
        <v>0</v>
      </c>
      <c r="CF134" s="16">
        <f t="shared" si="220"/>
        <v>0</v>
      </c>
      <c r="CG134" s="16">
        <f t="shared" si="220"/>
        <v>0</v>
      </c>
      <c r="CH134" s="16">
        <f t="shared" si="220"/>
        <v>0</v>
      </c>
      <c r="CI134" s="16">
        <f t="shared" si="220"/>
        <v>0</v>
      </c>
      <c r="CJ134" s="17">
        <f t="shared" si="220"/>
        <v>0</v>
      </c>
    </row>
    <row r="135" spans="4:88" s="89" customFormat="1" ht="12.95" customHeight="1">
      <c r="D135" s="311"/>
      <c r="E135" s="312"/>
      <c r="F135" s="311"/>
      <c r="G135" s="313"/>
      <c r="H135" s="19">
        <v>3143</v>
      </c>
      <c r="I135" s="167">
        <f t="shared" ref="I135:BW135" si="221">SUMIF($F$12:$F$464,"=3143",I$12:I$464)</f>
        <v>20586087</v>
      </c>
      <c r="J135" s="16">
        <f t="shared" si="221"/>
        <v>15140648</v>
      </c>
      <c r="K135" s="16">
        <f t="shared" si="221"/>
        <v>14679748</v>
      </c>
      <c r="L135" s="16">
        <f t="shared" si="221"/>
        <v>460900</v>
      </c>
      <c r="M135" s="16">
        <f t="shared" si="221"/>
        <v>115000</v>
      </c>
      <c r="N135" s="16">
        <f t="shared" si="221"/>
        <v>115000</v>
      </c>
      <c r="O135" s="16">
        <f t="shared" si="221"/>
        <v>0</v>
      </c>
      <c r="P135" s="16">
        <f t="shared" si="221"/>
        <v>5156406</v>
      </c>
      <c r="Q135" s="16">
        <f t="shared" si="221"/>
        <v>151407</v>
      </c>
      <c r="R135" s="16">
        <f t="shared" si="221"/>
        <v>22626</v>
      </c>
      <c r="S135" s="13">
        <f t="shared" si="221"/>
        <v>31.084</v>
      </c>
      <c r="T135" s="13">
        <f t="shared" si="221"/>
        <v>29.330099999999998</v>
      </c>
      <c r="U135" s="627">
        <f t="shared" si="221"/>
        <v>1.7538999999999998</v>
      </c>
      <c r="V135" s="168">
        <f t="shared" si="221"/>
        <v>46000</v>
      </c>
      <c r="W135" s="16">
        <f t="shared" si="221"/>
        <v>0</v>
      </c>
      <c r="X135" s="16">
        <f t="shared" si="221"/>
        <v>0</v>
      </c>
      <c r="Y135" s="16">
        <f t="shared" si="221"/>
        <v>0</v>
      </c>
      <c r="Z135" s="16">
        <f t="shared" si="221"/>
        <v>71487</v>
      </c>
      <c r="AA135" s="16">
        <f t="shared" si="221"/>
        <v>0</v>
      </c>
      <c r="AB135" s="16">
        <f t="shared" si="221"/>
        <v>0</v>
      </c>
      <c r="AC135" s="16">
        <f t="shared" si="221"/>
        <v>0</v>
      </c>
      <c r="AD135" s="16">
        <f t="shared" si="221"/>
        <v>0</v>
      </c>
      <c r="AE135" s="16">
        <f t="shared" si="221"/>
        <v>117487</v>
      </c>
      <c r="AF135" s="16">
        <f t="shared" si="221"/>
        <v>0</v>
      </c>
      <c r="AG135" s="16">
        <f t="shared" si="221"/>
        <v>117487</v>
      </c>
      <c r="AH135" s="16">
        <f t="shared" si="221"/>
        <v>-46000</v>
      </c>
      <c r="AI135" s="16">
        <f t="shared" si="221"/>
        <v>0</v>
      </c>
      <c r="AJ135" s="16">
        <f t="shared" si="221"/>
        <v>0</v>
      </c>
      <c r="AK135" s="16">
        <f t="shared" si="221"/>
        <v>0</v>
      </c>
      <c r="AL135" s="16">
        <f t="shared" si="221"/>
        <v>0</v>
      </c>
      <c r="AM135" s="16">
        <f t="shared" si="221"/>
        <v>-46000</v>
      </c>
      <c r="AN135" s="16">
        <f t="shared" si="221"/>
        <v>0</v>
      </c>
      <c r="AO135" s="16">
        <f t="shared" si="221"/>
        <v>-46000</v>
      </c>
      <c r="AP135" s="16">
        <f t="shared" si="221"/>
        <v>71487</v>
      </c>
      <c r="AQ135" s="16">
        <f t="shared" si="221"/>
        <v>0</v>
      </c>
      <c r="AR135" s="16">
        <f t="shared" si="221"/>
        <v>71487</v>
      </c>
      <c r="AS135" s="16">
        <f t="shared" si="221"/>
        <v>24163</v>
      </c>
      <c r="AT135" s="16">
        <f t="shared" si="221"/>
        <v>1175</v>
      </c>
      <c r="AU135" s="16">
        <f t="shared" si="221"/>
        <v>0</v>
      </c>
      <c r="AV135" s="16">
        <f t="shared" si="221"/>
        <v>0</v>
      </c>
      <c r="AW135" s="16">
        <f t="shared" si="221"/>
        <v>0</v>
      </c>
      <c r="AX135" s="16">
        <f t="shared" si="221"/>
        <v>0</v>
      </c>
      <c r="AY135" s="16">
        <f t="shared" si="221"/>
        <v>96825</v>
      </c>
      <c r="AZ135" s="13">
        <f t="shared" si="221"/>
        <v>0</v>
      </c>
      <c r="BA135" s="13">
        <f t="shared" si="221"/>
        <v>0</v>
      </c>
      <c r="BB135" s="13">
        <f t="shared" si="221"/>
        <v>0</v>
      </c>
      <c r="BC135" s="13">
        <f t="shared" si="221"/>
        <v>0.16</v>
      </c>
      <c r="BD135" s="13">
        <f t="shared" si="221"/>
        <v>0</v>
      </c>
      <c r="BE135" s="13">
        <f t="shared" si="221"/>
        <v>0</v>
      </c>
      <c r="BF135" s="13">
        <f t="shared" si="221"/>
        <v>0</v>
      </c>
      <c r="BG135" s="13">
        <f t="shared" si="221"/>
        <v>0</v>
      </c>
      <c r="BH135" s="13">
        <f t="shared" si="221"/>
        <v>0</v>
      </c>
      <c r="BI135" s="13">
        <f t="shared" si="221"/>
        <v>0.16</v>
      </c>
      <c r="BJ135" s="13">
        <f t="shared" si="221"/>
        <v>0</v>
      </c>
      <c r="BK135" s="169">
        <f t="shared" si="221"/>
        <v>0.16</v>
      </c>
      <c r="BL135" s="167">
        <f t="shared" si="221"/>
        <v>20682912</v>
      </c>
      <c r="BM135" s="16">
        <f t="shared" si="221"/>
        <v>15258135</v>
      </c>
      <c r="BN135" s="16">
        <f t="shared" si="221"/>
        <v>14797235</v>
      </c>
      <c r="BO135" s="16">
        <f t="shared" si="221"/>
        <v>460900</v>
      </c>
      <c r="BP135" s="16">
        <f t="shared" si="221"/>
        <v>69000</v>
      </c>
      <c r="BQ135" s="16">
        <f t="shared" si="221"/>
        <v>69000</v>
      </c>
      <c r="BR135" s="16">
        <f t="shared" si="221"/>
        <v>0</v>
      </c>
      <c r="BS135" s="16">
        <f t="shared" si="221"/>
        <v>5180569</v>
      </c>
      <c r="BT135" s="16">
        <f t="shared" si="221"/>
        <v>152582</v>
      </c>
      <c r="BU135" s="16">
        <f t="shared" si="221"/>
        <v>22626</v>
      </c>
      <c r="BV135" s="13">
        <f t="shared" si="221"/>
        <v>31.244</v>
      </c>
      <c r="BW135" s="13">
        <f t="shared" si="221"/>
        <v>29.490099999999998</v>
      </c>
      <c r="BX135" s="169">
        <f t="shared" ref="BX135:CJ135" si="222">SUMIF($F$12:$F$464,"=3143",BX$12:BX$464)</f>
        <v>1.7538999999999998</v>
      </c>
      <c r="BY135" s="167">
        <f t="shared" si="222"/>
        <v>0</v>
      </c>
      <c r="BZ135" s="16">
        <f t="shared" si="222"/>
        <v>0</v>
      </c>
      <c r="CA135" s="16">
        <f t="shared" si="222"/>
        <v>0</v>
      </c>
      <c r="CB135" s="16">
        <f t="shared" si="222"/>
        <v>0</v>
      </c>
      <c r="CC135" s="16">
        <f t="shared" si="222"/>
        <v>0</v>
      </c>
      <c r="CD135" s="17">
        <f t="shared" si="222"/>
        <v>0</v>
      </c>
      <c r="CE135" s="167">
        <f t="shared" si="222"/>
        <v>0</v>
      </c>
      <c r="CF135" s="16">
        <f t="shared" si="222"/>
        <v>0</v>
      </c>
      <c r="CG135" s="16">
        <f t="shared" si="222"/>
        <v>0</v>
      </c>
      <c r="CH135" s="16">
        <f t="shared" si="222"/>
        <v>0</v>
      </c>
      <c r="CI135" s="16">
        <f t="shared" si="222"/>
        <v>0</v>
      </c>
      <c r="CJ135" s="17">
        <f t="shared" si="222"/>
        <v>0</v>
      </c>
    </row>
    <row r="136" spans="4:88" s="89" customFormat="1" ht="12.95" customHeight="1">
      <c r="D136" s="311"/>
      <c r="E136" s="312"/>
      <c r="F136" s="311"/>
      <c r="G136" s="313"/>
      <c r="H136" s="19">
        <v>3231</v>
      </c>
      <c r="I136" s="167">
        <f t="shared" ref="I136:BW136" si="223">SUMIF($F$12:$F$464,"=3231",I$12:I$464)</f>
        <v>16818520</v>
      </c>
      <c r="J136" s="16">
        <f t="shared" si="223"/>
        <v>12426063</v>
      </c>
      <c r="K136" s="16">
        <f t="shared" si="223"/>
        <v>11787964</v>
      </c>
      <c r="L136" s="16">
        <f t="shared" si="223"/>
        <v>638099</v>
      </c>
      <c r="M136" s="16">
        <f t="shared" si="223"/>
        <v>30000</v>
      </c>
      <c r="N136" s="16">
        <f t="shared" si="223"/>
        <v>0</v>
      </c>
      <c r="O136" s="16">
        <f t="shared" si="223"/>
        <v>30000</v>
      </c>
      <c r="P136" s="16">
        <f t="shared" si="223"/>
        <v>4210149</v>
      </c>
      <c r="Q136" s="16">
        <f t="shared" si="223"/>
        <v>124261</v>
      </c>
      <c r="R136" s="16">
        <f t="shared" si="223"/>
        <v>28047</v>
      </c>
      <c r="S136" s="13">
        <f t="shared" si="223"/>
        <v>20.558199999999999</v>
      </c>
      <c r="T136" s="13">
        <f t="shared" si="223"/>
        <v>18.683599999999998</v>
      </c>
      <c r="U136" s="627">
        <f t="shared" si="223"/>
        <v>1.8746</v>
      </c>
      <c r="V136" s="168">
        <f t="shared" si="223"/>
        <v>0</v>
      </c>
      <c r="W136" s="16">
        <f t="shared" si="223"/>
        <v>30000</v>
      </c>
      <c r="X136" s="16">
        <f t="shared" si="223"/>
        <v>0</v>
      </c>
      <c r="Y136" s="16">
        <f t="shared" si="223"/>
        <v>0</v>
      </c>
      <c r="Z136" s="16">
        <f t="shared" si="223"/>
        <v>146759</v>
      </c>
      <c r="AA136" s="16">
        <f t="shared" si="223"/>
        <v>0</v>
      </c>
      <c r="AB136" s="16">
        <f t="shared" si="223"/>
        <v>0</v>
      </c>
      <c r="AC136" s="16">
        <f t="shared" si="223"/>
        <v>0</v>
      </c>
      <c r="AD136" s="16">
        <f t="shared" si="223"/>
        <v>0</v>
      </c>
      <c r="AE136" s="16">
        <f t="shared" si="223"/>
        <v>146759</v>
      </c>
      <c r="AF136" s="16">
        <f t="shared" si="223"/>
        <v>30000</v>
      </c>
      <c r="AG136" s="16">
        <f t="shared" si="223"/>
        <v>176759</v>
      </c>
      <c r="AH136" s="16">
        <f t="shared" si="223"/>
        <v>0</v>
      </c>
      <c r="AI136" s="16">
        <f t="shared" si="223"/>
        <v>-30000</v>
      </c>
      <c r="AJ136" s="16">
        <f t="shared" si="223"/>
        <v>0</v>
      </c>
      <c r="AK136" s="16">
        <f t="shared" si="223"/>
        <v>0</v>
      </c>
      <c r="AL136" s="16">
        <f t="shared" si="223"/>
        <v>0</v>
      </c>
      <c r="AM136" s="16">
        <f t="shared" si="223"/>
        <v>0</v>
      </c>
      <c r="AN136" s="16">
        <f t="shared" si="223"/>
        <v>-30000</v>
      </c>
      <c r="AO136" s="16">
        <f t="shared" si="223"/>
        <v>-30000</v>
      </c>
      <c r="AP136" s="16">
        <f t="shared" si="223"/>
        <v>146759</v>
      </c>
      <c r="AQ136" s="16">
        <f t="shared" si="223"/>
        <v>0</v>
      </c>
      <c r="AR136" s="16">
        <f t="shared" si="223"/>
        <v>146759</v>
      </c>
      <c r="AS136" s="16">
        <f t="shared" si="223"/>
        <v>49605</v>
      </c>
      <c r="AT136" s="16">
        <f t="shared" si="223"/>
        <v>1768</v>
      </c>
      <c r="AU136" s="16">
        <f t="shared" si="223"/>
        <v>0</v>
      </c>
      <c r="AV136" s="16">
        <f t="shared" si="223"/>
        <v>0</v>
      </c>
      <c r="AW136" s="16">
        <f t="shared" si="223"/>
        <v>0</v>
      </c>
      <c r="AX136" s="16">
        <f t="shared" si="223"/>
        <v>0</v>
      </c>
      <c r="AY136" s="16">
        <f t="shared" si="223"/>
        <v>198132</v>
      </c>
      <c r="AZ136" s="13">
        <f t="shared" si="223"/>
        <v>0</v>
      </c>
      <c r="BA136" s="13">
        <f t="shared" si="223"/>
        <v>0</v>
      </c>
      <c r="BB136" s="13">
        <f t="shared" si="223"/>
        <v>0</v>
      </c>
      <c r="BC136" s="13">
        <f t="shared" si="223"/>
        <v>0.23</v>
      </c>
      <c r="BD136" s="13">
        <f t="shared" si="223"/>
        <v>0</v>
      </c>
      <c r="BE136" s="13">
        <f t="shared" si="223"/>
        <v>0</v>
      </c>
      <c r="BF136" s="13">
        <f t="shared" si="223"/>
        <v>0</v>
      </c>
      <c r="BG136" s="13">
        <f t="shared" si="223"/>
        <v>0</v>
      </c>
      <c r="BH136" s="13">
        <f t="shared" si="223"/>
        <v>0</v>
      </c>
      <c r="BI136" s="13">
        <f t="shared" si="223"/>
        <v>0.23</v>
      </c>
      <c r="BJ136" s="13">
        <f t="shared" si="223"/>
        <v>0</v>
      </c>
      <c r="BK136" s="169">
        <f t="shared" si="223"/>
        <v>0.23</v>
      </c>
      <c r="BL136" s="167">
        <f t="shared" si="223"/>
        <v>17016652</v>
      </c>
      <c r="BM136" s="16">
        <f t="shared" si="223"/>
        <v>12602822</v>
      </c>
      <c r="BN136" s="16">
        <f t="shared" si="223"/>
        <v>11934723</v>
      </c>
      <c r="BO136" s="16">
        <f t="shared" si="223"/>
        <v>668099</v>
      </c>
      <c r="BP136" s="16">
        <f t="shared" si="223"/>
        <v>0</v>
      </c>
      <c r="BQ136" s="16">
        <f t="shared" si="223"/>
        <v>0</v>
      </c>
      <c r="BR136" s="16">
        <f t="shared" si="223"/>
        <v>0</v>
      </c>
      <c r="BS136" s="16">
        <f t="shared" si="223"/>
        <v>4259754</v>
      </c>
      <c r="BT136" s="16">
        <f t="shared" si="223"/>
        <v>126029</v>
      </c>
      <c r="BU136" s="16">
        <f t="shared" si="223"/>
        <v>28047</v>
      </c>
      <c r="BV136" s="13">
        <f t="shared" si="223"/>
        <v>20.7882</v>
      </c>
      <c r="BW136" s="13">
        <f t="shared" si="223"/>
        <v>18.913599999999999</v>
      </c>
      <c r="BX136" s="169">
        <f t="shared" ref="BX136:CJ136" si="224">SUMIF($F$12:$F$464,"=3231",BX$12:BX$464)</f>
        <v>1.8746</v>
      </c>
      <c r="BY136" s="167">
        <f t="shared" si="224"/>
        <v>0</v>
      </c>
      <c r="BZ136" s="16">
        <f t="shared" si="224"/>
        <v>0</v>
      </c>
      <c r="CA136" s="16">
        <f t="shared" si="224"/>
        <v>0</v>
      </c>
      <c r="CB136" s="16">
        <f t="shared" si="224"/>
        <v>0</v>
      </c>
      <c r="CC136" s="16">
        <f t="shared" si="224"/>
        <v>0</v>
      </c>
      <c r="CD136" s="17">
        <f t="shared" si="224"/>
        <v>0</v>
      </c>
      <c r="CE136" s="167">
        <f t="shared" si="224"/>
        <v>304534</v>
      </c>
      <c r="CF136" s="16">
        <f t="shared" si="224"/>
        <v>219100</v>
      </c>
      <c r="CG136" s="16">
        <f t="shared" si="224"/>
        <v>74056</v>
      </c>
      <c r="CH136" s="16">
        <f t="shared" si="224"/>
        <v>2191</v>
      </c>
      <c r="CI136" s="16">
        <f t="shared" si="224"/>
        <v>9187</v>
      </c>
      <c r="CJ136" s="17">
        <f t="shared" si="224"/>
        <v>0.61470000000000002</v>
      </c>
    </row>
    <row r="137" spans="4:88" s="89" customFormat="1" ht="12.95" customHeight="1" thickBot="1">
      <c r="D137" s="311"/>
      <c r="E137" s="312"/>
      <c r="F137" s="311"/>
      <c r="G137" s="313"/>
      <c r="H137" s="138">
        <v>3233</v>
      </c>
      <c r="I137" s="170">
        <f t="shared" ref="I137:BW137" si="225">SUMIF($F$12:$F$464,"=3233",I$12:I$464)</f>
        <v>8212675</v>
      </c>
      <c r="J137" s="171">
        <f t="shared" si="225"/>
        <v>5985888</v>
      </c>
      <c r="K137" s="171">
        <f t="shared" si="225"/>
        <v>4508124</v>
      </c>
      <c r="L137" s="171">
        <f t="shared" si="225"/>
        <v>1477764</v>
      </c>
      <c r="M137" s="171">
        <f t="shared" si="225"/>
        <v>100000</v>
      </c>
      <c r="N137" s="171">
        <f t="shared" si="225"/>
        <v>100000</v>
      </c>
      <c r="O137" s="171">
        <f t="shared" si="225"/>
        <v>0</v>
      </c>
      <c r="P137" s="171">
        <f t="shared" si="225"/>
        <v>2057030</v>
      </c>
      <c r="Q137" s="171">
        <f t="shared" si="225"/>
        <v>59859</v>
      </c>
      <c r="R137" s="171">
        <f t="shared" si="225"/>
        <v>9898</v>
      </c>
      <c r="S137" s="172">
        <f t="shared" si="225"/>
        <v>12.92</v>
      </c>
      <c r="T137" s="172">
        <f t="shared" si="225"/>
        <v>8.16</v>
      </c>
      <c r="U137" s="628">
        <f t="shared" si="225"/>
        <v>4.76</v>
      </c>
      <c r="V137" s="174">
        <f t="shared" si="225"/>
        <v>80000</v>
      </c>
      <c r="W137" s="171">
        <f t="shared" si="225"/>
        <v>0</v>
      </c>
      <c r="X137" s="171">
        <f t="shared" si="225"/>
        <v>0</v>
      </c>
      <c r="Y137" s="171">
        <f t="shared" si="225"/>
        <v>0</v>
      </c>
      <c r="Z137" s="171">
        <f t="shared" si="225"/>
        <v>0</v>
      </c>
      <c r="AA137" s="171">
        <f t="shared" si="225"/>
        <v>0</v>
      </c>
      <c r="AB137" s="171">
        <f t="shared" si="225"/>
        <v>0</v>
      </c>
      <c r="AC137" s="171">
        <f t="shared" si="225"/>
        <v>0</v>
      </c>
      <c r="AD137" s="171">
        <f t="shared" si="225"/>
        <v>0</v>
      </c>
      <c r="AE137" s="171">
        <f t="shared" si="225"/>
        <v>80000</v>
      </c>
      <c r="AF137" s="171">
        <f t="shared" si="225"/>
        <v>0</v>
      </c>
      <c r="AG137" s="171">
        <f t="shared" si="225"/>
        <v>80000</v>
      </c>
      <c r="AH137" s="171">
        <f t="shared" si="225"/>
        <v>-80000</v>
      </c>
      <c r="AI137" s="171">
        <f t="shared" si="225"/>
        <v>0</v>
      </c>
      <c r="AJ137" s="171">
        <f t="shared" si="225"/>
        <v>0</v>
      </c>
      <c r="AK137" s="171">
        <f t="shared" si="225"/>
        <v>0</v>
      </c>
      <c r="AL137" s="171">
        <f t="shared" si="225"/>
        <v>0</v>
      </c>
      <c r="AM137" s="171">
        <f t="shared" si="225"/>
        <v>-80000</v>
      </c>
      <c r="AN137" s="171">
        <f t="shared" si="225"/>
        <v>0</v>
      </c>
      <c r="AO137" s="171">
        <f t="shared" si="225"/>
        <v>-80000</v>
      </c>
      <c r="AP137" s="171">
        <f t="shared" si="225"/>
        <v>0</v>
      </c>
      <c r="AQ137" s="171">
        <f t="shared" si="225"/>
        <v>0</v>
      </c>
      <c r="AR137" s="171">
        <f t="shared" si="225"/>
        <v>0</v>
      </c>
      <c r="AS137" s="171">
        <f t="shared" si="225"/>
        <v>0</v>
      </c>
      <c r="AT137" s="171">
        <f t="shared" si="225"/>
        <v>800</v>
      </c>
      <c r="AU137" s="171">
        <f t="shared" si="225"/>
        <v>0</v>
      </c>
      <c r="AV137" s="171">
        <f t="shared" si="225"/>
        <v>0</v>
      </c>
      <c r="AW137" s="171">
        <f t="shared" si="225"/>
        <v>0</v>
      </c>
      <c r="AX137" s="171">
        <f t="shared" si="225"/>
        <v>0</v>
      </c>
      <c r="AY137" s="171">
        <f t="shared" si="225"/>
        <v>800</v>
      </c>
      <c r="AZ137" s="172">
        <f t="shared" si="225"/>
        <v>0.14000000000000001</v>
      </c>
      <c r="BA137" s="172">
        <f t="shared" si="225"/>
        <v>0</v>
      </c>
      <c r="BB137" s="172">
        <f t="shared" si="225"/>
        <v>0</v>
      </c>
      <c r="BC137" s="172">
        <f t="shared" si="225"/>
        <v>0</v>
      </c>
      <c r="BD137" s="172">
        <f t="shared" si="225"/>
        <v>0</v>
      </c>
      <c r="BE137" s="172">
        <f t="shared" si="225"/>
        <v>0</v>
      </c>
      <c r="BF137" s="172">
        <f t="shared" si="225"/>
        <v>0</v>
      </c>
      <c r="BG137" s="172">
        <f t="shared" si="225"/>
        <v>0</v>
      </c>
      <c r="BH137" s="172">
        <f t="shared" si="225"/>
        <v>0</v>
      </c>
      <c r="BI137" s="172">
        <f t="shared" si="225"/>
        <v>0.14000000000000001</v>
      </c>
      <c r="BJ137" s="172">
        <f t="shared" si="225"/>
        <v>0</v>
      </c>
      <c r="BK137" s="175">
        <f t="shared" si="225"/>
        <v>0.14000000000000001</v>
      </c>
      <c r="BL137" s="170">
        <f t="shared" si="225"/>
        <v>8213475</v>
      </c>
      <c r="BM137" s="171">
        <f t="shared" si="225"/>
        <v>6065888</v>
      </c>
      <c r="BN137" s="171">
        <f t="shared" si="225"/>
        <v>4588124</v>
      </c>
      <c r="BO137" s="171">
        <f t="shared" si="225"/>
        <v>1477764</v>
      </c>
      <c r="BP137" s="171">
        <f t="shared" si="225"/>
        <v>20000</v>
      </c>
      <c r="BQ137" s="171">
        <f t="shared" si="225"/>
        <v>20000</v>
      </c>
      <c r="BR137" s="171">
        <f t="shared" si="225"/>
        <v>0</v>
      </c>
      <c r="BS137" s="171">
        <f t="shared" si="225"/>
        <v>2057030</v>
      </c>
      <c r="BT137" s="171">
        <f t="shared" si="225"/>
        <v>60659</v>
      </c>
      <c r="BU137" s="171">
        <f t="shared" si="225"/>
        <v>9898</v>
      </c>
      <c r="BV137" s="172">
        <f t="shared" si="225"/>
        <v>13.06</v>
      </c>
      <c r="BW137" s="172">
        <f t="shared" si="225"/>
        <v>8.3000000000000007</v>
      </c>
      <c r="BX137" s="175">
        <f t="shared" ref="BX137:CJ137" si="226">SUMIF($F$12:$F$464,"=3233",BX$12:BX$464)</f>
        <v>4.76</v>
      </c>
      <c r="BY137" s="170">
        <f t="shared" si="226"/>
        <v>0</v>
      </c>
      <c r="BZ137" s="171">
        <f t="shared" si="226"/>
        <v>0</v>
      </c>
      <c r="CA137" s="171">
        <f t="shared" si="226"/>
        <v>0</v>
      </c>
      <c r="CB137" s="171">
        <f t="shared" si="226"/>
        <v>0</v>
      </c>
      <c r="CC137" s="171">
        <f t="shared" si="226"/>
        <v>0</v>
      </c>
      <c r="CD137" s="173">
        <f t="shared" si="226"/>
        <v>0</v>
      </c>
      <c r="CE137" s="170">
        <f t="shared" si="226"/>
        <v>0</v>
      </c>
      <c r="CF137" s="171">
        <f t="shared" si="226"/>
        <v>0</v>
      </c>
      <c r="CG137" s="171">
        <f t="shared" si="226"/>
        <v>0</v>
      </c>
      <c r="CH137" s="171">
        <f t="shared" si="226"/>
        <v>0</v>
      </c>
      <c r="CI137" s="171">
        <f t="shared" si="226"/>
        <v>0</v>
      </c>
      <c r="CJ137" s="173">
        <f t="shared" si="226"/>
        <v>0</v>
      </c>
    </row>
    <row r="138" spans="4:88" ht="12.95" customHeight="1">
      <c r="E138" s="250"/>
      <c r="CE138" s="250"/>
      <c r="CF138" s="250"/>
      <c r="CG138" s="250"/>
      <c r="CH138" s="250"/>
      <c r="CI138" s="250"/>
    </row>
    <row r="139" spans="4:88" ht="12.95" customHeight="1">
      <c r="E139" s="250"/>
      <c r="CE139" s="250"/>
      <c r="CF139" s="250"/>
      <c r="CG139" s="250"/>
      <c r="CH139" s="250"/>
      <c r="CI139" s="250"/>
    </row>
    <row r="140" spans="4:88" ht="12.95" customHeight="1">
      <c r="E140" s="250"/>
      <c r="CE140" s="250"/>
      <c r="CF140" s="250"/>
      <c r="CG140" s="250"/>
      <c r="CH140" s="250"/>
      <c r="CI140" s="250"/>
    </row>
    <row r="141" spans="4:88">
      <c r="CE141" s="250"/>
      <c r="CF141" s="250"/>
      <c r="CG141" s="250"/>
      <c r="CH141" s="250"/>
      <c r="CI141" s="250"/>
    </row>
    <row r="142" spans="4:88">
      <c r="CE142" s="250"/>
      <c r="CF142" s="250"/>
      <c r="CG142" s="250"/>
      <c r="CH142" s="250"/>
      <c r="CI142" s="250"/>
    </row>
    <row r="143" spans="4:88">
      <c r="AQ143" s="314"/>
      <c r="CE143" s="250"/>
      <c r="CF143" s="250"/>
      <c r="CG143" s="250"/>
      <c r="CH143" s="250"/>
      <c r="CI143" s="250"/>
    </row>
    <row r="144" spans="4:88">
      <c r="CE144" s="250"/>
      <c r="CF144" s="250"/>
      <c r="CG144" s="250"/>
      <c r="CH144" s="250"/>
      <c r="CI144" s="250"/>
    </row>
    <row r="145" spans="80:87">
      <c r="CE145" s="250"/>
      <c r="CF145" s="250"/>
      <c r="CG145" s="250"/>
      <c r="CH145" s="250"/>
      <c r="CI145" s="250"/>
    </row>
    <row r="146" spans="80:87">
      <c r="CE146" s="250"/>
      <c r="CF146" s="250"/>
      <c r="CG146" s="250"/>
      <c r="CH146" s="250"/>
      <c r="CI146" s="250"/>
    </row>
    <row r="147" spans="80:87">
      <c r="CE147" s="250"/>
      <c r="CF147" s="250"/>
      <c r="CG147" s="250"/>
      <c r="CH147" s="250"/>
      <c r="CI147" s="250"/>
    </row>
    <row r="148" spans="80:87">
      <c r="CE148" s="250"/>
      <c r="CF148" s="250"/>
      <c r="CG148" s="250"/>
      <c r="CH148" s="250"/>
      <c r="CI148" s="250"/>
    </row>
    <row r="149" spans="80:87">
      <c r="CE149" s="250"/>
      <c r="CF149" s="250"/>
      <c r="CG149" s="250"/>
      <c r="CH149" s="250"/>
      <c r="CI149" s="250"/>
    </row>
    <row r="150" spans="80:87">
      <c r="CE150" s="250"/>
      <c r="CF150" s="250"/>
      <c r="CG150" s="250"/>
      <c r="CH150" s="250"/>
      <c r="CI150" s="250"/>
    </row>
    <row r="151" spans="80:87">
      <c r="CE151" s="250"/>
      <c r="CF151" s="250"/>
      <c r="CG151" s="250"/>
      <c r="CH151" s="250"/>
      <c r="CI151" s="250"/>
    </row>
    <row r="152" spans="80:87">
      <c r="CE152" s="250"/>
      <c r="CF152" s="250"/>
      <c r="CG152" s="250"/>
      <c r="CH152" s="250"/>
      <c r="CI152" s="250"/>
    </row>
    <row r="153" spans="80:87">
      <c r="CE153" s="250"/>
      <c r="CF153" s="250"/>
      <c r="CG153" s="250"/>
      <c r="CH153" s="250"/>
      <c r="CI153" s="250"/>
    </row>
    <row r="154" spans="80:87">
      <c r="CE154" s="250"/>
      <c r="CF154" s="250"/>
      <c r="CG154" s="250"/>
      <c r="CH154" s="250"/>
      <c r="CI154" s="250"/>
    </row>
    <row r="155" spans="80:87">
      <c r="CB155" s="670"/>
      <c r="CE155" s="250"/>
      <c r="CF155" s="250"/>
      <c r="CG155" s="250"/>
      <c r="CH155" s="250"/>
      <c r="CI155" s="250"/>
    </row>
  </sheetData>
  <mergeCells count="58">
    <mergeCell ref="AT7:AT10"/>
    <mergeCell ref="AU7:AX9"/>
    <mergeCell ref="BW8:BX9"/>
    <mergeCell ref="BS9:BS10"/>
    <mergeCell ref="BP9:BP10"/>
    <mergeCell ref="BT9:BT10"/>
    <mergeCell ref="AZ7:BK7"/>
    <mergeCell ref="BL8:BL10"/>
    <mergeCell ref="AY7:AY10"/>
    <mergeCell ref="BE8:BE9"/>
    <mergeCell ref="BC8:BD9"/>
    <mergeCell ref="BB8:BB9"/>
    <mergeCell ref="CE6:CJ7"/>
    <mergeCell ref="CE8:CJ9"/>
    <mergeCell ref="BF8:BF9"/>
    <mergeCell ref="BY6:CD7"/>
    <mergeCell ref="BY8:CD9"/>
    <mergeCell ref="BU9:BU10"/>
    <mergeCell ref="BM8:BU8"/>
    <mergeCell ref="BL6:BX7"/>
    <mergeCell ref="BV8:BV10"/>
    <mergeCell ref="BQ9:BR9"/>
    <mergeCell ref="BM9:BM10"/>
    <mergeCell ref="BN9:BO9"/>
    <mergeCell ref="BI8:BK9"/>
    <mergeCell ref="BG8:BH9"/>
    <mergeCell ref="A3:E3"/>
    <mergeCell ref="I8:I10"/>
    <mergeCell ref="I6:U7"/>
    <mergeCell ref="AO9:AO10"/>
    <mergeCell ref="Q9:Q10"/>
    <mergeCell ref="R9:R10"/>
    <mergeCell ref="J8:R8"/>
    <mergeCell ref="S8:S10"/>
    <mergeCell ref="T8:U9"/>
    <mergeCell ref="J9:J10"/>
    <mergeCell ref="K9:L9"/>
    <mergeCell ref="M9:M10"/>
    <mergeCell ref="V6:BK6"/>
    <mergeCell ref="V7:AG8"/>
    <mergeCell ref="AH7:AO8"/>
    <mergeCell ref="AZ8:BA9"/>
    <mergeCell ref="AB9:AB10"/>
    <mergeCell ref="AP7:AR9"/>
    <mergeCell ref="AS7:AS10"/>
    <mergeCell ref="N9:O9"/>
    <mergeCell ref="AK9:AL9"/>
    <mergeCell ref="V9:W9"/>
    <mergeCell ref="X9:X10"/>
    <mergeCell ref="Y9:Y10"/>
    <mergeCell ref="AG9:AG10"/>
    <mergeCell ref="AH9:AI9"/>
    <mergeCell ref="Z9:AA9"/>
    <mergeCell ref="AJ9:AJ10"/>
    <mergeCell ref="P9:P10"/>
    <mergeCell ref="AE9:AF9"/>
    <mergeCell ref="AM9:AN9"/>
    <mergeCell ref="AC9:AD9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CM184"/>
  <sheetViews>
    <sheetView zoomScaleNormal="100" workbookViewId="0">
      <pane xSplit="8" ySplit="11" topLeftCell="BF18" activePane="bottomRight" state="frozen"/>
      <selection activeCell="V6" sqref="V6:BK10"/>
      <selection pane="topRight" activeCell="V6" sqref="V6:BK10"/>
      <selection pane="bottomLeft" activeCell="V6" sqref="V6:BK10"/>
      <selection pane="bottomRight" activeCell="BL6" sqref="BL6:BX7"/>
    </sheetView>
  </sheetViews>
  <sheetFormatPr defaultColWidth="9.140625" defaultRowHeight="15"/>
  <cols>
    <col min="1" max="1" width="5" style="308" customWidth="1"/>
    <col min="2" max="2" width="7.140625" style="250" bestFit="1" customWidth="1"/>
    <col min="3" max="3" width="9.28515625" style="342" customWidth="1"/>
    <col min="4" max="4" width="8.7109375" style="250" customWidth="1"/>
    <col min="5" max="5" width="39.42578125" style="250" customWidth="1"/>
    <col min="6" max="6" width="6.140625" style="250" customWidth="1"/>
    <col min="7" max="7" width="10.28515625" style="250" bestFit="1" customWidth="1"/>
    <col min="8" max="8" width="8" style="250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1059" customWidth="1"/>
    <col min="29" max="42" width="10.28515625" style="314" customWidth="1"/>
    <col min="43" max="43" width="10.28515625" style="315" customWidth="1"/>
    <col min="44" max="45" width="10.42578125" style="315" customWidth="1"/>
    <col min="46" max="46" width="11.28515625" style="314" customWidth="1"/>
    <col min="47" max="47" width="8.7109375" style="314" customWidth="1"/>
    <col min="48" max="48" width="10" style="314" customWidth="1"/>
    <col min="49" max="49" width="11.42578125" style="1059" customWidth="1"/>
    <col min="50" max="50" width="10.42578125" style="314" customWidth="1"/>
    <col min="51" max="51" width="9.7109375" style="314" customWidth="1"/>
    <col min="52" max="52" width="10.28515625" style="315" customWidth="1"/>
    <col min="53" max="53" width="9.85546875" style="315" customWidth="1"/>
    <col min="54" max="54" width="9.42578125" style="315" customWidth="1"/>
    <col min="55" max="55" width="10.140625" style="315" customWidth="1"/>
    <col min="56" max="56" width="9.140625" style="315" customWidth="1"/>
    <col min="57" max="57" width="8.5703125" style="315" customWidth="1"/>
    <col min="58" max="58" width="10.5703125" style="1060" customWidth="1"/>
    <col min="59" max="59" width="9.140625" style="315" customWidth="1"/>
    <col min="60" max="60" width="8.7109375" style="315" customWidth="1"/>
    <col min="61" max="61" width="9.140625" style="315" customWidth="1"/>
    <col min="62" max="62" width="10.42578125" style="315" customWidth="1"/>
    <col min="63" max="63" width="9.140625" style="315" customWidth="1"/>
    <col min="64" max="73" width="10.85546875" style="315" customWidth="1"/>
    <col min="74" max="76" width="9.28515625" style="315" customWidth="1"/>
    <col min="77" max="81" width="9.7109375" style="314" customWidth="1"/>
    <col min="82" max="82" width="9.7109375" style="315" customWidth="1"/>
    <col min="83" max="87" width="9.140625" style="250" customWidth="1"/>
    <col min="88" max="88" width="9.140625" style="315" customWidth="1"/>
    <col min="89" max="16384" width="9.140625" style="250"/>
  </cols>
  <sheetData>
    <row r="1" spans="1:88" ht="12" customHeight="1">
      <c r="A1" s="398" t="s">
        <v>2</v>
      </c>
      <c r="B1" s="398"/>
      <c r="C1" s="248"/>
      <c r="D1" s="398"/>
      <c r="E1" s="398"/>
      <c r="F1" s="249"/>
      <c r="G1" s="249"/>
      <c r="H1" s="249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2" customHeight="1">
      <c r="A2" s="398" t="s">
        <v>3</v>
      </c>
      <c r="B2" s="398"/>
      <c r="C2" s="248"/>
      <c r="D2" s="398"/>
      <c r="E2" s="398"/>
      <c r="F2" s="249"/>
      <c r="G2" s="249"/>
      <c r="H2" s="249"/>
    </row>
    <row r="3" spans="1:88" ht="12" customHeight="1">
      <c r="A3" s="1216" t="s">
        <v>4</v>
      </c>
      <c r="B3" s="1216"/>
      <c r="C3" s="1216"/>
      <c r="D3" s="1216"/>
      <c r="E3" s="1216"/>
      <c r="F3" s="249"/>
      <c r="G3" s="249"/>
      <c r="H3" s="249"/>
      <c r="AU3" s="506"/>
      <c r="AV3" s="506"/>
      <c r="AW3" s="506"/>
      <c r="AX3" s="506"/>
    </row>
    <row r="4" spans="1:88" ht="12" customHeight="1">
      <c r="A4" s="251"/>
      <c r="B4" s="398"/>
      <c r="C4" s="398"/>
      <c r="D4" s="398"/>
      <c r="E4" s="398"/>
      <c r="F4" s="249"/>
      <c r="G4" s="249"/>
      <c r="H4" s="249"/>
      <c r="AW4" s="505"/>
      <c r="AX4" s="505"/>
    </row>
    <row r="5" spans="1:88" ht="16.5" thickBot="1">
      <c r="A5" s="181" t="s">
        <v>890</v>
      </c>
      <c r="B5" s="51"/>
      <c r="C5" s="51"/>
      <c r="D5" s="51"/>
      <c r="E5" s="52"/>
      <c r="F5" s="252"/>
      <c r="G5" s="252"/>
      <c r="H5" s="252"/>
      <c r="I5" s="252"/>
      <c r="J5" s="970"/>
      <c r="K5" s="970"/>
      <c r="L5" s="970"/>
      <c r="M5" s="970"/>
      <c r="N5" s="970"/>
      <c r="O5" s="970"/>
      <c r="P5" s="970"/>
      <c r="Q5" s="970"/>
      <c r="R5" s="970"/>
      <c r="S5" s="971"/>
      <c r="T5" s="971"/>
      <c r="U5" s="971"/>
      <c r="V5" s="992"/>
      <c r="W5" s="970"/>
      <c r="X5" s="970"/>
      <c r="Y5" s="970"/>
      <c r="Z5" s="970"/>
      <c r="AA5" s="970"/>
      <c r="AC5" s="970"/>
      <c r="AD5" s="970"/>
      <c r="AE5" s="970"/>
      <c r="AF5" s="970"/>
      <c r="AG5" s="970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116" t="s">
        <v>877</v>
      </c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8"/>
      <c r="V6" s="1122" t="s">
        <v>888</v>
      </c>
      <c r="W6" s="1122"/>
      <c r="X6" s="1122"/>
      <c r="Y6" s="1122"/>
      <c r="Z6" s="1122"/>
      <c r="AA6" s="1122"/>
      <c r="AB6" s="1122"/>
      <c r="AC6" s="1122"/>
      <c r="AD6" s="1122"/>
      <c r="AE6" s="1122"/>
      <c r="AF6" s="1122"/>
      <c r="AG6" s="1122"/>
      <c r="AH6" s="1122"/>
      <c r="AI6" s="1122"/>
      <c r="AJ6" s="1122"/>
      <c r="AK6" s="1122"/>
      <c r="AL6" s="1122"/>
      <c r="AM6" s="1122"/>
      <c r="AN6" s="1122"/>
      <c r="AO6" s="1122"/>
      <c r="AP6" s="1122"/>
      <c r="AQ6" s="1122"/>
      <c r="AR6" s="1122"/>
      <c r="AS6" s="1122"/>
      <c r="AT6" s="1122"/>
      <c r="AU6" s="1122"/>
      <c r="AV6" s="1122"/>
      <c r="AW6" s="1122"/>
      <c r="AX6" s="1122"/>
      <c r="AY6" s="1122"/>
      <c r="AZ6" s="1122"/>
      <c r="BA6" s="1122"/>
      <c r="BB6" s="1122"/>
      <c r="BC6" s="1122"/>
      <c r="BD6" s="1122"/>
      <c r="BE6" s="1122"/>
      <c r="BF6" s="1122"/>
      <c r="BG6" s="1122"/>
      <c r="BH6" s="1122"/>
      <c r="BI6" s="1122"/>
      <c r="BJ6" s="1122"/>
      <c r="BK6" s="1123"/>
      <c r="BL6" s="1116" t="s">
        <v>889</v>
      </c>
      <c r="BM6" s="1117"/>
      <c r="BN6" s="1117"/>
      <c r="BO6" s="1117"/>
      <c r="BP6" s="1117"/>
      <c r="BQ6" s="1117"/>
      <c r="BR6" s="1117"/>
      <c r="BS6" s="1117"/>
      <c r="BT6" s="1117"/>
      <c r="BU6" s="1117"/>
      <c r="BV6" s="1117"/>
      <c r="BW6" s="1117"/>
      <c r="BX6" s="1118"/>
      <c r="BY6" s="1209" t="s">
        <v>847</v>
      </c>
      <c r="BZ6" s="1210"/>
      <c r="CA6" s="1210"/>
      <c r="CB6" s="1210"/>
      <c r="CC6" s="1210"/>
      <c r="CD6" s="1211"/>
      <c r="CE6" s="1168" t="s">
        <v>847</v>
      </c>
      <c r="CF6" s="1169"/>
      <c r="CG6" s="1169"/>
      <c r="CH6" s="1169"/>
      <c r="CI6" s="1170"/>
      <c r="CJ6" s="1171"/>
    </row>
    <row r="7" spans="1:88" ht="16.5" customHeight="1" thickBot="1">
      <c r="A7" s="251"/>
      <c r="B7" s="253"/>
      <c r="C7" s="89"/>
      <c r="D7" s="254"/>
      <c r="E7" s="253"/>
      <c r="F7" s="249"/>
      <c r="G7" s="249"/>
      <c r="H7" s="249"/>
      <c r="I7" s="1119"/>
      <c r="J7" s="1120"/>
      <c r="K7" s="1120"/>
      <c r="L7" s="1120"/>
      <c r="M7" s="1120"/>
      <c r="N7" s="1120"/>
      <c r="O7" s="1120"/>
      <c r="P7" s="1120"/>
      <c r="Q7" s="1120"/>
      <c r="R7" s="1120"/>
      <c r="S7" s="1120"/>
      <c r="T7" s="1120"/>
      <c r="U7" s="1121"/>
      <c r="V7" s="1140" t="s">
        <v>807</v>
      </c>
      <c r="W7" s="1140"/>
      <c r="X7" s="1140"/>
      <c r="Y7" s="1140"/>
      <c r="Z7" s="1140"/>
      <c r="AA7" s="1140"/>
      <c r="AB7" s="1140"/>
      <c r="AC7" s="1140"/>
      <c r="AD7" s="1140"/>
      <c r="AE7" s="1140"/>
      <c r="AF7" s="1140"/>
      <c r="AG7" s="1141"/>
      <c r="AH7" s="1139" t="s">
        <v>808</v>
      </c>
      <c r="AI7" s="1140"/>
      <c r="AJ7" s="1140"/>
      <c r="AK7" s="1140"/>
      <c r="AL7" s="1140"/>
      <c r="AM7" s="1140"/>
      <c r="AN7" s="1140"/>
      <c r="AO7" s="1141"/>
      <c r="AP7" s="1190" t="s">
        <v>822</v>
      </c>
      <c r="AQ7" s="1190"/>
      <c r="AR7" s="1190"/>
      <c r="AS7" s="1113" t="s">
        <v>5</v>
      </c>
      <c r="AT7" s="1113" t="s">
        <v>275</v>
      </c>
      <c r="AU7" s="1197" t="s">
        <v>796</v>
      </c>
      <c r="AV7" s="1197"/>
      <c r="AW7" s="1197"/>
      <c r="AX7" s="1198"/>
      <c r="AY7" s="1203" t="s">
        <v>288</v>
      </c>
      <c r="AZ7" s="1206" t="s">
        <v>809</v>
      </c>
      <c r="BA7" s="1207"/>
      <c r="BB7" s="1207"/>
      <c r="BC7" s="1207"/>
      <c r="BD7" s="1207"/>
      <c r="BE7" s="1207"/>
      <c r="BF7" s="1207"/>
      <c r="BG7" s="1207"/>
      <c r="BH7" s="1207"/>
      <c r="BI7" s="1207"/>
      <c r="BJ7" s="1207"/>
      <c r="BK7" s="1208"/>
      <c r="BL7" s="1119"/>
      <c r="BM7" s="1120"/>
      <c r="BN7" s="1120"/>
      <c r="BO7" s="1120"/>
      <c r="BP7" s="1120"/>
      <c r="BQ7" s="1120"/>
      <c r="BR7" s="1120"/>
      <c r="BS7" s="1120"/>
      <c r="BT7" s="1120"/>
      <c r="BU7" s="1120"/>
      <c r="BV7" s="1120"/>
      <c r="BW7" s="1120"/>
      <c r="BX7" s="1121"/>
      <c r="BY7" s="1212"/>
      <c r="BZ7" s="1213"/>
      <c r="CA7" s="1213"/>
      <c r="CB7" s="1213"/>
      <c r="CC7" s="1213"/>
      <c r="CD7" s="1214"/>
      <c r="CE7" s="1172"/>
      <c r="CF7" s="1173"/>
      <c r="CG7" s="1173"/>
      <c r="CH7" s="1173"/>
      <c r="CI7" s="1174"/>
      <c r="CJ7" s="1175"/>
    </row>
    <row r="8" spans="1:88" ht="15" customHeight="1">
      <c r="A8" s="255"/>
      <c r="B8" s="256"/>
      <c r="C8" s="256"/>
      <c r="D8" s="256"/>
      <c r="E8" s="256"/>
      <c r="F8" s="256"/>
      <c r="G8" s="256"/>
      <c r="H8" s="256"/>
      <c r="I8" s="1127" t="s">
        <v>6</v>
      </c>
      <c r="J8" s="1124" t="s">
        <v>777</v>
      </c>
      <c r="K8" s="1125"/>
      <c r="L8" s="1125"/>
      <c r="M8" s="1125"/>
      <c r="N8" s="1125"/>
      <c r="O8" s="1125"/>
      <c r="P8" s="1125"/>
      <c r="Q8" s="1125"/>
      <c r="R8" s="1126"/>
      <c r="S8" s="1130" t="s">
        <v>813</v>
      </c>
      <c r="T8" s="1133" t="s">
        <v>814</v>
      </c>
      <c r="U8" s="1134"/>
      <c r="V8" s="1143"/>
      <c r="W8" s="1143"/>
      <c r="X8" s="1143"/>
      <c r="Y8" s="1143"/>
      <c r="Z8" s="1143"/>
      <c r="AA8" s="1143"/>
      <c r="AB8" s="1143"/>
      <c r="AC8" s="1143"/>
      <c r="AD8" s="1143"/>
      <c r="AE8" s="1143"/>
      <c r="AF8" s="1143"/>
      <c r="AG8" s="1144"/>
      <c r="AH8" s="1142"/>
      <c r="AI8" s="1143"/>
      <c r="AJ8" s="1143"/>
      <c r="AK8" s="1143"/>
      <c r="AL8" s="1143"/>
      <c r="AM8" s="1143"/>
      <c r="AN8" s="1143"/>
      <c r="AO8" s="1144"/>
      <c r="AP8" s="1190"/>
      <c r="AQ8" s="1190"/>
      <c r="AR8" s="1190"/>
      <c r="AS8" s="1114"/>
      <c r="AT8" s="1114"/>
      <c r="AU8" s="1199"/>
      <c r="AV8" s="1199"/>
      <c r="AW8" s="1199"/>
      <c r="AX8" s="1200"/>
      <c r="AY8" s="1204"/>
      <c r="AZ8" s="1145" t="s">
        <v>276</v>
      </c>
      <c r="BA8" s="1195"/>
      <c r="BB8" s="1184" t="s">
        <v>277</v>
      </c>
      <c r="BC8" s="1186" t="s">
        <v>860</v>
      </c>
      <c r="BD8" s="1187"/>
      <c r="BE8" s="1184" t="s">
        <v>787</v>
      </c>
      <c r="BF8" s="1184"/>
      <c r="BG8" s="1145" t="s">
        <v>278</v>
      </c>
      <c r="BH8" s="1195"/>
      <c r="BI8" s="1145" t="s">
        <v>823</v>
      </c>
      <c r="BJ8" s="1146"/>
      <c r="BK8" s="1147"/>
      <c r="BL8" s="1165" t="s">
        <v>6</v>
      </c>
      <c r="BM8" s="1161" t="s">
        <v>777</v>
      </c>
      <c r="BN8" s="1161"/>
      <c r="BO8" s="1161"/>
      <c r="BP8" s="1161"/>
      <c r="BQ8" s="1161"/>
      <c r="BR8" s="1161"/>
      <c r="BS8" s="1161"/>
      <c r="BT8" s="1161"/>
      <c r="BU8" s="1161"/>
      <c r="BV8" s="1130" t="s">
        <v>813</v>
      </c>
      <c r="BW8" s="1191" t="s">
        <v>778</v>
      </c>
      <c r="BX8" s="1192"/>
      <c r="BY8" s="1151" t="s">
        <v>846</v>
      </c>
      <c r="BZ8" s="1152"/>
      <c r="CA8" s="1152"/>
      <c r="CB8" s="1152"/>
      <c r="CC8" s="1152"/>
      <c r="CD8" s="1153"/>
      <c r="CE8" s="1176" t="s">
        <v>861</v>
      </c>
      <c r="CF8" s="1177"/>
      <c r="CG8" s="1177"/>
      <c r="CH8" s="1177"/>
      <c r="CI8" s="1177"/>
      <c r="CJ8" s="1178"/>
    </row>
    <row r="9" spans="1:88" ht="19.5" customHeight="1" thickBot="1">
      <c r="A9" s="257" t="s">
        <v>774</v>
      </c>
      <c r="B9" s="89"/>
      <c r="C9" s="89"/>
      <c r="D9" s="258"/>
      <c r="E9" s="89"/>
      <c r="F9" s="259"/>
      <c r="G9" s="260"/>
      <c r="H9" s="260"/>
      <c r="I9" s="1128"/>
      <c r="J9" s="1137" t="s">
        <v>268</v>
      </c>
      <c r="K9" s="1108" t="s">
        <v>827</v>
      </c>
      <c r="L9" s="1109"/>
      <c r="M9" s="1111" t="s">
        <v>274</v>
      </c>
      <c r="N9" s="1108" t="s">
        <v>834</v>
      </c>
      <c r="O9" s="1109"/>
      <c r="P9" s="1111" t="s">
        <v>5</v>
      </c>
      <c r="Q9" s="1111" t="s">
        <v>1</v>
      </c>
      <c r="R9" s="1111" t="s">
        <v>7</v>
      </c>
      <c r="S9" s="1131"/>
      <c r="T9" s="1135"/>
      <c r="U9" s="1136"/>
      <c r="V9" s="1110" t="s">
        <v>279</v>
      </c>
      <c r="W9" s="1104"/>
      <c r="X9" s="1100" t="s">
        <v>812</v>
      </c>
      <c r="Y9" s="1100" t="s">
        <v>811</v>
      </c>
      <c r="Z9" s="1105" t="s">
        <v>860</v>
      </c>
      <c r="AA9" s="1105"/>
      <c r="AB9" s="1182"/>
      <c r="AC9" s="1105" t="s">
        <v>278</v>
      </c>
      <c r="AD9" s="1105"/>
      <c r="AE9" s="1103" t="s">
        <v>788</v>
      </c>
      <c r="AF9" s="1104"/>
      <c r="AG9" s="1106" t="s">
        <v>788</v>
      </c>
      <c r="AH9" s="1103" t="s">
        <v>280</v>
      </c>
      <c r="AI9" s="1104"/>
      <c r="AJ9" s="1101" t="s">
        <v>810</v>
      </c>
      <c r="AK9" s="1103" t="s">
        <v>281</v>
      </c>
      <c r="AL9" s="1104"/>
      <c r="AM9" s="1103" t="s">
        <v>745</v>
      </c>
      <c r="AN9" s="1104"/>
      <c r="AO9" s="1106" t="s">
        <v>745</v>
      </c>
      <c r="AP9" s="1190"/>
      <c r="AQ9" s="1190"/>
      <c r="AR9" s="1190"/>
      <c r="AS9" s="1114"/>
      <c r="AT9" s="1114"/>
      <c r="AU9" s="1201"/>
      <c r="AV9" s="1201"/>
      <c r="AW9" s="1201"/>
      <c r="AX9" s="1202"/>
      <c r="AY9" s="1204"/>
      <c r="AZ9" s="1148"/>
      <c r="BA9" s="1196"/>
      <c r="BB9" s="1185"/>
      <c r="BC9" s="1188"/>
      <c r="BD9" s="1189"/>
      <c r="BE9" s="1185"/>
      <c r="BF9" s="1185"/>
      <c r="BG9" s="1148"/>
      <c r="BH9" s="1196"/>
      <c r="BI9" s="1148"/>
      <c r="BJ9" s="1149"/>
      <c r="BK9" s="1150"/>
      <c r="BL9" s="1166"/>
      <c r="BM9" s="1157" t="s">
        <v>268</v>
      </c>
      <c r="BN9" s="1108" t="s">
        <v>827</v>
      </c>
      <c r="BO9" s="1109"/>
      <c r="BP9" s="1159" t="s">
        <v>274</v>
      </c>
      <c r="BQ9" s="1162" t="s">
        <v>834</v>
      </c>
      <c r="BR9" s="1162"/>
      <c r="BS9" s="1163" t="s">
        <v>5</v>
      </c>
      <c r="BT9" s="1163" t="s">
        <v>1</v>
      </c>
      <c r="BU9" s="1163" t="s">
        <v>7</v>
      </c>
      <c r="BV9" s="1131"/>
      <c r="BW9" s="1193"/>
      <c r="BX9" s="1194"/>
      <c r="BY9" s="1154"/>
      <c r="BZ9" s="1155"/>
      <c r="CA9" s="1155"/>
      <c r="CB9" s="1155"/>
      <c r="CC9" s="1155"/>
      <c r="CD9" s="1156"/>
      <c r="CE9" s="1179"/>
      <c r="CF9" s="1180"/>
      <c r="CG9" s="1180"/>
      <c r="CH9" s="1180"/>
      <c r="CI9" s="1180"/>
      <c r="CJ9" s="1181"/>
    </row>
    <row r="10" spans="1:88" ht="34.5" thickBot="1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129"/>
      <c r="J10" s="1138"/>
      <c r="K10" s="587" t="s">
        <v>805</v>
      </c>
      <c r="L10" s="587" t="s">
        <v>806</v>
      </c>
      <c r="M10" s="1112"/>
      <c r="N10" s="587" t="s">
        <v>805</v>
      </c>
      <c r="O10" s="587" t="s">
        <v>806</v>
      </c>
      <c r="P10" s="1112"/>
      <c r="Q10" s="1112"/>
      <c r="R10" s="1112"/>
      <c r="S10" s="1132"/>
      <c r="T10" s="588" t="s">
        <v>805</v>
      </c>
      <c r="U10" s="604" t="s">
        <v>806</v>
      </c>
      <c r="V10" s="562" t="s">
        <v>805</v>
      </c>
      <c r="W10" s="556" t="s">
        <v>806</v>
      </c>
      <c r="X10" s="1100"/>
      <c r="Y10" s="1100"/>
      <c r="Z10" s="556" t="s">
        <v>805</v>
      </c>
      <c r="AA10" s="561" t="s">
        <v>806</v>
      </c>
      <c r="AB10" s="1183"/>
      <c r="AC10" s="556" t="s">
        <v>805</v>
      </c>
      <c r="AD10" s="561" t="s">
        <v>806</v>
      </c>
      <c r="AE10" s="556" t="s">
        <v>805</v>
      </c>
      <c r="AF10" s="561" t="s">
        <v>806</v>
      </c>
      <c r="AG10" s="1107"/>
      <c r="AH10" s="557" t="s">
        <v>805</v>
      </c>
      <c r="AI10" s="557" t="s">
        <v>806</v>
      </c>
      <c r="AJ10" s="1102"/>
      <c r="AK10" s="556" t="s">
        <v>805</v>
      </c>
      <c r="AL10" s="556" t="s">
        <v>806</v>
      </c>
      <c r="AM10" s="556" t="s">
        <v>805</v>
      </c>
      <c r="AN10" s="556" t="s">
        <v>806</v>
      </c>
      <c r="AO10" s="1107"/>
      <c r="AP10" s="556" t="s">
        <v>805</v>
      </c>
      <c r="AQ10" s="556" t="s">
        <v>806</v>
      </c>
      <c r="AR10" s="556" t="s">
        <v>256</v>
      </c>
      <c r="AS10" s="1115"/>
      <c r="AT10" s="1115"/>
      <c r="AU10" s="403" t="s">
        <v>277</v>
      </c>
      <c r="AV10" s="403" t="s">
        <v>278</v>
      </c>
      <c r="AW10" s="403"/>
      <c r="AX10" s="403" t="s">
        <v>746</v>
      </c>
      <c r="AY10" s="1205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/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167"/>
      <c r="BM10" s="1158"/>
      <c r="BN10" s="557" t="s">
        <v>805</v>
      </c>
      <c r="BO10" s="557" t="s">
        <v>806</v>
      </c>
      <c r="BP10" s="1160"/>
      <c r="BQ10" s="557" t="s">
        <v>805</v>
      </c>
      <c r="BR10" s="557" t="s">
        <v>806</v>
      </c>
      <c r="BS10" s="1164"/>
      <c r="BT10" s="1164"/>
      <c r="BU10" s="1164"/>
      <c r="BV10" s="1132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0" t="s">
        <v>841</v>
      </c>
      <c r="CF10" s="871" t="s">
        <v>268</v>
      </c>
      <c r="CG10" s="871" t="s">
        <v>840</v>
      </c>
      <c r="CH10" s="871" t="s">
        <v>1</v>
      </c>
      <c r="CI10" s="876" t="s">
        <v>796</v>
      </c>
      <c r="CJ10" s="872" t="s">
        <v>842</v>
      </c>
    </row>
    <row r="11" spans="1:88" s="267" customFormat="1" ht="11.25" customHeight="1" thickBot="1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40" t="s">
        <v>262</v>
      </c>
      <c r="J11" s="141" t="s">
        <v>263</v>
      </c>
      <c r="K11" s="141" t="s">
        <v>801</v>
      </c>
      <c r="L11" s="141" t="s">
        <v>802</v>
      </c>
      <c r="M11" s="141" t="s">
        <v>269</v>
      </c>
      <c r="N11" s="141" t="s">
        <v>803</v>
      </c>
      <c r="O11" s="141" t="s">
        <v>804</v>
      </c>
      <c r="P11" s="141" t="s">
        <v>264</v>
      </c>
      <c r="Q11" s="141" t="s">
        <v>265</v>
      </c>
      <c r="R11" s="141" t="s">
        <v>266</v>
      </c>
      <c r="S11" s="401" t="s">
        <v>267</v>
      </c>
      <c r="T11" s="142" t="s">
        <v>532</v>
      </c>
      <c r="U11" s="143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895" t="s">
        <v>824</v>
      </c>
      <c r="AH11" s="508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79" t="s">
        <v>287</v>
      </c>
      <c r="BL11" s="140" t="s">
        <v>262</v>
      </c>
      <c r="BM11" s="141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81" t="s">
        <v>857</v>
      </c>
      <c r="CF11" s="882" t="s">
        <v>802</v>
      </c>
      <c r="CG11" s="882" t="s">
        <v>858</v>
      </c>
      <c r="CH11" s="882" t="s">
        <v>859</v>
      </c>
      <c r="CI11" s="882" t="s">
        <v>796</v>
      </c>
      <c r="CJ11" s="883" t="s">
        <v>533</v>
      </c>
    </row>
    <row r="12" spans="1:88" ht="14.1" customHeight="1">
      <c r="A12" s="268">
        <v>1</v>
      </c>
      <c r="B12" s="317">
        <v>5489</v>
      </c>
      <c r="C12" s="318">
        <v>600099482</v>
      </c>
      <c r="D12" s="270">
        <v>71166289</v>
      </c>
      <c r="E12" s="319" t="s">
        <v>350</v>
      </c>
      <c r="F12" s="270">
        <v>3111</v>
      </c>
      <c r="G12" s="319" t="s">
        <v>304</v>
      </c>
      <c r="H12" s="320" t="s">
        <v>271</v>
      </c>
      <c r="I12" s="405">
        <v>3663805</v>
      </c>
      <c r="J12" s="406">
        <v>2694215</v>
      </c>
      <c r="K12" s="406">
        <v>2356014</v>
      </c>
      <c r="L12" s="406">
        <v>338201</v>
      </c>
      <c r="M12" s="406">
        <v>8000</v>
      </c>
      <c r="N12" s="406">
        <v>0</v>
      </c>
      <c r="O12" s="406">
        <v>8000</v>
      </c>
      <c r="P12" s="144">
        <v>913348</v>
      </c>
      <c r="Q12" s="144">
        <v>26942</v>
      </c>
      <c r="R12" s="406">
        <v>21300</v>
      </c>
      <c r="S12" s="407">
        <v>5.2126000000000001</v>
      </c>
      <c r="T12" s="408">
        <v>4.0644999999999998</v>
      </c>
      <c r="U12" s="421">
        <v>1.1480999999999999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>I12+AY12</f>
        <v>3663805</v>
      </c>
      <c r="BM12" s="409">
        <f>J12+AG12</f>
        <v>2694215</v>
      </c>
      <c r="BN12" s="409">
        <f t="shared" ref="BN12:BO14" si="0">K12+AE12</f>
        <v>2356014</v>
      </c>
      <c r="BO12" s="409">
        <f t="shared" si="0"/>
        <v>338201</v>
      </c>
      <c r="BP12" s="409">
        <f>M12+AO12</f>
        <v>8000</v>
      </c>
      <c r="BQ12" s="409">
        <f t="shared" ref="BQ12:BR14" si="1">N12+AM12</f>
        <v>0</v>
      </c>
      <c r="BR12" s="409">
        <f t="shared" si="1"/>
        <v>8000</v>
      </c>
      <c r="BS12" s="409">
        <f t="shared" ref="BS12:BT14" si="2">P12+AS12</f>
        <v>913348</v>
      </c>
      <c r="BT12" s="409">
        <f t="shared" si="2"/>
        <v>26942</v>
      </c>
      <c r="BU12" s="409">
        <f>R12+AX12</f>
        <v>21300</v>
      </c>
      <c r="BV12" s="410">
        <f>S12+BK12</f>
        <v>5.2126000000000001</v>
      </c>
      <c r="BW12" s="410">
        <f t="shared" ref="BW12:BX14" si="3">T12+BI12</f>
        <v>4.0644999999999998</v>
      </c>
      <c r="BX12" s="412">
        <f t="shared" si="3"/>
        <v>1.1480999999999999</v>
      </c>
      <c r="BY12" s="993"/>
      <c r="BZ12" s="590"/>
      <c r="CA12" s="590"/>
      <c r="CB12" s="590"/>
      <c r="CC12" s="590"/>
      <c r="CD12" s="978"/>
      <c r="CE12" s="993">
        <v>156823</v>
      </c>
      <c r="CF12" s="590">
        <v>111081</v>
      </c>
      <c r="CG12" s="590">
        <v>37545</v>
      </c>
      <c r="CH12" s="590">
        <v>1111</v>
      </c>
      <c r="CI12" s="590">
        <v>7086</v>
      </c>
      <c r="CJ12" s="978">
        <v>0.378</v>
      </c>
    </row>
    <row r="13" spans="1:88" ht="12.95" customHeight="1">
      <c r="A13" s="280">
        <v>1</v>
      </c>
      <c r="B13" s="321">
        <v>5489</v>
      </c>
      <c r="C13" s="322">
        <v>600099482</v>
      </c>
      <c r="D13" s="281">
        <v>71166289</v>
      </c>
      <c r="E13" s="323" t="s">
        <v>350</v>
      </c>
      <c r="F13" s="281">
        <v>3111</v>
      </c>
      <c r="G13" s="323" t="s">
        <v>298</v>
      </c>
      <c r="H13" s="284" t="s">
        <v>272</v>
      </c>
      <c r="I13" s="419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68">
        <v>0</v>
      </c>
      <c r="Q13" s="68">
        <v>0</v>
      </c>
      <c r="R13" s="414">
        <v>0</v>
      </c>
      <c r="S13" s="415">
        <v>0</v>
      </c>
      <c r="T13" s="416">
        <v>0</v>
      </c>
      <c r="U13" s="422">
        <v>0</v>
      </c>
      <c r="V13" s="423">
        <f t="shared" ref="V13:W76" si="4">AH13*-1</f>
        <v>0</v>
      </c>
      <c r="W13" s="417">
        <f t="shared" si="4"/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6" si="5">V13+X13+Y13+Z13+AC13</f>
        <v>0</v>
      </c>
      <c r="AF13" s="417">
        <f t="shared" ref="AF13:AF76" si="6">W13+AA13+AD13+AB13</f>
        <v>0</v>
      </c>
      <c r="AG13" s="417">
        <f t="shared" ref="AG13:AG76" si="7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6" si="8">AH13+AJ13+AK13</f>
        <v>0</v>
      </c>
      <c r="AN13" s="417">
        <f t="shared" ref="AN13:AN76" si="9">AI13+AL13</f>
        <v>0</v>
      </c>
      <c r="AO13" s="417">
        <f t="shared" ref="AO13:AO76" si="10">SUM(AM13:AN13)</f>
        <v>0</v>
      </c>
      <c r="AP13" s="417">
        <f t="shared" ref="AP13:AQ76" si="11">AE13+AM13</f>
        <v>0</v>
      </c>
      <c r="AQ13" s="417">
        <f t="shared" si="11"/>
        <v>0</v>
      </c>
      <c r="AR13" s="417">
        <f t="shared" ref="AR13:AR76" si="12">SUM(AP13:AQ13)</f>
        <v>0</v>
      </c>
      <c r="AS13" s="68">
        <f t="shared" ref="AS13:AS76" si="13">ROUND((AG13+AH13+AI13+AJ13)*33.8%,0)</f>
        <v>0</v>
      </c>
      <c r="AT13" s="68">
        <f t="shared" ref="AT13:AT76" si="14">ROUND(AG13*1%,0)</f>
        <v>0</v>
      </c>
      <c r="AU13" s="417">
        <v>0</v>
      </c>
      <c r="AV13" s="417">
        <v>0</v>
      </c>
      <c r="AW13" s="417">
        <v>0</v>
      </c>
      <c r="AX13" s="417">
        <f t="shared" ref="AX13:AX76" si="15">SUM(AU13:AW13)</f>
        <v>0</v>
      </c>
      <c r="AY13" s="417">
        <f t="shared" ref="AY13:AY76" si="16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6" si="17">AZ13+BB13+BC13+BE13+BG13</f>
        <v>0</v>
      </c>
      <c r="BJ13" s="418">
        <f t="shared" ref="BJ13:BJ76" si="18">BA13+BD13+BH13+BF13</f>
        <v>0</v>
      </c>
      <c r="BK13" s="420">
        <f t="shared" ref="BK13:BK76" si="19">SUM(BI13:BJ13)</f>
        <v>0</v>
      </c>
      <c r="BL13" s="772">
        <f>I13+AY13</f>
        <v>0</v>
      </c>
      <c r="BM13" s="417">
        <f>J13+AG13</f>
        <v>0</v>
      </c>
      <c r="BN13" s="417">
        <f t="shared" si="0"/>
        <v>0</v>
      </c>
      <c r="BO13" s="417">
        <f t="shared" si="0"/>
        <v>0</v>
      </c>
      <c r="BP13" s="417">
        <f>M13+AO13</f>
        <v>0</v>
      </c>
      <c r="BQ13" s="417">
        <f t="shared" si="1"/>
        <v>0</v>
      </c>
      <c r="BR13" s="417">
        <f t="shared" si="1"/>
        <v>0</v>
      </c>
      <c r="BS13" s="417">
        <f t="shared" si="2"/>
        <v>0</v>
      </c>
      <c r="BT13" s="417">
        <f t="shared" si="2"/>
        <v>0</v>
      </c>
      <c r="BU13" s="417">
        <f>R13+AX13</f>
        <v>0</v>
      </c>
      <c r="BV13" s="418">
        <f>S13+BK13</f>
        <v>0</v>
      </c>
      <c r="BW13" s="418">
        <f t="shared" si="3"/>
        <v>0</v>
      </c>
      <c r="BX13" s="420">
        <f t="shared" si="3"/>
        <v>0</v>
      </c>
      <c r="BY13" s="994"/>
      <c r="BZ13" s="595"/>
      <c r="CA13" s="595"/>
      <c r="CB13" s="595"/>
      <c r="CC13" s="595"/>
      <c r="CD13" s="981"/>
      <c r="CE13" s="994"/>
      <c r="CF13" s="595"/>
      <c r="CG13" s="595"/>
      <c r="CH13" s="595"/>
      <c r="CI13" s="595"/>
      <c r="CJ13" s="981"/>
    </row>
    <row r="14" spans="1:88" ht="12.95" customHeight="1">
      <c r="A14" s="280">
        <v>1</v>
      </c>
      <c r="B14" s="321">
        <v>5489</v>
      </c>
      <c r="C14" s="322">
        <v>600099482</v>
      </c>
      <c r="D14" s="281">
        <v>71166289</v>
      </c>
      <c r="E14" s="323" t="s">
        <v>350</v>
      </c>
      <c r="F14" s="281">
        <v>3141</v>
      </c>
      <c r="G14" s="323" t="s">
        <v>294</v>
      </c>
      <c r="H14" s="284" t="s">
        <v>272</v>
      </c>
      <c r="I14" s="419">
        <v>616850</v>
      </c>
      <c r="J14" s="414">
        <v>455983</v>
      </c>
      <c r="K14" s="414">
        <v>0</v>
      </c>
      <c r="L14" s="414">
        <v>455983</v>
      </c>
      <c r="M14" s="414">
        <v>0</v>
      </c>
      <c r="N14" s="414">
        <v>0</v>
      </c>
      <c r="O14" s="414">
        <v>0</v>
      </c>
      <c r="P14" s="68">
        <v>154123</v>
      </c>
      <c r="Q14" s="68">
        <v>4560</v>
      </c>
      <c r="R14" s="414">
        <v>2184</v>
      </c>
      <c r="S14" s="415">
        <v>1.3733</v>
      </c>
      <c r="T14" s="416">
        <v>0</v>
      </c>
      <c r="U14" s="422">
        <v>1.3733</v>
      </c>
      <c r="V14" s="423">
        <f t="shared" si="4"/>
        <v>0</v>
      </c>
      <c r="W14" s="417">
        <f t="shared" si="4"/>
        <v>0</v>
      </c>
      <c r="X14" s="417">
        <v>0</v>
      </c>
      <c r="Y14" s="417">
        <v>0</v>
      </c>
      <c r="Z14" s="417">
        <v>0</v>
      </c>
      <c r="AA14" s="417">
        <v>-2537</v>
      </c>
      <c r="AB14" s="417">
        <v>0</v>
      </c>
      <c r="AC14" s="417">
        <v>0</v>
      </c>
      <c r="AD14" s="417">
        <v>0</v>
      </c>
      <c r="AE14" s="417">
        <f t="shared" si="5"/>
        <v>0</v>
      </c>
      <c r="AF14" s="417">
        <f t="shared" si="6"/>
        <v>-2537</v>
      </c>
      <c r="AG14" s="417">
        <f t="shared" si="7"/>
        <v>-2537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8"/>
        <v>0</v>
      </c>
      <c r="AN14" s="417">
        <f t="shared" si="9"/>
        <v>0</v>
      </c>
      <c r="AO14" s="417">
        <f t="shared" si="10"/>
        <v>0</v>
      </c>
      <c r="AP14" s="417">
        <f t="shared" si="11"/>
        <v>0</v>
      </c>
      <c r="AQ14" s="417">
        <f t="shared" si="11"/>
        <v>-2537</v>
      </c>
      <c r="AR14" s="417">
        <f t="shared" si="12"/>
        <v>-2537</v>
      </c>
      <c r="AS14" s="68">
        <f t="shared" si="13"/>
        <v>-858</v>
      </c>
      <c r="AT14" s="68">
        <f t="shared" si="14"/>
        <v>-25</v>
      </c>
      <c r="AU14" s="417">
        <v>0</v>
      </c>
      <c r="AV14" s="417">
        <v>0</v>
      </c>
      <c r="AW14" s="417">
        <v>0</v>
      </c>
      <c r="AX14" s="417">
        <f t="shared" si="15"/>
        <v>0</v>
      </c>
      <c r="AY14" s="417">
        <f t="shared" si="16"/>
        <v>-3420</v>
      </c>
      <c r="AZ14" s="418">
        <v>0</v>
      </c>
      <c r="BA14" s="418">
        <v>0</v>
      </c>
      <c r="BB14" s="418">
        <v>0</v>
      </c>
      <c r="BC14" s="418">
        <v>0</v>
      </c>
      <c r="BD14" s="418">
        <v>-0.01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17"/>
        <v>0</v>
      </c>
      <c r="BJ14" s="418">
        <f t="shared" si="18"/>
        <v>-0.01</v>
      </c>
      <c r="BK14" s="420">
        <f t="shared" si="19"/>
        <v>-0.01</v>
      </c>
      <c r="BL14" s="772">
        <f>I14+AY14</f>
        <v>613430</v>
      </c>
      <c r="BM14" s="417">
        <f>J14+AG14</f>
        <v>453446</v>
      </c>
      <c r="BN14" s="417">
        <f t="shared" si="0"/>
        <v>0</v>
      </c>
      <c r="BO14" s="417">
        <f t="shared" si="0"/>
        <v>453446</v>
      </c>
      <c r="BP14" s="417">
        <f>M14+AO14</f>
        <v>0</v>
      </c>
      <c r="BQ14" s="417">
        <f t="shared" si="1"/>
        <v>0</v>
      </c>
      <c r="BR14" s="417">
        <f t="shared" si="1"/>
        <v>0</v>
      </c>
      <c r="BS14" s="417">
        <f t="shared" si="2"/>
        <v>153265</v>
      </c>
      <c r="BT14" s="417">
        <f t="shared" si="2"/>
        <v>4535</v>
      </c>
      <c r="BU14" s="417">
        <f>R14+AX14</f>
        <v>2184</v>
      </c>
      <c r="BV14" s="418">
        <f>S14+BK14</f>
        <v>1.3633</v>
      </c>
      <c r="BW14" s="418">
        <f t="shared" si="3"/>
        <v>0</v>
      </c>
      <c r="BX14" s="420">
        <f t="shared" si="3"/>
        <v>1.3633</v>
      </c>
      <c r="BY14" s="994"/>
      <c r="BZ14" s="595"/>
      <c r="CA14" s="595"/>
      <c r="CB14" s="595"/>
      <c r="CC14" s="595"/>
      <c r="CD14" s="981"/>
      <c r="CE14" s="994"/>
      <c r="CF14" s="595"/>
      <c r="CG14" s="595"/>
      <c r="CH14" s="595"/>
      <c r="CI14" s="595"/>
      <c r="CJ14" s="981"/>
    </row>
    <row r="15" spans="1:88" ht="12.95" customHeight="1">
      <c r="A15" s="324">
        <v>1</v>
      </c>
      <c r="B15" s="325">
        <v>5489</v>
      </c>
      <c r="C15" s="326">
        <v>600099482</v>
      </c>
      <c r="D15" s="325">
        <v>71166289</v>
      </c>
      <c r="E15" s="327" t="s">
        <v>351</v>
      </c>
      <c r="F15" s="275"/>
      <c r="G15" s="327"/>
      <c r="H15" s="289"/>
      <c r="I15" s="471">
        <v>4280655</v>
      </c>
      <c r="J15" s="467">
        <v>3150198</v>
      </c>
      <c r="K15" s="467">
        <v>2356014</v>
      </c>
      <c r="L15" s="467">
        <v>794184</v>
      </c>
      <c r="M15" s="467">
        <v>8000</v>
      </c>
      <c r="N15" s="467">
        <v>0</v>
      </c>
      <c r="O15" s="467">
        <v>8000</v>
      </c>
      <c r="P15" s="467">
        <v>1067471</v>
      </c>
      <c r="Q15" s="467">
        <v>31502</v>
      </c>
      <c r="R15" s="467">
        <v>23484</v>
      </c>
      <c r="S15" s="468">
        <v>6.5859000000000005</v>
      </c>
      <c r="T15" s="468">
        <v>4.0644999999999998</v>
      </c>
      <c r="U15" s="531">
        <v>2.5213999999999999</v>
      </c>
      <c r="V15" s="471">
        <f t="shared" ref="V15:BK15" si="20">SUM(V12:V14)</f>
        <v>0</v>
      </c>
      <c r="W15" s="467">
        <f t="shared" si="20"/>
        <v>0</v>
      </c>
      <c r="X15" s="467">
        <f t="shared" si="20"/>
        <v>0</v>
      </c>
      <c r="Y15" s="467">
        <f t="shared" si="20"/>
        <v>0</v>
      </c>
      <c r="Z15" s="467">
        <f t="shared" si="20"/>
        <v>0</v>
      </c>
      <c r="AA15" s="467">
        <f t="shared" si="20"/>
        <v>-2537</v>
      </c>
      <c r="AB15" s="467">
        <f t="shared" si="20"/>
        <v>0</v>
      </c>
      <c r="AC15" s="467">
        <f t="shared" si="20"/>
        <v>0</v>
      </c>
      <c r="AD15" s="467">
        <f t="shared" si="20"/>
        <v>0</v>
      </c>
      <c r="AE15" s="467">
        <f t="shared" si="20"/>
        <v>0</v>
      </c>
      <c r="AF15" s="467">
        <f t="shared" si="20"/>
        <v>-2537</v>
      </c>
      <c r="AG15" s="467">
        <f t="shared" si="20"/>
        <v>-2537</v>
      </c>
      <c r="AH15" s="467">
        <f t="shared" si="20"/>
        <v>0</v>
      </c>
      <c r="AI15" s="467">
        <f t="shared" si="20"/>
        <v>0</v>
      </c>
      <c r="AJ15" s="467">
        <f t="shared" si="20"/>
        <v>0</v>
      </c>
      <c r="AK15" s="467">
        <f t="shared" si="20"/>
        <v>0</v>
      </c>
      <c r="AL15" s="467">
        <f t="shared" si="20"/>
        <v>0</v>
      </c>
      <c r="AM15" s="467">
        <f t="shared" si="20"/>
        <v>0</v>
      </c>
      <c r="AN15" s="467">
        <f t="shared" si="20"/>
        <v>0</v>
      </c>
      <c r="AO15" s="467">
        <f t="shared" si="20"/>
        <v>0</v>
      </c>
      <c r="AP15" s="467">
        <f t="shared" si="20"/>
        <v>0</v>
      </c>
      <c r="AQ15" s="467">
        <f t="shared" si="20"/>
        <v>-2537</v>
      </c>
      <c r="AR15" s="467">
        <f t="shared" si="20"/>
        <v>-2537</v>
      </c>
      <c r="AS15" s="467">
        <f t="shared" si="20"/>
        <v>-858</v>
      </c>
      <c r="AT15" s="467">
        <f t="shared" si="20"/>
        <v>-25</v>
      </c>
      <c r="AU15" s="467">
        <f t="shared" si="20"/>
        <v>0</v>
      </c>
      <c r="AV15" s="467">
        <f t="shared" si="20"/>
        <v>0</v>
      </c>
      <c r="AW15" s="467">
        <f t="shared" si="20"/>
        <v>0</v>
      </c>
      <c r="AX15" s="467">
        <f t="shared" si="20"/>
        <v>0</v>
      </c>
      <c r="AY15" s="467">
        <f t="shared" si="20"/>
        <v>-3420</v>
      </c>
      <c r="AZ15" s="468">
        <f t="shared" si="20"/>
        <v>0</v>
      </c>
      <c r="BA15" s="468">
        <f t="shared" si="20"/>
        <v>0</v>
      </c>
      <c r="BB15" s="468">
        <f t="shared" si="20"/>
        <v>0</v>
      </c>
      <c r="BC15" s="468">
        <f t="shared" si="20"/>
        <v>0</v>
      </c>
      <c r="BD15" s="468">
        <f t="shared" si="20"/>
        <v>-0.01</v>
      </c>
      <c r="BE15" s="468">
        <f t="shared" si="20"/>
        <v>0</v>
      </c>
      <c r="BF15" s="468">
        <f t="shared" si="20"/>
        <v>0</v>
      </c>
      <c r="BG15" s="468">
        <f t="shared" si="20"/>
        <v>0</v>
      </c>
      <c r="BH15" s="468">
        <f t="shared" si="20"/>
        <v>0</v>
      </c>
      <c r="BI15" s="468">
        <f t="shared" si="20"/>
        <v>0</v>
      </c>
      <c r="BJ15" s="468">
        <f t="shared" si="20"/>
        <v>-0.01</v>
      </c>
      <c r="BK15" s="328">
        <f t="shared" si="20"/>
        <v>-0.01</v>
      </c>
      <c r="BL15" s="774">
        <f t="shared" ref="BL15:CG15" si="21">SUM(BL12:BL14)</f>
        <v>4277235</v>
      </c>
      <c r="BM15" s="467">
        <f t="shared" si="21"/>
        <v>3147661</v>
      </c>
      <c r="BN15" s="467">
        <f t="shared" si="21"/>
        <v>2356014</v>
      </c>
      <c r="BO15" s="467">
        <f t="shared" si="21"/>
        <v>791647</v>
      </c>
      <c r="BP15" s="467">
        <f t="shared" si="21"/>
        <v>8000</v>
      </c>
      <c r="BQ15" s="467">
        <f t="shared" si="21"/>
        <v>0</v>
      </c>
      <c r="BR15" s="467">
        <f t="shared" si="21"/>
        <v>8000</v>
      </c>
      <c r="BS15" s="467">
        <f t="shared" si="21"/>
        <v>1066613</v>
      </c>
      <c r="BT15" s="467">
        <f t="shared" si="21"/>
        <v>31477</v>
      </c>
      <c r="BU15" s="467">
        <f t="shared" si="21"/>
        <v>23484</v>
      </c>
      <c r="BV15" s="468">
        <f t="shared" si="21"/>
        <v>6.5758999999999999</v>
      </c>
      <c r="BW15" s="468">
        <f t="shared" si="21"/>
        <v>4.0644999999999998</v>
      </c>
      <c r="BX15" s="328">
        <f t="shared" si="21"/>
        <v>2.5114000000000001</v>
      </c>
      <c r="BY15" s="838">
        <f t="shared" si="21"/>
        <v>0</v>
      </c>
      <c r="BZ15" s="721">
        <f t="shared" si="21"/>
        <v>0</v>
      </c>
      <c r="CA15" s="721">
        <f t="shared" si="21"/>
        <v>0</v>
      </c>
      <c r="CB15" s="721">
        <f t="shared" si="21"/>
        <v>0</v>
      </c>
      <c r="CC15" s="721">
        <f t="shared" si="21"/>
        <v>0</v>
      </c>
      <c r="CD15" s="826">
        <f t="shared" si="21"/>
        <v>0</v>
      </c>
      <c r="CE15" s="995">
        <f t="shared" si="21"/>
        <v>156823</v>
      </c>
      <c r="CF15" s="995">
        <f t="shared" si="21"/>
        <v>111081</v>
      </c>
      <c r="CG15" s="995">
        <f t="shared" si="21"/>
        <v>37545</v>
      </c>
      <c r="CH15" s="995">
        <f t="shared" ref="CH15:CJ15" si="22">SUM(CH12:CH14)</f>
        <v>1111</v>
      </c>
      <c r="CI15" s="995">
        <f t="shared" si="22"/>
        <v>7086</v>
      </c>
      <c r="CJ15" s="933">
        <f t="shared" si="22"/>
        <v>0.378</v>
      </c>
    </row>
    <row r="16" spans="1:88" ht="12.95" customHeight="1">
      <c r="A16" s="280">
        <v>2</v>
      </c>
      <c r="B16" s="321">
        <v>5451</v>
      </c>
      <c r="C16" s="322">
        <v>600098893</v>
      </c>
      <c r="D16" s="281">
        <v>70939331</v>
      </c>
      <c r="E16" s="323" t="s">
        <v>352</v>
      </c>
      <c r="F16" s="281">
        <v>3111</v>
      </c>
      <c r="G16" s="323" t="s">
        <v>304</v>
      </c>
      <c r="H16" s="284" t="s">
        <v>271</v>
      </c>
      <c r="I16" s="419">
        <v>11260140</v>
      </c>
      <c r="J16" s="414">
        <v>8243889</v>
      </c>
      <c r="K16" s="414">
        <v>7171250</v>
      </c>
      <c r="L16" s="414">
        <v>1072639</v>
      </c>
      <c r="M16" s="414">
        <v>68400</v>
      </c>
      <c r="N16" s="414">
        <v>0</v>
      </c>
      <c r="O16" s="414">
        <v>68400</v>
      </c>
      <c r="P16" s="68">
        <v>2809553</v>
      </c>
      <c r="Q16" s="68">
        <v>82438</v>
      </c>
      <c r="R16" s="414">
        <v>55860</v>
      </c>
      <c r="S16" s="415">
        <v>16.162500000000001</v>
      </c>
      <c r="T16" s="416">
        <v>12.2258</v>
      </c>
      <c r="U16" s="422">
        <v>3.9366999999999996</v>
      </c>
      <c r="V16" s="423">
        <f t="shared" si="4"/>
        <v>0</v>
      </c>
      <c r="W16" s="417">
        <f t="shared" si="4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5"/>
        <v>0</v>
      </c>
      <c r="AF16" s="417">
        <f t="shared" si="6"/>
        <v>0</v>
      </c>
      <c r="AG16" s="417">
        <f t="shared" si="7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8"/>
        <v>0</v>
      </c>
      <c r="AN16" s="417">
        <f t="shared" si="9"/>
        <v>0</v>
      </c>
      <c r="AO16" s="417">
        <f t="shared" si="10"/>
        <v>0</v>
      </c>
      <c r="AP16" s="417">
        <f t="shared" si="11"/>
        <v>0</v>
      </c>
      <c r="AQ16" s="417">
        <f t="shared" si="11"/>
        <v>0</v>
      </c>
      <c r="AR16" s="417">
        <f t="shared" si="12"/>
        <v>0</v>
      </c>
      <c r="AS16" s="68">
        <f t="shared" si="13"/>
        <v>0</v>
      </c>
      <c r="AT16" s="68">
        <f t="shared" si="14"/>
        <v>0</v>
      </c>
      <c r="AU16" s="417">
        <v>0</v>
      </c>
      <c r="AV16" s="417">
        <v>0</v>
      </c>
      <c r="AW16" s="417">
        <v>0</v>
      </c>
      <c r="AX16" s="417">
        <f t="shared" si="15"/>
        <v>0</v>
      </c>
      <c r="AY16" s="417">
        <f t="shared" si="16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0</v>
      </c>
      <c r="BK16" s="420">
        <f t="shared" si="19"/>
        <v>0</v>
      </c>
      <c r="BL16" s="772">
        <f>I16+AY16</f>
        <v>11260140</v>
      </c>
      <c r="BM16" s="417">
        <f>J16+AG16</f>
        <v>8243889</v>
      </c>
      <c r="BN16" s="417">
        <f t="shared" ref="BN16:BO18" si="23">K16+AE16</f>
        <v>7171250</v>
      </c>
      <c r="BO16" s="417">
        <f t="shared" si="23"/>
        <v>1072639</v>
      </c>
      <c r="BP16" s="417">
        <f>M16+AO16</f>
        <v>68400</v>
      </c>
      <c r="BQ16" s="417">
        <f t="shared" ref="BQ16:BR18" si="24">N16+AM16</f>
        <v>0</v>
      </c>
      <c r="BR16" s="417">
        <f t="shared" si="24"/>
        <v>68400</v>
      </c>
      <c r="BS16" s="417">
        <f t="shared" ref="BS16:BT18" si="25">P16+AS16</f>
        <v>2809553</v>
      </c>
      <c r="BT16" s="417">
        <f t="shared" si="25"/>
        <v>82438</v>
      </c>
      <c r="BU16" s="417">
        <f>R16+AX16</f>
        <v>55860</v>
      </c>
      <c r="BV16" s="418">
        <f>S16+BK16</f>
        <v>16.162500000000001</v>
      </c>
      <c r="BW16" s="418">
        <f t="shared" ref="BW16:BX18" si="26">T16+BI16</f>
        <v>12.2258</v>
      </c>
      <c r="BX16" s="420">
        <f t="shared" si="26"/>
        <v>3.9366999999999996</v>
      </c>
      <c r="BY16" s="994"/>
      <c r="BZ16" s="595"/>
      <c r="CA16" s="595"/>
      <c r="CB16" s="595"/>
      <c r="CC16" s="595"/>
      <c r="CD16" s="981"/>
      <c r="CE16" s="994">
        <v>512145</v>
      </c>
      <c r="CF16" s="595">
        <v>366143</v>
      </c>
      <c r="CG16" s="595">
        <v>123756</v>
      </c>
      <c r="CH16" s="595">
        <v>3661</v>
      </c>
      <c r="CI16" s="595">
        <v>18585</v>
      </c>
      <c r="CJ16" s="981">
        <v>1.2631999999999999</v>
      </c>
    </row>
    <row r="17" spans="1:88" ht="12.95" customHeight="1">
      <c r="A17" s="280">
        <v>2</v>
      </c>
      <c r="B17" s="321">
        <v>5451</v>
      </c>
      <c r="C17" s="322">
        <v>600098893</v>
      </c>
      <c r="D17" s="281">
        <v>70939331</v>
      </c>
      <c r="E17" s="323" t="s">
        <v>352</v>
      </c>
      <c r="F17" s="281">
        <v>3111</v>
      </c>
      <c r="G17" s="323" t="s">
        <v>292</v>
      </c>
      <c r="H17" s="284" t="s">
        <v>271</v>
      </c>
      <c r="I17" s="419">
        <v>523941</v>
      </c>
      <c r="J17" s="414">
        <v>388680</v>
      </c>
      <c r="K17" s="414">
        <v>388680</v>
      </c>
      <c r="L17" s="414">
        <v>0</v>
      </c>
      <c r="M17" s="414">
        <v>0</v>
      </c>
      <c r="N17" s="414">
        <v>0</v>
      </c>
      <c r="O17" s="414">
        <v>0</v>
      </c>
      <c r="P17" s="68">
        <v>131374</v>
      </c>
      <c r="Q17" s="68">
        <v>3887</v>
      </c>
      <c r="R17" s="414">
        <v>0</v>
      </c>
      <c r="S17" s="415">
        <v>1</v>
      </c>
      <c r="T17" s="416">
        <v>1</v>
      </c>
      <c r="U17" s="422">
        <v>0</v>
      </c>
      <c r="V17" s="423">
        <f t="shared" si="4"/>
        <v>0</v>
      </c>
      <c r="W17" s="417">
        <f t="shared" si="4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5"/>
        <v>0</v>
      </c>
      <c r="AF17" s="417">
        <f t="shared" si="6"/>
        <v>0</v>
      </c>
      <c r="AG17" s="417">
        <f t="shared" si="7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8"/>
        <v>0</v>
      </c>
      <c r="AN17" s="417">
        <f t="shared" si="9"/>
        <v>0</v>
      </c>
      <c r="AO17" s="417">
        <f t="shared" si="10"/>
        <v>0</v>
      </c>
      <c r="AP17" s="417">
        <f t="shared" si="11"/>
        <v>0</v>
      </c>
      <c r="AQ17" s="417">
        <f t="shared" si="11"/>
        <v>0</v>
      </c>
      <c r="AR17" s="417">
        <f t="shared" si="12"/>
        <v>0</v>
      </c>
      <c r="AS17" s="68">
        <f t="shared" si="13"/>
        <v>0</v>
      </c>
      <c r="AT17" s="68">
        <f t="shared" si="14"/>
        <v>0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0</v>
      </c>
      <c r="BJ17" s="418">
        <f t="shared" si="18"/>
        <v>0</v>
      </c>
      <c r="BK17" s="420">
        <f t="shared" si="19"/>
        <v>0</v>
      </c>
      <c r="BL17" s="772">
        <f>I17+AY17</f>
        <v>523941</v>
      </c>
      <c r="BM17" s="417">
        <f>J17+AG17</f>
        <v>388680</v>
      </c>
      <c r="BN17" s="417">
        <f t="shared" si="23"/>
        <v>388680</v>
      </c>
      <c r="BO17" s="417">
        <f t="shared" si="23"/>
        <v>0</v>
      </c>
      <c r="BP17" s="417">
        <f>M17+AO17</f>
        <v>0</v>
      </c>
      <c r="BQ17" s="417">
        <f t="shared" si="24"/>
        <v>0</v>
      </c>
      <c r="BR17" s="417">
        <f t="shared" si="24"/>
        <v>0</v>
      </c>
      <c r="BS17" s="417">
        <f t="shared" si="25"/>
        <v>131374</v>
      </c>
      <c r="BT17" s="417">
        <f t="shared" si="25"/>
        <v>3887</v>
      </c>
      <c r="BU17" s="417">
        <f>R17+AX17</f>
        <v>0</v>
      </c>
      <c r="BV17" s="418">
        <f>S17+BK17</f>
        <v>1</v>
      </c>
      <c r="BW17" s="418">
        <f t="shared" si="26"/>
        <v>1</v>
      </c>
      <c r="BX17" s="420">
        <f t="shared" si="26"/>
        <v>0</v>
      </c>
      <c r="BY17" s="994"/>
      <c r="BZ17" s="595"/>
      <c r="CA17" s="595"/>
      <c r="CB17" s="595"/>
      <c r="CC17" s="595"/>
      <c r="CD17" s="981"/>
      <c r="CE17" s="994"/>
      <c r="CF17" s="595"/>
      <c r="CG17" s="595"/>
      <c r="CH17" s="595"/>
      <c r="CI17" s="595"/>
      <c r="CJ17" s="981"/>
    </row>
    <row r="18" spans="1:88" ht="12.95" customHeight="1">
      <c r="A18" s="280">
        <v>2</v>
      </c>
      <c r="B18" s="321">
        <v>5451</v>
      </c>
      <c r="C18" s="322">
        <v>600098893</v>
      </c>
      <c r="D18" s="281">
        <v>70939331</v>
      </c>
      <c r="E18" s="323" t="s">
        <v>352</v>
      </c>
      <c r="F18" s="281">
        <v>3141</v>
      </c>
      <c r="G18" s="323" t="s">
        <v>294</v>
      </c>
      <c r="H18" s="284" t="s">
        <v>272</v>
      </c>
      <c r="I18" s="419">
        <v>1482880</v>
      </c>
      <c r="J18" s="414">
        <v>1095196</v>
      </c>
      <c r="K18" s="414">
        <v>0</v>
      </c>
      <c r="L18" s="414">
        <v>1095196</v>
      </c>
      <c r="M18" s="414">
        <v>0</v>
      </c>
      <c r="N18" s="414">
        <v>0</v>
      </c>
      <c r="O18" s="414">
        <v>0</v>
      </c>
      <c r="P18" s="68">
        <v>370176</v>
      </c>
      <c r="Q18" s="68">
        <v>10952</v>
      </c>
      <c r="R18" s="414">
        <v>6556</v>
      </c>
      <c r="S18" s="415">
        <v>3.2766000000000002</v>
      </c>
      <c r="T18" s="416">
        <v>0</v>
      </c>
      <c r="U18" s="422">
        <v>3.2766000000000002</v>
      </c>
      <c r="V18" s="423">
        <f t="shared" si="4"/>
        <v>0</v>
      </c>
      <c r="W18" s="417">
        <f t="shared" si="4"/>
        <v>0</v>
      </c>
      <c r="X18" s="417">
        <v>0</v>
      </c>
      <c r="Y18" s="417">
        <v>0</v>
      </c>
      <c r="Z18" s="417">
        <v>0</v>
      </c>
      <c r="AA18" s="417">
        <v>-23563</v>
      </c>
      <c r="AB18" s="417">
        <v>0</v>
      </c>
      <c r="AC18" s="417">
        <v>0</v>
      </c>
      <c r="AD18" s="417">
        <v>0</v>
      </c>
      <c r="AE18" s="417">
        <f t="shared" si="5"/>
        <v>0</v>
      </c>
      <c r="AF18" s="417">
        <f t="shared" si="6"/>
        <v>-23563</v>
      </c>
      <c r="AG18" s="417">
        <f t="shared" si="7"/>
        <v>-23563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8"/>
        <v>0</v>
      </c>
      <c r="AN18" s="417">
        <f t="shared" si="9"/>
        <v>0</v>
      </c>
      <c r="AO18" s="417">
        <f t="shared" si="10"/>
        <v>0</v>
      </c>
      <c r="AP18" s="417">
        <f t="shared" si="11"/>
        <v>0</v>
      </c>
      <c r="AQ18" s="417">
        <f t="shared" si="11"/>
        <v>-23563</v>
      </c>
      <c r="AR18" s="417">
        <f t="shared" si="12"/>
        <v>-23563</v>
      </c>
      <c r="AS18" s="68">
        <f t="shared" si="13"/>
        <v>-7964</v>
      </c>
      <c r="AT18" s="68">
        <f t="shared" si="14"/>
        <v>-236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-31763</v>
      </c>
      <c r="AZ18" s="418">
        <v>0</v>
      </c>
      <c r="BA18" s="418">
        <v>0</v>
      </c>
      <c r="BB18" s="418">
        <v>0</v>
      </c>
      <c r="BC18" s="418">
        <v>0</v>
      </c>
      <c r="BD18" s="418">
        <v>-0.08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0</v>
      </c>
      <c r="BJ18" s="418">
        <f t="shared" si="18"/>
        <v>-0.08</v>
      </c>
      <c r="BK18" s="420">
        <f t="shared" si="19"/>
        <v>-0.08</v>
      </c>
      <c r="BL18" s="772">
        <f>I18+AY18</f>
        <v>1451117</v>
      </c>
      <c r="BM18" s="417">
        <f>J18+AG18</f>
        <v>1071633</v>
      </c>
      <c r="BN18" s="417">
        <f t="shared" si="23"/>
        <v>0</v>
      </c>
      <c r="BO18" s="417">
        <f t="shared" si="23"/>
        <v>1071633</v>
      </c>
      <c r="BP18" s="417">
        <f>M18+AO18</f>
        <v>0</v>
      </c>
      <c r="BQ18" s="417">
        <f t="shared" si="24"/>
        <v>0</v>
      </c>
      <c r="BR18" s="417">
        <f t="shared" si="24"/>
        <v>0</v>
      </c>
      <c r="BS18" s="417">
        <f t="shared" si="25"/>
        <v>362212</v>
      </c>
      <c r="BT18" s="417">
        <f t="shared" si="25"/>
        <v>10716</v>
      </c>
      <c r="BU18" s="417">
        <f>R18+AX18</f>
        <v>6556</v>
      </c>
      <c r="BV18" s="418">
        <f>S18+BK18</f>
        <v>3.1966000000000001</v>
      </c>
      <c r="BW18" s="418">
        <f t="shared" si="26"/>
        <v>0</v>
      </c>
      <c r="BX18" s="420">
        <f t="shared" si="26"/>
        <v>3.1966000000000001</v>
      </c>
      <c r="BY18" s="994"/>
      <c r="BZ18" s="595"/>
      <c r="CA18" s="595"/>
      <c r="CB18" s="595"/>
      <c r="CC18" s="595"/>
      <c r="CD18" s="981"/>
      <c r="CE18" s="994"/>
      <c r="CF18" s="595"/>
      <c r="CG18" s="595"/>
      <c r="CH18" s="595"/>
      <c r="CI18" s="595"/>
      <c r="CJ18" s="981"/>
    </row>
    <row r="19" spans="1:88" ht="12.95" customHeight="1">
      <c r="A19" s="324">
        <v>2</v>
      </c>
      <c r="B19" s="325">
        <v>5451</v>
      </c>
      <c r="C19" s="326">
        <v>600098893</v>
      </c>
      <c r="D19" s="325">
        <v>70939331</v>
      </c>
      <c r="E19" s="327" t="s">
        <v>353</v>
      </c>
      <c r="F19" s="275"/>
      <c r="G19" s="327"/>
      <c r="H19" s="289"/>
      <c r="I19" s="471">
        <v>13266961</v>
      </c>
      <c r="J19" s="467">
        <v>9727765</v>
      </c>
      <c r="K19" s="467">
        <v>7559930</v>
      </c>
      <c r="L19" s="467">
        <v>2167835</v>
      </c>
      <c r="M19" s="467">
        <v>68400</v>
      </c>
      <c r="N19" s="467">
        <v>0</v>
      </c>
      <c r="O19" s="467">
        <v>68400</v>
      </c>
      <c r="P19" s="467">
        <v>3311103</v>
      </c>
      <c r="Q19" s="467">
        <v>97277</v>
      </c>
      <c r="R19" s="467">
        <v>62416</v>
      </c>
      <c r="S19" s="468">
        <v>20.439100000000003</v>
      </c>
      <c r="T19" s="468">
        <v>13.2258</v>
      </c>
      <c r="U19" s="531">
        <v>7.2133000000000003</v>
      </c>
      <c r="V19" s="471">
        <f t="shared" ref="V19:BK19" si="27">SUM(V16:V18)</f>
        <v>0</v>
      </c>
      <c r="W19" s="467">
        <f t="shared" si="27"/>
        <v>0</v>
      </c>
      <c r="X19" s="467">
        <f t="shared" si="27"/>
        <v>0</v>
      </c>
      <c r="Y19" s="467">
        <f t="shared" si="27"/>
        <v>0</v>
      </c>
      <c r="Z19" s="467">
        <f t="shared" si="27"/>
        <v>0</v>
      </c>
      <c r="AA19" s="467">
        <f t="shared" si="27"/>
        <v>-23563</v>
      </c>
      <c r="AB19" s="467">
        <f t="shared" si="27"/>
        <v>0</v>
      </c>
      <c r="AC19" s="467">
        <f t="shared" si="27"/>
        <v>0</v>
      </c>
      <c r="AD19" s="467">
        <f t="shared" si="27"/>
        <v>0</v>
      </c>
      <c r="AE19" s="467">
        <f t="shared" si="27"/>
        <v>0</v>
      </c>
      <c r="AF19" s="467">
        <f t="shared" si="27"/>
        <v>-23563</v>
      </c>
      <c r="AG19" s="467">
        <f t="shared" si="27"/>
        <v>-23563</v>
      </c>
      <c r="AH19" s="467">
        <f t="shared" si="27"/>
        <v>0</v>
      </c>
      <c r="AI19" s="467">
        <f t="shared" si="27"/>
        <v>0</v>
      </c>
      <c r="AJ19" s="467">
        <f t="shared" si="27"/>
        <v>0</v>
      </c>
      <c r="AK19" s="467">
        <f t="shared" si="27"/>
        <v>0</v>
      </c>
      <c r="AL19" s="467">
        <f t="shared" si="27"/>
        <v>0</v>
      </c>
      <c r="AM19" s="467">
        <f t="shared" si="27"/>
        <v>0</v>
      </c>
      <c r="AN19" s="467">
        <f t="shared" si="27"/>
        <v>0</v>
      </c>
      <c r="AO19" s="467">
        <f t="shared" si="27"/>
        <v>0</v>
      </c>
      <c r="AP19" s="467">
        <f t="shared" si="27"/>
        <v>0</v>
      </c>
      <c r="AQ19" s="467">
        <f t="shared" si="27"/>
        <v>-23563</v>
      </c>
      <c r="AR19" s="467">
        <f t="shared" si="27"/>
        <v>-23563</v>
      </c>
      <c r="AS19" s="467">
        <f t="shared" si="27"/>
        <v>-7964</v>
      </c>
      <c r="AT19" s="467">
        <f t="shared" si="27"/>
        <v>-236</v>
      </c>
      <c r="AU19" s="467">
        <f t="shared" si="27"/>
        <v>0</v>
      </c>
      <c r="AV19" s="467">
        <f t="shared" si="27"/>
        <v>0</v>
      </c>
      <c r="AW19" s="467">
        <f t="shared" si="27"/>
        <v>0</v>
      </c>
      <c r="AX19" s="467">
        <f t="shared" si="27"/>
        <v>0</v>
      </c>
      <c r="AY19" s="467">
        <f t="shared" si="27"/>
        <v>-31763</v>
      </c>
      <c r="AZ19" s="468">
        <f t="shared" si="27"/>
        <v>0</v>
      </c>
      <c r="BA19" s="468">
        <f t="shared" si="27"/>
        <v>0</v>
      </c>
      <c r="BB19" s="468">
        <f t="shared" si="27"/>
        <v>0</v>
      </c>
      <c r="BC19" s="468">
        <f t="shared" si="27"/>
        <v>0</v>
      </c>
      <c r="BD19" s="468">
        <f t="shared" si="27"/>
        <v>-0.08</v>
      </c>
      <c r="BE19" s="468">
        <f t="shared" si="27"/>
        <v>0</v>
      </c>
      <c r="BF19" s="468">
        <f t="shared" si="27"/>
        <v>0</v>
      </c>
      <c r="BG19" s="468">
        <f t="shared" si="27"/>
        <v>0</v>
      </c>
      <c r="BH19" s="468">
        <f t="shared" si="27"/>
        <v>0</v>
      </c>
      <c r="BI19" s="468">
        <f t="shared" si="27"/>
        <v>0</v>
      </c>
      <c r="BJ19" s="468">
        <f t="shared" si="27"/>
        <v>-0.08</v>
      </c>
      <c r="BK19" s="328">
        <f t="shared" si="27"/>
        <v>-0.08</v>
      </c>
      <c r="BL19" s="774">
        <f t="shared" ref="BL19:CG19" si="28">SUM(BL16:BL18)</f>
        <v>13235198</v>
      </c>
      <c r="BM19" s="467">
        <f t="shared" si="28"/>
        <v>9704202</v>
      </c>
      <c r="BN19" s="467">
        <f t="shared" si="28"/>
        <v>7559930</v>
      </c>
      <c r="BO19" s="467">
        <f t="shared" si="28"/>
        <v>2144272</v>
      </c>
      <c r="BP19" s="467">
        <f t="shared" si="28"/>
        <v>68400</v>
      </c>
      <c r="BQ19" s="467">
        <f t="shared" si="28"/>
        <v>0</v>
      </c>
      <c r="BR19" s="467">
        <f t="shared" si="28"/>
        <v>68400</v>
      </c>
      <c r="BS19" s="467">
        <f t="shared" si="28"/>
        <v>3303139</v>
      </c>
      <c r="BT19" s="467">
        <f t="shared" si="28"/>
        <v>97041</v>
      </c>
      <c r="BU19" s="467">
        <f t="shared" si="28"/>
        <v>62416</v>
      </c>
      <c r="BV19" s="468">
        <f t="shared" si="28"/>
        <v>20.359100000000002</v>
      </c>
      <c r="BW19" s="468">
        <f t="shared" si="28"/>
        <v>13.2258</v>
      </c>
      <c r="BX19" s="328">
        <f t="shared" si="28"/>
        <v>7.1333000000000002</v>
      </c>
      <c r="BY19" s="838">
        <f t="shared" si="28"/>
        <v>0</v>
      </c>
      <c r="BZ19" s="721">
        <f t="shared" si="28"/>
        <v>0</v>
      </c>
      <c r="CA19" s="721">
        <f t="shared" si="28"/>
        <v>0</v>
      </c>
      <c r="CB19" s="721">
        <f t="shared" si="28"/>
        <v>0</v>
      </c>
      <c r="CC19" s="721">
        <f t="shared" si="28"/>
        <v>0</v>
      </c>
      <c r="CD19" s="826">
        <f t="shared" si="28"/>
        <v>0</v>
      </c>
      <c r="CE19" s="995">
        <f t="shared" si="28"/>
        <v>512145</v>
      </c>
      <c r="CF19" s="995">
        <f t="shared" si="28"/>
        <v>366143</v>
      </c>
      <c r="CG19" s="995">
        <f t="shared" si="28"/>
        <v>123756</v>
      </c>
      <c r="CH19" s="995">
        <f t="shared" ref="CH19:CJ19" si="29">SUM(CH16:CH18)</f>
        <v>3661</v>
      </c>
      <c r="CI19" s="995">
        <f t="shared" si="29"/>
        <v>18585</v>
      </c>
      <c r="CJ19" s="933">
        <f t="shared" si="29"/>
        <v>1.2631999999999999</v>
      </c>
    </row>
    <row r="20" spans="1:88" ht="12.95" customHeight="1">
      <c r="A20" s="280">
        <v>3</v>
      </c>
      <c r="B20" s="321">
        <v>5450</v>
      </c>
      <c r="C20" s="322">
        <v>600098834</v>
      </c>
      <c r="D20" s="281">
        <v>70939322</v>
      </c>
      <c r="E20" s="323" t="s">
        <v>784</v>
      </c>
      <c r="F20" s="281">
        <v>3111</v>
      </c>
      <c r="G20" s="323" t="s">
        <v>304</v>
      </c>
      <c r="H20" s="284" t="s">
        <v>271</v>
      </c>
      <c r="I20" s="419">
        <v>7112726</v>
      </c>
      <c r="J20" s="414">
        <v>5187789</v>
      </c>
      <c r="K20" s="414">
        <v>4539660</v>
      </c>
      <c r="L20" s="414">
        <v>648129</v>
      </c>
      <c r="M20" s="414">
        <v>61200</v>
      </c>
      <c r="N20" s="414">
        <v>56200</v>
      </c>
      <c r="O20" s="414">
        <v>5000</v>
      </c>
      <c r="P20" s="68">
        <v>1774159</v>
      </c>
      <c r="Q20" s="68">
        <v>51878</v>
      </c>
      <c r="R20" s="414">
        <v>37700</v>
      </c>
      <c r="S20" s="415">
        <v>10.1149</v>
      </c>
      <c r="T20" s="416">
        <v>7.9160000000000004</v>
      </c>
      <c r="U20" s="422">
        <v>2.1989000000000001</v>
      </c>
      <c r="V20" s="423">
        <f t="shared" si="4"/>
        <v>20200</v>
      </c>
      <c r="W20" s="417">
        <f t="shared" si="4"/>
        <v>-7000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5"/>
        <v>20200</v>
      </c>
      <c r="AF20" s="417">
        <f t="shared" si="6"/>
        <v>-7000</v>
      </c>
      <c r="AG20" s="417">
        <f t="shared" si="7"/>
        <v>13200</v>
      </c>
      <c r="AH20" s="417">
        <v>-20200</v>
      </c>
      <c r="AI20" s="417">
        <v>7000</v>
      </c>
      <c r="AJ20" s="417">
        <v>0</v>
      </c>
      <c r="AK20" s="417">
        <v>0</v>
      </c>
      <c r="AL20" s="417">
        <v>0</v>
      </c>
      <c r="AM20" s="417">
        <f t="shared" si="8"/>
        <v>-20200</v>
      </c>
      <c r="AN20" s="417">
        <f t="shared" si="9"/>
        <v>7000</v>
      </c>
      <c r="AO20" s="417">
        <f t="shared" si="10"/>
        <v>-13200</v>
      </c>
      <c r="AP20" s="417">
        <f t="shared" si="11"/>
        <v>0</v>
      </c>
      <c r="AQ20" s="417">
        <f t="shared" si="11"/>
        <v>0</v>
      </c>
      <c r="AR20" s="417">
        <f t="shared" si="12"/>
        <v>0</v>
      </c>
      <c r="AS20" s="68">
        <f t="shared" si="13"/>
        <v>0</v>
      </c>
      <c r="AT20" s="68">
        <f t="shared" si="14"/>
        <v>132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132</v>
      </c>
      <c r="AZ20" s="418">
        <v>-0.01</v>
      </c>
      <c r="BA20" s="418">
        <v>-0.03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-0.01</v>
      </c>
      <c r="BJ20" s="418">
        <f t="shared" si="18"/>
        <v>-0.03</v>
      </c>
      <c r="BK20" s="420">
        <f t="shared" si="19"/>
        <v>-0.04</v>
      </c>
      <c r="BL20" s="772">
        <f>I20+AY20</f>
        <v>7112858</v>
      </c>
      <c r="BM20" s="417">
        <f>J20+AG20</f>
        <v>5200989</v>
      </c>
      <c r="BN20" s="417">
        <f t="shared" ref="BN20:BO22" si="30">K20+AE20</f>
        <v>4559860</v>
      </c>
      <c r="BO20" s="417">
        <f t="shared" si="30"/>
        <v>641129</v>
      </c>
      <c r="BP20" s="417">
        <f>M20+AO20</f>
        <v>48000</v>
      </c>
      <c r="BQ20" s="417">
        <f t="shared" ref="BQ20:BR22" si="31">N20+AM20</f>
        <v>36000</v>
      </c>
      <c r="BR20" s="417">
        <f t="shared" si="31"/>
        <v>12000</v>
      </c>
      <c r="BS20" s="417">
        <f t="shared" ref="BS20:BT22" si="32">P20+AS20</f>
        <v>1774159</v>
      </c>
      <c r="BT20" s="417">
        <f t="shared" si="32"/>
        <v>52010</v>
      </c>
      <c r="BU20" s="417">
        <f>R20+AX20</f>
        <v>37700</v>
      </c>
      <c r="BV20" s="418">
        <f>S20+BK20</f>
        <v>10.074900000000001</v>
      </c>
      <c r="BW20" s="418">
        <f t="shared" ref="BW20:BX22" si="33">T20+BI20</f>
        <v>7.9060000000000006</v>
      </c>
      <c r="BX20" s="420">
        <f t="shared" si="33"/>
        <v>2.1689000000000003</v>
      </c>
      <c r="BY20" s="994"/>
      <c r="BZ20" s="595"/>
      <c r="CA20" s="595"/>
      <c r="CB20" s="595"/>
      <c r="CC20" s="595"/>
      <c r="CD20" s="981"/>
      <c r="CE20" s="994">
        <v>295057</v>
      </c>
      <c r="CF20" s="595">
        <v>209583</v>
      </c>
      <c r="CG20" s="595">
        <v>70839</v>
      </c>
      <c r="CH20" s="595">
        <v>2096</v>
      </c>
      <c r="CI20" s="595">
        <v>12539</v>
      </c>
      <c r="CJ20" s="981">
        <v>0.7056</v>
      </c>
    </row>
    <row r="21" spans="1:88" ht="12.95" customHeight="1">
      <c r="A21" s="280">
        <v>3</v>
      </c>
      <c r="B21" s="321">
        <v>5450</v>
      </c>
      <c r="C21" s="322">
        <v>600098834</v>
      </c>
      <c r="D21" s="281">
        <v>70939322</v>
      </c>
      <c r="E21" s="323" t="s">
        <v>784</v>
      </c>
      <c r="F21" s="281">
        <v>3111</v>
      </c>
      <c r="G21" s="323" t="s">
        <v>298</v>
      </c>
      <c r="H21" s="284" t="s">
        <v>272</v>
      </c>
      <c r="I21" s="419">
        <v>843580</v>
      </c>
      <c r="J21" s="414">
        <v>624874</v>
      </c>
      <c r="K21" s="414">
        <v>624874</v>
      </c>
      <c r="L21" s="414">
        <v>0</v>
      </c>
      <c r="M21" s="414">
        <v>0</v>
      </c>
      <c r="N21" s="414">
        <v>0</v>
      </c>
      <c r="O21" s="414">
        <v>0</v>
      </c>
      <c r="P21" s="68">
        <v>211207</v>
      </c>
      <c r="Q21" s="68">
        <v>6249</v>
      </c>
      <c r="R21" s="414">
        <v>1250</v>
      </c>
      <c r="S21" s="415">
        <v>1.69</v>
      </c>
      <c r="T21" s="416">
        <v>1.69</v>
      </c>
      <c r="U21" s="422">
        <v>0</v>
      </c>
      <c r="V21" s="423">
        <f t="shared" si="4"/>
        <v>0</v>
      </c>
      <c r="W21" s="417">
        <f t="shared" si="4"/>
        <v>0</v>
      </c>
      <c r="X21" s="417">
        <v>-171668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5"/>
        <v>-171668</v>
      </c>
      <c r="AF21" s="417">
        <f t="shared" si="6"/>
        <v>0</v>
      </c>
      <c r="AG21" s="417">
        <f t="shared" si="7"/>
        <v>-171668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8"/>
        <v>0</v>
      </c>
      <c r="AN21" s="417">
        <f t="shared" si="9"/>
        <v>0</v>
      </c>
      <c r="AO21" s="417">
        <f t="shared" si="10"/>
        <v>0</v>
      </c>
      <c r="AP21" s="417">
        <f t="shared" si="11"/>
        <v>-171668</v>
      </c>
      <c r="AQ21" s="417">
        <f t="shared" si="11"/>
        <v>0</v>
      </c>
      <c r="AR21" s="417">
        <f t="shared" si="12"/>
        <v>-171668</v>
      </c>
      <c r="AS21" s="68">
        <f t="shared" si="13"/>
        <v>-58024</v>
      </c>
      <c r="AT21" s="68">
        <f t="shared" si="14"/>
        <v>-1717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-231409</v>
      </c>
      <c r="AZ21" s="418">
        <v>0</v>
      </c>
      <c r="BA21" s="418">
        <v>0</v>
      </c>
      <c r="BB21" s="418">
        <v>-0.47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-0.47</v>
      </c>
      <c r="BJ21" s="418">
        <f t="shared" si="18"/>
        <v>0</v>
      </c>
      <c r="BK21" s="420">
        <f t="shared" si="19"/>
        <v>-0.47</v>
      </c>
      <c r="BL21" s="772">
        <f>I21+AY21</f>
        <v>612171</v>
      </c>
      <c r="BM21" s="417">
        <f>J21+AG21</f>
        <v>453206</v>
      </c>
      <c r="BN21" s="417">
        <f t="shared" si="30"/>
        <v>453206</v>
      </c>
      <c r="BO21" s="417">
        <f t="shared" si="30"/>
        <v>0</v>
      </c>
      <c r="BP21" s="417">
        <f>M21+AO21</f>
        <v>0</v>
      </c>
      <c r="BQ21" s="417">
        <f t="shared" si="31"/>
        <v>0</v>
      </c>
      <c r="BR21" s="417">
        <f t="shared" si="31"/>
        <v>0</v>
      </c>
      <c r="BS21" s="417">
        <f t="shared" si="32"/>
        <v>153183</v>
      </c>
      <c r="BT21" s="417">
        <f t="shared" si="32"/>
        <v>4532</v>
      </c>
      <c r="BU21" s="417">
        <f>R21+AX21</f>
        <v>1250</v>
      </c>
      <c r="BV21" s="418">
        <f>S21+BK21</f>
        <v>1.22</v>
      </c>
      <c r="BW21" s="418">
        <f t="shared" si="33"/>
        <v>1.22</v>
      </c>
      <c r="BX21" s="420">
        <f t="shared" si="33"/>
        <v>0</v>
      </c>
      <c r="BY21" s="994"/>
      <c r="BZ21" s="595"/>
      <c r="CA21" s="595"/>
      <c r="CB21" s="595"/>
      <c r="CC21" s="595"/>
      <c r="CD21" s="981"/>
      <c r="CE21" s="994"/>
      <c r="CF21" s="595"/>
      <c r="CG21" s="595"/>
      <c r="CH21" s="595"/>
      <c r="CI21" s="595"/>
      <c r="CJ21" s="981"/>
    </row>
    <row r="22" spans="1:88" ht="12.95" customHeight="1">
      <c r="A22" s="280">
        <v>3</v>
      </c>
      <c r="B22" s="321">
        <v>5450</v>
      </c>
      <c r="C22" s="322">
        <v>600098834</v>
      </c>
      <c r="D22" s="281">
        <v>70939322</v>
      </c>
      <c r="E22" s="323" t="s">
        <v>784</v>
      </c>
      <c r="F22" s="281">
        <v>3141</v>
      </c>
      <c r="G22" s="323" t="s">
        <v>294</v>
      </c>
      <c r="H22" s="284" t="s">
        <v>272</v>
      </c>
      <c r="I22" s="419">
        <v>980924</v>
      </c>
      <c r="J22" s="414">
        <v>719524</v>
      </c>
      <c r="K22" s="414">
        <v>0</v>
      </c>
      <c r="L22" s="414">
        <v>719524</v>
      </c>
      <c r="M22" s="414">
        <v>5000</v>
      </c>
      <c r="N22" s="414">
        <v>0</v>
      </c>
      <c r="O22" s="414">
        <v>5000</v>
      </c>
      <c r="P22" s="68">
        <v>244889</v>
      </c>
      <c r="Q22" s="68">
        <v>7195</v>
      </c>
      <c r="R22" s="414">
        <v>4316</v>
      </c>
      <c r="S22" s="415">
        <v>2.1667000000000001</v>
      </c>
      <c r="T22" s="416">
        <v>0</v>
      </c>
      <c r="U22" s="422">
        <v>2.1667000000000001</v>
      </c>
      <c r="V22" s="423">
        <f t="shared" si="4"/>
        <v>0</v>
      </c>
      <c r="W22" s="417">
        <f t="shared" si="4"/>
        <v>3000</v>
      </c>
      <c r="X22" s="417">
        <v>0</v>
      </c>
      <c r="Y22" s="417">
        <v>0</v>
      </c>
      <c r="Z22" s="417">
        <v>0</v>
      </c>
      <c r="AA22" s="417">
        <v>3875</v>
      </c>
      <c r="AB22" s="417">
        <v>0</v>
      </c>
      <c r="AC22" s="417">
        <v>0</v>
      </c>
      <c r="AD22" s="417">
        <v>0</v>
      </c>
      <c r="AE22" s="417">
        <f t="shared" si="5"/>
        <v>0</v>
      </c>
      <c r="AF22" s="417">
        <f t="shared" si="6"/>
        <v>6875</v>
      </c>
      <c r="AG22" s="417">
        <f t="shared" si="7"/>
        <v>6875</v>
      </c>
      <c r="AH22" s="417">
        <v>0</v>
      </c>
      <c r="AI22" s="417">
        <v>-3000</v>
      </c>
      <c r="AJ22" s="417">
        <v>0</v>
      </c>
      <c r="AK22" s="417">
        <v>0</v>
      </c>
      <c r="AL22" s="417">
        <v>0</v>
      </c>
      <c r="AM22" s="417">
        <f t="shared" si="8"/>
        <v>0</v>
      </c>
      <c r="AN22" s="417">
        <f t="shared" si="9"/>
        <v>-3000</v>
      </c>
      <c r="AO22" s="417">
        <f t="shared" si="10"/>
        <v>-3000</v>
      </c>
      <c r="AP22" s="417">
        <f t="shared" si="11"/>
        <v>0</v>
      </c>
      <c r="AQ22" s="417">
        <f t="shared" si="11"/>
        <v>3875</v>
      </c>
      <c r="AR22" s="417">
        <f t="shared" si="12"/>
        <v>3875</v>
      </c>
      <c r="AS22" s="68">
        <f t="shared" si="13"/>
        <v>1310</v>
      </c>
      <c r="AT22" s="68">
        <f t="shared" si="14"/>
        <v>69</v>
      </c>
      <c r="AU22" s="417">
        <v>0</v>
      </c>
      <c r="AV22" s="417">
        <v>0</v>
      </c>
      <c r="AW22" s="417">
        <v>0</v>
      </c>
      <c r="AX22" s="417">
        <f t="shared" si="15"/>
        <v>0</v>
      </c>
      <c r="AY22" s="417">
        <f t="shared" si="16"/>
        <v>5254</v>
      </c>
      <c r="AZ22" s="418">
        <v>0</v>
      </c>
      <c r="BA22" s="418">
        <v>0</v>
      </c>
      <c r="BB22" s="418">
        <v>0</v>
      </c>
      <c r="BC22" s="418">
        <v>0</v>
      </c>
      <c r="BD22" s="418">
        <v>0.02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0</v>
      </c>
      <c r="BJ22" s="418">
        <f t="shared" si="18"/>
        <v>0.02</v>
      </c>
      <c r="BK22" s="420">
        <f t="shared" si="19"/>
        <v>0.02</v>
      </c>
      <c r="BL22" s="772">
        <f>I22+AY22</f>
        <v>986178</v>
      </c>
      <c r="BM22" s="417">
        <f>J22+AG22</f>
        <v>726399</v>
      </c>
      <c r="BN22" s="417">
        <f t="shared" si="30"/>
        <v>0</v>
      </c>
      <c r="BO22" s="417">
        <f t="shared" si="30"/>
        <v>726399</v>
      </c>
      <c r="BP22" s="417">
        <f>M22+AO22</f>
        <v>2000</v>
      </c>
      <c r="BQ22" s="417">
        <f t="shared" si="31"/>
        <v>0</v>
      </c>
      <c r="BR22" s="417">
        <f t="shared" si="31"/>
        <v>2000</v>
      </c>
      <c r="BS22" s="417">
        <f t="shared" si="32"/>
        <v>246199</v>
      </c>
      <c r="BT22" s="417">
        <f t="shared" si="32"/>
        <v>7264</v>
      </c>
      <c r="BU22" s="417">
        <f>R22+AX22</f>
        <v>4316</v>
      </c>
      <c r="BV22" s="418">
        <f>S22+BK22</f>
        <v>2.1867000000000001</v>
      </c>
      <c r="BW22" s="418">
        <f t="shared" si="33"/>
        <v>0</v>
      </c>
      <c r="BX22" s="420">
        <f t="shared" si="33"/>
        <v>2.1867000000000001</v>
      </c>
      <c r="BY22" s="994"/>
      <c r="BZ22" s="595"/>
      <c r="CA22" s="595"/>
      <c r="CB22" s="595"/>
      <c r="CC22" s="595"/>
      <c r="CD22" s="981"/>
      <c r="CE22" s="994"/>
      <c r="CF22" s="595"/>
      <c r="CG22" s="595"/>
      <c r="CH22" s="595"/>
      <c r="CI22" s="595"/>
      <c r="CJ22" s="981"/>
    </row>
    <row r="23" spans="1:88" ht="12.95" customHeight="1">
      <c r="A23" s="324">
        <v>3</v>
      </c>
      <c r="B23" s="325">
        <v>5450</v>
      </c>
      <c r="C23" s="326">
        <v>600098834</v>
      </c>
      <c r="D23" s="325">
        <v>70939322</v>
      </c>
      <c r="E23" s="327" t="s">
        <v>354</v>
      </c>
      <c r="F23" s="291"/>
      <c r="G23" s="329"/>
      <c r="H23" s="292"/>
      <c r="I23" s="471">
        <v>8937230</v>
      </c>
      <c r="J23" s="467">
        <v>6532187</v>
      </c>
      <c r="K23" s="467">
        <v>5164534</v>
      </c>
      <c r="L23" s="467">
        <v>1367653</v>
      </c>
      <c r="M23" s="467">
        <v>66200</v>
      </c>
      <c r="N23" s="467">
        <v>56200</v>
      </c>
      <c r="O23" s="467">
        <v>10000</v>
      </c>
      <c r="P23" s="467">
        <v>2230255</v>
      </c>
      <c r="Q23" s="467">
        <v>65322</v>
      </c>
      <c r="R23" s="467">
        <v>43266</v>
      </c>
      <c r="S23" s="468">
        <v>13.9716</v>
      </c>
      <c r="T23" s="468">
        <v>9.6059999999999999</v>
      </c>
      <c r="U23" s="531">
        <v>4.3656000000000006</v>
      </c>
      <c r="V23" s="471">
        <f t="shared" ref="V23:BK23" si="34">SUM(V20:V22)</f>
        <v>20200</v>
      </c>
      <c r="W23" s="467">
        <f t="shared" si="34"/>
        <v>-4000</v>
      </c>
      <c r="X23" s="467">
        <f t="shared" si="34"/>
        <v>-171668</v>
      </c>
      <c r="Y23" s="467">
        <f t="shared" si="34"/>
        <v>0</v>
      </c>
      <c r="Z23" s="467">
        <f t="shared" si="34"/>
        <v>0</v>
      </c>
      <c r="AA23" s="467">
        <f t="shared" si="34"/>
        <v>3875</v>
      </c>
      <c r="AB23" s="467">
        <f t="shared" si="34"/>
        <v>0</v>
      </c>
      <c r="AC23" s="467">
        <f t="shared" si="34"/>
        <v>0</v>
      </c>
      <c r="AD23" s="467">
        <f t="shared" si="34"/>
        <v>0</v>
      </c>
      <c r="AE23" s="467">
        <f t="shared" si="34"/>
        <v>-151468</v>
      </c>
      <c r="AF23" s="467">
        <f t="shared" si="34"/>
        <v>-125</v>
      </c>
      <c r="AG23" s="467">
        <f t="shared" si="34"/>
        <v>-151593</v>
      </c>
      <c r="AH23" s="467">
        <f t="shared" si="34"/>
        <v>-20200</v>
      </c>
      <c r="AI23" s="467">
        <f t="shared" si="34"/>
        <v>4000</v>
      </c>
      <c r="AJ23" s="467">
        <f t="shared" si="34"/>
        <v>0</v>
      </c>
      <c r="AK23" s="467">
        <f t="shared" si="34"/>
        <v>0</v>
      </c>
      <c r="AL23" s="467">
        <f t="shared" si="34"/>
        <v>0</v>
      </c>
      <c r="AM23" s="467">
        <f t="shared" si="34"/>
        <v>-20200</v>
      </c>
      <c r="AN23" s="467">
        <f t="shared" si="34"/>
        <v>4000</v>
      </c>
      <c r="AO23" s="467">
        <f t="shared" si="34"/>
        <v>-16200</v>
      </c>
      <c r="AP23" s="467">
        <f t="shared" si="34"/>
        <v>-171668</v>
      </c>
      <c r="AQ23" s="467">
        <f t="shared" si="34"/>
        <v>3875</v>
      </c>
      <c r="AR23" s="467">
        <f t="shared" si="34"/>
        <v>-167793</v>
      </c>
      <c r="AS23" s="467">
        <f t="shared" si="34"/>
        <v>-56714</v>
      </c>
      <c r="AT23" s="467">
        <f t="shared" si="34"/>
        <v>-1516</v>
      </c>
      <c r="AU23" s="467">
        <f t="shared" si="34"/>
        <v>0</v>
      </c>
      <c r="AV23" s="467">
        <f t="shared" si="34"/>
        <v>0</v>
      </c>
      <c r="AW23" s="467">
        <f t="shared" si="34"/>
        <v>0</v>
      </c>
      <c r="AX23" s="467">
        <f t="shared" si="34"/>
        <v>0</v>
      </c>
      <c r="AY23" s="467">
        <f t="shared" si="34"/>
        <v>-226023</v>
      </c>
      <c r="AZ23" s="468">
        <f t="shared" si="34"/>
        <v>-0.01</v>
      </c>
      <c r="BA23" s="468">
        <f t="shared" si="34"/>
        <v>-0.03</v>
      </c>
      <c r="BB23" s="468">
        <f t="shared" si="34"/>
        <v>-0.47</v>
      </c>
      <c r="BC23" s="468">
        <f t="shared" si="34"/>
        <v>0</v>
      </c>
      <c r="BD23" s="468">
        <f t="shared" si="34"/>
        <v>0.02</v>
      </c>
      <c r="BE23" s="468">
        <f t="shared" si="34"/>
        <v>0</v>
      </c>
      <c r="BF23" s="468">
        <f t="shared" si="34"/>
        <v>0</v>
      </c>
      <c r="BG23" s="468">
        <f t="shared" si="34"/>
        <v>0</v>
      </c>
      <c r="BH23" s="468">
        <f t="shared" si="34"/>
        <v>0</v>
      </c>
      <c r="BI23" s="468">
        <f t="shared" si="34"/>
        <v>-0.48</v>
      </c>
      <c r="BJ23" s="468">
        <f t="shared" si="34"/>
        <v>-9.9999999999999985E-3</v>
      </c>
      <c r="BK23" s="328">
        <f t="shared" si="34"/>
        <v>-0.49</v>
      </c>
      <c r="BL23" s="774">
        <f t="shared" ref="BL23:CG23" si="35">SUM(BL20:BL22)</f>
        <v>8711207</v>
      </c>
      <c r="BM23" s="467">
        <f t="shared" si="35"/>
        <v>6380594</v>
      </c>
      <c r="BN23" s="467">
        <f t="shared" si="35"/>
        <v>5013066</v>
      </c>
      <c r="BO23" s="467">
        <f t="shared" si="35"/>
        <v>1367528</v>
      </c>
      <c r="BP23" s="467">
        <f t="shared" si="35"/>
        <v>50000</v>
      </c>
      <c r="BQ23" s="467">
        <f t="shared" si="35"/>
        <v>36000</v>
      </c>
      <c r="BR23" s="467">
        <f t="shared" si="35"/>
        <v>14000</v>
      </c>
      <c r="BS23" s="467">
        <f t="shared" si="35"/>
        <v>2173541</v>
      </c>
      <c r="BT23" s="467">
        <f t="shared" si="35"/>
        <v>63806</v>
      </c>
      <c r="BU23" s="467">
        <f t="shared" si="35"/>
        <v>43266</v>
      </c>
      <c r="BV23" s="468">
        <f t="shared" si="35"/>
        <v>13.481600000000002</v>
      </c>
      <c r="BW23" s="468">
        <f t="shared" si="35"/>
        <v>9.1260000000000012</v>
      </c>
      <c r="BX23" s="328">
        <f t="shared" si="35"/>
        <v>4.3556000000000008</v>
      </c>
      <c r="BY23" s="838">
        <f t="shared" si="35"/>
        <v>0</v>
      </c>
      <c r="BZ23" s="721">
        <f t="shared" si="35"/>
        <v>0</v>
      </c>
      <c r="CA23" s="721">
        <f t="shared" si="35"/>
        <v>0</v>
      </c>
      <c r="CB23" s="721">
        <f t="shared" si="35"/>
        <v>0</v>
      </c>
      <c r="CC23" s="721">
        <f t="shared" si="35"/>
        <v>0</v>
      </c>
      <c r="CD23" s="826">
        <f t="shared" si="35"/>
        <v>0</v>
      </c>
      <c r="CE23" s="995">
        <f t="shared" si="35"/>
        <v>295057</v>
      </c>
      <c r="CF23" s="995">
        <f t="shared" si="35"/>
        <v>209583</v>
      </c>
      <c r="CG23" s="995">
        <f t="shared" si="35"/>
        <v>70839</v>
      </c>
      <c r="CH23" s="995">
        <f t="shared" ref="CH23:CJ23" si="36">SUM(CH20:CH22)</f>
        <v>2096</v>
      </c>
      <c r="CI23" s="995">
        <f t="shared" si="36"/>
        <v>12539</v>
      </c>
      <c r="CJ23" s="933">
        <f t="shared" si="36"/>
        <v>0.7056</v>
      </c>
    </row>
    <row r="24" spans="1:88" ht="12.95" customHeight="1">
      <c r="A24" s="280">
        <v>4</v>
      </c>
      <c r="B24" s="321">
        <v>5447</v>
      </c>
      <c r="C24" s="330">
        <v>600099512</v>
      </c>
      <c r="D24" s="281">
        <v>854816</v>
      </c>
      <c r="E24" s="323" t="s">
        <v>355</v>
      </c>
      <c r="F24" s="281">
        <v>3233</v>
      </c>
      <c r="G24" s="323" t="s">
        <v>297</v>
      </c>
      <c r="H24" s="284" t="s">
        <v>272</v>
      </c>
      <c r="I24" s="419">
        <v>4266985</v>
      </c>
      <c r="J24" s="414">
        <v>3142442</v>
      </c>
      <c r="K24" s="414">
        <v>2491006</v>
      </c>
      <c r="L24" s="414">
        <v>651436</v>
      </c>
      <c r="M24" s="414">
        <v>20000</v>
      </c>
      <c r="N24" s="414">
        <v>15000</v>
      </c>
      <c r="O24" s="414">
        <v>5000</v>
      </c>
      <c r="P24" s="68">
        <v>1068905</v>
      </c>
      <c r="Q24" s="68">
        <v>31424</v>
      </c>
      <c r="R24" s="414">
        <v>4214</v>
      </c>
      <c r="S24" s="415">
        <v>6.6000000000000005</v>
      </c>
      <c r="T24" s="416">
        <v>4.5100000000000007</v>
      </c>
      <c r="U24" s="422">
        <v>2.09</v>
      </c>
      <c r="V24" s="423">
        <f t="shared" si="4"/>
        <v>-35000</v>
      </c>
      <c r="W24" s="417">
        <f t="shared" si="4"/>
        <v>5000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-300000</v>
      </c>
      <c r="AD24" s="417">
        <v>0</v>
      </c>
      <c r="AE24" s="417">
        <f t="shared" si="5"/>
        <v>-335000</v>
      </c>
      <c r="AF24" s="417">
        <f t="shared" si="6"/>
        <v>5000</v>
      </c>
      <c r="AG24" s="417">
        <f t="shared" si="7"/>
        <v>-330000</v>
      </c>
      <c r="AH24" s="417">
        <v>35000</v>
      </c>
      <c r="AI24" s="417">
        <v>-5000</v>
      </c>
      <c r="AJ24" s="417">
        <v>0</v>
      </c>
      <c r="AK24" s="417">
        <v>0</v>
      </c>
      <c r="AL24" s="417">
        <v>0</v>
      </c>
      <c r="AM24" s="417">
        <f t="shared" si="8"/>
        <v>35000</v>
      </c>
      <c r="AN24" s="417">
        <f t="shared" si="9"/>
        <v>-5000</v>
      </c>
      <c r="AO24" s="417">
        <f t="shared" si="10"/>
        <v>30000</v>
      </c>
      <c r="AP24" s="417">
        <f t="shared" si="11"/>
        <v>-300000</v>
      </c>
      <c r="AQ24" s="417">
        <f t="shared" si="11"/>
        <v>0</v>
      </c>
      <c r="AR24" s="417">
        <f t="shared" si="12"/>
        <v>-300000</v>
      </c>
      <c r="AS24" s="68">
        <f t="shared" si="13"/>
        <v>-101400</v>
      </c>
      <c r="AT24" s="68">
        <f t="shared" si="14"/>
        <v>-3300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-404700</v>
      </c>
      <c r="AZ24" s="418">
        <v>-0.06</v>
      </c>
      <c r="BA24" s="418">
        <v>0.02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-0.06</v>
      </c>
      <c r="BJ24" s="418">
        <f t="shared" si="18"/>
        <v>0.02</v>
      </c>
      <c r="BK24" s="420">
        <f t="shared" si="19"/>
        <v>-3.9999999999999994E-2</v>
      </c>
      <c r="BL24" s="772">
        <f>I24+AY24</f>
        <v>3862285</v>
      </c>
      <c r="BM24" s="417">
        <f>J24+AG24</f>
        <v>2812442</v>
      </c>
      <c r="BN24" s="417">
        <f>K24+AE24</f>
        <v>2156006</v>
      </c>
      <c r="BO24" s="417">
        <f>L24+AF24</f>
        <v>656436</v>
      </c>
      <c r="BP24" s="417">
        <f>M24+AO24</f>
        <v>50000</v>
      </c>
      <c r="BQ24" s="417">
        <f>N24+AM24</f>
        <v>50000</v>
      </c>
      <c r="BR24" s="417">
        <f>O24+AN24</f>
        <v>0</v>
      </c>
      <c r="BS24" s="417">
        <f>P24+AS24</f>
        <v>967505</v>
      </c>
      <c r="BT24" s="417">
        <f>Q24+AT24</f>
        <v>28124</v>
      </c>
      <c r="BU24" s="417">
        <f>R24+AX24</f>
        <v>4214</v>
      </c>
      <c r="BV24" s="418">
        <f>S24+BK24</f>
        <v>6.5600000000000005</v>
      </c>
      <c r="BW24" s="418">
        <f>T24+BI24</f>
        <v>4.4500000000000011</v>
      </c>
      <c r="BX24" s="420">
        <f>U24+BJ24</f>
        <v>2.11</v>
      </c>
      <c r="BY24" s="994"/>
      <c r="BZ24" s="595"/>
      <c r="CA24" s="595"/>
      <c r="CB24" s="595"/>
      <c r="CC24" s="595"/>
      <c r="CD24" s="981"/>
      <c r="CE24" s="994"/>
      <c r="CF24" s="595"/>
      <c r="CG24" s="595"/>
      <c r="CH24" s="595"/>
      <c r="CI24" s="595"/>
      <c r="CJ24" s="981"/>
    </row>
    <row r="25" spans="1:88" ht="12.95" customHeight="1">
      <c r="A25" s="324">
        <v>4</v>
      </c>
      <c r="B25" s="325">
        <v>5447</v>
      </c>
      <c r="C25" s="326">
        <v>600099512</v>
      </c>
      <c r="D25" s="325">
        <v>854816</v>
      </c>
      <c r="E25" s="327" t="s">
        <v>356</v>
      </c>
      <c r="F25" s="291"/>
      <c r="G25" s="329"/>
      <c r="H25" s="292"/>
      <c r="I25" s="471">
        <v>4266985</v>
      </c>
      <c r="J25" s="467">
        <v>3142442</v>
      </c>
      <c r="K25" s="467">
        <v>2491006</v>
      </c>
      <c r="L25" s="467">
        <v>651436</v>
      </c>
      <c r="M25" s="467">
        <v>20000</v>
      </c>
      <c r="N25" s="467">
        <v>15000</v>
      </c>
      <c r="O25" s="467">
        <v>5000</v>
      </c>
      <c r="P25" s="467">
        <v>1068905</v>
      </c>
      <c r="Q25" s="467">
        <v>31424</v>
      </c>
      <c r="R25" s="467">
        <v>4214</v>
      </c>
      <c r="S25" s="468">
        <v>6.6000000000000005</v>
      </c>
      <c r="T25" s="468">
        <v>4.5100000000000007</v>
      </c>
      <c r="U25" s="531">
        <v>2.09</v>
      </c>
      <c r="V25" s="471">
        <f t="shared" ref="V25:BK25" si="37">SUM(V24)</f>
        <v>-35000</v>
      </c>
      <c r="W25" s="467">
        <f t="shared" si="37"/>
        <v>5000</v>
      </c>
      <c r="X25" s="467">
        <f t="shared" si="37"/>
        <v>0</v>
      </c>
      <c r="Y25" s="467">
        <f t="shared" si="37"/>
        <v>0</v>
      </c>
      <c r="Z25" s="467">
        <f t="shared" si="37"/>
        <v>0</v>
      </c>
      <c r="AA25" s="467">
        <f t="shared" si="37"/>
        <v>0</v>
      </c>
      <c r="AB25" s="467">
        <f t="shared" si="37"/>
        <v>0</v>
      </c>
      <c r="AC25" s="467">
        <f t="shared" si="37"/>
        <v>-300000</v>
      </c>
      <c r="AD25" s="467">
        <f t="shared" si="37"/>
        <v>0</v>
      </c>
      <c r="AE25" s="467">
        <f t="shared" si="37"/>
        <v>-335000</v>
      </c>
      <c r="AF25" s="467">
        <f t="shared" si="37"/>
        <v>5000</v>
      </c>
      <c r="AG25" s="467">
        <f t="shared" si="37"/>
        <v>-330000</v>
      </c>
      <c r="AH25" s="467">
        <f t="shared" si="37"/>
        <v>35000</v>
      </c>
      <c r="AI25" s="467">
        <f t="shared" si="37"/>
        <v>-5000</v>
      </c>
      <c r="AJ25" s="467">
        <f t="shared" si="37"/>
        <v>0</v>
      </c>
      <c r="AK25" s="467">
        <f t="shared" si="37"/>
        <v>0</v>
      </c>
      <c r="AL25" s="467">
        <f t="shared" si="37"/>
        <v>0</v>
      </c>
      <c r="AM25" s="467">
        <f t="shared" si="37"/>
        <v>35000</v>
      </c>
      <c r="AN25" s="467">
        <f t="shared" si="37"/>
        <v>-5000</v>
      </c>
      <c r="AO25" s="467">
        <f t="shared" si="37"/>
        <v>30000</v>
      </c>
      <c r="AP25" s="467">
        <f t="shared" si="37"/>
        <v>-300000</v>
      </c>
      <c r="AQ25" s="467">
        <f t="shared" si="37"/>
        <v>0</v>
      </c>
      <c r="AR25" s="467">
        <f t="shared" si="37"/>
        <v>-300000</v>
      </c>
      <c r="AS25" s="467">
        <f t="shared" si="37"/>
        <v>-101400</v>
      </c>
      <c r="AT25" s="467">
        <f t="shared" si="37"/>
        <v>-3300</v>
      </c>
      <c r="AU25" s="467">
        <f t="shared" si="37"/>
        <v>0</v>
      </c>
      <c r="AV25" s="467">
        <f t="shared" si="37"/>
        <v>0</v>
      </c>
      <c r="AW25" s="467">
        <f t="shared" si="37"/>
        <v>0</v>
      </c>
      <c r="AX25" s="467">
        <f t="shared" si="37"/>
        <v>0</v>
      </c>
      <c r="AY25" s="467">
        <f t="shared" si="37"/>
        <v>-404700</v>
      </c>
      <c r="AZ25" s="468">
        <f t="shared" si="37"/>
        <v>-0.06</v>
      </c>
      <c r="BA25" s="468">
        <f t="shared" si="37"/>
        <v>0.02</v>
      </c>
      <c r="BB25" s="468">
        <f t="shared" si="37"/>
        <v>0</v>
      </c>
      <c r="BC25" s="468">
        <f t="shared" si="37"/>
        <v>0</v>
      </c>
      <c r="BD25" s="468">
        <f t="shared" si="37"/>
        <v>0</v>
      </c>
      <c r="BE25" s="468">
        <f t="shared" si="37"/>
        <v>0</v>
      </c>
      <c r="BF25" s="468">
        <f t="shared" si="37"/>
        <v>0</v>
      </c>
      <c r="BG25" s="468">
        <f t="shared" si="37"/>
        <v>0</v>
      </c>
      <c r="BH25" s="468">
        <f t="shared" si="37"/>
        <v>0</v>
      </c>
      <c r="BI25" s="468">
        <f t="shared" si="37"/>
        <v>-0.06</v>
      </c>
      <c r="BJ25" s="468">
        <f t="shared" si="37"/>
        <v>0.02</v>
      </c>
      <c r="BK25" s="328">
        <f t="shared" si="37"/>
        <v>-3.9999999999999994E-2</v>
      </c>
      <c r="BL25" s="774">
        <f t="shared" ref="BL25:CG25" si="38">SUM(BL24)</f>
        <v>3862285</v>
      </c>
      <c r="BM25" s="467">
        <f t="shared" si="38"/>
        <v>2812442</v>
      </c>
      <c r="BN25" s="467">
        <f t="shared" si="38"/>
        <v>2156006</v>
      </c>
      <c r="BO25" s="467">
        <f t="shared" si="38"/>
        <v>656436</v>
      </c>
      <c r="BP25" s="467">
        <f t="shared" si="38"/>
        <v>50000</v>
      </c>
      <c r="BQ25" s="467">
        <f t="shared" si="38"/>
        <v>50000</v>
      </c>
      <c r="BR25" s="467">
        <f t="shared" si="38"/>
        <v>0</v>
      </c>
      <c r="BS25" s="467">
        <f t="shared" si="38"/>
        <v>967505</v>
      </c>
      <c r="BT25" s="467">
        <f t="shared" si="38"/>
        <v>28124</v>
      </c>
      <c r="BU25" s="467">
        <f t="shared" si="38"/>
        <v>4214</v>
      </c>
      <c r="BV25" s="468">
        <f t="shared" si="38"/>
        <v>6.5600000000000005</v>
      </c>
      <c r="BW25" s="468">
        <f t="shared" si="38"/>
        <v>4.4500000000000011</v>
      </c>
      <c r="BX25" s="328">
        <f t="shared" si="38"/>
        <v>2.11</v>
      </c>
      <c r="BY25" s="838">
        <f t="shared" si="38"/>
        <v>0</v>
      </c>
      <c r="BZ25" s="721">
        <f t="shared" si="38"/>
        <v>0</v>
      </c>
      <c r="CA25" s="721">
        <f t="shared" si="38"/>
        <v>0</v>
      </c>
      <c r="CB25" s="721">
        <f t="shared" si="38"/>
        <v>0</v>
      </c>
      <c r="CC25" s="721">
        <f t="shared" si="38"/>
        <v>0</v>
      </c>
      <c r="CD25" s="826">
        <f t="shared" si="38"/>
        <v>0</v>
      </c>
      <c r="CE25" s="995">
        <f t="shared" si="38"/>
        <v>0</v>
      </c>
      <c r="CF25" s="995">
        <f t="shared" si="38"/>
        <v>0</v>
      </c>
      <c r="CG25" s="995">
        <f t="shared" si="38"/>
        <v>0</v>
      </c>
      <c r="CH25" s="995">
        <f t="shared" ref="CH25:CJ25" si="39">SUM(CH24)</f>
        <v>0</v>
      </c>
      <c r="CI25" s="995">
        <f t="shared" si="39"/>
        <v>0</v>
      </c>
      <c r="CJ25" s="933">
        <f t="shared" si="39"/>
        <v>0</v>
      </c>
    </row>
    <row r="26" spans="1:88" ht="12.95" customHeight="1">
      <c r="A26" s="280">
        <v>5</v>
      </c>
      <c r="B26" s="321">
        <v>5444</v>
      </c>
      <c r="C26" s="322">
        <v>600099296</v>
      </c>
      <c r="D26" s="281">
        <v>854824</v>
      </c>
      <c r="E26" s="323" t="s">
        <v>357</v>
      </c>
      <c r="F26" s="281">
        <v>3113</v>
      </c>
      <c r="G26" s="323" t="s">
        <v>308</v>
      </c>
      <c r="H26" s="284" t="s">
        <v>271</v>
      </c>
      <c r="I26" s="419">
        <v>17721583</v>
      </c>
      <c r="J26" s="414">
        <v>12756713</v>
      </c>
      <c r="K26" s="414">
        <v>10940572</v>
      </c>
      <c r="L26" s="414">
        <v>1816141</v>
      </c>
      <c r="M26" s="414">
        <v>164000</v>
      </c>
      <c r="N26" s="414">
        <v>140000</v>
      </c>
      <c r="O26" s="414">
        <v>24000</v>
      </c>
      <c r="P26" s="68">
        <v>4367202</v>
      </c>
      <c r="Q26" s="68">
        <v>127568</v>
      </c>
      <c r="R26" s="414">
        <v>306100</v>
      </c>
      <c r="S26" s="415">
        <v>20.700400000000002</v>
      </c>
      <c r="T26" s="416">
        <v>15.5181</v>
      </c>
      <c r="U26" s="422">
        <v>5.1822999999999997</v>
      </c>
      <c r="V26" s="423">
        <f t="shared" si="4"/>
        <v>40000</v>
      </c>
      <c r="W26" s="417">
        <f t="shared" si="4"/>
        <v>-27000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5"/>
        <v>40000</v>
      </c>
      <c r="AF26" s="417">
        <f t="shared" si="6"/>
        <v>-27000</v>
      </c>
      <c r="AG26" s="417">
        <f t="shared" si="7"/>
        <v>13000</v>
      </c>
      <c r="AH26" s="417">
        <v>-40000</v>
      </c>
      <c r="AI26" s="417">
        <v>27000</v>
      </c>
      <c r="AJ26" s="417">
        <v>0</v>
      </c>
      <c r="AK26" s="417">
        <v>0</v>
      </c>
      <c r="AL26" s="417">
        <v>0</v>
      </c>
      <c r="AM26" s="417">
        <f t="shared" si="8"/>
        <v>-40000</v>
      </c>
      <c r="AN26" s="417">
        <f t="shared" si="9"/>
        <v>27000</v>
      </c>
      <c r="AO26" s="417">
        <f t="shared" si="10"/>
        <v>-13000</v>
      </c>
      <c r="AP26" s="417">
        <f t="shared" si="11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130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130</v>
      </c>
      <c r="AZ26" s="418">
        <v>0.03</v>
      </c>
      <c r="BA26" s="418">
        <v>-0.04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0.03</v>
      </c>
      <c r="BJ26" s="418">
        <f t="shared" si="18"/>
        <v>-0.04</v>
      </c>
      <c r="BK26" s="420">
        <f t="shared" si="19"/>
        <v>-1.0000000000000002E-2</v>
      </c>
      <c r="BL26" s="772">
        <f t="shared" ref="BL26:BL31" si="40">I26+AY26</f>
        <v>17721713</v>
      </c>
      <c r="BM26" s="417">
        <f t="shared" ref="BM26:BM31" si="41">J26+AG26</f>
        <v>12769713</v>
      </c>
      <c r="BN26" s="417">
        <f t="shared" ref="BN26:BO31" si="42">K26+AE26</f>
        <v>10980572</v>
      </c>
      <c r="BO26" s="417">
        <f t="shared" si="42"/>
        <v>1789141</v>
      </c>
      <c r="BP26" s="417">
        <f t="shared" ref="BP26:BP31" si="43">M26+AO26</f>
        <v>151000</v>
      </c>
      <c r="BQ26" s="417">
        <f t="shared" ref="BQ26:BR31" si="44">N26+AM26</f>
        <v>100000</v>
      </c>
      <c r="BR26" s="417">
        <f t="shared" si="44"/>
        <v>51000</v>
      </c>
      <c r="BS26" s="417">
        <f t="shared" ref="BS26:BT31" si="45">P26+AS26</f>
        <v>4367202</v>
      </c>
      <c r="BT26" s="417">
        <f t="shared" si="45"/>
        <v>127698</v>
      </c>
      <c r="BU26" s="417">
        <f t="shared" ref="BU26:BU31" si="46">R26+AX26</f>
        <v>306100</v>
      </c>
      <c r="BV26" s="418">
        <f t="shared" ref="BV26:BV31" si="47">S26+BK26</f>
        <v>20.6904</v>
      </c>
      <c r="BW26" s="418">
        <f t="shared" ref="BW26:BX31" si="48">T26+BI26</f>
        <v>15.5481</v>
      </c>
      <c r="BX26" s="420">
        <f t="shared" si="48"/>
        <v>5.1422999999999996</v>
      </c>
      <c r="BY26" s="994">
        <v>228082</v>
      </c>
      <c r="BZ26" s="595">
        <v>169200</v>
      </c>
      <c r="CA26" s="595">
        <v>0</v>
      </c>
      <c r="CB26" s="595">
        <v>57190</v>
      </c>
      <c r="CC26" s="595">
        <v>1692</v>
      </c>
      <c r="CD26" s="981">
        <v>0.3</v>
      </c>
      <c r="CE26" s="994">
        <v>866354</v>
      </c>
      <c r="CF26" s="595">
        <v>590554</v>
      </c>
      <c r="CG26" s="595">
        <v>199607</v>
      </c>
      <c r="CH26" s="595">
        <v>5905</v>
      </c>
      <c r="CI26" s="595">
        <v>70288</v>
      </c>
      <c r="CJ26" s="981">
        <v>1.6888999999999998</v>
      </c>
    </row>
    <row r="27" spans="1:88" ht="12.95" customHeight="1">
      <c r="A27" s="280">
        <v>5</v>
      </c>
      <c r="B27" s="321">
        <v>5444</v>
      </c>
      <c r="C27" s="322">
        <v>600099296</v>
      </c>
      <c r="D27" s="281">
        <v>854824</v>
      </c>
      <c r="E27" s="323" t="s">
        <v>357</v>
      </c>
      <c r="F27" s="281">
        <v>3113</v>
      </c>
      <c r="G27" s="323" t="s">
        <v>298</v>
      </c>
      <c r="H27" s="284" t="s">
        <v>272</v>
      </c>
      <c r="I27" s="419">
        <v>1272706</v>
      </c>
      <c r="J27" s="414">
        <v>940843</v>
      </c>
      <c r="K27" s="414">
        <v>940843</v>
      </c>
      <c r="L27" s="414">
        <v>0</v>
      </c>
      <c r="M27" s="414">
        <v>0</v>
      </c>
      <c r="N27" s="414">
        <v>0</v>
      </c>
      <c r="O27" s="414">
        <v>0</v>
      </c>
      <c r="P27" s="68">
        <v>318004</v>
      </c>
      <c r="Q27" s="68">
        <v>9409</v>
      </c>
      <c r="R27" s="414">
        <v>4450</v>
      </c>
      <c r="S27" s="415">
        <v>2.77</v>
      </c>
      <c r="T27" s="416">
        <v>2.77</v>
      </c>
      <c r="U27" s="422">
        <v>0</v>
      </c>
      <c r="V27" s="423">
        <f t="shared" si="4"/>
        <v>0</v>
      </c>
      <c r="W27" s="417">
        <f t="shared" si="4"/>
        <v>0</v>
      </c>
      <c r="X27" s="417">
        <f>33990-8252</f>
        <v>25738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5"/>
        <v>25738</v>
      </c>
      <c r="AF27" s="417">
        <f t="shared" si="6"/>
        <v>0</v>
      </c>
      <c r="AG27" s="417">
        <f t="shared" si="7"/>
        <v>25738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8"/>
        <v>0</v>
      </c>
      <c r="AN27" s="417">
        <f t="shared" si="9"/>
        <v>0</v>
      </c>
      <c r="AO27" s="417">
        <f t="shared" si="10"/>
        <v>0</v>
      </c>
      <c r="AP27" s="417">
        <f t="shared" si="11"/>
        <v>25738</v>
      </c>
      <c r="AQ27" s="417">
        <f t="shared" si="11"/>
        <v>0</v>
      </c>
      <c r="AR27" s="417">
        <f t="shared" si="12"/>
        <v>25738</v>
      </c>
      <c r="AS27" s="68">
        <f t="shared" si="13"/>
        <v>8699</v>
      </c>
      <c r="AT27" s="68">
        <f t="shared" si="14"/>
        <v>257</v>
      </c>
      <c r="AU27" s="417">
        <v>0</v>
      </c>
      <c r="AV27" s="417">
        <v>0</v>
      </c>
      <c r="AW27" s="417">
        <v>0</v>
      </c>
      <c r="AX27" s="417">
        <f t="shared" si="15"/>
        <v>0</v>
      </c>
      <c r="AY27" s="417">
        <f t="shared" si="16"/>
        <v>34694</v>
      </c>
      <c r="AZ27" s="418">
        <v>0.03</v>
      </c>
      <c r="BA27" s="418">
        <v>0</v>
      </c>
      <c r="BB27" s="418">
        <f>0.13-0.02</f>
        <v>0.11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7"/>
        <v>0.14000000000000001</v>
      </c>
      <c r="BJ27" s="418">
        <f t="shared" si="18"/>
        <v>0</v>
      </c>
      <c r="BK27" s="420">
        <f t="shared" si="19"/>
        <v>0.14000000000000001</v>
      </c>
      <c r="BL27" s="772">
        <f t="shared" si="40"/>
        <v>1307400</v>
      </c>
      <c r="BM27" s="417">
        <f t="shared" si="41"/>
        <v>966581</v>
      </c>
      <c r="BN27" s="417">
        <f t="shared" si="42"/>
        <v>966581</v>
      </c>
      <c r="BO27" s="417">
        <f t="shared" si="42"/>
        <v>0</v>
      </c>
      <c r="BP27" s="417">
        <f t="shared" si="43"/>
        <v>0</v>
      </c>
      <c r="BQ27" s="417">
        <f t="shared" si="44"/>
        <v>0</v>
      </c>
      <c r="BR27" s="417">
        <f t="shared" si="44"/>
        <v>0</v>
      </c>
      <c r="BS27" s="417">
        <f t="shared" si="45"/>
        <v>326703</v>
      </c>
      <c r="BT27" s="417">
        <f t="shared" si="45"/>
        <v>9666</v>
      </c>
      <c r="BU27" s="417">
        <f t="shared" si="46"/>
        <v>4450</v>
      </c>
      <c r="BV27" s="418">
        <f t="shared" si="47"/>
        <v>2.91</v>
      </c>
      <c r="BW27" s="418">
        <f t="shared" si="48"/>
        <v>2.91</v>
      </c>
      <c r="BX27" s="420">
        <f t="shared" si="48"/>
        <v>0</v>
      </c>
      <c r="BY27" s="994"/>
      <c r="BZ27" s="595"/>
      <c r="CA27" s="595"/>
      <c r="CB27" s="595"/>
      <c r="CC27" s="595"/>
      <c r="CD27" s="981"/>
      <c r="CE27" s="994"/>
      <c r="CF27" s="595"/>
      <c r="CG27" s="595"/>
      <c r="CH27" s="595"/>
      <c r="CI27" s="595"/>
      <c r="CJ27" s="981"/>
    </row>
    <row r="28" spans="1:88" ht="12.95" customHeight="1">
      <c r="A28" s="280">
        <v>5</v>
      </c>
      <c r="B28" s="321">
        <v>5444</v>
      </c>
      <c r="C28" s="322">
        <v>600099296</v>
      </c>
      <c r="D28" s="281">
        <v>854824</v>
      </c>
      <c r="E28" s="323" t="s">
        <v>357</v>
      </c>
      <c r="F28" s="281">
        <v>3122</v>
      </c>
      <c r="G28" s="323" t="s">
        <v>299</v>
      </c>
      <c r="H28" s="284" t="s">
        <v>271</v>
      </c>
      <c r="I28" s="419">
        <v>10574387</v>
      </c>
      <c r="J28" s="414">
        <v>7656692</v>
      </c>
      <c r="K28" s="414">
        <v>7314644</v>
      </c>
      <c r="L28" s="414">
        <v>342048</v>
      </c>
      <c r="M28" s="414">
        <v>128360</v>
      </c>
      <c r="N28" s="414">
        <v>128360</v>
      </c>
      <c r="O28" s="414">
        <v>0</v>
      </c>
      <c r="P28" s="68">
        <v>2631348</v>
      </c>
      <c r="Q28" s="68">
        <v>76567</v>
      </c>
      <c r="R28" s="414">
        <v>81420</v>
      </c>
      <c r="S28" s="415">
        <v>11.046200000000001</v>
      </c>
      <c r="T28" s="416">
        <v>10.025400000000001</v>
      </c>
      <c r="U28" s="422">
        <v>1.0207999999999999</v>
      </c>
      <c r="V28" s="423">
        <f t="shared" si="4"/>
        <v>50000</v>
      </c>
      <c r="W28" s="417">
        <f t="shared" si="4"/>
        <v>-15000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5"/>
        <v>50000</v>
      </c>
      <c r="AF28" s="417">
        <f t="shared" si="6"/>
        <v>-15000</v>
      </c>
      <c r="AG28" s="417">
        <f t="shared" si="7"/>
        <v>35000</v>
      </c>
      <c r="AH28" s="417">
        <v>-50000</v>
      </c>
      <c r="AI28" s="417">
        <v>15000</v>
      </c>
      <c r="AJ28" s="417">
        <v>0</v>
      </c>
      <c r="AK28" s="417">
        <v>0</v>
      </c>
      <c r="AL28" s="417">
        <v>0</v>
      </c>
      <c r="AM28" s="417">
        <f t="shared" si="8"/>
        <v>-50000</v>
      </c>
      <c r="AN28" s="417">
        <f t="shared" si="9"/>
        <v>15000</v>
      </c>
      <c r="AO28" s="417">
        <f t="shared" si="10"/>
        <v>-35000</v>
      </c>
      <c r="AP28" s="417">
        <f t="shared" si="11"/>
        <v>0</v>
      </c>
      <c r="AQ28" s="417">
        <f t="shared" si="11"/>
        <v>0</v>
      </c>
      <c r="AR28" s="417">
        <f t="shared" si="12"/>
        <v>0</v>
      </c>
      <c r="AS28" s="68">
        <f t="shared" si="13"/>
        <v>0</v>
      </c>
      <c r="AT28" s="68">
        <f t="shared" si="14"/>
        <v>350</v>
      </c>
      <c r="AU28" s="417">
        <v>0</v>
      </c>
      <c r="AV28" s="417">
        <v>0</v>
      </c>
      <c r="AW28" s="417">
        <v>0</v>
      </c>
      <c r="AX28" s="417">
        <f t="shared" si="15"/>
        <v>0</v>
      </c>
      <c r="AY28" s="417">
        <f t="shared" si="16"/>
        <v>350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7"/>
        <v>0</v>
      </c>
      <c r="BJ28" s="418">
        <f t="shared" si="18"/>
        <v>0</v>
      </c>
      <c r="BK28" s="420">
        <f t="shared" si="19"/>
        <v>0</v>
      </c>
      <c r="BL28" s="772">
        <f t="shared" si="40"/>
        <v>10574737</v>
      </c>
      <c r="BM28" s="417">
        <f t="shared" si="41"/>
        <v>7691692</v>
      </c>
      <c r="BN28" s="417">
        <f t="shared" si="42"/>
        <v>7364644</v>
      </c>
      <c r="BO28" s="417">
        <f t="shared" si="42"/>
        <v>327048</v>
      </c>
      <c r="BP28" s="417">
        <f t="shared" si="43"/>
        <v>93360</v>
      </c>
      <c r="BQ28" s="417">
        <f t="shared" si="44"/>
        <v>78360</v>
      </c>
      <c r="BR28" s="417">
        <f t="shared" si="44"/>
        <v>15000</v>
      </c>
      <c r="BS28" s="417">
        <f t="shared" si="45"/>
        <v>2631348</v>
      </c>
      <c r="BT28" s="417">
        <f t="shared" si="45"/>
        <v>76917</v>
      </c>
      <c r="BU28" s="417">
        <f t="shared" si="46"/>
        <v>81420</v>
      </c>
      <c r="BV28" s="418">
        <f t="shared" si="47"/>
        <v>11.046200000000001</v>
      </c>
      <c r="BW28" s="418">
        <f t="shared" si="48"/>
        <v>10.025400000000001</v>
      </c>
      <c r="BX28" s="420">
        <f t="shared" si="48"/>
        <v>1.0207999999999999</v>
      </c>
      <c r="BY28" s="994"/>
      <c r="BZ28" s="595"/>
      <c r="CA28" s="595"/>
      <c r="CB28" s="595"/>
      <c r="CC28" s="595"/>
      <c r="CD28" s="981"/>
      <c r="CE28" s="994">
        <v>175113</v>
      </c>
      <c r="CF28" s="595">
        <v>109772</v>
      </c>
      <c r="CG28" s="595">
        <v>37103</v>
      </c>
      <c r="CH28" s="595">
        <v>1098</v>
      </c>
      <c r="CI28" s="595">
        <v>27140</v>
      </c>
      <c r="CJ28" s="981">
        <v>0.3276</v>
      </c>
    </row>
    <row r="29" spans="1:88" ht="12.95" customHeight="1">
      <c r="A29" s="280">
        <v>5</v>
      </c>
      <c r="B29" s="321">
        <v>5444</v>
      </c>
      <c r="C29" s="322">
        <v>600099296</v>
      </c>
      <c r="D29" s="281">
        <v>854824</v>
      </c>
      <c r="E29" s="323" t="s">
        <v>357</v>
      </c>
      <c r="F29" s="281">
        <v>3141</v>
      </c>
      <c r="G29" s="323" t="s">
        <v>294</v>
      </c>
      <c r="H29" s="284" t="s">
        <v>272</v>
      </c>
      <c r="I29" s="419">
        <v>658844</v>
      </c>
      <c r="J29" s="414">
        <v>483258</v>
      </c>
      <c r="K29" s="414">
        <v>0</v>
      </c>
      <c r="L29" s="414">
        <v>483258</v>
      </c>
      <c r="M29" s="414">
        <v>0</v>
      </c>
      <c r="N29" s="414">
        <v>0</v>
      </c>
      <c r="O29" s="414">
        <v>0</v>
      </c>
      <c r="P29" s="68">
        <v>163341</v>
      </c>
      <c r="Q29" s="68">
        <v>4833</v>
      </c>
      <c r="R29" s="414">
        <v>7412</v>
      </c>
      <c r="S29" s="415">
        <v>1.4466999999999999</v>
      </c>
      <c r="T29" s="416">
        <v>0</v>
      </c>
      <c r="U29" s="422">
        <v>1.4466999999999999</v>
      </c>
      <c r="V29" s="423">
        <f t="shared" si="4"/>
        <v>0</v>
      </c>
      <c r="W29" s="417">
        <f t="shared" si="4"/>
        <v>-18000</v>
      </c>
      <c r="X29" s="417">
        <v>0</v>
      </c>
      <c r="Y29" s="417">
        <v>0</v>
      </c>
      <c r="Z29" s="417">
        <v>0</v>
      </c>
      <c r="AA29" s="417">
        <v>-15957</v>
      </c>
      <c r="AB29" s="417">
        <v>0</v>
      </c>
      <c r="AC29" s="417">
        <v>0</v>
      </c>
      <c r="AD29" s="417">
        <v>0</v>
      </c>
      <c r="AE29" s="417">
        <f t="shared" si="5"/>
        <v>0</v>
      </c>
      <c r="AF29" s="417">
        <f t="shared" si="6"/>
        <v>-33957</v>
      </c>
      <c r="AG29" s="417">
        <f t="shared" si="7"/>
        <v>-33957</v>
      </c>
      <c r="AH29" s="417">
        <v>0</v>
      </c>
      <c r="AI29" s="417">
        <v>18000</v>
      </c>
      <c r="AJ29" s="417">
        <v>0</v>
      </c>
      <c r="AK29" s="417">
        <v>0</v>
      </c>
      <c r="AL29" s="417">
        <v>0</v>
      </c>
      <c r="AM29" s="417">
        <f t="shared" si="8"/>
        <v>0</v>
      </c>
      <c r="AN29" s="417">
        <f t="shared" si="9"/>
        <v>18000</v>
      </c>
      <c r="AO29" s="417">
        <f t="shared" si="10"/>
        <v>18000</v>
      </c>
      <c r="AP29" s="417">
        <f t="shared" si="11"/>
        <v>0</v>
      </c>
      <c r="AQ29" s="417">
        <f t="shared" si="11"/>
        <v>-15957</v>
      </c>
      <c r="AR29" s="417">
        <f t="shared" si="12"/>
        <v>-15957</v>
      </c>
      <c r="AS29" s="68">
        <f t="shared" si="13"/>
        <v>-5393</v>
      </c>
      <c r="AT29" s="68">
        <f t="shared" si="14"/>
        <v>-340</v>
      </c>
      <c r="AU29" s="417">
        <v>0</v>
      </c>
      <c r="AV29" s="417">
        <v>0</v>
      </c>
      <c r="AW29" s="417">
        <v>0</v>
      </c>
      <c r="AX29" s="417">
        <f t="shared" si="15"/>
        <v>0</v>
      </c>
      <c r="AY29" s="417">
        <f t="shared" si="16"/>
        <v>-21690</v>
      </c>
      <c r="AZ29" s="418">
        <v>0</v>
      </c>
      <c r="BA29" s="418">
        <v>0</v>
      </c>
      <c r="BB29" s="418">
        <v>0</v>
      </c>
      <c r="BC29" s="418">
        <v>0</v>
      </c>
      <c r="BD29" s="418">
        <v>-0.04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-0.04</v>
      </c>
      <c r="BK29" s="420">
        <f t="shared" si="19"/>
        <v>-0.04</v>
      </c>
      <c r="BL29" s="772">
        <f t="shared" si="40"/>
        <v>637154</v>
      </c>
      <c r="BM29" s="417">
        <f t="shared" si="41"/>
        <v>449301</v>
      </c>
      <c r="BN29" s="417">
        <f t="shared" si="42"/>
        <v>0</v>
      </c>
      <c r="BO29" s="417">
        <f t="shared" si="42"/>
        <v>449301</v>
      </c>
      <c r="BP29" s="417">
        <f t="shared" si="43"/>
        <v>18000</v>
      </c>
      <c r="BQ29" s="417">
        <f t="shared" si="44"/>
        <v>0</v>
      </c>
      <c r="BR29" s="417">
        <f t="shared" si="44"/>
        <v>18000</v>
      </c>
      <c r="BS29" s="417">
        <f t="shared" si="45"/>
        <v>157948</v>
      </c>
      <c r="BT29" s="417">
        <f t="shared" si="45"/>
        <v>4493</v>
      </c>
      <c r="BU29" s="417">
        <f t="shared" si="46"/>
        <v>7412</v>
      </c>
      <c r="BV29" s="418">
        <f t="shared" si="47"/>
        <v>1.4066999999999998</v>
      </c>
      <c r="BW29" s="418">
        <f t="shared" si="48"/>
        <v>0</v>
      </c>
      <c r="BX29" s="420">
        <f t="shared" si="48"/>
        <v>1.4066999999999998</v>
      </c>
      <c r="BY29" s="994"/>
      <c r="BZ29" s="595"/>
      <c r="CA29" s="595"/>
      <c r="CB29" s="595"/>
      <c r="CC29" s="595"/>
      <c r="CD29" s="981"/>
      <c r="CE29" s="994"/>
      <c r="CF29" s="595"/>
      <c r="CG29" s="595"/>
      <c r="CH29" s="595"/>
      <c r="CI29" s="595"/>
      <c r="CJ29" s="981"/>
    </row>
    <row r="30" spans="1:88" ht="12.95" customHeight="1">
      <c r="A30" s="280">
        <v>5</v>
      </c>
      <c r="B30" s="321">
        <v>5444</v>
      </c>
      <c r="C30" s="322">
        <v>600099296</v>
      </c>
      <c r="D30" s="281">
        <v>854824</v>
      </c>
      <c r="E30" s="323" t="s">
        <v>357</v>
      </c>
      <c r="F30" s="281">
        <v>3143</v>
      </c>
      <c r="G30" s="323" t="s">
        <v>595</v>
      </c>
      <c r="H30" s="284" t="s">
        <v>271</v>
      </c>
      <c r="I30" s="419">
        <v>1765875</v>
      </c>
      <c r="J30" s="414">
        <v>1230590</v>
      </c>
      <c r="K30" s="414">
        <v>1230590</v>
      </c>
      <c r="L30" s="414">
        <v>0</v>
      </c>
      <c r="M30" s="414">
        <v>80000</v>
      </c>
      <c r="N30" s="414">
        <v>80000</v>
      </c>
      <c r="O30" s="414">
        <v>0</v>
      </c>
      <c r="P30" s="68">
        <v>442979</v>
      </c>
      <c r="Q30" s="68">
        <v>12306</v>
      </c>
      <c r="R30" s="414">
        <v>0</v>
      </c>
      <c r="S30" s="415">
        <v>2.7241</v>
      </c>
      <c r="T30" s="416">
        <v>2.7241</v>
      </c>
      <c r="U30" s="422">
        <v>0</v>
      </c>
      <c r="V30" s="423">
        <f t="shared" si="4"/>
        <v>10000</v>
      </c>
      <c r="W30" s="417">
        <f t="shared" si="4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5"/>
        <v>10000</v>
      </c>
      <c r="AF30" s="417">
        <f t="shared" si="6"/>
        <v>0</v>
      </c>
      <c r="AG30" s="417">
        <f t="shared" si="7"/>
        <v>10000</v>
      </c>
      <c r="AH30" s="417">
        <v>-10000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8"/>
        <v>-10000</v>
      </c>
      <c r="AN30" s="417">
        <f t="shared" si="9"/>
        <v>0</v>
      </c>
      <c r="AO30" s="417">
        <f t="shared" si="10"/>
        <v>-10000</v>
      </c>
      <c r="AP30" s="417">
        <f t="shared" si="11"/>
        <v>0</v>
      </c>
      <c r="AQ30" s="417">
        <f t="shared" si="11"/>
        <v>0</v>
      </c>
      <c r="AR30" s="417">
        <f t="shared" si="12"/>
        <v>0</v>
      </c>
      <c r="AS30" s="68">
        <f t="shared" si="13"/>
        <v>0</v>
      </c>
      <c r="AT30" s="68">
        <f t="shared" si="14"/>
        <v>100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100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0</v>
      </c>
      <c r="BK30" s="420">
        <f t="shared" si="19"/>
        <v>0</v>
      </c>
      <c r="BL30" s="772">
        <f t="shared" si="40"/>
        <v>1765975</v>
      </c>
      <c r="BM30" s="417">
        <f t="shared" si="41"/>
        <v>1240590</v>
      </c>
      <c r="BN30" s="417">
        <f t="shared" si="42"/>
        <v>1240590</v>
      </c>
      <c r="BO30" s="417">
        <f t="shared" si="42"/>
        <v>0</v>
      </c>
      <c r="BP30" s="417">
        <f t="shared" si="43"/>
        <v>70000</v>
      </c>
      <c r="BQ30" s="417">
        <f t="shared" si="44"/>
        <v>70000</v>
      </c>
      <c r="BR30" s="417">
        <f t="shared" si="44"/>
        <v>0</v>
      </c>
      <c r="BS30" s="417">
        <f t="shared" si="45"/>
        <v>442979</v>
      </c>
      <c r="BT30" s="417">
        <f t="shared" si="45"/>
        <v>12406</v>
      </c>
      <c r="BU30" s="417">
        <f t="shared" si="46"/>
        <v>0</v>
      </c>
      <c r="BV30" s="418">
        <f t="shared" si="47"/>
        <v>2.7241</v>
      </c>
      <c r="BW30" s="418">
        <f t="shared" si="48"/>
        <v>2.7241</v>
      </c>
      <c r="BX30" s="420">
        <f t="shared" si="48"/>
        <v>0</v>
      </c>
      <c r="BY30" s="994"/>
      <c r="BZ30" s="595"/>
      <c r="CA30" s="595"/>
      <c r="CB30" s="595"/>
      <c r="CC30" s="595"/>
      <c r="CD30" s="981"/>
      <c r="CE30" s="994"/>
      <c r="CF30" s="595"/>
      <c r="CG30" s="595"/>
      <c r="CH30" s="595"/>
      <c r="CI30" s="595"/>
      <c r="CJ30" s="981"/>
    </row>
    <row r="31" spans="1:88" ht="12.95" customHeight="1">
      <c r="A31" s="280">
        <v>5</v>
      </c>
      <c r="B31" s="321">
        <v>5444</v>
      </c>
      <c r="C31" s="322">
        <v>600099296</v>
      </c>
      <c r="D31" s="281">
        <v>854824</v>
      </c>
      <c r="E31" s="323" t="s">
        <v>357</v>
      </c>
      <c r="F31" s="281">
        <v>3143</v>
      </c>
      <c r="G31" s="323" t="s">
        <v>596</v>
      </c>
      <c r="H31" s="284" t="s">
        <v>272</v>
      </c>
      <c r="I31" s="419">
        <v>55325</v>
      </c>
      <c r="J31" s="414">
        <v>39600</v>
      </c>
      <c r="K31" s="414">
        <v>0</v>
      </c>
      <c r="L31" s="414">
        <v>39600</v>
      </c>
      <c r="M31" s="414">
        <v>0</v>
      </c>
      <c r="N31" s="414">
        <v>0</v>
      </c>
      <c r="O31" s="414">
        <v>0</v>
      </c>
      <c r="P31" s="68">
        <v>13385</v>
      </c>
      <c r="Q31" s="68">
        <v>396</v>
      </c>
      <c r="R31" s="414">
        <v>1944</v>
      </c>
      <c r="S31" s="415">
        <v>0.15000000000000002</v>
      </c>
      <c r="T31" s="416">
        <v>0</v>
      </c>
      <c r="U31" s="422">
        <v>0.15000000000000002</v>
      </c>
      <c r="V31" s="423">
        <f t="shared" si="4"/>
        <v>0</v>
      </c>
      <c r="W31" s="417">
        <f t="shared" si="4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5"/>
        <v>0</v>
      </c>
      <c r="AF31" s="417">
        <f t="shared" si="6"/>
        <v>0</v>
      </c>
      <c r="AG31" s="417">
        <f t="shared" si="7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8"/>
        <v>0</v>
      </c>
      <c r="AN31" s="417">
        <f t="shared" si="9"/>
        <v>0</v>
      </c>
      <c r="AO31" s="417">
        <f t="shared" si="10"/>
        <v>0</v>
      </c>
      <c r="AP31" s="417">
        <f t="shared" si="11"/>
        <v>0</v>
      </c>
      <c r="AQ31" s="417">
        <f t="shared" si="11"/>
        <v>0</v>
      </c>
      <c r="AR31" s="417">
        <f t="shared" si="12"/>
        <v>0</v>
      </c>
      <c r="AS31" s="68">
        <f t="shared" si="13"/>
        <v>0</v>
      </c>
      <c r="AT31" s="68">
        <f t="shared" si="14"/>
        <v>0</v>
      </c>
      <c r="AU31" s="417">
        <v>0</v>
      </c>
      <c r="AV31" s="417">
        <v>0</v>
      </c>
      <c r="AW31" s="417">
        <v>0</v>
      </c>
      <c r="AX31" s="417">
        <f t="shared" si="15"/>
        <v>0</v>
      </c>
      <c r="AY31" s="417">
        <f t="shared" si="16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7"/>
        <v>0</v>
      </c>
      <c r="BJ31" s="418">
        <f t="shared" si="18"/>
        <v>0</v>
      </c>
      <c r="BK31" s="420">
        <f t="shared" si="19"/>
        <v>0</v>
      </c>
      <c r="BL31" s="772">
        <f t="shared" si="40"/>
        <v>55325</v>
      </c>
      <c r="BM31" s="417">
        <f t="shared" si="41"/>
        <v>39600</v>
      </c>
      <c r="BN31" s="417">
        <f t="shared" si="42"/>
        <v>0</v>
      </c>
      <c r="BO31" s="417">
        <f t="shared" si="42"/>
        <v>39600</v>
      </c>
      <c r="BP31" s="417">
        <f t="shared" si="43"/>
        <v>0</v>
      </c>
      <c r="BQ31" s="417">
        <f t="shared" si="44"/>
        <v>0</v>
      </c>
      <c r="BR31" s="417">
        <f t="shared" si="44"/>
        <v>0</v>
      </c>
      <c r="BS31" s="417">
        <f t="shared" si="45"/>
        <v>13385</v>
      </c>
      <c r="BT31" s="417">
        <f t="shared" si="45"/>
        <v>396</v>
      </c>
      <c r="BU31" s="417">
        <f t="shared" si="46"/>
        <v>1944</v>
      </c>
      <c r="BV31" s="418">
        <f t="shared" si="47"/>
        <v>0.15000000000000002</v>
      </c>
      <c r="BW31" s="418">
        <f t="shared" si="48"/>
        <v>0</v>
      </c>
      <c r="BX31" s="420">
        <f t="shared" si="48"/>
        <v>0.15000000000000002</v>
      </c>
      <c r="BY31" s="994"/>
      <c r="BZ31" s="595"/>
      <c r="CA31" s="595"/>
      <c r="CB31" s="595"/>
      <c r="CC31" s="595"/>
      <c r="CD31" s="981"/>
      <c r="CE31" s="994"/>
      <c r="CF31" s="595"/>
      <c r="CG31" s="595"/>
      <c r="CH31" s="595"/>
      <c r="CI31" s="595"/>
      <c r="CJ31" s="981"/>
    </row>
    <row r="32" spans="1:88" ht="12.95" customHeight="1">
      <c r="A32" s="324">
        <v>5</v>
      </c>
      <c r="B32" s="325">
        <v>5444</v>
      </c>
      <c r="C32" s="326">
        <v>600099296</v>
      </c>
      <c r="D32" s="325">
        <v>854824</v>
      </c>
      <c r="E32" s="327" t="s">
        <v>358</v>
      </c>
      <c r="F32" s="291"/>
      <c r="G32" s="329"/>
      <c r="H32" s="292"/>
      <c r="I32" s="471">
        <v>32048720</v>
      </c>
      <c r="J32" s="467">
        <v>23107696</v>
      </c>
      <c r="K32" s="467">
        <v>20426649</v>
      </c>
      <c r="L32" s="467">
        <v>2681047</v>
      </c>
      <c r="M32" s="467">
        <v>372360</v>
      </c>
      <c r="N32" s="467">
        <v>348360</v>
      </c>
      <c r="O32" s="467">
        <v>24000</v>
      </c>
      <c r="P32" s="467">
        <v>7936259</v>
      </c>
      <c r="Q32" s="467">
        <v>231079</v>
      </c>
      <c r="R32" s="467">
        <v>401326</v>
      </c>
      <c r="S32" s="468">
        <v>38.837400000000002</v>
      </c>
      <c r="T32" s="468">
        <v>31.037600000000001</v>
      </c>
      <c r="U32" s="531">
        <v>7.7997999999999994</v>
      </c>
      <c r="V32" s="471">
        <f t="shared" ref="V32:BK32" si="49">SUM(V26:V31)</f>
        <v>100000</v>
      </c>
      <c r="W32" s="467">
        <f t="shared" si="49"/>
        <v>-60000</v>
      </c>
      <c r="X32" s="467">
        <f t="shared" si="49"/>
        <v>25738</v>
      </c>
      <c r="Y32" s="467">
        <f t="shared" si="49"/>
        <v>0</v>
      </c>
      <c r="Z32" s="467">
        <f t="shared" si="49"/>
        <v>0</v>
      </c>
      <c r="AA32" s="467">
        <f t="shared" si="49"/>
        <v>-15957</v>
      </c>
      <c r="AB32" s="467">
        <f t="shared" si="49"/>
        <v>0</v>
      </c>
      <c r="AC32" s="467">
        <f t="shared" si="49"/>
        <v>0</v>
      </c>
      <c r="AD32" s="467">
        <f t="shared" si="49"/>
        <v>0</v>
      </c>
      <c r="AE32" s="467">
        <f t="shared" si="49"/>
        <v>125738</v>
      </c>
      <c r="AF32" s="467">
        <f t="shared" si="49"/>
        <v>-75957</v>
      </c>
      <c r="AG32" s="467">
        <f t="shared" si="49"/>
        <v>49781</v>
      </c>
      <c r="AH32" s="467">
        <f t="shared" si="49"/>
        <v>-100000</v>
      </c>
      <c r="AI32" s="467">
        <f t="shared" si="49"/>
        <v>60000</v>
      </c>
      <c r="AJ32" s="467">
        <f t="shared" si="49"/>
        <v>0</v>
      </c>
      <c r="AK32" s="467">
        <f t="shared" si="49"/>
        <v>0</v>
      </c>
      <c r="AL32" s="467">
        <f t="shared" si="49"/>
        <v>0</v>
      </c>
      <c r="AM32" s="467">
        <f t="shared" si="49"/>
        <v>-100000</v>
      </c>
      <c r="AN32" s="467">
        <f t="shared" si="49"/>
        <v>60000</v>
      </c>
      <c r="AO32" s="467">
        <f t="shared" si="49"/>
        <v>-40000</v>
      </c>
      <c r="AP32" s="467">
        <f t="shared" si="49"/>
        <v>25738</v>
      </c>
      <c r="AQ32" s="467">
        <f t="shared" si="49"/>
        <v>-15957</v>
      </c>
      <c r="AR32" s="467">
        <f t="shared" si="49"/>
        <v>9781</v>
      </c>
      <c r="AS32" s="467">
        <f t="shared" si="49"/>
        <v>3306</v>
      </c>
      <c r="AT32" s="467">
        <f t="shared" si="49"/>
        <v>497</v>
      </c>
      <c r="AU32" s="467">
        <f t="shared" si="49"/>
        <v>0</v>
      </c>
      <c r="AV32" s="467">
        <f t="shared" si="49"/>
        <v>0</v>
      </c>
      <c r="AW32" s="467">
        <f t="shared" si="49"/>
        <v>0</v>
      </c>
      <c r="AX32" s="467">
        <f t="shared" si="49"/>
        <v>0</v>
      </c>
      <c r="AY32" s="467">
        <f t="shared" si="49"/>
        <v>13584</v>
      </c>
      <c r="AZ32" s="468">
        <f t="shared" si="49"/>
        <v>0.06</v>
      </c>
      <c r="BA32" s="468">
        <f t="shared" si="49"/>
        <v>-0.04</v>
      </c>
      <c r="BB32" s="468">
        <f t="shared" si="49"/>
        <v>0.11</v>
      </c>
      <c r="BC32" s="468">
        <f t="shared" si="49"/>
        <v>0</v>
      </c>
      <c r="BD32" s="468">
        <f t="shared" si="49"/>
        <v>-0.04</v>
      </c>
      <c r="BE32" s="468">
        <f t="shared" si="49"/>
        <v>0</v>
      </c>
      <c r="BF32" s="468">
        <f t="shared" si="49"/>
        <v>0</v>
      </c>
      <c r="BG32" s="468">
        <f t="shared" si="49"/>
        <v>0</v>
      </c>
      <c r="BH32" s="468">
        <f t="shared" si="49"/>
        <v>0</v>
      </c>
      <c r="BI32" s="468">
        <f t="shared" si="49"/>
        <v>0.17</v>
      </c>
      <c r="BJ32" s="468">
        <f t="shared" si="49"/>
        <v>-0.08</v>
      </c>
      <c r="BK32" s="328">
        <f t="shared" si="49"/>
        <v>0.09</v>
      </c>
      <c r="BL32" s="774">
        <f t="shared" ref="BL32:CG32" si="50">SUM(BL26:BL31)</f>
        <v>32062304</v>
      </c>
      <c r="BM32" s="467">
        <f t="shared" si="50"/>
        <v>23157477</v>
      </c>
      <c r="BN32" s="467">
        <f t="shared" si="50"/>
        <v>20552387</v>
      </c>
      <c r="BO32" s="467">
        <f t="shared" si="50"/>
        <v>2605090</v>
      </c>
      <c r="BP32" s="467">
        <f t="shared" si="50"/>
        <v>332360</v>
      </c>
      <c r="BQ32" s="467">
        <f t="shared" si="50"/>
        <v>248360</v>
      </c>
      <c r="BR32" s="467">
        <f t="shared" si="50"/>
        <v>84000</v>
      </c>
      <c r="BS32" s="467">
        <f t="shared" si="50"/>
        <v>7939565</v>
      </c>
      <c r="BT32" s="467">
        <f t="shared" si="50"/>
        <v>231576</v>
      </c>
      <c r="BU32" s="467">
        <f t="shared" si="50"/>
        <v>401326</v>
      </c>
      <c r="BV32" s="468">
        <f t="shared" si="50"/>
        <v>38.927399999999999</v>
      </c>
      <c r="BW32" s="468">
        <f t="shared" si="50"/>
        <v>31.207600000000003</v>
      </c>
      <c r="BX32" s="328">
        <f t="shared" si="50"/>
        <v>7.7198000000000002</v>
      </c>
      <c r="BY32" s="838">
        <f t="shared" si="50"/>
        <v>228082</v>
      </c>
      <c r="BZ32" s="721">
        <f t="shared" si="50"/>
        <v>169200</v>
      </c>
      <c r="CA32" s="721">
        <f t="shared" si="50"/>
        <v>0</v>
      </c>
      <c r="CB32" s="721">
        <f t="shared" si="50"/>
        <v>57190</v>
      </c>
      <c r="CC32" s="721">
        <f t="shared" si="50"/>
        <v>1692</v>
      </c>
      <c r="CD32" s="826">
        <f t="shared" si="50"/>
        <v>0.3</v>
      </c>
      <c r="CE32" s="995">
        <f t="shared" si="50"/>
        <v>1041467</v>
      </c>
      <c r="CF32" s="995">
        <f t="shared" si="50"/>
        <v>700326</v>
      </c>
      <c r="CG32" s="995">
        <f t="shared" si="50"/>
        <v>236710</v>
      </c>
      <c r="CH32" s="995">
        <f t="shared" ref="CH32:CJ32" si="51">SUM(CH26:CH31)</f>
        <v>7003</v>
      </c>
      <c r="CI32" s="995">
        <f t="shared" si="51"/>
        <v>97428</v>
      </c>
      <c r="CJ32" s="933">
        <f t="shared" si="51"/>
        <v>2.0164999999999997</v>
      </c>
    </row>
    <row r="33" spans="1:88" ht="12.95" customHeight="1">
      <c r="A33" s="280">
        <v>6</v>
      </c>
      <c r="B33" s="321">
        <v>5449</v>
      </c>
      <c r="C33" s="322">
        <v>600099458</v>
      </c>
      <c r="D33" s="281">
        <v>70188408</v>
      </c>
      <c r="E33" s="323" t="s">
        <v>359</v>
      </c>
      <c r="F33" s="281">
        <v>3114</v>
      </c>
      <c r="G33" s="331" t="s">
        <v>525</v>
      </c>
      <c r="H33" s="284" t="s">
        <v>271</v>
      </c>
      <c r="I33" s="419">
        <v>12640768</v>
      </c>
      <c r="J33" s="414">
        <v>9101219</v>
      </c>
      <c r="K33" s="414">
        <v>7962926</v>
      </c>
      <c r="L33" s="414">
        <v>1138293</v>
      </c>
      <c r="M33" s="414">
        <v>195920</v>
      </c>
      <c r="N33" s="414">
        <v>155920</v>
      </c>
      <c r="O33" s="414">
        <v>40000</v>
      </c>
      <c r="P33" s="68">
        <v>3142433</v>
      </c>
      <c r="Q33" s="68">
        <v>91011</v>
      </c>
      <c r="R33" s="414">
        <v>110185</v>
      </c>
      <c r="S33" s="415">
        <v>13.631499999999999</v>
      </c>
      <c r="T33" s="416">
        <v>10.374599999999999</v>
      </c>
      <c r="U33" s="422">
        <v>3.2568999999999999</v>
      </c>
      <c r="V33" s="423">
        <f t="shared" si="4"/>
        <v>95920</v>
      </c>
      <c r="W33" s="417">
        <f t="shared" si="4"/>
        <v>-30000</v>
      </c>
      <c r="X33" s="417">
        <v>0</v>
      </c>
      <c r="Y33" s="417">
        <v>0</v>
      </c>
      <c r="Z33" s="417">
        <v>326000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5"/>
        <v>421920</v>
      </c>
      <c r="AF33" s="417">
        <f t="shared" si="6"/>
        <v>-30000</v>
      </c>
      <c r="AG33" s="417">
        <f t="shared" si="7"/>
        <v>391920</v>
      </c>
      <c r="AH33" s="417">
        <v>-95920</v>
      </c>
      <c r="AI33" s="417">
        <v>30000</v>
      </c>
      <c r="AJ33" s="417">
        <v>0</v>
      </c>
      <c r="AK33" s="417">
        <v>0</v>
      </c>
      <c r="AL33" s="417">
        <v>0</v>
      </c>
      <c r="AM33" s="417">
        <f t="shared" si="8"/>
        <v>-95920</v>
      </c>
      <c r="AN33" s="417">
        <f t="shared" si="9"/>
        <v>30000</v>
      </c>
      <c r="AO33" s="417">
        <f t="shared" si="10"/>
        <v>-65920</v>
      </c>
      <c r="AP33" s="417">
        <f t="shared" si="11"/>
        <v>326000</v>
      </c>
      <c r="AQ33" s="417">
        <f t="shared" si="11"/>
        <v>0</v>
      </c>
      <c r="AR33" s="417">
        <f t="shared" si="12"/>
        <v>326000</v>
      </c>
      <c r="AS33" s="68">
        <f t="shared" si="13"/>
        <v>110188</v>
      </c>
      <c r="AT33" s="68">
        <f t="shared" si="14"/>
        <v>3919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440107</v>
      </c>
      <c r="AZ33" s="418">
        <v>-0.01</v>
      </c>
      <c r="BA33" s="418">
        <v>-0.09</v>
      </c>
      <c r="BB33" s="418">
        <v>0</v>
      </c>
      <c r="BC33" s="418">
        <v>0.63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0.62</v>
      </c>
      <c r="BJ33" s="418">
        <f t="shared" si="18"/>
        <v>-0.09</v>
      </c>
      <c r="BK33" s="420">
        <f t="shared" si="19"/>
        <v>0.53</v>
      </c>
      <c r="BL33" s="772">
        <f>I33+AY33</f>
        <v>13080875</v>
      </c>
      <c r="BM33" s="417">
        <f>J33+AG33</f>
        <v>9493139</v>
      </c>
      <c r="BN33" s="417">
        <f t="shared" ref="BN33:BO37" si="52">K33+AE33</f>
        <v>8384846</v>
      </c>
      <c r="BO33" s="417">
        <f t="shared" si="52"/>
        <v>1108293</v>
      </c>
      <c r="BP33" s="417">
        <f>M33+AO33</f>
        <v>130000</v>
      </c>
      <c r="BQ33" s="417">
        <f t="shared" ref="BQ33:BR37" si="53">N33+AM33</f>
        <v>60000</v>
      </c>
      <c r="BR33" s="417">
        <f t="shared" si="53"/>
        <v>70000</v>
      </c>
      <c r="BS33" s="417">
        <f t="shared" ref="BS33:BT37" si="54">P33+AS33</f>
        <v>3252621</v>
      </c>
      <c r="BT33" s="417">
        <f t="shared" si="54"/>
        <v>94930</v>
      </c>
      <c r="BU33" s="417">
        <f>R33+AX33</f>
        <v>110185</v>
      </c>
      <c r="BV33" s="418">
        <f>S33+BK33</f>
        <v>14.161499999999998</v>
      </c>
      <c r="BW33" s="418">
        <f t="shared" ref="BW33:BX37" si="55">T33+BI33</f>
        <v>10.994599999999998</v>
      </c>
      <c r="BX33" s="420">
        <f t="shared" si="55"/>
        <v>3.1669</v>
      </c>
      <c r="BY33" s="994"/>
      <c r="BZ33" s="595"/>
      <c r="CA33" s="595"/>
      <c r="CB33" s="595"/>
      <c r="CC33" s="595"/>
      <c r="CD33" s="981"/>
      <c r="CE33" s="994">
        <v>537767</v>
      </c>
      <c r="CF33" s="595">
        <v>378099</v>
      </c>
      <c r="CG33" s="595">
        <v>127797</v>
      </c>
      <c r="CH33" s="595">
        <v>3781</v>
      </c>
      <c r="CI33" s="595">
        <v>28090</v>
      </c>
      <c r="CJ33" s="981">
        <v>1.0836000000000001</v>
      </c>
    </row>
    <row r="34" spans="1:88" ht="12.95" customHeight="1">
      <c r="A34" s="280">
        <v>6</v>
      </c>
      <c r="B34" s="321">
        <v>5449</v>
      </c>
      <c r="C34" s="322">
        <v>600099458</v>
      </c>
      <c r="D34" s="281">
        <v>70188408</v>
      </c>
      <c r="E34" s="323" t="s">
        <v>359</v>
      </c>
      <c r="F34" s="281">
        <v>3114</v>
      </c>
      <c r="G34" s="331" t="s">
        <v>292</v>
      </c>
      <c r="H34" s="284" t="s">
        <v>271</v>
      </c>
      <c r="I34" s="419">
        <v>2241692</v>
      </c>
      <c r="J34" s="414">
        <v>1662976</v>
      </c>
      <c r="K34" s="414">
        <v>1662976</v>
      </c>
      <c r="L34" s="414">
        <v>0</v>
      </c>
      <c r="M34" s="414">
        <v>0</v>
      </c>
      <c r="N34" s="414">
        <v>0</v>
      </c>
      <c r="O34" s="414">
        <v>0</v>
      </c>
      <c r="P34" s="68">
        <v>562086</v>
      </c>
      <c r="Q34" s="68">
        <v>16630</v>
      </c>
      <c r="R34" s="414">
        <v>0</v>
      </c>
      <c r="S34" s="415">
        <v>3.9666000000000001</v>
      </c>
      <c r="T34" s="416">
        <v>3.9666000000000001</v>
      </c>
      <c r="U34" s="422">
        <v>0</v>
      </c>
      <c r="V34" s="423">
        <f t="shared" si="4"/>
        <v>0</v>
      </c>
      <c r="W34" s="417">
        <f t="shared" si="4"/>
        <v>0</v>
      </c>
      <c r="X34" s="417">
        <v>0</v>
      </c>
      <c r="Y34" s="417">
        <v>0</v>
      </c>
      <c r="Z34" s="417">
        <v>34248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5"/>
        <v>34248</v>
      </c>
      <c r="AF34" s="417">
        <f t="shared" si="6"/>
        <v>0</v>
      </c>
      <c r="AG34" s="417">
        <f t="shared" si="7"/>
        <v>34248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8"/>
        <v>0</v>
      </c>
      <c r="AN34" s="417">
        <f t="shared" si="9"/>
        <v>0</v>
      </c>
      <c r="AO34" s="417">
        <f t="shared" si="10"/>
        <v>0</v>
      </c>
      <c r="AP34" s="417">
        <f t="shared" si="11"/>
        <v>34248</v>
      </c>
      <c r="AQ34" s="417">
        <f t="shared" si="11"/>
        <v>0</v>
      </c>
      <c r="AR34" s="417">
        <f t="shared" si="12"/>
        <v>34248</v>
      </c>
      <c r="AS34" s="68">
        <f t="shared" si="13"/>
        <v>11576</v>
      </c>
      <c r="AT34" s="68">
        <f t="shared" si="14"/>
        <v>342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46166</v>
      </c>
      <c r="AZ34" s="418">
        <v>0</v>
      </c>
      <c r="BA34" s="418">
        <v>0</v>
      </c>
      <c r="BB34" s="418">
        <v>0</v>
      </c>
      <c r="BC34" s="418">
        <v>0.09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0.09</v>
      </c>
      <c r="BJ34" s="418">
        <f t="shared" si="18"/>
        <v>0</v>
      </c>
      <c r="BK34" s="420">
        <f t="shared" si="19"/>
        <v>0.09</v>
      </c>
      <c r="BL34" s="772">
        <f>I34+AY34</f>
        <v>2287858</v>
      </c>
      <c r="BM34" s="417">
        <f>J34+AG34</f>
        <v>1697224</v>
      </c>
      <c r="BN34" s="417">
        <f t="shared" si="52"/>
        <v>1697224</v>
      </c>
      <c r="BO34" s="417">
        <f t="shared" si="52"/>
        <v>0</v>
      </c>
      <c r="BP34" s="417">
        <f>M34+AO34</f>
        <v>0</v>
      </c>
      <c r="BQ34" s="417">
        <f t="shared" si="53"/>
        <v>0</v>
      </c>
      <c r="BR34" s="417">
        <f t="shared" si="53"/>
        <v>0</v>
      </c>
      <c r="BS34" s="417">
        <f t="shared" si="54"/>
        <v>573662</v>
      </c>
      <c r="BT34" s="417">
        <f t="shared" si="54"/>
        <v>16972</v>
      </c>
      <c r="BU34" s="417">
        <f>R34+AX34</f>
        <v>0</v>
      </c>
      <c r="BV34" s="418">
        <f>S34+BK34</f>
        <v>4.0566000000000004</v>
      </c>
      <c r="BW34" s="418">
        <f t="shared" si="55"/>
        <v>4.0566000000000004</v>
      </c>
      <c r="BX34" s="420">
        <f t="shared" si="55"/>
        <v>0</v>
      </c>
      <c r="BY34" s="994"/>
      <c r="BZ34" s="595"/>
      <c r="CA34" s="595"/>
      <c r="CB34" s="595"/>
      <c r="CC34" s="595"/>
      <c r="CD34" s="981"/>
      <c r="CE34" s="994"/>
      <c r="CF34" s="595"/>
      <c r="CG34" s="595"/>
      <c r="CH34" s="595"/>
      <c r="CI34" s="595"/>
      <c r="CJ34" s="981"/>
    </row>
    <row r="35" spans="1:88" ht="12.95" customHeight="1">
      <c r="A35" s="280">
        <v>6</v>
      </c>
      <c r="B35" s="321">
        <v>5449</v>
      </c>
      <c r="C35" s="322">
        <v>600099458</v>
      </c>
      <c r="D35" s="281">
        <v>70188408</v>
      </c>
      <c r="E35" s="323" t="s">
        <v>359</v>
      </c>
      <c r="F35" s="281">
        <v>3143</v>
      </c>
      <c r="G35" s="323" t="s">
        <v>595</v>
      </c>
      <c r="H35" s="284" t="s">
        <v>271</v>
      </c>
      <c r="I35" s="419">
        <v>522330</v>
      </c>
      <c r="J35" s="414">
        <v>387485</v>
      </c>
      <c r="K35" s="414">
        <v>387485</v>
      </c>
      <c r="L35" s="414">
        <v>0</v>
      </c>
      <c r="M35" s="414">
        <v>0</v>
      </c>
      <c r="N35" s="414">
        <v>0</v>
      </c>
      <c r="O35" s="414">
        <v>0</v>
      </c>
      <c r="P35" s="68">
        <v>130970</v>
      </c>
      <c r="Q35" s="68">
        <v>3875</v>
      </c>
      <c r="R35" s="414">
        <v>0</v>
      </c>
      <c r="S35" s="415">
        <v>0.83330000000000004</v>
      </c>
      <c r="T35" s="416">
        <v>0.83330000000000004</v>
      </c>
      <c r="U35" s="422">
        <v>0</v>
      </c>
      <c r="V35" s="423">
        <f t="shared" si="4"/>
        <v>0</v>
      </c>
      <c r="W35" s="417">
        <f t="shared" si="4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5"/>
        <v>0</v>
      </c>
      <c r="AF35" s="417">
        <f t="shared" si="6"/>
        <v>0</v>
      </c>
      <c r="AG35" s="417">
        <f t="shared" si="7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8"/>
        <v>0</v>
      </c>
      <c r="AN35" s="417">
        <f t="shared" si="9"/>
        <v>0</v>
      </c>
      <c r="AO35" s="417">
        <f t="shared" si="10"/>
        <v>0</v>
      </c>
      <c r="AP35" s="417">
        <f t="shared" si="11"/>
        <v>0</v>
      </c>
      <c r="AQ35" s="417">
        <f t="shared" si="11"/>
        <v>0</v>
      </c>
      <c r="AR35" s="417">
        <f t="shared" si="12"/>
        <v>0</v>
      </c>
      <c r="AS35" s="68">
        <f t="shared" si="13"/>
        <v>0</v>
      </c>
      <c r="AT35" s="68">
        <f t="shared" si="14"/>
        <v>0</v>
      </c>
      <c r="AU35" s="417">
        <v>0</v>
      </c>
      <c r="AV35" s="417">
        <v>0</v>
      </c>
      <c r="AW35" s="417">
        <v>0</v>
      </c>
      <c r="AX35" s="417">
        <f t="shared" si="15"/>
        <v>0</v>
      </c>
      <c r="AY35" s="417">
        <f t="shared" si="16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7"/>
        <v>0</v>
      </c>
      <c r="BJ35" s="418">
        <f t="shared" si="18"/>
        <v>0</v>
      </c>
      <c r="BK35" s="420">
        <f t="shared" si="19"/>
        <v>0</v>
      </c>
      <c r="BL35" s="772">
        <f>I35+AY35</f>
        <v>522330</v>
      </c>
      <c r="BM35" s="417">
        <f>J35+AG35</f>
        <v>387485</v>
      </c>
      <c r="BN35" s="417">
        <f t="shared" si="52"/>
        <v>387485</v>
      </c>
      <c r="BO35" s="417">
        <f t="shared" si="52"/>
        <v>0</v>
      </c>
      <c r="BP35" s="417">
        <f>M35+AO35</f>
        <v>0</v>
      </c>
      <c r="BQ35" s="417">
        <f t="shared" si="53"/>
        <v>0</v>
      </c>
      <c r="BR35" s="417">
        <f t="shared" si="53"/>
        <v>0</v>
      </c>
      <c r="BS35" s="417">
        <f t="shared" si="54"/>
        <v>130970</v>
      </c>
      <c r="BT35" s="417">
        <f t="shared" si="54"/>
        <v>3875</v>
      </c>
      <c r="BU35" s="417">
        <f>R35+AX35</f>
        <v>0</v>
      </c>
      <c r="BV35" s="418">
        <f>S35+BK35</f>
        <v>0.83330000000000004</v>
      </c>
      <c r="BW35" s="418">
        <f t="shared" si="55"/>
        <v>0.83330000000000004</v>
      </c>
      <c r="BX35" s="420">
        <f t="shared" si="55"/>
        <v>0</v>
      </c>
      <c r="BY35" s="994"/>
      <c r="BZ35" s="595"/>
      <c r="CA35" s="595"/>
      <c r="CB35" s="595"/>
      <c r="CC35" s="595"/>
      <c r="CD35" s="981"/>
      <c r="CE35" s="994"/>
      <c r="CF35" s="595"/>
      <c r="CG35" s="595"/>
      <c r="CH35" s="595"/>
      <c r="CI35" s="595"/>
      <c r="CJ35" s="981"/>
    </row>
    <row r="36" spans="1:88" ht="12.95" customHeight="1">
      <c r="A36" s="280">
        <v>6</v>
      </c>
      <c r="B36" s="321">
        <v>5449</v>
      </c>
      <c r="C36" s="322">
        <v>600099458</v>
      </c>
      <c r="D36" s="281">
        <v>70188408</v>
      </c>
      <c r="E36" s="323" t="s">
        <v>359</v>
      </c>
      <c r="F36" s="281">
        <v>3143</v>
      </c>
      <c r="G36" s="323" t="s">
        <v>765</v>
      </c>
      <c r="H36" s="284" t="s">
        <v>271</v>
      </c>
      <c r="I36" s="419">
        <v>202672</v>
      </c>
      <c r="J36" s="414">
        <v>150350</v>
      </c>
      <c r="K36" s="414">
        <v>150350</v>
      </c>
      <c r="L36" s="414">
        <v>0</v>
      </c>
      <c r="M36" s="414">
        <v>0</v>
      </c>
      <c r="N36" s="414">
        <v>0</v>
      </c>
      <c r="O36" s="414">
        <v>0</v>
      </c>
      <c r="P36" s="68">
        <v>50818</v>
      </c>
      <c r="Q36" s="68">
        <v>1504</v>
      </c>
      <c r="R36" s="414">
        <v>0</v>
      </c>
      <c r="S36" s="415">
        <v>0.41670000000000001</v>
      </c>
      <c r="T36" s="416">
        <v>0.41670000000000001</v>
      </c>
      <c r="U36" s="422">
        <v>0</v>
      </c>
      <c r="V36" s="423">
        <f t="shared" si="4"/>
        <v>0</v>
      </c>
      <c r="W36" s="417">
        <f t="shared" si="4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5"/>
        <v>0</v>
      </c>
      <c r="AF36" s="417">
        <f t="shared" si="6"/>
        <v>0</v>
      </c>
      <c r="AG36" s="417">
        <f t="shared" si="7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8"/>
        <v>0</v>
      </c>
      <c r="AN36" s="417">
        <f t="shared" si="9"/>
        <v>0</v>
      </c>
      <c r="AO36" s="417">
        <f t="shared" si="10"/>
        <v>0</v>
      </c>
      <c r="AP36" s="417">
        <f t="shared" si="11"/>
        <v>0</v>
      </c>
      <c r="AQ36" s="417">
        <f t="shared" si="11"/>
        <v>0</v>
      </c>
      <c r="AR36" s="417">
        <f t="shared" si="12"/>
        <v>0</v>
      </c>
      <c r="AS36" s="68">
        <f t="shared" si="13"/>
        <v>0</v>
      </c>
      <c r="AT36" s="68">
        <f t="shared" si="14"/>
        <v>0</v>
      </c>
      <c r="AU36" s="417">
        <v>0</v>
      </c>
      <c r="AV36" s="417">
        <v>0</v>
      </c>
      <c r="AW36" s="417">
        <v>0</v>
      </c>
      <c r="AX36" s="417">
        <f t="shared" si="15"/>
        <v>0</v>
      </c>
      <c r="AY36" s="417">
        <f t="shared" si="16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</v>
      </c>
      <c r="BK36" s="420">
        <f t="shared" si="19"/>
        <v>0</v>
      </c>
      <c r="BL36" s="772">
        <f>I36+AY36</f>
        <v>202672</v>
      </c>
      <c r="BM36" s="417">
        <f>J36+AG36</f>
        <v>150350</v>
      </c>
      <c r="BN36" s="417">
        <f t="shared" si="52"/>
        <v>150350</v>
      </c>
      <c r="BO36" s="417">
        <f t="shared" si="52"/>
        <v>0</v>
      </c>
      <c r="BP36" s="417">
        <f>M36+AO36</f>
        <v>0</v>
      </c>
      <c r="BQ36" s="417">
        <f t="shared" si="53"/>
        <v>0</v>
      </c>
      <c r="BR36" s="417">
        <f t="shared" si="53"/>
        <v>0</v>
      </c>
      <c r="BS36" s="417">
        <f t="shared" si="54"/>
        <v>50818</v>
      </c>
      <c r="BT36" s="417">
        <f t="shared" si="54"/>
        <v>1504</v>
      </c>
      <c r="BU36" s="417">
        <f>R36+AX36</f>
        <v>0</v>
      </c>
      <c r="BV36" s="418">
        <f>S36+BK36</f>
        <v>0.41670000000000001</v>
      </c>
      <c r="BW36" s="418">
        <f t="shared" si="55"/>
        <v>0.41670000000000001</v>
      </c>
      <c r="BX36" s="420">
        <f t="shared" si="55"/>
        <v>0</v>
      </c>
      <c r="BY36" s="994"/>
      <c r="BZ36" s="595"/>
      <c r="CA36" s="595"/>
      <c r="CB36" s="595"/>
      <c r="CC36" s="595"/>
      <c r="CD36" s="981"/>
      <c r="CE36" s="994"/>
      <c r="CF36" s="595"/>
      <c r="CG36" s="595"/>
      <c r="CH36" s="595"/>
      <c r="CI36" s="595"/>
      <c r="CJ36" s="981"/>
    </row>
    <row r="37" spans="1:88" ht="12.95" customHeight="1">
      <c r="A37" s="280">
        <v>6</v>
      </c>
      <c r="B37" s="321">
        <v>5449</v>
      </c>
      <c r="C37" s="322">
        <v>600099458</v>
      </c>
      <c r="D37" s="281">
        <v>70188408</v>
      </c>
      <c r="E37" s="323" t="s">
        <v>359</v>
      </c>
      <c r="F37" s="281">
        <v>3143</v>
      </c>
      <c r="G37" s="323" t="s">
        <v>596</v>
      </c>
      <c r="H37" s="284" t="s">
        <v>272</v>
      </c>
      <c r="I37" s="419">
        <v>9990</v>
      </c>
      <c r="J37" s="414">
        <v>7150</v>
      </c>
      <c r="K37" s="414">
        <v>0</v>
      </c>
      <c r="L37" s="414">
        <v>7150</v>
      </c>
      <c r="M37" s="414">
        <v>0</v>
      </c>
      <c r="N37" s="414">
        <v>0</v>
      </c>
      <c r="O37" s="414">
        <v>0</v>
      </c>
      <c r="P37" s="68">
        <v>2417</v>
      </c>
      <c r="Q37" s="68">
        <v>72</v>
      </c>
      <c r="R37" s="414">
        <v>351</v>
      </c>
      <c r="S37" s="415">
        <v>2.81E-2</v>
      </c>
      <c r="T37" s="416">
        <v>0</v>
      </c>
      <c r="U37" s="422">
        <v>2.81E-2</v>
      </c>
      <c r="V37" s="423">
        <f t="shared" si="4"/>
        <v>0</v>
      </c>
      <c r="W37" s="417">
        <f t="shared" si="4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5"/>
        <v>0</v>
      </c>
      <c r="AF37" s="417">
        <f t="shared" si="6"/>
        <v>0</v>
      </c>
      <c r="AG37" s="417">
        <f t="shared" si="7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8"/>
        <v>0</v>
      </c>
      <c r="AN37" s="417">
        <f t="shared" si="9"/>
        <v>0</v>
      </c>
      <c r="AO37" s="417">
        <f t="shared" si="10"/>
        <v>0</v>
      </c>
      <c r="AP37" s="417">
        <f t="shared" si="11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>I37+AY37</f>
        <v>9990</v>
      </c>
      <c r="BM37" s="417">
        <f>J37+AG37</f>
        <v>7150</v>
      </c>
      <c r="BN37" s="417">
        <f t="shared" si="52"/>
        <v>0</v>
      </c>
      <c r="BO37" s="417">
        <f t="shared" si="52"/>
        <v>7150</v>
      </c>
      <c r="BP37" s="417">
        <f>M37+AO37</f>
        <v>0</v>
      </c>
      <c r="BQ37" s="417">
        <f t="shared" si="53"/>
        <v>0</v>
      </c>
      <c r="BR37" s="417">
        <f t="shared" si="53"/>
        <v>0</v>
      </c>
      <c r="BS37" s="417">
        <f t="shared" si="54"/>
        <v>2417</v>
      </c>
      <c r="BT37" s="417">
        <f t="shared" si="54"/>
        <v>72</v>
      </c>
      <c r="BU37" s="417">
        <f>R37+AX37</f>
        <v>351</v>
      </c>
      <c r="BV37" s="418">
        <f>S37+BK37</f>
        <v>2.81E-2</v>
      </c>
      <c r="BW37" s="418">
        <f t="shared" si="55"/>
        <v>0</v>
      </c>
      <c r="BX37" s="420">
        <f t="shared" si="55"/>
        <v>2.81E-2</v>
      </c>
      <c r="BY37" s="994"/>
      <c r="BZ37" s="595"/>
      <c r="CA37" s="595"/>
      <c r="CB37" s="595"/>
      <c r="CC37" s="595"/>
      <c r="CD37" s="981"/>
      <c r="CE37" s="994"/>
      <c r="CF37" s="595"/>
      <c r="CG37" s="595"/>
      <c r="CH37" s="595"/>
      <c r="CI37" s="595"/>
      <c r="CJ37" s="981"/>
    </row>
    <row r="38" spans="1:88" ht="12.95" customHeight="1">
      <c r="A38" s="324">
        <v>6</v>
      </c>
      <c r="B38" s="325">
        <v>5449</v>
      </c>
      <c r="C38" s="326">
        <v>600099458</v>
      </c>
      <c r="D38" s="325">
        <v>70188408</v>
      </c>
      <c r="E38" s="327" t="s">
        <v>360</v>
      </c>
      <c r="F38" s="291"/>
      <c r="G38" s="329"/>
      <c r="H38" s="292"/>
      <c r="I38" s="471">
        <v>15617452</v>
      </c>
      <c r="J38" s="467">
        <v>11309180</v>
      </c>
      <c r="K38" s="467">
        <v>10163737</v>
      </c>
      <c r="L38" s="467">
        <v>1145443</v>
      </c>
      <c r="M38" s="467">
        <v>195920</v>
      </c>
      <c r="N38" s="467">
        <v>155920</v>
      </c>
      <c r="O38" s="467">
        <v>40000</v>
      </c>
      <c r="P38" s="467">
        <v>3888724</v>
      </c>
      <c r="Q38" s="467">
        <v>113092</v>
      </c>
      <c r="R38" s="467">
        <v>110536</v>
      </c>
      <c r="S38" s="468">
        <v>18.876199999999997</v>
      </c>
      <c r="T38" s="468">
        <v>15.591199999999999</v>
      </c>
      <c r="U38" s="531">
        <v>3.2849999999999997</v>
      </c>
      <c r="V38" s="471">
        <f t="shared" ref="V38:BK38" si="56">SUM(V33:V37)</f>
        <v>95920</v>
      </c>
      <c r="W38" s="467">
        <f t="shared" si="56"/>
        <v>-30000</v>
      </c>
      <c r="X38" s="467">
        <f t="shared" si="56"/>
        <v>0</v>
      </c>
      <c r="Y38" s="467">
        <f t="shared" si="56"/>
        <v>0</v>
      </c>
      <c r="Z38" s="467">
        <f t="shared" si="56"/>
        <v>360248</v>
      </c>
      <c r="AA38" s="467">
        <f t="shared" si="56"/>
        <v>0</v>
      </c>
      <c r="AB38" s="467">
        <f t="shared" si="56"/>
        <v>0</v>
      </c>
      <c r="AC38" s="467">
        <f t="shared" si="56"/>
        <v>0</v>
      </c>
      <c r="AD38" s="467">
        <f t="shared" si="56"/>
        <v>0</v>
      </c>
      <c r="AE38" s="467">
        <f t="shared" si="56"/>
        <v>456168</v>
      </c>
      <c r="AF38" s="467">
        <f t="shared" si="56"/>
        <v>-30000</v>
      </c>
      <c r="AG38" s="467">
        <f t="shared" si="56"/>
        <v>426168</v>
      </c>
      <c r="AH38" s="467">
        <f t="shared" si="56"/>
        <v>-95920</v>
      </c>
      <c r="AI38" s="467">
        <f t="shared" si="56"/>
        <v>30000</v>
      </c>
      <c r="AJ38" s="467">
        <f t="shared" si="56"/>
        <v>0</v>
      </c>
      <c r="AK38" s="467">
        <f t="shared" si="56"/>
        <v>0</v>
      </c>
      <c r="AL38" s="467">
        <f t="shared" si="56"/>
        <v>0</v>
      </c>
      <c r="AM38" s="467">
        <f t="shared" si="56"/>
        <v>-95920</v>
      </c>
      <c r="AN38" s="467">
        <f t="shared" si="56"/>
        <v>30000</v>
      </c>
      <c r="AO38" s="467">
        <f t="shared" si="56"/>
        <v>-65920</v>
      </c>
      <c r="AP38" s="467">
        <f t="shared" si="56"/>
        <v>360248</v>
      </c>
      <c r="AQ38" s="467">
        <f t="shared" si="56"/>
        <v>0</v>
      </c>
      <c r="AR38" s="467">
        <f t="shared" si="56"/>
        <v>360248</v>
      </c>
      <c r="AS38" s="467">
        <f t="shared" si="56"/>
        <v>121764</v>
      </c>
      <c r="AT38" s="467">
        <f t="shared" si="56"/>
        <v>4261</v>
      </c>
      <c r="AU38" s="467">
        <f t="shared" si="56"/>
        <v>0</v>
      </c>
      <c r="AV38" s="467">
        <f t="shared" si="56"/>
        <v>0</v>
      </c>
      <c r="AW38" s="467">
        <f t="shared" si="56"/>
        <v>0</v>
      </c>
      <c r="AX38" s="467">
        <f t="shared" si="56"/>
        <v>0</v>
      </c>
      <c r="AY38" s="467">
        <f t="shared" si="56"/>
        <v>486273</v>
      </c>
      <c r="AZ38" s="468">
        <f t="shared" si="56"/>
        <v>-0.01</v>
      </c>
      <c r="BA38" s="468">
        <f t="shared" si="56"/>
        <v>-0.09</v>
      </c>
      <c r="BB38" s="468">
        <f t="shared" si="56"/>
        <v>0</v>
      </c>
      <c r="BC38" s="468">
        <f t="shared" si="56"/>
        <v>0.72</v>
      </c>
      <c r="BD38" s="468">
        <f t="shared" si="56"/>
        <v>0</v>
      </c>
      <c r="BE38" s="468">
        <f t="shared" si="56"/>
        <v>0</v>
      </c>
      <c r="BF38" s="468">
        <f t="shared" si="56"/>
        <v>0</v>
      </c>
      <c r="BG38" s="468">
        <f t="shared" si="56"/>
        <v>0</v>
      </c>
      <c r="BH38" s="468">
        <f t="shared" si="56"/>
        <v>0</v>
      </c>
      <c r="BI38" s="468">
        <f t="shared" si="56"/>
        <v>0.71</v>
      </c>
      <c r="BJ38" s="468">
        <f t="shared" si="56"/>
        <v>-0.09</v>
      </c>
      <c r="BK38" s="328">
        <f t="shared" si="56"/>
        <v>0.62</v>
      </c>
      <c r="BL38" s="774">
        <f t="shared" ref="BL38:CG38" si="57">SUM(BL33:BL37)</f>
        <v>16103725</v>
      </c>
      <c r="BM38" s="467">
        <f t="shared" si="57"/>
        <v>11735348</v>
      </c>
      <c r="BN38" s="467">
        <f t="shared" si="57"/>
        <v>10619905</v>
      </c>
      <c r="BO38" s="467">
        <f t="shared" si="57"/>
        <v>1115443</v>
      </c>
      <c r="BP38" s="467">
        <f t="shared" si="57"/>
        <v>130000</v>
      </c>
      <c r="BQ38" s="467">
        <f t="shared" si="57"/>
        <v>60000</v>
      </c>
      <c r="BR38" s="467">
        <f t="shared" si="57"/>
        <v>70000</v>
      </c>
      <c r="BS38" s="467">
        <f t="shared" si="57"/>
        <v>4010488</v>
      </c>
      <c r="BT38" s="467">
        <f t="shared" si="57"/>
        <v>117353</v>
      </c>
      <c r="BU38" s="467">
        <f t="shared" si="57"/>
        <v>110536</v>
      </c>
      <c r="BV38" s="468">
        <f t="shared" si="57"/>
        <v>19.496199999999998</v>
      </c>
      <c r="BW38" s="468">
        <f t="shared" si="57"/>
        <v>16.301199999999998</v>
      </c>
      <c r="BX38" s="328">
        <f t="shared" si="57"/>
        <v>3.1949999999999998</v>
      </c>
      <c r="BY38" s="838">
        <f t="shared" si="57"/>
        <v>0</v>
      </c>
      <c r="BZ38" s="721">
        <f t="shared" si="57"/>
        <v>0</v>
      </c>
      <c r="CA38" s="721">
        <f t="shared" si="57"/>
        <v>0</v>
      </c>
      <c r="CB38" s="721">
        <f t="shared" si="57"/>
        <v>0</v>
      </c>
      <c r="CC38" s="721">
        <f t="shared" si="57"/>
        <v>0</v>
      </c>
      <c r="CD38" s="826">
        <f t="shared" si="57"/>
        <v>0</v>
      </c>
      <c r="CE38" s="995">
        <f t="shared" si="57"/>
        <v>537767</v>
      </c>
      <c r="CF38" s="995">
        <f t="shared" si="57"/>
        <v>378099</v>
      </c>
      <c r="CG38" s="995">
        <f t="shared" si="57"/>
        <v>127797</v>
      </c>
      <c r="CH38" s="995">
        <f t="shared" ref="CH38:CJ38" si="58">SUM(CH33:CH37)</f>
        <v>3781</v>
      </c>
      <c r="CI38" s="995">
        <f t="shared" si="58"/>
        <v>28090</v>
      </c>
      <c r="CJ38" s="933">
        <f t="shared" si="58"/>
        <v>1.0836000000000001</v>
      </c>
    </row>
    <row r="39" spans="1:88" ht="12.95" customHeight="1">
      <c r="A39" s="280">
        <v>7</v>
      </c>
      <c r="B39" s="321">
        <v>5443</v>
      </c>
      <c r="C39" s="322">
        <v>600099237</v>
      </c>
      <c r="D39" s="281">
        <v>854841</v>
      </c>
      <c r="E39" s="323" t="s">
        <v>361</v>
      </c>
      <c r="F39" s="281">
        <v>3113</v>
      </c>
      <c r="G39" s="323" t="s">
        <v>308</v>
      </c>
      <c r="H39" s="284" t="s">
        <v>271</v>
      </c>
      <c r="I39" s="419">
        <v>21707804</v>
      </c>
      <c r="J39" s="414">
        <v>15715646</v>
      </c>
      <c r="K39" s="414">
        <v>13859234</v>
      </c>
      <c r="L39" s="414">
        <v>1856412</v>
      </c>
      <c r="M39" s="414">
        <v>151733</v>
      </c>
      <c r="N39" s="414">
        <v>151733</v>
      </c>
      <c r="O39" s="414">
        <v>0</v>
      </c>
      <c r="P39" s="68">
        <v>5328788</v>
      </c>
      <c r="Q39" s="68">
        <v>157157</v>
      </c>
      <c r="R39" s="414">
        <v>354480</v>
      </c>
      <c r="S39" s="415">
        <v>26.128400000000003</v>
      </c>
      <c r="T39" s="416">
        <v>20.709300000000002</v>
      </c>
      <c r="U39" s="422">
        <v>5.4191000000000003</v>
      </c>
      <c r="V39" s="423">
        <f t="shared" si="4"/>
        <v>40000</v>
      </c>
      <c r="W39" s="417">
        <f t="shared" si="4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5"/>
        <v>40000</v>
      </c>
      <c r="AF39" s="417">
        <f t="shared" si="6"/>
        <v>0</v>
      </c>
      <c r="AG39" s="417">
        <f t="shared" si="7"/>
        <v>40000</v>
      </c>
      <c r="AH39" s="1092">
        <v>-40000</v>
      </c>
      <c r="AI39" s="1092">
        <v>0</v>
      </c>
      <c r="AJ39" s="1092">
        <v>0</v>
      </c>
      <c r="AK39" s="417">
        <v>-101733</v>
      </c>
      <c r="AL39" s="417">
        <v>0</v>
      </c>
      <c r="AM39" s="417">
        <f t="shared" si="8"/>
        <v>-141733</v>
      </c>
      <c r="AN39" s="417">
        <f t="shared" si="9"/>
        <v>0</v>
      </c>
      <c r="AO39" s="417">
        <f t="shared" si="10"/>
        <v>-141733</v>
      </c>
      <c r="AP39" s="417">
        <f t="shared" si="11"/>
        <v>-101733</v>
      </c>
      <c r="AQ39" s="417">
        <f t="shared" si="11"/>
        <v>0</v>
      </c>
      <c r="AR39" s="417">
        <f t="shared" si="12"/>
        <v>-101733</v>
      </c>
      <c r="AS39" s="68">
        <f t="shared" si="13"/>
        <v>0</v>
      </c>
      <c r="AT39" s="68">
        <f t="shared" si="14"/>
        <v>400</v>
      </c>
      <c r="AU39" s="417">
        <v>0</v>
      </c>
      <c r="AV39" s="417">
        <v>0</v>
      </c>
      <c r="AW39" s="417">
        <v>0</v>
      </c>
      <c r="AX39" s="417">
        <f t="shared" si="15"/>
        <v>0</v>
      </c>
      <c r="AY39" s="417">
        <f t="shared" si="16"/>
        <v>-101333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7"/>
        <v>0</v>
      </c>
      <c r="BJ39" s="418">
        <f t="shared" si="18"/>
        <v>0</v>
      </c>
      <c r="BK39" s="420">
        <f t="shared" si="19"/>
        <v>0</v>
      </c>
      <c r="BL39" s="772">
        <f>I39+AY39</f>
        <v>21606471</v>
      </c>
      <c r="BM39" s="417">
        <f>J39+AG39</f>
        <v>15755646</v>
      </c>
      <c r="BN39" s="417">
        <f t="shared" ref="BN39:BO43" si="59">K39+AE39</f>
        <v>13899234</v>
      </c>
      <c r="BO39" s="417">
        <f t="shared" si="59"/>
        <v>1856412</v>
      </c>
      <c r="BP39" s="417">
        <f>M39+AO39</f>
        <v>10000</v>
      </c>
      <c r="BQ39" s="417">
        <f t="shared" ref="BQ39:BR43" si="60">N39+AM39</f>
        <v>10000</v>
      </c>
      <c r="BR39" s="417">
        <f t="shared" si="60"/>
        <v>0</v>
      </c>
      <c r="BS39" s="417">
        <f t="shared" ref="BS39:BT43" si="61">P39+AS39</f>
        <v>5328788</v>
      </c>
      <c r="BT39" s="417">
        <f t="shared" si="61"/>
        <v>157557</v>
      </c>
      <c r="BU39" s="417">
        <f>R39+AX39</f>
        <v>354480</v>
      </c>
      <c r="BV39" s="418">
        <f>S39+BK39</f>
        <v>26.128400000000003</v>
      </c>
      <c r="BW39" s="418">
        <f t="shared" ref="BW39:BX43" si="62">T39+BI39</f>
        <v>20.709300000000002</v>
      </c>
      <c r="BX39" s="420">
        <f t="shared" si="62"/>
        <v>5.4191000000000003</v>
      </c>
      <c r="BY39" s="994">
        <v>228082</v>
      </c>
      <c r="BZ39" s="595">
        <v>169200</v>
      </c>
      <c r="CA39" s="595">
        <v>0</v>
      </c>
      <c r="CB39" s="595">
        <v>57190</v>
      </c>
      <c r="CC39" s="595">
        <v>1692</v>
      </c>
      <c r="CD39" s="981">
        <v>0.3</v>
      </c>
      <c r="CE39" s="994">
        <v>888742</v>
      </c>
      <c r="CF39" s="595">
        <v>595883</v>
      </c>
      <c r="CG39" s="595">
        <v>201408</v>
      </c>
      <c r="CH39" s="595">
        <v>5959</v>
      </c>
      <c r="CI39" s="595">
        <v>85492</v>
      </c>
      <c r="CJ39" s="981">
        <v>1.7396</v>
      </c>
    </row>
    <row r="40" spans="1:88" ht="12.95" customHeight="1">
      <c r="A40" s="280">
        <v>7</v>
      </c>
      <c r="B40" s="321">
        <v>5443</v>
      </c>
      <c r="C40" s="322">
        <v>600099237</v>
      </c>
      <c r="D40" s="281">
        <v>854841</v>
      </c>
      <c r="E40" s="323" t="s">
        <v>361</v>
      </c>
      <c r="F40" s="281">
        <v>3113</v>
      </c>
      <c r="G40" s="323" t="s">
        <v>298</v>
      </c>
      <c r="H40" s="284" t="s">
        <v>272</v>
      </c>
      <c r="I40" s="419">
        <v>3245065</v>
      </c>
      <c r="J40" s="414">
        <v>2406057</v>
      </c>
      <c r="K40" s="414">
        <v>2406057</v>
      </c>
      <c r="L40" s="414">
        <v>0</v>
      </c>
      <c r="M40" s="414">
        <v>0</v>
      </c>
      <c r="N40" s="414">
        <v>0</v>
      </c>
      <c r="O40" s="414">
        <v>0</v>
      </c>
      <c r="P40" s="68">
        <v>813247</v>
      </c>
      <c r="Q40" s="68">
        <v>24061</v>
      </c>
      <c r="R40" s="414">
        <v>1700</v>
      </c>
      <c r="S40" s="415">
        <v>5.5600000000000005</v>
      </c>
      <c r="T40" s="416">
        <v>5.5600000000000005</v>
      </c>
      <c r="U40" s="422">
        <v>0</v>
      </c>
      <c r="V40" s="423">
        <f t="shared" si="4"/>
        <v>0</v>
      </c>
      <c r="W40" s="417">
        <f t="shared" si="4"/>
        <v>0</v>
      </c>
      <c r="X40" s="417">
        <f>87485-68080</f>
        <v>19405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5"/>
        <v>19405</v>
      </c>
      <c r="AF40" s="417">
        <f t="shared" si="6"/>
        <v>0</v>
      </c>
      <c r="AG40" s="417">
        <f t="shared" si="7"/>
        <v>19405</v>
      </c>
      <c r="AH40" s="1092">
        <v>0</v>
      </c>
      <c r="AI40" s="1092">
        <v>0</v>
      </c>
      <c r="AJ40" s="1092">
        <v>0</v>
      </c>
      <c r="AK40" s="417">
        <v>0</v>
      </c>
      <c r="AL40" s="417">
        <v>0</v>
      </c>
      <c r="AM40" s="417">
        <f t="shared" si="8"/>
        <v>0</v>
      </c>
      <c r="AN40" s="417">
        <f t="shared" si="9"/>
        <v>0</v>
      </c>
      <c r="AO40" s="417">
        <f t="shared" si="10"/>
        <v>0</v>
      </c>
      <c r="AP40" s="417">
        <f t="shared" si="11"/>
        <v>19405</v>
      </c>
      <c r="AQ40" s="417">
        <f t="shared" si="11"/>
        <v>0</v>
      </c>
      <c r="AR40" s="417">
        <f t="shared" si="12"/>
        <v>19405</v>
      </c>
      <c r="AS40" s="68">
        <f t="shared" si="13"/>
        <v>6559</v>
      </c>
      <c r="AT40" s="68">
        <f t="shared" si="14"/>
        <v>194</v>
      </c>
      <c r="AU40" s="1092">
        <v>700</v>
      </c>
      <c r="AV40" s="417">
        <v>0</v>
      </c>
      <c r="AW40" s="417">
        <v>0</v>
      </c>
      <c r="AX40" s="417">
        <f t="shared" si="15"/>
        <v>700</v>
      </c>
      <c r="AY40" s="417">
        <f t="shared" si="16"/>
        <v>26858</v>
      </c>
      <c r="AZ40" s="418">
        <v>0</v>
      </c>
      <c r="BA40" s="418">
        <v>0</v>
      </c>
      <c r="BB40" s="418">
        <f>0.32-0.14</f>
        <v>0.18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0.18</v>
      </c>
      <c r="BJ40" s="418">
        <f t="shared" si="18"/>
        <v>0</v>
      </c>
      <c r="BK40" s="420">
        <f t="shared" si="19"/>
        <v>0.18</v>
      </c>
      <c r="BL40" s="772">
        <f>I40+AY40</f>
        <v>3271923</v>
      </c>
      <c r="BM40" s="417">
        <f>J40+AG40</f>
        <v>2425462</v>
      </c>
      <c r="BN40" s="417">
        <f t="shared" si="59"/>
        <v>2425462</v>
      </c>
      <c r="BO40" s="417">
        <f t="shared" si="59"/>
        <v>0</v>
      </c>
      <c r="BP40" s="417">
        <f>M40+AO40</f>
        <v>0</v>
      </c>
      <c r="BQ40" s="417">
        <f t="shared" si="60"/>
        <v>0</v>
      </c>
      <c r="BR40" s="417">
        <f t="shared" si="60"/>
        <v>0</v>
      </c>
      <c r="BS40" s="417">
        <f t="shared" si="61"/>
        <v>819806</v>
      </c>
      <c r="BT40" s="417">
        <f t="shared" si="61"/>
        <v>24255</v>
      </c>
      <c r="BU40" s="417">
        <f>R40+AX40</f>
        <v>2400</v>
      </c>
      <c r="BV40" s="418">
        <f>S40+BK40</f>
        <v>5.74</v>
      </c>
      <c r="BW40" s="418">
        <f t="shared" si="62"/>
        <v>5.74</v>
      </c>
      <c r="BX40" s="420">
        <f t="shared" si="62"/>
        <v>0</v>
      </c>
      <c r="BY40" s="994"/>
      <c r="BZ40" s="595"/>
      <c r="CA40" s="595"/>
      <c r="CB40" s="595"/>
      <c r="CC40" s="595"/>
      <c r="CD40" s="981"/>
      <c r="CE40" s="994"/>
      <c r="CF40" s="595"/>
      <c r="CG40" s="595"/>
      <c r="CH40" s="595"/>
      <c r="CI40" s="595"/>
      <c r="CJ40" s="981"/>
    </row>
    <row r="41" spans="1:88" ht="12.95" customHeight="1">
      <c r="A41" s="280">
        <v>7</v>
      </c>
      <c r="B41" s="321">
        <v>5443</v>
      </c>
      <c r="C41" s="322">
        <v>600099237</v>
      </c>
      <c r="D41" s="281">
        <v>854841</v>
      </c>
      <c r="E41" s="323" t="s">
        <v>361</v>
      </c>
      <c r="F41" s="281">
        <v>3141</v>
      </c>
      <c r="G41" s="323" t="s">
        <v>294</v>
      </c>
      <c r="H41" s="284" t="s">
        <v>272</v>
      </c>
      <c r="I41" s="419">
        <v>3429204</v>
      </c>
      <c r="J41" s="414">
        <v>2464544</v>
      </c>
      <c r="K41" s="414">
        <v>0</v>
      </c>
      <c r="L41" s="414">
        <v>2464544</v>
      </c>
      <c r="M41" s="414">
        <v>79880</v>
      </c>
      <c r="N41" s="414">
        <v>0</v>
      </c>
      <c r="O41" s="414">
        <v>79880</v>
      </c>
      <c r="P41" s="68">
        <v>834706</v>
      </c>
      <c r="Q41" s="68">
        <v>24646</v>
      </c>
      <c r="R41" s="414">
        <v>25428</v>
      </c>
      <c r="S41" s="415">
        <v>7.41</v>
      </c>
      <c r="T41" s="416">
        <v>0</v>
      </c>
      <c r="U41" s="422">
        <v>7.41</v>
      </c>
      <c r="V41" s="423">
        <f t="shared" si="4"/>
        <v>0</v>
      </c>
      <c r="W41" s="417">
        <f t="shared" si="4"/>
        <v>5000</v>
      </c>
      <c r="X41" s="417">
        <v>0</v>
      </c>
      <c r="Y41" s="417">
        <v>0</v>
      </c>
      <c r="Z41" s="417">
        <v>0</v>
      </c>
      <c r="AA41" s="417">
        <v>-45526</v>
      </c>
      <c r="AB41" s="417">
        <v>0</v>
      </c>
      <c r="AC41" s="417"/>
      <c r="AD41" s="417">
        <v>0</v>
      </c>
      <c r="AE41" s="417">
        <f t="shared" si="5"/>
        <v>0</v>
      </c>
      <c r="AF41" s="417">
        <f t="shared" si="6"/>
        <v>-40526</v>
      </c>
      <c r="AG41" s="417">
        <f t="shared" si="7"/>
        <v>-40526</v>
      </c>
      <c r="AH41" s="1092">
        <v>0</v>
      </c>
      <c r="AI41" s="1092">
        <v>-5000</v>
      </c>
      <c r="AJ41" s="1092">
        <v>0</v>
      </c>
      <c r="AK41" s="417">
        <v>0</v>
      </c>
      <c r="AL41" s="417">
        <v>0</v>
      </c>
      <c r="AM41" s="417">
        <f t="shared" si="8"/>
        <v>0</v>
      </c>
      <c r="AN41" s="417">
        <f t="shared" si="9"/>
        <v>-5000</v>
      </c>
      <c r="AO41" s="417">
        <f t="shared" si="10"/>
        <v>-5000</v>
      </c>
      <c r="AP41" s="417">
        <f t="shared" si="11"/>
        <v>0</v>
      </c>
      <c r="AQ41" s="417">
        <f t="shared" si="11"/>
        <v>-45526</v>
      </c>
      <c r="AR41" s="417">
        <f t="shared" si="12"/>
        <v>-45526</v>
      </c>
      <c r="AS41" s="68">
        <f t="shared" si="13"/>
        <v>-15388</v>
      </c>
      <c r="AT41" s="68">
        <f t="shared" si="14"/>
        <v>-405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-61319</v>
      </c>
      <c r="AZ41" s="418">
        <v>0</v>
      </c>
      <c r="BA41" s="418">
        <v>0</v>
      </c>
      <c r="BB41" s="418">
        <v>0</v>
      </c>
      <c r="BC41" s="418">
        <v>0</v>
      </c>
      <c r="BD41" s="418">
        <v>-0.14000000000000001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-0.14000000000000001</v>
      </c>
      <c r="BK41" s="420">
        <f t="shared" si="19"/>
        <v>-0.14000000000000001</v>
      </c>
      <c r="BL41" s="772">
        <f>I41+AY41</f>
        <v>3367885</v>
      </c>
      <c r="BM41" s="417">
        <f>J41+AG41</f>
        <v>2424018</v>
      </c>
      <c r="BN41" s="417">
        <f t="shared" si="59"/>
        <v>0</v>
      </c>
      <c r="BO41" s="417">
        <f t="shared" si="59"/>
        <v>2424018</v>
      </c>
      <c r="BP41" s="417">
        <f>M41+AO41</f>
        <v>74880</v>
      </c>
      <c r="BQ41" s="417">
        <f t="shared" si="60"/>
        <v>0</v>
      </c>
      <c r="BR41" s="417">
        <f t="shared" si="60"/>
        <v>74880</v>
      </c>
      <c r="BS41" s="417">
        <f t="shared" si="61"/>
        <v>819318</v>
      </c>
      <c r="BT41" s="417">
        <f t="shared" si="61"/>
        <v>24241</v>
      </c>
      <c r="BU41" s="417">
        <f>R41+AX41</f>
        <v>25428</v>
      </c>
      <c r="BV41" s="418">
        <f>S41+BK41</f>
        <v>7.2700000000000005</v>
      </c>
      <c r="BW41" s="418">
        <f t="shared" si="62"/>
        <v>0</v>
      </c>
      <c r="BX41" s="420">
        <f t="shared" si="62"/>
        <v>7.2700000000000005</v>
      </c>
      <c r="BY41" s="994"/>
      <c r="BZ41" s="595"/>
      <c r="CA41" s="595"/>
      <c r="CB41" s="595"/>
      <c r="CC41" s="595"/>
      <c r="CD41" s="981"/>
      <c r="CE41" s="994"/>
      <c r="CF41" s="595"/>
      <c r="CG41" s="595"/>
      <c r="CH41" s="595"/>
      <c r="CI41" s="595"/>
      <c r="CJ41" s="981"/>
    </row>
    <row r="42" spans="1:88" ht="12.95" customHeight="1">
      <c r="A42" s="280">
        <v>7</v>
      </c>
      <c r="B42" s="321">
        <v>5443</v>
      </c>
      <c r="C42" s="322">
        <v>600099237</v>
      </c>
      <c r="D42" s="281">
        <v>854841</v>
      </c>
      <c r="E42" s="323" t="s">
        <v>361</v>
      </c>
      <c r="F42" s="281">
        <v>3143</v>
      </c>
      <c r="G42" s="323" t="s">
        <v>595</v>
      </c>
      <c r="H42" s="284" t="s">
        <v>271</v>
      </c>
      <c r="I42" s="419">
        <v>1383959</v>
      </c>
      <c r="J42" s="414">
        <v>1006427</v>
      </c>
      <c r="K42" s="414">
        <v>1006427</v>
      </c>
      <c r="L42" s="414">
        <v>0</v>
      </c>
      <c r="M42" s="414">
        <v>20400</v>
      </c>
      <c r="N42" s="414">
        <v>20400</v>
      </c>
      <c r="O42" s="414">
        <v>0</v>
      </c>
      <c r="P42" s="68">
        <v>347068</v>
      </c>
      <c r="Q42" s="68">
        <v>10064</v>
      </c>
      <c r="R42" s="414">
        <v>0</v>
      </c>
      <c r="S42" s="415">
        <v>1.96</v>
      </c>
      <c r="T42" s="416">
        <v>1.96</v>
      </c>
      <c r="U42" s="422">
        <v>0</v>
      </c>
      <c r="V42" s="423">
        <f t="shared" si="4"/>
        <v>0</v>
      </c>
      <c r="W42" s="417">
        <f t="shared" si="4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5"/>
        <v>0</v>
      </c>
      <c r="AF42" s="417">
        <f t="shared" si="6"/>
        <v>0</v>
      </c>
      <c r="AG42" s="417">
        <f t="shared" si="7"/>
        <v>0</v>
      </c>
      <c r="AH42" s="1092">
        <v>0</v>
      </c>
      <c r="AI42" s="1092">
        <v>0</v>
      </c>
      <c r="AJ42" s="1092">
        <v>0</v>
      </c>
      <c r="AK42" s="417">
        <v>0</v>
      </c>
      <c r="AL42" s="417">
        <v>0</v>
      </c>
      <c r="AM42" s="417">
        <f t="shared" si="8"/>
        <v>0</v>
      </c>
      <c r="AN42" s="417">
        <f t="shared" si="9"/>
        <v>0</v>
      </c>
      <c r="AO42" s="417">
        <f t="shared" si="10"/>
        <v>0</v>
      </c>
      <c r="AP42" s="417">
        <f t="shared" si="11"/>
        <v>0</v>
      </c>
      <c r="AQ42" s="417">
        <f t="shared" si="11"/>
        <v>0</v>
      </c>
      <c r="AR42" s="417">
        <f t="shared" si="12"/>
        <v>0</v>
      </c>
      <c r="AS42" s="68">
        <f t="shared" si="13"/>
        <v>0</v>
      </c>
      <c r="AT42" s="68">
        <f t="shared" si="14"/>
        <v>0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0</v>
      </c>
      <c r="BK42" s="420">
        <f t="shared" si="19"/>
        <v>0</v>
      </c>
      <c r="BL42" s="772">
        <f>I42+AY42</f>
        <v>1383959</v>
      </c>
      <c r="BM42" s="417">
        <f>J42+AG42</f>
        <v>1006427</v>
      </c>
      <c r="BN42" s="417">
        <f t="shared" si="59"/>
        <v>1006427</v>
      </c>
      <c r="BO42" s="417">
        <f t="shared" si="59"/>
        <v>0</v>
      </c>
      <c r="BP42" s="417">
        <f>M42+AO42</f>
        <v>20400</v>
      </c>
      <c r="BQ42" s="417">
        <f t="shared" si="60"/>
        <v>20400</v>
      </c>
      <c r="BR42" s="417">
        <f t="shared" si="60"/>
        <v>0</v>
      </c>
      <c r="BS42" s="417">
        <f t="shared" si="61"/>
        <v>347068</v>
      </c>
      <c r="BT42" s="417">
        <f t="shared" si="61"/>
        <v>10064</v>
      </c>
      <c r="BU42" s="417">
        <f>R42+AX42</f>
        <v>0</v>
      </c>
      <c r="BV42" s="418">
        <f>S42+BK42</f>
        <v>1.96</v>
      </c>
      <c r="BW42" s="418">
        <f t="shared" si="62"/>
        <v>1.96</v>
      </c>
      <c r="BX42" s="420">
        <f t="shared" si="62"/>
        <v>0</v>
      </c>
      <c r="BY42" s="994"/>
      <c r="BZ42" s="595"/>
      <c r="CA42" s="595"/>
      <c r="CB42" s="595"/>
      <c r="CC42" s="595"/>
      <c r="CD42" s="981"/>
      <c r="CE42" s="994"/>
      <c r="CF42" s="595"/>
      <c r="CG42" s="595"/>
      <c r="CH42" s="595"/>
      <c r="CI42" s="595"/>
      <c r="CJ42" s="981"/>
    </row>
    <row r="43" spans="1:88" ht="12.95" customHeight="1">
      <c r="A43" s="280">
        <v>7</v>
      </c>
      <c r="B43" s="321">
        <v>5443</v>
      </c>
      <c r="C43" s="322">
        <v>600099237</v>
      </c>
      <c r="D43" s="281">
        <v>854841</v>
      </c>
      <c r="E43" s="323" t="s">
        <v>361</v>
      </c>
      <c r="F43" s="281">
        <v>3143</v>
      </c>
      <c r="G43" s="323" t="s">
        <v>596</v>
      </c>
      <c r="H43" s="284" t="s">
        <v>272</v>
      </c>
      <c r="I43" s="419">
        <v>42316</v>
      </c>
      <c r="J43" s="414">
        <v>35650</v>
      </c>
      <c r="K43" s="414">
        <v>10800</v>
      </c>
      <c r="L43" s="414">
        <v>24850</v>
      </c>
      <c r="M43" s="414">
        <v>-5400</v>
      </c>
      <c r="N43" s="414">
        <v>-10800</v>
      </c>
      <c r="O43" s="414">
        <v>5400</v>
      </c>
      <c r="P43" s="68">
        <v>10224</v>
      </c>
      <c r="Q43" s="68">
        <v>357</v>
      </c>
      <c r="R43" s="414">
        <v>1485</v>
      </c>
      <c r="S43" s="415">
        <v>0.12640000000000001</v>
      </c>
      <c r="T43" s="416">
        <v>0.01</v>
      </c>
      <c r="U43" s="422">
        <v>0.1164</v>
      </c>
      <c r="V43" s="423">
        <f t="shared" si="4"/>
        <v>-10800</v>
      </c>
      <c r="W43" s="417">
        <f t="shared" si="4"/>
        <v>5400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5"/>
        <v>-10800</v>
      </c>
      <c r="AF43" s="417">
        <f t="shared" si="6"/>
        <v>5400</v>
      </c>
      <c r="AG43" s="417">
        <f t="shared" si="7"/>
        <v>-5400</v>
      </c>
      <c r="AH43" s="1092">
        <v>10800</v>
      </c>
      <c r="AI43" s="1092">
        <v>-5400</v>
      </c>
      <c r="AJ43" s="1092">
        <v>0</v>
      </c>
      <c r="AK43" s="417">
        <v>0</v>
      </c>
      <c r="AL43" s="417">
        <v>0</v>
      </c>
      <c r="AM43" s="417">
        <f t="shared" si="8"/>
        <v>10800</v>
      </c>
      <c r="AN43" s="417">
        <f t="shared" si="9"/>
        <v>-5400</v>
      </c>
      <c r="AO43" s="417">
        <f t="shared" si="10"/>
        <v>5400</v>
      </c>
      <c r="AP43" s="417">
        <f t="shared" si="11"/>
        <v>0</v>
      </c>
      <c r="AQ43" s="417">
        <f t="shared" si="11"/>
        <v>0</v>
      </c>
      <c r="AR43" s="417">
        <f t="shared" si="12"/>
        <v>0</v>
      </c>
      <c r="AS43" s="68">
        <f t="shared" si="13"/>
        <v>0</v>
      </c>
      <c r="AT43" s="68">
        <f t="shared" si="14"/>
        <v>-54</v>
      </c>
      <c r="AU43" s="417">
        <v>0</v>
      </c>
      <c r="AV43" s="417">
        <v>0</v>
      </c>
      <c r="AW43" s="417">
        <v>0</v>
      </c>
      <c r="AX43" s="417">
        <f t="shared" si="15"/>
        <v>0</v>
      </c>
      <c r="AY43" s="417">
        <f t="shared" si="16"/>
        <v>-54</v>
      </c>
      <c r="AZ43" s="418">
        <v>0</v>
      </c>
      <c r="BA43" s="418">
        <v>0.01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7"/>
        <v>0</v>
      </c>
      <c r="BJ43" s="418">
        <f t="shared" si="18"/>
        <v>0.01</v>
      </c>
      <c r="BK43" s="420">
        <f t="shared" si="19"/>
        <v>0.01</v>
      </c>
      <c r="BL43" s="772">
        <f>I43+AY43</f>
        <v>42262</v>
      </c>
      <c r="BM43" s="417">
        <f>J43+AG43</f>
        <v>30250</v>
      </c>
      <c r="BN43" s="417">
        <f t="shared" si="59"/>
        <v>0</v>
      </c>
      <c r="BO43" s="417">
        <f t="shared" si="59"/>
        <v>30250</v>
      </c>
      <c r="BP43" s="417">
        <f>M43+AO43</f>
        <v>0</v>
      </c>
      <c r="BQ43" s="417">
        <f t="shared" si="60"/>
        <v>0</v>
      </c>
      <c r="BR43" s="417">
        <f t="shared" si="60"/>
        <v>0</v>
      </c>
      <c r="BS43" s="417">
        <f t="shared" si="61"/>
        <v>10224</v>
      </c>
      <c r="BT43" s="417">
        <f t="shared" si="61"/>
        <v>303</v>
      </c>
      <c r="BU43" s="417">
        <f>R43+AX43</f>
        <v>1485</v>
      </c>
      <c r="BV43" s="418">
        <f>S43+BK43</f>
        <v>0.13640000000000002</v>
      </c>
      <c r="BW43" s="418">
        <f t="shared" si="62"/>
        <v>0.01</v>
      </c>
      <c r="BX43" s="420">
        <f t="shared" si="62"/>
        <v>0.12640000000000001</v>
      </c>
      <c r="BY43" s="994"/>
      <c r="BZ43" s="595"/>
      <c r="CA43" s="595"/>
      <c r="CB43" s="595"/>
      <c r="CC43" s="595"/>
      <c r="CD43" s="981"/>
      <c r="CE43" s="994"/>
      <c r="CF43" s="595"/>
      <c r="CG43" s="595"/>
      <c r="CH43" s="595"/>
      <c r="CI43" s="595"/>
      <c r="CJ43" s="981"/>
    </row>
    <row r="44" spans="1:88" ht="12.95" customHeight="1">
      <c r="A44" s="324">
        <v>7</v>
      </c>
      <c r="B44" s="325">
        <v>5443</v>
      </c>
      <c r="C44" s="332">
        <v>600099237</v>
      </c>
      <c r="D44" s="325">
        <v>854841</v>
      </c>
      <c r="E44" s="327" t="s">
        <v>362</v>
      </c>
      <c r="F44" s="291"/>
      <c r="G44" s="329"/>
      <c r="H44" s="292"/>
      <c r="I44" s="472">
        <v>29808348</v>
      </c>
      <c r="J44" s="469">
        <v>21628324</v>
      </c>
      <c r="K44" s="469">
        <v>17282518</v>
      </c>
      <c r="L44" s="469">
        <v>4345806</v>
      </c>
      <c r="M44" s="469">
        <v>246613</v>
      </c>
      <c r="N44" s="469">
        <v>161333</v>
      </c>
      <c r="O44" s="469">
        <v>85280</v>
      </c>
      <c r="P44" s="469">
        <v>7334033</v>
      </c>
      <c r="Q44" s="469">
        <v>216285</v>
      </c>
      <c r="R44" s="469">
        <v>383093</v>
      </c>
      <c r="S44" s="470">
        <v>41.184799999999996</v>
      </c>
      <c r="T44" s="470">
        <v>28.239300000000004</v>
      </c>
      <c r="U44" s="532">
        <v>12.945500000000001</v>
      </c>
      <c r="V44" s="472">
        <f t="shared" ref="V44:BK44" si="63">SUM(V39:V43)</f>
        <v>29200</v>
      </c>
      <c r="W44" s="469">
        <f t="shared" si="63"/>
        <v>10400</v>
      </c>
      <c r="X44" s="469">
        <f t="shared" si="63"/>
        <v>19405</v>
      </c>
      <c r="Y44" s="469">
        <f t="shared" si="63"/>
        <v>0</v>
      </c>
      <c r="Z44" s="469">
        <f t="shared" si="63"/>
        <v>0</v>
      </c>
      <c r="AA44" s="469">
        <f t="shared" si="63"/>
        <v>-45526</v>
      </c>
      <c r="AB44" s="469">
        <f t="shared" si="63"/>
        <v>0</v>
      </c>
      <c r="AC44" s="469">
        <f t="shared" si="63"/>
        <v>0</v>
      </c>
      <c r="AD44" s="469">
        <f t="shared" si="63"/>
        <v>0</v>
      </c>
      <c r="AE44" s="469">
        <f t="shared" si="63"/>
        <v>48605</v>
      </c>
      <c r="AF44" s="469">
        <f t="shared" si="63"/>
        <v>-35126</v>
      </c>
      <c r="AG44" s="469">
        <f t="shared" si="63"/>
        <v>13479</v>
      </c>
      <c r="AH44" s="469">
        <f t="shared" si="63"/>
        <v>-29200</v>
      </c>
      <c r="AI44" s="469">
        <f t="shared" si="63"/>
        <v>-10400</v>
      </c>
      <c r="AJ44" s="469">
        <f t="shared" si="63"/>
        <v>0</v>
      </c>
      <c r="AK44" s="469">
        <f t="shared" si="63"/>
        <v>-101733</v>
      </c>
      <c r="AL44" s="469">
        <f t="shared" si="63"/>
        <v>0</v>
      </c>
      <c r="AM44" s="469">
        <f t="shared" si="63"/>
        <v>-130933</v>
      </c>
      <c r="AN44" s="469">
        <f t="shared" si="63"/>
        <v>-10400</v>
      </c>
      <c r="AO44" s="469">
        <f t="shared" si="63"/>
        <v>-141333</v>
      </c>
      <c r="AP44" s="469">
        <f t="shared" si="63"/>
        <v>-82328</v>
      </c>
      <c r="AQ44" s="469">
        <f t="shared" si="63"/>
        <v>-45526</v>
      </c>
      <c r="AR44" s="469">
        <f t="shared" si="63"/>
        <v>-127854</v>
      </c>
      <c r="AS44" s="469">
        <f t="shared" si="63"/>
        <v>-8829</v>
      </c>
      <c r="AT44" s="469">
        <f t="shared" si="63"/>
        <v>135</v>
      </c>
      <c r="AU44" s="469">
        <f t="shared" si="63"/>
        <v>700</v>
      </c>
      <c r="AV44" s="469">
        <f t="shared" si="63"/>
        <v>0</v>
      </c>
      <c r="AW44" s="469">
        <f t="shared" si="63"/>
        <v>0</v>
      </c>
      <c r="AX44" s="469">
        <f t="shared" si="63"/>
        <v>700</v>
      </c>
      <c r="AY44" s="469">
        <f t="shared" si="63"/>
        <v>-135848</v>
      </c>
      <c r="AZ44" s="470">
        <f t="shared" si="63"/>
        <v>0</v>
      </c>
      <c r="BA44" s="470">
        <f t="shared" si="63"/>
        <v>0.01</v>
      </c>
      <c r="BB44" s="470">
        <f t="shared" si="63"/>
        <v>0.18</v>
      </c>
      <c r="BC44" s="470">
        <f t="shared" si="63"/>
        <v>0</v>
      </c>
      <c r="BD44" s="470">
        <f t="shared" si="63"/>
        <v>-0.14000000000000001</v>
      </c>
      <c r="BE44" s="470">
        <f t="shared" si="63"/>
        <v>0</v>
      </c>
      <c r="BF44" s="470">
        <f t="shared" si="63"/>
        <v>0</v>
      </c>
      <c r="BG44" s="470">
        <f t="shared" si="63"/>
        <v>0</v>
      </c>
      <c r="BH44" s="470">
        <f t="shared" si="63"/>
        <v>0</v>
      </c>
      <c r="BI44" s="470">
        <f t="shared" si="63"/>
        <v>0.18</v>
      </c>
      <c r="BJ44" s="470">
        <f t="shared" si="63"/>
        <v>-0.13</v>
      </c>
      <c r="BK44" s="333">
        <f t="shared" si="63"/>
        <v>4.9999999999999982E-2</v>
      </c>
      <c r="BL44" s="775">
        <f t="shared" ref="BL44:CG44" si="64">SUM(BL39:BL43)</f>
        <v>29672500</v>
      </c>
      <c r="BM44" s="469">
        <f t="shared" si="64"/>
        <v>21641803</v>
      </c>
      <c r="BN44" s="469">
        <f t="shared" si="64"/>
        <v>17331123</v>
      </c>
      <c r="BO44" s="469">
        <f t="shared" si="64"/>
        <v>4310680</v>
      </c>
      <c r="BP44" s="469">
        <f t="shared" si="64"/>
        <v>105280</v>
      </c>
      <c r="BQ44" s="469">
        <f t="shared" si="64"/>
        <v>30400</v>
      </c>
      <c r="BR44" s="469">
        <f t="shared" si="64"/>
        <v>74880</v>
      </c>
      <c r="BS44" s="469">
        <f t="shared" si="64"/>
        <v>7325204</v>
      </c>
      <c r="BT44" s="469">
        <f t="shared" si="64"/>
        <v>216420</v>
      </c>
      <c r="BU44" s="469">
        <f t="shared" si="64"/>
        <v>383793</v>
      </c>
      <c r="BV44" s="470">
        <f t="shared" si="64"/>
        <v>41.234800000000007</v>
      </c>
      <c r="BW44" s="470">
        <f t="shared" si="64"/>
        <v>28.419300000000003</v>
      </c>
      <c r="BX44" s="333">
        <f t="shared" si="64"/>
        <v>12.8155</v>
      </c>
      <c r="BY44" s="839">
        <f t="shared" si="64"/>
        <v>228082</v>
      </c>
      <c r="BZ44" s="722">
        <f t="shared" si="64"/>
        <v>169200</v>
      </c>
      <c r="CA44" s="722">
        <f t="shared" si="64"/>
        <v>0</v>
      </c>
      <c r="CB44" s="722">
        <f t="shared" si="64"/>
        <v>57190</v>
      </c>
      <c r="CC44" s="722">
        <f t="shared" si="64"/>
        <v>1692</v>
      </c>
      <c r="CD44" s="827">
        <f t="shared" si="64"/>
        <v>0.3</v>
      </c>
      <c r="CE44" s="996">
        <f t="shared" si="64"/>
        <v>888742</v>
      </c>
      <c r="CF44" s="996">
        <f t="shared" si="64"/>
        <v>595883</v>
      </c>
      <c r="CG44" s="996">
        <f t="shared" si="64"/>
        <v>201408</v>
      </c>
      <c r="CH44" s="996">
        <f t="shared" ref="CH44:CJ44" si="65">SUM(CH39:CH43)</f>
        <v>5959</v>
      </c>
      <c r="CI44" s="996">
        <f t="shared" si="65"/>
        <v>85492</v>
      </c>
      <c r="CJ44" s="934">
        <f t="shared" si="65"/>
        <v>1.7396</v>
      </c>
    </row>
    <row r="45" spans="1:88" ht="12.95" customHeight="1">
      <c r="A45" s="280">
        <v>8</v>
      </c>
      <c r="B45" s="321">
        <v>5445</v>
      </c>
      <c r="C45" s="322">
        <v>600099351</v>
      </c>
      <c r="D45" s="281">
        <v>70155771</v>
      </c>
      <c r="E45" s="323" t="s">
        <v>363</v>
      </c>
      <c r="F45" s="281">
        <v>3113</v>
      </c>
      <c r="G45" s="323" t="s">
        <v>308</v>
      </c>
      <c r="H45" s="284" t="s">
        <v>271</v>
      </c>
      <c r="I45" s="419">
        <v>28778847</v>
      </c>
      <c r="J45" s="414">
        <v>20952097</v>
      </c>
      <c r="K45" s="414">
        <v>18658446</v>
      </c>
      <c r="L45" s="414">
        <v>2293651</v>
      </c>
      <c r="M45" s="414">
        <v>5000</v>
      </c>
      <c r="N45" s="414">
        <v>0</v>
      </c>
      <c r="O45" s="414">
        <v>5000</v>
      </c>
      <c r="P45" s="68">
        <v>7083499</v>
      </c>
      <c r="Q45" s="68">
        <v>209521</v>
      </c>
      <c r="R45" s="414">
        <v>528730</v>
      </c>
      <c r="S45" s="415">
        <v>33.232599999999998</v>
      </c>
      <c r="T45" s="416">
        <v>26.3904</v>
      </c>
      <c r="U45" s="422">
        <v>6.8422000000000001</v>
      </c>
      <c r="V45" s="423">
        <f t="shared" si="4"/>
        <v>0</v>
      </c>
      <c r="W45" s="417">
        <f t="shared" si="4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5"/>
        <v>0</v>
      </c>
      <c r="AF45" s="417">
        <f t="shared" si="6"/>
        <v>0</v>
      </c>
      <c r="AG45" s="417">
        <f t="shared" si="7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8"/>
        <v>0</v>
      </c>
      <c r="AN45" s="417">
        <f t="shared" si="9"/>
        <v>0</v>
      </c>
      <c r="AO45" s="417">
        <f t="shared" si="10"/>
        <v>0</v>
      </c>
      <c r="AP45" s="417">
        <f t="shared" si="11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 t="shared" ref="BL45:BL50" si="66">I45+AY45</f>
        <v>28778847</v>
      </c>
      <c r="BM45" s="417">
        <f t="shared" ref="BM45:BM50" si="67">J45+AG45</f>
        <v>20952097</v>
      </c>
      <c r="BN45" s="417">
        <f t="shared" ref="BN45:BO50" si="68">K45+AE45</f>
        <v>18658446</v>
      </c>
      <c r="BO45" s="417">
        <f t="shared" si="68"/>
        <v>2293651</v>
      </c>
      <c r="BP45" s="417">
        <f t="shared" ref="BP45:BP50" si="69">M45+AO45</f>
        <v>5000</v>
      </c>
      <c r="BQ45" s="417">
        <f t="shared" ref="BQ45:BR50" si="70">N45+AM45</f>
        <v>0</v>
      </c>
      <c r="BR45" s="417">
        <f t="shared" si="70"/>
        <v>5000</v>
      </c>
      <c r="BS45" s="417">
        <f t="shared" ref="BS45:BT50" si="71">P45+AS45</f>
        <v>7083499</v>
      </c>
      <c r="BT45" s="417">
        <f t="shared" si="71"/>
        <v>209521</v>
      </c>
      <c r="BU45" s="417">
        <f t="shared" ref="BU45:BU50" si="72">R45+AX45</f>
        <v>528730</v>
      </c>
      <c r="BV45" s="418">
        <f t="shared" ref="BV45:BV50" si="73">S45+BK45</f>
        <v>33.232599999999998</v>
      </c>
      <c r="BW45" s="418">
        <f t="shared" ref="BW45:BX50" si="74">T45+BI45</f>
        <v>26.3904</v>
      </c>
      <c r="BX45" s="420">
        <f t="shared" si="74"/>
        <v>6.8422000000000001</v>
      </c>
      <c r="BY45" s="994">
        <v>608218</v>
      </c>
      <c r="BZ45" s="595">
        <v>451200</v>
      </c>
      <c r="CA45" s="595">
        <v>0</v>
      </c>
      <c r="CB45" s="595">
        <v>152506</v>
      </c>
      <c r="CC45" s="595">
        <v>4512</v>
      </c>
      <c r="CD45" s="981">
        <v>0.8</v>
      </c>
      <c r="CE45" s="994">
        <v>1117375</v>
      </c>
      <c r="CF45" s="595">
        <v>737820</v>
      </c>
      <c r="CG45" s="595">
        <v>249383</v>
      </c>
      <c r="CH45" s="595">
        <v>7378</v>
      </c>
      <c r="CI45" s="595">
        <v>122794</v>
      </c>
      <c r="CJ45" s="981">
        <v>2.2027999999999999</v>
      </c>
    </row>
    <row r="46" spans="1:88" ht="12.95" customHeight="1">
      <c r="A46" s="280">
        <v>8</v>
      </c>
      <c r="B46" s="321">
        <v>5445</v>
      </c>
      <c r="C46" s="322">
        <v>600099351</v>
      </c>
      <c r="D46" s="281">
        <v>70155771</v>
      </c>
      <c r="E46" s="323" t="s">
        <v>363</v>
      </c>
      <c r="F46" s="281">
        <v>3113</v>
      </c>
      <c r="G46" s="323" t="s">
        <v>298</v>
      </c>
      <c r="H46" s="284" t="s">
        <v>272</v>
      </c>
      <c r="I46" s="419">
        <v>2449308</v>
      </c>
      <c r="J46" s="414">
        <v>1815511</v>
      </c>
      <c r="K46" s="414">
        <v>1815511</v>
      </c>
      <c r="L46" s="414">
        <v>0</v>
      </c>
      <c r="M46" s="414">
        <v>0</v>
      </c>
      <c r="N46" s="414">
        <v>0</v>
      </c>
      <c r="O46" s="414">
        <v>0</v>
      </c>
      <c r="P46" s="68">
        <v>613643</v>
      </c>
      <c r="Q46" s="68">
        <v>18154</v>
      </c>
      <c r="R46" s="414">
        <v>2000</v>
      </c>
      <c r="S46" s="415">
        <v>4.6100000000000003</v>
      </c>
      <c r="T46" s="416">
        <v>4.6100000000000003</v>
      </c>
      <c r="U46" s="422">
        <v>0</v>
      </c>
      <c r="V46" s="423">
        <f t="shared" si="4"/>
        <v>0</v>
      </c>
      <c r="W46" s="417">
        <f t="shared" si="4"/>
        <v>0</v>
      </c>
      <c r="X46" s="417">
        <f>40161+8252</f>
        <v>48413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5"/>
        <v>48413</v>
      </c>
      <c r="AF46" s="417">
        <f t="shared" si="6"/>
        <v>0</v>
      </c>
      <c r="AG46" s="417">
        <f t="shared" si="7"/>
        <v>48413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8"/>
        <v>0</v>
      </c>
      <c r="AN46" s="417">
        <f t="shared" si="9"/>
        <v>0</v>
      </c>
      <c r="AO46" s="417">
        <f t="shared" si="10"/>
        <v>0</v>
      </c>
      <c r="AP46" s="417">
        <f t="shared" si="11"/>
        <v>48413</v>
      </c>
      <c r="AQ46" s="417">
        <f t="shared" si="11"/>
        <v>0</v>
      </c>
      <c r="AR46" s="417">
        <f t="shared" si="12"/>
        <v>48413</v>
      </c>
      <c r="AS46" s="68">
        <f t="shared" si="13"/>
        <v>16364</v>
      </c>
      <c r="AT46" s="68">
        <f t="shared" si="14"/>
        <v>484</v>
      </c>
      <c r="AU46" s="417">
        <v>700</v>
      </c>
      <c r="AV46" s="417">
        <v>0</v>
      </c>
      <c r="AW46" s="417">
        <v>0</v>
      </c>
      <c r="AX46" s="417">
        <f t="shared" si="15"/>
        <v>700</v>
      </c>
      <c r="AY46" s="417">
        <f t="shared" si="16"/>
        <v>65961</v>
      </c>
      <c r="AZ46" s="418">
        <v>0</v>
      </c>
      <c r="BA46" s="418">
        <v>0</v>
      </c>
      <c r="BB46" s="418">
        <f>0.12+0.02</f>
        <v>0.13999999999999999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0.13999999999999999</v>
      </c>
      <c r="BJ46" s="418">
        <f t="shared" si="18"/>
        <v>0</v>
      </c>
      <c r="BK46" s="420">
        <f t="shared" si="19"/>
        <v>0.13999999999999999</v>
      </c>
      <c r="BL46" s="772">
        <f t="shared" si="66"/>
        <v>2515269</v>
      </c>
      <c r="BM46" s="417">
        <f t="shared" si="67"/>
        <v>1863924</v>
      </c>
      <c r="BN46" s="417">
        <f t="shared" si="68"/>
        <v>1863924</v>
      </c>
      <c r="BO46" s="417">
        <f t="shared" si="68"/>
        <v>0</v>
      </c>
      <c r="BP46" s="417">
        <f t="shared" si="69"/>
        <v>0</v>
      </c>
      <c r="BQ46" s="417">
        <f t="shared" si="70"/>
        <v>0</v>
      </c>
      <c r="BR46" s="417">
        <f t="shared" si="70"/>
        <v>0</v>
      </c>
      <c r="BS46" s="417">
        <f t="shared" si="71"/>
        <v>630007</v>
      </c>
      <c r="BT46" s="417">
        <f t="shared" si="71"/>
        <v>18638</v>
      </c>
      <c r="BU46" s="417">
        <f t="shared" si="72"/>
        <v>2700</v>
      </c>
      <c r="BV46" s="418">
        <f t="shared" si="73"/>
        <v>4.75</v>
      </c>
      <c r="BW46" s="418">
        <f t="shared" si="74"/>
        <v>4.75</v>
      </c>
      <c r="BX46" s="420">
        <f t="shared" si="74"/>
        <v>0</v>
      </c>
      <c r="BY46" s="994"/>
      <c r="BZ46" s="595"/>
      <c r="CA46" s="595"/>
      <c r="CB46" s="595"/>
      <c r="CC46" s="595"/>
      <c r="CD46" s="981"/>
      <c r="CE46" s="994"/>
      <c r="CF46" s="595"/>
      <c r="CG46" s="595"/>
      <c r="CH46" s="595"/>
      <c r="CI46" s="595"/>
      <c r="CJ46" s="981"/>
    </row>
    <row r="47" spans="1:88" ht="12.95" customHeight="1">
      <c r="A47" s="280">
        <v>8</v>
      </c>
      <c r="B47" s="321">
        <v>5445</v>
      </c>
      <c r="C47" s="322">
        <v>600099351</v>
      </c>
      <c r="D47" s="281">
        <v>70155771</v>
      </c>
      <c r="E47" s="323" t="s">
        <v>363</v>
      </c>
      <c r="F47" s="281">
        <v>3141</v>
      </c>
      <c r="G47" s="323" t="s">
        <v>294</v>
      </c>
      <c r="H47" s="284" t="s">
        <v>272</v>
      </c>
      <c r="I47" s="419">
        <v>1360248</v>
      </c>
      <c r="J47" s="414">
        <v>1002450</v>
      </c>
      <c r="K47" s="414">
        <v>0</v>
      </c>
      <c r="L47" s="414">
        <v>1002450</v>
      </c>
      <c r="M47" s="414">
        <v>0</v>
      </c>
      <c r="N47" s="414">
        <v>0</v>
      </c>
      <c r="O47" s="414">
        <v>0</v>
      </c>
      <c r="P47" s="68">
        <v>338829</v>
      </c>
      <c r="Q47" s="68">
        <v>10025</v>
      </c>
      <c r="R47" s="414">
        <v>8944</v>
      </c>
      <c r="S47" s="415">
        <v>3.0066999999999999</v>
      </c>
      <c r="T47" s="416">
        <v>0</v>
      </c>
      <c r="U47" s="422">
        <v>3.0066999999999999</v>
      </c>
      <c r="V47" s="423">
        <f t="shared" si="4"/>
        <v>0</v>
      </c>
      <c r="W47" s="417">
        <f t="shared" si="4"/>
        <v>0</v>
      </c>
      <c r="X47" s="417">
        <v>0</v>
      </c>
      <c r="Y47" s="417">
        <v>0</v>
      </c>
      <c r="Z47" s="417">
        <v>0</v>
      </c>
      <c r="AA47" s="417">
        <v>-3050</v>
      </c>
      <c r="AB47" s="417">
        <v>0</v>
      </c>
      <c r="AC47" s="417">
        <v>0</v>
      </c>
      <c r="AD47" s="417">
        <v>0</v>
      </c>
      <c r="AE47" s="417">
        <f t="shared" si="5"/>
        <v>0</v>
      </c>
      <c r="AF47" s="417">
        <f t="shared" si="6"/>
        <v>-3050</v>
      </c>
      <c r="AG47" s="417">
        <f t="shared" si="7"/>
        <v>-3050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8"/>
        <v>0</v>
      </c>
      <c r="AN47" s="417">
        <f t="shared" si="9"/>
        <v>0</v>
      </c>
      <c r="AO47" s="417">
        <f t="shared" si="10"/>
        <v>0</v>
      </c>
      <c r="AP47" s="417">
        <f t="shared" si="11"/>
        <v>0</v>
      </c>
      <c r="AQ47" s="417">
        <f t="shared" si="11"/>
        <v>-3050</v>
      </c>
      <c r="AR47" s="417">
        <f t="shared" si="12"/>
        <v>-3050</v>
      </c>
      <c r="AS47" s="68">
        <f t="shared" si="13"/>
        <v>-1031</v>
      </c>
      <c r="AT47" s="68">
        <f t="shared" si="14"/>
        <v>-31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-4112</v>
      </c>
      <c r="AZ47" s="418">
        <v>0</v>
      </c>
      <c r="BA47" s="418">
        <v>0</v>
      </c>
      <c r="BB47" s="418">
        <v>0</v>
      </c>
      <c r="BC47" s="418">
        <v>0</v>
      </c>
      <c r="BD47" s="418">
        <v>-0.01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-0.01</v>
      </c>
      <c r="BK47" s="420">
        <f t="shared" si="19"/>
        <v>-0.01</v>
      </c>
      <c r="BL47" s="772">
        <f t="shared" si="66"/>
        <v>1356136</v>
      </c>
      <c r="BM47" s="417">
        <f t="shared" si="67"/>
        <v>999400</v>
      </c>
      <c r="BN47" s="417">
        <f t="shared" si="68"/>
        <v>0</v>
      </c>
      <c r="BO47" s="417">
        <f t="shared" si="68"/>
        <v>999400</v>
      </c>
      <c r="BP47" s="417">
        <f t="shared" si="69"/>
        <v>0</v>
      </c>
      <c r="BQ47" s="417">
        <f t="shared" si="70"/>
        <v>0</v>
      </c>
      <c r="BR47" s="417">
        <f t="shared" si="70"/>
        <v>0</v>
      </c>
      <c r="BS47" s="417">
        <f t="shared" si="71"/>
        <v>337798</v>
      </c>
      <c r="BT47" s="417">
        <f t="shared" si="71"/>
        <v>9994</v>
      </c>
      <c r="BU47" s="417">
        <f t="shared" si="72"/>
        <v>8944</v>
      </c>
      <c r="BV47" s="418">
        <f t="shared" si="73"/>
        <v>2.9967000000000001</v>
      </c>
      <c r="BW47" s="418">
        <f t="shared" si="74"/>
        <v>0</v>
      </c>
      <c r="BX47" s="420">
        <f t="shared" si="74"/>
        <v>2.9967000000000001</v>
      </c>
      <c r="BY47" s="994"/>
      <c r="BZ47" s="595"/>
      <c r="CA47" s="595"/>
      <c r="CB47" s="595"/>
      <c r="CC47" s="595"/>
      <c r="CD47" s="981"/>
      <c r="CE47" s="994"/>
      <c r="CF47" s="595"/>
      <c r="CG47" s="595"/>
      <c r="CH47" s="595"/>
      <c r="CI47" s="595"/>
      <c r="CJ47" s="981"/>
    </row>
    <row r="48" spans="1:88" ht="12.95" customHeight="1">
      <c r="A48" s="280">
        <v>8</v>
      </c>
      <c r="B48" s="321">
        <v>5445</v>
      </c>
      <c r="C48" s="322">
        <v>600099351</v>
      </c>
      <c r="D48" s="281">
        <v>70155771</v>
      </c>
      <c r="E48" s="323" t="s">
        <v>363</v>
      </c>
      <c r="F48" s="281">
        <v>3143</v>
      </c>
      <c r="G48" s="323" t="s">
        <v>595</v>
      </c>
      <c r="H48" s="284" t="s">
        <v>271</v>
      </c>
      <c r="I48" s="419">
        <v>1943650</v>
      </c>
      <c r="J48" s="414">
        <v>1441877</v>
      </c>
      <c r="K48" s="414">
        <v>1441877</v>
      </c>
      <c r="L48" s="414">
        <v>0</v>
      </c>
      <c r="M48" s="414">
        <v>0</v>
      </c>
      <c r="N48" s="414">
        <v>0</v>
      </c>
      <c r="O48" s="414">
        <v>0</v>
      </c>
      <c r="P48" s="68">
        <v>487354</v>
      </c>
      <c r="Q48" s="68">
        <v>14419</v>
      </c>
      <c r="R48" s="414">
        <v>0</v>
      </c>
      <c r="S48" s="415">
        <v>2.7585999999999999</v>
      </c>
      <c r="T48" s="416">
        <v>2.7585999999999999</v>
      </c>
      <c r="U48" s="422">
        <v>0</v>
      </c>
      <c r="V48" s="423">
        <f t="shared" si="4"/>
        <v>0</v>
      </c>
      <c r="W48" s="417">
        <f t="shared" si="4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5"/>
        <v>0</v>
      </c>
      <c r="AF48" s="417">
        <f t="shared" si="6"/>
        <v>0</v>
      </c>
      <c r="AG48" s="417">
        <f t="shared" si="7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8"/>
        <v>0</v>
      </c>
      <c r="AN48" s="417">
        <f t="shared" si="9"/>
        <v>0</v>
      </c>
      <c r="AO48" s="417">
        <f t="shared" si="10"/>
        <v>0</v>
      </c>
      <c r="AP48" s="417">
        <f t="shared" si="11"/>
        <v>0</v>
      </c>
      <c r="AQ48" s="417">
        <f t="shared" si="11"/>
        <v>0</v>
      </c>
      <c r="AR48" s="417">
        <f t="shared" si="12"/>
        <v>0</v>
      </c>
      <c r="AS48" s="68">
        <f t="shared" si="13"/>
        <v>0</v>
      </c>
      <c r="AT48" s="68">
        <f t="shared" si="14"/>
        <v>0</v>
      </c>
      <c r="AU48" s="417">
        <v>0</v>
      </c>
      <c r="AV48" s="417">
        <v>0</v>
      </c>
      <c r="AW48" s="417">
        <v>0</v>
      </c>
      <c r="AX48" s="417">
        <f t="shared" si="15"/>
        <v>0</v>
      </c>
      <c r="AY48" s="417">
        <f t="shared" si="16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7"/>
        <v>0</v>
      </c>
      <c r="BJ48" s="418">
        <f t="shared" si="18"/>
        <v>0</v>
      </c>
      <c r="BK48" s="420">
        <f t="shared" si="19"/>
        <v>0</v>
      </c>
      <c r="BL48" s="772">
        <f t="shared" si="66"/>
        <v>1943650</v>
      </c>
      <c r="BM48" s="417">
        <f t="shared" si="67"/>
        <v>1441877</v>
      </c>
      <c r="BN48" s="417">
        <f t="shared" si="68"/>
        <v>1441877</v>
      </c>
      <c r="BO48" s="417">
        <f t="shared" si="68"/>
        <v>0</v>
      </c>
      <c r="BP48" s="417">
        <f t="shared" si="69"/>
        <v>0</v>
      </c>
      <c r="BQ48" s="417">
        <f t="shared" si="70"/>
        <v>0</v>
      </c>
      <c r="BR48" s="417">
        <f t="shared" si="70"/>
        <v>0</v>
      </c>
      <c r="BS48" s="417">
        <f t="shared" si="71"/>
        <v>487354</v>
      </c>
      <c r="BT48" s="417">
        <f t="shared" si="71"/>
        <v>14419</v>
      </c>
      <c r="BU48" s="417">
        <f t="shared" si="72"/>
        <v>0</v>
      </c>
      <c r="BV48" s="418">
        <f t="shared" si="73"/>
        <v>2.7585999999999999</v>
      </c>
      <c r="BW48" s="418">
        <f t="shared" si="74"/>
        <v>2.7585999999999999</v>
      </c>
      <c r="BX48" s="420">
        <f t="shared" si="74"/>
        <v>0</v>
      </c>
      <c r="BY48" s="994"/>
      <c r="BZ48" s="595"/>
      <c r="CA48" s="595"/>
      <c r="CB48" s="595"/>
      <c r="CC48" s="595"/>
      <c r="CD48" s="981"/>
      <c r="CE48" s="994"/>
      <c r="CF48" s="595"/>
      <c r="CG48" s="595"/>
      <c r="CH48" s="595"/>
      <c r="CI48" s="595"/>
      <c r="CJ48" s="981"/>
    </row>
    <row r="49" spans="1:88" ht="12.95" customHeight="1">
      <c r="A49" s="280">
        <v>8</v>
      </c>
      <c r="B49" s="321">
        <v>5445</v>
      </c>
      <c r="C49" s="322">
        <v>600099351</v>
      </c>
      <c r="D49" s="281">
        <v>70155771</v>
      </c>
      <c r="E49" s="323" t="s">
        <v>363</v>
      </c>
      <c r="F49" s="281">
        <v>3143</v>
      </c>
      <c r="G49" s="323" t="s">
        <v>596</v>
      </c>
      <c r="H49" s="284" t="s">
        <v>272</v>
      </c>
      <c r="I49" s="419">
        <v>68387</v>
      </c>
      <c r="J49" s="414">
        <v>48950</v>
      </c>
      <c r="K49" s="414">
        <v>0</v>
      </c>
      <c r="L49" s="414">
        <v>48950</v>
      </c>
      <c r="M49" s="414">
        <v>0</v>
      </c>
      <c r="N49" s="414">
        <v>0</v>
      </c>
      <c r="O49" s="414">
        <v>0</v>
      </c>
      <c r="P49" s="68">
        <v>16545</v>
      </c>
      <c r="Q49" s="68">
        <v>489</v>
      </c>
      <c r="R49" s="414">
        <v>2403</v>
      </c>
      <c r="S49" s="415">
        <v>0.18359999999999999</v>
      </c>
      <c r="T49" s="416">
        <v>0</v>
      </c>
      <c r="U49" s="422">
        <v>0.18359999999999999</v>
      </c>
      <c r="V49" s="423">
        <f t="shared" si="4"/>
        <v>0</v>
      </c>
      <c r="W49" s="417">
        <f t="shared" si="4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5"/>
        <v>0</v>
      </c>
      <c r="AF49" s="417">
        <f t="shared" si="6"/>
        <v>0</v>
      </c>
      <c r="AG49" s="417">
        <f t="shared" si="7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8"/>
        <v>0</v>
      </c>
      <c r="AN49" s="417">
        <f t="shared" si="9"/>
        <v>0</v>
      </c>
      <c r="AO49" s="417">
        <f t="shared" si="10"/>
        <v>0</v>
      </c>
      <c r="AP49" s="417">
        <f t="shared" si="11"/>
        <v>0</v>
      </c>
      <c r="AQ49" s="417">
        <f t="shared" si="11"/>
        <v>0</v>
      </c>
      <c r="AR49" s="417">
        <f t="shared" si="12"/>
        <v>0</v>
      </c>
      <c r="AS49" s="68">
        <f t="shared" si="13"/>
        <v>0</v>
      </c>
      <c r="AT49" s="68">
        <f t="shared" si="14"/>
        <v>0</v>
      </c>
      <c r="AU49" s="417">
        <v>0</v>
      </c>
      <c r="AV49" s="417">
        <v>0</v>
      </c>
      <c r="AW49" s="417">
        <v>0</v>
      </c>
      <c r="AX49" s="417">
        <f t="shared" si="15"/>
        <v>0</v>
      </c>
      <c r="AY49" s="417">
        <f t="shared" si="16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0</v>
      </c>
      <c r="BK49" s="420">
        <f t="shared" si="19"/>
        <v>0</v>
      </c>
      <c r="BL49" s="772">
        <f t="shared" si="66"/>
        <v>68387</v>
      </c>
      <c r="BM49" s="417">
        <f t="shared" si="67"/>
        <v>48950</v>
      </c>
      <c r="BN49" s="417">
        <f t="shared" si="68"/>
        <v>0</v>
      </c>
      <c r="BO49" s="417">
        <f t="shared" si="68"/>
        <v>48950</v>
      </c>
      <c r="BP49" s="417">
        <f t="shared" si="69"/>
        <v>0</v>
      </c>
      <c r="BQ49" s="417">
        <f t="shared" si="70"/>
        <v>0</v>
      </c>
      <c r="BR49" s="417">
        <f t="shared" si="70"/>
        <v>0</v>
      </c>
      <c r="BS49" s="417">
        <f t="shared" si="71"/>
        <v>16545</v>
      </c>
      <c r="BT49" s="417">
        <f t="shared" si="71"/>
        <v>489</v>
      </c>
      <c r="BU49" s="417">
        <f t="shared" si="72"/>
        <v>2403</v>
      </c>
      <c r="BV49" s="418">
        <f t="shared" si="73"/>
        <v>0.18359999999999999</v>
      </c>
      <c r="BW49" s="418">
        <f t="shared" si="74"/>
        <v>0</v>
      </c>
      <c r="BX49" s="420">
        <f t="shared" si="74"/>
        <v>0.18359999999999999</v>
      </c>
      <c r="BY49" s="994"/>
      <c r="BZ49" s="595"/>
      <c r="CA49" s="595"/>
      <c r="CB49" s="595"/>
      <c r="CC49" s="595"/>
      <c r="CD49" s="981"/>
      <c r="CE49" s="994"/>
      <c r="CF49" s="595"/>
      <c r="CG49" s="595"/>
      <c r="CH49" s="595"/>
      <c r="CI49" s="595"/>
      <c r="CJ49" s="981"/>
    </row>
    <row r="50" spans="1:88" ht="12.95" customHeight="1">
      <c r="A50" s="280">
        <v>8</v>
      </c>
      <c r="B50" s="321">
        <v>5445</v>
      </c>
      <c r="C50" s="322">
        <v>600099351</v>
      </c>
      <c r="D50" s="281">
        <v>70155771</v>
      </c>
      <c r="E50" s="323" t="s">
        <v>363</v>
      </c>
      <c r="F50" s="281">
        <v>3143</v>
      </c>
      <c r="G50" s="323" t="s">
        <v>296</v>
      </c>
      <c r="H50" s="284" t="s">
        <v>272</v>
      </c>
      <c r="I50" s="419">
        <v>280014</v>
      </c>
      <c r="J50" s="414">
        <v>152466</v>
      </c>
      <c r="K50" s="414">
        <v>124966</v>
      </c>
      <c r="L50" s="629">
        <v>27500</v>
      </c>
      <c r="M50" s="414">
        <v>55000</v>
      </c>
      <c r="N50" s="414">
        <v>55000</v>
      </c>
      <c r="O50" s="414">
        <v>0</v>
      </c>
      <c r="P50" s="630">
        <v>70123</v>
      </c>
      <c r="Q50" s="630">
        <v>1525</v>
      </c>
      <c r="R50" s="629">
        <v>900</v>
      </c>
      <c r="S50" s="631">
        <v>0.42899999999999994</v>
      </c>
      <c r="T50" s="632">
        <v>0.32999999999999996</v>
      </c>
      <c r="U50" s="764">
        <v>9.9000000000000005E-2</v>
      </c>
      <c r="V50" s="423">
        <f t="shared" si="4"/>
        <v>0</v>
      </c>
      <c r="W50" s="417">
        <f t="shared" si="4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5"/>
        <v>0</v>
      </c>
      <c r="AF50" s="417">
        <f t="shared" si="6"/>
        <v>0</v>
      </c>
      <c r="AG50" s="417">
        <f t="shared" si="7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8"/>
        <v>0</v>
      </c>
      <c r="AN50" s="417">
        <f t="shared" si="9"/>
        <v>0</v>
      </c>
      <c r="AO50" s="417">
        <f t="shared" si="10"/>
        <v>0</v>
      </c>
      <c r="AP50" s="417">
        <f t="shared" si="11"/>
        <v>0</v>
      </c>
      <c r="AQ50" s="417">
        <f t="shared" si="11"/>
        <v>0</v>
      </c>
      <c r="AR50" s="417">
        <f t="shared" si="12"/>
        <v>0</v>
      </c>
      <c r="AS50" s="68">
        <f t="shared" si="13"/>
        <v>0</v>
      </c>
      <c r="AT50" s="68">
        <f t="shared" si="14"/>
        <v>0</v>
      </c>
      <c r="AU50" s="417">
        <v>0</v>
      </c>
      <c r="AV50" s="417">
        <v>0</v>
      </c>
      <c r="AW50" s="417">
        <v>0</v>
      </c>
      <c r="AX50" s="417">
        <f t="shared" si="15"/>
        <v>0</v>
      </c>
      <c r="AY50" s="417">
        <f t="shared" si="16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7"/>
        <v>0</v>
      </c>
      <c r="BJ50" s="418">
        <f t="shared" si="18"/>
        <v>0</v>
      </c>
      <c r="BK50" s="420">
        <f t="shared" si="19"/>
        <v>0</v>
      </c>
      <c r="BL50" s="772">
        <f t="shared" si="66"/>
        <v>280014</v>
      </c>
      <c r="BM50" s="417">
        <f t="shared" si="67"/>
        <v>152466</v>
      </c>
      <c r="BN50" s="417">
        <f t="shared" si="68"/>
        <v>124966</v>
      </c>
      <c r="BO50" s="417">
        <f t="shared" si="68"/>
        <v>27500</v>
      </c>
      <c r="BP50" s="417">
        <f t="shared" si="69"/>
        <v>55000</v>
      </c>
      <c r="BQ50" s="417">
        <f t="shared" si="70"/>
        <v>55000</v>
      </c>
      <c r="BR50" s="417">
        <f t="shared" si="70"/>
        <v>0</v>
      </c>
      <c r="BS50" s="417">
        <f t="shared" si="71"/>
        <v>70123</v>
      </c>
      <c r="BT50" s="417">
        <f t="shared" si="71"/>
        <v>1525</v>
      </c>
      <c r="BU50" s="417">
        <f t="shared" si="72"/>
        <v>900</v>
      </c>
      <c r="BV50" s="418">
        <f t="shared" si="73"/>
        <v>0.42899999999999994</v>
      </c>
      <c r="BW50" s="418">
        <f t="shared" si="74"/>
        <v>0.32999999999999996</v>
      </c>
      <c r="BX50" s="420">
        <f t="shared" si="74"/>
        <v>9.9000000000000005E-2</v>
      </c>
      <c r="BY50" s="994"/>
      <c r="BZ50" s="595"/>
      <c r="CA50" s="595"/>
      <c r="CB50" s="595"/>
      <c r="CC50" s="595"/>
      <c r="CD50" s="981"/>
      <c r="CE50" s="994"/>
      <c r="CF50" s="595"/>
      <c r="CG50" s="595"/>
      <c r="CH50" s="595"/>
      <c r="CI50" s="595"/>
      <c r="CJ50" s="981"/>
    </row>
    <row r="51" spans="1:88" ht="12.95" customHeight="1">
      <c r="A51" s="324">
        <v>8</v>
      </c>
      <c r="B51" s="325">
        <v>5445</v>
      </c>
      <c r="C51" s="326">
        <v>600099351</v>
      </c>
      <c r="D51" s="325">
        <v>70155771</v>
      </c>
      <c r="E51" s="327" t="s">
        <v>364</v>
      </c>
      <c r="F51" s="291"/>
      <c r="G51" s="329"/>
      <c r="H51" s="292"/>
      <c r="I51" s="471">
        <v>34880454</v>
      </c>
      <c r="J51" s="467">
        <v>25413351</v>
      </c>
      <c r="K51" s="467">
        <v>22040800</v>
      </c>
      <c r="L51" s="467">
        <v>3372551</v>
      </c>
      <c r="M51" s="467">
        <v>60000</v>
      </c>
      <c r="N51" s="467">
        <v>55000</v>
      </c>
      <c r="O51" s="467">
        <v>5000</v>
      </c>
      <c r="P51" s="467">
        <v>8609993</v>
      </c>
      <c r="Q51" s="467">
        <v>254133</v>
      </c>
      <c r="R51" s="467">
        <v>542977</v>
      </c>
      <c r="S51" s="468">
        <v>44.220500000000001</v>
      </c>
      <c r="T51" s="468">
        <v>34.088999999999999</v>
      </c>
      <c r="U51" s="531">
        <v>10.131500000000001</v>
      </c>
      <c r="V51" s="471">
        <f t="shared" ref="V51:BK51" si="75">SUM(V45:V50)</f>
        <v>0</v>
      </c>
      <c r="W51" s="467">
        <f t="shared" si="75"/>
        <v>0</v>
      </c>
      <c r="X51" s="467">
        <f t="shared" si="75"/>
        <v>48413</v>
      </c>
      <c r="Y51" s="467">
        <f t="shared" si="75"/>
        <v>0</v>
      </c>
      <c r="Z51" s="467">
        <f t="shared" si="75"/>
        <v>0</v>
      </c>
      <c r="AA51" s="467">
        <f t="shared" si="75"/>
        <v>-3050</v>
      </c>
      <c r="AB51" s="467">
        <f t="shared" si="75"/>
        <v>0</v>
      </c>
      <c r="AC51" s="467">
        <f t="shared" si="75"/>
        <v>0</v>
      </c>
      <c r="AD51" s="467">
        <f t="shared" si="75"/>
        <v>0</v>
      </c>
      <c r="AE51" s="467">
        <f t="shared" si="75"/>
        <v>48413</v>
      </c>
      <c r="AF51" s="467">
        <f t="shared" si="75"/>
        <v>-3050</v>
      </c>
      <c r="AG51" s="467">
        <f t="shared" si="75"/>
        <v>45363</v>
      </c>
      <c r="AH51" s="467">
        <f t="shared" si="75"/>
        <v>0</v>
      </c>
      <c r="AI51" s="467">
        <f t="shared" si="75"/>
        <v>0</v>
      </c>
      <c r="AJ51" s="467">
        <f t="shared" si="75"/>
        <v>0</v>
      </c>
      <c r="AK51" s="467">
        <f t="shared" si="75"/>
        <v>0</v>
      </c>
      <c r="AL51" s="467">
        <f t="shared" si="75"/>
        <v>0</v>
      </c>
      <c r="AM51" s="467">
        <f t="shared" si="75"/>
        <v>0</v>
      </c>
      <c r="AN51" s="467">
        <f t="shared" si="75"/>
        <v>0</v>
      </c>
      <c r="AO51" s="467">
        <f t="shared" si="75"/>
        <v>0</v>
      </c>
      <c r="AP51" s="467">
        <f t="shared" si="75"/>
        <v>48413</v>
      </c>
      <c r="AQ51" s="467">
        <f t="shared" si="75"/>
        <v>-3050</v>
      </c>
      <c r="AR51" s="467">
        <f t="shared" si="75"/>
        <v>45363</v>
      </c>
      <c r="AS51" s="467">
        <f t="shared" si="75"/>
        <v>15333</v>
      </c>
      <c r="AT51" s="467">
        <f t="shared" si="75"/>
        <v>453</v>
      </c>
      <c r="AU51" s="467">
        <f t="shared" si="75"/>
        <v>700</v>
      </c>
      <c r="AV51" s="467">
        <f t="shared" si="75"/>
        <v>0</v>
      </c>
      <c r="AW51" s="467">
        <f t="shared" si="75"/>
        <v>0</v>
      </c>
      <c r="AX51" s="467">
        <f t="shared" si="75"/>
        <v>700</v>
      </c>
      <c r="AY51" s="467">
        <f t="shared" si="75"/>
        <v>61849</v>
      </c>
      <c r="AZ51" s="468">
        <f t="shared" si="75"/>
        <v>0</v>
      </c>
      <c r="BA51" s="468">
        <f t="shared" si="75"/>
        <v>0</v>
      </c>
      <c r="BB51" s="468">
        <f t="shared" si="75"/>
        <v>0.13999999999999999</v>
      </c>
      <c r="BC51" s="468">
        <f t="shared" si="75"/>
        <v>0</v>
      </c>
      <c r="BD51" s="468">
        <f t="shared" si="75"/>
        <v>-0.01</v>
      </c>
      <c r="BE51" s="468">
        <f t="shared" si="75"/>
        <v>0</v>
      </c>
      <c r="BF51" s="468">
        <f t="shared" si="75"/>
        <v>0</v>
      </c>
      <c r="BG51" s="468">
        <f t="shared" si="75"/>
        <v>0</v>
      </c>
      <c r="BH51" s="468">
        <f t="shared" si="75"/>
        <v>0</v>
      </c>
      <c r="BI51" s="468">
        <f t="shared" si="75"/>
        <v>0.13999999999999999</v>
      </c>
      <c r="BJ51" s="468">
        <f t="shared" si="75"/>
        <v>-0.01</v>
      </c>
      <c r="BK51" s="328">
        <f t="shared" si="75"/>
        <v>0.12999999999999998</v>
      </c>
      <c r="BL51" s="774">
        <f t="shared" ref="BL51:CG51" si="76">SUM(BL45:BL50)</f>
        <v>34942303</v>
      </c>
      <c r="BM51" s="467">
        <f t="shared" si="76"/>
        <v>25458714</v>
      </c>
      <c r="BN51" s="467">
        <f t="shared" si="76"/>
        <v>22089213</v>
      </c>
      <c r="BO51" s="467">
        <f t="shared" si="76"/>
        <v>3369501</v>
      </c>
      <c r="BP51" s="467">
        <f t="shared" si="76"/>
        <v>60000</v>
      </c>
      <c r="BQ51" s="467">
        <f t="shared" si="76"/>
        <v>55000</v>
      </c>
      <c r="BR51" s="467">
        <f t="shared" si="76"/>
        <v>5000</v>
      </c>
      <c r="BS51" s="467">
        <f t="shared" si="76"/>
        <v>8625326</v>
      </c>
      <c r="BT51" s="467">
        <f t="shared" si="76"/>
        <v>254586</v>
      </c>
      <c r="BU51" s="467">
        <f t="shared" si="76"/>
        <v>543677</v>
      </c>
      <c r="BV51" s="468">
        <f t="shared" si="76"/>
        <v>44.350499999999997</v>
      </c>
      <c r="BW51" s="468">
        <f t="shared" si="76"/>
        <v>34.228999999999999</v>
      </c>
      <c r="BX51" s="328">
        <f t="shared" si="76"/>
        <v>10.121500000000001</v>
      </c>
      <c r="BY51" s="838">
        <f t="shared" si="76"/>
        <v>608218</v>
      </c>
      <c r="BZ51" s="721">
        <f t="shared" si="76"/>
        <v>451200</v>
      </c>
      <c r="CA51" s="721">
        <f t="shared" si="76"/>
        <v>0</v>
      </c>
      <c r="CB51" s="721">
        <f t="shared" si="76"/>
        <v>152506</v>
      </c>
      <c r="CC51" s="721">
        <f t="shared" si="76"/>
        <v>4512</v>
      </c>
      <c r="CD51" s="826">
        <f t="shared" si="76"/>
        <v>0.8</v>
      </c>
      <c r="CE51" s="995">
        <f t="shared" si="76"/>
        <v>1117375</v>
      </c>
      <c r="CF51" s="995">
        <f t="shared" si="76"/>
        <v>737820</v>
      </c>
      <c r="CG51" s="995">
        <f t="shared" si="76"/>
        <v>249383</v>
      </c>
      <c r="CH51" s="995">
        <f t="shared" ref="CH51:CJ51" si="77">SUM(CH45:CH50)</f>
        <v>7378</v>
      </c>
      <c r="CI51" s="995">
        <f t="shared" si="77"/>
        <v>122794</v>
      </c>
      <c r="CJ51" s="933">
        <f t="shared" si="77"/>
        <v>2.2027999999999999</v>
      </c>
    </row>
    <row r="52" spans="1:88" ht="12.95" customHeight="1">
      <c r="A52" s="280">
        <v>9</v>
      </c>
      <c r="B52" s="321">
        <v>5446</v>
      </c>
      <c r="C52" s="334">
        <v>600099393</v>
      </c>
      <c r="D52" s="281">
        <v>856096</v>
      </c>
      <c r="E52" s="323" t="s">
        <v>365</v>
      </c>
      <c r="F52" s="281">
        <v>3231</v>
      </c>
      <c r="G52" s="323" t="s">
        <v>295</v>
      </c>
      <c r="H52" s="284" t="s">
        <v>271</v>
      </c>
      <c r="I52" s="419">
        <v>22626983</v>
      </c>
      <c r="J52" s="414">
        <v>16668850</v>
      </c>
      <c r="K52" s="414">
        <v>15757233</v>
      </c>
      <c r="L52" s="414">
        <v>911617</v>
      </c>
      <c r="M52" s="414">
        <v>87800</v>
      </c>
      <c r="N52" s="414">
        <v>74000</v>
      </c>
      <c r="O52" s="414">
        <v>13800</v>
      </c>
      <c r="P52" s="68">
        <v>5663748</v>
      </c>
      <c r="Q52" s="68">
        <v>166688</v>
      </c>
      <c r="R52" s="414">
        <v>39897</v>
      </c>
      <c r="S52" s="415">
        <v>27.540399999999998</v>
      </c>
      <c r="T52" s="416">
        <v>24.974099999999996</v>
      </c>
      <c r="U52" s="422">
        <v>2.5663</v>
      </c>
      <c r="V52" s="423">
        <f t="shared" si="4"/>
        <v>11400</v>
      </c>
      <c r="W52" s="417">
        <f t="shared" si="4"/>
        <v>-11400</v>
      </c>
      <c r="X52" s="417">
        <v>0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5"/>
        <v>11400</v>
      </c>
      <c r="AF52" s="417">
        <f t="shared" si="6"/>
        <v>-11400</v>
      </c>
      <c r="AG52" s="417">
        <f t="shared" si="7"/>
        <v>0</v>
      </c>
      <c r="AH52" s="417">
        <v>-11400</v>
      </c>
      <c r="AI52" s="417">
        <v>11400</v>
      </c>
      <c r="AJ52" s="417">
        <v>0</v>
      </c>
      <c r="AK52" s="417">
        <v>0</v>
      </c>
      <c r="AL52" s="417">
        <v>0</v>
      </c>
      <c r="AM52" s="417">
        <f t="shared" si="8"/>
        <v>-11400</v>
      </c>
      <c r="AN52" s="417">
        <f t="shared" si="9"/>
        <v>11400</v>
      </c>
      <c r="AO52" s="417">
        <f t="shared" si="10"/>
        <v>0</v>
      </c>
      <c r="AP52" s="417">
        <f t="shared" si="11"/>
        <v>0</v>
      </c>
      <c r="AQ52" s="417">
        <f t="shared" si="11"/>
        <v>0</v>
      </c>
      <c r="AR52" s="417">
        <f t="shared" si="12"/>
        <v>0</v>
      </c>
      <c r="AS52" s="68">
        <f t="shared" si="13"/>
        <v>0</v>
      </c>
      <c r="AT52" s="68">
        <f t="shared" si="14"/>
        <v>0</v>
      </c>
      <c r="AU52" s="417">
        <v>0</v>
      </c>
      <c r="AV52" s="417">
        <v>0</v>
      </c>
      <c r="AW52" s="417">
        <v>0</v>
      </c>
      <c r="AX52" s="417">
        <f t="shared" si="15"/>
        <v>0</v>
      </c>
      <c r="AY52" s="417">
        <f t="shared" si="16"/>
        <v>0</v>
      </c>
      <c r="AZ52" s="418">
        <v>-0.01</v>
      </c>
      <c r="BA52" s="418">
        <v>-0.03</v>
      </c>
      <c r="BB52" s="418">
        <v>0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7"/>
        <v>-0.01</v>
      </c>
      <c r="BJ52" s="418">
        <f t="shared" si="18"/>
        <v>-0.03</v>
      </c>
      <c r="BK52" s="420">
        <f t="shared" si="19"/>
        <v>-0.04</v>
      </c>
      <c r="BL52" s="772">
        <f>I52+AY52</f>
        <v>22626983</v>
      </c>
      <c r="BM52" s="417">
        <f>J52+AG52</f>
        <v>16668850</v>
      </c>
      <c r="BN52" s="417">
        <f>K52+AE52</f>
        <v>15768633</v>
      </c>
      <c r="BO52" s="417">
        <f>L52+AF52</f>
        <v>900217</v>
      </c>
      <c r="BP52" s="417">
        <f>M52+AO52</f>
        <v>87800</v>
      </c>
      <c r="BQ52" s="417">
        <f>N52+AM52</f>
        <v>62600</v>
      </c>
      <c r="BR52" s="417">
        <f>O52+AN52</f>
        <v>25200</v>
      </c>
      <c r="BS52" s="417">
        <f>P52+AS52</f>
        <v>5663748</v>
      </c>
      <c r="BT52" s="417">
        <f>Q52+AT52</f>
        <v>166688</v>
      </c>
      <c r="BU52" s="417">
        <f>R52+AX52</f>
        <v>39897</v>
      </c>
      <c r="BV52" s="418">
        <f>S52+BK52</f>
        <v>27.500399999999999</v>
      </c>
      <c r="BW52" s="418">
        <f>T52+BI52</f>
        <v>24.964099999999995</v>
      </c>
      <c r="BX52" s="420">
        <f>U52+BJ52</f>
        <v>2.5363000000000002</v>
      </c>
      <c r="BY52" s="994"/>
      <c r="BZ52" s="595"/>
      <c r="CA52" s="595"/>
      <c r="CB52" s="595"/>
      <c r="CC52" s="595"/>
      <c r="CD52" s="981"/>
      <c r="CE52" s="994">
        <v>423256</v>
      </c>
      <c r="CF52" s="595">
        <v>304310</v>
      </c>
      <c r="CG52" s="595">
        <v>102857</v>
      </c>
      <c r="CH52" s="595">
        <v>3043</v>
      </c>
      <c r="CI52" s="595">
        <v>13046</v>
      </c>
      <c r="CJ52" s="981">
        <v>0.85350000000000004</v>
      </c>
    </row>
    <row r="53" spans="1:88" ht="12.95" customHeight="1">
      <c r="A53" s="324">
        <v>9</v>
      </c>
      <c r="B53" s="325">
        <v>5446</v>
      </c>
      <c r="C53" s="326">
        <v>600099393</v>
      </c>
      <c r="D53" s="325">
        <v>856096</v>
      </c>
      <c r="E53" s="327" t="s">
        <v>366</v>
      </c>
      <c r="F53" s="291"/>
      <c r="G53" s="329"/>
      <c r="H53" s="292"/>
      <c r="I53" s="471">
        <v>22626983</v>
      </c>
      <c r="J53" s="467">
        <v>16668850</v>
      </c>
      <c r="K53" s="467">
        <v>15757233</v>
      </c>
      <c r="L53" s="467">
        <v>911617</v>
      </c>
      <c r="M53" s="467">
        <v>87800</v>
      </c>
      <c r="N53" s="467">
        <v>74000</v>
      </c>
      <c r="O53" s="467">
        <v>13800</v>
      </c>
      <c r="P53" s="467">
        <v>5663748</v>
      </c>
      <c r="Q53" s="467">
        <v>166688</v>
      </c>
      <c r="R53" s="467">
        <v>39897</v>
      </c>
      <c r="S53" s="468">
        <v>27.540399999999998</v>
      </c>
      <c r="T53" s="468">
        <v>24.974099999999996</v>
      </c>
      <c r="U53" s="531">
        <v>2.5663</v>
      </c>
      <c r="V53" s="471">
        <f t="shared" ref="V53:BK53" si="78">SUM(V52)</f>
        <v>11400</v>
      </c>
      <c r="W53" s="467">
        <f t="shared" si="78"/>
        <v>-11400</v>
      </c>
      <c r="X53" s="467">
        <f t="shared" si="78"/>
        <v>0</v>
      </c>
      <c r="Y53" s="467">
        <f t="shared" si="78"/>
        <v>0</v>
      </c>
      <c r="Z53" s="467">
        <f t="shared" si="78"/>
        <v>0</v>
      </c>
      <c r="AA53" s="467">
        <f t="shared" si="78"/>
        <v>0</v>
      </c>
      <c r="AB53" s="467">
        <f t="shared" si="78"/>
        <v>0</v>
      </c>
      <c r="AC53" s="467">
        <f t="shared" si="78"/>
        <v>0</v>
      </c>
      <c r="AD53" s="467">
        <f t="shared" si="78"/>
        <v>0</v>
      </c>
      <c r="AE53" s="467">
        <f t="shared" si="78"/>
        <v>11400</v>
      </c>
      <c r="AF53" s="467">
        <f t="shared" si="78"/>
        <v>-11400</v>
      </c>
      <c r="AG53" s="467">
        <f t="shared" si="78"/>
        <v>0</v>
      </c>
      <c r="AH53" s="467">
        <f t="shared" si="78"/>
        <v>-11400</v>
      </c>
      <c r="AI53" s="467">
        <f t="shared" si="78"/>
        <v>11400</v>
      </c>
      <c r="AJ53" s="467">
        <f t="shared" si="78"/>
        <v>0</v>
      </c>
      <c r="AK53" s="467">
        <f t="shared" si="78"/>
        <v>0</v>
      </c>
      <c r="AL53" s="467">
        <f t="shared" si="78"/>
        <v>0</v>
      </c>
      <c r="AM53" s="467">
        <f t="shared" si="78"/>
        <v>-11400</v>
      </c>
      <c r="AN53" s="467">
        <f t="shared" si="78"/>
        <v>11400</v>
      </c>
      <c r="AO53" s="467">
        <f t="shared" si="78"/>
        <v>0</v>
      </c>
      <c r="AP53" s="467">
        <f t="shared" si="78"/>
        <v>0</v>
      </c>
      <c r="AQ53" s="467">
        <f t="shared" si="78"/>
        <v>0</v>
      </c>
      <c r="AR53" s="467">
        <f t="shared" si="78"/>
        <v>0</v>
      </c>
      <c r="AS53" s="467">
        <f t="shared" si="78"/>
        <v>0</v>
      </c>
      <c r="AT53" s="467">
        <f t="shared" si="78"/>
        <v>0</v>
      </c>
      <c r="AU53" s="467">
        <f t="shared" si="78"/>
        <v>0</v>
      </c>
      <c r="AV53" s="467">
        <f t="shared" si="78"/>
        <v>0</v>
      </c>
      <c r="AW53" s="467">
        <f t="shared" si="78"/>
        <v>0</v>
      </c>
      <c r="AX53" s="467">
        <f t="shared" si="78"/>
        <v>0</v>
      </c>
      <c r="AY53" s="467">
        <f t="shared" si="78"/>
        <v>0</v>
      </c>
      <c r="AZ53" s="468">
        <f t="shared" si="78"/>
        <v>-0.01</v>
      </c>
      <c r="BA53" s="468">
        <f t="shared" si="78"/>
        <v>-0.03</v>
      </c>
      <c r="BB53" s="468">
        <f t="shared" si="78"/>
        <v>0</v>
      </c>
      <c r="BC53" s="468">
        <f t="shared" si="78"/>
        <v>0</v>
      </c>
      <c r="BD53" s="468">
        <f t="shared" si="78"/>
        <v>0</v>
      </c>
      <c r="BE53" s="468">
        <f t="shared" si="78"/>
        <v>0</v>
      </c>
      <c r="BF53" s="468">
        <f t="shared" si="78"/>
        <v>0</v>
      </c>
      <c r="BG53" s="468">
        <f t="shared" si="78"/>
        <v>0</v>
      </c>
      <c r="BH53" s="468">
        <f t="shared" si="78"/>
        <v>0</v>
      </c>
      <c r="BI53" s="468">
        <f t="shared" si="78"/>
        <v>-0.01</v>
      </c>
      <c r="BJ53" s="468">
        <f t="shared" si="78"/>
        <v>-0.03</v>
      </c>
      <c r="BK53" s="328">
        <f t="shared" si="78"/>
        <v>-0.04</v>
      </c>
      <c r="BL53" s="774">
        <f t="shared" ref="BL53:CG53" si="79">SUM(BL52)</f>
        <v>22626983</v>
      </c>
      <c r="BM53" s="467">
        <f t="shared" si="79"/>
        <v>16668850</v>
      </c>
      <c r="BN53" s="467">
        <f t="shared" si="79"/>
        <v>15768633</v>
      </c>
      <c r="BO53" s="467">
        <f t="shared" si="79"/>
        <v>900217</v>
      </c>
      <c r="BP53" s="467">
        <f t="shared" si="79"/>
        <v>87800</v>
      </c>
      <c r="BQ53" s="467">
        <f t="shared" si="79"/>
        <v>62600</v>
      </c>
      <c r="BR53" s="467">
        <f t="shared" si="79"/>
        <v>25200</v>
      </c>
      <c r="BS53" s="467">
        <f t="shared" si="79"/>
        <v>5663748</v>
      </c>
      <c r="BT53" s="467">
        <f t="shared" si="79"/>
        <v>166688</v>
      </c>
      <c r="BU53" s="467">
        <f t="shared" si="79"/>
        <v>39897</v>
      </c>
      <c r="BV53" s="468">
        <f t="shared" si="79"/>
        <v>27.500399999999999</v>
      </c>
      <c r="BW53" s="468">
        <f t="shared" si="79"/>
        <v>24.964099999999995</v>
      </c>
      <c r="BX53" s="328">
        <f t="shared" si="79"/>
        <v>2.5363000000000002</v>
      </c>
      <c r="BY53" s="838">
        <f t="shared" si="79"/>
        <v>0</v>
      </c>
      <c r="BZ53" s="721">
        <f t="shared" si="79"/>
        <v>0</v>
      </c>
      <c r="CA53" s="721">
        <f t="shared" si="79"/>
        <v>0</v>
      </c>
      <c r="CB53" s="721">
        <f t="shared" si="79"/>
        <v>0</v>
      </c>
      <c r="CC53" s="721">
        <f t="shared" si="79"/>
        <v>0</v>
      </c>
      <c r="CD53" s="826">
        <f t="shared" si="79"/>
        <v>0</v>
      </c>
      <c r="CE53" s="995">
        <f t="shared" si="79"/>
        <v>423256</v>
      </c>
      <c r="CF53" s="995">
        <f t="shared" si="79"/>
        <v>304310</v>
      </c>
      <c r="CG53" s="995">
        <f t="shared" si="79"/>
        <v>102857</v>
      </c>
      <c r="CH53" s="995">
        <f t="shared" ref="CH53:CJ53" si="80">SUM(CH52)</f>
        <v>3043</v>
      </c>
      <c r="CI53" s="995">
        <f t="shared" si="80"/>
        <v>13046</v>
      </c>
      <c r="CJ53" s="933">
        <f t="shared" si="80"/>
        <v>0.85350000000000004</v>
      </c>
    </row>
    <row r="54" spans="1:88" ht="12.95" customHeight="1">
      <c r="A54" s="280">
        <v>10</v>
      </c>
      <c r="B54" s="321">
        <v>5403</v>
      </c>
      <c r="C54" s="322">
        <v>600098966</v>
      </c>
      <c r="D54" s="281">
        <v>75016931</v>
      </c>
      <c r="E54" s="323" t="s">
        <v>367</v>
      </c>
      <c r="F54" s="281">
        <v>3111</v>
      </c>
      <c r="G54" s="323" t="s">
        <v>304</v>
      </c>
      <c r="H54" s="284" t="s">
        <v>271</v>
      </c>
      <c r="I54" s="419">
        <v>3054603</v>
      </c>
      <c r="J54" s="414">
        <v>2242532</v>
      </c>
      <c r="K54" s="414">
        <v>2071514</v>
      </c>
      <c r="L54" s="414">
        <v>171018</v>
      </c>
      <c r="M54" s="414">
        <v>15000</v>
      </c>
      <c r="N54" s="414">
        <v>9600</v>
      </c>
      <c r="O54" s="414">
        <v>5400</v>
      </c>
      <c r="P54" s="68">
        <v>763046</v>
      </c>
      <c r="Q54" s="68">
        <v>22425</v>
      </c>
      <c r="R54" s="414">
        <v>11600</v>
      </c>
      <c r="S54" s="415">
        <v>4.5478000000000005</v>
      </c>
      <c r="T54" s="416">
        <v>3.871</v>
      </c>
      <c r="U54" s="422">
        <v>0.67679999999999996</v>
      </c>
      <c r="V54" s="423">
        <f t="shared" si="4"/>
        <v>9600</v>
      </c>
      <c r="W54" s="417">
        <f t="shared" si="4"/>
        <v>3400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5"/>
        <v>9600</v>
      </c>
      <c r="AF54" s="417">
        <f t="shared" si="6"/>
        <v>3400</v>
      </c>
      <c r="AG54" s="417">
        <f t="shared" si="7"/>
        <v>13000</v>
      </c>
      <c r="AH54" s="417">
        <v>-9600</v>
      </c>
      <c r="AI54" s="417">
        <v>-3400</v>
      </c>
      <c r="AJ54" s="417">
        <v>0</v>
      </c>
      <c r="AK54" s="417">
        <v>0</v>
      </c>
      <c r="AL54" s="417">
        <v>0</v>
      </c>
      <c r="AM54" s="417">
        <f t="shared" si="8"/>
        <v>-9600</v>
      </c>
      <c r="AN54" s="417">
        <f t="shared" si="9"/>
        <v>-3400</v>
      </c>
      <c r="AO54" s="417">
        <f t="shared" si="10"/>
        <v>-13000</v>
      </c>
      <c r="AP54" s="417">
        <f t="shared" si="11"/>
        <v>0</v>
      </c>
      <c r="AQ54" s="417">
        <f t="shared" si="11"/>
        <v>0</v>
      </c>
      <c r="AR54" s="417">
        <f t="shared" si="12"/>
        <v>0</v>
      </c>
      <c r="AS54" s="68">
        <f t="shared" si="13"/>
        <v>0</v>
      </c>
      <c r="AT54" s="68">
        <f t="shared" si="14"/>
        <v>130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130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0</v>
      </c>
      <c r="BK54" s="420">
        <f t="shared" si="19"/>
        <v>0</v>
      </c>
      <c r="BL54" s="772">
        <f t="shared" ref="BL54:BL59" si="81">I54+AY54</f>
        <v>3054733</v>
      </c>
      <c r="BM54" s="417">
        <f t="shared" ref="BM54:BM59" si="82">J54+AG54</f>
        <v>2255532</v>
      </c>
      <c r="BN54" s="417">
        <f t="shared" ref="BN54:BO59" si="83">K54+AE54</f>
        <v>2081114</v>
      </c>
      <c r="BO54" s="417">
        <f t="shared" si="83"/>
        <v>174418</v>
      </c>
      <c r="BP54" s="417">
        <f t="shared" ref="BP54:BP59" si="84">M54+AO54</f>
        <v>2000</v>
      </c>
      <c r="BQ54" s="417">
        <f t="shared" ref="BQ54:BR59" si="85">N54+AM54</f>
        <v>0</v>
      </c>
      <c r="BR54" s="417">
        <f t="shared" si="85"/>
        <v>2000</v>
      </c>
      <c r="BS54" s="417">
        <f t="shared" ref="BS54:BT59" si="86">P54+AS54</f>
        <v>763046</v>
      </c>
      <c r="BT54" s="417">
        <f t="shared" si="86"/>
        <v>22555</v>
      </c>
      <c r="BU54" s="417">
        <f t="shared" ref="BU54:BU59" si="87">R54+AX54</f>
        <v>11600</v>
      </c>
      <c r="BV54" s="418">
        <f t="shared" ref="BV54:BV59" si="88">S54+BK54</f>
        <v>4.5478000000000005</v>
      </c>
      <c r="BW54" s="418">
        <f t="shared" ref="BW54:BX59" si="89">T54+BI54</f>
        <v>3.871</v>
      </c>
      <c r="BX54" s="420">
        <f t="shared" si="89"/>
        <v>0.67679999999999996</v>
      </c>
      <c r="BY54" s="994"/>
      <c r="BZ54" s="595"/>
      <c r="CA54" s="595"/>
      <c r="CB54" s="595"/>
      <c r="CC54" s="595"/>
      <c r="CD54" s="981"/>
      <c r="CE54" s="994">
        <v>80167</v>
      </c>
      <c r="CF54" s="595">
        <v>56610</v>
      </c>
      <c r="CG54" s="595">
        <v>19134</v>
      </c>
      <c r="CH54" s="595">
        <v>566</v>
      </c>
      <c r="CI54" s="595">
        <v>3857</v>
      </c>
      <c r="CJ54" s="981">
        <v>0.2268</v>
      </c>
    </row>
    <row r="55" spans="1:88" ht="12.95" customHeight="1">
      <c r="A55" s="280">
        <v>10</v>
      </c>
      <c r="B55" s="321">
        <v>5403</v>
      </c>
      <c r="C55" s="322">
        <v>600098966</v>
      </c>
      <c r="D55" s="281">
        <v>75016931</v>
      </c>
      <c r="E55" s="323" t="s">
        <v>367</v>
      </c>
      <c r="F55" s="281">
        <v>3117</v>
      </c>
      <c r="G55" s="323" t="s">
        <v>293</v>
      </c>
      <c r="H55" s="284" t="s">
        <v>271</v>
      </c>
      <c r="I55" s="419">
        <v>3373507</v>
      </c>
      <c r="J55" s="414">
        <v>2344178</v>
      </c>
      <c r="K55" s="414">
        <v>1951053</v>
      </c>
      <c r="L55" s="414">
        <v>393125</v>
      </c>
      <c r="M55" s="414">
        <v>110000</v>
      </c>
      <c r="N55" s="414">
        <v>63600</v>
      </c>
      <c r="O55" s="414">
        <v>46400</v>
      </c>
      <c r="P55" s="68">
        <v>829512</v>
      </c>
      <c r="Q55" s="68">
        <v>23442</v>
      </c>
      <c r="R55" s="414">
        <v>66375</v>
      </c>
      <c r="S55" s="415">
        <v>4.1872000000000007</v>
      </c>
      <c r="T55" s="416">
        <v>3</v>
      </c>
      <c r="U55" s="422">
        <v>1.1872</v>
      </c>
      <c r="V55" s="423">
        <f t="shared" si="4"/>
        <v>13600</v>
      </c>
      <c r="W55" s="417">
        <f t="shared" si="4"/>
        <v>41400</v>
      </c>
      <c r="X55" s="417">
        <v>0</v>
      </c>
      <c r="Y55" s="417">
        <v>0</v>
      </c>
      <c r="Z55" s="417">
        <v>139223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5"/>
        <v>152823</v>
      </c>
      <c r="AF55" s="417">
        <f t="shared" si="6"/>
        <v>41400</v>
      </c>
      <c r="AG55" s="417">
        <f t="shared" si="7"/>
        <v>194223</v>
      </c>
      <c r="AH55" s="417">
        <v>-13600</v>
      </c>
      <c r="AI55" s="417">
        <v>-41400</v>
      </c>
      <c r="AJ55" s="417">
        <v>0</v>
      </c>
      <c r="AK55" s="417">
        <v>0</v>
      </c>
      <c r="AL55" s="417">
        <v>0</v>
      </c>
      <c r="AM55" s="417">
        <f t="shared" si="8"/>
        <v>-13600</v>
      </c>
      <c r="AN55" s="417">
        <f t="shared" si="9"/>
        <v>-41400</v>
      </c>
      <c r="AO55" s="417">
        <f t="shared" si="10"/>
        <v>-55000</v>
      </c>
      <c r="AP55" s="417">
        <f t="shared" si="11"/>
        <v>139223</v>
      </c>
      <c r="AQ55" s="417">
        <f t="shared" si="11"/>
        <v>0</v>
      </c>
      <c r="AR55" s="417">
        <f t="shared" si="12"/>
        <v>139223</v>
      </c>
      <c r="AS55" s="68">
        <f t="shared" si="13"/>
        <v>47057</v>
      </c>
      <c r="AT55" s="68">
        <f t="shared" si="14"/>
        <v>1942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188222</v>
      </c>
      <c r="AZ55" s="418">
        <v>0</v>
      </c>
      <c r="BA55" s="418">
        <v>0</v>
      </c>
      <c r="BB55" s="418">
        <v>0</v>
      </c>
      <c r="BC55" s="418">
        <v>0.3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0.3</v>
      </c>
      <c r="BJ55" s="418">
        <f t="shared" si="18"/>
        <v>0</v>
      </c>
      <c r="BK55" s="420">
        <f t="shared" si="19"/>
        <v>0.3</v>
      </c>
      <c r="BL55" s="772">
        <f t="shared" si="81"/>
        <v>3561729</v>
      </c>
      <c r="BM55" s="417">
        <f t="shared" si="82"/>
        <v>2538401</v>
      </c>
      <c r="BN55" s="417">
        <f t="shared" si="83"/>
        <v>2103876</v>
      </c>
      <c r="BO55" s="417">
        <f t="shared" si="83"/>
        <v>434525</v>
      </c>
      <c r="BP55" s="417">
        <f t="shared" si="84"/>
        <v>55000</v>
      </c>
      <c r="BQ55" s="417">
        <f t="shared" si="85"/>
        <v>50000</v>
      </c>
      <c r="BR55" s="417">
        <f t="shared" si="85"/>
        <v>5000</v>
      </c>
      <c r="BS55" s="417">
        <f t="shared" si="86"/>
        <v>876569</v>
      </c>
      <c r="BT55" s="417">
        <f t="shared" si="86"/>
        <v>25384</v>
      </c>
      <c r="BU55" s="417">
        <f t="shared" si="87"/>
        <v>66375</v>
      </c>
      <c r="BV55" s="418">
        <f t="shared" si="88"/>
        <v>4.4872000000000005</v>
      </c>
      <c r="BW55" s="418">
        <f t="shared" si="89"/>
        <v>3.3</v>
      </c>
      <c r="BX55" s="420">
        <f t="shared" si="89"/>
        <v>1.1872</v>
      </c>
      <c r="BY55" s="994"/>
      <c r="BZ55" s="595"/>
      <c r="CA55" s="595"/>
      <c r="CB55" s="595"/>
      <c r="CC55" s="595"/>
      <c r="CD55" s="981"/>
      <c r="CE55" s="994">
        <v>201777</v>
      </c>
      <c r="CF55" s="595">
        <v>141073</v>
      </c>
      <c r="CG55" s="595">
        <v>47683</v>
      </c>
      <c r="CH55" s="595">
        <v>1411</v>
      </c>
      <c r="CI55" s="595">
        <v>11610</v>
      </c>
      <c r="CJ55" s="981">
        <v>0.39069999999999999</v>
      </c>
    </row>
    <row r="56" spans="1:88" ht="12.95" customHeight="1">
      <c r="A56" s="280">
        <v>10</v>
      </c>
      <c r="B56" s="321">
        <v>5403</v>
      </c>
      <c r="C56" s="322">
        <v>600098966</v>
      </c>
      <c r="D56" s="281">
        <v>75016931</v>
      </c>
      <c r="E56" s="323" t="s">
        <v>367</v>
      </c>
      <c r="F56" s="281">
        <v>3117</v>
      </c>
      <c r="G56" s="323" t="s">
        <v>298</v>
      </c>
      <c r="H56" s="284" t="s">
        <v>272</v>
      </c>
      <c r="I56" s="419">
        <v>611922</v>
      </c>
      <c r="J56" s="414">
        <v>451537</v>
      </c>
      <c r="K56" s="414">
        <v>451537</v>
      </c>
      <c r="L56" s="414">
        <v>0</v>
      </c>
      <c r="M56" s="414">
        <v>0</v>
      </c>
      <c r="N56" s="414">
        <v>0</v>
      </c>
      <c r="O56" s="414">
        <v>0</v>
      </c>
      <c r="P56" s="68">
        <v>152620</v>
      </c>
      <c r="Q56" s="68">
        <v>4515</v>
      </c>
      <c r="R56" s="414">
        <v>3250</v>
      </c>
      <c r="S56" s="415">
        <v>1.04</v>
      </c>
      <c r="T56" s="416">
        <v>1.04</v>
      </c>
      <c r="U56" s="422">
        <v>0</v>
      </c>
      <c r="V56" s="423">
        <f t="shared" si="4"/>
        <v>0</v>
      </c>
      <c r="W56" s="417">
        <f t="shared" si="4"/>
        <v>0</v>
      </c>
      <c r="X56" s="417">
        <v>-66019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5"/>
        <v>-66019</v>
      </c>
      <c r="AF56" s="417">
        <f t="shared" si="6"/>
        <v>0</v>
      </c>
      <c r="AG56" s="417">
        <f t="shared" si="7"/>
        <v>-66019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8"/>
        <v>0</v>
      </c>
      <c r="AN56" s="417">
        <f t="shared" si="9"/>
        <v>0</v>
      </c>
      <c r="AO56" s="417">
        <f t="shared" si="10"/>
        <v>0</v>
      </c>
      <c r="AP56" s="417">
        <f t="shared" si="11"/>
        <v>-66019</v>
      </c>
      <c r="AQ56" s="417">
        <f t="shared" si="11"/>
        <v>0</v>
      </c>
      <c r="AR56" s="417">
        <f t="shared" si="12"/>
        <v>-66019</v>
      </c>
      <c r="AS56" s="68">
        <f t="shared" si="13"/>
        <v>-22314</v>
      </c>
      <c r="AT56" s="68">
        <f t="shared" si="14"/>
        <v>-660</v>
      </c>
      <c r="AU56" s="417">
        <v>2000</v>
      </c>
      <c r="AV56" s="417">
        <v>0</v>
      </c>
      <c r="AW56" s="417">
        <v>0</v>
      </c>
      <c r="AX56" s="417">
        <f t="shared" si="15"/>
        <v>2000</v>
      </c>
      <c r="AY56" s="417">
        <f t="shared" si="16"/>
        <v>-86993</v>
      </c>
      <c r="AZ56" s="418">
        <v>0</v>
      </c>
      <c r="BA56" s="418">
        <v>0</v>
      </c>
      <c r="BB56" s="418">
        <v>-0.13</v>
      </c>
      <c r="BC56" s="418">
        <v>0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17"/>
        <v>-0.13</v>
      </c>
      <c r="BJ56" s="418">
        <f t="shared" si="18"/>
        <v>0</v>
      </c>
      <c r="BK56" s="420">
        <f t="shared" si="19"/>
        <v>-0.13</v>
      </c>
      <c r="BL56" s="772">
        <f t="shared" si="81"/>
        <v>524929</v>
      </c>
      <c r="BM56" s="417">
        <f t="shared" si="82"/>
        <v>385518</v>
      </c>
      <c r="BN56" s="417">
        <f t="shared" si="83"/>
        <v>385518</v>
      </c>
      <c r="BO56" s="417">
        <f t="shared" si="83"/>
        <v>0</v>
      </c>
      <c r="BP56" s="417">
        <f t="shared" si="84"/>
        <v>0</v>
      </c>
      <c r="BQ56" s="417">
        <f t="shared" si="85"/>
        <v>0</v>
      </c>
      <c r="BR56" s="417">
        <f t="shared" si="85"/>
        <v>0</v>
      </c>
      <c r="BS56" s="417">
        <f t="shared" si="86"/>
        <v>130306</v>
      </c>
      <c r="BT56" s="417">
        <f t="shared" si="86"/>
        <v>3855</v>
      </c>
      <c r="BU56" s="417">
        <f t="shared" si="87"/>
        <v>5250</v>
      </c>
      <c r="BV56" s="418">
        <f t="shared" si="88"/>
        <v>0.91</v>
      </c>
      <c r="BW56" s="418">
        <f t="shared" si="89"/>
        <v>0.91</v>
      </c>
      <c r="BX56" s="420">
        <f t="shared" si="89"/>
        <v>0</v>
      </c>
      <c r="BY56" s="994"/>
      <c r="BZ56" s="595"/>
      <c r="CA56" s="595"/>
      <c r="CB56" s="595"/>
      <c r="CC56" s="595"/>
      <c r="CD56" s="981"/>
      <c r="CE56" s="994"/>
      <c r="CF56" s="595"/>
      <c r="CG56" s="595"/>
      <c r="CH56" s="595"/>
      <c r="CI56" s="595"/>
      <c r="CJ56" s="981"/>
    </row>
    <row r="57" spans="1:88" ht="12.95" customHeight="1">
      <c r="A57" s="280">
        <v>10</v>
      </c>
      <c r="B57" s="321">
        <v>5403</v>
      </c>
      <c r="C57" s="322">
        <v>600098966</v>
      </c>
      <c r="D57" s="281">
        <v>75016931</v>
      </c>
      <c r="E57" s="323" t="s">
        <v>367</v>
      </c>
      <c r="F57" s="281">
        <v>3141</v>
      </c>
      <c r="G57" s="323" t="s">
        <v>294</v>
      </c>
      <c r="H57" s="284" t="s">
        <v>272</v>
      </c>
      <c r="I57" s="419">
        <v>949901</v>
      </c>
      <c r="J57" s="414">
        <v>687008</v>
      </c>
      <c r="K57" s="414">
        <v>0</v>
      </c>
      <c r="L57" s="414">
        <v>687008</v>
      </c>
      <c r="M57" s="414">
        <v>15000</v>
      </c>
      <c r="N57" s="414">
        <v>0</v>
      </c>
      <c r="O57" s="414">
        <v>15000</v>
      </c>
      <c r="P57" s="68">
        <v>237279</v>
      </c>
      <c r="Q57" s="68">
        <v>6870</v>
      </c>
      <c r="R57" s="414">
        <v>3744</v>
      </c>
      <c r="S57" s="415">
        <v>2.1067</v>
      </c>
      <c r="T57" s="416">
        <v>0</v>
      </c>
      <c r="U57" s="422">
        <v>2.1067</v>
      </c>
      <c r="V57" s="423">
        <f t="shared" si="4"/>
        <v>0</v>
      </c>
      <c r="W57" s="417">
        <f t="shared" si="4"/>
        <v>11000</v>
      </c>
      <c r="X57" s="417">
        <v>0</v>
      </c>
      <c r="Y57" s="417">
        <v>0</v>
      </c>
      <c r="Z57" s="417">
        <v>0</v>
      </c>
      <c r="AA57" s="417">
        <v>12426</v>
      </c>
      <c r="AB57" s="417">
        <v>0</v>
      </c>
      <c r="AC57" s="417">
        <v>0</v>
      </c>
      <c r="AD57" s="417">
        <v>0</v>
      </c>
      <c r="AE57" s="417">
        <f t="shared" si="5"/>
        <v>0</v>
      </c>
      <c r="AF57" s="417">
        <f t="shared" si="6"/>
        <v>23426</v>
      </c>
      <c r="AG57" s="417">
        <f t="shared" si="7"/>
        <v>23426</v>
      </c>
      <c r="AH57" s="417">
        <v>0</v>
      </c>
      <c r="AI57" s="417">
        <v>-11000</v>
      </c>
      <c r="AJ57" s="417">
        <v>0</v>
      </c>
      <c r="AK57" s="417">
        <v>0</v>
      </c>
      <c r="AL57" s="417">
        <v>0</v>
      </c>
      <c r="AM57" s="417">
        <f t="shared" si="8"/>
        <v>0</v>
      </c>
      <c r="AN57" s="417">
        <f t="shared" si="9"/>
        <v>-11000</v>
      </c>
      <c r="AO57" s="417">
        <f t="shared" si="10"/>
        <v>-11000</v>
      </c>
      <c r="AP57" s="417">
        <f t="shared" si="11"/>
        <v>0</v>
      </c>
      <c r="AQ57" s="417">
        <f t="shared" si="11"/>
        <v>12426</v>
      </c>
      <c r="AR57" s="417">
        <f t="shared" si="12"/>
        <v>12426</v>
      </c>
      <c r="AS57" s="68">
        <f t="shared" si="13"/>
        <v>4200</v>
      </c>
      <c r="AT57" s="68">
        <f t="shared" si="14"/>
        <v>234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16860</v>
      </c>
      <c r="AZ57" s="418">
        <v>0</v>
      </c>
      <c r="BA57" s="418">
        <v>0</v>
      </c>
      <c r="BB57" s="418">
        <v>0</v>
      </c>
      <c r="BC57" s="418">
        <v>0</v>
      </c>
      <c r="BD57" s="418">
        <v>0.04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0.04</v>
      </c>
      <c r="BK57" s="420">
        <f t="shared" si="19"/>
        <v>0.04</v>
      </c>
      <c r="BL57" s="772">
        <f t="shared" si="81"/>
        <v>966761</v>
      </c>
      <c r="BM57" s="417">
        <f t="shared" si="82"/>
        <v>710434</v>
      </c>
      <c r="BN57" s="417">
        <f t="shared" si="83"/>
        <v>0</v>
      </c>
      <c r="BO57" s="417">
        <f t="shared" si="83"/>
        <v>710434</v>
      </c>
      <c r="BP57" s="417">
        <f t="shared" si="84"/>
        <v>4000</v>
      </c>
      <c r="BQ57" s="417">
        <f t="shared" si="85"/>
        <v>0</v>
      </c>
      <c r="BR57" s="417">
        <f t="shared" si="85"/>
        <v>4000</v>
      </c>
      <c r="BS57" s="417">
        <f t="shared" si="86"/>
        <v>241479</v>
      </c>
      <c r="BT57" s="417">
        <f t="shared" si="86"/>
        <v>7104</v>
      </c>
      <c r="BU57" s="417">
        <f t="shared" si="87"/>
        <v>3744</v>
      </c>
      <c r="BV57" s="418">
        <f t="shared" si="88"/>
        <v>2.1467000000000001</v>
      </c>
      <c r="BW57" s="418">
        <f t="shared" si="89"/>
        <v>0</v>
      </c>
      <c r="BX57" s="420">
        <f t="shared" si="89"/>
        <v>2.1467000000000001</v>
      </c>
      <c r="BY57" s="994"/>
      <c r="BZ57" s="595"/>
      <c r="CA57" s="595"/>
      <c r="CB57" s="595"/>
      <c r="CC57" s="595"/>
      <c r="CD57" s="981"/>
      <c r="CE57" s="994"/>
      <c r="CF57" s="595"/>
      <c r="CG57" s="595"/>
      <c r="CH57" s="595"/>
      <c r="CI57" s="595"/>
      <c r="CJ57" s="981"/>
    </row>
    <row r="58" spans="1:88" ht="12.95" customHeight="1">
      <c r="A58" s="280">
        <v>10</v>
      </c>
      <c r="B58" s="321">
        <v>5403</v>
      </c>
      <c r="C58" s="322">
        <v>600098966</v>
      </c>
      <c r="D58" s="281">
        <v>75016931</v>
      </c>
      <c r="E58" s="323" t="s">
        <v>367</v>
      </c>
      <c r="F58" s="281">
        <v>3143</v>
      </c>
      <c r="G58" s="323" t="s">
        <v>595</v>
      </c>
      <c r="H58" s="284" t="s">
        <v>271</v>
      </c>
      <c r="I58" s="419">
        <v>602477</v>
      </c>
      <c r="J58" s="414">
        <v>441978</v>
      </c>
      <c r="K58" s="414">
        <v>441978</v>
      </c>
      <c r="L58" s="414">
        <v>0</v>
      </c>
      <c r="M58" s="414">
        <v>5000</v>
      </c>
      <c r="N58" s="414">
        <v>5000</v>
      </c>
      <c r="O58" s="414">
        <v>0</v>
      </c>
      <c r="P58" s="68">
        <v>151079</v>
      </c>
      <c r="Q58" s="68">
        <v>4420</v>
      </c>
      <c r="R58" s="414">
        <v>0</v>
      </c>
      <c r="S58" s="415">
        <v>0.89280000000000004</v>
      </c>
      <c r="T58" s="416">
        <v>0.89280000000000004</v>
      </c>
      <c r="U58" s="422">
        <v>0</v>
      </c>
      <c r="V58" s="423">
        <f t="shared" si="4"/>
        <v>2000</v>
      </c>
      <c r="W58" s="417">
        <f t="shared" si="4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5"/>
        <v>2000</v>
      </c>
      <c r="AF58" s="417">
        <f t="shared" si="6"/>
        <v>0</v>
      </c>
      <c r="AG58" s="417">
        <f t="shared" si="7"/>
        <v>2000</v>
      </c>
      <c r="AH58" s="417">
        <v>-2000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8"/>
        <v>-2000</v>
      </c>
      <c r="AN58" s="417">
        <f t="shared" si="9"/>
        <v>0</v>
      </c>
      <c r="AO58" s="417">
        <f t="shared" si="10"/>
        <v>-2000</v>
      </c>
      <c r="AP58" s="417">
        <f t="shared" si="11"/>
        <v>0</v>
      </c>
      <c r="AQ58" s="417">
        <f t="shared" si="11"/>
        <v>0</v>
      </c>
      <c r="AR58" s="417">
        <f t="shared" si="12"/>
        <v>0</v>
      </c>
      <c r="AS58" s="68">
        <f t="shared" si="13"/>
        <v>0</v>
      </c>
      <c r="AT58" s="68">
        <f t="shared" si="14"/>
        <v>20</v>
      </c>
      <c r="AU58" s="417">
        <v>0</v>
      </c>
      <c r="AV58" s="417">
        <v>0</v>
      </c>
      <c r="AW58" s="417">
        <v>0</v>
      </c>
      <c r="AX58" s="417">
        <f t="shared" si="15"/>
        <v>0</v>
      </c>
      <c r="AY58" s="417">
        <f t="shared" si="16"/>
        <v>20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0</v>
      </c>
      <c r="BK58" s="420">
        <f t="shared" si="19"/>
        <v>0</v>
      </c>
      <c r="BL58" s="772">
        <f t="shared" si="81"/>
        <v>602497</v>
      </c>
      <c r="BM58" s="417">
        <f t="shared" si="82"/>
        <v>443978</v>
      </c>
      <c r="BN58" s="417">
        <f t="shared" si="83"/>
        <v>443978</v>
      </c>
      <c r="BO58" s="417">
        <f t="shared" si="83"/>
        <v>0</v>
      </c>
      <c r="BP58" s="417">
        <f t="shared" si="84"/>
        <v>3000</v>
      </c>
      <c r="BQ58" s="417">
        <f t="shared" si="85"/>
        <v>3000</v>
      </c>
      <c r="BR58" s="417">
        <f t="shared" si="85"/>
        <v>0</v>
      </c>
      <c r="BS58" s="417">
        <f t="shared" si="86"/>
        <v>151079</v>
      </c>
      <c r="BT58" s="417">
        <f t="shared" si="86"/>
        <v>4440</v>
      </c>
      <c r="BU58" s="417">
        <f t="shared" si="87"/>
        <v>0</v>
      </c>
      <c r="BV58" s="418">
        <f t="shared" si="88"/>
        <v>0.89280000000000004</v>
      </c>
      <c r="BW58" s="418">
        <f t="shared" si="89"/>
        <v>0.89280000000000004</v>
      </c>
      <c r="BX58" s="420">
        <f t="shared" si="89"/>
        <v>0</v>
      </c>
      <c r="BY58" s="994"/>
      <c r="BZ58" s="595"/>
      <c r="CA58" s="595"/>
      <c r="CB58" s="595"/>
      <c r="CC58" s="595"/>
      <c r="CD58" s="981"/>
      <c r="CE58" s="994"/>
      <c r="CF58" s="595"/>
      <c r="CG58" s="595"/>
      <c r="CH58" s="595"/>
      <c r="CI58" s="595"/>
      <c r="CJ58" s="981"/>
    </row>
    <row r="59" spans="1:88" ht="12.95" customHeight="1">
      <c r="A59" s="280">
        <v>10</v>
      </c>
      <c r="B59" s="321">
        <v>5403</v>
      </c>
      <c r="C59" s="322">
        <v>600098966</v>
      </c>
      <c r="D59" s="281">
        <v>75016931</v>
      </c>
      <c r="E59" s="323" t="s">
        <v>367</v>
      </c>
      <c r="F59" s="281">
        <v>3143</v>
      </c>
      <c r="G59" s="323" t="s">
        <v>596</v>
      </c>
      <c r="H59" s="284" t="s">
        <v>272</v>
      </c>
      <c r="I59" s="419">
        <v>23052</v>
      </c>
      <c r="J59" s="414">
        <v>16500</v>
      </c>
      <c r="K59" s="414">
        <v>0</v>
      </c>
      <c r="L59" s="414">
        <v>16500</v>
      </c>
      <c r="M59" s="414">
        <v>0</v>
      </c>
      <c r="N59" s="414">
        <v>0</v>
      </c>
      <c r="O59" s="414">
        <v>0</v>
      </c>
      <c r="P59" s="68">
        <v>5577</v>
      </c>
      <c r="Q59" s="68">
        <v>165</v>
      </c>
      <c r="R59" s="414">
        <v>810</v>
      </c>
      <c r="S59" s="415">
        <v>6.1700000000000005E-2</v>
      </c>
      <c r="T59" s="416">
        <v>0</v>
      </c>
      <c r="U59" s="422">
        <v>6.1700000000000005E-2</v>
      </c>
      <c r="V59" s="423">
        <f t="shared" si="4"/>
        <v>0</v>
      </c>
      <c r="W59" s="417">
        <f t="shared" si="4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5"/>
        <v>0</v>
      </c>
      <c r="AF59" s="417">
        <f t="shared" si="6"/>
        <v>0</v>
      </c>
      <c r="AG59" s="417">
        <f t="shared" si="7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8"/>
        <v>0</v>
      </c>
      <c r="AN59" s="417">
        <f t="shared" si="9"/>
        <v>0</v>
      </c>
      <c r="AO59" s="417">
        <f t="shared" si="10"/>
        <v>0</v>
      </c>
      <c r="AP59" s="417">
        <f t="shared" si="11"/>
        <v>0</v>
      </c>
      <c r="AQ59" s="417">
        <f t="shared" si="11"/>
        <v>0</v>
      </c>
      <c r="AR59" s="417">
        <f t="shared" si="12"/>
        <v>0</v>
      </c>
      <c r="AS59" s="68">
        <f t="shared" si="13"/>
        <v>0</v>
      </c>
      <c r="AT59" s="68">
        <f t="shared" si="14"/>
        <v>0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0</v>
      </c>
      <c r="BJ59" s="418">
        <f t="shared" si="18"/>
        <v>0</v>
      </c>
      <c r="BK59" s="420">
        <f t="shared" si="19"/>
        <v>0</v>
      </c>
      <c r="BL59" s="772">
        <f t="shared" si="81"/>
        <v>23052</v>
      </c>
      <c r="BM59" s="417">
        <f t="shared" si="82"/>
        <v>16500</v>
      </c>
      <c r="BN59" s="417">
        <f t="shared" si="83"/>
        <v>0</v>
      </c>
      <c r="BO59" s="417">
        <f t="shared" si="83"/>
        <v>16500</v>
      </c>
      <c r="BP59" s="417">
        <f t="shared" si="84"/>
        <v>0</v>
      </c>
      <c r="BQ59" s="417">
        <f t="shared" si="85"/>
        <v>0</v>
      </c>
      <c r="BR59" s="417">
        <f t="shared" si="85"/>
        <v>0</v>
      </c>
      <c r="BS59" s="417">
        <f t="shared" si="86"/>
        <v>5577</v>
      </c>
      <c r="BT59" s="417">
        <f t="shared" si="86"/>
        <v>165</v>
      </c>
      <c r="BU59" s="417">
        <f t="shared" si="87"/>
        <v>810</v>
      </c>
      <c r="BV59" s="418">
        <f t="shared" si="88"/>
        <v>6.1700000000000005E-2</v>
      </c>
      <c r="BW59" s="418">
        <f t="shared" si="89"/>
        <v>0</v>
      </c>
      <c r="BX59" s="420">
        <f t="shared" si="89"/>
        <v>6.1700000000000005E-2</v>
      </c>
      <c r="BY59" s="994"/>
      <c r="BZ59" s="595"/>
      <c r="CA59" s="595"/>
      <c r="CB59" s="595"/>
      <c r="CC59" s="595"/>
      <c r="CD59" s="981"/>
      <c r="CE59" s="994"/>
      <c r="CF59" s="595"/>
      <c r="CG59" s="595"/>
      <c r="CH59" s="595"/>
      <c r="CI59" s="595"/>
      <c r="CJ59" s="981"/>
    </row>
    <row r="60" spans="1:88" ht="12.95" customHeight="1">
      <c r="A60" s="324">
        <v>10</v>
      </c>
      <c r="B60" s="325">
        <v>5403</v>
      </c>
      <c r="C60" s="326">
        <v>600098966</v>
      </c>
      <c r="D60" s="325">
        <v>75016931</v>
      </c>
      <c r="E60" s="327" t="s">
        <v>368</v>
      </c>
      <c r="F60" s="291"/>
      <c r="G60" s="329"/>
      <c r="H60" s="292"/>
      <c r="I60" s="471">
        <v>8615462</v>
      </c>
      <c r="J60" s="467">
        <v>6183733</v>
      </c>
      <c r="K60" s="467">
        <v>4916082</v>
      </c>
      <c r="L60" s="467">
        <v>1267651</v>
      </c>
      <c r="M60" s="467">
        <v>145000</v>
      </c>
      <c r="N60" s="467">
        <v>78200</v>
      </c>
      <c r="O60" s="467">
        <v>66800</v>
      </c>
      <c r="P60" s="467">
        <v>2139113</v>
      </c>
      <c r="Q60" s="467">
        <v>61837</v>
      </c>
      <c r="R60" s="467">
        <v>85779</v>
      </c>
      <c r="S60" s="468">
        <v>12.836200000000002</v>
      </c>
      <c r="T60" s="468">
        <v>8.8038000000000007</v>
      </c>
      <c r="U60" s="531">
        <v>4.0324</v>
      </c>
      <c r="V60" s="471">
        <f t="shared" ref="V60:BK60" si="90">SUM(V54:V59)</f>
        <v>25200</v>
      </c>
      <c r="W60" s="467">
        <f t="shared" si="90"/>
        <v>55800</v>
      </c>
      <c r="X60" s="467">
        <f t="shared" si="90"/>
        <v>-66019</v>
      </c>
      <c r="Y60" s="467">
        <f t="shared" si="90"/>
        <v>0</v>
      </c>
      <c r="Z60" s="467">
        <f t="shared" si="90"/>
        <v>139223</v>
      </c>
      <c r="AA60" s="467">
        <f t="shared" si="90"/>
        <v>12426</v>
      </c>
      <c r="AB60" s="467">
        <f t="shared" si="90"/>
        <v>0</v>
      </c>
      <c r="AC60" s="467">
        <f t="shared" si="90"/>
        <v>0</v>
      </c>
      <c r="AD60" s="467">
        <f t="shared" si="90"/>
        <v>0</v>
      </c>
      <c r="AE60" s="467">
        <f t="shared" si="90"/>
        <v>98404</v>
      </c>
      <c r="AF60" s="467">
        <f t="shared" si="90"/>
        <v>68226</v>
      </c>
      <c r="AG60" s="467">
        <f t="shared" si="90"/>
        <v>166630</v>
      </c>
      <c r="AH60" s="467">
        <f t="shared" si="90"/>
        <v>-25200</v>
      </c>
      <c r="AI60" s="467">
        <f t="shared" si="90"/>
        <v>-55800</v>
      </c>
      <c r="AJ60" s="467">
        <f t="shared" si="90"/>
        <v>0</v>
      </c>
      <c r="AK60" s="467">
        <f t="shared" si="90"/>
        <v>0</v>
      </c>
      <c r="AL60" s="467">
        <f t="shared" si="90"/>
        <v>0</v>
      </c>
      <c r="AM60" s="467">
        <f t="shared" si="90"/>
        <v>-25200</v>
      </c>
      <c r="AN60" s="467">
        <f t="shared" si="90"/>
        <v>-55800</v>
      </c>
      <c r="AO60" s="467">
        <f t="shared" si="90"/>
        <v>-81000</v>
      </c>
      <c r="AP60" s="467">
        <f t="shared" si="90"/>
        <v>73204</v>
      </c>
      <c r="AQ60" s="467">
        <f t="shared" si="90"/>
        <v>12426</v>
      </c>
      <c r="AR60" s="467">
        <f t="shared" si="90"/>
        <v>85630</v>
      </c>
      <c r="AS60" s="467">
        <f t="shared" si="90"/>
        <v>28943</v>
      </c>
      <c r="AT60" s="467">
        <f t="shared" si="90"/>
        <v>1666</v>
      </c>
      <c r="AU60" s="467">
        <f t="shared" si="90"/>
        <v>2000</v>
      </c>
      <c r="AV60" s="467">
        <f t="shared" si="90"/>
        <v>0</v>
      </c>
      <c r="AW60" s="467">
        <f t="shared" si="90"/>
        <v>0</v>
      </c>
      <c r="AX60" s="467">
        <f t="shared" si="90"/>
        <v>2000</v>
      </c>
      <c r="AY60" s="467">
        <f t="shared" si="90"/>
        <v>118239</v>
      </c>
      <c r="AZ60" s="468">
        <f t="shared" si="90"/>
        <v>0</v>
      </c>
      <c r="BA60" s="468">
        <f t="shared" si="90"/>
        <v>0</v>
      </c>
      <c r="BB60" s="468">
        <f t="shared" si="90"/>
        <v>-0.13</v>
      </c>
      <c r="BC60" s="468">
        <f t="shared" si="90"/>
        <v>0.3</v>
      </c>
      <c r="BD60" s="468">
        <f t="shared" si="90"/>
        <v>0.04</v>
      </c>
      <c r="BE60" s="468">
        <f t="shared" si="90"/>
        <v>0</v>
      </c>
      <c r="BF60" s="468">
        <f t="shared" si="90"/>
        <v>0</v>
      </c>
      <c r="BG60" s="468">
        <f t="shared" si="90"/>
        <v>0</v>
      </c>
      <c r="BH60" s="468">
        <f t="shared" si="90"/>
        <v>0</v>
      </c>
      <c r="BI60" s="468">
        <f t="shared" si="90"/>
        <v>0.16999999999999998</v>
      </c>
      <c r="BJ60" s="468">
        <f t="shared" si="90"/>
        <v>0.04</v>
      </c>
      <c r="BK60" s="328">
        <f t="shared" si="90"/>
        <v>0.21</v>
      </c>
      <c r="BL60" s="774">
        <f t="shared" ref="BL60:CG60" si="91">SUM(BL54:BL59)</f>
        <v>8733701</v>
      </c>
      <c r="BM60" s="467">
        <f t="shared" si="91"/>
        <v>6350363</v>
      </c>
      <c r="BN60" s="467">
        <f t="shared" si="91"/>
        <v>5014486</v>
      </c>
      <c r="BO60" s="467">
        <f t="shared" si="91"/>
        <v>1335877</v>
      </c>
      <c r="BP60" s="467">
        <f t="shared" si="91"/>
        <v>64000</v>
      </c>
      <c r="BQ60" s="467">
        <f t="shared" si="91"/>
        <v>53000</v>
      </c>
      <c r="BR60" s="467">
        <f t="shared" si="91"/>
        <v>11000</v>
      </c>
      <c r="BS60" s="467">
        <f t="shared" si="91"/>
        <v>2168056</v>
      </c>
      <c r="BT60" s="467">
        <f t="shared" si="91"/>
        <v>63503</v>
      </c>
      <c r="BU60" s="467">
        <f t="shared" si="91"/>
        <v>87779</v>
      </c>
      <c r="BV60" s="468">
        <f t="shared" si="91"/>
        <v>13.046199999999999</v>
      </c>
      <c r="BW60" s="468">
        <f t="shared" si="91"/>
        <v>8.9737999999999989</v>
      </c>
      <c r="BX60" s="328">
        <f t="shared" si="91"/>
        <v>4.0724</v>
      </c>
      <c r="BY60" s="838">
        <f t="shared" si="91"/>
        <v>0</v>
      </c>
      <c r="BZ60" s="721">
        <f t="shared" si="91"/>
        <v>0</v>
      </c>
      <c r="CA60" s="721">
        <f t="shared" si="91"/>
        <v>0</v>
      </c>
      <c r="CB60" s="721">
        <f t="shared" si="91"/>
        <v>0</v>
      </c>
      <c r="CC60" s="721">
        <f t="shared" si="91"/>
        <v>0</v>
      </c>
      <c r="CD60" s="826">
        <f t="shared" si="91"/>
        <v>0</v>
      </c>
      <c r="CE60" s="995">
        <f t="shared" si="91"/>
        <v>281944</v>
      </c>
      <c r="CF60" s="995">
        <f t="shared" si="91"/>
        <v>197683</v>
      </c>
      <c r="CG60" s="995">
        <f t="shared" si="91"/>
        <v>66817</v>
      </c>
      <c r="CH60" s="995">
        <f t="shared" ref="CH60:CJ60" si="92">SUM(CH54:CH59)</f>
        <v>1977</v>
      </c>
      <c r="CI60" s="995">
        <f t="shared" si="92"/>
        <v>15467</v>
      </c>
      <c r="CJ60" s="933">
        <f t="shared" si="92"/>
        <v>0.61749999999999994</v>
      </c>
    </row>
    <row r="61" spans="1:88" ht="12.95" customHeight="1">
      <c r="A61" s="280">
        <v>11</v>
      </c>
      <c r="B61" s="321">
        <v>5404</v>
      </c>
      <c r="C61" s="322">
        <v>600098974</v>
      </c>
      <c r="D61" s="281">
        <v>70979812</v>
      </c>
      <c r="E61" s="323" t="s">
        <v>369</v>
      </c>
      <c r="F61" s="281">
        <v>3111</v>
      </c>
      <c r="G61" s="323" t="s">
        <v>304</v>
      </c>
      <c r="H61" s="284" t="s">
        <v>271</v>
      </c>
      <c r="I61" s="419">
        <v>2174823</v>
      </c>
      <c r="J61" s="414">
        <v>1606842</v>
      </c>
      <c r="K61" s="414">
        <v>1508824</v>
      </c>
      <c r="L61" s="414">
        <v>98018</v>
      </c>
      <c r="M61" s="414">
        <v>0</v>
      </c>
      <c r="N61" s="414">
        <v>0</v>
      </c>
      <c r="O61" s="414">
        <v>0</v>
      </c>
      <c r="P61" s="68">
        <v>543112</v>
      </c>
      <c r="Q61" s="68">
        <v>16069</v>
      </c>
      <c r="R61" s="414">
        <v>8800</v>
      </c>
      <c r="S61" s="415">
        <v>2.6992000000000003</v>
      </c>
      <c r="T61" s="416">
        <v>2.3065000000000002</v>
      </c>
      <c r="U61" s="422">
        <v>0.39269999999999999</v>
      </c>
      <c r="V61" s="423">
        <f t="shared" si="4"/>
        <v>0</v>
      </c>
      <c r="W61" s="417">
        <f t="shared" si="4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5"/>
        <v>0</v>
      </c>
      <c r="AF61" s="417">
        <f t="shared" si="6"/>
        <v>0</v>
      </c>
      <c r="AG61" s="417">
        <f t="shared" si="7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8"/>
        <v>0</v>
      </c>
      <c r="AN61" s="417">
        <f t="shared" si="9"/>
        <v>0</v>
      </c>
      <c r="AO61" s="417">
        <f t="shared" si="10"/>
        <v>0</v>
      </c>
      <c r="AP61" s="417">
        <f t="shared" si="11"/>
        <v>0</v>
      </c>
      <c r="AQ61" s="417">
        <f t="shared" si="11"/>
        <v>0</v>
      </c>
      <c r="AR61" s="417">
        <f t="shared" si="12"/>
        <v>0</v>
      </c>
      <c r="AS61" s="68">
        <f t="shared" si="13"/>
        <v>0</v>
      </c>
      <c r="AT61" s="68">
        <f t="shared" si="14"/>
        <v>0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0</v>
      </c>
      <c r="BJ61" s="418">
        <f t="shared" si="18"/>
        <v>0</v>
      </c>
      <c r="BK61" s="420">
        <f t="shared" si="19"/>
        <v>0</v>
      </c>
      <c r="BL61" s="772">
        <f t="shared" ref="BL61:BL66" si="93">I61+AY61</f>
        <v>2174823</v>
      </c>
      <c r="BM61" s="417">
        <f t="shared" ref="BM61:BM66" si="94">J61+AG61</f>
        <v>1606842</v>
      </c>
      <c r="BN61" s="417">
        <f t="shared" ref="BN61:BO66" si="95">K61+AE61</f>
        <v>1508824</v>
      </c>
      <c r="BO61" s="417">
        <f t="shared" si="95"/>
        <v>98018</v>
      </c>
      <c r="BP61" s="417">
        <f t="shared" ref="BP61:BP66" si="96">M61+AO61</f>
        <v>0</v>
      </c>
      <c r="BQ61" s="417">
        <f t="shared" ref="BQ61:BR66" si="97">N61+AM61</f>
        <v>0</v>
      </c>
      <c r="BR61" s="417">
        <f t="shared" si="97"/>
        <v>0</v>
      </c>
      <c r="BS61" s="417">
        <f t="shared" ref="BS61:BT66" si="98">P61+AS61</f>
        <v>543112</v>
      </c>
      <c r="BT61" s="417">
        <f t="shared" si="98"/>
        <v>16069</v>
      </c>
      <c r="BU61" s="417">
        <f t="shared" ref="BU61:BU66" si="99">R61+AX61</f>
        <v>8800</v>
      </c>
      <c r="BV61" s="418">
        <f t="shared" ref="BV61:BV66" si="100">S61+BK61</f>
        <v>2.6992000000000003</v>
      </c>
      <c r="BW61" s="418">
        <f t="shared" ref="BW61:BX66" si="101">T61+BI61</f>
        <v>2.3065000000000002</v>
      </c>
      <c r="BX61" s="420">
        <f t="shared" si="101"/>
        <v>0.39269999999999999</v>
      </c>
      <c r="BY61" s="994"/>
      <c r="BZ61" s="595"/>
      <c r="CA61" s="595"/>
      <c r="CB61" s="595"/>
      <c r="CC61" s="595"/>
      <c r="CD61" s="981"/>
      <c r="CE61" s="994">
        <v>45321</v>
      </c>
      <c r="CF61" s="595">
        <v>31450</v>
      </c>
      <c r="CG61" s="595">
        <v>10630</v>
      </c>
      <c r="CH61" s="595">
        <v>315</v>
      </c>
      <c r="CI61" s="595">
        <v>2926</v>
      </c>
      <c r="CJ61" s="981">
        <v>0.126</v>
      </c>
    </row>
    <row r="62" spans="1:88" ht="12.95" customHeight="1">
      <c r="A62" s="280">
        <v>11</v>
      </c>
      <c r="B62" s="321">
        <v>5404</v>
      </c>
      <c r="C62" s="322">
        <v>600098974</v>
      </c>
      <c r="D62" s="281">
        <v>70979812</v>
      </c>
      <c r="E62" s="323" t="s">
        <v>369</v>
      </c>
      <c r="F62" s="281">
        <v>3117</v>
      </c>
      <c r="G62" s="323" t="s">
        <v>293</v>
      </c>
      <c r="H62" s="284" t="s">
        <v>271</v>
      </c>
      <c r="I62" s="419">
        <v>2479371</v>
      </c>
      <c r="J62" s="414">
        <v>1804281</v>
      </c>
      <c r="K62" s="414">
        <v>1330671</v>
      </c>
      <c r="L62" s="414">
        <v>473610</v>
      </c>
      <c r="M62" s="414">
        <v>0</v>
      </c>
      <c r="N62" s="414">
        <v>0</v>
      </c>
      <c r="O62" s="414">
        <v>0</v>
      </c>
      <c r="P62" s="68">
        <v>609847</v>
      </c>
      <c r="Q62" s="68">
        <v>18043</v>
      </c>
      <c r="R62" s="414">
        <v>47200</v>
      </c>
      <c r="S62" s="415">
        <v>3.6409000000000002</v>
      </c>
      <c r="T62" s="416">
        <v>2.2273000000000001</v>
      </c>
      <c r="U62" s="422">
        <v>1.4136000000000002</v>
      </c>
      <c r="V62" s="423">
        <f t="shared" si="4"/>
        <v>0</v>
      </c>
      <c r="W62" s="417">
        <f t="shared" si="4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5"/>
        <v>0</v>
      </c>
      <c r="AF62" s="417">
        <f t="shared" si="6"/>
        <v>0</v>
      </c>
      <c r="AG62" s="417">
        <f t="shared" si="7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8"/>
        <v>0</v>
      </c>
      <c r="AN62" s="417">
        <f t="shared" si="9"/>
        <v>0</v>
      </c>
      <c r="AO62" s="417">
        <f t="shared" si="10"/>
        <v>0</v>
      </c>
      <c r="AP62" s="417">
        <f t="shared" si="11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 t="shared" si="93"/>
        <v>2479371</v>
      </c>
      <c r="BM62" s="417">
        <f t="shared" si="94"/>
        <v>1804281</v>
      </c>
      <c r="BN62" s="417">
        <f t="shared" si="95"/>
        <v>1330671</v>
      </c>
      <c r="BO62" s="417">
        <f t="shared" si="95"/>
        <v>473610</v>
      </c>
      <c r="BP62" s="417">
        <f t="shared" si="96"/>
        <v>0</v>
      </c>
      <c r="BQ62" s="417">
        <f t="shared" si="97"/>
        <v>0</v>
      </c>
      <c r="BR62" s="417">
        <f t="shared" si="97"/>
        <v>0</v>
      </c>
      <c r="BS62" s="417">
        <f t="shared" si="98"/>
        <v>609847</v>
      </c>
      <c r="BT62" s="417">
        <f t="shared" si="98"/>
        <v>18043</v>
      </c>
      <c r="BU62" s="417">
        <f t="shared" si="99"/>
        <v>47200</v>
      </c>
      <c r="BV62" s="418">
        <f t="shared" si="100"/>
        <v>3.6409000000000002</v>
      </c>
      <c r="BW62" s="418">
        <f t="shared" si="101"/>
        <v>2.2273000000000001</v>
      </c>
      <c r="BX62" s="420">
        <f t="shared" si="101"/>
        <v>1.4136000000000002</v>
      </c>
      <c r="BY62" s="994"/>
      <c r="BZ62" s="595"/>
      <c r="CA62" s="595"/>
      <c r="CB62" s="595"/>
      <c r="CC62" s="595"/>
      <c r="CD62" s="981"/>
      <c r="CE62" s="994">
        <v>213156</v>
      </c>
      <c r="CF62" s="595">
        <v>152003</v>
      </c>
      <c r="CG62" s="595">
        <v>51377</v>
      </c>
      <c r="CH62" s="595">
        <v>1520</v>
      </c>
      <c r="CI62" s="595">
        <v>8256</v>
      </c>
      <c r="CJ62" s="981">
        <v>0.45370000000000005</v>
      </c>
    </row>
    <row r="63" spans="1:88" ht="12.95" customHeight="1">
      <c r="A63" s="280">
        <v>11</v>
      </c>
      <c r="B63" s="321">
        <v>5404</v>
      </c>
      <c r="C63" s="322">
        <v>600098974</v>
      </c>
      <c r="D63" s="281">
        <v>70979812</v>
      </c>
      <c r="E63" s="323" t="s">
        <v>369</v>
      </c>
      <c r="F63" s="281">
        <v>3117</v>
      </c>
      <c r="G63" s="323" t="s">
        <v>298</v>
      </c>
      <c r="H63" s="284" t="s">
        <v>272</v>
      </c>
      <c r="I63" s="419">
        <v>569268</v>
      </c>
      <c r="J63" s="414">
        <v>422306</v>
      </c>
      <c r="K63" s="414">
        <v>422306</v>
      </c>
      <c r="L63" s="414">
        <v>0</v>
      </c>
      <c r="M63" s="414">
        <v>0</v>
      </c>
      <c r="N63" s="414">
        <v>0</v>
      </c>
      <c r="O63" s="414">
        <v>0</v>
      </c>
      <c r="P63" s="68">
        <v>142739</v>
      </c>
      <c r="Q63" s="68">
        <v>4223</v>
      </c>
      <c r="R63" s="414">
        <v>0</v>
      </c>
      <c r="S63" s="415">
        <v>1.1399999999999999</v>
      </c>
      <c r="T63" s="416">
        <v>1.1399999999999999</v>
      </c>
      <c r="U63" s="422">
        <v>0</v>
      </c>
      <c r="V63" s="423">
        <f t="shared" si="4"/>
        <v>0</v>
      </c>
      <c r="W63" s="417">
        <f t="shared" si="4"/>
        <v>0</v>
      </c>
      <c r="X63" s="417">
        <v>-10529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5"/>
        <v>-10529</v>
      </c>
      <c r="AF63" s="417">
        <f t="shared" si="6"/>
        <v>0</v>
      </c>
      <c r="AG63" s="417">
        <f t="shared" si="7"/>
        <v>-10529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8"/>
        <v>0</v>
      </c>
      <c r="AN63" s="417">
        <f t="shared" si="9"/>
        <v>0</v>
      </c>
      <c r="AO63" s="417">
        <f t="shared" si="10"/>
        <v>0</v>
      </c>
      <c r="AP63" s="417">
        <f t="shared" si="11"/>
        <v>-10529</v>
      </c>
      <c r="AQ63" s="417">
        <f t="shared" si="11"/>
        <v>0</v>
      </c>
      <c r="AR63" s="417">
        <f t="shared" si="12"/>
        <v>-10529</v>
      </c>
      <c r="AS63" s="68">
        <f t="shared" si="13"/>
        <v>-3559</v>
      </c>
      <c r="AT63" s="68">
        <f t="shared" si="14"/>
        <v>-105</v>
      </c>
      <c r="AU63" s="417">
        <v>0</v>
      </c>
      <c r="AV63" s="417">
        <v>0</v>
      </c>
      <c r="AW63" s="417">
        <v>0</v>
      </c>
      <c r="AX63" s="417">
        <f t="shared" si="15"/>
        <v>0</v>
      </c>
      <c r="AY63" s="417">
        <f t="shared" si="16"/>
        <v>-14193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7"/>
        <v>0</v>
      </c>
      <c r="BJ63" s="418">
        <f t="shared" si="18"/>
        <v>0</v>
      </c>
      <c r="BK63" s="420">
        <f t="shared" si="19"/>
        <v>0</v>
      </c>
      <c r="BL63" s="772">
        <f t="shared" si="93"/>
        <v>555075</v>
      </c>
      <c r="BM63" s="417">
        <f t="shared" si="94"/>
        <v>411777</v>
      </c>
      <c r="BN63" s="417">
        <f t="shared" si="95"/>
        <v>411777</v>
      </c>
      <c r="BO63" s="417">
        <f t="shared" si="95"/>
        <v>0</v>
      </c>
      <c r="BP63" s="417">
        <f t="shared" si="96"/>
        <v>0</v>
      </c>
      <c r="BQ63" s="417">
        <f t="shared" si="97"/>
        <v>0</v>
      </c>
      <c r="BR63" s="417">
        <f t="shared" si="97"/>
        <v>0</v>
      </c>
      <c r="BS63" s="417">
        <f t="shared" si="98"/>
        <v>139180</v>
      </c>
      <c r="BT63" s="417">
        <f t="shared" si="98"/>
        <v>4118</v>
      </c>
      <c r="BU63" s="417">
        <f t="shared" si="99"/>
        <v>0</v>
      </c>
      <c r="BV63" s="418">
        <f t="shared" si="100"/>
        <v>1.1399999999999999</v>
      </c>
      <c r="BW63" s="418">
        <f t="shared" si="101"/>
        <v>1.1399999999999999</v>
      </c>
      <c r="BX63" s="420">
        <f t="shared" si="101"/>
        <v>0</v>
      </c>
      <c r="BY63" s="994"/>
      <c r="BZ63" s="595"/>
      <c r="CA63" s="595"/>
      <c r="CB63" s="595"/>
      <c r="CC63" s="595"/>
      <c r="CD63" s="981"/>
      <c r="CE63" s="994"/>
      <c r="CF63" s="595"/>
      <c r="CG63" s="595"/>
      <c r="CH63" s="595"/>
      <c r="CI63" s="595"/>
      <c r="CJ63" s="981"/>
    </row>
    <row r="64" spans="1:88" ht="12.95" customHeight="1">
      <c r="A64" s="280">
        <v>11</v>
      </c>
      <c r="B64" s="321">
        <v>5404</v>
      </c>
      <c r="C64" s="322">
        <v>600098974</v>
      </c>
      <c r="D64" s="281">
        <v>70979812</v>
      </c>
      <c r="E64" s="323" t="s">
        <v>369</v>
      </c>
      <c r="F64" s="281">
        <v>3141</v>
      </c>
      <c r="G64" s="323" t="s">
        <v>294</v>
      </c>
      <c r="H64" s="284" t="s">
        <v>272</v>
      </c>
      <c r="I64" s="419">
        <v>770810</v>
      </c>
      <c r="J64" s="414">
        <v>559809</v>
      </c>
      <c r="K64" s="414">
        <v>0</v>
      </c>
      <c r="L64" s="414">
        <v>559809</v>
      </c>
      <c r="M64" s="414">
        <v>10000</v>
      </c>
      <c r="N64" s="414">
        <v>0</v>
      </c>
      <c r="O64" s="414">
        <v>10000</v>
      </c>
      <c r="P64" s="68">
        <v>192595</v>
      </c>
      <c r="Q64" s="68">
        <v>5598</v>
      </c>
      <c r="R64" s="414">
        <v>2808</v>
      </c>
      <c r="S64" s="415">
        <v>1.71</v>
      </c>
      <c r="T64" s="416">
        <v>0</v>
      </c>
      <c r="U64" s="422">
        <v>1.71</v>
      </c>
      <c r="V64" s="423">
        <f t="shared" si="4"/>
        <v>0</v>
      </c>
      <c r="W64" s="417">
        <f t="shared" si="4"/>
        <v>0</v>
      </c>
      <c r="X64" s="417">
        <v>0</v>
      </c>
      <c r="Y64" s="417">
        <v>0</v>
      </c>
      <c r="Z64" s="417">
        <v>0</v>
      </c>
      <c r="AA64" s="417">
        <v>10953</v>
      </c>
      <c r="AB64" s="417">
        <v>0</v>
      </c>
      <c r="AC64" s="417">
        <v>0</v>
      </c>
      <c r="AD64" s="417">
        <v>0</v>
      </c>
      <c r="AE64" s="417">
        <f t="shared" si="5"/>
        <v>0</v>
      </c>
      <c r="AF64" s="417">
        <f t="shared" si="6"/>
        <v>10953</v>
      </c>
      <c r="AG64" s="417">
        <f t="shared" si="7"/>
        <v>10953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8"/>
        <v>0</v>
      </c>
      <c r="AN64" s="417">
        <f t="shared" si="9"/>
        <v>0</v>
      </c>
      <c r="AO64" s="417">
        <f t="shared" si="10"/>
        <v>0</v>
      </c>
      <c r="AP64" s="417">
        <f t="shared" si="11"/>
        <v>0</v>
      </c>
      <c r="AQ64" s="417">
        <f t="shared" si="11"/>
        <v>10953</v>
      </c>
      <c r="AR64" s="417">
        <f t="shared" si="12"/>
        <v>10953</v>
      </c>
      <c r="AS64" s="68">
        <f t="shared" si="13"/>
        <v>3702</v>
      </c>
      <c r="AT64" s="68">
        <f t="shared" si="14"/>
        <v>110</v>
      </c>
      <c r="AU64" s="417">
        <v>0</v>
      </c>
      <c r="AV64" s="417">
        <v>0</v>
      </c>
      <c r="AW64" s="417">
        <v>0</v>
      </c>
      <c r="AX64" s="417">
        <f t="shared" si="15"/>
        <v>0</v>
      </c>
      <c r="AY64" s="417">
        <f t="shared" si="16"/>
        <v>14765</v>
      </c>
      <c r="AZ64" s="418">
        <v>0</v>
      </c>
      <c r="BA64" s="418">
        <v>0</v>
      </c>
      <c r="BB64" s="418">
        <v>0</v>
      </c>
      <c r="BC64" s="418">
        <v>0</v>
      </c>
      <c r="BD64" s="418">
        <v>0.03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0.03</v>
      </c>
      <c r="BK64" s="420">
        <f t="shared" si="19"/>
        <v>0.03</v>
      </c>
      <c r="BL64" s="772">
        <f t="shared" si="93"/>
        <v>785575</v>
      </c>
      <c r="BM64" s="417">
        <f t="shared" si="94"/>
        <v>570762</v>
      </c>
      <c r="BN64" s="417">
        <f t="shared" si="95"/>
        <v>0</v>
      </c>
      <c r="BO64" s="417">
        <f t="shared" si="95"/>
        <v>570762</v>
      </c>
      <c r="BP64" s="417">
        <f t="shared" si="96"/>
        <v>10000</v>
      </c>
      <c r="BQ64" s="417">
        <f t="shared" si="97"/>
        <v>0</v>
      </c>
      <c r="BR64" s="417">
        <f t="shared" si="97"/>
        <v>10000</v>
      </c>
      <c r="BS64" s="417">
        <f t="shared" si="98"/>
        <v>196297</v>
      </c>
      <c r="BT64" s="417">
        <f t="shared" si="98"/>
        <v>5708</v>
      </c>
      <c r="BU64" s="417">
        <f t="shared" si="99"/>
        <v>2808</v>
      </c>
      <c r="BV64" s="418">
        <f t="shared" si="100"/>
        <v>1.74</v>
      </c>
      <c r="BW64" s="418">
        <f t="shared" si="101"/>
        <v>0</v>
      </c>
      <c r="BX64" s="420">
        <f t="shared" si="101"/>
        <v>1.74</v>
      </c>
      <c r="BY64" s="994"/>
      <c r="BZ64" s="595"/>
      <c r="CA64" s="595"/>
      <c r="CB64" s="595"/>
      <c r="CC64" s="595"/>
      <c r="CD64" s="981"/>
      <c r="CE64" s="994"/>
      <c r="CF64" s="595"/>
      <c r="CG64" s="595"/>
      <c r="CH64" s="595"/>
      <c r="CI64" s="595"/>
      <c r="CJ64" s="981"/>
    </row>
    <row r="65" spans="1:91" ht="12.95" customHeight="1">
      <c r="A65" s="280">
        <v>11</v>
      </c>
      <c r="B65" s="321">
        <v>5404</v>
      </c>
      <c r="C65" s="322">
        <v>600098974</v>
      </c>
      <c r="D65" s="281">
        <v>70979812</v>
      </c>
      <c r="E65" s="323" t="s">
        <v>369</v>
      </c>
      <c r="F65" s="281">
        <v>3143</v>
      </c>
      <c r="G65" s="323" t="s">
        <v>595</v>
      </c>
      <c r="H65" s="284" t="s">
        <v>271</v>
      </c>
      <c r="I65" s="419">
        <v>471819</v>
      </c>
      <c r="J65" s="414">
        <v>350014</v>
      </c>
      <c r="K65" s="414">
        <v>350014</v>
      </c>
      <c r="L65" s="414">
        <v>0</v>
      </c>
      <c r="M65" s="414">
        <v>0</v>
      </c>
      <c r="N65" s="414">
        <v>0</v>
      </c>
      <c r="O65" s="414">
        <v>0</v>
      </c>
      <c r="P65" s="68">
        <v>118305</v>
      </c>
      <c r="Q65" s="68">
        <v>3500</v>
      </c>
      <c r="R65" s="414">
        <v>0</v>
      </c>
      <c r="S65" s="415">
        <v>0.70520000000000005</v>
      </c>
      <c r="T65" s="416">
        <v>0.70520000000000005</v>
      </c>
      <c r="U65" s="422">
        <v>0</v>
      </c>
      <c r="V65" s="423">
        <f t="shared" si="4"/>
        <v>0</v>
      </c>
      <c r="W65" s="417">
        <f t="shared" si="4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5"/>
        <v>0</v>
      </c>
      <c r="AF65" s="417">
        <f t="shared" si="6"/>
        <v>0</v>
      </c>
      <c r="AG65" s="417">
        <f t="shared" si="7"/>
        <v>0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8"/>
        <v>0</v>
      </c>
      <c r="AN65" s="417">
        <f t="shared" si="9"/>
        <v>0</v>
      </c>
      <c r="AO65" s="417">
        <f t="shared" si="10"/>
        <v>0</v>
      </c>
      <c r="AP65" s="417">
        <f t="shared" si="11"/>
        <v>0</v>
      </c>
      <c r="AQ65" s="417">
        <f t="shared" si="11"/>
        <v>0</v>
      </c>
      <c r="AR65" s="417">
        <f t="shared" si="12"/>
        <v>0</v>
      </c>
      <c r="AS65" s="68">
        <f t="shared" si="13"/>
        <v>0</v>
      </c>
      <c r="AT65" s="68">
        <f t="shared" si="14"/>
        <v>0</v>
      </c>
      <c r="AU65" s="417">
        <v>0</v>
      </c>
      <c r="AV65" s="417">
        <v>0</v>
      </c>
      <c r="AW65" s="417">
        <v>0</v>
      </c>
      <c r="AX65" s="417">
        <f t="shared" si="15"/>
        <v>0</v>
      </c>
      <c r="AY65" s="417">
        <f t="shared" si="16"/>
        <v>0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7"/>
        <v>0</v>
      </c>
      <c r="BJ65" s="418">
        <f t="shared" si="18"/>
        <v>0</v>
      </c>
      <c r="BK65" s="420">
        <f t="shared" si="19"/>
        <v>0</v>
      </c>
      <c r="BL65" s="772">
        <f t="shared" si="93"/>
        <v>471819</v>
      </c>
      <c r="BM65" s="417">
        <f t="shared" si="94"/>
        <v>350014</v>
      </c>
      <c r="BN65" s="417">
        <f t="shared" si="95"/>
        <v>350014</v>
      </c>
      <c r="BO65" s="417">
        <f t="shared" si="95"/>
        <v>0</v>
      </c>
      <c r="BP65" s="417">
        <f t="shared" si="96"/>
        <v>0</v>
      </c>
      <c r="BQ65" s="417">
        <f t="shared" si="97"/>
        <v>0</v>
      </c>
      <c r="BR65" s="417">
        <f t="shared" si="97"/>
        <v>0</v>
      </c>
      <c r="BS65" s="417">
        <f t="shared" si="98"/>
        <v>118305</v>
      </c>
      <c r="BT65" s="417">
        <f t="shared" si="98"/>
        <v>3500</v>
      </c>
      <c r="BU65" s="417">
        <f t="shared" si="99"/>
        <v>0</v>
      </c>
      <c r="BV65" s="418">
        <f t="shared" si="100"/>
        <v>0.70520000000000005</v>
      </c>
      <c r="BW65" s="418">
        <f t="shared" si="101"/>
        <v>0.70520000000000005</v>
      </c>
      <c r="BX65" s="420">
        <f t="shared" si="101"/>
        <v>0</v>
      </c>
      <c r="BY65" s="994"/>
      <c r="BZ65" s="595"/>
      <c r="CA65" s="595"/>
      <c r="CB65" s="595"/>
      <c r="CC65" s="595"/>
      <c r="CD65" s="981"/>
      <c r="CE65" s="994"/>
      <c r="CF65" s="595"/>
      <c r="CG65" s="595"/>
      <c r="CH65" s="595"/>
      <c r="CI65" s="595"/>
      <c r="CJ65" s="981"/>
    </row>
    <row r="66" spans="1:91" ht="12.95" customHeight="1">
      <c r="A66" s="280">
        <v>11</v>
      </c>
      <c r="B66" s="321">
        <v>5404</v>
      </c>
      <c r="C66" s="322">
        <v>600098974</v>
      </c>
      <c r="D66" s="281">
        <v>70979812</v>
      </c>
      <c r="E66" s="323" t="s">
        <v>369</v>
      </c>
      <c r="F66" s="281">
        <v>3143</v>
      </c>
      <c r="G66" s="323" t="s">
        <v>596</v>
      </c>
      <c r="H66" s="284" t="s">
        <v>272</v>
      </c>
      <c r="I66" s="419">
        <v>9990</v>
      </c>
      <c r="J66" s="414">
        <v>7150</v>
      </c>
      <c r="K66" s="414">
        <v>0</v>
      </c>
      <c r="L66" s="414">
        <v>7150</v>
      </c>
      <c r="M66" s="414">
        <v>0</v>
      </c>
      <c r="N66" s="414">
        <v>0</v>
      </c>
      <c r="O66" s="414">
        <v>0</v>
      </c>
      <c r="P66" s="68">
        <v>2417</v>
      </c>
      <c r="Q66" s="68">
        <v>72</v>
      </c>
      <c r="R66" s="414">
        <v>351</v>
      </c>
      <c r="S66" s="415">
        <v>2.81E-2</v>
      </c>
      <c r="T66" s="416">
        <v>0</v>
      </c>
      <c r="U66" s="422">
        <v>2.81E-2</v>
      </c>
      <c r="V66" s="423">
        <f t="shared" si="4"/>
        <v>0</v>
      </c>
      <c r="W66" s="417">
        <f t="shared" si="4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5"/>
        <v>0</v>
      </c>
      <c r="AF66" s="417">
        <f t="shared" si="6"/>
        <v>0</v>
      </c>
      <c r="AG66" s="417">
        <f t="shared" si="7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8"/>
        <v>0</v>
      </c>
      <c r="AN66" s="417">
        <f t="shared" si="9"/>
        <v>0</v>
      </c>
      <c r="AO66" s="417">
        <f t="shared" si="10"/>
        <v>0</v>
      </c>
      <c r="AP66" s="417">
        <f t="shared" si="11"/>
        <v>0</v>
      </c>
      <c r="AQ66" s="417">
        <f t="shared" si="11"/>
        <v>0</v>
      </c>
      <c r="AR66" s="417">
        <f t="shared" si="12"/>
        <v>0</v>
      </c>
      <c r="AS66" s="68">
        <f t="shared" si="13"/>
        <v>0</v>
      </c>
      <c r="AT66" s="68">
        <f t="shared" si="14"/>
        <v>0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0</v>
      </c>
      <c r="BJ66" s="418">
        <f t="shared" si="18"/>
        <v>0</v>
      </c>
      <c r="BK66" s="420">
        <f t="shared" si="19"/>
        <v>0</v>
      </c>
      <c r="BL66" s="772">
        <f t="shared" si="93"/>
        <v>9990</v>
      </c>
      <c r="BM66" s="417">
        <f t="shared" si="94"/>
        <v>7150</v>
      </c>
      <c r="BN66" s="417">
        <f t="shared" si="95"/>
        <v>0</v>
      </c>
      <c r="BO66" s="417">
        <f t="shared" si="95"/>
        <v>7150</v>
      </c>
      <c r="BP66" s="417">
        <f t="shared" si="96"/>
        <v>0</v>
      </c>
      <c r="BQ66" s="417">
        <f t="shared" si="97"/>
        <v>0</v>
      </c>
      <c r="BR66" s="417">
        <f t="shared" si="97"/>
        <v>0</v>
      </c>
      <c r="BS66" s="417">
        <f t="shared" si="98"/>
        <v>2417</v>
      </c>
      <c r="BT66" s="417">
        <f t="shared" si="98"/>
        <v>72</v>
      </c>
      <c r="BU66" s="417">
        <f t="shared" si="99"/>
        <v>351</v>
      </c>
      <c r="BV66" s="418">
        <f t="shared" si="100"/>
        <v>2.81E-2</v>
      </c>
      <c r="BW66" s="418">
        <f t="shared" si="101"/>
        <v>0</v>
      </c>
      <c r="BX66" s="420">
        <f t="shared" si="101"/>
        <v>2.81E-2</v>
      </c>
      <c r="BY66" s="994"/>
      <c r="BZ66" s="595"/>
      <c r="CA66" s="595"/>
      <c r="CB66" s="595"/>
      <c r="CC66" s="595"/>
      <c r="CD66" s="981"/>
      <c r="CE66" s="994"/>
      <c r="CF66" s="595"/>
      <c r="CG66" s="595"/>
      <c r="CH66" s="595"/>
      <c r="CI66" s="595"/>
      <c r="CJ66" s="981"/>
    </row>
    <row r="67" spans="1:91" ht="12.95" customHeight="1">
      <c r="A67" s="324">
        <v>11</v>
      </c>
      <c r="B67" s="325">
        <v>5404</v>
      </c>
      <c r="C67" s="326">
        <v>600098974</v>
      </c>
      <c r="D67" s="325">
        <v>70979812</v>
      </c>
      <c r="E67" s="327" t="s">
        <v>370</v>
      </c>
      <c r="F67" s="291"/>
      <c r="G67" s="329"/>
      <c r="H67" s="292"/>
      <c r="I67" s="471">
        <v>6476081</v>
      </c>
      <c r="J67" s="467">
        <v>4750402</v>
      </c>
      <c r="K67" s="467">
        <v>3611815</v>
      </c>
      <c r="L67" s="467">
        <v>1138587</v>
      </c>
      <c r="M67" s="467">
        <v>10000</v>
      </c>
      <c r="N67" s="467">
        <v>0</v>
      </c>
      <c r="O67" s="467">
        <v>10000</v>
      </c>
      <c r="P67" s="467">
        <v>1609015</v>
      </c>
      <c r="Q67" s="467">
        <v>47505</v>
      </c>
      <c r="R67" s="467">
        <v>59159</v>
      </c>
      <c r="S67" s="468">
        <v>9.9234000000000009</v>
      </c>
      <c r="T67" s="468">
        <v>6.3789999999999996</v>
      </c>
      <c r="U67" s="531">
        <v>3.5444</v>
      </c>
      <c r="V67" s="471">
        <f t="shared" ref="V67:BK67" si="102">SUM(V61:V66)</f>
        <v>0</v>
      </c>
      <c r="W67" s="467">
        <f t="shared" si="102"/>
        <v>0</v>
      </c>
      <c r="X67" s="467">
        <f t="shared" si="102"/>
        <v>-10529</v>
      </c>
      <c r="Y67" s="467">
        <f t="shared" si="102"/>
        <v>0</v>
      </c>
      <c r="Z67" s="467">
        <f t="shared" si="102"/>
        <v>0</v>
      </c>
      <c r="AA67" s="467">
        <f t="shared" si="102"/>
        <v>10953</v>
      </c>
      <c r="AB67" s="467">
        <f t="shared" si="102"/>
        <v>0</v>
      </c>
      <c r="AC67" s="467">
        <f t="shared" si="102"/>
        <v>0</v>
      </c>
      <c r="AD67" s="467">
        <f t="shared" si="102"/>
        <v>0</v>
      </c>
      <c r="AE67" s="467">
        <f t="shared" si="102"/>
        <v>-10529</v>
      </c>
      <c r="AF67" s="467">
        <f t="shared" si="102"/>
        <v>10953</v>
      </c>
      <c r="AG67" s="467">
        <f t="shared" si="102"/>
        <v>424</v>
      </c>
      <c r="AH67" s="467">
        <f t="shared" si="102"/>
        <v>0</v>
      </c>
      <c r="AI67" s="467">
        <f t="shared" si="102"/>
        <v>0</v>
      </c>
      <c r="AJ67" s="467">
        <f t="shared" si="102"/>
        <v>0</v>
      </c>
      <c r="AK67" s="467">
        <f t="shared" si="102"/>
        <v>0</v>
      </c>
      <c r="AL67" s="467">
        <f t="shared" si="102"/>
        <v>0</v>
      </c>
      <c r="AM67" s="467">
        <f t="shared" si="102"/>
        <v>0</v>
      </c>
      <c r="AN67" s="467">
        <f t="shared" si="102"/>
        <v>0</v>
      </c>
      <c r="AO67" s="467">
        <f t="shared" si="102"/>
        <v>0</v>
      </c>
      <c r="AP67" s="467">
        <f t="shared" si="102"/>
        <v>-10529</v>
      </c>
      <c r="AQ67" s="467">
        <f t="shared" si="102"/>
        <v>10953</v>
      </c>
      <c r="AR67" s="467">
        <f t="shared" si="102"/>
        <v>424</v>
      </c>
      <c r="AS67" s="467">
        <f t="shared" si="102"/>
        <v>143</v>
      </c>
      <c r="AT67" s="467">
        <f t="shared" si="102"/>
        <v>5</v>
      </c>
      <c r="AU67" s="467">
        <f t="shared" si="102"/>
        <v>0</v>
      </c>
      <c r="AV67" s="467">
        <f t="shared" si="102"/>
        <v>0</v>
      </c>
      <c r="AW67" s="467">
        <f t="shared" si="102"/>
        <v>0</v>
      </c>
      <c r="AX67" s="467">
        <f t="shared" si="102"/>
        <v>0</v>
      </c>
      <c r="AY67" s="467">
        <f t="shared" si="102"/>
        <v>572</v>
      </c>
      <c r="AZ67" s="468">
        <f t="shared" si="102"/>
        <v>0</v>
      </c>
      <c r="BA67" s="468">
        <f t="shared" si="102"/>
        <v>0</v>
      </c>
      <c r="BB67" s="468">
        <f t="shared" si="102"/>
        <v>0</v>
      </c>
      <c r="BC67" s="468">
        <f t="shared" si="102"/>
        <v>0</v>
      </c>
      <c r="BD67" s="468">
        <f t="shared" si="102"/>
        <v>0.03</v>
      </c>
      <c r="BE67" s="468">
        <f t="shared" si="102"/>
        <v>0</v>
      </c>
      <c r="BF67" s="468">
        <f t="shared" si="102"/>
        <v>0</v>
      </c>
      <c r="BG67" s="468">
        <f t="shared" si="102"/>
        <v>0</v>
      </c>
      <c r="BH67" s="468">
        <f t="shared" si="102"/>
        <v>0</v>
      </c>
      <c r="BI67" s="468">
        <f t="shared" si="102"/>
        <v>0</v>
      </c>
      <c r="BJ67" s="468">
        <f t="shared" si="102"/>
        <v>0.03</v>
      </c>
      <c r="BK67" s="328">
        <f t="shared" si="102"/>
        <v>0.03</v>
      </c>
      <c r="BL67" s="774">
        <f t="shared" ref="BL67:CG67" si="103">SUM(BL61:BL66)</f>
        <v>6476653</v>
      </c>
      <c r="BM67" s="467">
        <f t="shared" si="103"/>
        <v>4750826</v>
      </c>
      <c r="BN67" s="467">
        <f t="shared" si="103"/>
        <v>3601286</v>
      </c>
      <c r="BO67" s="467">
        <f t="shared" si="103"/>
        <v>1149540</v>
      </c>
      <c r="BP67" s="467">
        <f t="shared" si="103"/>
        <v>10000</v>
      </c>
      <c r="BQ67" s="467">
        <f t="shared" si="103"/>
        <v>0</v>
      </c>
      <c r="BR67" s="467">
        <f t="shared" si="103"/>
        <v>10000</v>
      </c>
      <c r="BS67" s="467">
        <f t="shared" si="103"/>
        <v>1609158</v>
      </c>
      <c r="BT67" s="467">
        <f t="shared" si="103"/>
        <v>47510</v>
      </c>
      <c r="BU67" s="467">
        <f t="shared" si="103"/>
        <v>59159</v>
      </c>
      <c r="BV67" s="468">
        <f t="shared" si="103"/>
        <v>9.9534000000000002</v>
      </c>
      <c r="BW67" s="468">
        <f t="shared" si="103"/>
        <v>6.3789999999999996</v>
      </c>
      <c r="BX67" s="328">
        <f t="shared" si="103"/>
        <v>3.5744000000000002</v>
      </c>
      <c r="BY67" s="838">
        <f t="shared" si="103"/>
        <v>0</v>
      </c>
      <c r="BZ67" s="721">
        <f t="shared" si="103"/>
        <v>0</v>
      </c>
      <c r="CA67" s="721">
        <f t="shared" si="103"/>
        <v>0</v>
      </c>
      <c r="CB67" s="721">
        <f t="shared" si="103"/>
        <v>0</v>
      </c>
      <c r="CC67" s="721">
        <f t="shared" si="103"/>
        <v>0</v>
      </c>
      <c r="CD67" s="826">
        <f t="shared" si="103"/>
        <v>0</v>
      </c>
      <c r="CE67" s="995">
        <f t="shared" si="103"/>
        <v>258477</v>
      </c>
      <c r="CF67" s="995">
        <f t="shared" si="103"/>
        <v>183453</v>
      </c>
      <c r="CG67" s="995">
        <f t="shared" si="103"/>
        <v>62007</v>
      </c>
      <c r="CH67" s="995">
        <f t="shared" ref="CH67:CJ67" si="104">SUM(CH61:CH66)</f>
        <v>1835</v>
      </c>
      <c r="CI67" s="995">
        <f t="shared" si="104"/>
        <v>11182</v>
      </c>
      <c r="CJ67" s="933">
        <f t="shared" si="104"/>
        <v>0.5797000000000001</v>
      </c>
    </row>
    <row r="68" spans="1:91" ht="12.95" customHeight="1">
      <c r="A68" s="280">
        <v>12</v>
      </c>
      <c r="B68" s="321">
        <v>5407</v>
      </c>
      <c r="C68" s="322">
        <v>600099148</v>
      </c>
      <c r="D68" s="281">
        <v>70939403</v>
      </c>
      <c r="E68" s="323" t="s">
        <v>371</v>
      </c>
      <c r="F68" s="281">
        <v>3111</v>
      </c>
      <c r="G68" s="323" t="s">
        <v>304</v>
      </c>
      <c r="H68" s="284" t="s">
        <v>271</v>
      </c>
      <c r="I68" s="419">
        <v>3162475</v>
      </c>
      <c r="J68" s="414">
        <v>2337445</v>
      </c>
      <c r="K68" s="414">
        <v>2161027</v>
      </c>
      <c r="L68" s="414">
        <v>176418</v>
      </c>
      <c r="M68" s="414">
        <v>0</v>
      </c>
      <c r="N68" s="414">
        <v>0</v>
      </c>
      <c r="O68" s="414">
        <v>0</v>
      </c>
      <c r="P68" s="68">
        <v>790056</v>
      </c>
      <c r="Q68" s="68">
        <v>23374</v>
      </c>
      <c r="R68" s="414">
        <v>11600</v>
      </c>
      <c r="S68" s="415">
        <v>4.7068000000000003</v>
      </c>
      <c r="T68" s="416">
        <v>4</v>
      </c>
      <c r="U68" s="422">
        <v>0.70679999999999998</v>
      </c>
      <c r="V68" s="423">
        <f t="shared" si="4"/>
        <v>0</v>
      </c>
      <c r="W68" s="417">
        <f t="shared" si="4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5"/>
        <v>0</v>
      </c>
      <c r="AF68" s="417">
        <f t="shared" si="6"/>
        <v>0</v>
      </c>
      <c r="AG68" s="417">
        <f t="shared" si="7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8"/>
        <v>0</v>
      </c>
      <c r="AN68" s="417">
        <f t="shared" si="9"/>
        <v>0</v>
      </c>
      <c r="AO68" s="417">
        <f t="shared" si="10"/>
        <v>0</v>
      </c>
      <c r="AP68" s="417">
        <f t="shared" si="11"/>
        <v>0</v>
      </c>
      <c r="AQ68" s="417">
        <f t="shared" si="11"/>
        <v>0</v>
      </c>
      <c r="AR68" s="417">
        <f t="shared" si="12"/>
        <v>0</v>
      </c>
      <c r="AS68" s="68">
        <f t="shared" si="13"/>
        <v>0</v>
      </c>
      <c r="AT68" s="68">
        <f t="shared" si="14"/>
        <v>0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</v>
      </c>
      <c r="BK68" s="420">
        <f t="shared" si="19"/>
        <v>0</v>
      </c>
      <c r="BL68" s="772">
        <f t="shared" ref="BL68:BL73" si="105">I68+AY68</f>
        <v>3162475</v>
      </c>
      <c r="BM68" s="417">
        <f t="shared" ref="BM68:BM73" si="106">J68+AG68</f>
        <v>2337445</v>
      </c>
      <c r="BN68" s="417">
        <f t="shared" ref="BN68:BO73" si="107">K68+AE68</f>
        <v>2161027</v>
      </c>
      <c r="BO68" s="417">
        <f t="shared" si="107"/>
        <v>176418</v>
      </c>
      <c r="BP68" s="417">
        <f t="shared" ref="BP68:BP73" si="108">M68+AO68</f>
        <v>0</v>
      </c>
      <c r="BQ68" s="417">
        <f t="shared" ref="BQ68:BR73" si="109">N68+AM68</f>
        <v>0</v>
      </c>
      <c r="BR68" s="417">
        <f t="shared" si="109"/>
        <v>0</v>
      </c>
      <c r="BS68" s="417">
        <f t="shared" ref="BS68:BT73" si="110">P68+AS68</f>
        <v>790056</v>
      </c>
      <c r="BT68" s="417">
        <f t="shared" si="110"/>
        <v>23374</v>
      </c>
      <c r="BU68" s="417">
        <f t="shared" ref="BU68:BU73" si="111">R68+AX68</f>
        <v>11600</v>
      </c>
      <c r="BV68" s="418">
        <f t="shared" ref="BV68:BV73" si="112">S68+BK68</f>
        <v>4.7068000000000003</v>
      </c>
      <c r="BW68" s="418">
        <f t="shared" ref="BW68:BX73" si="113">T68+BI68</f>
        <v>4</v>
      </c>
      <c r="BX68" s="420">
        <f t="shared" si="113"/>
        <v>0.70679999999999998</v>
      </c>
      <c r="BY68" s="994"/>
      <c r="BZ68" s="595"/>
      <c r="CA68" s="595"/>
      <c r="CB68" s="595"/>
      <c r="CC68" s="595"/>
      <c r="CD68" s="981"/>
      <c r="CE68" s="994">
        <v>80167</v>
      </c>
      <c r="CF68" s="595">
        <v>56610</v>
      </c>
      <c r="CG68" s="595">
        <v>19134</v>
      </c>
      <c r="CH68" s="595">
        <v>566</v>
      </c>
      <c r="CI68" s="595">
        <v>3857</v>
      </c>
      <c r="CJ68" s="981">
        <v>0.2268</v>
      </c>
    </row>
    <row r="69" spans="1:91" ht="12.95" customHeight="1">
      <c r="A69" s="280">
        <v>12</v>
      </c>
      <c r="B69" s="321">
        <v>5407</v>
      </c>
      <c r="C69" s="322">
        <v>600099148</v>
      </c>
      <c r="D69" s="281">
        <v>70939403</v>
      </c>
      <c r="E69" s="323" t="s">
        <v>371</v>
      </c>
      <c r="F69" s="281">
        <v>3113</v>
      </c>
      <c r="G69" s="323" t="s">
        <v>308</v>
      </c>
      <c r="H69" s="284" t="s">
        <v>271</v>
      </c>
      <c r="I69" s="419">
        <v>9319771</v>
      </c>
      <c r="J69" s="414">
        <v>6822834</v>
      </c>
      <c r="K69" s="414">
        <v>5978564</v>
      </c>
      <c r="L69" s="414">
        <v>844270</v>
      </c>
      <c r="M69" s="414">
        <v>10000</v>
      </c>
      <c r="N69" s="414">
        <v>0</v>
      </c>
      <c r="O69" s="414">
        <v>10000</v>
      </c>
      <c r="P69" s="68">
        <v>2309498</v>
      </c>
      <c r="Q69" s="68">
        <v>68229</v>
      </c>
      <c r="R69" s="414">
        <v>109210</v>
      </c>
      <c r="S69" s="415">
        <v>11.473800000000001</v>
      </c>
      <c r="T69" s="416">
        <v>9.3079000000000001</v>
      </c>
      <c r="U69" s="422">
        <v>2.1659000000000002</v>
      </c>
      <c r="V69" s="423">
        <f t="shared" si="4"/>
        <v>0</v>
      </c>
      <c r="W69" s="417">
        <f t="shared" si="4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5"/>
        <v>0</v>
      </c>
      <c r="AF69" s="417">
        <f t="shared" si="6"/>
        <v>0</v>
      </c>
      <c r="AG69" s="417">
        <f t="shared" si="7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8"/>
        <v>0</v>
      </c>
      <c r="AN69" s="417">
        <f t="shared" si="9"/>
        <v>0</v>
      </c>
      <c r="AO69" s="417">
        <f t="shared" si="10"/>
        <v>0</v>
      </c>
      <c r="AP69" s="417">
        <f t="shared" si="11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 t="shared" si="105"/>
        <v>9319771</v>
      </c>
      <c r="BM69" s="417">
        <f t="shared" si="106"/>
        <v>6822834</v>
      </c>
      <c r="BN69" s="417">
        <f t="shared" si="107"/>
        <v>5978564</v>
      </c>
      <c r="BO69" s="417">
        <f t="shared" si="107"/>
        <v>844270</v>
      </c>
      <c r="BP69" s="417">
        <f t="shared" si="108"/>
        <v>10000</v>
      </c>
      <c r="BQ69" s="417">
        <f t="shared" si="109"/>
        <v>0</v>
      </c>
      <c r="BR69" s="417">
        <f t="shared" si="109"/>
        <v>10000</v>
      </c>
      <c r="BS69" s="417">
        <f t="shared" si="110"/>
        <v>2309498</v>
      </c>
      <c r="BT69" s="417">
        <f t="shared" si="110"/>
        <v>68229</v>
      </c>
      <c r="BU69" s="417">
        <f t="shared" si="111"/>
        <v>109210</v>
      </c>
      <c r="BV69" s="418">
        <f t="shared" si="112"/>
        <v>11.473800000000001</v>
      </c>
      <c r="BW69" s="418">
        <f t="shared" si="113"/>
        <v>9.3079000000000001</v>
      </c>
      <c r="BX69" s="420">
        <f t="shared" si="113"/>
        <v>2.1659000000000002</v>
      </c>
      <c r="BY69" s="994">
        <v>152054</v>
      </c>
      <c r="BZ69" s="595">
        <v>112800</v>
      </c>
      <c r="CA69" s="595">
        <v>0</v>
      </c>
      <c r="CB69" s="595">
        <v>38126</v>
      </c>
      <c r="CC69" s="595">
        <v>1128</v>
      </c>
      <c r="CD69" s="981">
        <v>0.2</v>
      </c>
      <c r="CE69" s="994">
        <v>395744</v>
      </c>
      <c r="CF69" s="595">
        <v>274190</v>
      </c>
      <c r="CG69" s="595">
        <v>92676</v>
      </c>
      <c r="CH69" s="595">
        <v>2742</v>
      </c>
      <c r="CI69" s="595">
        <v>26136</v>
      </c>
      <c r="CJ69" s="981">
        <v>0.70489999999999997</v>
      </c>
    </row>
    <row r="70" spans="1:91" ht="12.95" customHeight="1">
      <c r="A70" s="280">
        <v>12</v>
      </c>
      <c r="B70" s="321">
        <v>5407</v>
      </c>
      <c r="C70" s="322">
        <v>600099148</v>
      </c>
      <c r="D70" s="281">
        <v>70939403</v>
      </c>
      <c r="E70" s="323" t="s">
        <v>371</v>
      </c>
      <c r="F70" s="281">
        <v>3113</v>
      </c>
      <c r="G70" s="323" t="s">
        <v>298</v>
      </c>
      <c r="H70" s="284" t="s">
        <v>272</v>
      </c>
      <c r="I70" s="419">
        <v>1220210</v>
      </c>
      <c r="J70" s="414">
        <v>901713</v>
      </c>
      <c r="K70" s="414">
        <v>901713</v>
      </c>
      <c r="L70" s="414">
        <v>0</v>
      </c>
      <c r="M70" s="414">
        <v>0</v>
      </c>
      <c r="N70" s="414">
        <v>0</v>
      </c>
      <c r="O70" s="414">
        <v>0</v>
      </c>
      <c r="P70" s="68">
        <v>304780</v>
      </c>
      <c r="Q70" s="68">
        <v>9017</v>
      </c>
      <c r="R70" s="414">
        <v>4700</v>
      </c>
      <c r="S70" s="415">
        <v>2.38</v>
      </c>
      <c r="T70" s="416">
        <v>2.38</v>
      </c>
      <c r="U70" s="422">
        <v>0</v>
      </c>
      <c r="V70" s="423">
        <f t="shared" si="4"/>
        <v>0</v>
      </c>
      <c r="W70" s="417">
        <f t="shared" si="4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5"/>
        <v>0</v>
      </c>
      <c r="AF70" s="417">
        <f t="shared" si="6"/>
        <v>0</v>
      </c>
      <c r="AG70" s="417">
        <f t="shared" si="7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8"/>
        <v>0</v>
      </c>
      <c r="AN70" s="417">
        <f t="shared" si="9"/>
        <v>0</v>
      </c>
      <c r="AO70" s="417">
        <f t="shared" si="10"/>
        <v>0</v>
      </c>
      <c r="AP70" s="417">
        <f t="shared" si="11"/>
        <v>0</v>
      </c>
      <c r="AQ70" s="417">
        <f t="shared" si="11"/>
        <v>0</v>
      </c>
      <c r="AR70" s="417">
        <f t="shared" si="12"/>
        <v>0</v>
      </c>
      <c r="AS70" s="68">
        <f t="shared" si="13"/>
        <v>0</v>
      </c>
      <c r="AT70" s="68">
        <f t="shared" si="14"/>
        <v>0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0</v>
      </c>
      <c r="BK70" s="420">
        <f t="shared" si="19"/>
        <v>0</v>
      </c>
      <c r="BL70" s="772">
        <f t="shared" si="105"/>
        <v>1220210</v>
      </c>
      <c r="BM70" s="417">
        <f t="shared" si="106"/>
        <v>901713</v>
      </c>
      <c r="BN70" s="417">
        <f t="shared" si="107"/>
        <v>901713</v>
      </c>
      <c r="BO70" s="417">
        <f t="shared" si="107"/>
        <v>0</v>
      </c>
      <c r="BP70" s="417">
        <f t="shared" si="108"/>
        <v>0</v>
      </c>
      <c r="BQ70" s="417">
        <f t="shared" si="109"/>
        <v>0</v>
      </c>
      <c r="BR70" s="417">
        <f t="shared" si="109"/>
        <v>0</v>
      </c>
      <c r="BS70" s="417">
        <f t="shared" si="110"/>
        <v>304780</v>
      </c>
      <c r="BT70" s="417">
        <f t="shared" si="110"/>
        <v>9017</v>
      </c>
      <c r="BU70" s="417">
        <f t="shared" si="111"/>
        <v>4700</v>
      </c>
      <c r="BV70" s="418">
        <f t="shared" si="112"/>
        <v>2.38</v>
      </c>
      <c r="BW70" s="418">
        <f t="shared" si="113"/>
        <v>2.38</v>
      </c>
      <c r="BX70" s="420">
        <f t="shared" si="113"/>
        <v>0</v>
      </c>
      <c r="BY70" s="994"/>
      <c r="BZ70" s="595"/>
      <c r="CA70" s="595"/>
      <c r="CB70" s="595"/>
      <c r="CC70" s="595"/>
      <c r="CD70" s="981"/>
      <c r="CE70" s="994"/>
      <c r="CF70" s="595"/>
      <c r="CG70" s="595"/>
      <c r="CH70" s="595"/>
      <c r="CI70" s="595"/>
      <c r="CJ70" s="981"/>
    </row>
    <row r="71" spans="1:91" ht="12.95" customHeight="1">
      <c r="A71" s="280">
        <v>12</v>
      </c>
      <c r="B71" s="321">
        <v>5407</v>
      </c>
      <c r="C71" s="322">
        <v>600099148</v>
      </c>
      <c r="D71" s="281">
        <v>70939403</v>
      </c>
      <c r="E71" s="323" t="s">
        <v>371</v>
      </c>
      <c r="F71" s="281">
        <v>3141</v>
      </c>
      <c r="G71" s="323" t="s">
        <v>294</v>
      </c>
      <c r="H71" s="284" t="s">
        <v>272</v>
      </c>
      <c r="I71" s="419">
        <v>1303858</v>
      </c>
      <c r="J71" s="414">
        <v>962758</v>
      </c>
      <c r="K71" s="414">
        <v>0</v>
      </c>
      <c r="L71" s="414">
        <v>962758</v>
      </c>
      <c r="M71" s="414">
        <v>0</v>
      </c>
      <c r="N71" s="414">
        <v>0</v>
      </c>
      <c r="O71" s="414">
        <v>0</v>
      </c>
      <c r="P71" s="68">
        <v>325412</v>
      </c>
      <c r="Q71" s="68">
        <v>9628</v>
      </c>
      <c r="R71" s="414">
        <v>6060</v>
      </c>
      <c r="S71" s="415">
        <v>2.8966000000000003</v>
      </c>
      <c r="T71" s="416">
        <v>0</v>
      </c>
      <c r="U71" s="422">
        <v>2.8966000000000003</v>
      </c>
      <c r="V71" s="423">
        <f t="shared" si="4"/>
        <v>0</v>
      </c>
      <c r="W71" s="417">
        <f t="shared" si="4"/>
        <v>0</v>
      </c>
      <c r="X71" s="417">
        <v>0</v>
      </c>
      <c r="Y71" s="417">
        <v>0</v>
      </c>
      <c r="Z71" s="417">
        <v>0</v>
      </c>
      <c r="AA71" s="417">
        <v>9388</v>
      </c>
      <c r="AB71" s="417">
        <v>0</v>
      </c>
      <c r="AC71" s="417">
        <v>0</v>
      </c>
      <c r="AD71" s="417">
        <v>0</v>
      </c>
      <c r="AE71" s="417">
        <f t="shared" si="5"/>
        <v>0</v>
      </c>
      <c r="AF71" s="417">
        <f t="shared" si="6"/>
        <v>9388</v>
      </c>
      <c r="AG71" s="417">
        <f t="shared" si="7"/>
        <v>9388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8"/>
        <v>0</v>
      </c>
      <c r="AN71" s="417">
        <f t="shared" si="9"/>
        <v>0</v>
      </c>
      <c r="AO71" s="417">
        <f t="shared" si="10"/>
        <v>0</v>
      </c>
      <c r="AP71" s="417">
        <f t="shared" si="11"/>
        <v>0</v>
      </c>
      <c r="AQ71" s="417">
        <f t="shared" si="11"/>
        <v>9388</v>
      </c>
      <c r="AR71" s="417">
        <f t="shared" si="12"/>
        <v>9388</v>
      </c>
      <c r="AS71" s="68">
        <f t="shared" si="13"/>
        <v>3173</v>
      </c>
      <c r="AT71" s="68">
        <f t="shared" si="14"/>
        <v>94</v>
      </c>
      <c r="AU71" s="417">
        <v>0</v>
      </c>
      <c r="AV71" s="417">
        <v>0</v>
      </c>
      <c r="AW71" s="417">
        <v>0</v>
      </c>
      <c r="AX71" s="417">
        <f t="shared" si="15"/>
        <v>0</v>
      </c>
      <c r="AY71" s="417">
        <f t="shared" si="16"/>
        <v>12655</v>
      </c>
      <c r="AZ71" s="418">
        <v>0</v>
      </c>
      <c r="BA71" s="418">
        <v>0</v>
      </c>
      <c r="BB71" s="418">
        <v>0</v>
      </c>
      <c r="BC71" s="418">
        <v>0</v>
      </c>
      <c r="BD71" s="418">
        <v>0.02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7"/>
        <v>0</v>
      </c>
      <c r="BJ71" s="418">
        <f t="shared" si="18"/>
        <v>0.02</v>
      </c>
      <c r="BK71" s="420">
        <f t="shared" si="19"/>
        <v>0.02</v>
      </c>
      <c r="BL71" s="772">
        <f t="shared" si="105"/>
        <v>1316513</v>
      </c>
      <c r="BM71" s="417">
        <f t="shared" si="106"/>
        <v>972146</v>
      </c>
      <c r="BN71" s="417">
        <f t="shared" si="107"/>
        <v>0</v>
      </c>
      <c r="BO71" s="417">
        <f t="shared" si="107"/>
        <v>972146</v>
      </c>
      <c r="BP71" s="417">
        <f t="shared" si="108"/>
        <v>0</v>
      </c>
      <c r="BQ71" s="417">
        <f t="shared" si="109"/>
        <v>0</v>
      </c>
      <c r="BR71" s="417">
        <f t="shared" si="109"/>
        <v>0</v>
      </c>
      <c r="BS71" s="417">
        <f t="shared" si="110"/>
        <v>328585</v>
      </c>
      <c r="BT71" s="417">
        <f t="shared" si="110"/>
        <v>9722</v>
      </c>
      <c r="BU71" s="417">
        <f t="shared" si="111"/>
        <v>6060</v>
      </c>
      <c r="BV71" s="418">
        <f t="shared" si="112"/>
        <v>2.9166000000000003</v>
      </c>
      <c r="BW71" s="418">
        <f t="shared" si="113"/>
        <v>0</v>
      </c>
      <c r="BX71" s="420">
        <f t="shared" si="113"/>
        <v>2.9166000000000003</v>
      </c>
      <c r="BY71" s="994"/>
      <c r="BZ71" s="595"/>
      <c r="CA71" s="595"/>
      <c r="CB71" s="595"/>
      <c r="CC71" s="595"/>
      <c r="CD71" s="981"/>
      <c r="CE71" s="994"/>
      <c r="CF71" s="595"/>
      <c r="CG71" s="595"/>
      <c r="CH71" s="595"/>
      <c r="CI71" s="595"/>
      <c r="CJ71" s="981"/>
    </row>
    <row r="72" spans="1:91" ht="12.95" customHeight="1">
      <c r="A72" s="280">
        <v>12</v>
      </c>
      <c r="B72" s="321">
        <v>5407</v>
      </c>
      <c r="C72" s="322">
        <v>600099148</v>
      </c>
      <c r="D72" s="281">
        <v>70939403</v>
      </c>
      <c r="E72" s="323" t="s">
        <v>371</v>
      </c>
      <c r="F72" s="281">
        <v>3143</v>
      </c>
      <c r="G72" s="323" t="s">
        <v>595</v>
      </c>
      <c r="H72" s="284" t="s">
        <v>271</v>
      </c>
      <c r="I72" s="419">
        <v>422611</v>
      </c>
      <c r="J72" s="414">
        <v>313510</v>
      </c>
      <c r="K72" s="414">
        <v>313510</v>
      </c>
      <c r="L72" s="414">
        <v>0</v>
      </c>
      <c r="M72" s="414">
        <v>0</v>
      </c>
      <c r="N72" s="414">
        <v>0</v>
      </c>
      <c r="O72" s="414">
        <v>0</v>
      </c>
      <c r="P72" s="68">
        <v>105966</v>
      </c>
      <c r="Q72" s="68">
        <v>3135</v>
      </c>
      <c r="R72" s="414">
        <v>0</v>
      </c>
      <c r="S72" s="415">
        <v>0.65</v>
      </c>
      <c r="T72" s="416">
        <v>0.65</v>
      </c>
      <c r="U72" s="422">
        <v>0</v>
      </c>
      <c r="V72" s="423">
        <f t="shared" si="4"/>
        <v>0</v>
      </c>
      <c r="W72" s="417">
        <f t="shared" si="4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5"/>
        <v>0</v>
      </c>
      <c r="AF72" s="417">
        <f t="shared" si="6"/>
        <v>0</v>
      </c>
      <c r="AG72" s="417">
        <f t="shared" si="7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8"/>
        <v>0</v>
      </c>
      <c r="AN72" s="417">
        <f t="shared" si="9"/>
        <v>0</v>
      </c>
      <c r="AO72" s="417">
        <f t="shared" si="10"/>
        <v>0</v>
      </c>
      <c r="AP72" s="417">
        <f t="shared" si="11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0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0</v>
      </c>
      <c r="BK72" s="420">
        <f t="shared" si="19"/>
        <v>0</v>
      </c>
      <c r="BL72" s="772">
        <f t="shared" si="105"/>
        <v>422611</v>
      </c>
      <c r="BM72" s="417">
        <f t="shared" si="106"/>
        <v>313510</v>
      </c>
      <c r="BN72" s="417">
        <f t="shared" si="107"/>
        <v>313510</v>
      </c>
      <c r="BO72" s="417">
        <f t="shared" si="107"/>
        <v>0</v>
      </c>
      <c r="BP72" s="417">
        <f t="shared" si="108"/>
        <v>0</v>
      </c>
      <c r="BQ72" s="417">
        <f t="shared" si="109"/>
        <v>0</v>
      </c>
      <c r="BR72" s="417">
        <f t="shared" si="109"/>
        <v>0</v>
      </c>
      <c r="BS72" s="417">
        <f t="shared" si="110"/>
        <v>105966</v>
      </c>
      <c r="BT72" s="417">
        <f t="shared" si="110"/>
        <v>3135</v>
      </c>
      <c r="BU72" s="417">
        <f t="shared" si="111"/>
        <v>0</v>
      </c>
      <c r="BV72" s="418">
        <f t="shared" si="112"/>
        <v>0.65</v>
      </c>
      <c r="BW72" s="418">
        <f t="shared" si="113"/>
        <v>0.65</v>
      </c>
      <c r="BX72" s="420">
        <f t="shared" si="113"/>
        <v>0</v>
      </c>
      <c r="BY72" s="994"/>
      <c r="BZ72" s="595"/>
      <c r="CA72" s="595"/>
      <c r="CB72" s="595"/>
      <c r="CC72" s="595"/>
      <c r="CD72" s="981"/>
      <c r="CE72" s="994"/>
      <c r="CF72" s="595"/>
      <c r="CG72" s="595"/>
      <c r="CH72" s="595"/>
      <c r="CI72" s="595"/>
      <c r="CJ72" s="981"/>
    </row>
    <row r="73" spans="1:91" ht="12.95" customHeight="1">
      <c r="A73" s="280">
        <v>12</v>
      </c>
      <c r="B73" s="321">
        <v>5407</v>
      </c>
      <c r="C73" s="322">
        <v>600099148</v>
      </c>
      <c r="D73" s="281">
        <v>70939403</v>
      </c>
      <c r="E73" s="323" t="s">
        <v>371</v>
      </c>
      <c r="F73" s="281">
        <v>3143</v>
      </c>
      <c r="G73" s="323" t="s">
        <v>596</v>
      </c>
      <c r="H73" s="284" t="s">
        <v>272</v>
      </c>
      <c r="I73" s="419">
        <v>15368</v>
      </c>
      <c r="J73" s="414">
        <v>11000</v>
      </c>
      <c r="K73" s="414">
        <v>0</v>
      </c>
      <c r="L73" s="414">
        <v>11000</v>
      </c>
      <c r="M73" s="414">
        <v>0</v>
      </c>
      <c r="N73" s="414">
        <v>0</v>
      </c>
      <c r="O73" s="414">
        <v>0</v>
      </c>
      <c r="P73" s="68">
        <v>3718</v>
      </c>
      <c r="Q73" s="68">
        <v>110</v>
      </c>
      <c r="R73" s="414">
        <v>540</v>
      </c>
      <c r="S73" s="415">
        <v>3.78E-2</v>
      </c>
      <c r="T73" s="416">
        <v>0</v>
      </c>
      <c r="U73" s="422">
        <v>3.78E-2</v>
      </c>
      <c r="V73" s="423">
        <f t="shared" si="4"/>
        <v>0</v>
      </c>
      <c r="W73" s="417">
        <f t="shared" si="4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5"/>
        <v>0</v>
      </c>
      <c r="AF73" s="417">
        <f t="shared" si="6"/>
        <v>0</v>
      </c>
      <c r="AG73" s="417">
        <f t="shared" si="7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8"/>
        <v>0</v>
      </c>
      <c r="AN73" s="417">
        <f t="shared" si="9"/>
        <v>0</v>
      </c>
      <c r="AO73" s="417">
        <f t="shared" si="10"/>
        <v>0</v>
      </c>
      <c r="AP73" s="417">
        <f t="shared" si="11"/>
        <v>0</v>
      </c>
      <c r="AQ73" s="417">
        <f t="shared" si="11"/>
        <v>0</v>
      </c>
      <c r="AR73" s="417">
        <f t="shared" si="12"/>
        <v>0</v>
      </c>
      <c r="AS73" s="68">
        <f t="shared" si="13"/>
        <v>0</v>
      </c>
      <c r="AT73" s="68">
        <f t="shared" si="14"/>
        <v>0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</v>
      </c>
      <c r="BJ73" s="418">
        <f t="shared" si="18"/>
        <v>0</v>
      </c>
      <c r="BK73" s="420">
        <f t="shared" si="19"/>
        <v>0</v>
      </c>
      <c r="BL73" s="772">
        <f t="shared" si="105"/>
        <v>15368</v>
      </c>
      <c r="BM73" s="417">
        <f t="shared" si="106"/>
        <v>11000</v>
      </c>
      <c r="BN73" s="417">
        <f t="shared" si="107"/>
        <v>0</v>
      </c>
      <c r="BO73" s="417">
        <f t="shared" si="107"/>
        <v>11000</v>
      </c>
      <c r="BP73" s="417">
        <f t="shared" si="108"/>
        <v>0</v>
      </c>
      <c r="BQ73" s="417">
        <f t="shared" si="109"/>
        <v>0</v>
      </c>
      <c r="BR73" s="417">
        <f t="shared" si="109"/>
        <v>0</v>
      </c>
      <c r="BS73" s="417">
        <f t="shared" si="110"/>
        <v>3718</v>
      </c>
      <c r="BT73" s="417">
        <f t="shared" si="110"/>
        <v>110</v>
      </c>
      <c r="BU73" s="417">
        <f t="shared" si="111"/>
        <v>540</v>
      </c>
      <c r="BV73" s="418">
        <f t="shared" si="112"/>
        <v>3.78E-2</v>
      </c>
      <c r="BW73" s="418">
        <f t="shared" si="113"/>
        <v>0</v>
      </c>
      <c r="BX73" s="420">
        <f t="shared" si="113"/>
        <v>3.78E-2</v>
      </c>
      <c r="BY73" s="994"/>
      <c r="BZ73" s="595"/>
      <c r="CA73" s="595"/>
      <c r="CB73" s="595"/>
      <c r="CC73" s="595"/>
      <c r="CD73" s="981"/>
      <c r="CE73" s="994"/>
      <c r="CF73" s="595"/>
      <c r="CG73" s="595"/>
      <c r="CH73" s="595"/>
      <c r="CI73" s="595"/>
      <c r="CJ73" s="981"/>
    </row>
    <row r="74" spans="1:91" ht="12.95" customHeight="1">
      <c r="A74" s="324">
        <v>12</v>
      </c>
      <c r="B74" s="325">
        <v>5407</v>
      </c>
      <c r="C74" s="326">
        <v>600099148</v>
      </c>
      <c r="D74" s="325">
        <v>70939403</v>
      </c>
      <c r="E74" s="327" t="s">
        <v>372</v>
      </c>
      <c r="F74" s="291"/>
      <c r="G74" s="329"/>
      <c r="H74" s="292"/>
      <c r="I74" s="471">
        <v>15444293</v>
      </c>
      <c r="J74" s="467">
        <v>11349260</v>
      </c>
      <c r="K74" s="467">
        <v>9354814</v>
      </c>
      <c r="L74" s="467">
        <v>1994446</v>
      </c>
      <c r="M74" s="467">
        <v>10000</v>
      </c>
      <c r="N74" s="467">
        <v>0</v>
      </c>
      <c r="O74" s="467">
        <v>10000</v>
      </c>
      <c r="P74" s="467">
        <v>3839430</v>
      </c>
      <c r="Q74" s="467">
        <v>113493</v>
      </c>
      <c r="R74" s="467">
        <v>132110</v>
      </c>
      <c r="S74" s="468">
        <v>22.145</v>
      </c>
      <c r="T74" s="468">
        <v>16.337899999999998</v>
      </c>
      <c r="U74" s="531">
        <v>5.8071000000000002</v>
      </c>
      <c r="V74" s="471">
        <f t="shared" ref="V74:BK74" si="114">SUM(V68:V73)</f>
        <v>0</v>
      </c>
      <c r="W74" s="467">
        <f t="shared" si="114"/>
        <v>0</v>
      </c>
      <c r="X74" s="467">
        <f t="shared" si="114"/>
        <v>0</v>
      </c>
      <c r="Y74" s="467">
        <f t="shared" si="114"/>
        <v>0</v>
      </c>
      <c r="Z74" s="467">
        <f t="shared" si="114"/>
        <v>0</v>
      </c>
      <c r="AA74" s="467">
        <f t="shared" si="114"/>
        <v>9388</v>
      </c>
      <c r="AB74" s="467">
        <f t="shared" si="114"/>
        <v>0</v>
      </c>
      <c r="AC74" s="467">
        <f t="shared" si="114"/>
        <v>0</v>
      </c>
      <c r="AD74" s="467">
        <f t="shared" si="114"/>
        <v>0</v>
      </c>
      <c r="AE74" s="467">
        <f t="shared" si="114"/>
        <v>0</v>
      </c>
      <c r="AF74" s="467">
        <f t="shared" si="114"/>
        <v>9388</v>
      </c>
      <c r="AG74" s="467">
        <f t="shared" si="114"/>
        <v>9388</v>
      </c>
      <c r="AH74" s="467">
        <f t="shared" si="114"/>
        <v>0</v>
      </c>
      <c r="AI74" s="467">
        <f t="shared" si="114"/>
        <v>0</v>
      </c>
      <c r="AJ74" s="467">
        <f t="shared" si="114"/>
        <v>0</v>
      </c>
      <c r="AK74" s="467">
        <f t="shared" si="114"/>
        <v>0</v>
      </c>
      <c r="AL74" s="467">
        <f t="shared" si="114"/>
        <v>0</v>
      </c>
      <c r="AM74" s="467">
        <f t="shared" si="114"/>
        <v>0</v>
      </c>
      <c r="AN74" s="467">
        <f t="shared" si="114"/>
        <v>0</v>
      </c>
      <c r="AO74" s="467">
        <f t="shared" si="114"/>
        <v>0</v>
      </c>
      <c r="AP74" s="467">
        <f t="shared" si="114"/>
        <v>0</v>
      </c>
      <c r="AQ74" s="467">
        <f t="shared" si="114"/>
        <v>9388</v>
      </c>
      <c r="AR74" s="467">
        <f t="shared" si="114"/>
        <v>9388</v>
      </c>
      <c r="AS74" s="467">
        <f t="shared" si="114"/>
        <v>3173</v>
      </c>
      <c r="AT74" s="467">
        <f t="shared" si="114"/>
        <v>94</v>
      </c>
      <c r="AU74" s="467">
        <f t="shared" si="114"/>
        <v>0</v>
      </c>
      <c r="AV74" s="467">
        <f t="shared" si="114"/>
        <v>0</v>
      </c>
      <c r="AW74" s="467">
        <f t="shared" si="114"/>
        <v>0</v>
      </c>
      <c r="AX74" s="467">
        <f t="shared" si="114"/>
        <v>0</v>
      </c>
      <c r="AY74" s="467">
        <f t="shared" si="114"/>
        <v>12655</v>
      </c>
      <c r="AZ74" s="468">
        <f t="shared" si="114"/>
        <v>0</v>
      </c>
      <c r="BA74" s="468">
        <f t="shared" si="114"/>
        <v>0</v>
      </c>
      <c r="BB74" s="468">
        <f t="shared" si="114"/>
        <v>0</v>
      </c>
      <c r="BC74" s="468">
        <f t="shared" si="114"/>
        <v>0</v>
      </c>
      <c r="BD74" s="468">
        <f t="shared" si="114"/>
        <v>0.02</v>
      </c>
      <c r="BE74" s="468">
        <f t="shared" si="114"/>
        <v>0</v>
      </c>
      <c r="BF74" s="468">
        <f t="shared" si="114"/>
        <v>0</v>
      </c>
      <c r="BG74" s="468">
        <f t="shared" si="114"/>
        <v>0</v>
      </c>
      <c r="BH74" s="468">
        <f t="shared" si="114"/>
        <v>0</v>
      </c>
      <c r="BI74" s="468">
        <f t="shared" si="114"/>
        <v>0</v>
      </c>
      <c r="BJ74" s="468">
        <f t="shared" si="114"/>
        <v>0.02</v>
      </c>
      <c r="BK74" s="328">
        <f t="shared" si="114"/>
        <v>0.02</v>
      </c>
      <c r="BL74" s="774">
        <f t="shared" ref="BL74:CG74" si="115">SUM(BL68:BL73)</f>
        <v>15456948</v>
      </c>
      <c r="BM74" s="467">
        <f t="shared" si="115"/>
        <v>11358648</v>
      </c>
      <c r="BN74" s="467">
        <f t="shared" si="115"/>
        <v>9354814</v>
      </c>
      <c r="BO74" s="467">
        <f t="shared" si="115"/>
        <v>2003834</v>
      </c>
      <c r="BP74" s="467">
        <f t="shared" si="115"/>
        <v>10000</v>
      </c>
      <c r="BQ74" s="467">
        <f t="shared" si="115"/>
        <v>0</v>
      </c>
      <c r="BR74" s="467">
        <f t="shared" si="115"/>
        <v>10000</v>
      </c>
      <c r="BS74" s="467">
        <f t="shared" si="115"/>
        <v>3842603</v>
      </c>
      <c r="BT74" s="467">
        <f t="shared" si="115"/>
        <v>113587</v>
      </c>
      <c r="BU74" s="467">
        <f t="shared" si="115"/>
        <v>132110</v>
      </c>
      <c r="BV74" s="468">
        <f t="shared" si="115"/>
        <v>22.164999999999999</v>
      </c>
      <c r="BW74" s="468">
        <f t="shared" si="115"/>
        <v>16.337899999999998</v>
      </c>
      <c r="BX74" s="328">
        <f t="shared" si="115"/>
        <v>5.8271000000000006</v>
      </c>
      <c r="BY74" s="838">
        <f t="shared" si="115"/>
        <v>152054</v>
      </c>
      <c r="BZ74" s="721">
        <f t="shared" si="115"/>
        <v>112800</v>
      </c>
      <c r="CA74" s="721">
        <f t="shared" si="115"/>
        <v>0</v>
      </c>
      <c r="CB74" s="721">
        <f t="shared" si="115"/>
        <v>38126</v>
      </c>
      <c r="CC74" s="721">
        <f t="shared" si="115"/>
        <v>1128</v>
      </c>
      <c r="CD74" s="826">
        <f t="shared" si="115"/>
        <v>0.2</v>
      </c>
      <c r="CE74" s="995">
        <f t="shared" si="115"/>
        <v>475911</v>
      </c>
      <c r="CF74" s="995">
        <f t="shared" si="115"/>
        <v>330800</v>
      </c>
      <c r="CG74" s="995">
        <f t="shared" si="115"/>
        <v>111810</v>
      </c>
      <c r="CH74" s="995">
        <f t="shared" ref="CH74:CJ74" si="116">SUM(CH68:CH73)</f>
        <v>3308</v>
      </c>
      <c r="CI74" s="995">
        <f t="shared" si="116"/>
        <v>29993</v>
      </c>
      <c r="CJ74" s="933">
        <f t="shared" si="116"/>
        <v>0.93169999999999997</v>
      </c>
    </row>
    <row r="75" spans="1:91" ht="12.95" customHeight="1">
      <c r="A75" s="280">
        <v>13</v>
      </c>
      <c r="B75" s="321">
        <v>5411</v>
      </c>
      <c r="C75" s="322">
        <v>650034244</v>
      </c>
      <c r="D75" s="281">
        <v>70985375</v>
      </c>
      <c r="E75" s="323" t="s">
        <v>373</v>
      </c>
      <c r="F75" s="281">
        <v>3111</v>
      </c>
      <c r="G75" s="323" t="s">
        <v>304</v>
      </c>
      <c r="H75" s="284" t="s">
        <v>271</v>
      </c>
      <c r="I75" s="419">
        <v>2578700</v>
      </c>
      <c r="J75" s="414">
        <v>1768555</v>
      </c>
      <c r="K75" s="414">
        <v>1592137</v>
      </c>
      <c r="L75" s="414">
        <v>176418</v>
      </c>
      <c r="M75" s="414">
        <v>162015</v>
      </c>
      <c r="N75" s="414">
        <v>162015</v>
      </c>
      <c r="O75" s="414">
        <v>0</v>
      </c>
      <c r="P75" s="68">
        <v>617645</v>
      </c>
      <c r="Q75" s="68">
        <v>17685</v>
      </c>
      <c r="R75" s="414">
        <v>12800</v>
      </c>
      <c r="S75" s="415">
        <v>3.6868000000000003</v>
      </c>
      <c r="T75" s="416">
        <v>2.9800000000000004</v>
      </c>
      <c r="U75" s="422">
        <v>0.70679999999999998</v>
      </c>
      <c r="V75" s="423">
        <f t="shared" si="4"/>
        <v>0</v>
      </c>
      <c r="W75" s="417">
        <f t="shared" si="4"/>
        <v>0</v>
      </c>
      <c r="X75" s="417">
        <v>0</v>
      </c>
      <c r="Y75" s="417">
        <v>0</v>
      </c>
      <c r="Z75" s="417">
        <v>-142012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5"/>
        <v>-142012</v>
      </c>
      <c r="AF75" s="417">
        <f t="shared" si="6"/>
        <v>0</v>
      </c>
      <c r="AG75" s="417">
        <f t="shared" si="7"/>
        <v>-142012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8"/>
        <v>0</v>
      </c>
      <c r="AN75" s="417">
        <f t="shared" si="9"/>
        <v>0</v>
      </c>
      <c r="AO75" s="417">
        <f t="shared" si="10"/>
        <v>0</v>
      </c>
      <c r="AP75" s="417">
        <f t="shared" si="11"/>
        <v>-142012</v>
      </c>
      <c r="AQ75" s="417">
        <f t="shared" si="11"/>
        <v>0</v>
      </c>
      <c r="AR75" s="417">
        <f t="shared" si="12"/>
        <v>-142012</v>
      </c>
      <c r="AS75" s="68">
        <f t="shared" si="13"/>
        <v>-48000</v>
      </c>
      <c r="AT75" s="68">
        <f t="shared" si="14"/>
        <v>-1420</v>
      </c>
      <c r="AU75" s="417">
        <v>0</v>
      </c>
      <c r="AV75" s="417">
        <v>0</v>
      </c>
      <c r="AW75" s="417">
        <v>0</v>
      </c>
      <c r="AX75" s="417">
        <f t="shared" si="15"/>
        <v>0</v>
      </c>
      <c r="AY75" s="417">
        <f t="shared" si="16"/>
        <v>-191432</v>
      </c>
      <c r="AZ75" s="418">
        <v>0</v>
      </c>
      <c r="BA75" s="418">
        <v>0</v>
      </c>
      <c r="BB75" s="418">
        <v>0</v>
      </c>
      <c r="BC75" s="418">
        <v>-0.33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7"/>
        <v>-0.33</v>
      </c>
      <c r="BJ75" s="418">
        <f t="shared" si="18"/>
        <v>0</v>
      </c>
      <c r="BK75" s="420">
        <f t="shared" si="19"/>
        <v>-0.33</v>
      </c>
      <c r="BL75" s="772">
        <f t="shared" ref="BL75:BL80" si="117">I75+AY75</f>
        <v>2387268</v>
      </c>
      <c r="BM75" s="417">
        <f t="shared" ref="BM75:BM80" si="118">J75+AG75</f>
        <v>1626543</v>
      </c>
      <c r="BN75" s="417">
        <f t="shared" ref="BN75:BO80" si="119">K75+AE75</f>
        <v>1450125</v>
      </c>
      <c r="BO75" s="417">
        <f t="shared" si="119"/>
        <v>176418</v>
      </c>
      <c r="BP75" s="417">
        <f t="shared" ref="BP75:BP80" si="120">M75+AO75</f>
        <v>162015</v>
      </c>
      <c r="BQ75" s="417">
        <f t="shared" ref="BQ75:BR80" si="121">N75+AM75</f>
        <v>162015</v>
      </c>
      <c r="BR75" s="417">
        <f t="shared" si="121"/>
        <v>0</v>
      </c>
      <c r="BS75" s="417">
        <f t="shared" ref="BS75:BT80" si="122">P75+AS75</f>
        <v>569645</v>
      </c>
      <c r="BT75" s="417">
        <f t="shared" si="122"/>
        <v>16265</v>
      </c>
      <c r="BU75" s="417">
        <f t="shared" ref="BU75:BU80" si="123">R75+AX75</f>
        <v>12800</v>
      </c>
      <c r="BV75" s="418">
        <f t="shared" ref="BV75:BV80" si="124">S75+BK75</f>
        <v>3.3568000000000002</v>
      </c>
      <c r="BW75" s="418">
        <f t="shared" ref="BW75:BX80" si="125">T75+BI75</f>
        <v>2.6500000000000004</v>
      </c>
      <c r="BX75" s="420">
        <f t="shared" si="125"/>
        <v>0.70679999999999998</v>
      </c>
      <c r="BY75" s="994"/>
      <c r="BZ75" s="595"/>
      <c r="CA75" s="595"/>
      <c r="CB75" s="595"/>
      <c r="CC75" s="595"/>
      <c r="CD75" s="981"/>
      <c r="CE75" s="994">
        <v>80566</v>
      </c>
      <c r="CF75" s="595">
        <v>56610</v>
      </c>
      <c r="CG75" s="595">
        <v>19134</v>
      </c>
      <c r="CH75" s="595">
        <v>566</v>
      </c>
      <c r="CI75" s="595">
        <v>4256</v>
      </c>
      <c r="CJ75" s="981">
        <v>0.2268</v>
      </c>
      <c r="CL75" s="314"/>
      <c r="CM75" s="314"/>
    </row>
    <row r="76" spans="1:91" ht="12.95" customHeight="1">
      <c r="A76" s="280">
        <v>13</v>
      </c>
      <c r="B76" s="321">
        <v>5411</v>
      </c>
      <c r="C76" s="322">
        <v>650034244</v>
      </c>
      <c r="D76" s="281">
        <v>70985375</v>
      </c>
      <c r="E76" s="323" t="s">
        <v>373</v>
      </c>
      <c r="F76" s="281">
        <v>3117</v>
      </c>
      <c r="G76" s="323" t="s">
        <v>293</v>
      </c>
      <c r="H76" s="284" t="s">
        <v>271</v>
      </c>
      <c r="I76" s="419">
        <v>3270977</v>
      </c>
      <c r="J76" s="414">
        <v>2376275</v>
      </c>
      <c r="K76" s="414">
        <v>1936750</v>
      </c>
      <c r="L76" s="414">
        <v>439525</v>
      </c>
      <c r="M76" s="414">
        <v>12000</v>
      </c>
      <c r="N76" s="414">
        <v>12000</v>
      </c>
      <c r="O76" s="414">
        <v>0</v>
      </c>
      <c r="P76" s="68">
        <v>807238</v>
      </c>
      <c r="Q76" s="68">
        <v>23764</v>
      </c>
      <c r="R76" s="414">
        <v>51700</v>
      </c>
      <c r="S76" s="415">
        <v>3.7881</v>
      </c>
      <c r="T76" s="416">
        <v>2.5709000000000004</v>
      </c>
      <c r="U76" s="422">
        <v>1.2172000000000001</v>
      </c>
      <c r="V76" s="423">
        <f t="shared" si="4"/>
        <v>0</v>
      </c>
      <c r="W76" s="417">
        <f t="shared" si="4"/>
        <v>0</v>
      </c>
      <c r="X76" s="417">
        <v>0</v>
      </c>
      <c r="Y76" s="417">
        <v>0</v>
      </c>
      <c r="Z76" s="417">
        <v>24341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5"/>
        <v>24341</v>
      </c>
      <c r="AF76" s="417">
        <f t="shared" si="6"/>
        <v>0</v>
      </c>
      <c r="AG76" s="417">
        <f t="shared" si="7"/>
        <v>24341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8"/>
        <v>0</v>
      </c>
      <c r="AN76" s="417">
        <f t="shared" si="9"/>
        <v>0</v>
      </c>
      <c r="AO76" s="417">
        <f t="shared" si="10"/>
        <v>0</v>
      </c>
      <c r="AP76" s="417">
        <f t="shared" si="11"/>
        <v>24341</v>
      </c>
      <c r="AQ76" s="417">
        <f t="shared" si="11"/>
        <v>0</v>
      </c>
      <c r="AR76" s="417">
        <f t="shared" si="12"/>
        <v>24341</v>
      </c>
      <c r="AS76" s="68">
        <f t="shared" si="13"/>
        <v>8227</v>
      </c>
      <c r="AT76" s="68">
        <f t="shared" si="14"/>
        <v>243</v>
      </c>
      <c r="AU76" s="417">
        <v>0</v>
      </c>
      <c r="AV76" s="417">
        <v>0</v>
      </c>
      <c r="AW76" s="417">
        <v>0</v>
      </c>
      <c r="AX76" s="417">
        <f t="shared" si="15"/>
        <v>0</v>
      </c>
      <c r="AY76" s="417">
        <f t="shared" si="16"/>
        <v>32811</v>
      </c>
      <c r="AZ76" s="418">
        <v>0</v>
      </c>
      <c r="BA76" s="418">
        <v>0</v>
      </c>
      <c r="BB76" s="418">
        <v>0</v>
      </c>
      <c r="BC76" s="418">
        <v>0.04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7"/>
        <v>0.04</v>
      </c>
      <c r="BJ76" s="418">
        <f t="shared" si="18"/>
        <v>0</v>
      </c>
      <c r="BK76" s="420">
        <f t="shared" si="19"/>
        <v>0.04</v>
      </c>
      <c r="BL76" s="772">
        <f t="shared" si="117"/>
        <v>3303788</v>
      </c>
      <c r="BM76" s="417">
        <f t="shared" si="118"/>
        <v>2400616</v>
      </c>
      <c r="BN76" s="417">
        <f t="shared" si="119"/>
        <v>1961091</v>
      </c>
      <c r="BO76" s="417">
        <f t="shared" si="119"/>
        <v>439525</v>
      </c>
      <c r="BP76" s="417">
        <f t="shared" si="120"/>
        <v>12000</v>
      </c>
      <c r="BQ76" s="417">
        <f t="shared" si="121"/>
        <v>12000</v>
      </c>
      <c r="BR76" s="417">
        <f t="shared" si="121"/>
        <v>0</v>
      </c>
      <c r="BS76" s="417">
        <f t="shared" si="122"/>
        <v>815465</v>
      </c>
      <c r="BT76" s="417">
        <f t="shared" si="122"/>
        <v>24007</v>
      </c>
      <c r="BU76" s="417">
        <f t="shared" si="123"/>
        <v>51700</v>
      </c>
      <c r="BV76" s="418">
        <f t="shared" si="124"/>
        <v>3.8281000000000001</v>
      </c>
      <c r="BW76" s="418">
        <f t="shared" si="125"/>
        <v>2.6109000000000004</v>
      </c>
      <c r="BX76" s="420">
        <f t="shared" si="125"/>
        <v>1.2172000000000001</v>
      </c>
      <c r="BY76" s="994"/>
      <c r="BZ76" s="595"/>
      <c r="CA76" s="595"/>
      <c r="CB76" s="595"/>
      <c r="CC76" s="595"/>
      <c r="CD76" s="981"/>
      <c r="CE76" s="994">
        <v>199923</v>
      </c>
      <c r="CF76" s="595">
        <v>141073</v>
      </c>
      <c r="CG76" s="595">
        <v>47683</v>
      </c>
      <c r="CH76" s="595">
        <v>1411</v>
      </c>
      <c r="CI76" s="595">
        <v>9756</v>
      </c>
      <c r="CJ76" s="981">
        <v>0.39069999999999999</v>
      </c>
    </row>
    <row r="77" spans="1:91" ht="12.95" customHeight="1">
      <c r="A77" s="280">
        <v>13</v>
      </c>
      <c r="B77" s="321">
        <v>5411</v>
      </c>
      <c r="C77" s="322">
        <v>650034244</v>
      </c>
      <c r="D77" s="281">
        <v>70985375</v>
      </c>
      <c r="E77" s="323" t="s">
        <v>373</v>
      </c>
      <c r="F77" s="281">
        <v>3117</v>
      </c>
      <c r="G77" s="323" t="s">
        <v>298</v>
      </c>
      <c r="H77" s="284" t="s">
        <v>272</v>
      </c>
      <c r="I77" s="419">
        <v>0</v>
      </c>
      <c r="J77" s="414">
        <v>0</v>
      </c>
      <c r="K77" s="414">
        <v>0</v>
      </c>
      <c r="L77" s="414">
        <v>0</v>
      </c>
      <c r="M77" s="414">
        <v>0</v>
      </c>
      <c r="N77" s="414">
        <v>0</v>
      </c>
      <c r="O77" s="414">
        <v>0</v>
      </c>
      <c r="P77" s="68">
        <v>0</v>
      </c>
      <c r="Q77" s="68">
        <v>0</v>
      </c>
      <c r="R77" s="414">
        <v>0</v>
      </c>
      <c r="S77" s="415">
        <v>0</v>
      </c>
      <c r="T77" s="416">
        <v>0</v>
      </c>
      <c r="U77" s="422">
        <v>0</v>
      </c>
      <c r="V77" s="423">
        <f t="shared" ref="V77:W140" si="126">AH77*-1</f>
        <v>0</v>
      </c>
      <c r="W77" s="417">
        <f t="shared" si="126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ref="AE77:AE140" si="127">V77+X77+Y77+Z77+AC77</f>
        <v>0</v>
      </c>
      <c r="AF77" s="417">
        <f t="shared" ref="AF77:AF140" si="128">W77+AA77+AD77+AB77</f>
        <v>0</v>
      </c>
      <c r="AG77" s="417">
        <f t="shared" ref="AG77:AG140" si="129">SUM(AE77:AF77)</f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140" si="130">AH77+AJ77+AK77</f>
        <v>0</v>
      </c>
      <c r="AN77" s="417">
        <f t="shared" ref="AN77:AN140" si="131">AI77+AL77</f>
        <v>0</v>
      </c>
      <c r="AO77" s="417">
        <f t="shared" ref="AO77:AO140" si="132">SUM(AM77:AN77)</f>
        <v>0</v>
      </c>
      <c r="AP77" s="417">
        <f t="shared" ref="AP77:AQ140" si="133">AE77+AM77</f>
        <v>0</v>
      </c>
      <c r="AQ77" s="417">
        <f t="shared" si="133"/>
        <v>0</v>
      </c>
      <c r="AR77" s="417">
        <f t="shared" ref="AR77:AR140" si="134">SUM(AP77:AQ77)</f>
        <v>0</v>
      </c>
      <c r="AS77" s="68">
        <f t="shared" ref="AS77:AS140" si="135">ROUND((AG77+AH77+AI77+AJ77)*33.8%,0)</f>
        <v>0</v>
      </c>
      <c r="AT77" s="68">
        <f t="shared" ref="AT77:AT140" si="136">ROUND(AG77*1%,0)</f>
        <v>0</v>
      </c>
      <c r="AU77" s="417">
        <v>2500</v>
      </c>
      <c r="AV77" s="417">
        <v>0</v>
      </c>
      <c r="AW77" s="417">
        <v>0</v>
      </c>
      <c r="AX77" s="417">
        <f t="shared" ref="AX77:AX140" si="137">SUM(AU77:AW77)</f>
        <v>2500</v>
      </c>
      <c r="AY77" s="417">
        <f t="shared" ref="AY77:AY140" si="138">AR77+AS77+AT77+AX77</f>
        <v>2500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ref="BI77:BI140" si="139">AZ77+BB77+BC77+BE77+BG77</f>
        <v>0</v>
      </c>
      <c r="BJ77" s="418">
        <f t="shared" ref="BJ77:BJ140" si="140">BA77+BD77+BH77+BF77</f>
        <v>0</v>
      </c>
      <c r="BK77" s="420">
        <f t="shared" ref="BK77:BK140" si="141">SUM(BI77:BJ77)</f>
        <v>0</v>
      </c>
      <c r="BL77" s="772">
        <f t="shared" si="117"/>
        <v>2500</v>
      </c>
      <c r="BM77" s="417">
        <f t="shared" si="118"/>
        <v>0</v>
      </c>
      <c r="BN77" s="417">
        <f t="shared" si="119"/>
        <v>0</v>
      </c>
      <c r="BO77" s="417">
        <f t="shared" si="119"/>
        <v>0</v>
      </c>
      <c r="BP77" s="417">
        <f t="shared" si="120"/>
        <v>0</v>
      </c>
      <c r="BQ77" s="417">
        <f t="shared" si="121"/>
        <v>0</v>
      </c>
      <c r="BR77" s="417">
        <f t="shared" si="121"/>
        <v>0</v>
      </c>
      <c r="BS77" s="417">
        <f t="shared" si="122"/>
        <v>0</v>
      </c>
      <c r="BT77" s="417">
        <f t="shared" si="122"/>
        <v>0</v>
      </c>
      <c r="BU77" s="417">
        <f t="shared" si="123"/>
        <v>2500</v>
      </c>
      <c r="BV77" s="418">
        <f t="shared" si="124"/>
        <v>0</v>
      </c>
      <c r="BW77" s="418">
        <f t="shared" si="125"/>
        <v>0</v>
      </c>
      <c r="BX77" s="420">
        <f t="shared" si="125"/>
        <v>0</v>
      </c>
      <c r="BY77" s="994"/>
      <c r="BZ77" s="595"/>
      <c r="CA77" s="595"/>
      <c r="CB77" s="595"/>
      <c r="CC77" s="595"/>
      <c r="CD77" s="981"/>
      <c r="CE77" s="994"/>
      <c r="CF77" s="595"/>
      <c r="CG77" s="595"/>
      <c r="CH77" s="595"/>
      <c r="CI77" s="595"/>
      <c r="CJ77" s="981"/>
    </row>
    <row r="78" spans="1:91" ht="12.95" customHeight="1">
      <c r="A78" s="280">
        <v>13</v>
      </c>
      <c r="B78" s="321">
        <v>5411</v>
      </c>
      <c r="C78" s="322">
        <v>650034244</v>
      </c>
      <c r="D78" s="281">
        <v>70985375</v>
      </c>
      <c r="E78" s="323" t="s">
        <v>373</v>
      </c>
      <c r="F78" s="281">
        <v>3141</v>
      </c>
      <c r="G78" s="323" t="s">
        <v>294</v>
      </c>
      <c r="H78" s="284" t="s">
        <v>272</v>
      </c>
      <c r="I78" s="419">
        <v>896119</v>
      </c>
      <c r="J78" s="414">
        <v>662308</v>
      </c>
      <c r="K78" s="414">
        <v>0</v>
      </c>
      <c r="L78" s="414">
        <v>662308</v>
      </c>
      <c r="M78" s="414">
        <v>0</v>
      </c>
      <c r="N78" s="414">
        <v>0</v>
      </c>
      <c r="O78" s="414">
        <v>0</v>
      </c>
      <c r="P78" s="68">
        <v>223860</v>
      </c>
      <c r="Q78" s="68">
        <v>6623</v>
      </c>
      <c r="R78" s="414">
        <v>3328</v>
      </c>
      <c r="S78" s="415">
        <v>1.9866999999999999</v>
      </c>
      <c r="T78" s="416">
        <v>0</v>
      </c>
      <c r="U78" s="422">
        <v>1.9866999999999999</v>
      </c>
      <c r="V78" s="423">
        <f t="shared" si="126"/>
        <v>0</v>
      </c>
      <c r="W78" s="417">
        <f t="shared" si="126"/>
        <v>0</v>
      </c>
      <c r="X78" s="417">
        <v>0</v>
      </c>
      <c r="Y78" s="417">
        <v>0</v>
      </c>
      <c r="Z78" s="417">
        <v>0</v>
      </c>
      <c r="AA78" s="417">
        <v>-6189</v>
      </c>
      <c r="AB78" s="417">
        <v>0</v>
      </c>
      <c r="AC78" s="417">
        <v>0</v>
      </c>
      <c r="AD78" s="417">
        <v>0</v>
      </c>
      <c r="AE78" s="417">
        <f t="shared" si="127"/>
        <v>0</v>
      </c>
      <c r="AF78" s="417">
        <f t="shared" si="128"/>
        <v>-6189</v>
      </c>
      <c r="AG78" s="417">
        <f t="shared" si="129"/>
        <v>-6189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si="130"/>
        <v>0</v>
      </c>
      <c r="AN78" s="417">
        <f t="shared" si="131"/>
        <v>0</v>
      </c>
      <c r="AO78" s="417">
        <f t="shared" si="132"/>
        <v>0</v>
      </c>
      <c r="AP78" s="417">
        <f t="shared" si="133"/>
        <v>0</v>
      </c>
      <c r="AQ78" s="417">
        <f t="shared" si="133"/>
        <v>-6189</v>
      </c>
      <c r="AR78" s="417">
        <f t="shared" si="134"/>
        <v>-6189</v>
      </c>
      <c r="AS78" s="68">
        <f t="shared" si="135"/>
        <v>-2092</v>
      </c>
      <c r="AT78" s="68">
        <f t="shared" si="136"/>
        <v>-62</v>
      </c>
      <c r="AU78" s="417">
        <v>0</v>
      </c>
      <c r="AV78" s="417">
        <v>0</v>
      </c>
      <c r="AW78" s="417">
        <v>0</v>
      </c>
      <c r="AX78" s="417">
        <f t="shared" si="137"/>
        <v>0</v>
      </c>
      <c r="AY78" s="417">
        <f t="shared" si="138"/>
        <v>-8343</v>
      </c>
      <c r="AZ78" s="418">
        <v>0</v>
      </c>
      <c r="BA78" s="418">
        <v>0</v>
      </c>
      <c r="BB78" s="418">
        <v>0</v>
      </c>
      <c r="BC78" s="418">
        <v>0</v>
      </c>
      <c r="BD78" s="418">
        <v>-0.02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si="139"/>
        <v>0</v>
      </c>
      <c r="BJ78" s="418">
        <f t="shared" si="140"/>
        <v>-0.02</v>
      </c>
      <c r="BK78" s="420">
        <f t="shared" si="141"/>
        <v>-0.02</v>
      </c>
      <c r="BL78" s="772">
        <f t="shared" si="117"/>
        <v>887776</v>
      </c>
      <c r="BM78" s="417">
        <f t="shared" si="118"/>
        <v>656119</v>
      </c>
      <c r="BN78" s="417">
        <f t="shared" si="119"/>
        <v>0</v>
      </c>
      <c r="BO78" s="417">
        <f t="shared" si="119"/>
        <v>656119</v>
      </c>
      <c r="BP78" s="417">
        <f t="shared" si="120"/>
        <v>0</v>
      </c>
      <c r="BQ78" s="417">
        <f t="shared" si="121"/>
        <v>0</v>
      </c>
      <c r="BR78" s="417">
        <f t="shared" si="121"/>
        <v>0</v>
      </c>
      <c r="BS78" s="417">
        <f t="shared" si="122"/>
        <v>221768</v>
      </c>
      <c r="BT78" s="417">
        <f t="shared" si="122"/>
        <v>6561</v>
      </c>
      <c r="BU78" s="417">
        <f t="shared" si="123"/>
        <v>3328</v>
      </c>
      <c r="BV78" s="418">
        <f t="shared" si="124"/>
        <v>1.9666999999999999</v>
      </c>
      <c r="BW78" s="418">
        <f t="shared" si="125"/>
        <v>0</v>
      </c>
      <c r="BX78" s="420">
        <f t="shared" si="125"/>
        <v>1.9666999999999999</v>
      </c>
      <c r="BY78" s="994"/>
      <c r="BZ78" s="595"/>
      <c r="CA78" s="595"/>
      <c r="CB78" s="595"/>
      <c r="CC78" s="595"/>
      <c r="CD78" s="981"/>
      <c r="CE78" s="994"/>
      <c r="CF78" s="595"/>
      <c r="CG78" s="595"/>
      <c r="CH78" s="595"/>
      <c r="CI78" s="595"/>
      <c r="CJ78" s="981"/>
    </row>
    <row r="79" spans="1:91" ht="12.95" customHeight="1">
      <c r="A79" s="280">
        <v>13</v>
      </c>
      <c r="B79" s="321">
        <v>5411</v>
      </c>
      <c r="C79" s="322">
        <v>650034244</v>
      </c>
      <c r="D79" s="281">
        <v>70985375</v>
      </c>
      <c r="E79" s="323" t="s">
        <v>373</v>
      </c>
      <c r="F79" s="281">
        <v>3143</v>
      </c>
      <c r="G79" s="323" t="s">
        <v>595</v>
      </c>
      <c r="H79" s="284" t="s">
        <v>271</v>
      </c>
      <c r="I79" s="419">
        <v>447010</v>
      </c>
      <c r="J79" s="414">
        <v>331610</v>
      </c>
      <c r="K79" s="414">
        <v>331610</v>
      </c>
      <c r="L79" s="414">
        <v>0</v>
      </c>
      <c r="M79" s="414">
        <v>0</v>
      </c>
      <c r="N79" s="414">
        <v>0</v>
      </c>
      <c r="O79" s="414">
        <v>0</v>
      </c>
      <c r="P79" s="68">
        <v>112084</v>
      </c>
      <c r="Q79" s="68">
        <v>3316</v>
      </c>
      <c r="R79" s="414">
        <v>0</v>
      </c>
      <c r="S79" s="415">
        <v>0.72729999999999995</v>
      </c>
      <c r="T79" s="416">
        <v>0.72729999999999995</v>
      </c>
      <c r="U79" s="422">
        <v>0</v>
      </c>
      <c r="V79" s="423">
        <f t="shared" si="126"/>
        <v>0</v>
      </c>
      <c r="W79" s="417">
        <f t="shared" si="126"/>
        <v>0</v>
      </c>
      <c r="X79" s="417">
        <v>0</v>
      </c>
      <c r="Y79" s="417">
        <v>0</v>
      </c>
      <c r="Z79" s="417">
        <v>20496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27"/>
        <v>20496</v>
      </c>
      <c r="AF79" s="417">
        <f t="shared" si="128"/>
        <v>0</v>
      </c>
      <c r="AG79" s="417">
        <f t="shared" si="129"/>
        <v>20496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30"/>
        <v>0</v>
      </c>
      <c r="AN79" s="417">
        <f t="shared" si="131"/>
        <v>0</v>
      </c>
      <c r="AO79" s="417">
        <f t="shared" si="132"/>
        <v>0</v>
      </c>
      <c r="AP79" s="417">
        <f t="shared" si="133"/>
        <v>20496</v>
      </c>
      <c r="AQ79" s="417">
        <f t="shared" si="133"/>
        <v>0</v>
      </c>
      <c r="AR79" s="417">
        <f t="shared" si="134"/>
        <v>20496</v>
      </c>
      <c r="AS79" s="68">
        <f t="shared" si="135"/>
        <v>6928</v>
      </c>
      <c r="AT79" s="68">
        <f t="shared" si="136"/>
        <v>205</v>
      </c>
      <c r="AU79" s="417">
        <v>0</v>
      </c>
      <c r="AV79" s="417">
        <v>0</v>
      </c>
      <c r="AW79" s="417">
        <v>0</v>
      </c>
      <c r="AX79" s="417">
        <f t="shared" si="137"/>
        <v>0</v>
      </c>
      <c r="AY79" s="417">
        <f t="shared" si="138"/>
        <v>27629</v>
      </c>
      <c r="AZ79" s="418">
        <v>0</v>
      </c>
      <c r="BA79" s="418">
        <v>0</v>
      </c>
      <c r="BB79" s="418">
        <v>0</v>
      </c>
      <c r="BC79" s="418">
        <v>0.05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39"/>
        <v>0.05</v>
      </c>
      <c r="BJ79" s="418">
        <f t="shared" si="140"/>
        <v>0</v>
      </c>
      <c r="BK79" s="420">
        <f t="shared" si="141"/>
        <v>0.05</v>
      </c>
      <c r="BL79" s="772">
        <f t="shared" si="117"/>
        <v>474639</v>
      </c>
      <c r="BM79" s="417">
        <f t="shared" si="118"/>
        <v>352106</v>
      </c>
      <c r="BN79" s="417">
        <f t="shared" si="119"/>
        <v>352106</v>
      </c>
      <c r="BO79" s="417">
        <f t="shared" si="119"/>
        <v>0</v>
      </c>
      <c r="BP79" s="417">
        <f t="shared" si="120"/>
        <v>0</v>
      </c>
      <c r="BQ79" s="417">
        <f t="shared" si="121"/>
        <v>0</v>
      </c>
      <c r="BR79" s="417">
        <f t="shared" si="121"/>
        <v>0</v>
      </c>
      <c r="BS79" s="417">
        <f t="shared" si="122"/>
        <v>119012</v>
      </c>
      <c r="BT79" s="417">
        <f t="shared" si="122"/>
        <v>3521</v>
      </c>
      <c r="BU79" s="417">
        <f t="shared" si="123"/>
        <v>0</v>
      </c>
      <c r="BV79" s="418">
        <f t="shared" si="124"/>
        <v>0.77729999999999999</v>
      </c>
      <c r="BW79" s="418">
        <f t="shared" si="125"/>
        <v>0.77729999999999999</v>
      </c>
      <c r="BX79" s="420">
        <f t="shared" si="125"/>
        <v>0</v>
      </c>
      <c r="BY79" s="994"/>
      <c r="BZ79" s="595"/>
      <c r="CA79" s="595"/>
      <c r="CB79" s="595"/>
      <c r="CC79" s="595"/>
      <c r="CD79" s="981"/>
      <c r="CE79" s="994"/>
      <c r="CF79" s="595"/>
      <c r="CG79" s="595"/>
      <c r="CH79" s="595"/>
      <c r="CI79" s="595"/>
      <c r="CJ79" s="981"/>
    </row>
    <row r="80" spans="1:91" ht="12.95" customHeight="1">
      <c r="A80" s="280">
        <v>13</v>
      </c>
      <c r="B80" s="321">
        <v>5411</v>
      </c>
      <c r="C80" s="322">
        <v>650034244</v>
      </c>
      <c r="D80" s="281">
        <v>70985375</v>
      </c>
      <c r="E80" s="323" t="s">
        <v>373</v>
      </c>
      <c r="F80" s="281">
        <v>3143</v>
      </c>
      <c r="G80" s="323" t="s">
        <v>596</v>
      </c>
      <c r="H80" s="284" t="s">
        <v>272</v>
      </c>
      <c r="I80" s="419">
        <v>16136</v>
      </c>
      <c r="J80" s="414">
        <v>11550</v>
      </c>
      <c r="K80" s="414">
        <v>0</v>
      </c>
      <c r="L80" s="414">
        <v>11550</v>
      </c>
      <c r="M80" s="414">
        <v>0</v>
      </c>
      <c r="N80" s="414">
        <v>0</v>
      </c>
      <c r="O80" s="414">
        <v>0</v>
      </c>
      <c r="P80" s="68">
        <v>3904</v>
      </c>
      <c r="Q80" s="68">
        <v>115</v>
      </c>
      <c r="R80" s="414">
        <v>567</v>
      </c>
      <c r="S80" s="415">
        <v>3.9199999999999999E-2</v>
      </c>
      <c r="T80" s="416">
        <v>0</v>
      </c>
      <c r="U80" s="422">
        <v>3.9199999999999999E-2</v>
      </c>
      <c r="V80" s="423">
        <f t="shared" si="126"/>
        <v>0</v>
      </c>
      <c r="W80" s="417">
        <f t="shared" si="126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27"/>
        <v>0</v>
      </c>
      <c r="AF80" s="417">
        <f t="shared" si="128"/>
        <v>0</v>
      </c>
      <c r="AG80" s="417">
        <f t="shared" si="129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30"/>
        <v>0</v>
      </c>
      <c r="AN80" s="417">
        <f t="shared" si="131"/>
        <v>0</v>
      </c>
      <c r="AO80" s="417">
        <f t="shared" si="132"/>
        <v>0</v>
      </c>
      <c r="AP80" s="417">
        <f t="shared" si="133"/>
        <v>0</v>
      </c>
      <c r="AQ80" s="417">
        <f t="shared" si="133"/>
        <v>0</v>
      </c>
      <c r="AR80" s="417">
        <f t="shared" si="134"/>
        <v>0</v>
      </c>
      <c r="AS80" s="68">
        <f t="shared" si="135"/>
        <v>0</v>
      </c>
      <c r="AT80" s="68">
        <f t="shared" si="136"/>
        <v>0</v>
      </c>
      <c r="AU80" s="417">
        <v>0</v>
      </c>
      <c r="AV80" s="417">
        <v>0</v>
      </c>
      <c r="AW80" s="417">
        <v>0</v>
      </c>
      <c r="AX80" s="417">
        <f t="shared" si="137"/>
        <v>0</v>
      </c>
      <c r="AY80" s="417">
        <f t="shared" si="138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39"/>
        <v>0</v>
      </c>
      <c r="BJ80" s="418">
        <f t="shared" si="140"/>
        <v>0</v>
      </c>
      <c r="BK80" s="420">
        <f t="shared" si="141"/>
        <v>0</v>
      </c>
      <c r="BL80" s="772">
        <f t="shared" si="117"/>
        <v>16136</v>
      </c>
      <c r="BM80" s="417">
        <f t="shared" si="118"/>
        <v>11550</v>
      </c>
      <c r="BN80" s="417">
        <f t="shared" si="119"/>
        <v>0</v>
      </c>
      <c r="BO80" s="417">
        <f t="shared" si="119"/>
        <v>11550</v>
      </c>
      <c r="BP80" s="417">
        <f t="shared" si="120"/>
        <v>0</v>
      </c>
      <c r="BQ80" s="417">
        <f t="shared" si="121"/>
        <v>0</v>
      </c>
      <c r="BR80" s="417">
        <f t="shared" si="121"/>
        <v>0</v>
      </c>
      <c r="BS80" s="417">
        <f t="shared" si="122"/>
        <v>3904</v>
      </c>
      <c r="BT80" s="417">
        <f t="shared" si="122"/>
        <v>115</v>
      </c>
      <c r="BU80" s="417">
        <f t="shared" si="123"/>
        <v>567</v>
      </c>
      <c r="BV80" s="418">
        <f t="shared" si="124"/>
        <v>3.9199999999999999E-2</v>
      </c>
      <c r="BW80" s="418">
        <f t="shared" si="125"/>
        <v>0</v>
      </c>
      <c r="BX80" s="420">
        <f t="shared" si="125"/>
        <v>3.9199999999999999E-2</v>
      </c>
      <c r="BY80" s="994"/>
      <c r="BZ80" s="595"/>
      <c r="CA80" s="595"/>
      <c r="CB80" s="595"/>
      <c r="CC80" s="595"/>
      <c r="CD80" s="981"/>
      <c r="CE80" s="994"/>
      <c r="CF80" s="595"/>
      <c r="CG80" s="595"/>
      <c r="CH80" s="595"/>
      <c r="CI80" s="595"/>
      <c r="CJ80" s="981"/>
    </row>
    <row r="81" spans="1:88" ht="12.95" customHeight="1">
      <c r="A81" s="324">
        <v>13</v>
      </c>
      <c r="B81" s="325">
        <v>5411</v>
      </c>
      <c r="C81" s="326">
        <v>650034244</v>
      </c>
      <c r="D81" s="325">
        <v>70985375</v>
      </c>
      <c r="E81" s="327" t="s">
        <v>374</v>
      </c>
      <c r="F81" s="291"/>
      <c r="G81" s="329"/>
      <c r="H81" s="292"/>
      <c r="I81" s="471">
        <v>7208942</v>
      </c>
      <c r="J81" s="467">
        <v>5150298</v>
      </c>
      <c r="K81" s="467">
        <v>3860497</v>
      </c>
      <c r="L81" s="467">
        <v>1289801</v>
      </c>
      <c r="M81" s="467">
        <v>174015</v>
      </c>
      <c r="N81" s="467">
        <v>174015</v>
      </c>
      <c r="O81" s="467">
        <v>0</v>
      </c>
      <c r="P81" s="467">
        <v>1764731</v>
      </c>
      <c r="Q81" s="467">
        <v>51503</v>
      </c>
      <c r="R81" s="467">
        <v>68395</v>
      </c>
      <c r="S81" s="468">
        <v>10.2281</v>
      </c>
      <c r="T81" s="468">
        <v>6.2782</v>
      </c>
      <c r="U81" s="531">
        <v>3.9499</v>
      </c>
      <c r="V81" s="471">
        <f t="shared" ref="V81:BK81" si="142">SUM(V75:V80)</f>
        <v>0</v>
      </c>
      <c r="W81" s="467">
        <f t="shared" si="142"/>
        <v>0</v>
      </c>
      <c r="X81" s="467">
        <f t="shared" si="142"/>
        <v>0</v>
      </c>
      <c r="Y81" s="467">
        <f t="shared" si="142"/>
        <v>0</v>
      </c>
      <c r="Z81" s="467">
        <f t="shared" si="142"/>
        <v>-97175</v>
      </c>
      <c r="AA81" s="467">
        <f t="shared" si="142"/>
        <v>-6189</v>
      </c>
      <c r="AB81" s="467">
        <f t="shared" si="142"/>
        <v>0</v>
      </c>
      <c r="AC81" s="467">
        <f t="shared" si="142"/>
        <v>0</v>
      </c>
      <c r="AD81" s="467">
        <f t="shared" si="142"/>
        <v>0</v>
      </c>
      <c r="AE81" s="467">
        <f t="shared" si="142"/>
        <v>-97175</v>
      </c>
      <c r="AF81" s="467">
        <f t="shared" si="142"/>
        <v>-6189</v>
      </c>
      <c r="AG81" s="467">
        <f t="shared" si="142"/>
        <v>-103364</v>
      </c>
      <c r="AH81" s="467">
        <f t="shared" si="142"/>
        <v>0</v>
      </c>
      <c r="AI81" s="467">
        <f t="shared" si="142"/>
        <v>0</v>
      </c>
      <c r="AJ81" s="467">
        <f t="shared" si="142"/>
        <v>0</v>
      </c>
      <c r="AK81" s="467">
        <f t="shared" si="142"/>
        <v>0</v>
      </c>
      <c r="AL81" s="467">
        <f t="shared" si="142"/>
        <v>0</v>
      </c>
      <c r="AM81" s="467">
        <f t="shared" si="142"/>
        <v>0</v>
      </c>
      <c r="AN81" s="467">
        <f t="shared" si="142"/>
        <v>0</v>
      </c>
      <c r="AO81" s="467">
        <f t="shared" si="142"/>
        <v>0</v>
      </c>
      <c r="AP81" s="467">
        <f t="shared" si="142"/>
        <v>-97175</v>
      </c>
      <c r="AQ81" s="467">
        <f t="shared" si="142"/>
        <v>-6189</v>
      </c>
      <c r="AR81" s="467">
        <f t="shared" si="142"/>
        <v>-103364</v>
      </c>
      <c r="AS81" s="467">
        <f t="shared" si="142"/>
        <v>-34937</v>
      </c>
      <c r="AT81" s="467">
        <f t="shared" si="142"/>
        <v>-1034</v>
      </c>
      <c r="AU81" s="467">
        <f t="shared" si="142"/>
        <v>2500</v>
      </c>
      <c r="AV81" s="467">
        <f t="shared" si="142"/>
        <v>0</v>
      </c>
      <c r="AW81" s="467">
        <f t="shared" si="142"/>
        <v>0</v>
      </c>
      <c r="AX81" s="467">
        <f t="shared" si="142"/>
        <v>2500</v>
      </c>
      <c r="AY81" s="467">
        <f t="shared" si="142"/>
        <v>-136835</v>
      </c>
      <c r="AZ81" s="468">
        <f t="shared" si="142"/>
        <v>0</v>
      </c>
      <c r="BA81" s="468">
        <f t="shared" si="142"/>
        <v>0</v>
      </c>
      <c r="BB81" s="468">
        <f t="shared" si="142"/>
        <v>0</v>
      </c>
      <c r="BC81" s="468">
        <f t="shared" si="142"/>
        <v>-0.24000000000000005</v>
      </c>
      <c r="BD81" s="468">
        <f t="shared" si="142"/>
        <v>-0.02</v>
      </c>
      <c r="BE81" s="468">
        <f t="shared" si="142"/>
        <v>0</v>
      </c>
      <c r="BF81" s="468">
        <f t="shared" si="142"/>
        <v>0</v>
      </c>
      <c r="BG81" s="468">
        <f t="shared" si="142"/>
        <v>0</v>
      </c>
      <c r="BH81" s="468">
        <f t="shared" si="142"/>
        <v>0</v>
      </c>
      <c r="BI81" s="468">
        <f t="shared" si="142"/>
        <v>-0.24000000000000005</v>
      </c>
      <c r="BJ81" s="468">
        <f t="shared" si="142"/>
        <v>-0.02</v>
      </c>
      <c r="BK81" s="328">
        <f t="shared" si="142"/>
        <v>-0.26000000000000006</v>
      </c>
      <c r="BL81" s="774">
        <f t="shared" ref="BL81:CG81" si="143">SUM(BL75:BL80)</f>
        <v>7072107</v>
      </c>
      <c r="BM81" s="467">
        <f t="shared" si="143"/>
        <v>5046934</v>
      </c>
      <c r="BN81" s="467">
        <f t="shared" si="143"/>
        <v>3763322</v>
      </c>
      <c r="BO81" s="467">
        <f t="shared" si="143"/>
        <v>1283612</v>
      </c>
      <c r="BP81" s="467">
        <f t="shared" si="143"/>
        <v>174015</v>
      </c>
      <c r="BQ81" s="467">
        <f t="shared" si="143"/>
        <v>174015</v>
      </c>
      <c r="BR81" s="467">
        <f t="shared" si="143"/>
        <v>0</v>
      </c>
      <c r="BS81" s="467">
        <f t="shared" si="143"/>
        <v>1729794</v>
      </c>
      <c r="BT81" s="467">
        <f t="shared" si="143"/>
        <v>50469</v>
      </c>
      <c r="BU81" s="467">
        <f t="shared" si="143"/>
        <v>70895</v>
      </c>
      <c r="BV81" s="468">
        <f t="shared" si="143"/>
        <v>9.9680999999999997</v>
      </c>
      <c r="BW81" s="468">
        <f t="shared" si="143"/>
        <v>6.0382000000000016</v>
      </c>
      <c r="BX81" s="328">
        <f t="shared" si="143"/>
        <v>3.9298999999999999</v>
      </c>
      <c r="BY81" s="838">
        <f t="shared" si="143"/>
        <v>0</v>
      </c>
      <c r="BZ81" s="721">
        <f t="shared" si="143"/>
        <v>0</v>
      </c>
      <c r="CA81" s="721">
        <f t="shared" si="143"/>
        <v>0</v>
      </c>
      <c r="CB81" s="721">
        <f t="shared" si="143"/>
        <v>0</v>
      </c>
      <c r="CC81" s="721">
        <f t="shared" si="143"/>
        <v>0</v>
      </c>
      <c r="CD81" s="826">
        <f t="shared" si="143"/>
        <v>0</v>
      </c>
      <c r="CE81" s="995">
        <f t="shared" si="143"/>
        <v>280489</v>
      </c>
      <c r="CF81" s="995">
        <f t="shared" si="143"/>
        <v>197683</v>
      </c>
      <c r="CG81" s="995">
        <f t="shared" si="143"/>
        <v>66817</v>
      </c>
      <c r="CH81" s="995">
        <f t="shared" ref="CH81:CJ81" si="144">SUM(CH75:CH80)</f>
        <v>1977</v>
      </c>
      <c r="CI81" s="995">
        <f t="shared" si="144"/>
        <v>14012</v>
      </c>
      <c r="CJ81" s="933">
        <f t="shared" si="144"/>
        <v>0.61749999999999994</v>
      </c>
    </row>
    <row r="82" spans="1:88" ht="12.95" customHeight="1">
      <c r="A82" s="280">
        <v>14</v>
      </c>
      <c r="B82" s="321">
        <v>5412</v>
      </c>
      <c r="C82" s="322">
        <v>600099130</v>
      </c>
      <c r="D82" s="281">
        <v>70698066</v>
      </c>
      <c r="E82" s="323" t="s">
        <v>375</v>
      </c>
      <c r="F82" s="281">
        <v>3111</v>
      </c>
      <c r="G82" s="323" t="s">
        <v>304</v>
      </c>
      <c r="H82" s="284" t="s">
        <v>271</v>
      </c>
      <c r="I82" s="419">
        <v>2136829</v>
      </c>
      <c r="J82" s="414">
        <v>1579250</v>
      </c>
      <c r="K82" s="414">
        <v>1491041</v>
      </c>
      <c r="L82" s="414">
        <v>88209</v>
      </c>
      <c r="M82" s="414">
        <v>0</v>
      </c>
      <c r="N82" s="414">
        <v>0</v>
      </c>
      <c r="O82" s="414">
        <v>0</v>
      </c>
      <c r="P82" s="68">
        <v>533786</v>
      </c>
      <c r="Q82" s="68">
        <v>15793</v>
      </c>
      <c r="R82" s="414">
        <v>8000</v>
      </c>
      <c r="S82" s="415">
        <v>2.8042000000000002</v>
      </c>
      <c r="T82" s="416">
        <v>2.4508000000000001</v>
      </c>
      <c r="U82" s="422">
        <v>0.35339999999999999</v>
      </c>
      <c r="V82" s="423">
        <f t="shared" si="126"/>
        <v>-1820</v>
      </c>
      <c r="W82" s="417">
        <f t="shared" si="126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27"/>
        <v>-1820</v>
      </c>
      <c r="AF82" s="417">
        <f t="shared" si="128"/>
        <v>0</v>
      </c>
      <c r="AG82" s="417">
        <f t="shared" si="129"/>
        <v>-1820</v>
      </c>
      <c r="AH82" s="417">
        <v>1820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30"/>
        <v>1820</v>
      </c>
      <c r="AN82" s="417">
        <f t="shared" si="131"/>
        <v>0</v>
      </c>
      <c r="AO82" s="417">
        <f t="shared" si="132"/>
        <v>1820</v>
      </c>
      <c r="AP82" s="417">
        <f t="shared" si="133"/>
        <v>0</v>
      </c>
      <c r="AQ82" s="417">
        <f t="shared" si="133"/>
        <v>0</v>
      </c>
      <c r="AR82" s="417">
        <f t="shared" si="134"/>
        <v>0</v>
      </c>
      <c r="AS82" s="68">
        <f t="shared" si="135"/>
        <v>0</v>
      </c>
      <c r="AT82" s="68">
        <f t="shared" si="136"/>
        <v>-18</v>
      </c>
      <c r="AU82" s="417">
        <v>0</v>
      </c>
      <c r="AV82" s="417">
        <v>0</v>
      </c>
      <c r="AW82" s="417">
        <v>0</v>
      </c>
      <c r="AX82" s="417">
        <f t="shared" si="137"/>
        <v>0</v>
      </c>
      <c r="AY82" s="417">
        <f t="shared" si="138"/>
        <v>-18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39"/>
        <v>0</v>
      </c>
      <c r="BJ82" s="418">
        <f t="shared" si="140"/>
        <v>0</v>
      </c>
      <c r="BK82" s="420">
        <f t="shared" si="141"/>
        <v>0</v>
      </c>
      <c r="BL82" s="772">
        <f t="shared" ref="BL82:BL87" si="145">I82+AY82</f>
        <v>2136811</v>
      </c>
      <c r="BM82" s="417">
        <f t="shared" ref="BM82:BM87" si="146">J82+AG82</f>
        <v>1577430</v>
      </c>
      <c r="BN82" s="417">
        <f t="shared" ref="BN82:BO87" si="147">K82+AE82</f>
        <v>1489221</v>
      </c>
      <c r="BO82" s="417">
        <f t="shared" si="147"/>
        <v>88209</v>
      </c>
      <c r="BP82" s="417">
        <f t="shared" ref="BP82:BP87" si="148">M82+AO82</f>
        <v>1820</v>
      </c>
      <c r="BQ82" s="417">
        <f t="shared" ref="BQ82:BR87" si="149">N82+AM82</f>
        <v>1820</v>
      </c>
      <c r="BR82" s="417">
        <f t="shared" si="149"/>
        <v>0</v>
      </c>
      <c r="BS82" s="417">
        <f t="shared" ref="BS82:BT87" si="150">P82+AS82</f>
        <v>533786</v>
      </c>
      <c r="BT82" s="417">
        <f t="shared" si="150"/>
        <v>15775</v>
      </c>
      <c r="BU82" s="417">
        <f t="shared" ref="BU82:BU87" si="151">R82+AX82</f>
        <v>8000</v>
      </c>
      <c r="BV82" s="418">
        <f t="shared" ref="BV82:BV87" si="152">S82+BK82</f>
        <v>2.8042000000000002</v>
      </c>
      <c r="BW82" s="418">
        <f t="shared" ref="BW82:BX87" si="153">T82+BI82</f>
        <v>2.4508000000000001</v>
      </c>
      <c r="BX82" s="420">
        <f t="shared" si="153"/>
        <v>0.35339999999999999</v>
      </c>
      <c r="BY82" s="994"/>
      <c r="BZ82" s="595"/>
      <c r="CA82" s="595"/>
      <c r="CB82" s="595"/>
      <c r="CC82" s="595"/>
      <c r="CD82" s="981"/>
      <c r="CE82" s="994">
        <v>40815</v>
      </c>
      <c r="CF82" s="595">
        <v>28305</v>
      </c>
      <c r="CG82" s="595">
        <v>9567</v>
      </c>
      <c r="CH82" s="595">
        <v>283</v>
      </c>
      <c r="CI82" s="595">
        <v>2660</v>
      </c>
      <c r="CJ82" s="981">
        <v>0.1134</v>
      </c>
    </row>
    <row r="83" spans="1:88" ht="12.95" customHeight="1">
      <c r="A83" s="280">
        <v>14</v>
      </c>
      <c r="B83" s="321">
        <v>5412</v>
      </c>
      <c r="C83" s="322">
        <v>600099130</v>
      </c>
      <c r="D83" s="281">
        <v>70698066</v>
      </c>
      <c r="E83" s="323" t="s">
        <v>375</v>
      </c>
      <c r="F83" s="281">
        <v>3117</v>
      </c>
      <c r="G83" s="323" t="s">
        <v>293</v>
      </c>
      <c r="H83" s="284" t="s">
        <v>271</v>
      </c>
      <c r="I83" s="419">
        <v>2190268</v>
      </c>
      <c r="J83" s="414">
        <v>1600755</v>
      </c>
      <c r="K83" s="414">
        <v>1300567</v>
      </c>
      <c r="L83" s="414">
        <v>300188</v>
      </c>
      <c r="M83" s="414">
        <v>0</v>
      </c>
      <c r="N83" s="414">
        <v>0</v>
      </c>
      <c r="O83" s="414">
        <v>0</v>
      </c>
      <c r="P83" s="68">
        <v>541055</v>
      </c>
      <c r="Q83" s="68">
        <v>16008</v>
      </c>
      <c r="R83" s="414">
        <v>32450</v>
      </c>
      <c r="S83" s="415">
        <v>2.7772000000000001</v>
      </c>
      <c r="T83" s="416">
        <v>2</v>
      </c>
      <c r="U83" s="422">
        <v>0.77720000000000011</v>
      </c>
      <c r="V83" s="423">
        <f t="shared" si="126"/>
        <v>0</v>
      </c>
      <c r="W83" s="417">
        <f t="shared" si="126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27"/>
        <v>0</v>
      </c>
      <c r="AF83" s="417">
        <f t="shared" si="128"/>
        <v>0</v>
      </c>
      <c r="AG83" s="417">
        <f t="shared" si="129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30"/>
        <v>0</v>
      </c>
      <c r="AN83" s="417">
        <f t="shared" si="131"/>
        <v>0</v>
      </c>
      <c r="AO83" s="417">
        <f t="shared" si="132"/>
        <v>0</v>
      </c>
      <c r="AP83" s="417">
        <f t="shared" si="133"/>
        <v>0</v>
      </c>
      <c r="AQ83" s="417">
        <f t="shared" si="133"/>
        <v>0</v>
      </c>
      <c r="AR83" s="417">
        <f t="shared" si="134"/>
        <v>0</v>
      </c>
      <c r="AS83" s="68">
        <f t="shared" si="135"/>
        <v>0</v>
      </c>
      <c r="AT83" s="68">
        <f t="shared" si="136"/>
        <v>0</v>
      </c>
      <c r="AU83" s="417">
        <v>0</v>
      </c>
      <c r="AV83" s="417">
        <v>0</v>
      </c>
      <c r="AW83" s="417">
        <v>0</v>
      </c>
      <c r="AX83" s="417">
        <f t="shared" si="137"/>
        <v>0</v>
      </c>
      <c r="AY83" s="417">
        <f t="shared" si="138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39"/>
        <v>0</v>
      </c>
      <c r="BJ83" s="418">
        <f t="shared" si="140"/>
        <v>0</v>
      </c>
      <c r="BK83" s="420">
        <f t="shared" si="141"/>
        <v>0</v>
      </c>
      <c r="BL83" s="772">
        <f t="shared" si="145"/>
        <v>2190268</v>
      </c>
      <c r="BM83" s="417">
        <f t="shared" si="146"/>
        <v>1600755</v>
      </c>
      <c r="BN83" s="417">
        <f t="shared" si="147"/>
        <v>1300567</v>
      </c>
      <c r="BO83" s="417">
        <f t="shared" si="147"/>
        <v>300188</v>
      </c>
      <c r="BP83" s="417">
        <f t="shared" si="148"/>
        <v>0</v>
      </c>
      <c r="BQ83" s="417">
        <f t="shared" si="149"/>
        <v>0</v>
      </c>
      <c r="BR83" s="417">
        <f t="shared" si="149"/>
        <v>0</v>
      </c>
      <c r="BS83" s="417">
        <f t="shared" si="150"/>
        <v>541055</v>
      </c>
      <c r="BT83" s="417">
        <f t="shared" si="150"/>
        <v>16008</v>
      </c>
      <c r="BU83" s="417">
        <f t="shared" si="151"/>
        <v>32450</v>
      </c>
      <c r="BV83" s="418">
        <f t="shared" si="152"/>
        <v>2.7772000000000001</v>
      </c>
      <c r="BW83" s="418">
        <f t="shared" si="153"/>
        <v>2</v>
      </c>
      <c r="BX83" s="420">
        <f t="shared" si="153"/>
        <v>0.77720000000000011</v>
      </c>
      <c r="BY83" s="994"/>
      <c r="BZ83" s="595"/>
      <c r="CA83" s="595"/>
      <c r="CB83" s="595"/>
      <c r="CC83" s="595"/>
      <c r="CD83" s="981"/>
      <c r="CE83" s="994">
        <v>135564</v>
      </c>
      <c r="CF83" s="595">
        <v>96356</v>
      </c>
      <c r="CG83" s="595">
        <v>32568</v>
      </c>
      <c r="CH83" s="595">
        <v>964</v>
      </c>
      <c r="CI83" s="595">
        <v>5676</v>
      </c>
      <c r="CJ83" s="981">
        <v>0.2495</v>
      </c>
    </row>
    <row r="84" spans="1:88" ht="12.95" customHeight="1">
      <c r="A84" s="280">
        <v>14</v>
      </c>
      <c r="B84" s="321">
        <v>5412</v>
      </c>
      <c r="C84" s="322">
        <v>600099130</v>
      </c>
      <c r="D84" s="281">
        <v>70698066</v>
      </c>
      <c r="E84" s="323" t="s">
        <v>375</v>
      </c>
      <c r="F84" s="281">
        <v>3117</v>
      </c>
      <c r="G84" s="323" t="s">
        <v>298</v>
      </c>
      <c r="H84" s="284" t="s">
        <v>272</v>
      </c>
      <c r="I84" s="419">
        <v>106449</v>
      </c>
      <c r="J84" s="414">
        <v>78968</v>
      </c>
      <c r="K84" s="414">
        <v>78968</v>
      </c>
      <c r="L84" s="414">
        <v>0</v>
      </c>
      <c r="M84" s="414">
        <v>0</v>
      </c>
      <c r="N84" s="414">
        <v>0</v>
      </c>
      <c r="O84" s="414">
        <v>0</v>
      </c>
      <c r="P84" s="68">
        <v>26691</v>
      </c>
      <c r="Q84" s="68">
        <v>790</v>
      </c>
      <c r="R84" s="414">
        <v>0</v>
      </c>
      <c r="S84" s="415">
        <v>0.21</v>
      </c>
      <c r="T84" s="416">
        <v>0.21</v>
      </c>
      <c r="U84" s="422">
        <v>0</v>
      </c>
      <c r="V84" s="423">
        <f t="shared" si="126"/>
        <v>0</v>
      </c>
      <c r="W84" s="417">
        <f t="shared" si="126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127"/>
        <v>0</v>
      </c>
      <c r="AF84" s="417">
        <f t="shared" si="128"/>
        <v>0</v>
      </c>
      <c r="AG84" s="417">
        <f t="shared" si="129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30"/>
        <v>0</v>
      </c>
      <c r="AN84" s="417">
        <f t="shared" si="131"/>
        <v>0</v>
      </c>
      <c r="AO84" s="417">
        <f t="shared" si="132"/>
        <v>0</v>
      </c>
      <c r="AP84" s="417">
        <f t="shared" si="133"/>
        <v>0</v>
      </c>
      <c r="AQ84" s="417">
        <f t="shared" si="133"/>
        <v>0</v>
      </c>
      <c r="AR84" s="417">
        <f t="shared" si="134"/>
        <v>0</v>
      </c>
      <c r="AS84" s="68">
        <f t="shared" si="135"/>
        <v>0</v>
      </c>
      <c r="AT84" s="68">
        <f t="shared" si="136"/>
        <v>0</v>
      </c>
      <c r="AU84" s="417">
        <v>0</v>
      </c>
      <c r="AV84" s="417">
        <v>0</v>
      </c>
      <c r="AW84" s="417">
        <v>0</v>
      </c>
      <c r="AX84" s="417">
        <f t="shared" si="137"/>
        <v>0</v>
      </c>
      <c r="AY84" s="417">
        <f t="shared" si="138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39"/>
        <v>0</v>
      </c>
      <c r="BJ84" s="418">
        <f t="shared" si="140"/>
        <v>0</v>
      </c>
      <c r="BK84" s="420">
        <f t="shared" si="141"/>
        <v>0</v>
      </c>
      <c r="BL84" s="772">
        <f t="shared" si="145"/>
        <v>106449</v>
      </c>
      <c r="BM84" s="417">
        <f t="shared" si="146"/>
        <v>78968</v>
      </c>
      <c r="BN84" s="417">
        <f t="shared" si="147"/>
        <v>78968</v>
      </c>
      <c r="BO84" s="417">
        <f t="shared" si="147"/>
        <v>0</v>
      </c>
      <c r="BP84" s="417">
        <f t="shared" si="148"/>
        <v>0</v>
      </c>
      <c r="BQ84" s="417">
        <f t="shared" si="149"/>
        <v>0</v>
      </c>
      <c r="BR84" s="417">
        <f t="shared" si="149"/>
        <v>0</v>
      </c>
      <c r="BS84" s="417">
        <f t="shared" si="150"/>
        <v>26691</v>
      </c>
      <c r="BT84" s="417">
        <f t="shared" si="150"/>
        <v>790</v>
      </c>
      <c r="BU84" s="417">
        <f t="shared" si="151"/>
        <v>0</v>
      </c>
      <c r="BV84" s="418">
        <f t="shared" si="152"/>
        <v>0.21</v>
      </c>
      <c r="BW84" s="418">
        <f t="shared" si="153"/>
        <v>0.21</v>
      </c>
      <c r="BX84" s="420">
        <f t="shared" si="153"/>
        <v>0</v>
      </c>
      <c r="BY84" s="994"/>
      <c r="BZ84" s="595"/>
      <c r="CA84" s="595"/>
      <c r="CB84" s="595"/>
      <c r="CC84" s="595"/>
      <c r="CD84" s="981"/>
      <c r="CE84" s="994"/>
      <c r="CF84" s="595"/>
      <c r="CG84" s="595"/>
      <c r="CH84" s="595"/>
      <c r="CI84" s="595"/>
      <c r="CJ84" s="981"/>
    </row>
    <row r="85" spans="1:88" ht="12.95" customHeight="1">
      <c r="A85" s="280">
        <v>14</v>
      </c>
      <c r="B85" s="321">
        <v>5412</v>
      </c>
      <c r="C85" s="322">
        <v>600099130</v>
      </c>
      <c r="D85" s="281">
        <v>70698066</v>
      </c>
      <c r="E85" s="323" t="s">
        <v>375</v>
      </c>
      <c r="F85" s="281">
        <v>3141</v>
      </c>
      <c r="G85" s="323" t="s">
        <v>294</v>
      </c>
      <c r="H85" s="284" t="s">
        <v>272</v>
      </c>
      <c r="I85" s="419">
        <v>624624</v>
      </c>
      <c r="J85" s="414">
        <v>461751</v>
      </c>
      <c r="K85" s="414">
        <v>0</v>
      </c>
      <c r="L85" s="414">
        <v>461751</v>
      </c>
      <c r="M85" s="414">
        <v>0</v>
      </c>
      <c r="N85" s="414">
        <v>0</v>
      </c>
      <c r="O85" s="414">
        <v>0</v>
      </c>
      <c r="P85" s="68">
        <v>156072</v>
      </c>
      <c r="Q85" s="68">
        <v>4617</v>
      </c>
      <c r="R85" s="414">
        <v>2184</v>
      </c>
      <c r="S85" s="415">
        <v>1.3800000000000001</v>
      </c>
      <c r="T85" s="416">
        <v>0</v>
      </c>
      <c r="U85" s="422">
        <v>1.3800000000000001</v>
      </c>
      <c r="V85" s="423">
        <f t="shared" si="126"/>
        <v>0</v>
      </c>
      <c r="W85" s="417">
        <f t="shared" si="126"/>
        <v>-6000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27"/>
        <v>0</v>
      </c>
      <c r="AF85" s="417">
        <f t="shared" si="128"/>
        <v>-6000</v>
      </c>
      <c r="AG85" s="417">
        <f t="shared" si="129"/>
        <v>-6000</v>
      </c>
      <c r="AH85" s="417">
        <v>0</v>
      </c>
      <c r="AI85" s="417">
        <v>6000</v>
      </c>
      <c r="AJ85" s="417">
        <v>0</v>
      </c>
      <c r="AK85" s="417">
        <v>0</v>
      </c>
      <c r="AL85" s="417">
        <v>0</v>
      </c>
      <c r="AM85" s="417">
        <f t="shared" si="130"/>
        <v>0</v>
      </c>
      <c r="AN85" s="417">
        <f t="shared" si="131"/>
        <v>6000</v>
      </c>
      <c r="AO85" s="417">
        <f t="shared" si="132"/>
        <v>6000</v>
      </c>
      <c r="AP85" s="417">
        <f t="shared" si="133"/>
        <v>0</v>
      </c>
      <c r="AQ85" s="417">
        <f t="shared" si="133"/>
        <v>0</v>
      </c>
      <c r="AR85" s="417">
        <f t="shared" si="134"/>
        <v>0</v>
      </c>
      <c r="AS85" s="68">
        <f t="shared" si="135"/>
        <v>0</v>
      </c>
      <c r="AT85" s="68">
        <f t="shared" si="136"/>
        <v>-60</v>
      </c>
      <c r="AU85" s="417">
        <v>0</v>
      </c>
      <c r="AV85" s="417">
        <v>0</v>
      </c>
      <c r="AW85" s="417">
        <v>0</v>
      </c>
      <c r="AX85" s="417">
        <f t="shared" si="137"/>
        <v>0</v>
      </c>
      <c r="AY85" s="417">
        <f t="shared" si="138"/>
        <v>-60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39"/>
        <v>0</v>
      </c>
      <c r="BJ85" s="418">
        <f t="shared" si="140"/>
        <v>0</v>
      </c>
      <c r="BK85" s="420">
        <f t="shared" si="141"/>
        <v>0</v>
      </c>
      <c r="BL85" s="772">
        <f t="shared" si="145"/>
        <v>624564</v>
      </c>
      <c r="BM85" s="417">
        <f t="shared" si="146"/>
        <v>455751</v>
      </c>
      <c r="BN85" s="417">
        <f t="shared" si="147"/>
        <v>0</v>
      </c>
      <c r="BO85" s="417">
        <f t="shared" si="147"/>
        <v>455751</v>
      </c>
      <c r="BP85" s="417">
        <f t="shared" si="148"/>
        <v>6000</v>
      </c>
      <c r="BQ85" s="417">
        <f t="shared" si="149"/>
        <v>0</v>
      </c>
      <c r="BR85" s="417">
        <f t="shared" si="149"/>
        <v>6000</v>
      </c>
      <c r="BS85" s="417">
        <f t="shared" si="150"/>
        <v>156072</v>
      </c>
      <c r="BT85" s="417">
        <f t="shared" si="150"/>
        <v>4557</v>
      </c>
      <c r="BU85" s="417">
        <f t="shared" si="151"/>
        <v>2184</v>
      </c>
      <c r="BV85" s="418">
        <f t="shared" si="152"/>
        <v>1.3800000000000001</v>
      </c>
      <c r="BW85" s="418">
        <f t="shared" si="153"/>
        <v>0</v>
      </c>
      <c r="BX85" s="420">
        <f t="shared" si="153"/>
        <v>1.3800000000000001</v>
      </c>
      <c r="BY85" s="994"/>
      <c r="BZ85" s="595"/>
      <c r="CA85" s="595"/>
      <c r="CB85" s="595"/>
      <c r="CC85" s="595"/>
      <c r="CD85" s="981"/>
      <c r="CE85" s="994"/>
      <c r="CF85" s="595"/>
      <c r="CG85" s="595"/>
      <c r="CH85" s="595"/>
      <c r="CI85" s="595"/>
      <c r="CJ85" s="981"/>
    </row>
    <row r="86" spans="1:88" ht="12.95" customHeight="1">
      <c r="A86" s="280">
        <v>14</v>
      </c>
      <c r="B86" s="321">
        <v>5412</v>
      </c>
      <c r="C86" s="322">
        <v>600099130</v>
      </c>
      <c r="D86" s="281">
        <v>70698066</v>
      </c>
      <c r="E86" s="323" t="s">
        <v>375</v>
      </c>
      <c r="F86" s="281">
        <v>3143</v>
      </c>
      <c r="G86" s="323" t="s">
        <v>595</v>
      </c>
      <c r="H86" s="284" t="s">
        <v>271</v>
      </c>
      <c r="I86" s="419">
        <v>300253</v>
      </c>
      <c r="J86" s="414">
        <v>222740</v>
      </c>
      <c r="K86" s="414">
        <v>222740</v>
      </c>
      <c r="L86" s="414">
        <v>0</v>
      </c>
      <c r="M86" s="414">
        <v>0</v>
      </c>
      <c r="N86" s="414">
        <v>0</v>
      </c>
      <c r="O86" s="414">
        <v>0</v>
      </c>
      <c r="P86" s="68">
        <v>75286</v>
      </c>
      <c r="Q86" s="68">
        <v>2227</v>
      </c>
      <c r="R86" s="414">
        <v>0</v>
      </c>
      <c r="S86" s="415">
        <v>0.5</v>
      </c>
      <c r="T86" s="416">
        <v>0.5</v>
      </c>
      <c r="U86" s="422">
        <v>0</v>
      </c>
      <c r="V86" s="423">
        <f t="shared" si="126"/>
        <v>0</v>
      </c>
      <c r="W86" s="417">
        <f t="shared" si="126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27"/>
        <v>0</v>
      </c>
      <c r="AF86" s="417">
        <f t="shared" si="128"/>
        <v>0</v>
      </c>
      <c r="AG86" s="417">
        <f t="shared" si="129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30"/>
        <v>0</v>
      </c>
      <c r="AN86" s="417">
        <f t="shared" si="131"/>
        <v>0</v>
      </c>
      <c r="AO86" s="417">
        <f t="shared" si="132"/>
        <v>0</v>
      </c>
      <c r="AP86" s="417">
        <f t="shared" si="133"/>
        <v>0</v>
      </c>
      <c r="AQ86" s="417">
        <f t="shared" si="133"/>
        <v>0</v>
      </c>
      <c r="AR86" s="417">
        <f t="shared" si="134"/>
        <v>0</v>
      </c>
      <c r="AS86" s="68">
        <f t="shared" si="135"/>
        <v>0</v>
      </c>
      <c r="AT86" s="68">
        <f t="shared" si="136"/>
        <v>0</v>
      </c>
      <c r="AU86" s="417">
        <v>0</v>
      </c>
      <c r="AV86" s="417">
        <v>0</v>
      </c>
      <c r="AW86" s="417">
        <v>0</v>
      </c>
      <c r="AX86" s="417">
        <f t="shared" si="137"/>
        <v>0</v>
      </c>
      <c r="AY86" s="417">
        <f t="shared" si="138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39"/>
        <v>0</v>
      </c>
      <c r="BJ86" s="418">
        <f t="shared" si="140"/>
        <v>0</v>
      </c>
      <c r="BK86" s="420">
        <f t="shared" si="141"/>
        <v>0</v>
      </c>
      <c r="BL86" s="772">
        <f t="shared" si="145"/>
        <v>300253</v>
      </c>
      <c r="BM86" s="417">
        <f t="shared" si="146"/>
        <v>222740</v>
      </c>
      <c r="BN86" s="417">
        <f t="shared" si="147"/>
        <v>222740</v>
      </c>
      <c r="BO86" s="417">
        <f t="shared" si="147"/>
        <v>0</v>
      </c>
      <c r="BP86" s="417">
        <f t="shared" si="148"/>
        <v>0</v>
      </c>
      <c r="BQ86" s="417">
        <f t="shared" si="149"/>
        <v>0</v>
      </c>
      <c r="BR86" s="417">
        <f t="shared" si="149"/>
        <v>0</v>
      </c>
      <c r="BS86" s="417">
        <f t="shared" si="150"/>
        <v>75286</v>
      </c>
      <c r="BT86" s="417">
        <f t="shared" si="150"/>
        <v>2227</v>
      </c>
      <c r="BU86" s="417">
        <f t="shared" si="151"/>
        <v>0</v>
      </c>
      <c r="BV86" s="418">
        <f t="shared" si="152"/>
        <v>0.5</v>
      </c>
      <c r="BW86" s="418">
        <f t="shared" si="153"/>
        <v>0.5</v>
      </c>
      <c r="BX86" s="420">
        <f t="shared" si="153"/>
        <v>0</v>
      </c>
      <c r="BY86" s="994"/>
      <c r="BZ86" s="595"/>
      <c r="CA86" s="595"/>
      <c r="CB86" s="595"/>
      <c r="CC86" s="595"/>
      <c r="CD86" s="981"/>
      <c r="CE86" s="994"/>
      <c r="CF86" s="997"/>
      <c r="CG86" s="595"/>
      <c r="CH86" s="595"/>
      <c r="CI86" s="595"/>
      <c r="CJ86" s="981"/>
    </row>
    <row r="87" spans="1:88" ht="12.95" customHeight="1">
      <c r="A87" s="280">
        <v>14</v>
      </c>
      <c r="B87" s="321">
        <v>5412</v>
      </c>
      <c r="C87" s="322">
        <v>600099130</v>
      </c>
      <c r="D87" s="281">
        <v>70698066</v>
      </c>
      <c r="E87" s="323" t="s">
        <v>375</v>
      </c>
      <c r="F87" s="281">
        <v>3143</v>
      </c>
      <c r="G87" s="323" t="s">
        <v>596</v>
      </c>
      <c r="H87" s="284" t="s">
        <v>272</v>
      </c>
      <c r="I87" s="419">
        <v>7684</v>
      </c>
      <c r="J87" s="414">
        <v>5500</v>
      </c>
      <c r="K87" s="414">
        <v>0</v>
      </c>
      <c r="L87" s="414">
        <v>5500</v>
      </c>
      <c r="M87" s="414">
        <v>0</v>
      </c>
      <c r="N87" s="414">
        <v>0</v>
      </c>
      <c r="O87" s="414">
        <v>0</v>
      </c>
      <c r="P87" s="68">
        <v>1859</v>
      </c>
      <c r="Q87" s="68">
        <v>55</v>
      </c>
      <c r="R87" s="414">
        <v>270</v>
      </c>
      <c r="S87" s="415">
        <v>2.3899999999999998E-2</v>
      </c>
      <c r="T87" s="416">
        <v>0</v>
      </c>
      <c r="U87" s="422">
        <v>2.3899999999999998E-2</v>
      </c>
      <c r="V87" s="423">
        <f t="shared" si="126"/>
        <v>0</v>
      </c>
      <c r="W87" s="417">
        <f t="shared" si="126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27"/>
        <v>0</v>
      </c>
      <c r="AF87" s="417">
        <f t="shared" si="128"/>
        <v>0</v>
      </c>
      <c r="AG87" s="417">
        <f t="shared" si="129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30"/>
        <v>0</v>
      </c>
      <c r="AN87" s="417">
        <f t="shared" si="131"/>
        <v>0</v>
      </c>
      <c r="AO87" s="417">
        <f t="shared" si="132"/>
        <v>0</v>
      </c>
      <c r="AP87" s="417">
        <f t="shared" si="133"/>
        <v>0</v>
      </c>
      <c r="AQ87" s="417">
        <f t="shared" si="133"/>
        <v>0</v>
      </c>
      <c r="AR87" s="417">
        <f t="shared" si="134"/>
        <v>0</v>
      </c>
      <c r="AS87" s="68">
        <f t="shared" si="135"/>
        <v>0</v>
      </c>
      <c r="AT87" s="68">
        <f t="shared" si="136"/>
        <v>0</v>
      </c>
      <c r="AU87" s="417">
        <v>0</v>
      </c>
      <c r="AV87" s="417">
        <v>0</v>
      </c>
      <c r="AW87" s="417">
        <v>0</v>
      </c>
      <c r="AX87" s="417">
        <f t="shared" si="137"/>
        <v>0</v>
      </c>
      <c r="AY87" s="417">
        <f t="shared" si="138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39"/>
        <v>0</v>
      </c>
      <c r="BJ87" s="418">
        <f t="shared" si="140"/>
        <v>0</v>
      </c>
      <c r="BK87" s="420">
        <f t="shared" si="141"/>
        <v>0</v>
      </c>
      <c r="BL87" s="772">
        <f t="shared" si="145"/>
        <v>7684</v>
      </c>
      <c r="BM87" s="417">
        <f t="shared" si="146"/>
        <v>5500</v>
      </c>
      <c r="BN87" s="417">
        <f t="shared" si="147"/>
        <v>0</v>
      </c>
      <c r="BO87" s="417">
        <f t="shared" si="147"/>
        <v>5500</v>
      </c>
      <c r="BP87" s="417">
        <f t="shared" si="148"/>
        <v>0</v>
      </c>
      <c r="BQ87" s="417">
        <f t="shared" si="149"/>
        <v>0</v>
      </c>
      <c r="BR87" s="417">
        <f t="shared" si="149"/>
        <v>0</v>
      </c>
      <c r="BS87" s="417">
        <f t="shared" si="150"/>
        <v>1859</v>
      </c>
      <c r="BT87" s="417">
        <f t="shared" si="150"/>
        <v>55</v>
      </c>
      <c r="BU87" s="417">
        <f t="shared" si="151"/>
        <v>270</v>
      </c>
      <c r="BV87" s="418">
        <f t="shared" si="152"/>
        <v>2.3899999999999998E-2</v>
      </c>
      <c r="BW87" s="418">
        <f t="shared" si="153"/>
        <v>0</v>
      </c>
      <c r="BX87" s="420">
        <f t="shared" si="153"/>
        <v>2.3899999999999998E-2</v>
      </c>
      <c r="BY87" s="994"/>
      <c r="BZ87" s="595"/>
      <c r="CA87" s="595"/>
      <c r="CB87" s="595"/>
      <c r="CC87" s="595"/>
      <c r="CD87" s="981"/>
      <c r="CE87" s="994"/>
      <c r="CF87" s="595"/>
      <c r="CG87" s="595"/>
      <c r="CH87" s="595"/>
      <c r="CI87" s="595"/>
      <c r="CJ87" s="981"/>
    </row>
    <row r="88" spans="1:88" ht="12.95" customHeight="1">
      <c r="A88" s="324">
        <v>14</v>
      </c>
      <c r="B88" s="325">
        <v>5412</v>
      </c>
      <c r="C88" s="326">
        <v>600099130</v>
      </c>
      <c r="D88" s="325">
        <v>70698066</v>
      </c>
      <c r="E88" s="327" t="s">
        <v>376</v>
      </c>
      <c r="F88" s="291"/>
      <c r="G88" s="329"/>
      <c r="H88" s="292"/>
      <c r="I88" s="471">
        <v>5366107</v>
      </c>
      <c r="J88" s="467">
        <v>3948964</v>
      </c>
      <c r="K88" s="467">
        <v>3093316</v>
      </c>
      <c r="L88" s="467">
        <v>855648</v>
      </c>
      <c r="M88" s="467">
        <v>0</v>
      </c>
      <c r="N88" s="467">
        <v>0</v>
      </c>
      <c r="O88" s="467">
        <v>0</v>
      </c>
      <c r="P88" s="467">
        <v>1334749</v>
      </c>
      <c r="Q88" s="467">
        <v>39490</v>
      </c>
      <c r="R88" s="467">
        <v>42904</v>
      </c>
      <c r="S88" s="468">
        <v>7.6953000000000005</v>
      </c>
      <c r="T88" s="468">
        <v>5.1608000000000001</v>
      </c>
      <c r="U88" s="531">
        <v>2.5345</v>
      </c>
      <c r="V88" s="471">
        <f t="shared" ref="V88:BK88" si="154">SUM(V82:V87)</f>
        <v>-1820</v>
      </c>
      <c r="W88" s="467">
        <f t="shared" si="154"/>
        <v>-6000</v>
      </c>
      <c r="X88" s="467">
        <f t="shared" si="154"/>
        <v>0</v>
      </c>
      <c r="Y88" s="467">
        <f t="shared" si="154"/>
        <v>0</v>
      </c>
      <c r="Z88" s="467">
        <f t="shared" si="154"/>
        <v>0</v>
      </c>
      <c r="AA88" s="467">
        <f t="shared" si="154"/>
        <v>0</v>
      </c>
      <c r="AB88" s="467">
        <f t="shared" si="154"/>
        <v>0</v>
      </c>
      <c r="AC88" s="467">
        <f t="shared" si="154"/>
        <v>0</v>
      </c>
      <c r="AD88" s="467">
        <f t="shared" si="154"/>
        <v>0</v>
      </c>
      <c r="AE88" s="467">
        <f t="shared" si="154"/>
        <v>-1820</v>
      </c>
      <c r="AF88" s="467">
        <f t="shared" si="154"/>
        <v>-6000</v>
      </c>
      <c r="AG88" s="467">
        <f t="shared" si="154"/>
        <v>-7820</v>
      </c>
      <c r="AH88" s="467">
        <f t="shared" si="154"/>
        <v>1820</v>
      </c>
      <c r="AI88" s="467">
        <f t="shared" si="154"/>
        <v>6000</v>
      </c>
      <c r="AJ88" s="467">
        <f t="shared" si="154"/>
        <v>0</v>
      </c>
      <c r="AK88" s="467">
        <f t="shared" si="154"/>
        <v>0</v>
      </c>
      <c r="AL88" s="467">
        <f t="shared" si="154"/>
        <v>0</v>
      </c>
      <c r="AM88" s="467">
        <f t="shared" si="154"/>
        <v>1820</v>
      </c>
      <c r="AN88" s="467">
        <f t="shared" si="154"/>
        <v>6000</v>
      </c>
      <c r="AO88" s="467">
        <f t="shared" si="154"/>
        <v>7820</v>
      </c>
      <c r="AP88" s="467">
        <f t="shared" si="154"/>
        <v>0</v>
      </c>
      <c r="AQ88" s="467">
        <f t="shared" si="154"/>
        <v>0</v>
      </c>
      <c r="AR88" s="467">
        <f t="shared" si="154"/>
        <v>0</v>
      </c>
      <c r="AS88" s="467">
        <f t="shared" si="154"/>
        <v>0</v>
      </c>
      <c r="AT88" s="467">
        <f t="shared" si="154"/>
        <v>-78</v>
      </c>
      <c r="AU88" s="467">
        <f t="shared" si="154"/>
        <v>0</v>
      </c>
      <c r="AV88" s="467">
        <f t="shared" si="154"/>
        <v>0</v>
      </c>
      <c r="AW88" s="467">
        <f t="shared" si="154"/>
        <v>0</v>
      </c>
      <c r="AX88" s="467">
        <f t="shared" si="154"/>
        <v>0</v>
      </c>
      <c r="AY88" s="467">
        <f t="shared" si="154"/>
        <v>-78</v>
      </c>
      <c r="AZ88" s="468">
        <f t="shared" si="154"/>
        <v>0</v>
      </c>
      <c r="BA88" s="468">
        <f t="shared" si="154"/>
        <v>0</v>
      </c>
      <c r="BB88" s="468">
        <f t="shared" si="154"/>
        <v>0</v>
      </c>
      <c r="BC88" s="468">
        <f t="shared" si="154"/>
        <v>0</v>
      </c>
      <c r="BD88" s="468">
        <f t="shared" si="154"/>
        <v>0</v>
      </c>
      <c r="BE88" s="468">
        <f t="shared" si="154"/>
        <v>0</v>
      </c>
      <c r="BF88" s="468">
        <f t="shared" si="154"/>
        <v>0</v>
      </c>
      <c r="BG88" s="468">
        <f t="shared" si="154"/>
        <v>0</v>
      </c>
      <c r="BH88" s="468">
        <f t="shared" si="154"/>
        <v>0</v>
      </c>
      <c r="BI88" s="468">
        <f t="shared" si="154"/>
        <v>0</v>
      </c>
      <c r="BJ88" s="468">
        <f t="shared" si="154"/>
        <v>0</v>
      </c>
      <c r="BK88" s="328">
        <f t="shared" si="154"/>
        <v>0</v>
      </c>
      <c r="BL88" s="774">
        <f t="shared" ref="BL88:CG88" si="155">SUM(BL82:BL87)</f>
        <v>5366029</v>
      </c>
      <c r="BM88" s="467">
        <f t="shared" si="155"/>
        <v>3941144</v>
      </c>
      <c r="BN88" s="467">
        <f t="shared" si="155"/>
        <v>3091496</v>
      </c>
      <c r="BO88" s="467">
        <f t="shared" si="155"/>
        <v>849648</v>
      </c>
      <c r="BP88" s="467">
        <f t="shared" si="155"/>
        <v>7820</v>
      </c>
      <c r="BQ88" s="467">
        <f t="shared" si="155"/>
        <v>1820</v>
      </c>
      <c r="BR88" s="467">
        <f t="shared" si="155"/>
        <v>6000</v>
      </c>
      <c r="BS88" s="467">
        <f t="shared" si="155"/>
        <v>1334749</v>
      </c>
      <c r="BT88" s="467">
        <f t="shared" si="155"/>
        <v>39412</v>
      </c>
      <c r="BU88" s="467">
        <f t="shared" si="155"/>
        <v>42904</v>
      </c>
      <c r="BV88" s="468">
        <f t="shared" si="155"/>
        <v>7.6953000000000005</v>
      </c>
      <c r="BW88" s="468">
        <f t="shared" si="155"/>
        <v>5.1608000000000001</v>
      </c>
      <c r="BX88" s="328">
        <f t="shared" si="155"/>
        <v>2.5345</v>
      </c>
      <c r="BY88" s="838">
        <f t="shared" si="155"/>
        <v>0</v>
      </c>
      <c r="BZ88" s="721">
        <f t="shared" si="155"/>
        <v>0</v>
      </c>
      <c r="CA88" s="721">
        <f t="shared" si="155"/>
        <v>0</v>
      </c>
      <c r="CB88" s="721">
        <f t="shared" si="155"/>
        <v>0</v>
      </c>
      <c r="CC88" s="721">
        <f t="shared" si="155"/>
        <v>0</v>
      </c>
      <c r="CD88" s="826">
        <f t="shared" si="155"/>
        <v>0</v>
      </c>
      <c r="CE88" s="995">
        <f t="shared" si="155"/>
        <v>176379</v>
      </c>
      <c r="CF88" s="995">
        <f t="shared" si="155"/>
        <v>124661</v>
      </c>
      <c r="CG88" s="995">
        <f t="shared" si="155"/>
        <v>42135</v>
      </c>
      <c r="CH88" s="995">
        <f t="shared" ref="CH88:CJ88" si="156">SUM(CH82:CH87)</f>
        <v>1247</v>
      </c>
      <c r="CI88" s="995">
        <f t="shared" si="156"/>
        <v>8336</v>
      </c>
      <c r="CJ88" s="933">
        <f t="shared" si="156"/>
        <v>0.3629</v>
      </c>
    </row>
    <row r="89" spans="1:88" ht="12.95" customHeight="1">
      <c r="A89" s="280">
        <v>15</v>
      </c>
      <c r="B89" s="321">
        <v>5418</v>
      </c>
      <c r="C89" s="322">
        <v>600098508</v>
      </c>
      <c r="D89" s="281">
        <v>70156573</v>
      </c>
      <c r="E89" s="323" t="s">
        <v>377</v>
      </c>
      <c r="F89" s="281">
        <v>3111</v>
      </c>
      <c r="G89" s="323" t="s">
        <v>304</v>
      </c>
      <c r="H89" s="284" t="s">
        <v>271</v>
      </c>
      <c r="I89" s="419">
        <v>5101544</v>
      </c>
      <c r="J89" s="414">
        <v>3767911</v>
      </c>
      <c r="K89" s="414">
        <v>3278055</v>
      </c>
      <c r="L89" s="414">
        <v>489856</v>
      </c>
      <c r="M89" s="414">
        <v>0</v>
      </c>
      <c r="N89" s="414">
        <v>0</v>
      </c>
      <c r="O89" s="414">
        <v>0</v>
      </c>
      <c r="P89" s="68">
        <v>1273554</v>
      </c>
      <c r="Q89" s="68">
        <v>37679</v>
      </c>
      <c r="R89" s="414">
        <v>22400</v>
      </c>
      <c r="S89" s="415">
        <v>7.5363000000000007</v>
      </c>
      <c r="T89" s="416">
        <v>5.8871000000000002</v>
      </c>
      <c r="U89" s="422">
        <v>1.6492</v>
      </c>
      <c r="V89" s="423">
        <f t="shared" si="126"/>
        <v>0</v>
      </c>
      <c r="W89" s="417">
        <f t="shared" si="126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27"/>
        <v>0</v>
      </c>
      <c r="AF89" s="417">
        <f t="shared" si="128"/>
        <v>0</v>
      </c>
      <c r="AG89" s="417">
        <f t="shared" si="129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30"/>
        <v>0</v>
      </c>
      <c r="AN89" s="417">
        <f t="shared" si="131"/>
        <v>0</v>
      </c>
      <c r="AO89" s="417">
        <f t="shared" si="132"/>
        <v>0</v>
      </c>
      <c r="AP89" s="417">
        <f t="shared" si="133"/>
        <v>0</v>
      </c>
      <c r="AQ89" s="417">
        <f t="shared" si="133"/>
        <v>0</v>
      </c>
      <c r="AR89" s="417">
        <f t="shared" si="134"/>
        <v>0</v>
      </c>
      <c r="AS89" s="68">
        <f t="shared" si="135"/>
        <v>0</v>
      </c>
      <c r="AT89" s="68">
        <f t="shared" si="136"/>
        <v>0</v>
      </c>
      <c r="AU89" s="417">
        <v>0</v>
      </c>
      <c r="AV89" s="417">
        <v>0</v>
      </c>
      <c r="AW89" s="417">
        <v>0</v>
      </c>
      <c r="AX89" s="417">
        <f t="shared" si="137"/>
        <v>0</v>
      </c>
      <c r="AY89" s="417">
        <f t="shared" si="138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39"/>
        <v>0</v>
      </c>
      <c r="BJ89" s="418">
        <f t="shared" si="140"/>
        <v>0</v>
      </c>
      <c r="BK89" s="420">
        <f t="shared" si="141"/>
        <v>0</v>
      </c>
      <c r="BL89" s="772">
        <f>I89+AY89</f>
        <v>5101544</v>
      </c>
      <c r="BM89" s="417">
        <f>J89+AG89</f>
        <v>3767911</v>
      </c>
      <c r="BN89" s="417">
        <f t="shared" ref="BN89:BO91" si="157">K89+AE89</f>
        <v>3278055</v>
      </c>
      <c r="BO89" s="417">
        <f t="shared" si="157"/>
        <v>489856</v>
      </c>
      <c r="BP89" s="417">
        <f>M89+AO89</f>
        <v>0</v>
      </c>
      <c r="BQ89" s="417">
        <f t="shared" ref="BQ89:BR91" si="158">N89+AM89</f>
        <v>0</v>
      </c>
      <c r="BR89" s="417">
        <f t="shared" si="158"/>
        <v>0</v>
      </c>
      <c r="BS89" s="417">
        <f t="shared" ref="BS89:BT91" si="159">P89+AS89</f>
        <v>1273554</v>
      </c>
      <c r="BT89" s="417">
        <f t="shared" si="159"/>
        <v>37679</v>
      </c>
      <c r="BU89" s="417">
        <f>R89+AX89</f>
        <v>22400</v>
      </c>
      <c r="BV89" s="418">
        <f>S89+BK89</f>
        <v>7.5363000000000007</v>
      </c>
      <c r="BW89" s="418">
        <f t="shared" ref="BW89:BX91" si="160">T89+BI89</f>
        <v>5.8871000000000002</v>
      </c>
      <c r="BX89" s="420">
        <f t="shared" si="160"/>
        <v>1.6492</v>
      </c>
      <c r="BY89" s="994"/>
      <c r="BZ89" s="595"/>
      <c r="CA89" s="595"/>
      <c r="CB89" s="595"/>
      <c r="CC89" s="595"/>
      <c r="CD89" s="981"/>
      <c r="CE89" s="994">
        <v>219336</v>
      </c>
      <c r="CF89" s="595">
        <v>157187</v>
      </c>
      <c r="CG89" s="595">
        <v>53129</v>
      </c>
      <c r="CH89" s="595">
        <v>1572</v>
      </c>
      <c r="CI89" s="595">
        <v>7448</v>
      </c>
      <c r="CJ89" s="981">
        <v>0.5292</v>
      </c>
    </row>
    <row r="90" spans="1:88" ht="12.95" customHeight="1">
      <c r="A90" s="280">
        <v>15</v>
      </c>
      <c r="B90" s="321">
        <v>5418</v>
      </c>
      <c r="C90" s="322">
        <v>600098508</v>
      </c>
      <c r="D90" s="281">
        <v>70156573</v>
      </c>
      <c r="E90" s="323" t="s">
        <v>377</v>
      </c>
      <c r="F90" s="281">
        <v>3111</v>
      </c>
      <c r="G90" s="323" t="s">
        <v>298</v>
      </c>
      <c r="H90" s="284" t="s">
        <v>272</v>
      </c>
      <c r="I90" s="419">
        <v>897863</v>
      </c>
      <c r="J90" s="414">
        <v>666070</v>
      </c>
      <c r="K90" s="414">
        <v>666070</v>
      </c>
      <c r="L90" s="414">
        <v>0</v>
      </c>
      <c r="M90" s="414">
        <v>0</v>
      </c>
      <c r="N90" s="414">
        <v>0</v>
      </c>
      <c r="O90" s="414">
        <v>0</v>
      </c>
      <c r="P90" s="68">
        <v>225132</v>
      </c>
      <c r="Q90" s="68">
        <v>6661</v>
      </c>
      <c r="R90" s="414">
        <v>0</v>
      </c>
      <c r="S90" s="415">
        <v>1.8</v>
      </c>
      <c r="T90" s="416">
        <v>1.8</v>
      </c>
      <c r="U90" s="422">
        <v>0</v>
      </c>
      <c r="V90" s="423">
        <f t="shared" si="126"/>
        <v>0</v>
      </c>
      <c r="W90" s="417">
        <f t="shared" si="126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27"/>
        <v>0</v>
      </c>
      <c r="AF90" s="417">
        <f t="shared" si="128"/>
        <v>0</v>
      </c>
      <c r="AG90" s="417">
        <f t="shared" si="129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30"/>
        <v>0</v>
      </c>
      <c r="AN90" s="417">
        <f t="shared" si="131"/>
        <v>0</v>
      </c>
      <c r="AO90" s="417">
        <f t="shared" si="132"/>
        <v>0</v>
      </c>
      <c r="AP90" s="417">
        <f t="shared" si="133"/>
        <v>0</v>
      </c>
      <c r="AQ90" s="417">
        <f t="shared" si="133"/>
        <v>0</v>
      </c>
      <c r="AR90" s="417">
        <f t="shared" si="134"/>
        <v>0</v>
      </c>
      <c r="AS90" s="68">
        <f t="shared" si="135"/>
        <v>0</v>
      </c>
      <c r="AT90" s="68">
        <f t="shared" si="136"/>
        <v>0</v>
      </c>
      <c r="AU90" s="417">
        <v>0</v>
      </c>
      <c r="AV90" s="417">
        <v>0</v>
      </c>
      <c r="AW90" s="417">
        <v>0</v>
      </c>
      <c r="AX90" s="417">
        <f t="shared" si="137"/>
        <v>0</v>
      </c>
      <c r="AY90" s="417">
        <f t="shared" si="138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39"/>
        <v>0</v>
      </c>
      <c r="BJ90" s="418">
        <f t="shared" si="140"/>
        <v>0</v>
      </c>
      <c r="BK90" s="420">
        <f t="shared" si="141"/>
        <v>0</v>
      </c>
      <c r="BL90" s="772">
        <f>I90+AY90</f>
        <v>897863</v>
      </c>
      <c r="BM90" s="417">
        <f>J90+AG90</f>
        <v>666070</v>
      </c>
      <c r="BN90" s="417">
        <f t="shared" si="157"/>
        <v>666070</v>
      </c>
      <c r="BO90" s="417">
        <f t="shared" si="157"/>
        <v>0</v>
      </c>
      <c r="BP90" s="417">
        <f>M90+AO90</f>
        <v>0</v>
      </c>
      <c r="BQ90" s="417">
        <f t="shared" si="158"/>
        <v>0</v>
      </c>
      <c r="BR90" s="417">
        <f t="shared" si="158"/>
        <v>0</v>
      </c>
      <c r="BS90" s="417">
        <f t="shared" si="159"/>
        <v>225132</v>
      </c>
      <c r="BT90" s="417">
        <f t="shared" si="159"/>
        <v>6661</v>
      </c>
      <c r="BU90" s="417">
        <f>R90+AX90</f>
        <v>0</v>
      </c>
      <c r="BV90" s="418">
        <f>S90+BK90</f>
        <v>1.8</v>
      </c>
      <c r="BW90" s="418">
        <f t="shared" si="160"/>
        <v>1.8</v>
      </c>
      <c r="BX90" s="420">
        <f t="shared" si="160"/>
        <v>0</v>
      </c>
      <c r="BY90" s="994"/>
      <c r="BZ90" s="595"/>
      <c r="CA90" s="595"/>
      <c r="CB90" s="595"/>
      <c r="CC90" s="595"/>
      <c r="CD90" s="981"/>
      <c r="CE90" s="994"/>
      <c r="CF90" s="595"/>
      <c r="CG90" s="595"/>
      <c r="CH90" s="595"/>
      <c r="CI90" s="595"/>
      <c r="CJ90" s="981"/>
    </row>
    <row r="91" spans="1:88" ht="12.95" customHeight="1">
      <c r="A91" s="280">
        <v>15</v>
      </c>
      <c r="B91" s="321">
        <v>5418</v>
      </c>
      <c r="C91" s="322">
        <v>600098508</v>
      </c>
      <c r="D91" s="281">
        <v>70156573</v>
      </c>
      <c r="E91" s="323" t="s">
        <v>377</v>
      </c>
      <c r="F91" s="281">
        <v>3141</v>
      </c>
      <c r="G91" s="323" t="s">
        <v>294</v>
      </c>
      <c r="H91" s="284" t="s">
        <v>272</v>
      </c>
      <c r="I91" s="419">
        <v>751459</v>
      </c>
      <c r="J91" s="414">
        <v>555302</v>
      </c>
      <c r="K91" s="414">
        <v>0</v>
      </c>
      <c r="L91" s="414">
        <v>555302</v>
      </c>
      <c r="M91" s="414">
        <v>0</v>
      </c>
      <c r="N91" s="414">
        <v>0</v>
      </c>
      <c r="O91" s="414">
        <v>0</v>
      </c>
      <c r="P91" s="68">
        <v>187692</v>
      </c>
      <c r="Q91" s="68">
        <v>5553</v>
      </c>
      <c r="R91" s="414">
        <v>2912</v>
      </c>
      <c r="S91" s="415">
        <v>1.6733</v>
      </c>
      <c r="T91" s="416">
        <v>0</v>
      </c>
      <c r="U91" s="422">
        <v>1.6733</v>
      </c>
      <c r="V91" s="423">
        <f t="shared" si="126"/>
        <v>0</v>
      </c>
      <c r="W91" s="417">
        <f t="shared" si="126"/>
        <v>0</v>
      </c>
      <c r="X91" s="417">
        <v>0</v>
      </c>
      <c r="Y91" s="417">
        <v>0</v>
      </c>
      <c r="Z91" s="417">
        <v>0</v>
      </c>
      <c r="AA91" s="417">
        <v>2225</v>
      </c>
      <c r="AB91" s="417">
        <v>0</v>
      </c>
      <c r="AC91" s="417">
        <v>0</v>
      </c>
      <c r="AD91" s="417">
        <v>0</v>
      </c>
      <c r="AE91" s="417">
        <f t="shared" si="127"/>
        <v>0</v>
      </c>
      <c r="AF91" s="417">
        <f t="shared" si="128"/>
        <v>2225</v>
      </c>
      <c r="AG91" s="417">
        <f t="shared" si="129"/>
        <v>2225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30"/>
        <v>0</v>
      </c>
      <c r="AN91" s="417">
        <f t="shared" si="131"/>
        <v>0</v>
      </c>
      <c r="AO91" s="417">
        <f t="shared" si="132"/>
        <v>0</v>
      </c>
      <c r="AP91" s="417">
        <f t="shared" si="133"/>
        <v>0</v>
      </c>
      <c r="AQ91" s="417">
        <f t="shared" si="133"/>
        <v>2225</v>
      </c>
      <c r="AR91" s="417">
        <f t="shared" si="134"/>
        <v>2225</v>
      </c>
      <c r="AS91" s="68">
        <f t="shared" si="135"/>
        <v>752</v>
      </c>
      <c r="AT91" s="68">
        <f t="shared" si="136"/>
        <v>22</v>
      </c>
      <c r="AU91" s="417">
        <v>0</v>
      </c>
      <c r="AV91" s="417">
        <v>0</v>
      </c>
      <c r="AW91" s="417">
        <v>0</v>
      </c>
      <c r="AX91" s="417">
        <f t="shared" si="137"/>
        <v>0</v>
      </c>
      <c r="AY91" s="417">
        <f t="shared" si="138"/>
        <v>2999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39"/>
        <v>0</v>
      </c>
      <c r="BJ91" s="418">
        <f t="shared" si="140"/>
        <v>0</v>
      </c>
      <c r="BK91" s="420">
        <f t="shared" si="141"/>
        <v>0</v>
      </c>
      <c r="BL91" s="772">
        <f>I91+AY91</f>
        <v>754458</v>
      </c>
      <c r="BM91" s="417">
        <f>J91+AG91</f>
        <v>557527</v>
      </c>
      <c r="BN91" s="417">
        <f t="shared" si="157"/>
        <v>0</v>
      </c>
      <c r="BO91" s="417">
        <f t="shared" si="157"/>
        <v>557527</v>
      </c>
      <c r="BP91" s="417">
        <f>M91+AO91</f>
        <v>0</v>
      </c>
      <c r="BQ91" s="417">
        <f t="shared" si="158"/>
        <v>0</v>
      </c>
      <c r="BR91" s="417">
        <f t="shared" si="158"/>
        <v>0</v>
      </c>
      <c r="BS91" s="417">
        <f t="shared" si="159"/>
        <v>188444</v>
      </c>
      <c r="BT91" s="417">
        <f t="shared" si="159"/>
        <v>5575</v>
      </c>
      <c r="BU91" s="417">
        <f>R91+AX91</f>
        <v>2912</v>
      </c>
      <c r="BV91" s="418">
        <f>S91+BK91</f>
        <v>1.6733</v>
      </c>
      <c r="BW91" s="418">
        <f t="shared" si="160"/>
        <v>0</v>
      </c>
      <c r="BX91" s="420">
        <f t="shared" si="160"/>
        <v>1.6733</v>
      </c>
      <c r="BY91" s="994"/>
      <c r="BZ91" s="595"/>
      <c r="CA91" s="595"/>
      <c r="CB91" s="595"/>
      <c r="CC91" s="595"/>
      <c r="CD91" s="981"/>
      <c r="CE91" s="994"/>
      <c r="CF91" s="595"/>
      <c r="CG91" s="595"/>
      <c r="CH91" s="595"/>
      <c r="CI91" s="595"/>
      <c r="CJ91" s="981"/>
    </row>
    <row r="92" spans="1:88" ht="12.95" customHeight="1">
      <c r="A92" s="324">
        <v>15</v>
      </c>
      <c r="B92" s="325">
        <v>5418</v>
      </c>
      <c r="C92" s="326">
        <v>600098508</v>
      </c>
      <c r="D92" s="325">
        <v>70156573</v>
      </c>
      <c r="E92" s="327" t="s">
        <v>378</v>
      </c>
      <c r="F92" s="291"/>
      <c r="G92" s="329"/>
      <c r="H92" s="292"/>
      <c r="I92" s="471">
        <v>6750866</v>
      </c>
      <c r="J92" s="467">
        <v>4989283</v>
      </c>
      <c r="K92" s="467">
        <v>3944125</v>
      </c>
      <c r="L92" s="467">
        <v>1045158</v>
      </c>
      <c r="M92" s="467">
        <v>0</v>
      </c>
      <c r="N92" s="467">
        <v>0</v>
      </c>
      <c r="O92" s="467">
        <v>0</v>
      </c>
      <c r="P92" s="467">
        <v>1686378</v>
      </c>
      <c r="Q92" s="467">
        <v>49893</v>
      </c>
      <c r="R92" s="467">
        <v>25312</v>
      </c>
      <c r="S92" s="468">
        <v>11.009600000000001</v>
      </c>
      <c r="T92" s="468">
        <v>7.6871</v>
      </c>
      <c r="U92" s="531">
        <v>3.3224999999999998</v>
      </c>
      <c r="V92" s="471">
        <f t="shared" ref="V92:BK92" si="161">SUM(V89:V91)</f>
        <v>0</v>
      </c>
      <c r="W92" s="467">
        <f t="shared" si="161"/>
        <v>0</v>
      </c>
      <c r="X92" s="467">
        <f t="shared" si="161"/>
        <v>0</v>
      </c>
      <c r="Y92" s="467">
        <f t="shared" si="161"/>
        <v>0</v>
      </c>
      <c r="Z92" s="467">
        <f t="shared" si="161"/>
        <v>0</v>
      </c>
      <c r="AA92" s="467">
        <f t="shared" si="161"/>
        <v>2225</v>
      </c>
      <c r="AB92" s="467">
        <f t="shared" si="161"/>
        <v>0</v>
      </c>
      <c r="AC92" s="467">
        <f t="shared" si="161"/>
        <v>0</v>
      </c>
      <c r="AD92" s="467">
        <f t="shared" si="161"/>
        <v>0</v>
      </c>
      <c r="AE92" s="467">
        <f t="shared" si="161"/>
        <v>0</v>
      </c>
      <c r="AF92" s="467">
        <f t="shared" si="161"/>
        <v>2225</v>
      </c>
      <c r="AG92" s="467">
        <f t="shared" si="161"/>
        <v>2225</v>
      </c>
      <c r="AH92" s="467">
        <f t="shared" si="161"/>
        <v>0</v>
      </c>
      <c r="AI92" s="467">
        <f t="shared" si="161"/>
        <v>0</v>
      </c>
      <c r="AJ92" s="467">
        <f t="shared" si="161"/>
        <v>0</v>
      </c>
      <c r="AK92" s="467">
        <f t="shared" si="161"/>
        <v>0</v>
      </c>
      <c r="AL92" s="467">
        <f t="shared" si="161"/>
        <v>0</v>
      </c>
      <c r="AM92" s="467">
        <f t="shared" si="161"/>
        <v>0</v>
      </c>
      <c r="AN92" s="467">
        <f t="shared" si="161"/>
        <v>0</v>
      </c>
      <c r="AO92" s="467">
        <f t="shared" si="161"/>
        <v>0</v>
      </c>
      <c r="AP92" s="467">
        <f t="shared" si="161"/>
        <v>0</v>
      </c>
      <c r="AQ92" s="467">
        <f t="shared" si="161"/>
        <v>2225</v>
      </c>
      <c r="AR92" s="467">
        <f t="shared" si="161"/>
        <v>2225</v>
      </c>
      <c r="AS92" s="467">
        <f t="shared" si="161"/>
        <v>752</v>
      </c>
      <c r="AT92" s="467">
        <f t="shared" si="161"/>
        <v>22</v>
      </c>
      <c r="AU92" s="467">
        <f t="shared" si="161"/>
        <v>0</v>
      </c>
      <c r="AV92" s="467">
        <f t="shared" si="161"/>
        <v>0</v>
      </c>
      <c r="AW92" s="467">
        <f t="shared" si="161"/>
        <v>0</v>
      </c>
      <c r="AX92" s="467">
        <f t="shared" si="161"/>
        <v>0</v>
      </c>
      <c r="AY92" s="467">
        <f t="shared" si="161"/>
        <v>2999</v>
      </c>
      <c r="AZ92" s="468">
        <f t="shared" si="161"/>
        <v>0</v>
      </c>
      <c r="BA92" s="468">
        <f t="shared" si="161"/>
        <v>0</v>
      </c>
      <c r="BB92" s="468">
        <f t="shared" si="161"/>
        <v>0</v>
      </c>
      <c r="BC92" s="468">
        <f t="shared" si="161"/>
        <v>0</v>
      </c>
      <c r="BD92" s="468">
        <f t="shared" si="161"/>
        <v>0</v>
      </c>
      <c r="BE92" s="468">
        <f t="shared" si="161"/>
        <v>0</v>
      </c>
      <c r="BF92" s="468">
        <f t="shared" si="161"/>
        <v>0</v>
      </c>
      <c r="BG92" s="468">
        <f t="shared" si="161"/>
        <v>0</v>
      </c>
      <c r="BH92" s="468">
        <f t="shared" si="161"/>
        <v>0</v>
      </c>
      <c r="BI92" s="468">
        <f t="shared" si="161"/>
        <v>0</v>
      </c>
      <c r="BJ92" s="468">
        <f t="shared" si="161"/>
        <v>0</v>
      </c>
      <c r="BK92" s="328">
        <f t="shared" si="161"/>
        <v>0</v>
      </c>
      <c r="BL92" s="774">
        <f t="shared" ref="BL92:CG92" si="162">SUM(BL89:BL91)</f>
        <v>6753865</v>
      </c>
      <c r="BM92" s="467">
        <f t="shared" si="162"/>
        <v>4991508</v>
      </c>
      <c r="BN92" s="467">
        <f t="shared" si="162"/>
        <v>3944125</v>
      </c>
      <c r="BO92" s="467">
        <f t="shared" si="162"/>
        <v>1047383</v>
      </c>
      <c r="BP92" s="467">
        <f t="shared" si="162"/>
        <v>0</v>
      </c>
      <c r="BQ92" s="467">
        <f t="shared" si="162"/>
        <v>0</v>
      </c>
      <c r="BR92" s="467">
        <f t="shared" si="162"/>
        <v>0</v>
      </c>
      <c r="BS92" s="467">
        <f t="shared" si="162"/>
        <v>1687130</v>
      </c>
      <c r="BT92" s="467">
        <f t="shared" si="162"/>
        <v>49915</v>
      </c>
      <c r="BU92" s="467">
        <f t="shared" si="162"/>
        <v>25312</v>
      </c>
      <c r="BV92" s="468">
        <f t="shared" si="162"/>
        <v>11.009600000000001</v>
      </c>
      <c r="BW92" s="468">
        <f t="shared" si="162"/>
        <v>7.6871</v>
      </c>
      <c r="BX92" s="328">
        <f t="shared" si="162"/>
        <v>3.3224999999999998</v>
      </c>
      <c r="BY92" s="838">
        <f t="shared" si="162"/>
        <v>0</v>
      </c>
      <c r="BZ92" s="721">
        <f t="shared" si="162"/>
        <v>0</v>
      </c>
      <c r="CA92" s="721">
        <f t="shared" si="162"/>
        <v>0</v>
      </c>
      <c r="CB92" s="721">
        <f t="shared" si="162"/>
        <v>0</v>
      </c>
      <c r="CC92" s="721">
        <f t="shared" si="162"/>
        <v>0</v>
      </c>
      <c r="CD92" s="826">
        <f t="shared" si="162"/>
        <v>0</v>
      </c>
      <c r="CE92" s="995">
        <f t="shared" si="162"/>
        <v>219336</v>
      </c>
      <c r="CF92" s="995">
        <f t="shared" si="162"/>
        <v>157187</v>
      </c>
      <c r="CG92" s="995">
        <f t="shared" si="162"/>
        <v>53129</v>
      </c>
      <c r="CH92" s="995">
        <f t="shared" ref="CH92:CJ92" si="163">SUM(CH89:CH91)</f>
        <v>1572</v>
      </c>
      <c r="CI92" s="995">
        <f t="shared" si="163"/>
        <v>7448</v>
      </c>
      <c r="CJ92" s="933">
        <f t="shared" si="163"/>
        <v>0.5292</v>
      </c>
    </row>
    <row r="93" spans="1:88" ht="12.95" customHeight="1">
      <c r="A93" s="280">
        <v>16</v>
      </c>
      <c r="B93" s="321">
        <v>5417</v>
      </c>
      <c r="C93" s="322">
        <v>600099113</v>
      </c>
      <c r="D93" s="281">
        <v>70156565</v>
      </c>
      <c r="E93" s="323" t="s">
        <v>379</v>
      </c>
      <c r="F93" s="281">
        <v>3117</v>
      </c>
      <c r="G93" s="323" t="s">
        <v>293</v>
      </c>
      <c r="H93" s="284" t="s">
        <v>271</v>
      </c>
      <c r="I93" s="419">
        <v>6053149</v>
      </c>
      <c r="J93" s="414">
        <v>4385266</v>
      </c>
      <c r="K93" s="414">
        <v>3752298</v>
      </c>
      <c r="L93" s="414">
        <v>632968</v>
      </c>
      <c r="M93" s="414">
        <v>20000</v>
      </c>
      <c r="N93" s="414">
        <v>20000</v>
      </c>
      <c r="O93" s="414">
        <v>0</v>
      </c>
      <c r="P93" s="68">
        <v>1488980</v>
      </c>
      <c r="Q93" s="68">
        <v>43853</v>
      </c>
      <c r="R93" s="414">
        <v>115050</v>
      </c>
      <c r="S93" s="415">
        <v>7.6270000000000007</v>
      </c>
      <c r="T93" s="416">
        <v>5.9089</v>
      </c>
      <c r="U93" s="422">
        <v>1.7181000000000002</v>
      </c>
      <c r="V93" s="423">
        <f t="shared" si="126"/>
        <v>20000</v>
      </c>
      <c r="W93" s="417">
        <f t="shared" si="126"/>
        <v>-6000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27"/>
        <v>20000</v>
      </c>
      <c r="AF93" s="417">
        <f t="shared" si="128"/>
        <v>-6000</v>
      </c>
      <c r="AG93" s="417">
        <f t="shared" si="129"/>
        <v>14000</v>
      </c>
      <c r="AH93" s="417">
        <v>-20000</v>
      </c>
      <c r="AI93" s="417">
        <v>6000</v>
      </c>
      <c r="AJ93" s="417">
        <v>0</v>
      </c>
      <c r="AK93" s="417">
        <v>0</v>
      </c>
      <c r="AL93" s="417">
        <v>0</v>
      </c>
      <c r="AM93" s="417">
        <v>4000</v>
      </c>
      <c r="AN93" s="417">
        <f t="shared" si="131"/>
        <v>6000</v>
      </c>
      <c r="AO93" s="417">
        <f t="shared" si="132"/>
        <v>10000</v>
      </c>
      <c r="AP93" s="417">
        <f t="shared" si="133"/>
        <v>24000</v>
      </c>
      <c r="AQ93" s="417">
        <f t="shared" si="133"/>
        <v>0</v>
      </c>
      <c r="AR93" s="417">
        <f t="shared" si="134"/>
        <v>24000</v>
      </c>
      <c r="AS93" s="68">
        <f t="shared" si="135"/>
        <v>0</v>
      </c>
      <c r="AT93" s="68">
        <f t="shared" si="136"/>
        <v>140</v>
      </c>
      <c r="AU93" s="417">
        <v>0</v>
      </c>
      <c r="AV93" s="417">
        <v>0</v>
      </c>
      <c r="AW93" s="417">
        <v>0</v>
      </c>
      <c r="AX93" s="417">
        <f t="shared" si="137"/>
        <v>0</v>
      </c>
      <c r="AY93" s="417">
        <f t="shared" si="138"/>
        <v>24140</v>
      </c>
      <c r="AZ93" s="418">
        <v>-0.03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39"/>
        <v>-0.03</v>
      </c>
      <c r="BJ93" s="418">
        <f t="shared" si="140"/>
        <v>0</v>
      </c>
      <c r="BK93" s="420">
        <f t="shared" si="141"/>
        <v>-0.03</v>
      </c>
      <c r="BL93" s="772">
        <f>I93+AY93</f>
        <v>6077289</v>
      </c>
      <c r="BM93" s="417">
        <f>J93+AG93</f>
        <v>4399266</v>
      </c>
      <c r="BN93" s="417">
        <f t="shared" ref="BN93:BO97" si="164">K93+AE93</f>
        <v>3772298</v>
      </c>
      <c r="BO93" s="417">
        <f t="shared" si="164"/>
        <v>626968</v>
      </c>
      <c r="BP93" s="417">
        <f>M93+AO93</f>
        <v>30000</v>
      </c>
      <c r="BQ93" s="417">
        <f t="shared" ref="BQ93:BR97" si="165">N93+AM93</f>
        <v>24000</v>
      </c>
      <c r="BR93" s="417">
        <f t="shared" si="165"/>
        <v>6000</v>
      </c>
      <c r="BS93" s="417">
        <f t="shared" ref="BS93:BT97" si="166">P93+AS93</f>
        <v>1488980</v>
      </c>
      <c r="BT93" s="417">
        <f t="shared" si="166"/>
        <v>43993</v>
      </c>
      <c r="BU93" s="417">
        <f>R93+AX93</f>
        <v>115050</v>
      </c>
      <c r="BV93" s="418">
        <f>S93+BK93</f>
        <v>7.5970000000000004</v>
      </c>
      <c r="BW93" s="418">
        <f t="shared" ref="BW93:BX97" si="167">T93+BI93</f>
        <v>5.8788999999999998</v>
      </c>
      <c r="BX93" s="420">
        <f t="shared" si="167"/>
        <v>1.7181000000000002</v>
      </c>
      <c r="BY93" s="994"/>
      <c r="BZ93" s="595"/>
      <c r="CA93" s="595"/>
      <c r="CB93" s="595"/>
      <c r="CC93" s="595"/>
      <c r="CD93" s="981"/>
      <c r="CE93" s="994">
        <v>293919</v>
      </c>
      <c r="CF93" s="595">
        <v>203112</v>
      </c>
      <c r="CG93" s="595">
        <v>68652</v>
      </c>
      <c r="CH93" s="595">
        <v>2031</v>
      </c>
      <c r="CI93" s="595">
        <v>20124</v>
      </c>
      <c r="CJ93" s="981">
        <v>0.55130000000000001</v>
      </c>
    </row>
    <row r="94" spans="1:88" ht="12.95" customHeight="1">
      <c r="A94" s="280">
        <v>16</v>
      </c>
      <c r="B94" s="321">
        <v>5417</v>
      </c>
      <c r="C94" s="322">
        <v>600099113</v>
      </c>
      <c r="D94" s="281">
        <v>70156565</v>
      </c>
      <c r="E94" s="323" t="s">
        <v>379</v>
      </c>
      <c r="F94" s="281">
        <v>3117</v>
      </c>
      <c r="G94" s="323" t="s">
        <v>298</v>
      </c>
      <c r="H94" s="284" t="s">
        <v>272</v>
      </c>
      <c r="I94" s="419">
        <v>388777</v>
      </c>
      <c r="J94" s="414">
        <v>288410</v>
      </c>
      <c r="K94" s="414">
        <v>288410</v>
      </c>
      <c r="L94" s="414">
        <v>0</v>
      </c>
      <c r="M94" s="414">
        <v>0</v>
      </c>
      <c r="N94" s="414">
        <v>0</v>
      </c>
      <c r="O94" s="414">
        <v>0</v>
      </c>
      <c r="P94" s="68">
        <v>97483</v>
      </c>
      <c r="Q94" s="68">
        <v>2884</v>
      </c>
      <c r="R94" s="414">
        <v>0</v>
      </c>
      <c r="S94" s="415">
        <v>0.78</v>
      </c>
      <c r="T94" s="416">
        <v>0.78</v>
      </c>
      <c r="U94" s="422">
        <v>0</v>
      </c>
      <c r="V94" s="423">
        <f t="shared" si="126"/>
        <v>0</v>
      </c>
      <c r="W94" s="417">
        <f t="shared" si="126"/>
        <v>0</v>
      </c>
      <c r="X94" s="417">
        <v>69525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27"/>
        <v>69525</v>
      </c>
      <c r="AF94" s="417">
        <f t="shared" si="128"/>
        <v>0</v>
      </c>
      <c r="AG94" s="417">
        <f t="shared" si="129"/>
        <v>69525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30"/>
        <v>0</v>
      </c>
      <c r="AN94" s="417">
        <f t="shared" si="131"/>
        <v>0</v>
      </c>
      <c r="AO94" s="417">
        <f t="shared" si="132"/>
        <v>0</v>
      </c>
      <c r="AP94" s="417">
        <f t="shared" si="133"/>
        <v>69525</v>
      </c>
      <c r="AQ94" s="417">
        <f t="shared" si="133"/>
        <v>0</v>
      </c>
      <c r="AR94" s="417">
        <f t="shared" si="134"/>
        <v>69525</v>
      </c>
      <c r="AS94" s="68">
        <f t="shared" si="135"/>
        <v>23499</v>
      </c>
      <c r="AT94" s="68">
        <f t="shared" si="136"/>
        <v>695</v>
      </c>
      <c r="AU94" s="417">
        <v>0</v>
      </c>
      <c r="AV94" s="417">
        <v>0</v>
      </c>
      <c r="AW94" s="417">
        <v>0</v>
      </c>
      <c r="AX94" s="417">
        <f t="shared" si="137"/>
        <v>0</v>
      </c>
      <c r="AY94" s="417">
        <f t="shared" si="138"/>
        <v>93719</v>
      </c>
      <c r="AZ94" s="418">
        <v>0</v>
      </c>
      <c r="BA94" s="418">
        <v>0</v>
      </c>
      <c r="BB94" s="418">
        <v>0.19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39"/>
        <v>0.19</v>
      </c>
      <c r="BJ94" s="418">
        <f t="shared" si="140"/>
        <v>0</v>
      </c>
      <c r="BK94" s="420">
        <f t="shared" si="141"/>
        <v>0.19</v>
      </c>
      <c r="BL94" s="772">
        <f>I94+AY94</f>
        <v>482496</v>
      </c>
      <c r="BM94" s="417">
        <f>J94+AG94</f>
        <v>357935</v>
      </c>
      <c r="BN94" s="417">
        <f t="shared" si="164"/>
        <v>357935</v>
      </c>
      <c r="BO94" s="417">
        <f t="shared" si="164"/>
        <v>0</v>
      </c>
      <c r="BP94" s="417">
        <f>M94+AO94</f>
        <v>0</v>
      </c>
      <c r="BQ94" s="417">
        <f t="shared" si="165"/>
        <v>0</v>
      </c>
      <c r="BR94" s="417">
        <f t="shared" si="165"/>
        <v>0</v>
      </c>
      <c r="BS94" s="417">
        <f t="shared" si="166"/>
        <v>120982</v>
      </c>
      <c r="BT94" s="417">
        <f t="shared" si="166"/>
        <v>3579</v>
      </c>
      <c r="BU94" s="417">
        <f>R94+AX94</f>
        <v>0</v>
      </c>
      <c r="BV94" s="418">
        <f>S94+BK94</f>
        <v>0.97</v>
      </c>
      <c r="BW94" s="418">
        <f t="shared" si="167"/>
        <v>0.97</v>
      </c>
      <c r="BX94" s="420">
        <f t="shared" si="167"/>
        <v>0</v>
      </c>
      <c r="BY94" s="994"/>
      <c r="BZ94" s="595"/>
      <c r="CA94" s="595"/>
      <c r="CB94" s="595"/>
      <c r="CC94" s="595"/>
      <c r="CD94" s="981"/>
      <c r="CE94" s="994"/>
      <c r="CF94" s="595"/>
      <c r="CG94" s="595"/>
      <c r="CH94" s="595"/>
      <c r="CI94" s="595"/>
      <c r="CJ94" s="981"/>
    </row>
    <row r="95" spans="1:88" ht="12.95" customHeight="1">
      <c r="A95" s="280">
        <v>16</v>
      </c>
      <c r="B95" s="321">
        <v>5417</v>
      </c>
      <c r="C95" s="322">
        <v>600099113</v>
      </c>
      <c r="D95" s="281">
        <v>70156565</v>
      </c>
      <c r="E95" s="323" t="s">
        <v>379</v>
      </c>
      <c r="F95" s="281">
        <v>3141</v>
      </c>
      <c r="G95" s="323" t="s">
        <v>294</v>
      </c>
      <c r="H95" s="284" t="s">
        <v>272</v>
      </c>
      <c r="I95" s="419">
        <v>739256</v>
      </c>
      <c r="J95" s="414">
        <v>510660</v>
      </c>
      <c r="K95" s="414">
        <v>0</v>
      </c>
      <c r="L95" s="414">
        <v>510660</v>
      </c>
      <c r="M95" s="414">
        <v>35000</v>
      </c>
      <c r="N95" s="414">
        <v>0</v>
      </c>
      <c r="O95" s="414">
        <v>35000</v>
      </c>
      <c r="P95" s="68">
        <v>184433</v>
      </c>
      <c r="Q95" s="68">
        <v>5107</v>
      </c>
      <c r="R95" s="414">
        <v>4056</v>
      </c>
      <c r="S95" s="415">
        <v>1.5332999999999999</v>
      </c>
      <c r="T95" s="416">
        <v>0</v>
      </c>
      <c r="U95" s="422">
        <v>1.5332999999999999</v>
      </c>
      <c r="V95" s="423">
        <f t="shared" si="126"/>
        <v>0</v>
      </c>
      <c r="W95" s="417">
        <f t="shared" si="126"/>
        <v>-10000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27"/>
        <v>0</v>
      </c>
      <c r="AF95" s="417">
        <f t="shared" si="128"/>
        <v>-10000</v>
      </c>
      <c r="AG95" s="417">
        <f t="shared" si="129"/>
        <v>-10000</v>
      </c>
      <c r="AH95" s="417">
        <v>0</v>
      </c>
      <c r="AI95" s="417">
        <v>10000</v>
      </c>
      <c r="AJ95" s="417">
        <v>0</v>
      </c>
      <c r="AK95" s="417">
        <v>0</v>
      </c>
      <c r="AL95" s="417">
        <v>0</v>
      </c>
      <c r="AM95" s="417">
        <f t="shared" si="130"/>
        <v>0</v>
      </c>
      <c r="AN95" s="417">
        <v>0</v>
      </c>
      <c r="AO95" s="417">
        <f t="shared" si="132"/>
        <v>0</v>
      </c>
      <c r="AP95" s="417">
        <f t="shared" si="133"/>
        <v>0</v>
      </c>
      <c r="AQ95" s="417">
        <f t="shared" si="133"/>
        <v>-10000</v>
      </c>
      <c r="AR95" s="417">
        <f t="shared" si="134"/>
        <v>-10000</v>
      </c>
      <c r="AS95" s="68">
        <f t="shared" si="135"/>
        <v>0</v>
      </c>
      <c r="AT95" s="68">
        <f t="shared" si="136"/>
        <v>-100</v>
      </c>
      <c r="AU95" s="417">
        <v>0</v>
      </c>
      <c r="AV95" s="417">
        <v>0</v>
      </c>
      <c r="AW95" s="417">
        <v>0</v>
      </c>
      <c r="AX95" s="417">
        <f t="shared" si="137"/>
        <v>0</v>
      </c>
      <c r="AY95" s="417">
        <f t="shared" si="138"/>
        <v>-10100</v>
      </c>
      <c r="AZ95" s="418">
        <v>0</v>
      </c>
      <c r="BA95" s="418">
        <v>-0.03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39"/>
        <v>0</v>
      </c>
      <c r="BJ95" s="418">
        <f t="shared" si="140"/>
        <v>-0.03</v>
      </c>
      <c r="BK95" s="420">
        <f t="shared" si="141"/>
        <v>-0.03</v>
      </c>
      <c r="BL95" s="772">
        <f>I95+AY95</f>
        <v>729156</v>
      </c>
      <c r="BM95" s="417">
        <f>J95+AG95</f>
        <v>500660</v>
      </c>
      <c r="BN95" s="417">
        <f t="shared" si="164"/>
        <v>0</v>
      </c>
      <c r="BO95" s="417">
        <f t="shared" si="164"/>
        <v>500660</v>
      </c>
      <c r="BP95" s="417">
        <f>M95+AO95</f>
        <v>35000</v>
      </c>
      <c r="BQ95" s="417">
        <f t="shared" si="165"/>
        <v>0</v>
      </c>
      <c r="BR95" s="417">
        <f t="shared" si="165"/>
        <v>35000</v>
      </c>
      <c r="BS95" s="417">
        <f t="shared" si="166"/>
        <v>184433</v>
      </c>
      <c r="BT95" s="417">
        <f t="shared" si="166"/>
        <v>5007</v>
      </c>
      <c r="BU95" s="417">
        <f>R95+AX95</f>
        <v>4056</v>
      </c>
      <c r="BV95" s="418">
        <f>S95+BK95</f>
        <v>1.5032999999999999</v>
      </c>
      <c r="BW95" s="418">
        <f t="shared" si="167"/>
        <v>0</v>
      </c>
      <c r="BX95" s="420">
        <f t="shared" si="167"/>
        <v>1.5032999999999999</v>
      </c>
      <c r="BY95" s="994"/>
      <c r="BZ95" s="595"/>
      <c r="CA95" s="595"/>
      <c r="CB95" s="595"/>
      <c r="CC95" s="595"/>
      <c r="CD95" s="981"/>
      <c r="CE95" s="994"/>
      <c r="CF95" s="595"/>
      <c r="CG95" s="595"/>
      <c r="CH95" s="595"/>
      <c r="CI95" s="595"/>
      <c r="CJ95" s="981"/>
    </row>
    <row r="96" spans="1:88" ht="12.95" customHeight="1">
      <c r="A96" s="280">
        <v>16</v>
      </c>
      <c r="B96" s="321">
        <v>5417</v>
      </c>
      <c r="C96" s="322">
        <v>600099113</v>
      </c>
      <c r="D96" s="281">
        <v>70156565</v>
      </c>
      <c r="E96" s="323" t="s">
        <v>379</v>
      </c>
      <c r="F96" s="281">
        <v>3143</v>
      </c>
      <c r="G96" s="323" t="s">
        <v>595</v>
      </c>
      <c r="H96" s="284" t="s">
        <v>271</v>
      </c>
      <c r="I96" s="419">
        <v>992259</v>
      </c>
      <c r="J96" s="414">
        <v>736097</v>
      </c>
      <c r="K96" s="414">
        <v>736097</v>
      </c>
      <c r="L96" s="414">
        <v>0</v>
      </c>
      <c r="M96" s="414">
        <v>0</v>
      </c>
      <c r="N96" s="414">
        <v>0</v>
      </c>
      <c r="O96" s="414">
        <v>0</v>
      </c>
      <c r="P96" s="68">
        <v>248801</v>
      </c>
      <c r="Q96" s="68">
        <v>7361</v>
      </c>
      <c r="R96" s="414">
        <v>0</v>
      </c>
      <c r="S96" s="415">
        <v>1.5556000000000001</v>
      </c>
      <c r="T96" s="416">
        <v>1.5556000000000001</v>
      </c>
      <c r="U96" s="422">
        <v>0</v>
      </c>
      <c r="V96" s="423">
        <f t="shared" si="126"/>
        <v>0</v>
      </c>
      <c r="W96" s="417">
        <f t="shared" si="126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127"/>
        <v>0</v>
      </c>
      <c r="AF96" s="417">
        <f t="shared" si="128"/>
        <v>0</v>
      </c>
      <c r="AG96" s="417">
        <f t="shared" si="129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30"/>
        <v>0</v>
      </c>
      <c r="AN96" s="417">
        <f t="shared" si="131"/>
        <v>0</v>
      </c>
      <c r="AO96" s="417">
        <f t="shared" si="132"/>
        <v>0</v>
      </c>
      <c r="AP96" s="417">
        <f t="shared" si="133"/>
        <v>0</v>
      </c>
      <c r="AQ96" s="417">
        <f t="shared" si="133"/>
        <v>0</v>
      </c>
      <c r="AR96" s="417">
        <f t="shared" si="134"/>
        <v>0</v>
      </c>
      <c r="AS96" s="68">
        <f t="shared" si="135"/>
        <v>0</v>
      </c>
      <c r="AT96" s="68">
        <f t="shared" si="136"/>
        <v>0</v>
      </c>
      <c r="AU96" s="417">
        <v>0</v>
      </c>
      <c r="AV96" s="417">
        <v>0</v>
      </c>
      <c r="AW96" s="417">
        <v>0</v>
      </c>
      <c r="AX96" s="417">
        <f t="shared" si="137"/>
        <v>0</v>
      </c>
      <c r="AY96" s="417">
        <f t="shared" si="138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39"/>
        <v>0</v>
      </c>
      <c r="BJ96" s="418">
        <f t="shared" si="140"/>
        <v>0</v>
      </c>
      <c r="BK96" s="420">
        <f t="shared" si="141"/>
        <v>0</v>
      </c>
      <c r="BL96" s="772">
        <f>I96+AY96</f>
        <v>992259</v>
      </c>
      <c r="BM96" s="417">
        <f>J96+AG96</f>
        <v>736097</v>
      </c>
      <c r="BN96" s="417">
        <f t="shared" si="164"/>
        <v>736097</v>
      </c>
      <c r="BO96" s="417">
        <f t="shared" si="164"/>
        <v>0</v>
      </c>
      <c r="BP96" s="417">
        <f>M96+AO96</f>
        <v>0</v>
      </c>
      <c r="BQ96" s="417">
        <f t="shared" si="165"/>
        <v>0</v>
      </c>
      <c r="BR96" s="417">
        <f t="shared" si="165"/>
        <v>0</v>
      </c>
      <c r="BS96" s="417">
        <f t="shared" si="166"/>
        <v>248801</v>
      </c>
      <c r="BT96" s="417">
        <f t="shared" si="166"/>
        <v>7361</v>
      </c>
      <c r="BU96" s="417">
        <f>R96+AX96</f>
        <v>0</v>
      </c>
      <c r="BV96" s="418">
        <f>S96+BK96</f>
        <v>1.5556000000000001</v>
      </c>
      <c r="BW96" s="418">
        <f t="shared" si="167"/>
        <v>1.5556000000000001</v>
      </c>
      <c r="BX96" s="420">
        <f t="shared" si="167"/>
        <v>0</v>
      </c>
      <c r="BY96" s="994"/>
      <c r="BZ96" s="595"/>
      <c r="CA96" s="595"/>
      <c r="CB96" s="595"/>
      <c r="CC96" s="595"/>
      <c r="CD96" s="981"/>
      <c r="CE96" s="994"/>
      <c r="CF96" s="595"/>
      <c r="CG96" s="595"/>
      <c r="CH96" s="595"/>
      <c r="CI96" s="595"/>
      <c r="CJ96" s="981"/>
    </row>
    <row r="97" spans="1:88" ht="12.95" customHeight="1">
      <c r="A97" s="280">
        <v>16</v>
      </c>
      <c r="B97" s="321">
        <v>5417</v>
      </c>
      <c r="C97" s="322">
        <v>600099113</v>
      </c>
      <c r="D97" s="281">
        <v>70156565</v>
      </c>
      <c r="E97" s="323" t="s">
        <v>379</v>
      </c>
      <c r="F97" s="281">
        <v>3143</v>
      </c>
      <c r="G97" s="323" t="s">
        <v>596</v>
      </c>
      <c r="H97" s="284" t="s">
        <v>272</v>
      </c>
      <c r="I97" s="419">
        <v>35346</v>
      </c>
      <c r="J97" s="414">
        <v>25300</v>
      </c>
      <c r="K97" s="414">
        <v>0</v>
      </c>
      <c r="L97" s="414">
        <v>25300</v>
      </c>
      <c r="M97" s="414">
        <v>0</v>
      </c>
      <c r="N97" s="414">
        <v>0</v>
      </c>
      <c r="O97" s="414">
        <v>0</v>
      </c>
      <c r="P97" s="68">
        <v>8551</v>
      </c>
      <c r="Q97" s="68">
        <v>253</v>
      </c>
      <c r="R97" s="414">
        <v>1242</v>
      </c>
      <c r="S97" s="415">
        <v>9.3899999999999997E-2</v>
      </c>
      <c r="T97" s="416">
        <v>0</v>
      </c>
      <c r="U97" s="422">
        <v>9.3899999999999997E-2</v>
      </c>
      <c r="V97" s="423">
        <f t="shared" si="126"/>
        <v>0</v>
      </c>
      <c r="W97" s="417">
        <f t="shared" si="126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27"/>
        <v>0</v>
      </c>
      <c r="AF97" s="417">
        <f t="shared" si="128"/>
        <v>0</v>
      </c>
      <c r="AG97" s="417">
        <f t="shared" si="129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30"/>
        <v>0</v>
      </c>
      <c r="AN97" s="417">
        <f t="shared" si="131"/>
        <v>0</v>
      </c>
      <c r="AO97" s="417">
        <f t="shared" si="132"/>
        <v>0</v>
      </c>
      <c r="AP97" s="417">
        <f t="shared" si="133"/>
        <v>0</v>
      </c>
      <c r="AQ97" s="417">
        <f t="shared" si="133"/>
        <v>0</v>
      </c>
      <c r="AR97" s="417">
        <f t="shared" si="134"/>
        <v>0</v>
      </c>
      <c r="AS97" s="68">
        <f t="shared" si="135"/>
        <v>0</v>
      </c>
      <c r="AT97" s="68">
        <f t="shared" si="136"/>
        <v>0</v>
      </c>
      <c r="AU97" s="417">
        <v>0</v>
      </c>
      <c r="AV97" s="417">
        <v>0</v>
      </c>
      <c r="AW97" s="417">
        <v>0</v>
      </c>
      <c r="AX97" s="417">
        <f t="shared" si="137"/>
        <v>0</v>
      </c>
      <c r="AY97" s="417">
        <f t="shared" si="138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39"/>
        <v>0</v>
      </c>
      <c r="BJ97" s="418">
        <f t="shared" si="140"/>
        <v>0</v>
      </c>
      <c r="BK97" s="420">
        <f t="shared" si="141"/>
        <v>0</v>
      </c>
      <c r="BL97" s="772">
        <f>I97+AY97</f>
        <v>35346</v>
      </c>
      <c r="BM97" s="417">
        <f>J97+AG97</f>
        <v>25300</v>
      </c>
      <c r="BN97" s="417">
        <f t="shared" si="164"/>
        <v>0</v>
      </c>
      <c r="BO97" s="417">
        <f t="shared" si="164"/>
        <v>25300</v>
      </c>
      <c r="BP97" s="417">
        <f>M97+AO97</f>
        <v>0</v>
      </c>
      <c r="BQ97" s="417">
        <f t="shared" si="165"/>
        <v>0</v>
      </c>
      <c r="BR97" s="417">
        <f t="shared" si="165"/>
        <v>0</v>
      </c>
      <c r="BS97" s="417">
        <f t="shared" si="166"/>
        <v>8551</v>
      </c>
      <c r="BT97" s="417">
        <f t="shared" si="166"/>
        <v>253</v>
      </c>
      <c r="BU97" s="417">
        <f>R97+AX97</f>
        <v>1242</v>
      </c>
      <c r="BV97" s="418">
        <f>S97+BK97</f>
        <v>9.3899999999999997E-2</v>
      </c>
      <c r="BW97" s="418">
        <f t="shared" si="167"/>
        <v>0</v>
      </c>
      <c r="BX97" s="420">
        <f t="shared" si="167"/>
        <v>9.3899999999999997E-2</v>
      </c>
      <c r="BY97" s="994"/>
      <c r="BZ97" s="595"/>
      <c r="CA97" s="595"/>
      <c r="CB97" s="595"/>
      <c r="CC97" s="595"/>
      <c r="CD97" s="981"/>
      <c r="CE97" s="994"/>
      <c r="CF97" s="595"/>
      <c r="CG97" s="595"/>
      <c r="CH97" s="595"/>
      <c r="CI97" s="595"/>
      <c r="CJ97" s="981"/>
    </row>
    <row r="98" spans="1:88" ht="12.95" customHeight="1">
      <c r="A98" s="324">
        <v>16</v>
      </c>
      <c r="B98" s="325">
        <v>5417</v>
      </c>
      <c r="C98" s="326">
        <v>600099113</v>
      </c>
      <c r="D98" s="325">
        <v>70156565</v>
      </c>
      <c r="E98" s="327" t="s">
        <v>380</v>
      </c>
      <c r="F98" s="291"/>
      <c r="G98" s="329"/>
      <c r="H98" s="292"/>
      <c r="I98" s="472">
        <v>8208787</v>
      </c>
      <c r="J98" s="469">
        <v>5945733</v>
      </c>
      <c r="K98" s="469">
        <v>4776805</v>
      </c>
      <c r="L98" s="469">
        <v>1168928</v>
      </c>
      <c r="M98" s="469">
        <v>55000</v>
      </c>
      <c r="N98" s="469">
        <v>20000</v>
      </c>
      <c r="O98" s="469">
        <v>35000</v>
      </c>
      <c r="P98" s="469">
        <v>2028248</v>
      </c>
      <c r="Q98" s="469">
        <v>59458</v>
      </c>
      <c r="R98" s="469">
        <v>120348</v>
      </c>
      <c r="S98" s="470">
        <v>11.5898</v>
      </c>
      <c r="T98" s="470">
        <v>8.2445000000000004</v>
      </c>
      <c r="U98" s="532">
        <v>3.3453000000000004</v>
      </c>
      <c r="V98" s="472">
        <f t="shared" ref="V98:BK98" si="168">SUM(V93:V97)</f>
        <v>20000</v>
      </c>
      <c r="W98" s="469">
        <f t="shared" si="168"/>
        <v>-16000</v>
      </c>
      <c r="X98" s="469">
        <f t="shared" si="168"/>
        <v>69525</v>
      </c>
      <c r="Y98" s="469">
        <f t="shared" si="168"/>
        <v>0</v>
      </c>
      <c r="Z98" s="469">
        <f t="shared" si="168"/>
        <v>0</v>
      </c>
      <c r="AA98" s="469">
        <f t="shared" si="168"/>
        <v>0</v>
      </c>
      <c r="AB98" s="469">
        <f t="shared" si="168"/>
        <v>0</v>
      </c>
      <c r="AC98" s="469">
        <f t="shared" si="168"/>
        <v>0</v>
      </c>
      <c r="AD98" s="469">
        <f t="shared" si="168"/>
        <v>0</v>
      </c>
      <c r="AE98" s="469">
        <f t="shared" si="168"/>
        <v>89525</v>
      </c>
      <c r="AF98" s="469">
        <f t="shared" si="168"/>
        <v>-16000</v>
      </c>
      <c r="AG98" s="469">
        <f t="shared" si="168"/>
        <v>73525</v>
      </c>
      <c r="AH98" s="469">
        <f t="shared" si="168"/>
        <v>-20000</v>
      </c>
      <c r="AI98" s="469">
        <f t="shared" si="168"/>
        <v>16000</v>
      </c>
      <c r="AJ98" s="469">
        <f t="shared" si="168"/>
        <v>0</v>
      </c>
      <c r="AK98" s="469">
        <f t="shared" si="168"/>
        <v>0</v>
      </c>
      <c r="AL98" s="469">
        <f t="shared" si="168"/>
        <v>0</v>
      </c>
      <c r="AM98" s="469">
        <f t="shared" si="168"/>
        <v>4000</v>
      </c>
      <c r="AN98" s="469">
        <f t="shared" si="168"/>
        <v>6000</v>
      </c>
      <c r="AO98" s="469">
        <f t="shared" si="168"/>
        <v>10000</v>
      </c>
      <c r="AP98" s="469">
        <f t="shared" si="168"/>
        <v>93525</v>
      </c>
      <c r="AQ98" s="469">
        <f t="shared" si="168"/>
        <v>-10000</v>
      </c>
      <c r="AR98" s="469">
        <f t="shared" si="168"/>
        <v>83525</v>
      </c>
      <c r="AS98" s="469">
        <f t="shared" si="168"/>
        <v>23499</v>
      </c>
      <c r="AT98" s="469">
        <f t="shared" si="168"/>
        <v>735</v>
      </c>
      <c r="AU98" s="469">
        <f t="shared" si="168"/>
        <v>0</v>
      </c>
      <c r="AV98" s="469">
        <f t="shared" si="168"/>
        <v>0</v>
      </c>
      <c r="AW98" s="469">
        <f t="shared" si="168"/>
        <v>0</v>
      </c>
      <c r="AX98" s="469">
        <f t="shared" si="168"/>
        <v>0</v>
      </c>
      <c r="AY98" s="469">
        <f t="shared" si="168"/>
        <v>107759</v>
      </c>
      <c r="AZ98" s="470">
        <f t="shared" si="168"/>
        <v>-0.03</v>
      </c>
      <c r="BA98" s="470">
        <f t="shared" si="168"/>
        <v>-0.03</v>
      </c>
      <c r="BB98" s="470">
        <f t="shared" si="168"/>
        <v>0.19</v>
      </c>
      <c r="BC98" s="470">
        <f t="shared" si="168"/>
        <v>0</v>
      </c>
      <c r="BD98" s="470">
        <f t="shared" si="168"/>
        <v>0</v>
      </c>
      <c r="BE98" s="470">
        <f t="shared" si="168"/>
        <v>0</v>
      </c>
      <c r="BF98" s="470">
        <f t="shared" si="168"/>
        <v>0</v>
      </c>
      <c r="BG98" s="470">
        <f t="shared" si="168"/>
        <v>0</v>
      </c>
      <c r="BH98" s="470">
        <f t="shared" si="168"/>
        <v>0</v>
      </c>
      <c r="BI98" s="470">
        <f t="shared" si="168"/>
        <v>0.16</v>
      </c>
      <c r="BJ98" s="470">
        <f t="shared" si="168"/>
        <v>-0.03</v>
      </c>
      <c r="BK98" s="333">
        <f t="shared" si="168"/>
        <v>0.13</v>
      </c>
      <c r="BL98" s="775">
        <f t="shared" ref="BL98:CG98" si="169">SUM(BL93:BL97)</f>
        <v>8316546</v>
      </c>
      <c r="BM98" s="469">
        <f t="shared" si="169"/>
        <v>6019258</v>
      </c>
      <c r="BN98" s="469">
        <f t="shared" si="169"/>
        <v>4866330</v>
      </c>
      <c r="BO98" s="469">
        <f t="shared" si="169"/>
        <v>1152928</v>
      </c>
      <c r="BP98" s="469">
        <f t="shared" si="169"/>
        <v>65000</v>
      </c>
      <c r="BQ98" s="469">
        <f t="shared" si="169"/>
        <v>24000</v>
      </c>
      <c r="BR98" s="469">
        <f t="shared" si="169"/>
        <v>41000</v>
      </c>
      <c r="BS98" s="469">
        <f t="shared" si="169"/>
        <v>2051747</v>
      </c>
      <c r="BT98" s="469">
        <f t="shared" si="169"/>
        <v>60193</v>
      </c>
      <c r="BU98" s="469">
        <f t="shared" si="169"/>
        <v>120348</v>
      </c>
      <c r="BV98" s="470">
        <f t="shared" si="169"/>
        <v>11.719799999999999</v>
      </c>
      <c r="BW98" s="470">
        <f t="shared" si="169"/>
        <v>8.4044999999999987</v>
      </c>
      <c r="BX98" s="333">
        <f t="shared" si="169"/>
        <v>3.3153000000000001</v>
      </c>
      <c r="BY98" s="839">
        <f t="shared" si="169"/>
        <v>0</v>
      </c>
      <c r="BZ98" s="722">
        <f t="shared" si="169"/>
        <v>0</v>
      </c>
      <c r="CA98" s="722">
        <f t="shared" si="169"/>
        <v>0</v>
      </c>
      <c r="CB98" s="722">
        <f t="shared" si="169"/>
        <v>0</v>
      </c>
      <c r="CC98" s="722">
        <f t="shared" si="169"/>
        <v>0</v>
      </c>
      <c r="CD98" s="827">
        <f t="shared" si="169"/>
        <v>0</v>
      </c>
      <c r="CE98" s="996">
        <f t="shared" si="169"/>
        <v>293919</v>
      </c>
      <c r="CF98" s="996">
        <f t="shared" si="169"/>
        <v>203112</v>
      </c>
      <c r="CG98" s="996">
        <f t="shared" si="169"/>
        <v>68652</v>
      </c>
      <c r="CH98" s="996">
        <f t="shared" ref="CH98:CJ98" si="170">SUM(CH93:CH97)</f>
        <v>2031</v>
      </c>
      <c r="CI98" s="996">
        <f t="shared" si="170"/>
        <v>20124</v>
      </c>
      <c r="CJ98" s="934">
        <f t="shared" si="170"/>
        <v>0.55130000000000001</v>
      </c>
    </row>
    <row r="99" spans="1:88" ht="12.95" customHeight="1">
      <c r="A99" s="280">
        <v>17</v>
      </c>
      <c r="B99" s="321">
        <v>5420</v>
      </c>
      <c r="C99" s="322">
        <v>600098745</v>
      </c>
      <c r="D99" s="281">
        <v>75016249</v>
      </c>
      <c r="E99" s="323" t="s">
        <v>381</v>
      </c>
      <c r="F99" s="281">
        <v>3111</v>
      </c>
      <c r="G99" s="323" t="s">
        <v>304</v>
      </c>
      <c r="H99" s="284" t="s">
        <v>271</v>
      </c>
      <c r="I99" s="419">
        <v>3661614</v>
      </c>
      <c r="J99" s="414">
        <v>2704758</v>
      </c>
      <c r="K99" s="414">
        <v>2378175</v>
      </c>
      <c r="L99" s="414">
        <v>326583</v>
      </c>
      <c r="M99" s="414">
        <v>0</v>
      </c>
      <c r="N99" s="414">
        <v>0</v>
      </c>
      <c r="O99" s="414">
        <v>0</v>
      </c>
      <c r="P99" s="68">
        <v>914208</v>
      </c>
      <c r="Q99" s="68">
        <v>27048</v>
      </c>
      <c r="R99" s="414">
        <v>15600</v>
      </c>
      <c r="S99" s="415">
        <v>5.1639999999999997</v>
      </c>
      <c r="T99" s="416">
        <v>4.0644999999999998</v>
      </c>
      <c r="U99" s="422">
        <v>1.0994999999999999</v>
      </c>
      <c r="V99" s="423">
        <f t="shared" si="126"/>
        <v>0</v>
      </c>
      <c r="W99" s="417">
        <f t="shared" si="126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27"/>
        <v>0</v>
      </c>
      <c r="AF99" s="417">
        <f t="shared" si="128"/>
        <v>0</v>
      </c>
      <c r="AG99" s="417">
        <f t="shared" si="129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30"/>
        <v>0</v>
      </c>
      <c r="AN99" s="417">
        <f t="shared" si="131"/>
        <v>0</v>
      </c>
      <c r="AO99" s="417">
        <f t="shared" si="132"/>
        <v>0</v>
      </c>
      <c r="AP99" s="417">
        <f t="shared" si="133"/>
        <v>0</v>
      </c>
      <c r="AQ99" s="417">
        <f t="shared" si="133"/>
        <v>0</v>
      </c>
      <c r="AR99" s="417">
        <f t="shared" si="134"/>
        <v>0</v>
      </c>
      <c r="AS99" s="68">
        <f t="shared" si="135"/>
        <v>0</v>
      </c>
      <c r="AT99" s="68">
        <f t="shared" si="136"/>
        <v>0</v>
      </c>
      <c r="AU99" s="417">
        <v>0</v>
      </c>
      <c r="AV99" s="417">
        <v>0</v>
      </c>
      <c r="AW99" s="417">
        <v>0</v>
      </c>
      <c r="AX99" s="417">
        <f t="shared" si="137"/>
        <v>0</v>
      </c>
      <c r="AY99" s="417">
        <f t="shared" si="138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39"/>
        <v>0</v>
      </c>
      <c r="BJ99" s="418">
        <f t="shared" si="140"/>
        <v>0</v>
      </c>
      <c r="BK99" s="420">
        <f t="shared" si="141"/>
        <v>0</v>
      </c>
      <c r="BL99" s="772">
        <f>I99+AY99</f>
        <v>3661614</v>
      </c>
      <c r="BM99" s="417">
        <f>J99+AG99</f>
        <v>2704758</v>
      </c>
      <c r="BN99" s="417">
        <f t="shared" ref="BN99:BO101" si="171">K99+AE99</f>
        <v>2378175</v>
      </c>
      <c r="BO99" s="417">
        <f t="shared" si="171"/>
        <v>326583</v>
      </c>
      <c r="BP99" s="417">
        <f>M99+AO99</f>
        <v>0</v>
      </c>
      <c r="BQ99" s="417">
        <f t="shared" ref="BQ99:BR101" si="172">N99+AM99</f>
        <v>0</v>
      </c>
      <c r="BR99" s="417">
        <f t="shared" si="172"/>
        <v>0</v>
      </c>
      <c r="BS99" s="417">
        <f t="shared" ref="BS99:BT101" si="173">P99+AS99</f>
        <v>914208</v>
      </c>
      <c r="BT99" s="417">
        <f t="shared" si="173"/>
        <v>27048</v>
      </c>
      <c r="BU99" s="417">
        <f>R99+AX99</f>
        <v>15600</v>
      </c>
      <c r="BV99" s="418">
        <f>S99+BK99</f>
        <v>5.1639999999999997</v>
      </c>
      <c r="BW99" s="418">
        <f t="shared" ref="BW99:BX101" si="174">T99+BI99</f>
        <v>4.0644999999999998</v>
      </c>
      <c r="BX99" s="420">
        <f t="shared" si="174"/>
        <v>1.0994999999999999</v>
      </c>
      <c r="BY99" s="994"/>
      <c r="BZ99" s="595"/>
      <c r="CA99" s="595"/>
      <c r="CB99" s="595"/>
      <c r="CC99" s="595"/>
      <c r="CD99" s="981"/>
      <c r="CE99" s="994">
        <v>146445</v>
      </c>
      <c r="CF99" s="595">
        <v>104791</v>
      </c>
      <c r="CG99" s="595">
        <v>35419</v>
      </c>
      <c r="CH99" s="595">
        <v>1048</v>
      </c>
      <c r="CI99" s="595">
        <v>5187</v>
      </c>
      <c r="CJ99" s="981">
        <v>0.3528</v>
      </c>
    </row>
    <row r="100" spans="1:88" ht="12.95" customHeight="1">
      <c r="A100" s="280">
        <v>17</v>
      </c>
      <c r="B100" s="321">
        <v>5420</v>
      </c>
      <c r="C100" s="322">
        <v>600098745</v>
      </c>
      <c r="D100" s="281">
        <v>75016249</v>
      </c>
      <c r="E100" s="323" t="s">
        <v>381</v>
      </c>
      <c r="F100" s="281">
        <v>3111</v>
      </c>
      <c r="G100" s="323" t="s">
        <v>298</v>
      </c>
      <c r="H100" s="284" t="s">
        <v>272</v>
      </c>
      <c r="I100" s="419">
        <v>333227</v>
      </c>
      <c r="J100" s="414">
        <v>247201</v>
      </c>
      <c r="K100" s="414">
        <v>247201</v>
      </c>
      <c r="L100" s="414">
        <v>0</v>
      </c>
      <c r="M100" s="414">
        <v>0</v>
      </c>
      <c r="N100" s="414">
        <v>0</v>
      </c>
      <c r="O100" s="414">
        <v>0</v>
      </c>
      <c r="P100" s="68">
        <v>83554</v>
      </c>
      <c r="Q100" s="68">
        <v>2472</v>
      </c>
      <c r="R100" s="414">
        <v>0</v>
      </c>
      <c r="S100" s="415">
        <v>0.66</v>
      </c>
      <c r="T100" s="416">
        <v>0.66</v>
      </c>
      <c r="U100" s="422">
        <v>0</v>
      </c>
      <c r="V100" s="423">
        <f t="shared" si="126"/>
        <v>0</v>
      </c>
      <c r="W100" s="417">
        <f t="shared" si="126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27"/>
        <v>0</v>
      </c>
      <c r="AF100" s="417">
        <f t="shared" si="128"/>
        <v>0</v>
      </c>
      <c r="AG100" s="417">
        <f t="shared" si="129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30"/>
        <v>0</v>
      </c>
      <c r="AN100" s="417">
        <f t="shared" si="131"/>
        <v>0</v>
      </c>
      <c r="AO100" s="417">
        <f t="shared" si="132"/>
        <v>0</v>
      </c>
      <c r="AP100" s="417">
        <f t="shared" si="133"/>
        <v>0</v>
      </c>
      <c r="AQ100" s="417">
        <f t="shared" si="133"/>
        <v>0</v>
      </c>
      <c r="AR100" s="417">
        <f t="shared" si="134"/>
        <v>0</v>
      </c>
      <c r="AS100" s="68">
        <f t="shared" si="135"/>
        <v>0</v>
      </c>
      <c r="AT100" s="68">
        <f t="shared" si="136"/>
        <v>0</v>
      </c>
      <c r="AU100" s="417">
        <v>0</v>
      </c>
      <c r="AV100" s="417">
        <v>0</v>
      </c>
      <c r="AW100" s="417">
        <v>0</v>
      </c>
      <c r="AX100" s="417">
        <f t="shared" si="137"/>
        <v>0</v>
      </c>
      <c r="AY100" s="417">
        <f t="shared" si="138"/>
        <v>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39"/>
        <v>0</v>
      </c>
      <c r="BJ100" s="418">
        <f t="shared" si="140"/>
        <v>0</v>
      </c>
      <c r="BK100" s="420">
        <f t="shared" si="141"/>
        <v>0</v>
      </c>
      <c r="BL100" s="772">
        <f>I100+AY100</f>
        <v>333227</v>
      </c>
      <c r="BM100" s="417">
        <f>J100+AG100</f>
        <v>247201</v>
      </c>
      <c r="BN100" s="417">
        <f t="shared" si="171"/>
        <v>247201</v>
      </c>
      <c r="BO100" s="417">
        <f t="shared" si="171"/>
        <v>0</v>
      </c>
      <c r="BP100" s="417">
        <f>M100+AO100</f>
        <v>0</v>
      </c>
      <c r="BQ100" s="417">
        <f t="shared" si="172"/>
        <v>0</v>
      </c>
      <c r="BR100" s="417">
        <f t="shared" si="172"/>
        <v>0</v>
      </c>
      <c r="BS100" s="417">
        <f t="shared" si="173"/>
        <v>83554</v>
      </c>
      <c r="BT100" s="417">
        <f t="shared" si="173"/>
        <v>2472</v>
      </c>
      <c r="BU100" s="417">
        <f>R100+AX100</f>
        <v>0</v>
      </c>
      <c r="BV100" s="418">
        <f>S100+BK100</f>
        <v>0.66</v>
      </c>
      <c r="BW100" s="418">
        <f t="shared" si="174"/>
        <v>0.66</v>
      </c>
      <c r="BX100" s="420">
        <f t="shared" si="174"/>
        <v>0</v>
      </c>
      <c r="BY100" s="994"/>
      <c r="BZ100" s="595"/>
      <c r="CA100" s="595"/>
      <c r="CB100" s="595"/>
      <c r="CC100" s="595"/>
      <c r="CD100" s="981"/>
      <c r="CE100" s="994"/>
      <c r="CF100" s="595"/>
      <c r="CG100" s="595"/>
      <c r="CH100" s="595"/>
      <c r="CI100" s="595"/>
      <c r="CJ100" s="981"/>
    </row>
    <row r="101" spans="1:88" ht="12.95" customHeight="1">
      <c r="A101" s="280">
        <v>17</v>
      </c>
      <c r="B101" s="321">
        <v>5420</v>
      </c>
      <c r="C101" s="322">
        <v>600098745</v>
      </c>
      <c r="D101" s="281">
        <v>75016249</v>
      </c>
      <c r="E101" s="323" t="s">
        <v>381</v>
      </c>
      <c r="F101" s="281">
        <v>3141</v>
      </c>
      <c r="G101" s="323" t="s">
        <v>294</v>
      </c>
      <c r="H101" s="284" t="s">
        <v>272</v>
      </c>
      <c r="I101" s="419">
        <v>585566</v>
      </c>
      <c r="J101" s="414">
        <v>432892</v>
      </c>
      <c r="K101" s="414">
        <v>0</v>
      </c>
      <c r="L101" s="414">
        <v>432892</v>
      </c>
      <c r="M101" s="414">
        <v>0</v>
      </c>
      <c r="N101" s="414">
        <v>0</v>
      </c>
      <c r="O101" s="414">
        <v>0</v>
      </c>
      <c r="P101" s="68">
        <v>146317</v>
      </c>
      <c r="Q101" s="68">
        <v>4329</v>
      </c>
      <c r="R101" s="414">
        <v>2028</v>
      </c>
      <c r="S101" s="415">
        <v>1.2967</v>
      </c>
      <c r="T101" s="416">
        <v>0</v>
      </c>
      <c r="U101" s="422">
        <v>1.2967</v>
      </c>
      <c r="V101" s="423">
        <f t="shared" si="126"/>
        <v>0</v>
      </c>
      <c r="W101" s="417">
        <f t="shared" si="126"/>
        <v>0</v>
      </c>
      <c r="X101" s="417">
        <v>0</v>
      </c>
      <c r="Y101" s="417">
        <v>0</v>
      </c>
      <c r="Z101" s="417">
        <v>0</v>
      </c>
      <c r="AA101" s="417">
        <v>-5281</v>
      </c>
      <c r="AB101" s="417">
        <v>0</v>
      </c>
      <c r="AC101" s="417">
        <v>0</v>
      </c>
      <c r="AD101" s="417">
        <v>0</v>
      </c>
      <c r="AE101" s="417">
        <f t="shared" si="127"/>
        <v>0</v>
      </c>
      <c r="AF101" s="417">
        <f t="shared" si="128"/>
        <v>-5281</v>
      </c>
      <c r="AG101" s="417">
        <f t="shared" si="129"/>
        <v>-5281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30"/>
        <v>0</v>
      </c>
      <c r="AN101" s="417">
        <f t="shared" si="131"/>
        <v>0</v>
      </c>
      <c r="AO101" s="417">
        <f t="shared" si="132"/>
        <v>0</v>
      </c>
      <c r="AP101" s="417">
        <f t="shared" si="133"/>
        <v>0</v>
      </c>
      <c r="AQ101" s="417">
        <f t="shared" si="133"/>
        <v>-5281</v>
      </c>
      <c r="AR101" s="417">
        <f t="shared" si="134"/>
        <v>-5281</v>
      </c>
      <c r="AS101" s="68">
        <f t="shared" si="135"/>
        <v>-1785</v>
      </c>
      <c r="AT101" s="68">
        <f t="shared" si="136"/>
        <v>-53</v>
      </c>
      <c r="AU101" s="417">
        <v>0</v>
      </c>
      <c r="AV101" s="417">
        <v>0</v>
      </c>
      <c r="AW101" s="417">
        <v>0</v>
      </c>
      <c r="AX101" s="417">
        <f t="shared" si="137"/>
        <v>0</v>
      </c>
      <c r="AY101" s="417">
        <f t="shared" si="138"/>
        <v>-7119</v>
      </c>
      <c r="AZ101" s="418">
        <v>0</v>
      </c>
      <c r="BA101" s="418">
        <v>0</v>
      </c>
      <c r="BB101" s="418">
        <v>0</v>
      </c>
      <c r="BC101" s="418">
        <v>0</v>
      </c>
      <c r="BD101" s="418">
        <v>-0.01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39"/>
        <v>0</v>
      </c>
      <c r="BJ101" s="418">
        <f t="shared" si="140"/>
        <v>-0.01</v>
      </c>
      <c r="BK101" s="420">
        <f t="shared" si="141"/>
        <v>-0.01</v>
      </c>
      <c r="BL101" s="772">
        <f>I101+AY101</f>
        <v>578447</v>
      </c>
      <c r="BM101" s="417">
        <f>J101+AG101</f>
        <v>427611</v>
      </c>
      <c r="BN101" s="417">
        <f t="shared" si="171"/>
        <v>0</v>
      </c>
      <c r="BO101" s="417">
        <f t="shared" si="171"/>
        <v>427611</v>
      </c>
      <c r="BP101" s="417">
        <f>M101+AO101</f>
        <v>0</v>
      </c>
      <c r="BQ101" s="417">
        <f t="shared" si="172"/>
        <v>0</v>
      </c>
      <c r="BR101" s="417">
        <f t="shared" si="172"/>
        <v>0</v>
      </c>
      <c r="BS101" s="417">
        <f t="shared" si="173"/>
        <v>144532</v>
      </c>
      <c r="BT101" s="417">
        <f t="shared" si="173"/>
        <v>4276</v>
      </c>
      <c r="BU101" s="417">
        <f>R101+AX101</f>
        <v>2028</v>
      </c>
      <c r="BV101" s="418">
        <f>S101+BK101</f>
        <v>1.2867</v>
      </c>
      <c r="BW101" s="418">
        <f t="shared" si="174"/>
        <v>0</v>
      </c>
      <c r="BX101" s="420">
        <f t="shared" si="174"/>
        <v>1.2867</v>
      </c>
      <c r="BY101" s="994"/>
      <c r="BZ101" s="595"/>
      <c r="CA101" s="595"/>
      <c r="CB101" s="595"/>
      <c r="CC101" s="595"/>
      <c r="CD101" s="981"/>
      <c r="CE101" s="994"/>
      <c r="CF101" s="595"/>
      <c r="CG101" s="595"/>
      <c r="CH101" s="595"/>
      <c r="CI101" s="595"/>
      <c r="CJ101" s="981"/>
    </row>
    <row r="102" spans="1:88" ht="12.95" customHeight="1">
      <c r="A102" s="324">
        <v>17</v>
      </c>
      <c r="B102" s="325">
        <v>5420</v>
      </c>
      <c r="C102" s="326">
        <v>600098745</v>
      </c>
      <c r="D102" s="325">
        <v>75016249</v>
      </c>
      <c r="E102" s="327" t="s">
        <v>382</v>
      </c>
      <c r="F102" s="291"/>
      <c r="G102" s="329"/>
      <c r="H102" s="292"/>
      <c r="I102" s="471">
        <v>4580407</v>
      </c>
      <c r="J102" s="467">
        <v>3384851</v>
      </c>
      <c r="K102" s="467">
        <v>2625376</v>
      </c>
      <c r="L102" s="467">
        <v>759475</v>
      </c>
      <c r="M102" s="467">
        <v>0</v>
      </c>
      <c r="N102" s="467">
        <v>0</v>
      </c>
      <c r="O102" s="467">
        <v>0</v>
      </c>
      <c r="P102" s="467">
        <v>1144079</v>
      </c>
      <c r="Q102" s="467">
        <v>33849</v>
      </c>
      <c r="R102" s="467">
        <v>17628</v>
      </c>
      <c r="S102" s="468">
        <v>7.1206999999999994</v>
      </c>
      <c r="T102" s="468">
        <v>4.7244999999999999</v>
      </c>
      <c r="U102" s="531">
        <v>2.3961999999999999</v>
      </c>
      <c r="V102" s="471">
        <f t="shared" ref="V102:BK102" si="175">SUM(V99:V101)</f>
        <v>0</v>
      </c>
      <c r="W102" s="467">
        <f t="shared" si="175"/>
        <v>0</v>
      </c>
      <c r="X102" s="467">
        <f t="shared" si="175"/>
        <v>0</v>
      </c>
      <c r="Y102" s="467">
        <f t="shared" si="175"/>
        <v>0</v>
      </c>
      <c r="Z102" s="467">
        <f t="shared" si="175"/>
        <v>0</v>
      </c>
      <c r="AA102" s="467">
        <f t="shared" si="175"/>
        <v>-5281</v>
      </c>
      <c r="AB102" s="467">
        <f t="shared" si="175"/>
        <v>0</v>
      </c>
      <c r="AC102" s="467">
        <f t="shared" si="175"/>
        <v>0</v>
      </c>
      <c r="AD102" s="467">
        <f t="shared" si="175"/>
        <v>0</v>
      </c>
      <c r="AE102" s="467">
        <f t="shared" si="175"/>
        <v>0</v>
      </c>
      <c r="AF102" s="467">
        <f t="shared" si="175"/>
        <v>-5281</v>
      </c>
      <c r="AG102" s="467">
        <f t="shared" si="175"/>
        <v>-5281</v>
      </c>
      <c r="AH102" s="467">
        <f t="shared" si="175"/>
        <v>0</v>
      </c>
      <c r="AI102" s="467">
        <f t="shared" si="175"/>
        <v>0</v>
      </c>
      <c r="AJ102" s="467">
        <f t="shared" si="175"/>
        <v>0</v>
      </c>
      <c r="AK102" s="467">
        <f t="shared" si="175"/>
        <v>0</v>
      </c>
      <c r="AL102" s="467">
        <f t="shared" si="175"/>
        <v>0</v>
      </c>
      <c r="AM102" s="467">
        <f t="shared" si="175"/>
        <v>0</v>
      </c>
      <c r="AN102" s="467">
        <f t="shared" si="175"/>
        <v>0</v>
      </c>
      <c r="AO102" s="467">
        <f t="shared" si="175"/>
        <v>0</v>
      </c>
      <c r="AP102" s="467">
        <f t="shared" si="175"/>
        <v>0</v>
      </c>
      <c r="AQ102" s="467">
        <f t="shared" si="175"/>
        <v>-5281</v>
      </c>
      <c r="AR102" s="467">
        <f t="shared" si="175"/>
        <v>-5281</v>
      </c>
      <c r="AS102" s="467">
        <f t="shared" si="175"/>
        <v>-1785</v>
      </c>
      <c r="AT102" s="467">
        <f t="shared" si="175"/>
        <v>-53</v>
      </c>
      <c r="AU102" s="467">
        <f t="shared" si="175"/>
        <v>0</v>
      </c>
      <c r="AV102" s="467">
        <f t="shared" si="175"/>
        <v>0</v>
      </c>
      <c r="AW102" s="467">
        <f t="shared" si="175"/>
        <v>0</v>
      </c>
      <c r="AX102" s="467">
        <f t="shared" si="175"/>
        <v>0</v>
      </c>
      <c r="AY102" s="467">
        <f t="shared" si="175"/>
        <v>-7119</v>
      </c>
      <c r="AZ102" s="468">
        <f t="shared" si="175"/>
        <v>0</v>
      </c>
      <c r="BA102" s="468">
        <f t="shared" si="175"/>
        <v>0</v>
      </c>
      <c r="BB102" s="468">
        <f t="shared" si="175"/>
        <v>0</v>
      </c>
      <c r="BC102" s="468">
        <f t="shared" si="175"/>
        <v>0</v>
      </c>
      <c r="BD102" s="468">
        <f t="shared" si="175"/>
        <v>-0.01</v>
      </c>
      <c r="BE102" s="468">
        <f t="shared" si="175"/>
        <v>0</v>
      </c>
      <c r="BF102" s="468">
        <f t="shared" si="175"/>
        <v>0</v>
      </c>
      <c r="BG102" s="468">
        <f t="shared" si="175"/>
        <v>0</v>
      </c>
      <c r="BH102" s="468">
        <f t="shared" si="175"/>
        <v>0</v>
      </c>
      <c r="BI102" s="468">
        <f t="shared" si="175"/>
        <v>0</v>
      </c>
      <c r="BJ102" s="468">
        <f t="shared" si="175"/>
        <v>-0.01</v>
      </c>
      <c r="BK102" s="328">
        <f t="shared" si="175"/>
        <v>-0.01</v>
      </c>
      <c r="BL102" s="774">
        <f t="shared" ref="BL102:CG102" si="176">SUM(BL99:BL101)</f>
        <v>4573288</v>
      </c>
      <c r="BM102" s="467">
        <f t="shared" si="176"/>
        <v>3379570</v>
      </c>
      <c r="BN102" s="467">
        <f t="shared" si="176"/>
        <v>2625376</v>
      </c>
      <c r="BO102" s="467">
        <f t="shared" si="176"/>
        <v>754194</v>
      </c>
      <c r="BP102" s="467">
        <f t="shared" si="176"/>
        <v>0</v>
      </c>
      <c r="BQ102" s="467">
        <f t="shared" si="176"/>
        <v>0</v>
      </c>
      <c r="BR102" s="467">
        <f t="shared" si="176"/>
        <v>0</v>
      </c>
      <c r="BS102" s="467">
        <f t="shared" si="176"/>
        <v>1142294</v>
      </c>
      <c r="BT102" s="467">
        <f t="shared" si="176"/>
        <v>33796</v>
      </c>
      <c r="BU102" s="467">
        <f t="shared" si="176"/>
        <v>17628</v>
      </c>
      <c r="BV102" s="468">
        <f t="shared" si="176"/>
        <v>7.1106999999999996</v>
      </c>
      <c r="BW102" s="468">
        <f t="shared" si="176"/>
        <v>4.7244999999999999</v>
      </c>
      <c r="BX102" s="328">
        <f t="shared" si="176"/>
        <v>2.3861999999999997</v>
      </c>
      <c r="BY102" s="838">
        <f t="shared" si="176"/>
        <v>0</v>
      </c>
      <c r="BZ102" s="721">
        <f t="shared" si="176"/>
        <v>0</v>
      </c>
      <c r="CA102" s="721">
        <f t="shared" si="176"/>
        <v>0</v>
      </c>
      <c r="CB102" s="721">
        <f t="shared" si="176"/>
        <v>0</v>
      </c>
      <c r="CC102" s="721">
        <f t="shared" si="176"/>
        <v>0</v>
      </c>
      <c r="CD102" s="826">
        <f t="shared" si="176"/>
        <v>0</v>
      </c>
      <c r="CE102" s="995">
        <f t="shared" si="176"/>
        <v>146445</v>
      </c>
      <c r="CF102" s="995">
        <f t="shared" si="176"/>
        <v>104791</v>
      </c>
      <c r="CG102" s="995">
        <f t="shared" si="176"/>
        <v>35419</v>
      </c>
      <c r="CH102" s="995">
        <f t="shared" ref="CH102:CJ102" si="177">SUM(CH99:CH101)</f>
        <v>1048</v>
      </c>
      <c r="CI102" s="995">
        <f t="shared" si="177"/>
        <v>5187</v>
      </c>
      <c r="CJ102" s="933">
        <f t="shared" si="177"/>
        <v>0.3528</v>
      </c>
    </row>
    <row r="103" spans="1:88" ht="12.95" customHeight="1">
      <c r="A103" s="280">
        <v>18</v>
      </c>
      <c r="B103" s="321">
        <v>5419</v>
      </c>
      <c r="C103" s="322">
        <v>600099261</v>
      </c>
      <c r="D103" s="281">
        <v>70946752</v>
      </c>
      <c r="E103" s="323" t="s">
        <v>383</v>
      </c>
      <c r="F103" s="281">
        <v>3113</v>
      </c>
      <c r="G103" s="323" t="s">
        <v>308</v>
      </c>
      <c r="H103" s="284" t="s">
        <v>271</v>
      </c>
      <c r="I103" s="419">
        <v>13939064</v>
      </c>
      <c r="J103" s="414">
        <v>10156157</v>
      </c>
      <c r="K103" s="414">
        <v>8969682</v>
      </c>
      <c r="L103" s="414">
        <v>1186475</v>
      </c>
      <c r="M103" s="414">
        <v>40000</v>
      </c>
      <c r="N103" s="414">
        <v>25000</v>
      </c>
      <c r="O103" s="414">
        <v>15000</v>
      </c>
      <c r="P103" s="68">
        <v>3446301</v>
      </c>
      <c r="Q103" s="68">
        <v>101561</v>
      </c>
      <c r="R103" s="414">
        <v>195045</v>
      </c>
      <c r="S103" s="415">
        <v>17.604099999999999</v>
      </c>
      <c r="T103" s="416">
        <v>14.345000000000001</v>
      </c>
      <c r="U103" s="422">
        <v>3.259100000000001</v>
      </c>
      <c r="V103" s="423">
        <f t="shared" si="126"/>
        <v>16000</v>
      </c>
      <c r="W103" s="417">
        <f t="shared" si="126"/>
        <v>15000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27"/>
        <v>16000</v>
      </c>
      <c r="AF103" s="417">
        <f t="shared" si="128"/>
        <v>15000</v>
      </c>
      <c r="AG103" s="417">
        <f t="shared" si="129"/>
        <v>31000</v>
      </c>
      <c r="AH103" s="417">
        <v>-16000</v>
      </c>
      <c r="AI103" s="417">
        <v>-15000</v>
      </c>
      <c r="AJ103" s="417">
        <v>0</v>
      </c>
      <c r="AK103" s="417">
        <v>0</v>
      </c>
      <c r="AL103" s="417">
        <v>0</v>
      </c>
      <c r="AM103" s="417">
        <f t="shared" si="130"/>
        <v>-16000</v>
      </c>
      <c r="AN103" s="417">
        <f t="shared" si="131"/>
        <v>-15000</v>
      </c>
      <c r="AO103" s="417">
        <f t="shared" si="132"/>
        <v>-31000</v>
      </c>
      <c r="AP103" s="417">
        <f t="shared" si="133"/>
        <v>0</v>
      </c>
      <c r="AQ103" s="417">
        <f t="shared" si="133"/>
        <v>0</v>
      </c>
      <c r="AR103" s="417">
        <f t="shared" si="134"/>
        <v>0</v>
      </c>
      <c r="AS103" s="68">
        <f t="shared" si="135"/>
        <v>0</v>
      </c>
      <c r="AT103" s="68">
        <f t="shared" si="136"/>
        <v>310</v>
      </c>
      <c r="AU103" s="417">
        <v>0</v>
      </c>
      <c r="AV103" s="417">
        <v>0</v>
      </c>
      <c r="AW103" s="417">
        <v>0</v>
      </c>
      <c r="AX103" s="417">
        <f t="shared" si="137"/>
        <v>0</v>
      </c>
      <c r="AY103" s="417">
        <f t="shared" si="138"/>
        <v>310</v>
      </c>
      <c r="AZ103" s="418">
        <v>0.02</v>
      </c>
      <c r="BA103" s="418">
        <v>0.02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39"/>
        <v>0.02</v>
      </c>
      <c r="BJ103" s="418">
        <f t="shared" si="140"/>
        <v>0.02</v>
      </c>
      <c r="BK103" s="420">
        <f t="shared" si="141"/>
        <v>0.04</v>
      </c>
      <c r="BL103" s="772">
        <f>I103+AY103</f>
        <v>13939374</v>
      </c>
      <c r="BM103" s="417">
        <f>J103+AG103</f>
        <v>10187157</v>
      </c>
      <c r="BN103" s="417">
        <f t="shared" ref="BN103:BO107" si="178">K103+AE103</f>
        <v>8985682</v>
      </c>
      <c r="BO103" s="417">
        <f t="shared" si="178"/>
        <v>1201475</v>
      </c>
      <c r="BP103" s="417">
        <f>M103+AO103</f>
        <v>9000</v>
      </c>
      <c r="BQ103" s="417">
        <f t="shared" ref="BQ103:BR107" si="179">N103+AM103</f>
        <v>9000</v>
      </c>
      <c r="BR103" s="417">
        <f t="shared" si="179"/>
        <v>0</v>
      </c>
      <c r="BS103" s="417">
        <f t="shared" ref="BS103:BT107" si="180">P103+AS103</f>
        <v>3446301</v>
      </c>
      <c r="BT103" s="417">
        <f t="shared" si="180"/>
        <v>101871</v>
      </c>
      <c r="BU103" s="417">
        <f>R103+AX103</f>
        <v>195045</v>
      </c>
      <c r="BV103" s="418">
        <f>S103+BK103</f>
        <v>17.644099999999998</v>
      </c>
      <c r="BW103" s="418">
        <f t="shared" ref="BW103:BX107" si="181">T103+BI103</f>
        <v>14.365</v>
      </c>
      <c r="BX103" s="420">
        <f t="shared" si="181"/>
        <v>3.279100000000001</v>
      </c>
      <c r="BY103" s="994">
        <v>304109</v>
      </c>
      <c r="BZ103" s="595">
        <v>225600</v>
      </c>
      <c r="CA103" s="595">
        <v>0</v>
      </c>
      <c r="CB103" s="595">
        <v>76253</v>
      </c>
      <c r="CC103" s="595">
        <v>2256</v>
      </c>
      <c r="CD103" s="981">
        <v>0.4</v>
      </c>
      <c r="CE103" s="994">
        <v>569516</v>
      </c>
      <c r="CF103" s="595">
        <v>385503</v>
      </c>
      <c r="CG103" s="595">
        <v>130300</v>
      </c>
      <c r="CH103" s="595">
        <v>3855</v>
      </c>
      <c r="CI103" s="595">
        <v>49858</v>
      </c>
      <c r="CJ103" s="981">
        <v>1.0521</v>
      </c>
    </row>
    <row r="104" spans="1:88" ht="12.95" customHeight="1">
      <c r="A104" s="280">
        <v>18</v>
      </c>
      <c r="B104" s="321">
        <v>5419</v>
      </c>
      <c r="C104" s="322">
        <v>600099261</v>
      </c>
      <c r="D104" s="281">
        <v>70946752</v>
      </c>
      <c r="E104" s="323" t="s">
        <v>383</v>
      </c>
      <c r="F104" s="281">
        <v>3113</v>
      </c>
      <c r="G104" s="323" t="s">
        <v>298</v>
      </c>
      <c r="H104" s="284" t="s">
        <v>272</v>
      </c>
      <c r="I104" s="419">
        <v>1069808</v>
      </c>
      <c r="J104" s="414">
        <v>793107</v>
      </c>
      <c r="K104" s="414">
        <v>793107</v>
      </c>
      <c r="L104" s="414">
        <v>0</v>
      </c>
      <c r="M104" s="414">
        <v>0</v>
      </c>
      <c r="N104" s="414">
        <v>0</v>
      </c>
      <c r="O104" s="414">
        <v>0</v>
      </c>
      <c r="P104" s="68">
        <v>268070</v>
      </c>
      <c r="Q104" s="68">
        <v>7931</v>
      </c>
      <c r="R104" s="414">
        <v>700</v>
      </c>
      <c r="S104" s="415">
        <v>2.14</v>
      </c>
      <c r="T104" s="416">
        <v>2.14</v>
      </c>
      <c r="U104" s="422">
        <v>0</v>
      </c>
      <c r="V104" s="423">
        <f t="shared" si="126"/>
        <v>0</v>
      </c>
      <c r="W104" s="417">
        <f t="shared" si="126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27"/>
        <v>0</v>
      </c>
      <c r="AF104" s="417">
        <f t="shared" si="128"/>
        <v>0</v>
      </c>
      <c r="AG104" s="417">
        <f t="shared" si="129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30"/>
        <v>0</v>
      </c>
      <c r="AN104" s="417">
        <f t="shared" si="131"/>
        <v>0</v>
      </c>
      <c r="AO104" s="417">
        <f t="shared" si="132"/>
        <v>0</v>
      </c>
      <c r="AP104" s="417">
        <f t="shared" si="133"/>
        <v>0</v>
      </c>
      <c r="AQ104" s="417">
        <f t="shared" si="133"/>
        <v>0</v>
      </c>
      <c r="AR104" s="417">
        <f t="shared" si="134"/>
        <v>0</v>
      </c>
      <c r="AS104" s="68">
        <f t="shared" si="135"/>
        <v>0</v>
      </c>
      <c r="AT104" s="68">
        <f t="shared" si="136"/>
        <v>0</v>
      </c>
      <c r="AU104" s="417">
        <v>0</v>
      </c>
      <c r="AV104" s="417">
        <v>0</v>
      </c>
      <c r="AW104" s="417">
        <v>0</v>
      </c>
      <c r="AX104" s="417">
        <f t="shared" si="137"/>
        <v>0</v>
      </c>
      <c r="AY104" s="417">
        <f t="shared" si="138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39"/>
        <v>0</v>
      </c>
      <c r="BJ104" s="418">
        <f t="shared" si="140"/>
        <v>0</v>
      </c>
      <c r="BK104" s="420">
        <f t="shared" si="141"/>
        <v>0</v>
      </c>
      <c r="BL104" s="772">
        <f>I104+AY104</f>
        <v>1069808</v>
      </c>
      <c r="BM104" s="417">
        <f>J104+AG104</f>
        <v>793107</v>
      </c>
      <c r="BN104" s="417">
        <f t="shared" si="178"/>
        <v>793107</v>
      </c>
      <c r="BO104" s="417">
        <f t="shared" si="178"/>
        <v>0</v>
      </c>
      <c r="BP104" s="417">
        <f>M104+AO104</f>
        <v>0</v>
      </c>
      <c r="BQ104" s="417">
        <f t="shared" si="179"/>
        <v>0</v>
      </c>
      <c r="BR104" s="417">
        <f t="shared" si="179"/>
        <v>0</v>
      </c>
      <c r="BS104" s="417">
        <f t="shared" si="180"/>
        <v>268070</v>
      </c>
      <c r="BT104" s="417">
        <f t="shared" si="180"/>
        <v>7931</v>
      </c>
      <c r="BU104" s="417">
        <f>R104+AX104</f>
        <v>700</v>
      </c>
      <c r="BV104" s="418">
        <f>S104+BK104</f>
        <v>2.14</v>
      </c>
      <c r="BW104" s="418">
        <f t="shared" si="181"/>
        <v>2.14</v>
      </c>
      <c r="BX104" s="420">
        <f t="shared" si="181"/>
        <v>0</v>
      </c>
      <c r="BY104" s="994"/>
      <c r="BZ104" s="595"/>
      <c r="CA104" s="595"/>
      <c r="CB104" s="595"/>
      <c r="CC104" s="595"/>
      <c r="CD104" s="981"/>
      <c r="CE104" s="994"/>
      <c r="CF104" s="595"/>
      <c r="CG104" s="595"/>
      <c r="CH104" s="595"/>
      <c r="CI104" s="595"/>
      <c r="CJ104" s="981"/>
    </row>
    <row r="105" spans="1:88" ht="12.95" customHeight="1">
      <c r="A105" s="280">
        <v>18</v>
      </c>
      <c r="B105" s="321">
        <v>5419</v>
      </c>
      <c r="C105" s="322">
        <v>600099261</v>
      </c>
      <c r="D105" s="281">
        <v>70946752</v>
      </c>
      <c r="E105" s="323" t="s">
        <v>383</v>
      </c>
      <c r="F105" s="281">
        <v>3141</v>
      </c>
      <c r="G105" s="323" t="s">
        <v>294</v>
      </c>
      <c r="H105" s="284" t="s">
        <v>272</v>
      </c>
      <c r="I105" s="419">
        <v>1253639</v>
      </c>
      <c r="J105" s="414">
        <v>919058</v>
      </c>
      <c r="K105" s="414">
        <v>0</v>
      </c>
      <c r="L105" s="414">
        <v>919058</v>
      </c>
      <c r="M105" s="414">
        <v>5000</v>
      </c>
      <c r="N105" s="414">
        <v>0</v>
      </c>
      <c r="O105" s="414">
        <v>5000</v>
      </c>
      <c r="P105" s="68">
        <v>312331</v>
      </c>
      <c r="Q105" s="68">
        <v>9190</v>
      </c>
      <c r="R105" s="414">
        <v>8060</v>
      </c>
      <c r="S105" s="415">
        <v>2.7667000000000002</v>
      </c>
      <c r="T105" s="416">
        <v>0</v>
      </c>
      <c r="U105" s="422">
        <v>2.7667000000000002</v>
      </c>
      <c r="V105" s="423">
        <f t="shared" si="126"/>
        <v>0</v>
      </c>
      <c r="W105" s="417">
        <f t="shared" si="126"/>
        <v>5000</v>
      </c>
      <c r="X105" s="417">
        <v>0</v>
      </c>
      <c r="Y105" s="417">
        <v>0</v>
      </c>
      <c r="Z105" s="417">
        <v>0</v>
      </c>
      <c r="AA105" s="417">
        <v>-21900</v>
      </c>
      <c r="AB105" s="417">
        <v>0</v>
      </c>
      <c r="AC105" s="417">
        <v>0</v>
      </c>
      <c r="AD105" s="417">
        <v>0</v>
      </c>
      <c r="AE105" s="417">
        <f t="shared" si="127"/>
        <v>0</v>
      </c>
      <c r="AF105" s="417">
        <f t="shared" si="128"/>
        <v>-16900</v>
      </c>
      <c r="AG105" s="417">
        <f t="shared" si="129"/>
        <v>-16900</v>
      </c>
      <c r="AH105" s="417">
        <v>0</v>
      </c>
      <c r="AI105" s="417">
        <v>-5000</v>
      </c>
      <c r="AJ105" s="417">
        <v>0</v>
      </c>
      <c r="AK105" s="417">
        <v>0</v>
      </c>
      <c r="AL105" s="417">
        <v>0</v>
      </c>
      <c r="AM105" s="417">
        <f t="shared" si="130"/>
        <v>0</v>
      </c>
      <c r="AN105" s="417">
        <f t="shared" si="131"/>
        <v>-5000</v>
      </c>
      <c r="AO105" s="417">
        <f t="shared" si="132"/>
        <v>-5000</v>
      </c>
      <c r="AP105" s="417">
        <f t="shared" si="133"/>
        <v>0</v>
      </c>
      <c r="AQ105" s="417">
        <f t="shared" si="133"/>
        <v>-21900</v>
      </c>
      <c r="AR105" s="417">
        <f t="shared" si="134"/>
        <v>-21900</v>
      </c>
      <c r="AS105" s="68">
        <f t="shared" si="135"/>
        <v>-7402</v>
      </c>
      <c r="AT105" s="68">
        <f t="shared" si="136"/>
        <v>-169</v>
      </c>
      <c r="AU105" s="417">
        <v>0</v>
      </c>
      <c r="AV105" s="417">
        <v>0</v>
      </c>
      <c r="AW105" s="417">
        <v>0</v>
      </c>
      <c r="AX105" s="417">
        <f t="shared" si="137"/>
        <v>0</v>
      </c>
      <c r="AY105" s="417">
        <f t="shared" si="138"/>
        <v>-29471</v>
      </c>
      <c r="AZ105" s="418">
        <v>0</v>
      </c>
      <c r="BA105" s="418">
        <v>0</v>
      </c>
      <c r="BB105" s="418">
        <v>0</v>
      </c>
      <c r="BC105" s="418">
        <v>0</v>
      </c>
      <c r="BD105" s="418">
        <v>-0.06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39"/>
        <v>0</v>
      </c>
      <c r="BJ105" s="418">
        <f t="shared" si="140"/>
        <v>-0.06</v>
      </c>
      <c r="BK105" s="420">
        <f t="shared" si="141"/>
        <v>-0.06</v>
      </c>
      <c r="BL105" s="772">
        <f>I105+AY105</f>
        <v>1224168</v>
      </c>
      <c r="BM105" s="417">
        <f>J105+AG105</f>
        <v>902158</v>
      </c>
      <c r="BN105" s="417">
        <f t="shared" si="178"/>
        <v>0</v>
      </c>
      <c r="BO105" s="417">
        <f t="shared" si="178"/>
        <v>902158</v>
      </c>
      <c r="BP105" s="417">
        <f>M105+AO105</f>
        <v>0</v>
      </c>
      <c r="BQ105" s="417">
        <f t="shared" si="179"/>
        <v>0</v>
      </c>
      <c r="BR105" s="417">
        <f t="shared" si="179"/>
        <v>0</v>
      </c>
      <c r="BS105" s="417">
        <f t="shared" si="180"/>
        <v>304929</v>
      </c>
      <c r="BT105" s="417">
        <f t="shared" si="180"/>
        <v>9021</v>
      </c>
      <c r="BU105" s="417">
        <f>R105+AX105</f>
        <v>8060</v>
      </c>
      <c r="BV105" s="418">
        <f>S105+BK105</f>
        <v>2.7067000000000001</v>
      </c>
      <c r="BW105" s="418">
        <f t="shared" si="181"/>
        <v>0</v>
      </c>
      <c r="BX105" s="420">
        <f t="shared" si="181"/>
        <v>2.7067000000000001</v>
      </c>
      <c r="BY105" s="994"/>
      <c r="BZ105" s="595"/>
      <c r="CA105" s="595"/>
      <c r="CB105" s="595"/>
      <c r="CC105" s="595"/>
      <c r="CD105" s="981"/>
      <c r="CE105" s="994"/>
      <c r="CF105" s="595"/>
      <c r="CG105" s="595"/>
      <c r="CH105" s="595"/>
      <c r="CI105" s="595"/>
      <c r="CJ105" s="981"/>
    </row>
    <row r="106" spans="1:88" ht="12.95" customHeight="1">
      <c r="A106" s="280">
        <v>18</v>
      </c>
      <c r="B106" s="321">
        <v>5419</v>
      </c>
      <c r="C106" s="322">
        <v>600099261</v>
      </c>
      <c r="D106" s="281">
        <v>70946752</v>
      </c>
      <c r="E106" s="323" t="s">
        <v>383</v>
      </c>
      <c r="F106" s="281">
        <v>3143</v>
      </c>
      <c r="G106" s="323" t="s">
        <v>595</v>
      </c>
      <c r="H106" s="284" t="s">
        <v>271</v>
      </c>
      <c r="I106" s="419">
        <v>638488</v>
      </c>
      <c r="J106" s="414">
        <v>468693</v>
      </c>
      <c r="K106" s="414">
        <v>468693</v>
      </c>
      <c r="L106" s="414">
        <v>0</v>
      </c>
      <c r="M106" s="414">
        <v>5000</v>
      </c>
      <c r="N106" s="414">
        <v>5000</v>
      </c>
      <c r="O106" s="414">
        <v>0</v>
      </c>
      <c r="P106" s="68">
        <v>160108</v>
      </c>
      <c r="Q106" s="68">
        <v>4687</v>
      </c>
      <c r="R106" s="414">
        <v>0</v>
      </c>
      <c r="S106" s="415">
        <v>0.91669999999999996</v>
      </c>
      <c r="T106" s="416">
        <v>0.91669999999999996</v>
      </c>
      <c r="U106" s="422">
        <v>0</v>
      </c>
      <c r="V106" s="423">
        <f t="shared" si="126"/>
        <v>5000</v>
      </c>
      <c r="W106" s="417">
        <f t="shared" si="126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27"/>
        <v>5000</v>
      </c>
      <c r="AF106" s="417">
        <f t="shared" si="128"/>
        <v>0</v>
      </c>
      <c r="AG106" s="417">
        <f t="shared" si="129"/>
        <v>5000</v>
      </c>
      <c r="AH106" s="417">
        <v>-5000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30"/>
        <v>-5000</v>
      </c>
      <c r="AN106" s="417">
        <f t="shared" si="131"/>
        <v>0</v>
      </c>
      <c r="AO106" s="417">
        <f t="shared" si="132"/>
        <v>-5000</v>
      </c>
      <c r="AP106" s="417">
        <f t="shared" si="133"/>
        <v>0</v>
      </c>
      <c r="AQ106" s="417">
        <f t="shared" si="133"/>
        <v>0</v>
      </c>
      <c r="AR106" s="417">
        <f t="shared" si="134"/>
        <v>0</v>
      </c>
      <c r="AS106" s="68">
        <f t="shared" si="135"/>
        <v>0</v>
      </c>
      <c r="AT106" s="68">
        <f t="shared" si="136"/>
        <v>50</v>
      </c>
      <c r="AU106" s="417">
        <v>0</v>
      </c>
      <c r="AV106" s="417">
        <v>0</v>
      </c>
      <c r="AW106" s="417">
        <v>0</v>
      </c>
      <c r="AX106" s="417">
        <f t="shared" si="137"/>
        <v>0</v>
      </c>
      <c r="AY106" s="417">
        <f t="shared" si="138"/>
        <v>50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39"/>
        <v>0</v>
      </c>
      <c r="BJ106" s="418">
        <f t="shared" si="140"/>
        <v>0</v>
      </c>
      <c r="BK106" s="420">
        <f t="shared" si="141"/>
        <v>0</v>
      </c>
      <c r="BL106" s="772">
        <f>I106+AY106</f>
        <v>638538</v>
      </c>
      <c r="BM106" s="417">
        <f>J106+AG106</f>
        <v>473693</v>
      </c>
      <c r="BN106" s="417">
        <f t="shared" si="178"/>
        <v>473693</v>
      </c>
      <c r="BO106" s="417">
        <f t="shared" si="178"/>
        <v>0</v>
      </c>
      <c r="BP106" s="417">
        <f>M106+AO106</f>
        <v>0</v>
      </c>
      <c r="BQ106" s="417">
        <f t="shared" si="179"/>
        <v>0</v>
      </c>
      <c r="BR106" s="417">
        <f t="shared" si="179"/>
        <v>0</v>
      </c>
      <c r="BS106" s="417">
        <f t="shared" si="180"/>
        <v>160108</v>
      </c>
      <c r="BT106" s="417">
        <f t="shared" si="180"/>
        <v>4737</v>
      </c>
      <c r="BU106" s="417">
        <f>R106+AX106</f>
        <v>0</v>
      </c>
      <c r="BV106" s="418">
        <f>S106+BK106</f>
        <v>0.91669999999999996</v>
      </c>
      <c r="BW106" s="418">
        <f t="shared" si="181"/>
        <v>0.91669999999999996</v>
      </c>
      <c r="BX106" s="420">
        <f t="shared" si="181"/>
        <v>0</v>
      </c>
      <c r="BY106" s="994"/>
      <c r="BZ106" s="595"/>
      <c r="CA106" s="595"/>
      <c r="CB106" s="595"/>
      <c r="CC106" s="595"/>
      <c r="CD106" s="981"/>
      <c r="CE106" s="994"/>
      <c r="CF106" s="595"/>
      <c r="CG106" s="595"/>
      <c r="CH106" s="595"/>
      <c r="CI106" s="595"/>
      <c r="CJ106" s="981"/>
    </row>
    <row r="107" spans="1:88" ht="12.95" customHeight="1">
      <c r="A107" s="280">
        <v>18</v>
      </c>
      <c r="B107" s="321">
        <v>5419</v>
      </c>
      <c r="C107" s="322">
        <v>600099261</v>
      </c>
      <c r="D107" s="281">
        <v>70946752</v>
      </c>
      <c r="E107" s="323" t="s">
        <v>383</v>
      </c>
      <c r="F107" s="281">
        <v>3143</v>
      </c>
      <c r="G107" s="323" t="s">
        <v>596</v>
      </c>
      <c r="H107" s="284" t="s">
        <v>272</v>
      </c>
      <c r="I107" s="419">
        <v>23052</v>
      </c>
      <c r="J107" s="414">
        <v>16500</v>
      </c>
      <c r="K107" s="414">
        <v>0</v>
      </c>
      <c r="L107" s="414">
        <v>16500</v>
      </c>
      <c r="M107" s="414">
        <v>0</v>
      </c>
      <c r="N107" s="414">
        <v>0</v>
      </c>
      <c r="O107" s="414">
        <v>0</v>
      </c>
      <c r="P107" s="68">
        <v>5577</v>
      </c>
      <c r="Q107" s="68">
        <v>165</v>
      </c>
      <c r="R107" s="414">
        <v>810</v>
      </c>
      <c r="S107" s="415">
        <v>6.1700000000000005E-2</v>
      </c>
      <c r="T107" s="416">
        <v>0</v>
      </c>
      <c r="U107" s="422">
        <v>6.1700000000000005E-2</v>
      </c>
      <c r="V107" s="423">
        <f t="shared" si="126"/>
        <v>0</v>
      </c>
      <c r="W107" s="417">
        <f t="shared" si="126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127"/>
        <v>0</v>
      </c>
      <c r="AF107" s="417">
        <f t="shared" si="128"/>
        <v>0</v>
      </c>
      <c r="AG107" s="417">
        <f t="shared" si="129"/>
        <v>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30"/>
        <v>0</v>
      </c>
      <c r="AN107" s="417">
        <f t="shared" si="131"/>
        <v>0</v>
      </c>
      <c r="AO107" s="417">
        <f t="shared" si="132"/>
        <v>0</v>
      </c>
      <c r="AP107" s="417">
        <f t="shared" si="133"/>
        <v>0</v>
      </c>
      <c r="AQ107" s="417">
        <f t="shared" si="133"/>
        <v>0</v>
      </c>
      <c r="AR107" s="417">
        <f t="shared" si="134"/>
        <v>0</v>
      </c>
      <c r="AS107" s="68">
        <f t="shared" si="135"/>
        <v>0</v>
      </c>
      <c r="AT107" s="68">
        <f t="shared" si="136"/>
        <v>0</v>
      </c>
      <c r="AU107" s="417">
        <v>0</v>
      </c>
      <c r="AV107" s="417">
        <v>0</v>
      </c>
      <c r="AW107" s="417">
        <v>0</v>
      </c>
      <c r="AX107" s="417">
        <f t="shared" si="137"/>
        <v>0</v>
      </c>
      <c r="AY107" s="417">
        <f t="shared" si="138"/>
        <v>0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39"/>
        <v>0</v>
      </c>
      <c r="BJ107" s="418">
        <f t="shared" si="140"/>
        <v>0</v>
      </c>
      <c r="BK107" s="420">
        <f t="shared" si="141"/>
        <v>0</v>
      </c>
      <c r="BL107" s="772">
        <f>I107+AY107</f>
        <v>23052</v>
      </c>
      <c r="BM107" s="417">
        <f>J107+AG107</f>
        <v>16500</v>
      </c>
      <c r="BN107" s="417">
        <f t="shared" si="178"/>
        <v>0</v>
      </c>
      <c r="BO107" s="417">
        <f t="shared" si="178"/>
        <v>16500</v>
      </c>
      <c r="BP107" s="417">
        <f>M107+AO107</f>
        <v>0</v>
      </c>
      <c r="BQ107" s="417">
        <f t="shared" si="179"/>
        <v>0</v>
      </c>
      <c r="BR107" s="417">
        <f t="shared" si="179"/>
        <v>0</v>
      </c>
      <c r="BS107" s="417">
        <f t="shared" si="180"/>
        <v>5577</v>
      </c>
      <c r="BT107" s="417">
        <f t="shared" si="180"/>
        <v>165</v>
      </c>
      <c r="BU107" s="417">
        <f>R107+AX107</f>
        <v>810</v>
      </c>
      <c r="BV107" s="418">
        <f>S107+BK107</f>
        <v>6.1700000000000005E-2</v>
      </c>
      <c r="BW107" s="418">
        <f t="shared" si="181"/>
        <v>0</v>
      </c>
      <c r="BX107" s="420">
        <f t="shared" si="181"/>
        <v>6.1700000000000005E-2</v>
      </c>
      <c r="BY107" s="994"/>
      <c r="BZ107" s="595"/>
      <c r="CA107" s="595"/>
      <c r="CB107" s="595"/>
      <c r="CC107" s="595"/>
      <c r="CD107" s="981"/>
      <c r="CE107" s="994"/>
      <c r="CF107" s="595"/>
      <c r="CG107" s="595"/>
      <c r="CH107" s="595"/>
      <c r="CI107" s="595"/>
      <c r="CJ107" s="981"/>
    </row>
    <row r="108" spans="1:88" ht="12.95" customHeight="1">
      <c r="A108" s="324">
        <v>18</v>
      </c>
      <c r="B108" s="325">
        <v>5419</v>
      </c>
      <c r="C108" s="326">
        <v>600099261</v>
      </c>
      <c r="D108" s="325">
        <v>70946752</v>
      </c>
      <c r="E108" s="327" t="s">
        <v>384</v>
      </c>
      <c r="F108" s="291"/>
      <c r="G108" s="329"/>
      <c r="H108" s="292"/>
      <c r="I108" s="472">
        <v>16924051</v>
      </c>
      <c r="J108" s="469">
        <v>12353515</v>
      </c>
      <c r="K108" s="469">
        <v>10231482</v>
      </c>
      <c r="L108" s="469">
        <v>2122033</v>
      </c>
      <c r="M108" s="469">
        <v>50000</v>
      </c>
      <c r="N108" s="469">
        <v>30000</v>
      </c>
      <c r="O108" s="469">
        <v>20000</v>
      </c>
      <c r="P108" s="469">
        <v>4192387</v>
      </c>
      <c r="Q108" s="469">
        <v>123534</v>
      </c>
      <c r="R108" s="469">
        <v>204615</v>
      </c>
      <c r="S108" s="470">
        <v>23.489199999999997</v>
      </c>
      <c r="T108" s="470">
        <v>17.401699999999998</v>
      </c>
      <c r="U108" s="532">
        <v>6.0875000000000012</v>
      </c>
      <c r="V108" s="472">
        <f t="shared" ref="V108:BK108" si="182">SUM(V103:V107)</f>
        <v>21000</v>
      </c>
      <c r="W108" s="469">
        <f t="shared" si="182"/>
        <v>20000</v>
      </c>
      <c r="X108" s="469">
        <f t="shared" si="182"/>
        <v>0</v>
      </c>
      <c r="Y108" s="469">
        <f t="shared" si="182"/>
        <v>0</v>
      </c>
      <c r="Z108" s="469">
        <f t="shared" si="182"/>
        <v>0</v>
      </c>
      <c r="AA108" s="469">
        <f t="shared" si="182"/>
        <v>-21900</v>
      </c>
      <c r="AB108" s="469">
        <f t="shared" si="182"/>
        <v>0</v>
      </c>
      <c r="AC108" s="469">
        <f t="shared" si="182"/>
        <v>0</v>
      </c>
      <c r="AD108" s="469">
        <f t="shared" si="182"/>
        <v>0</v>
      </c>
      <c r="AE108" s="469">
        <f t="shared" si="182"/>
        <v>21000</v>
      </c>
      <c r="AF108" s="469">
        <f t="shared" si="182"/>
        <v>-1900</v>
      </c>
      <c r="AG108" s="469">
        <f t="shared" si="182"/>
        <v>19100</v>
      </c>
      <c r="AH108" s="469">
        <f t="shared" si="182"/>
        <v>-21000</v>
      </c>
      <c r="AI108" s="469">
        <f t="shared" si="182"/>
        <v>-20000</v>
      </c>
      <c r="AJ108" s="469">
        <f t="shared" si="182"/>
        <v>0</v>
      </c>
      <c r="AK108" s="469">
        <f t="shared" si="182"/>
        <v>0</v>
      </c>
      <c r="AL108" s="469">
        <f t="shared" si="182"/>
        <v>0</v>
      </c>
      <c r="AM108" s="469">
        <f t="shared" si="182"/>
        <v>-21000</v>
      </c>
      <c r="AN108" s="469">
        <f t="shared" si="182"/>
        <v>-20000</v>
      </c>
      <c r="AO108" s="469">
        <f t="shared" si="182"/>
        <v>-41000</v>
      </c>
      <c r="AP108" s="469">
        <f t="shared" si="182"/>
        <v>0</v>
      </c>
      <c r="AQ108" s="469">
        <f t="shared" si="182"/>
        <v>-21900</v>
      </c>
      <c r="AR108" s="469">
        <f t="shared" si="182"/>
        <v>-21900</v>
      </c>
      <c r="AS108" s="469">
        <f t="shared" si="182"/>
        <v>-7402</v>
      </c>
      <c r="AT108" s="469">
        <f t="shared" si="182"/>
        <v>191</v>
      </c>
      <c r="AU108" s="469">
        <f t="shared" si="182"/>
        <v>0</v>
      </c>
      <c r="AV108" s="469">
        <f t="shared" si="182"/>
        <v>0</v>
      </c>
      <c r="AW108" s="469">
        <f t="shared" si="182"/>
        <v>0</v>
      </c>
      <c r="AX108" s="469">
        <f t="shared" si="182"/>
        <v>0</v>
      </c>
      <c r="AY108" s="469">
        <f t="shared" si="182"/>
        <v>-29111</v>
      </c>
      <c r="AZ108" s="470">
        <f t="shared" si="182"/>
        <v>0.02</v>
      </c>
      <c r="BA108" s="470">
        <f t="shared" si="182"/>
        <v>0.02</v>
      </c>
      <c r="BB108" s="470">
        <f t="shared" si="182"/>
        <v>0</v>
      </c>
      <c r="BC108" s="470">
        <f t="shared" si="182"/>
        <v>0</v>
      </c>
      <c r="BD108" s="470">
        <f t="shared" si="182"/>
        <v>-0.06</v>
      </c>
      <c r="BE108" s="470">
        <f t="shared" si="182"/>
        <v>0</v>
      </c>
      <c r="BF108" s="470">
        <f t="shared" si="182"/>
        <v>0</v>
      </c>
      <c r="BG108" s="470">
        <f t="shared" si="182"/>
        <v>0</v>
      </c>
      <c r="BH108" s="470">
        <f t="shared" si="182"/>
        <v>0</v>
      </c>
      <c r="BI108" s="470">
        <f t="shared" si="182"/>
        <v>0.02</v>
      </c>
      <c r="BJ108" s="470">
        <f t="shared" si="182"/>
        <v>-3.9999999999999994E-2</v>
      </c>
      <c r="BK108" s="333">
        <f t="shared" si="182"/>
        <v>-1.9999999999999997E-2</v>
      </c>
      <c r="BL108" s="775">
        <f t="shared" ref="BL108:CG108" si="183">SUM(BL103:BL107)</f>
        <v>16894940</v>
      </c>
      <c r="BM108" s="469">
        <f t="shared" si="183"/>
        <v>12372615</v>
      </c>
      <c r="BN108" s="469">
        <f t="shared" si="183"/>
        <v>10252482</v>
      </c>
      <c r="BO108" s="469">
        <f t="shared" si="183"/>
        <v>2120133</v>
      </c>
      <c r="BP108" s="469">
        <f t="shared" si="183"/>
        <v>9000</v>
      </c>
      <c r="BQ108" s="469">
        <f t="shared" si="183"/>
        <v>9000</v>
      </c>
      <c r="BR108" s="469">
        <f t="shared" si="183"/>
        <v>0</v>
      </c>
      <c r="BS108" s="469">
        <f t="shared" si="183"/>
        <v>4184985</v>
      </c>
      <c r="BT108" s="469">
        <f t="shared" si="183"/>
        <v>123725</v>
      </c>
      <c r="BU108" s="469">
        <f t="shared" si="183"/>
        <v>204615</v>
      </c>
      <c r="BV108" s="470">
        <f t="shared" si="183"/>
        <v>23.469199999999997</v>
      </c>
      <c r="BW108" s="470">
        <f t="shared" si="183"/>
        <v>17.421699999999998</v>
      </c>
      <c r="BX108" s="333">
        <f t="shared" si="183"/>
        <v>6.0475000000000012</v>
      </c>
      <c r="BY108" s="839">
        <f t="shared" si="183"/>
        <v>304109</v>
      </c>
      <c r="BZ108" s="722">
        <f t="shared" si="183"/>
        <v>225600</v>
      </c>
      <c r="CA108" s="722">
        <f t="shared" si="183"/>
        <v>0</v>
      </c>
      <c r="CB108" s="722">
        <f t="shared" si="183"/>
        <v>76253</v>
      </c>
      <c r="CC108" s="722">
        <f t="shared" si="183"/>
        <v>2256</v>
      </c>
      <c r="CD108" s="827">
        <f t="shared" si="183"/>
        <v>0.4</v>
      </c>
      <c r="CE108" s="996">
        <f t="shared" si="183"/>
        <v>569516</v>
      </c>
      <c r="CF108" s="996">
        <f t="shared" si="183"/>
        <v>385503</v>
      </c>
      <c r="CG108" s="996">
        <f t="shared" si="183"/>
        <v>130300</v>
      </c>
      <c r="CH108" s="996">
        <f t="shared" ref="CH108:CJ108" si="184">SUM(CH103:CH107)</f>
        <v>3855</v>
      </c>
      <c r="CI108" s="996">
        <f t="shared" si="184"/>
        <v>49858</v>
      </c>
      <c r="CJ108" s="934">
        <f t="shared" si="184"/>
        <v>1.0521</v>
      </c>
    </row>
    <row r="109" spans="1:88" ht="12.95" customHeight="1">
      <c r="A109" s="280">
        <v>19</v>
      </c>
      <c r="B109" s="321">
        <v>5425</v>
      </c>
      <c r="C109" s="330">
        <v>600099521</v>
      </c>
      <c r="D109" s="281">
        <v>854859</v>
      </c>
      <c r="E109" s="323" t="s">
        <v>385</v>
      </c>
      <c r="F109" s="281">
        <v>3233</v>
      </c>
      <c r="G109" s="323" t="s">
        <v>386</v>
      </c>
      <c r="H109" s="284" t="s">
        <v>272</v>
      </c>
      <c r="I109" s="419">
        <v>3022436</v>
      </c>
      <c r="J109" s="414">
        <v>2239494</v>
      </c>
      <c r="K109" s="414">
        <v>1690607</v>
      </c>
      <c r="L109" s="414">
        <v>548887</v>
      </c>
      <c r="M109" s="414">
        <v>0</v>
      </c>
      <c r="N109" s="414">
        <v>0</v>
      </c>
      <c r="O109" s="414">
        <v>0</v>
      </c>
      <c r="P109" s="68">
        <v>756949</v>
      </c>
      <c r="Q109" s="68">
        <v>22395</v>
      </c>
      <c r="R109" s="414">
        <v>3598</v>
      </c>
      <c r="S109" s="415">
        <v>4.83</v>
      </c>
      <c r="T109" s="416">
        <v>3.06</v>
      </c>
      <c r="U109" s="422">
        <v>1.77</v>
      </c>
      <c r="V109" s="423">
        <f t="shared" si="126"/>
        <v>0</v>
      </c>
      <c r="W109" s="417">
        <f t="shared" si="126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27"/>
        <v>0</v>
      </c>
      <c r="AF109" s="417">
        <f t="shared" si="128"/>
        <v>0</v>
      </c>
      <c r="AG109" s="417">
        <f t="shared" si="129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30"/>
        <v>0</v>
      </c>
      <c r="AN109" s="417">
        <f t="shared" si="131"/>
        <v>0</v>
      </c>
      <c r="AO109" s="417">
        <f t="shared" si="132"/>
        <v>0</v>
      </c>
      <c r="AP109" s="417">
        <f t="shared" si="133"/>
        <v>0</v>
      </c>
      <c r="AQ109" s="417">
        <f t="shared" si="133"/>
        <v>0</v>
      </c>
      <c r="AR109" s="417">
        <f t="shared" si="134"/>
        <v>0</v>
      </c>
      <c r="AS109" s="68">
        <f t="shared" si="135"/>
        <v>0</v>
      </c>
      <c r="AT109" s="68">
        <f t="shared" si="136"/>
        <v>0</v>
      </c>
      <c r="AU109" s="417">
        <v>0</v>
      </c>
      <c r="AV109" s="417">
        <v>0</v>
      </c>
      <c r="AW109" s="417">
        <v>0</v>
      </c>
      <c r="AX109" s="417">
        <f t="shared" si="137"/>
        <v>0</v>
      </c>
      <c r="AY109" s="417">
        <f t="shared" si="138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39"/>
        <v>0</v>
      </c>
      <c r="BJ109" s="418">
        <f t="shared" si="140"/>
        <v>0</v>
      </c>
      <c r="BK109" s="420">
        <f t="shared" si="141"/>
        <v>0</v>
      </c>
      <c r="BL109" s="772">
        <f>I109+AY109</f>
        <v>3022436</v>
      </c>
      <c r="BM109" s="417">
        <f>J109+AG109</f>
        <v>2239494</v>
      </c>
      <c r="BN109" s="417">
        <f>K109+AE109</f>
        <v>1690607</v>
      </c>
      <c r="BO109" s="417">
        <f>L109+AF109</f>
        <v>548887</v>
      </c>
      <c r="BP109" s="417">
        <f>M109+AO109</f>
        <v>0</v>
      </c>
      <c r="BQ109" s="417">
        <f>N109+AM109</f>
        <v>0</v>
      </c>
      <c r="BR109" s="417">
        <f>O109+AN109</f>
        <v>0</v>
      </c>
      <c r="BS109" s="417">
        <f>P109+AS109</f>
        <v>756949</v>
      </c>
      <c r="BT109" s="417">
        <f>Q109+AT109</f>
        <v>22395</v>
      </c>
      <c r="BU109" s="417">
        <f>R109+AX109</f>
        <v>3598</v>
      </c>
      <c r="BV109" s="418">
        <f>S109+BK109</f>
        <v>4.83</v>
      </c>
      <c r="BW109" s="418">
        <f>T109+BI109</f>
        <v>3.06</v>
      </c>
      <c r="BX109" s="420">
        <f>U109+BJ109</f>
        <v>1.77</v>
      </c>
      <c r="BY109" s="994"/>
      <c r="BZ109" s="595"/>
      <c r="CA109" s="595"/>
      <c r="CB109" s="595"/>
      <c r="CC109" s="595"/>
      <c r="CD109" s="981"/>
      <c r="CE109" s="994"/>
      <c r="CF109" s="595"/>
      <c r="CG109" s="595"/>
      <c r="CH109" s="595"/>
      <c r="CI109" s="595"/>
      <c r="CJ109" s="981"/>
    </row>
    <row r="110" spans="1:88" ht="12.95" customHeight="1">
      <c r="A110" s="324">
        <v>19</v>
      </c>
      <c r="B110" s="325">
        <v>5425</v>
      </c>
      <c r="C110" s="326">
        <v>600099521</v>
      </c>
      <c r="D110" s="325">
        <v>854859</v>
      </c>
      <c r="E110" s="327" t="s">
        <v>387</v>
      </c>
      <c r="F110" s="291"/>
      <c r="G110" s="329"/>
      <c r="H110" s="292"/>
      <c r="I110" s="471">
        <v>3022436</v>
      </c>
      <c r="J110" s="467">
        <v>2239494</v>
      </c>
      <c r="K110" s="467">
        <v>1690607</v>
      </c>
      <c r="L110" s="467">
        <v>548887</v>
      </c>
      <c r="M110" s="467">
        <v>0</v>
      </c>
      <c r="N110" s="467">
        <v>0</v>
      </c>
      <c r="O110" s="467">
        <v>0</v>
      </c>
      <c r="P110" s="467">
        <v>756949</v>
      </c>
      <c r="Q110" s="467">
        <v>22395</v>
      </c>
      <c r="R110" s="467">
        <v>3598</v>
      </c>
      <c r="S110" s="468">
        <v>4.83</v>
      </c>
      <c r="T110" s="468">
        <v>3.06</v>
      </c>
      <c r="U110" s="531">
        <v>1.77</v>
      </c>
      <c r="V110" s="471">
        <f t="shared" ref="V110:BK110" si="185">SUM(V109)</f>
        <v>0</v>
      </c>
      <c r="W110" s="467">
        <f t="shared" si="185"/>
        <v>0</v>
      </c>
      <c r="X110" s="467">
        <f t="shared" si="185"/>
        <v>0</v>
      </c>
      <c r="Y110" s="467">
        <f t="shared" si="185"/>
        <v>0</v>
      </c>
      <c r="Z110" s="467">
        <f t="shared" si="185"/>
        <v>0</v>
      </c>
      <c r="AA110" s="467">
        <f t="shared" si="185"/>
        <v>0</v>
      </c>
      <c r="AB110" s="467">
        <f t="shared" si="185"/>
        <v>0</v>
      </c>
      <c r="AC110" s="467">
        <f t="shared" si="185"/>
        <v>0</v>
      </c>
      <c r="AD110" s="467">
        <f t="shared" si="185"/>
        <v>0</v>
      </c>
      <c r="AE110" s="467">
        <f t="shared" si="185"/>
        <v>0</v>
      </c>
      <c r="AF110" s="467">
        <f t="shared" si="185"/>
        <v>0</v>
      </c>
      <c r="AG110" s="467">
        <f t="shared" si="185"/>
        <v>0</v>
      </c>
      <c r="AH110" s="467">
        <f t="shared" si="185"/>
        <v>0</v>
      </c>
      <c r="AI110" s="467">
        <f t="shared" si="185"/>
        <v>0</v>
      </c>
      <c r="AJ110" s="467">
        <f t="shared" si="185"/>
        <v>0</v>
      </c>
      <c r="AK110" s="467">
        <f t="shared" si="185"/>
        <v>0</v>
      </c>
      <c r="AL110" s="467">
        <f t="shared" si="185"/>
        <v>0</v>
      </c>
      <c r="AM110" s="467">
        <f t="shared" si="185"/>
        <v>0</v>
      </c>
      <c r="AN110" s="467">
        <f t="shared" si="185"/>
        <v>0</v>
      </c>
      <c r="AO110" s="467">
        <f t="shared" si="185"/>
        <v>0</v>
      </c>
      <c r="AP110" s="467">
        <f t="shared" si="185"/>
        <v>0</v>
      </c>
      <c r="AQ110" s="467">
        <f t="shared" si="185"/>
        <v>0</v>
      </c>
      <c r="AR110" s="467">
        <f t="shared" si="185"/>
        <v>0</v>
      </c>
      <c r="AS110" s="467">
        <f t="shared" si="185"/>
        <v>0</v>
      </c>
      <c r="AT110" s="467">
        <f t="shared" si="185"/>
        <v>0</v>
      </c>
      <c r="AU110" s="467">
        <f t="shared" si="185"/>
        <v>0</v>
      </c>
      <c r="AV110" s="467">
        <f t="shared" si="185"/>
        <v>0</v>
      </c>
      <c r="AW110" s="467">
        <f t="shared" si="185"/>
        <v>0</v>
      </c>
      <c r="AX110" s="467">
        <f t="shared" si="185"/>
        <v>0</v>
      </c>
      <c r="AY110" s="467">
        <f t="shared" si="185"/>
        <v>0</v>
      </c>
      <c r="AZ110" s="468">
        <f t="shared" si="185"/>
        <v>0</v>
      </c>
      <c r="BA110" s="468">
        <f t="shared" si="185"/>
        <v>0</v>
      </c>
      <c r="BB110" s="468">
        <f t="shared" si="185"/>
        <v>0</v>
      </c>
      <c r="BC110" s="468">
        <f t="shared" si="185"/>
        <v>0</v>
      </c>
      <c r="BD110" s="468">
        <f t="shared" si="185"/>
        <v>0</v>
      </c>
      <c r="BE110" s="468">
        <f t="shared" si="185"/>
        <v>0</v>
      </c>
      <c r="BF110" s="468">
        <f t="shared" si="185"/>
        <v>0</v>
      </c>
      <c r="BG110" s="468">
        <f t="shared" si="185"/>
        <v>0</v>
      </c>
      <c r="BH110" s="468">
        <f t="shared" si="185"/>
        <v>0</v>
      </c>
      <c r="BI110" s="468">
        <f t="shared" si="185"/>
        <v>0</v>
      </c>
      <c r="BJ110" s="468">
        <f t="shared" si="185"/>
        <v>0</v>
      </c>
      <c r="BK110" s="328">
        <f t="shared" si="185"/>
        <v>0</v>
      </c>
      <c r="BL110" s="774">
        <f t="shared" ref="BL110:CG110" si="186">SUM(BL109)</f>
        <v>3022436</v>
      </c>
      <c r="BM110" s="467">
        <f t="shared" si="186"/>
        <v>2239494</v>
      </c>
      <c r="BN110" s="467">
        <f t="shared" si="186"/>
        <v>1690607</v>
      </c>
      <c r="BO110" s="467">
        <f t="shared" si="186"/>
        <v>548887</v>
      </c>
      <c r="BP110" s="467">
        <f t="shared" si="186"/>
        <v>0</v>
      </c>
      <c r="BQ110" s="467">
        <f t="shared" si="186"/>
        <v>0</v>
      </c>
      <c r="BR110" s="467">
        <f t="shared" si="186"/>
        <v>0</v>
      </c>
      <c r="BS110" s="467">
        <f t="shared" si="186"/>
        <v>756949</v>
      </c>
      <c r="BT110" s="467">
        <f t="shared" si="186"/>
        <v>22395</v>
      </c>
      <c r="BU110" s="467">
        <f t="shared" si="186"/>
        <v>3598</v>
      </c>
      <c r="BV110" s="468">
        <f t="shared" si="186"/>
        <v>4.83</v>
      </c>
      <c r="BW110" s="468">
        <f t="shared" si="186"/>
        <v>3.06</v>
      </c>
      <c r="BX110" s="328">
        <f t="shared" si="186"/>
        <v>1.77</v>
      </c>
      <c r="BY110" s="838">
        <f t="shared" si="186"/>
        <v>0</v>
      </c>
      <c r="BZ110" s="721">
        <f t="shared" si="186"/>
        <v>0</v>
      </c>
      <c r="CA110" s="721">
        <f t="shared" si="186"/>
        <v>0</v>
      </c>
      <c r="CB110" s="721">
        <f t="shared" si="186"/>
        <v>0</v>
      </c>
      <c r="CC110" s="721">
        <f t="shared" si="186"/>
        <v>0</v>
      </c>
      <c r="CD110" s="826">
        <f t="shared" si="186"/>
        <v>0</v>
      </c>
      <c r="CE110" s="995">
        <f t="shared" si="186"/>
        <v>0</v>
      </c>
      <c r="CF110" s="995">
        <f t="shared" si="186"/>
        <v>0</v>
      </c>
      <c r="CG110" s="995">
        <f t="shared" si="186"/>
        <v>0</v>
      </c>
      <c r="CH110" s="995">
        <f t="shared" ref="CH110:CJ110" si="187">SUM(CH109)</f>
        <v>0</v>
      </c>
      <c r="CI110" s="995">
        <f t="shared" si="187"/>
        <v>0</v>
      </c>
      <c r="CJ110" s="933">
        <f t="shared" si="187"/>
        <v>0</v>
      </c>
    </row>
    <row r="111" spans="1:88" ht="12.95" customHeight="1">
      <c r="A111" s="280">
        <v>20</v>
      </c>
      <c r="B111" s="321">
        <v>5426</v>
      </c>
      <c r="C111" s="322">
        <v>600098761</v>
      </c>
      <c r="D111" s="281">
        <v>72742615</v>
      </c>
      <c r="E111" s="323" t="s">
        <v>388</v>
      </c>
      <c r="F111" s="281">
        <v>3111</v>
      </c>
      <c r="G111" s="323" t="s">
        <v>304</v>
      </c>
      <c r="H111" s="284" t="s">
        <v>271</v>
      </c>
      <c r="I111" s="419">
        <v>7094287</v>
      </c>
      <c r="J111" s="414">
        <v>5233670</v>
      </c>
      <c r="K111" s="414">
        <v>4541305</v>
      </c>
      <c r="L111" s="414">
        <v>692365</v>
      </c>
      <c r="M111" s="414">
        <v>0</v>
      </c>
      <c r="N111" s="414">
        <v>0</v>
      </c>
      <c r="O111" s="414">
        <v>0</v>
      </c>
      <c r="P111" s="68">
        <v>1768980</v>
      </c>
      <c r="Q111" s="68">
        <v>52337</v>
      </c>
      <c r="R111" s="414">
        <v>39300</v>
      </c>
      <c r="S111" s="415">
        <v>10.3561</v>
      </c>
      <c r="T111" s="416">
        <v>8</v>
      </c>
      <c r="U111" s="422">
        <v>2.3560999999999996</v>
      </c>
      <c r="V111" s="423">
        <f t="shared" si="126"/>
        <v>0</v>
      </c>
      <c r="W111" s="417">
        <f t="shared" si="126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27"/>
        <v>0</v>
      </c>
      <c r="AF111" s="417">
        <f t="shared" si="128"/>
        <v>0</v>
      </c>
      <c r="AG111" s="417">
        <f t="shared" si="129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30"/>
        <v>0</v>
      </c>
      <c r="AN111" s="417">
        <f t="shared" si="131"/>
        <v>0</v>
      </c>
      <c r="AO111" s="417">
        <f t="shared" si="132"/>
        <v>0</v>
      </c>
      <c r="AP111" s="417">
        <f t="shared" si="133"/>
        <v>0</v>
      </c>
      <c r="AQ111" s="417">
        <f t="shared" si="133"/>
        <v>0</v>
      </c>
      <c r="AR111" s="417">
        <f t="shared" si="134"/>
        <v>0</v>
      </c>
      <c r="AS111" s="68">
        <f t="shared" si="135"/>
        <v>0</v>
      </c>
      <c r="AT111" s="68">
        <f t="shared" si="136"/>
        <v>0</v>
      </c>
      <c r="AU111" s="417">
        <v>0</v>
      </c>
      <c r="AV111" s="417">
        <v>0</v>
      </c>
      <c r="AW111" s="417">
        <v>0</v>
      </c>
      <c r="AX111" s="417">
        <f t="shared" si="137"/>
        <v>0</v>
      </c>
      <c r="AY111" s="417">
        <f t="shared" si="138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39"/>
        <v>0</v>
      </c>
      <c r="BJ111" s="418">
        <f t="shared" si="140"/>
        <v>0</v>
      </c>
      <c r="BK111" s="420">
        <f t="shared" si="141"/>
        <v>0</v>
      </c>
      <c r="BL111" s="772">
        <f>I111+AY111</f>
        <v>7094287</v>
      </c>
      <c r="BM111" s="417">
        <f>J111+AG111</f>
        <v>5233670</v>
      </c>
      <c r="BN111" s="417">
        <f t="shared" ref="BN111:BO113" si="188">K111+AE111</f>
        <v>4541305</v>
      </c>
      <c r="BO111" s="417">
        <f t="shared" si="188"/>
        <v>692365</v>
      </c>
      <c r="BP111" s="417">
        <f>M111+AO111</f>
        <v>0</v>
      </c>
      <c r="BQ111" s="417">
        <f t="shared" ref="BQ111:BR113" si="189">N111+AM111</f>
        <v>0</v>
      </c>
      <c r="BR111" s="417">
        <f t="shared" si="189"/>
        <v>0</v>
      </c>
      <c r="BS111" s="417">
        <f t="shared" ref="BS111:BT113" si="190">P111+AS111</f>
        <v>1768980</v>
      </c>
      <c r="BT111" s="417">
        <f t="shared" si="190"/>
        <v>52337</v>
      </c>
      <c r="BU111" s="417">
        <f>R111+AX111</f>
        <v>39300</v>
      </c>
      <c r="BV111" s="418">
        <f>S111+BK111</f>
        <v>10.3561</v>
      </c>
      <c r="BW111" s="418">
        <f t="shared" ref="BW111:BX113" si="191">T111+BI111</f>
        <v>8</v>
      </c>
      <c r="BX111" s="420">
        <f t="shared" si="191"/>
        <v>2.3560999999999996</v>
      </c>
      <c r="BY111" s="994"/>
      <c r="BZ111" s="595"/>
      <c r="CA111" s="595"/>
      <c r="CB111" s="595"/>
      <c r="CC111" s="595"/>
      <c r="CD111" s="981"/>
      <c r="CE111" s="994">
        <v>312547</v>
      </c>
      <c r="CF111" s="595">
        <v>222163</v>
      </c>
      <c r="CG111" s="595">
        <v>75091</v>
      </c>
      <c r="CH111" s="595">
        <v>2222</v>
      </c>
      <c r="CI111" s="595">
        <v>13071</v>
      </c>
      <c r="CJ111" s="981">
        <v>0.75600000000000001</v>
      </c>
    </row>
    <row r="112" spans="1:88" ht="12.95" customHeight="1">
      <c r="A112" s="280">
        <v>20</v>
      </c>
      <c r="B112" s="321">
        <v>5426</v>
      </c>
      <c r="C112" s="322">
        <v>600098761</v>
      </c>
      <c r="D112" s="281">
        <v>72742615</v>
      </c>
      <c r="E112" s="323" t="s">
        <v>388</v>
      </c>
      <c r="F112" s="281">
        <v>3111</v>
      </c>
      <c r="G112" s="331" t="s">
        <v>298</v>
      </c>
      <c r="H112" s="284" t="s">
        <v>272</v>
      </c>
      <c r="I112" s="419">
        <v>1316343</v>
      </c>
      <c r="J112" s="414">
        <v>976516</v>
      </c>
      <c r="K112" s="414">
        <v>976516</v>
      </c>
      <c r="L112" s="414">
        <v>0</v>
      </c>
      <c r="M112" s="414">
        <v>0</v>
      </c>
      <c r="N112" s="414">
        <v>0</v>
      </c>
      <c r="O112" s="414">
        <v>0</v>
      </c>
      <c r="P112" s="68">
        <v>330062</v>
      </c>
      <c r="Q112" s="68">
        <v>9765</v>
      </c>
      <c r="R112" s="414">
        <v>0</v>
      </c>
      <c r="S112" s="415">
        <v>2.6</v>
      </c>
      <c r="T112" s="416">
        <v>2.6</v>
      </c>
      <c r="U112" s="422">
        <v>0</v>
      </c>
      <c r="V112" s="423">
        <f t="shared" si="126"/>
        <v>0</v>
      </c>
      <c r="W112" s="417">
        <f t="shared" si="126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127"/>
        <v>0</v>
      </c>
      <c r="AF112" s="417">
        <f t="shared" si="128"/>
        <v>0</v>
      </c>
      <c r="AG112" s="417">
        <f t="shared" si="129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30"/>
        <v>0</v>
      </c>
      <c r="AN112" s="417">
        <f t="shared" si="131"/>
        <v>0</v>
      </c>
      <c r="AO112" s="417">
        <f t="shared" si="132"/>
        <v>0</v>
      </c>
      <c r="AP112" s="417">
        <f t="shared" si="133"/>
        <v>0</v>
      </c>
      <c r="AQ112" s="417">
        <f t="shared" si="133"/>
        <v>0</v>
      </c>
      <c r="AR112" s="417">
        <f t="shared" si="134"/>
        <v>0</v>
      </c>
      <c r="AS112" s="68">
        <f t="shared" si="135"/>
        <v>0</v>
      </c>
      <c r="AT112" s="68">
        <f t="shared" si="136"/>
        <v>0</v>
      </c>
      <c r="AU112" s="417">
        <v>0</v>
      </c>
      <c r="AV112" s="417">
        <v>0</v>
      </c>
      <c r="AW112" s="417">
        <v>0</v>
      </c>
      <c r="AX112" s="417">
        <f t="shared" si="137"/>
        <v>0</v>
      </c>
      <c r="AY112" s="417">
        <f t="shared" si="138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39"/>
        <v>0</v>
      </c>
      <c r="BJ112" s="418">
        <f t="shared" si="140"/>
        <v>0</v>
      </c>
      <c r="BK112" s="420">
        <f t="shared" si="141"/>
        <v>0</v>
      </c>
      <c r="BL112" s="772">
        <f>I112+AY112</f>
        <v>1316343</v>
      </c>
      <c r="BM112" s="417">
        <f>J112+AG112</f>
        <v>976516</v>
      </c>
      <c r="BN112" s="417">
        <f t="shared" si="188"/>
        <v>976516</v>
      </c>
      <c r="BO112" s="417">
        <f t="shared" si="188"/>
        <v>0</v>
      </c>
      <c r="BP112" s="417">
        <f>M112+AO112</f>
        <v>0</v>
      </c>
      <c r="BQ112" s="417">
        <f t="shared" si="189"/>
        <v>0</v>
      </c>
      <c r="BR112" s="417">
        <f t="shared" si="189"/>
        <v>0</v>
      </c>
      <c r="BS112" s="417">
        <f t="shared" si="190"/>
        <v>330062</v>
      </c>
      <c r="BT112" s="417">
        <f t="shared" si="190"/>
        <v>9765</v>
      </c>
      <c r="BU112" s="417">
        <f>R112+AX112</f>
        <v>0</v>
      </c>
      <c r="BV112" s="418">
        <f>S112+BK112</f>
        <v>2.6</v>
      </c>
      <c r="BW112" s="418">
        <f t="shared" si="191"/>
        <v>2.6</v>
      </c>
      <c r="BX112" s="420">
        <f t="shared" si="191"/>
        <v>0</v>
      </c>
      <c r="BY112" s="994"/>
      <c r="BZ112" s="595"/>
      <c r="CA112" s="595"/>
      <c r="CB112" s="595"/>
      <c r="CC112" s="595"/>
      <c r="CD112" s="981"/>
      <c r="CE112" s="994"/>
      <c r="CF112" s="595"/>
      <c r="CG112" s="595"/>
      <c r="CH112" s="595"/>
      <c r="CI112" s="595"/>
      <c r="CJ112" s="981"/>
    </row>
    <row r="113" spans="1:88" ht="12.95" customHeight="1">
      <c r="A113" s="280">
        <v>20</v>
      </c>
      <c r="B113" s="321">
        <v>5426</v>
      </c>
      <c r="C113" s="322">
        <v>600098761</v>
      </c>
      <c r="D113" s="281">
        <v>72742615</v>
      </c>
      <c r="E113" s="323" t="s">
        <v>388</v>
      </c>
      <c r="F113" s="281">
        <v>3141</v>
      </c>
      <c r="G113" s="323" t="s">
        <v>294</v>
      </c>
      <c r="H113" s="284" t="s">
        <v>272</v>
      </c>
      <c r="I113" s="419">
        <v>1013408</v>
      </c>
      <c r="J113" s="414">
        <v>743467</v>
      </c>
      <c r="K113" s="414">
        <v>0</v>
      </c>
      <c r="L113" s="414">
        <v>743467</v>
      </c>
      <c r="M113" s="414">
        <v>5000</v>
      </c>
      <c r="N113" s="414">
        <v>0</v>
      </c>
      <c r="O113" s="414">
        <v>5000</v>
      </c>
      <c r="P113" s="68">
        <v>252982</v>
      </c>
      <c r="Q113" s="68">
        <v>7435</v>
      </c>
      <c r="R113" s="414">
        <v>4524</v>
      </c>
      <c r="S113" s="415">
        <v>2.2433000000000001</v>
      </c>
      <c r="T113" s="416">
        <v>0</v>
      </c>
      <c r="U113" s="422">
        <v>2.2433000000000001</v>
      </c>
      <c r="V113" s="423">
        <f t="shared" si="126"/>
        <v>0</v>
      </c>
      <c r="W113" s="417">
        <f t="shared" si="126"/>
        <v>-40000</v>
      </c>
      <c r="X113" s="417">
        <v>0</v>
      </c>
      <c r="Y113" s="417">
        <v>0</v>
      </c>
      <c r="Z113" s="417">
        <v>0</v>
      </c>
      <c r="AA113" s="417">
        <v>-7981</v>
      </c>
      <c r="AB113" s="417">
        <v>0</v>
      </c>
      <c r="AC113" s="417">
        <v>0</v>
      </c>
      <c r="AD113" s="417">
        <v>0</v>
      </c>
      <c r="AE113" s="417">
        <f t="shared" si="127"/>
        <v>0</v>
      </c>
      <c r="AF113" s="417">
        <f t="shared" si="128"/>
        <v>-47981</v>
      </c>
      <c r="AG113" s="417">
        <f t="shared" si="129"/>
        <v>-47981</v>
      </c>
      <c r="AH113" s="417">
        <v>0</v>
      </c>
      <c r="AI113" s="417">
        <v>40000</v>
      </c>
      <c r="AJ113" s="417">
        <v>0</v>
      </c>
      <c r="AK113" s="417">
        <v>0</v>
      </c>
      <c r="AL113" s="417">
        <v>0</v>
      </c>
      <c r="AM113" s="417">
        <f t="shared" si="130"/>
        <v>0</v>
      </c>
      <c r="AN113" s="417">
        <f t="shared" si="131"/>
        <v>40000</v>
      </c>
      <c r="AO113" s="417">
        <f t="shared" si="132"/>
        <v>40000</v>
      </c>
      <c r="AP113" s="417">
        <f t="shared" si="133"/>
        <v>0</v>
      </c>
      <c r="AQ113" s="417">
        <f t="shared" si="133"/>
        <v>-7981</v>
      </c>
      <c r="AR113" s="417">
        <f t="shared" si="134"/>
        <v>-7981</v>
      </c>
      <c r="AS113" s="68">
        <f t="shared" si="135"/>
        <v>-2698</v>
      </c>
      <c r="AT113" s="68">
        <f t="shared" si="136"/>
        <v>-480</v>
      </c>
      <c r="AU113" s="417">
        <v>0</v>
      </c>
      <c r="AV113" s="417">
        <v>0</v>
      </c>
      <c r="AW113" s="417">
        <v>0</v>
      </c>
      <c r="AX113" s="417">
        <f t="shared" si="137"/>
        <v>0</v>
      </c>
      <c r="AY113" s="417">
        <f t="shared" si="138"/>
        <v>-11159</v>
      </c>
      <c r="AZ113" s="418">
        <v>0</v>
      </c>
      <c r="BA113" s="418">
        <v>0</v>
      </c>
      <c r="BB113" s="418">
        <v>0</v>
      </c>
      <c r="BC113" s="418">
        <v>0</v>
      </c>
      <c r="BD113" s="418">
        <v>-0.03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39"/>
        <v>0</v>
      </c>
      <c r="BJ113" s="418">
        <f t="shared" si="140"/>
        <v>-0.03</v>
      </c>
      <c r="BK113" s="420">
        <f t="shared" si="141"/>
        <v>-0.03</v>
      </c>
      <c r="BL113" s="772">
        <f>I113+AY113</f>
        <v>1002249</v>
      </c>
      <c r="BM113" s="417">
        <f>J113+AG113</f>
        <v>695486</v>
      </c>
      <c r="BN113" s="417">
        <f t="shared" si="188"/>
        <v>0</v>
      </c>
      <c r="BO113" s="417">
        <f t="shared" si="188"/>
        <v>695486</v>
      </c>
      <c r="BP113" s="417">
        <f>M113+AO113</f>
        <v>45000</v>
      </c>
      <c r="BQ113" s="417">
        <f t="shared" si="189"/>
        <v>0</v>
      </c>
      <c r="BR113" s="417">
        <f t="shared" si="189"/>
        <v>45000</v>
      </c>
      <c r="BS113" s="417">
        <f t="shared" si="190"/>
        <v>250284</v>
      </c>
      <c r="BT113" s="417">
        <f t="shared" si="190"/>
        <v>6955</v>
      </c>
      <c r="BU113" s="417">
        <f>R113+AX113</f>
        <v>4524</v>
      </c>
      <c r="BV113" s="418">
        <f>S113+BK113</f>
        <v>2.2133000000000003</v>
      </c>
      <c r="BW113" s="418">
        <f t="shared" si="191"/>
        <v>0</v>
      </c>
      <c r="BX113" s="420">
        <f t="shared" si="191"/>
        <v>2.2133000000000003</v>
      </c>
      <c r="BY113" s="994"/>
      <c r="BZ113" s="595"/>
      <c r="CA113" s="595"/>
      <c r="CB113" s="595"/>
      <c r="CC113" s="595"/>
      <c r="CD113" s="981"/>
      <c r="CE113" s="994"/>
      <c r="CF113" s="595"/>
      <c r="CG113" s="595"/>
      <c r="CH113" s="595"/>
      <c r="CI113" s="595"/>
      <c r="CJ113" s="981"/>
    </row>
    <row r="114" spans="1:88" ht="12.95" customHeight="1">
      <c r="A114" s="324">
        <v>20</v>
      </c>
      <c r="B114" s="325">
        <v>5426</v>
      </c>
      <c r="C114" s="326">
        <v>600098761</v>
      </c>
      <c r="D114" s="325">
        <v>72742615</v>
      </c>
      <c r="E114" s="327" t="s">
        <v>389</v>
      </c>
      <c r="F114" s="291"/>
      <c r="G114" s="329"/>
      <c r="H114" s="292"/>
      <c r="I114" s="472">
        <v>9424038</v>
      </c>
      <c r="J114" s="469">
        <v>6953653</v>
      </c>
      <c r="K114" s="469">
        <v>5517821</v>
      </c>
      <c r="L114" s="469">
        <v>1435832</v>
      </c>
      <c r="M114" s="469">
        <v>5000</v>
      </c>
      <c r="N114" s="469">
        <v>0</v>
      </c>
      <c r="O114" s="469">
        <v>5000</v>
      </c>
      <c r="P114" s="469">
        <v>2352024</v>
      </c>
      <c r="Q114" s="469">
        <v>69537</v>
      </c>
      <c r="R114" s="469">
        <v>43824</v>
      </c>
      <c r="S114" s="470">
        <v>15.199399999999999</v>
      </c>
      <c r="T114" s="470">
        <v>10.6</v>
      </c>
      <c r="U114" s="532">
        <v>4.5993999999999993</v>
      </c>
      <c r="V114" s="472">
        <f t="shared" ref="V114:BK114" si="192">SUM(V111:V113)</f>
        <v>0</v>
      </c>
      <c r="W114" s="469">
        <f t="shared" si="192"/>
        <v>-40000</v>
      </c>
      <c r="X114" s="469">
        <f t="shared" si="192"/>
        <v>0</v>
      </c>
      <c r="Y114" s="469">
        <f t="shared" si="192"/>
        <v>0</v>
      </c>
      <c r="Z114" s="469">
        <f t="shared" si="192"/>
        <v>0</v>
      </c>
      <c r="AA114" s="469">
        <f t="shared" si="192"/>
        <v>-7981</v>
      </c>
      <c r="AB114" s="469">
        <f t="shared" si="192"/>
        <v>0</v>
      </c>
      <c r="AC114" s="469">
        <f t="shared" si="192"/>
        <v>0</v>
      </c>
      <c r="AD114" s="469">
        <f t="shared" si="192"/>
        <v>0</v>
      </c>
      <c r="AE114" s="469">
        <f t="shared" si="192"/>
        <v>0</v>
      </c>
      <c r="AF114" s="469">
        <f t="shared" si="192"/>
        <v>-47981</v>
      </c>
      <c r="AG114" s="469">
        <f t="shared" si="192"/>
        <v>-47981</v>
      </c>
      <c r="AH114" s="469">
        <f t="shared" si="192"/>
        <v>0</v>
      </c>
      <c r="AI114" s="469">
        <f t="shared" si="192"/>
        <v>40000</v>
      </c>
      <c r="AJ114" s="469">
        <f t="shared" si="192"/>
        <v>0</v>
      </c>
      <c r="AK114" s="469">
        <f t="shared" si="192"/>
        <v>0</v>
      </c>
      <c r="AL114" s="469">
        <f t="shared" si="192"/>
        <v>0</v>
      </c>
      <c r="AM114" s="469">
        <f t="shared" si="192"/>
        <v>0</v>
      </c>
      <c r="AN114" s="469">
        <f t="shared" si="192"/>
        <v>40000</v>
      </c>
      <c r="AO114" s="469">
        <f t="shared" si="192"/>
        <v>40000</v>
      </c>
      <c r="AP114" s="469">
        <f t="shared" si="192"/>
        <v>0</v>
      </c>
      <c r="AQ114" s="469">
        <f t="shared" si="192"/>
        <v>-7981</v>
      </c>
      <c r="AR114" s="469">
        <f t="shared" si="192"/>
        <v>-7981</v>
      </c>
      <c r="AS114" s="469">
        <f t="shared" si="192"/>
        <v>-2698</v>
      </c>
      <c r="AT114" s="469">
        <f t="shared" si="192"/>
        <v>-480</v>
      </c>
      <c r="AU114" s="469">
        <f t="shared" si="192"/>
        <v>0</v>
      </c>
      <c r="AV114" s="469">
        <f t="shared" si="192"/>
        <v>0</v>
      </c>
      <c r="AW114" s="469">
        <f t="shared" si="192"/>
        <v>0</v>
      </c>
      <c r="AX114" s="469">
        <f t="shared" si="192"/>
        <v>0</v>
      </c>
      <c r="AY114" s="469">
        <f t="shared" si="192"/>
        <v>-11159</v>
      </c>
      <c r="AZ114" s="470">
        <f t="shared" si="192"/>
        <v>0</v>
      </c>
      <c r="BA114" s="470">
        <f t="shared" si="192"/>
        <v>0</v>
      </c>
      <c r="BB114" s="470">
        <f t="shared" si="192"/>
        <v>0</v>
      </c>
      <c r="BC114" s="470">
        <f t="shared" si="192"/>
        <v>0</v>
      </c>
      <c r="BD114" s="470">
        <f t="shared" si="192"/>
        <v>-0.03</v>
      </c>
      <c r="BE114" s="470">
        <f t="shared" si="192"/>
        <v>0</v>
      </c>
      <c r="BF114" s="470">
        <f t="shared" si="192"/>
        <v>0</v>
      </c>
      <c r="BG114" s="470">
        <f t="shared" si="192"/>
        <v>0</v>
      </c>
      <c r="BH114" s="470">
        <f t="shared" si="192"/>
        <v>0</v>
      </c>
      <c r="BI114" s="470">
        <f t="shared" si="192"/>
        <v>0</v>
      </c>
      <c r="BJ114" s="470">
        <f t="shared" si="192"/>
        <v>-0.03</v>
      </c>
      <c r="BK114" s="333">
        <f t="shared" si="192"/>
        <v>-0.03</v>
      </c>
      <c r="BL114" s="775">
        <f t="shared" ref="BL114:CG114" si="193">SUM(BL111:BL113)</f>
        <v>9412879</v>
      </c>
      <c r="BM114" s="469">
        <f t="shared" si="193"/>
        <v>6905672</v>
      </c>
      <c r="BN114" s="469">
        <f t="shared" si="193"/>
        <v>5517821</v>
      </c>
      <c r="BO114" s="469">
        <f t="shared" si="193"/>
        <v>1387851</v>
      </c>
      <c r="BP114" s="469">
        <f t="shared" si="193"/>
        <v>45000</v>
      </c>
      <c r="BQ114" s="469">
        <f t="shared" si="193"/>
        <v>0</v>
      </c>
      <c r="BR114" s="469">
        <f t="shared" si="193"/>
        <v>45000</v>
      </c>
      <c r="BS114" s="469">
        <f t="shared" si="193"/>
        <v>2349326</v>
      </c>
      <c r="BT114" s="469">
        <f t="shared" si="193"/>
        <v>69057</v>
      </c>
      <c r="BU114" s="469">
        <f t="shared" si="193"/>
        <v>43824</v>
      </c>
      <c r="BV114" s="470">
        <f t="shared" si="193"/>
        <v>15.1694</v>
      </c>
      <c r="BW114" s="470">
        <f t="shared" si="193"/>
        <v>10.6</v>
      </c>
      <c r="BX114" s="333">
        <f t="shared" si="193"/>
        <v>4.5693999999999999</v>
      </c>
      <c r="BY114" s="839">
        <f t="shared" si="193"/>
        <v>0</v>
      </c>
      <c r="BZ114" s="722">
        <f t="shared" si="193"/>
        <v>0</v>
      </c>
      <c r="CA114" s="722">
        <f t="shared" si="193"/>
        <v>0</v>
      </c>
      <c r="CB114" s="722">
        <f t="shared" si="193"/>
        <v>0</v>
      </c>
      <c r="CC114" s="722">
        <f t="shared" si="193"/>
        <v>0</v>
      </c>
      <c r="CD114" s="827">
        <f t="shared" si="193"/>
        <v>0</v>
      </c>
      <c r="CE114" s="996">
        <f t="shared" si="193"/>
        <v>312547</v>
      </c>
      <c r="CF114" s="996">
        <f t="shared" si="193"/>
        <v>222163</v>
      </c>
      <c r="CG114" s="996">
        <f t="shared" si="193"/>
        <v>75091</v>
      </c>
      <c r="CH114" s="996">
        <f t="shared" ref="CH114:CJ114" si="194">SUM(CH111:CH113)</f>
        <v>2222</v>
      </c>
      <c r="CI114" s="996">
        <f t="shared" si="194"/>
        <v>13071</v>
      </c>
      <c r="CJ114" s="934">
        <f t="shared" si="194"/>
        <v>0.75600000000000001</v>
      </c>
    </row>
    <row r="115" spans="1:88" ht="12.95" customHeight="1">
      <c r="A115" s="280">
        <v>21</v>
      </c>
      <c r="B115" s="321">
        <v>5423</v>
      </c>
      <c r="C115" s="322">
        <v>600098516</v>
      </c>
      <c r="D115" s="281">
        <v>72742453</v>
      </c>
      <c r="E115" s="323" t="s">
        <v>390</v>
      </c>
      <c r="F115" s="281">
        <v>3111</v>
      </c>
      <c r="G115" s="323" t="s">
        <v>304</v>
      </c>
      <c r="H115" s="284" t="s">
        <v>271</v>
      </c>
      <c r="I115" s="419">
        <v>10949238</v>
      </c>
      <c r="J115" s="414">
        <v>8079479</v>
      </c>
      <c r="K115" s="414">
        <v>6958034</v>
      </c>
      <c r="L115" s="414">
        <v>1121445</v>
      </c>
      <c r="M115" s="414">
        <v>0</v>
      </c>
      <c r="N115" s="414">
        <v>0</v>
      </c>
      <c r="O115" s="414">
        <v>0</v>
      </c>
      <c r="P115" s="68">
        <v>2730864</v>
      </c>
      <c r="Q115" s="68">
        <v>80795</v>
      </c>
      <c r="R115" s="414">
        <v>58100</v>
      </c>
      <c r="S115" s="415">
        <v>15.793699999999999</v>
      </c>
      <c r="T115" s="416">
        <v>11.935499999999999</v>
      </c>
      <c r="U115" s="422">
        <v>3.8582000000000001</v>
      </c>
      <c r="V115" s="423">
        <f t="shared" si="126"/>
        <v>0</v>
      </c>
      <c r="W115" s="417">
        <f t="shared" si="126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27"/>
        <v>0</v>
      </c>
      <c r="AF115" s="417">
        <f t="shared" si="128"/>
        <v>0</v>
      </c>
      <c r="AG115" s="417">
        <f t="shared" si="129"/>
        <v>0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30"/>
        <v>0</v>
      </c>
      <c r="AN115" s="417">
        <f t="shared" si="131"/>
        <v>0</v>
      </c>
      <c r="AO115" s="417">
        <f t="shared" si="132"/>
        <v>0</v>
      </c>
      <c r="AP115" s="417">
        <f t="shared" si="133"/>
        <v>0</v>
      </c>
      <c r="AQ115" s="417">
        <f t="shared" si="133"/>
        <v>0</v>
      </c>
      <c r="AR115" s="417">
        <f t="shared" si="134"/>
        <v>0</v>
      </c>
      <c r="AS115" s="68">
        <f t="shared" si="135"/>
        <v>0</v>
      </c>
      <c r="AT115" s="68">
        <f t="shared" si="136"/>
        <v>0</v>
      </c>
      <c r="AU115" s="417">
        <v>0</v>
      </c>
      <c r="AV115" s="417">
        <v>0</v>
      </c>
      <c r="AW115" s="417">
        <v>0</v>
      </c>
      <c r="AX115" s="417">
        <f t="shared" si="137"/>
        <v>0</v>
      </c>
      <c r="AY115" s="417">
        <f t="shared" si="138"/>
        <v>0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39"/>
        <v>0</v>
      </c>
      <c r="BJ115" s="418">
        <f t="shared" si="140"/>
        <v>0</v>
      </c>
      <c r="BK115" s="420">
        <f t="shared" si="141"/>
        <v>0</v>
      </c>
      <c r="BL115" s="772">
        <f>I115+AY115</f>
        <v>10949238</v>
      </c>
      <c r="BM115" s="417">
        <f>J115+AG115</f>
        <v>8079479</v>
      </c>
      <c r="BN115" s="417">
        <f t="shared" ref="BN115:BO117" si="195">K115+AE115</f>
        <v>6958034</v>
      </c>
      <c r="BO115" s="417">
        <f t="shared" si="195"/>
        <v>1121445</v>
      </c>
      <c r="BP115" s="417">
        <f>M115+AO115</f>
        <v>0</v>
      </c>
      <c r="BQ115" s="417">
        <f t="shared" ref="BQ115:BR117" si="196">N115+AM115</f>
        <v>0</v>
      </c>
      <c r="BR115" s="417">
        <f t="shared" si="196"/>
        <v>0</v>
      </c>
      <c r="BS115" s="417">
        <f t="shared" ref="BS115:BT117" si="197">P115+AS115</f>
        <v>2730864</v>
      </c>
      <c r="BT115" s="417">
        <f t="shared" si="197"/>
        <v>80795</v>
      </c>
      <c r="BU115" s="417">
        <f>R115+AX115</f>
        <v>58100</v>
      </c>
      <c r="BV115" s="418">
        <f>S115+BK115</f>
        <v>15.793699999999999</v>
      </c>
      <c r="BW115" s="418">
        <f t="shared" ref="BW115:BX117" si="198">T115+BI115</f>
        <v>11.935499999999999</v>
      </c>
      <c r="BX115" s="420">
        <f t="shared" si="198"/>
        <v>3.8582000000000001</v>
      </c>
      <c r="BY115" s="998"/>
      <c r="BZ115" s="983"/>
      <c r="CA115" s="983"/>
      <c r="CB115" s="983"/>
      <c r="CC115" s="983"/>
      <c r="CD115" s="984"/>
      <c r="CE115" s="841">
        <v>504404</v>
      </c>
      <c r="CF115" s="729">
        <v>359853</v>
      </c>
      <c r="CG115" s="729">
        <v>121630</v>
      </c>
      <c r="CH115" s="729">
        <v>3599</v>
      </c>
      <c r="CI115" s="729">
        <v>19322</v>
      </c>
      <c r="CJ115" s="828">
        <v>1.238</v>
      </c>
    </row>
    <row r="116" spans="1:88" ht="12.95" customHeight="1">
      <c r="A116" s="280">
        <v>21</v>
      </c>
      <c r="B116" s="321">
        <v>5423</v>
      </c>
      <c r="C116" s="322">
        <v>600098516</v>
      </c>
      <c r="D116" s="281">
        <v>72742453</v>
      </c>
      <c r="E116" s="323" t="s">
        <v>390</v>
      </c>
      <c r="F116" s="281">
        <v>3111</v>
      </c>
      <c r="G116" s="323" t="s">
        <v>298</v>
      </c>
      <c r="H116" s="284" t="s">
        <v>272</v>
      </c>
      <c r="I116" s="419">
        <v>1686959</v>
      </c>
      <c r="J116" s="414">
        <v>1251453</v>
      </c>
      <c r="K116" s="414">
        <v>1251453</v>
      </c>
      <c r="L116" s="414">
        <v>0</v>
      </c>
      <c r="M116" s="414">
        <v>0</v>
      </c>
      <c r="N116" s="414">
        <v>0</v>
      </c>
      <c r="O116" s="414">
        <v>0</v>
      </c>
      <c r="P116" s="68">
        <v>422991</v>
      </c>
      <c r="Q116" s="68">
        <v>12515</v>
      </c>
      <c r="R116" s="414">
        <v>0</v>
      </c>
      <c r="S116" s="415">
        <v>3.38</v>
      </c>
      <c r="T116" s="416">
        <v>3.38</v>
      </c>
      <c r="U116" s="422">
        <v>0</v>
      </c>
      <c r="V116" s="423">
        <f t="shared" si="126"/>
        <v>0</v>
      </c>
      <c r="W116" s="417">
        <f t="shared" si="126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27"/>
        <v>0</v>
      </c>
      <c r="AF116" s="417">
        <f t="shared" si="128"/>
        <v>0</v>
      </c>
      <c r="AG116" s="417">
        <f t="shared" si="129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30"/>
        <v>0</v>
      </c>
      <c r="AN116" s="417">
        <f t="shared" si="131"/>
        <v>0</v>
      </c>
      <c r="AO116" s="417">
        <f t="shared" si="132"/>
        <v>0</v>
      </c>
      <c r="AP116" s="417">
        <f t="shared" si="133"/>
        <v>0</v>
      </c>
      <c r="AQ116" s="417">
        <f t="shared" si="133"/>
        <v>0</v>
      </c>
      <c r="AR116" s="417">
        <f t="shared" si="134"/>
        <v>0</v>
      </c>
      <c r="AS116" s="68">
        <f t="shared" si="135"/>
        <v>0</v>
      </c>
      <c r="AT116" s="68">
        <f t="shared" si="136"/>
        <v>0</v>
      </c>
      <c r="AU116" s="417">
        <v>0</v>
      </c>
      <c r="AV116" s="417">
        <v>0</v>
      </c>
      <c r="AW116" s="417">
        <v>0</v>
      </c>
      <c r="AX116" s="417">
        <f t="shared" si="137"/>
        <v>0</v>
      </c>
      <c r="AY116" s="417">
        <f t="shared" si="138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39"/>
        <v>0</v>
      </c>
      <c r="BJ116" s="418">
        <f t="shared" si="140"/>
        <v>0</v>
      </c>
      <c r="BK116" s="420">
        <f t="shared" si="141"/>
        <v>0</v>
      </c>
      <c r="BL116" s="772">
        <f>I116+AY116</f>
        <v>1686959</v>
      </c>
      <c r="BM116" s="417">
        <f>J116+AG116</f>
        <v>1251453</v>
      </c>
      <c r="BN116" s="417">
        <f t="shared" si="195"/>
        <v>1251453</v>
      </c>
      <c r="BO116" s="417">
        <f t="shared" si="195"/>
        <v>0</v>
      </c>
      <c r="BP116" s="417">
        <f>M116+AO116</f>
        <v>0</v>
      </c>
      <c r="BQ116" s="417">
        <f t="shared" si="196"/>
        <v>0</v>
      </c>
      <c r="BR116" s="417">
        <f t="shared" si="196"/>
        <v>0</v>
      </c>
      <c r="BS116" s="417">
        <f t="shared" si="197"/>
        <v>422991</v>
      </c>
      <c r="BT116" s="417">
        <f t="shared" si="197"/>
        <v>12515</v>
      </c>
      <c r="BU116" s="417">
        <f>R116+AX116</f>
        <v>0</v>
      </c>
      <c r="BV116" s="418">
        <f>S116+BK116</f>
        <v>3.38</v>
      </c>
      <c r="BW116" s="418">
        <f t="shared" si="198"/>
        <v>3.38</v>
      </c>
      <c r="BX116" s="420">
        <f t="shared" si="198"/>
        <v>0</v>
      </c>
      <c r="BY116" s="998"/>
      <c r="BZ116" s="983"/>
      <c r="CA116" s="983"/>
      <c r="CB116" s="983"/>
      <c r="CC116" s="983"/>
      <c r="CD116" s="984"/>
      <c r="CE116" s="841"/>
      <c r="CF116" s="729"/>
      <c r="CG116" s="729"/>
      <c r="CH116" s="729"/>
      <c r="CI116" s="729"/>
      <c r="CJ116" s="828"/>
    </row>
    <row r="117" spans="1:88" ht="12.95" customHeight="1">
      <c r="A117" s="280">
        <v>21</v>
      </c>
      <c r="B117" s="321">
        <v>5423</v>
      </c>
      <c r="C117" s="322">
        <v>600098516</v>
      </c>
      <c r="D117" s="281">
        <v>72742453</v>
      </c>
      <c r="E117" s="323" t="s">
        <v>390</v>
      </c>
      <c r="F117" s="281">
        <v>3141</v>
      </c>
      <c r="G117" s="323" t="s">
        <v>294</v>
      </c>
      <c r="H117" s="284" t="s">
        <v>272</v>
      </c>
      <c r="I117" s="419">
        <v>1677516</v>
      </c>
      <c r="J117" s="414">
        <v>1238745</v>
      </c>
      <c r="K117" s="414">
        <v>0</v>
      </c>
      <c r="L117" s="414">
        <v>1238745</v>
      </c>
      <c r="M117" s="414">
        <v>0</v>
      </c>
      <c r="N117" s="414">
        <v>0</v>
      </c>
      <c r="O117" s="414">
        <v>0</v>
      </c>
      <c r="P117" s="68">
        <v>418696</v>
      </c>
      <c r="Q117" s="68">
        <v>12387</v>
      </c>
      <c r="R117" s="414">
        <v>7688</v>
      </c>
      <c r="S117" s="415">
        <v>3.7133000000000003</v>
      </c>
      <c r="T117" s="416">
        <v>0</v>
      </c>
      <c r="U117" s="422">
        <v>3.7133000000000003</v>
      </c>
      <c r="V117" s="423">
        <f t="shared" si="126"/>
        <v>0</v>
      </c>
      <c r="W117" s="417">
        <f t="shared" si="126"/>
        <v>0</v>
      </c>
      <c r="X117" s="417">
        <v>0</v>
      </c>
      <c r="Y117" s="417">
        <v>0</v>
      </c>
      <c r="Z117" s="417">
        <v>0</v>
      </c>
      <c r="AA117" s="417">
        <v>-14903</v>
      </c>
      <c r="AB117" s="417">
        <v>0</v>
      </c>
      <c r="AC117" s="417">
        <v>0</v>
      </c>
      <c r="AD117" s="417">
        <v>0</v>
      </c>
      <c r="AE117" s="417">
        <f t="shared" si="127"/>
        <v>0</v>
      </c>
      <c r="AF117" s="417">
        <f t="shared" si="128"/>
        <v>-14903</v>
      </c>
      <c r="AG117" s="417">
        <f t="shared" si="129"/>
        <v>-14903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30"/>
        <v>0</v>
      </c>
      <c r="AN117" s="417">
        <f t="shared" si="131"/>
        <v>0</v>
      </c>
      <c r="AO117" s="417">
        <f t="shared" si="132"/>
        <v>0</v>
      </c>
      <c r="AP117" s="417">
        <f t="shared" si="133"/>
        <v>0</v>
      </c>
      <c r="AQ117" s="417">
        <f t="shared" si="133"/>
        <v>-14903</v>
      </c>
      <c r="AR117" s="417">
        <f t="shared" si="134"/>
        <v>-14903</v>
      </c>
      <c r="AS117" s="68">
        <f t="shared" si="135"/>
        <v>-5037</v>
      </c>
      <c r="AT117" s="68">
        <f t="shared" si="136"/>
        <v>-149</v>
      </c>
      <c r="AU117" s="417">
        <v>0</v>
      </c>
      <c r="AV117" s="417">
        <v>0</v>
      </c>
      <c r="AW117" s="417">
        <v>0</v>
      </c>
      <c r="AX117" s="417">
        <f t="shared" si="137"/>
        <v>0</v>
      </c>
      <c r="AY117" s="417">
        <f t="shared" si="138"/>
        <v>-20089</v>
      </c>
      <c r="AZ117" s="418">
        <v>0</v>
      </c>
      <c r="BA117" s="418">
        <v>0</v>
      </c>
      <c r="BB117" s="418">
        <v>0</v>
      </c>
      <c r="BC117" s="418">
        <v>0</v>
      </c>
      <c r="BD117" s="418">
        <v>-0.04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39"/>
        <v>0</v>
      </c>
      <c r="BJ117" s="418">
        <f t="shared" si="140"/>
        <v>-0.04</v>
      </c>
      <c r="BK117" s="420">
        <f t="shared" si="141"/>
        <v>-0.04</v>
      </c>
      <c r="BL117" s="772">
        <f>I117+AY117</f>
        <v>1657427</v>
      </c>
      <c r="BM117" s="417">
        <f>J117+AG117</f>
        <v>1223842</v>
      </c>
      <c r="BN117" s="417">
        <f t="shared" si="195"/>
        <v>0</v>
      </c>
      <c r="BO117" s="417">
        <f t="shared" si="195"/>
        <v>1223842</v>
      </c>
      <c r="BP117" s="417">
        <f>M117+AO117</f>
        <v>0</v>
      </c>
      <c r="BQ117" s="417">
        <f t="shared" si="196"/>
        <v>0</v>
      </c>
      <c r="BR117" s="417">
        <f t="shared" si="196"/>
        <v>0</v>
      </c>
      <c r="BS117" s="417">
        <f t="shared" si="197"/>
        <v>413659</v>
      </c>
      <c r="BT117" s="417">
        <f t="shared" si="197"/>
        <v>12238</v>
      </c>
      <c r="BU117" s="417">
        <f>R117+AX117</f>
        <v>7688</v>
      </c>
      <c r="BV117" s="418">
        <f>S117+BK117</f>
        <v>3.6733000000000002</v>
      </c>
      <c r="BW117" s="418">
        <f t="shared" si="198"/>
        <v>0</v>
      </c>
      <c r="BX117" s="420">
        <f t="shared" si="198"/>
        <v>3.6733000000000002</v>
      </c>
      <c r="BY117" s="998"/>
      <c r="BZ117" s="983"/>
      <c r="CA117" s="983"/>
      <c r="CB117" s="983"/>
      <c r="CC117" s="983"/>
      <c r="CD117" s="984"/>
      <c r="CE117" s="841"/>
      <c r="CF117" s="729"/>
      <c r="CG117" s="729"/>
      <c r="CH117" s="729"/>
      <c r="CI117" s="729"/>
      <c r="CJ117" s="828"/>
    </row>
    <row r="118" spans="1:88" ht="12.95" customHeight="1">
      <c r="A118" s="324">
        <v>21</v>
      </c>
      <c r="B118" s="325">
        <v>5423</v>
      </c>
      <c r="C118" s="326">
        <v>600098516</v>
      </c>
      <c r="D118" s="325">
        <v>72742453</v>
      </c>
      <c r="E118" s="327" t="s">
        <v>391</v>
      </c>
      <c r="F118" s="291"/>
      <c r="G118" s="329"/>
      <c r="H118" s="292"/>
      <c r="I118" s="471">
        <v>14313713</v>
      </c>
      <c r="J118" s="467">
        <v>10569677</v>
      </c>
      <c r="K118" s="467">
        <v>8209487</v>
      </c>
      <c r="L118" s="467">
        <v>2360190</v>
      </c>
      <c r="M118" s="467">
        <v>0</v>
      </c>
      <c r="N118" s="467">
        <v>0</v>
      </c>
      <c r="O118" s="467">
        <v>0</v>
      </c>
      <c r="P118" s="467">
        <v>3572551</v>
      </c>
      <c r="Q118" s="467">
        <v>105697</v>
      </c>
      <c r="R118" s="467">
        <v>65788</v>
      </c>
      <c r="S118" s="468">
        <v>22.887</v>
      </c>
      <c r="T118" s="468">
        <v>15.3155</v>
      </c>
      <c r="U118" s="531">
        <v>7.5715000000000003</v>
      </c>
      <c r="V118" s="471">
        <f t="shared" ref="V118:BK118" si="199">SUM(V115:V117)</f>
        <v>0</v>
      </c>
      <c r="W118" s="467">
        <f t="shared" si="199"/>
        <v>0</v>
      </c>
      <c r="X118" s="467">
        <f t="shared" si="199"/>
        <v>0</v>
      </c>
      <c r="Y118" s="467">
        <f t="shared" si="199"/>
        <v>0</v>
      </c>
      <c r="Z118" s="467">
        <f t="shared" si="199"/>
        <v>0</v>
      </c>
      <c r="AA118" s="467">
        <f t="shared" si="199"/>
        <v>-14903</v>
      </c>
      <c r="AB118" s="467">
        <f t="shared" si="199"/>
        <v>0</v>
      </c>
      <c r="AC118" s="467">
        <f t="shared" si="199"/>
        <v>0</v>
      </c>
      <c r="AD118" s="467">
        <f t="shared" si="199"/>
        <v>0</v>
      </c>
      <c r="AE118" s="467">
        <f t="shared" si="199"/>
        <v>0</v>
      </c>
      <c r="AF118" s="467">
        <f t="shared" si="199"/>
        <v>-14903</v>
      </c>
      <c r="AG118" s="467">
        <f t="shared" si="199"/>
        <v>-14903</v>
      </c>
      <c r="AH118" s="467">
        <f t="shared" si="199"/>
        <v>0</v>
      </c>
      <c r="AI118" s="467">
        <f t="shared" si="199"/>
        <v>0</v>
      </c>
      <c r="AJ118" s="467">
        <f t="shared" si="199"/>
        <v>0</v>
      </c>
      <c r="AK118" s="467">
        <f t="shared" si="199"/>
        <v>0</v>
      </c>
      <c r="AL118" s="467">
        <f t="shared" si="199"/>
        <v>0</v>
      </c>
      <c r="AM118" s="467">
        <f t="shared" si="199"/>
        <v>0</v>
      </c>
      <c r="AN118" s="467">
        <f t="shared" si="199"/>
        <v>0</v>
      </c>
      <c r="AO118" s="467">
        <f t="shared" si="199"/>
        <v>0</v>
      </c>
      <c r="AP118" s="467">
        <f t="shared" si="199"/>
        <v>0</v>
      </c>
      <c r="AQ118" s="467">
        <f t="shared" si="199"/>
        <v>-14903</v>
      </c>
      <c r="AR118" s="467">
        <f t="shared" si="199"/>
        <v>-14903</v>
      </c>
      <c r="AS118" s="467">
        <f t="shared" si="199"/>
        <v>-5037</v>
      </c>
      <c r="AT118" s="467">
        <f t="shared" si="199"/>
        <v>-149</v>
      </c>
      <c r="AU118" s="467">
        <f t="shared" si="199"/>
        <v>0</v>
      </c>
      <c r="AV118" s="467">
        <f t="shared" si="199"/>
        <v>0</v>
      </c>
      <c r="AW118" s="467">
        <f t="shared" si="199"/>
        <v>0</v>
      </c>
      <c r="AX118" s="467">
        <f t="shared" si="199"/>
        <v>0</v>
      </c>
      <c r="AY118" s="467">
        <f t="shared" si="199"/>
        <v>-20089</v>
      </c>
      <c r="AZ118" s="468">
        <f t="shared" si="199"/>
        <v>0</v>
      </c>
      <c r="BA118" s="468">
        <f t="shared" si="199"/>
        <v>0</v>
      </c>
      <c r="BB118" s="468">
        <f t="shared" si="199"/>
        <v>0</v>
      </c>
      <c r="BC118" s="468">
        <f t="shared" si="199"/>
        <v>0</v>
      </c>
      <c r="BD118" s="468">
        <f t="shared" si="199"/>
        <v>-0.04</v>
      </c>
      <c r="BE118" s="468">
        <f t="shared" si="199"/>
        <v>0</v>
      </c>
      <c r="BF118" s="468">
        <f t="shared" si="199"/>
        <v>0</v>
      </c>
      <c r="BG118" s="468">
        <f t="shared" si="199"/>
        <v>0</v>
      </c>
      <c r="BH118" s="468">
        <f t="shared" si="199"/>
        <v>0</v>
      </c>
      <c r="BI118" s="468">
        <f t="shared" si="199"/>
        <v>0</v>
      </c>
      <c r="BJ118" s="468">
        <f t="shared" si="199"/>
        <v>-0.04</v>
      </c>
      <c r="BK118" s="328">
        <f t="shared" si="199"/>
        <v>-0.04</v>
      </c>
      <c r="BL118" s="774">
        <f t="shared" ref="BL118:CG118" si="200">SUM(BL115:BL117)</f>
        <v>14293624</v>
      </c>
      <c r="BM118" s="467">
        <f t="shared" si="200"/>
        <v>10554774</v>
      </c>
      <c r="BN118" s="467">
        <f t="shared" si="200"/>
        <v>8209487</v>
      </c>
      <c r="BO118" s="467">
        <f t="shared" si="200"/>
        <v>2345287</v>
      </c>
      <c r="BP118" s="467">
        <f t="shared" si="200"/>
        <v>0</v>
      </c>
      <c r="BQ118" s="467">
        <f t="shared" si="200"/>
        <v>0</v>
      </c>
      <c r="BR118" s="467">
        <f t="shared" si="200"/>
        <v>0</v>
      </c>
      <c r="BS118" s="467">
        <f t="shared" si="200"/>
        <v>3567514</v>
      </c>
      <c r="BT118" s="467">
        <f t="shared" si="200"/>
        <v>105548</v>
      </c>
      <c r="BU118" s="467">
        <f t="shared" si="200"/>
        <v>65788</v>
      </c>
      <c r="BV118" s="468">
        <f t="shared" si="200"/>
        <v>22.847000000000001</v>
      </c>
      <c r="BW118" s="468">
        <f t="shared" si="200"/>
        <v>15.3155</v>
      </c>
      <c r="BX118" s="328">
        <f t="shared" si="200"/>
        <v>7.5315000000000003</v>
      </c>
      <c r="BY118" s="838">
        <f t="shared" si="200"/>
        <v>0</v>
      </c>
      <c r="BZ118" s="721">
        <f t="shared" si="200"/>
        <v>0</v>
      </c>
      <c r="CA118" s="721">
        <f t="shared" si="200"/>
        <v>0</v>
      </c>
      <c r="CB118" s="721">
        <f t="shared" si="200"/>
        <v>0</v>
      </c>
      <c r="CC118" s="721">
        <f t="shared" si="200"/>
        <v>0</v>
      </c>
      <c r="CD118" s="826">
        <f t="shared" si="200"/>
        <v>0</v>
      </c>
      <c r="CE118" s="995">
        <f t="shared" si="200"/>
        <v>504404</v>
      </c>
      <c r="CF118" s="995">
        <f t="shared" si="200"/>
        <v>359853</v>
      </c>
      <c r="CG118" s="995">
        <f t="shared" si="200"/>
        <v>121630</v>
      </c>
      <c r="CH118" s="995">
        <f t="shared" ref="CH118:CJ118" si="201">SUM(CH115:CH117)</f>
        <v>3599</v>
      </c>
      <c r="CI118" s="995">
        <f t="shared" si="201"/>
        <v>19322</v>
      </c>
      <c r="CJ118" s="933">
        <f t="shared" si="201"/>
        <v>1.238</v>
      </c>
    </row>
    <row r="119" spans="1:88" ht="12.95" customHeight="1">
      <c r="A119" s="280">
        <v>22</v>
      </c>
      <c r="B119" s="321">
        <v>5422</v>
      </c>
      <c r="C119" s="322">
        <v>600099181</v>
      </c>
      <c r="D119" s="281">
        <v>854751</v>
      </c>
      <c r="E119" s="323" t="s">
        <v>392</v>
      </c>
      <c r="F119" s="281">
        <v>3113</v>
      </c>
      <c r="G119" s="323" t="s">
        <v>308</v>
      </c>
      <c r="H119" s="284" t="s">
        <v>271</v>
      </c>
      <c r="I119" s="419">
        <v>41495196</v>
      </c>
      <c r="J119" s="414">
        <v>29554732</v>
      </c>
      <c r="K119" s="414">
        <v>26687217</v>
      </c>
      <c r="L119" s="414">
        <v>2867515</v>
      </c>
      <c r="M119" s="414">
        <v>638600</v>
      </c>
      <c r="N119" s="414">
        <v>638600</v>
      </c>
      <c r="O119" s="414">
        <v>0</v>
      </c>
      <c r="P119" s="68">
        <v>10205347</v>
      </c>
      <c r="Q119" s="68">
        <v>295547</v>
      </c>
      <c r="R119" s="414">
        <v>800970</v>
      </c>
      <c r="S119" s="415">
        <v>46.381299999999996</v>
      </c>
      <c r="T119" s="416">
        <v>37.722499999999997</v>
      </c>
      <c r="U119" s="422">
        <v>8.6587999999999994</v>
      </c>
      <c r="V119" s="423">
        <f t="shared" si="126"/>
        <v>333600</v>
      </c>
      <c r="W119" s="417">
        <f t="shared" si="126"/>
        <v>-190000</v>
      </c>
      <c r="X119" s="417">
        <v>0</v>
      </c>
      <c r="Y119" s="417">
        <v>8606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27"/>
        <v>342206</v>
      </c>
      <c r="AF119" s="417">
        <f t="shared" si="128"/>
        <v>-190000</v>
      </c>
      <c r="AG119" s="417">
        <f t="shared" si="129"/>
        <v>152206</v>
      </c>
      <c r="AH119" s="417">
        <v>-333600</v>
      </c>
      <c r="AI119" s="417">
        <v>190000</v>
      </c>
      <c r="AJ119" s="417">
        <v>0</v>
      </c>
      <c r="AK119" s="417">
        <v>0</v>
      </c>
      <c r="AL119" s="417">
        <v>0</v>
      </c>
      <c r="AM119" s="417">
        <f t="shared" si="130"/>
        <v>-333600</v>
      </c>
      <c r="AN119" s="417">
        <f t="shared" si="131"/>
        <v>190000</v>
      </c>
      <c r="AO119" s="417">
        <f t="shared" si="132"/>
        <v>-143600</v>
      </c>
      <c r="AP119" s="417">
        <f t="shared" si="133"/>
        <v>8606</v>
      </c>
      <c r="AQ119" s="417">
        <f t="shared" si="133"/>
        <v>0</v>
      </c>
      <c r="AR119" s="417">
        <f t="shared" si="134"/>
        <v>8606</v>
      </c>
      <c r="AS119" s="68">
        <f t="shared" si="135"/>
        <v>2909</v>
      </c>
      <c r="AT119" s="68">
        <f t="shared" si="136"/>
        <v>1522</v>
      </c>
      <c r="AU119" s="417">
        <v>0</v>
      </c>
      <c r="AV119" s="417">
        <v>0</v>
      </c>
      <c r="AW119" s="417">
        <v>0</v>
      </c>
      <c r="AX119" s="417">
        <f t="shared" si="137"/>
        <v>0</v>
      </c>
      <c r="AY119" s="417">
        <f t="shared" si="138"/>
        <v>13037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0.01</v>
      </c>
      <c r="BF119" s="418">
        <v>0</v>
      </c>
      <c r="BG119" s="418">
        <v>0</v>
      </c>
      <c r="BH119" s="418">
        <v>0</v>
      </c>
      <c r="BI119" s="418">
        <f t="shared" si="139"/>
        <v>0.01</v>
      </c>
      <c r="BJ119" s="418">
        <f t="shared" si="140"/>
        <v>0</v>
      </c>
      <c r="BK119" s="420">
        <f t="shared" si="141"/>
        <v>0.01</v>
      </c>
      <c r="BL119" s="772">
        <f>I119+AY119</f>
        <v>41508233</v>
      </c>
      <c r="BM119" s="417">
        <f>J119+AG119</f>
        <v>29706938</v>
      </c>
      <c r="BN119" s="417">
        <f t="shared" ref="BN119:BO123" si="202">K119+AE119</f>
        <v>27029423</v>
      </c>
      <c r="BO119" s="417">
        <f t="shared" si="202"/>
        <v>2677515</v>
      </c>
      <c r="BP119" s="417">
        <f>M119+AO119</f>
        <v>495000</v>
      </c>
      <c r="BQ119" s="417">
        <f t="shared" ref="BQ119:BR123" si="203">N119+AM119</f>
        <v>305000</v>
      </c>
      <c r="BR119" s="417">
        <f t="shared" si="203"/>
        <v>190000</v>
      </c>
      <c r="BS119" s="417">
        <f t="shared" ref="BS119:BT123" si="204">P119+AS119</f>
        <v>10208256</v>
      </c>
      <c r="BT119" s="417">
        <f t="shared" si="204"/>
        <v>297069</v>
      </c>
      <c r="BU119" s="417">
        <f>R119+AX119</f>
        <v>800970</v>
      </c>
      <c r="BV119" s="418">
        <f>S119+BK119</f>
        <v>46.391299999999994</v>
      </c>
      <c r="BW119" s="418">
        <f t="shared" ref="BW119:BX123" si="205">T119+BI119</f>
        <v>37.732499999999995</v>
      </c>
      <c r="BX119" s="420">
        <f t="shared" si="205"/>
        <v>8.6587999999999994</v>
      </c>
      <c r="BY119" s="841">
        <v>301853</v>
      </c>
      <c r="BZ119" s="983"/>
      <c r="CA119" s="729">
        <v>225600</v>
      </c>
      <c r="CB119" s="729">
        <v>76253</v>
      </c>
      <c r="CC119" s="983"/>
      <c r="CD119" s="984"/>
      <c r="CE119" s="994">
        <v>1427486</v>
      </c>
      <c r="CF119" s="595">
        <v>920464</v>
      </c>
      <c r="CG119" s="595">
        <v>311117</v>
      </c>
      <c r="CH119" s="595">
        <v>9205</v>
      </c>
      <c r="CI119" s="595">
        <v>186700</v>
      </c>
      <c r="CJ119" s="981">
        <v>2.7797000000000001</v>
      </c>
    </row>
    <row r="120" spans="1:88" ht="12.95" customHeight="1">
      <c r="A120" s="280">
        <v>22</v>
      </c>
      <c r="B120" s="321">
        <v>5422</v>
      </c>
      <c r="C120" s="322">
        <v>600099181</v>
      </c>
      <c r="D120" s="281">
        <v>854751</v>
      </c>
      <c r="E120" s="323" t="s">
        <v>392</v>
      </c>
      <c r="F120" s="281">
        <v>3113</v>
      </c>
      <c r="G120" s="323" t="s">
        <v>298</v>
      </c>
      <c r="H120" s="284" t="s">
        <v>272</v>
      </c>
      <c r="I120" s="419">
        <v>5715854</v>
      </c>
      <c r="J120" s="414">
        <v>4233756</v>
      </c>
      <c r="K120" s="414">
        <v>4233756</v>
      </c>
      <c r="L120" s="414">
        <v>0</v>
      </c>
      <c r="M120" s="414">
        <v>0</v>
      </c>
      <c r="N120" s="414">
        <v>0</v>
      </c>
      <c r="O120" s="414">
        <v>0</v>
      </c>
      <c r="P120" s="68">
        <v>1431010</v>
      </c>
      <c r="Q120" s="68">
        <v>42338</v>
      </c>
      <c r="R120" s="414">
        <v>8750</v>
      </c>
      <c r="S120" s="415">
        <v>11.25</v>
      </c>
      <c r="T120" s="416">
        <v>11.25</v>
      </c>
      <c r="U120" s="422">
        <v>0</v>
      </c>
      <c r="V120" s="423">
        <f t="shared" si="126"/>
        <v>0</v>
      </c>
      <c r="W120" s="417">
        <f t="shared" si="126"/>
        <v>0</v>
      </c>
      <c r="X120" s="417">
        <v>-50808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127"/>
        <v>-50808</v>
      </c>
      <c r="AF120" s="417">
        <f t="shared" si="128"/>
        <v>0</v>
      </c>
      <c r="AG120" s="417">
        <f t="shared" si="129"/>
        <v>-50808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30"/>
        <v>0</v>
      </c>
      <c r="AN120" s="417">
        <f t="shared" si="131"/>
        <v>0</v>
      </c>
      <c r="AO120" s="417">
        <f t="shared" si="132"/>
        <v>0</v>
      </c>
      <c r="AP120" s="417">
        <f t="shared" si="133"/>
        <v>-50808</v>
      </c>
      <c r="AQ120" s="417">
        <f t="shared" si="133"/>
        <v>0</v>
      </c>
      <c r="AR120" s="417">
        <f t="shared" si="134"/>
        <v>-50808</v>
      </c>
      <c r="AS120" s="68">
        <f t="shared" si="135"/>
        <v>-17173</v>
      </c>
      <c r="AT120" s="68">
        <f t="shared" si="136"/>
        <v>-508</v>
      </c>
      <c r="AU120" s="417">
        <v>0</v>
      </c>
      <c r="AV120" s="417">
        <v>0</v>
      </c>
      <c r="AW120" s="417">
        <v>0</v>
      </c>
      <c r="AX120" s="417">
        <f t="shared" si="137"/>
        <v>0</v>
      </c>
      <c r="AY120" s="417">
        <f t="shared" si="138"/>
        <v>-68489</v>
      </c>
      <c r="AZ120" s="418">
        <v>0</v>
      </c>
      <c r="BA120" s="418">
        <v>0</v>
      </c>
      <c r="BB120" s="418">
        <v>-0.15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39"/>
        <v>-0.15</v>
      </c>
      <c r="BJ120" s="418">
        <f t="shared" si="140"/>
        <v>0</v>
      </c>
      <c r="BK120" s="420">
        <f t="shared" si="141"/>
        <v>-0.15</v>
      </c>
      <c r="BL120" s="772">
        <f>I120+AY120</f>
        <v>5647365</v>
      </c>
      <c r="BM120" s="417">
        <f>J120+AG120</f>
        <v>4182948</v>
      </c>
      <c r="BN120" s="417">
        <f t="shared" si="202"/>
        <v>4182948</v>
      </c>
      <c r="BO120" s="417">
        <f t="shared" si="202"/>
        <v>0</v>
      </c>
      <c r="BP120" s="417">
        <f>M120+AO120</f>
        <v>0</v>
      </c>
      <c r="BQ120" s="417">
        <f t="shared" si="203"/>
        <v>0</v>
      </c>
      <c r="BR120" s="417">
        <f t="shared" si="203"/>
        <v>0</v>
      </c>
      <c r="BS120" s="417">
        <f t="shared" si="204"/>
        <v>1413837</v>
      </c>
      <c r="BT120" s="417">
        <f t="shared" si="204"/>
        <v>41830</v>
      </c>
      <c r="BU120" s="417">
        <f>R120+AX120</f>
        <v>8750</v>
      </c>
      <c r="BV120" s="418">
        <f>S120+BK120</f>
        <v>11.1</v>
      </c>
      <c r="BW120" s="418">
        <f t="shared" si="205"/>
        <v>11.1</v>
      </c>
      <c r="BX120" s="420">
        <f t="shared" si="205"/>
        <v>0</v>
      </c>
      <c r="BY120" s="998"/>
      <c r="BZ120" s="983"/>
      <c r="CA120" s="983"/>
      <c r="CB120" s="983"/>
      <c r="CC120" s="983"/>
      <c r="CD120" s="984"/>
      <c r="CE120" s="841"/>
      <c r="CF120" s="729"/>
      <c r="CG120" s="729"/>
      <c r="CH120" s="729"/>
      <c r="CI120" s="729"/>
      <c r="CJ120" s="828"/>
    </row>
    <row r="121" spans="1:88" ht="12.95" customHeight="1">
      <c r="A121" s="280">
        <v>22</v>
      </c>
      <c r="B121" s="321">
        <v>5422</v>
      </c>
      <c r="C121" s="322">
        <v>600099181</v>
      </c>
      <c r="D121" s="281">
        <v>854751</v>
      </c>
      <c r="E121" s="323" t="s">
        <v>392</v>
      </c>
      <c r="F121" s="281">
        <v>3141</v>
      </c>
      <c r="G121" s="323" t="s">
        <v>294</v>
      </c>
      <c r="H121" s="284" t="s">
        <v>272</v>
      </c>
      <c r="I121" s="419">
        <v>3736559</v>
      </c>
      <c r="J121" s="414">
        <v>2748397</v>
      </c>
      <c r="K121" s="414">
        <v>0</v>
      </c>
      <c r="L121" s="414">
        <v>2748397</v>
      </c>
      <c r="M121" s="414">
        <v>0</v>
      </c>
      <c r="N121" s="414">
        <v>0</v>
      </c>
      <c r="O121" s="414">
        <v>0</v>
      </c>
      <c r="P121" s="68">
        <v>928958</v>
      </c>
      <c r="Q121" s="68">
        <v>27484</v>
      </c>
      <c r="R121" s="414">
        <v>31720</v>
      </c>
      <c r="S121" s="415">
        <v>8.2432999999999996</v>
      </c>
      <c r="T121" s="416">
        <v>0</v>
      </c>
      <c r="U121" s="422">
        <v>8.2432999999999996</v>
      </c>
      <c r="V121" s="423">
        <f t="shared" si="126"/>
        <v>0</v>
      </c>
      <c r="W121" s="417">
        <f t="shared" si="126"/>
        <v>-18500</v>
      </c>
      <c r="X121" s="417">
        <v>0</v>
      </c>
      <c r="Y121" s="417">
        <v>0</v>
      </c>
      <c r="Z121" s="417">
        <v>0</v>
      </c>
      <c r="AA121" s="417">
        <v>-21746</v>
      </c>
      <c r="AB121" s="417">
        <v>0</v>
      </c>
      <c r="AC121" s="417">
        <v>0</v>
      </c>
      <c r="AD121" s="417">
        <v>0</v>
      </c>
      <c r="AE121" s="417">
        <f t="shared" si="127"/>
        <v>0</v>
      </c>
      <c r="AF121" s="417">
        <f t="shared" si="128"/>
        <v>-40246</v>
      </c>
      <c r="AG121" s="417">
        <f t="shared" si="129"/>
        <v>-40246</v>
      </c>
      <c r="AH121" s="417">
        <v>0</v>
      </c>
      <c r="AI121" s="417">
        <v>18500</v>
      </c>
      <c r="AJ121" s="417">
        <v>0</v>
      </c>
      <c r="AK121" s="417">
        <v>0</v>
      </c>
      <c r="AL121" s="417">
        <v>0</v>
      </c>
      <c r="AM121" s="417">
        <f t="shared" si="130"/>
        <v>0</v>
      </c>
      <c r="AN121" s="417">
        <f t="shared" si="131"/>
        <v>18500</v>
      </c>
      <c r="AO121" s="417">
        <f t="shared" si="132"/>
        <v>18500</v>
      </c>
      <c r="AP121" s="417">
        <f t="shared" si="133"/>
        <v>0</v>
      </c>
      <c r="AQ121" s="417">
        <f t="shared" si="133"/>
        <v>-21746</v>
      </c>
      <c r="AR121" s="417">
        <f t="shared" si="134"/>
        <v>-21746</v>
      </c>
      <c r="AS121" s="68">
        <f t="shared" si="135"/>
        <v>-7350</v>
      </c>
      <c r="AT121" s="68">
        <f t="shared" si="136"/>
        <v>-402</v>
      </c>
      <c r="AU121" s="417">
        <v>0</v>
      </c>
      <c r="AV121" s="417">
        <v>0</v>
      </c>
      <c r="AW121" s="417">
        <v>0</v>
      </c>
      <c r="AX121" s="417">
        <f t="shared" si="137"/>
        <v>0</v>
      </c>
      <c r="AY121" s="417">
        <f t="shared" si="138"/>
        <v>-29498</v>
      </c>
      <c r="AZ121" s="418">
        <v>0</v>
      </c>
      <c r="BA121" s="418">
        <v>0</v>
      </c>
      <c r="BB121" s="418">
        <v>0</v>
      </c>
      <c r="BC121" s="418">
        <v>0</v>
      </c>
      <c r="BD121" s="418">
        <v>-7.0000000000000007E-2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39"/>
        <v>0</v>
      </c>
      <c r="BJ121" s="418">
        <f t="shared" si="140"/>
        <v>-7.0000000000000007E-2</v>
      </c>
      <c r="BK121" s="420">
        <f t="shared" si="141"/>
        <v>-7.0000000000000007E-2</v>
      </c>
      <c r="BL121" s="772">
        <f>I121+AY121</f>
        <v>3707061</v>
      </c>
      <c r="BM121" s="417">
        <f>J121+AG121</f>
        <v>2708151</v>
      </c>
      <c r="BN121" s="417">
        <f t="shared" si="202"/>
        <v>0</v>
      </c>
      <c r="BO121" s="417">
        <f t="shared" si="202"/>
        <v>2708151</v>
      </c>
      <c r="BP121" s="417">
        <f>M121+AO121</f>
        <v>18500</v>
      </c>
      <c r="BQ121" s="417">
        <f t="shared" si="203"/>
        <v>0</v>
      </c>
      <c r="BR121" s="417">
        <f t="shared" si="203"/>
        <v>18500</v>
      </c>
      <c r="BS121" s="417">
        <f t="shared" si="204"/>
        <v>921608</v>
      </c>
      <c r="BT121" s="417">
        <f t="shared" si="204"/>
        <v>27082</v>
      </c>
      <c r="BU121" s="417">
        <f>R121+AX121</f>
        <v>31720</v>
      </c>
      <c r="BV121" s="418">
        <f>S121+BK121</f>
        <v>8.1732999999999993</v>
      </c>
      <c r="BW121" s="418">
        <f t="shared" si="205"/>
        <v>0</v>
      </c>
      <c r="BX121" s="420">
        <f t="shared" si="205"/>
        <v>8.1732999999999993</v>
      </c>
      <c r="BY121" s="998"/>
      <c r="BZ121" s="983"/>
      <c r="CA121" s="983"/>
      <c r="CB121" s="983"/>
      <c r="CC121" s="983"/>
      <c r="CD121" s="984"/>
      <c r="CE121" s="841"/>
      <c r="CF121" s="729"/>
      <c r="CG121" s="729"/>
      <c r="CH121" s="729"/>
      <c r="CI121" s="729"/>
      <c r="CJ121" s="828"/>
    </row>
    <row r="122" spans="1:88" ht="12.95" customHeight="1">
      <c r="A122" s="280">
        <v>22</v>
      </c>
      <c r="B122" s="321">
        <v>5422</v>
      </c>
      <c r="C122" s="322">
        <v>600099181</v>
      </c>
      <c r="D122" s="281">
        <v>854751</v>
      </c>
      <c r="E122" s="323" t="s">
        <v>392</v>
      </c>
      <c r="F122" s="281">
        <v>3143</v>
      </c>
      <c r="G122" s="323" t="s">
        <v>595</v>
      </c>
      <c r="H122" s="284" t="s">
        <v>271</v>
      </c>
      <c r="I122" s="419">
        <v>2417470</v>
      </c>
      <c r="J122" s="414">
        <v>1793375</v>
      </c>
      <c r="K122" s="414">
        <v>1793375</v>
      </c>
      <c r="L122" s="414">
        <v>0</v>
      </c>
      <c r="M122" s="414">
        <v>0</v>
      </c>
      <c r="N122" s="414">
        <v>0</v>
      </c>
      <c r="O122" s="414">
        <v>0</v>
      </c>
      <c r="P122" s="68">
        <v>606161</v>
      </c>
      <c r="Q122" s="68">
        <v>17934</v>
      </c>
      <c r="R122" s="414">
        <v>0</v>
      </c>
      <c r="S122" s="415">
        <v>3.9392</v>
      </c>
      <c r="T122" s="416">
        <v>3.9392</v>
      </c>
      <c r="U122" s="422">
        <v>0</v>
      </c>
      <c r="V122" s="423">
        <f t="shared" si="126"/>
        <v>0</v>
      </c>
      <c r="W122" s="417">
        <f t="shared" si="126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27"/>
        <v>0</v>
      </c>
      <c r="AF122" s="417">
        <f t="shared" si="128"/>
        <v>0</v>
      </c>
      <c r="AG122" s="417">
        <f t="shared" si="129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30"/>
        <v>0</v>
      </c>
      <c r="AN122" s="417">
        <f t="shared" si="131"/>
        <v>0</v>
      </c>
      <c r="AO122" s="417">
        <f t="shared" si="132"/>
        <v>0</v>
      </c>
      <c r="AP122" s="417">
        <f t="shared" si="133"/>
        <v>0</v>
      </c>
      <c r="AQ122" s="417">
        <f t="shared" si="133"/>
        <v>0</v>
      </c>
      <c r="AR122" s="417">
        <f t="shared" si="134"/>
        <v>0</v>
      </c>
      <c r="AS122" s="68">
        <f t="shared" si="135"/>
        <v>0</v>
      </c>
      <c r="AT122" s="68">
        <f t="shared" si="136"/>
        <v>0</v>
      </c>
      <c r="AU122" s="417">
        <v>0</v>
      </c>
      <c r="AV122" s="417">
        <v>0</v>
      </c>
      <c r="AW122" s="417">
        <v>0</v>
      </c>
      <c r="AX122" s="417">
        <f t="shared" si="137"/>
        <v>0</v>
      </c>
      <c r="AY122" s="417">
        <f t="shared" si="138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39"/>
        <v>0</v>
      </c>
      <c r="BJ122" s="418">
        <f t="shared" si="140"/>
        <v>0</v>
      </c>
      <c r="BK122" s="420">
        <f t="shared" si="141"/>
        <v>0</v>
      </c>
      <c r="BL122" s="772">
        <f>I122+AY122</f>
        <v>2417470</v>
      </c>
      <c r="BM122" s="417">
        <f>J122+AG122</f>
        <v>1793375</v>
      </c>
      <c r="BN122" s="417">
        <f t="shared" si="202"/>
        <v>1793375</v>
      </c>
      <c r="BO122" s="417">
        <f t="shared" si="202"/>
        <v>0</v>
      </c>
      <c r="BP122" s="417">
        <f>M122+AO122</f>
        <v>0</v>
      </c>
      <c r="BQ122" s="417">
        <f t="shared" si="203"/>
        <v>0</v>
      </c>
      <c r="BR122" s="417">
        <f t="shared" si="203"/>
        <v>0</v>
      </c>
      <c r="BS122" s="417">
        <f t="shared" si="204"/>
        <v>606161</v>
      </c>
      <c r="BT122" s="417">
        <f t="shared" si="204"/>
        <v>17934</v>
      </c>
      <c r="BU122" s="417">
        <f>R122+AX122</f>
        <v>0</v>
      </c>
      <c r="BV122" s="418">
        <f>S122+BK122</f>
        <v>3.9392</v>
      </c>
      <c r="BW122" s="418">
        <f t="shared" si="205"/>
        <v>3.9392</v>
      </c>
      <c r="BX122" s="420">
        <f t="shared" si="205"/>
        <v>0</v>
      </c>
      <c r="BY122" s="998"/>
      <c r="BZ122" s="983"/>
      <c r="CA122" s="983"/>
      <c r="CB122" s="983"/>
      <c r="CC122" s="983"/>
      <c r="CD122" s="984"/>
      <c r="CE122" s="841"/>
      <c r="CF122" s="729"/>
      <c r="CG122" s="729"/>
      <c r="CH122" s="729"/>
      <c r="CI122" s="729"/>
      <c r="CJ122" s="828"/>
    </row>
    <row r="123" spans="1:88" ht="12.95" customHeight="1">
      <c r="A123" s="280">
        <v>22</v>
      </c>
      <c r="B123" s="321">
        <v>5422</v>
      </c>
      <c r="C123" s="322">
        <v>600099181</v>
      </c>
      <c r="D123" s="281">
        <v>854751</v>
      </c>
      <c r="E123" s="323" t="s">
        <v>392</v>
      </c>
      <c r="F123" s="281">
        <v>3143</v>
      </c>
      <c r="G123" s="323" t="s">
        <v>596</v>
      </c>
      <c r="H123" s="284" t="s">
        <v>272</v>
      </c>
      <c r="I123" s="419">
        <v>97588</v>
      </c>
      <c r="J123" s="414">
        <v>69850</v>
      </c>
      <c r="K123" s="414">
        <v>0</v>
      </c>
      <c r="L123" s="414">
        <v>69850</v>
      </c>
      <c r="M123" s="414">
        <v>0</v>
      </c>
      <c r="N123" s="414">
        <v>0</v>
      </c>
      <c r="O123" s="414">
        <v>0</v>
      </c>
      <c r="P123" s="68">
        <v>23610</v>
      </c>
      <c r="Q123" s="68">
        <v>699</v>
      </c>
      <c r="R123" s="414">
        <v>3429</v>
      </c>
      <c r="S123" s="415">
        <v>0.26639999999999997</v>
      </c>
      <c r="T123" s="416">
        <v>0</v>
      </c>
      <c r="U123" s="422">
        <v>0.26639999999999997</v>
      </c>
      <c r="V123" s="423">
        <f t="shared" si="126"/>
        <v>0</v>
      </c>
      <c r="W123" s="417">
        <f t="shared" si="126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27"/>
        <v>0</v>
      </c>
      <c r="AF123" s="417">
        <f t="shared" si="128"/>
        <v>0</v>
      </c>
      <c r="AG123" s="417">
        <f t="shared" si="129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30"/>
        <v>0</v>
      </c>
      <c r="AN123" s="417">
        <f t="shared" si="131"/>
        <v>0</v>
      </c>
      <c r="AO123" s="417">
        <f t="shared" si="132"/>
        <v>0</v>
      </c>
      <c r="AP123" s="417">
        <f t="shared" si="133"/>
        <v>0</v>
      </c>
      <c r="AQ123" s="417">
        <f t="shared" si="133"/>
        <v>0</v>
      </c>
      <c r="AR123" s="417">
        <f t="shared" si="134"/>
        <v>0</v>
      </c>
      <c r="AS123" s="68">
        <f t="shared" si="135"/>
        <v>0</v>
      </c>
      <c r="AT123" s="68">
        <f t="shared" si="136"/>
        <v>0</v>
      </c>
      <c r="AU123" s="417">
        <v>0</v>
      </c>
      <c r="AV123" s="417">
        <v>0</v>
      </c>
      <c r="AW123" s="417">
        <v>0</v>
      </c>
      <c r="AX123" s="417">
        <f t="shared" si="137"/>
        <v>0</v>
      </c>
      <c r="AY123" s="417">
        <f t="shared" si="138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39"/>
        <v>0</v>
      </c>
      <c r="BJ123" s="418">
        <f t="shared" si="140"/>
        <v>0</v>
      </c>
      <c r="BK123" s="420">
        <f t="shared" si="141"/>
        <v>0</v>
      </c>
      <c r="BL123" s="772">
        <f>I123+AY123</f>
        <v>97588</v>
      </c>
      <c r="BM123" s="417">
        <f>J123+AG123</f>
        <v>69850</v>
      </c>
      <c r="BN123" s="417">
        <f t="shared" si="202"/>
        <v>0</v>
      </c>
      <c r="BO123" s="417">
        <f t="shared" si="202"/>
        <v>69850</v>
      </c>
      <c r="BP123" s="417">
        <f>M123+AO123</f>
        <v>0</v>
      </c>
      <c r="BQ123" s="417">
        <f t="shared" si="203"/>
        <v>0</v>
      </c>
      <c r="BR123" s="417">
        <f t="shared" si="203"/>
        <v>0</v>
      </c>
      <c r="BS123" s="417">
        <f t="shared" si="204"/>
        <v>23610</v>
      </c>
      <c r="BT123" s="417">
        <f t="shared" si="204"/>
        <v>699</v>
      </c>
      <c r="BU123" s="417">
        <f>R123+AX123</f>
        <v>3429</v>
      </c>
      <c r="BV123" s="418">
        <f>S123+BK123</f>
        <v>0.26639999999999997</v>
      </c>
      <c r="BW123" s="418">
        <f t="shared" si="205"/>
        <v>0</v>
      </c>
      <c r="BX123" s="420">
        <f t="shared" si="205"/>
        <v>0.26639999999999997</v>
      </c>
      <c r="BY123" s="998"/>
      <c r="BZ123" s="983"/>
      <c r="CA123" s="983"/>
      <c r="CB123" s="983"/>
      <c r="CC123" s="983"/>
      <c r="CD123" s="984"/>
      <c r="CE123" s="841"/>
      <c r="CF123" s="729"/>
      <c r="CG123" s="729"/>
      <c r="CH123" s="729"/>
      <c r="CI123" s="729"/>
      <c r="CJ123" s="828"/>
    </row>
    <row r="124" spans="1:88" ht="12.95" customHeight="1">
      <c r="A124" s="324">
        <v>22</v>
      </c>
      <c r="B124" s="325">
        <v>5422</v>
      </c>
      <c r="C124" s="326">
        <v>600099181</v>
      </c>
      <c r="D124" s="325">
        <v>854751</v>
      </c>
      <c r="E124" s="327" t="s">
        <v>393</v>
      </c>
      <c r="F124" s="291"/>
      <c r="G124" s="329"/>
      <c r="H124" s="292"/>
      <c r="I124" s="471">
        <v>53462667</v>
      </c>
      <c r="J124" s="467">
        <v>38400110</v>
      </c>
      <c r="K124" s="467">
        <v>32714348</v>
      </c>
      <c r="L124" s="467">
        <v>5685762</v>
      </c>
      <c r="M124" s="467">
        <v>638600</v>
      </c>
      <c r="N124" s="467">
        <v>638600</v>
      </c>
      <c r="O124" s="467">
        <v>0</v>
      </c>
      <c r="P124" s="467">
        <v>13195086</v>
      </c>
      <c r="Q124" s="467">
        <v>384002</v>
      </c>
      <c r="R124" s="467">
        <v>844869</v>
      </c>
      <c r="S124" s="468">
        <v>70.080200000000005</v>
      </c>
      <c r="T124" s="468">
        <v>52.911699999999996</v>
      </c>
      <c r="U124" s="531">
        <v>17.168499999999998</v>
      </c>
      <c r="V124" s="471">
        <f t="shared" ref="V124:BK124" si="206">SUM(V119:V123)</f>
        <v>333600</v>
      </c>
      <c r="W124" s="467">
        <f t="shared" si="206"/>
        <v>-208500</v>
      </c>
      <c r="X124" s="467">
        <f t="shared" si="206"/>
        <v>-50808</v>
      </c>
      <c r="Y124" s="467">
        <f t="shared" si="206"/>
        <v>8606</v>
      </c>
      <c r="Z124" s="467">
        <f t="shared" si="206"/>
        <v>0</v>
      </c>
      <c r="AA124" s="467">
        <f t="shared" si="206"/>
        <v>-21746</v>
      </c>
      <c r="AB124" s="467">
        <f t="shared" si="206"/>
        <v>0</v>
      </c>
      <c r="AC124" s="467">
        <f t="shared" si="206"/>
        <v>0</v>
      </c>
      <c r="AD124" s="467">
        <f t="shared" si="206"/>
        <v>0</v>
      </c>
      <c r="AE124" s="467">
        <f t="shared" si="206"/>
        <v>291398</v>
      </c>
      <c r="AF124" s="467">
        <f t="shared" si="206"/>
        <v>-230246</v>
      </c>
      <c r="AG124" s="467">
        <f t="shared" si="206"/>
        <v>61152</v>
      </c>
      <c r="AH124" s="467">
        <f t="shared" si="206"/>
        <v>-333600</v>
      </c>
      <c r="AI124" s="467">
        <f t="shared" si="206"/>
        <v>208500</v>
      </c>
      <c r="AJ124" s="467">
        <f t="shared" si="206"/>
        <v>0</v>
      </c>
      <c r="AK124" s="467">
        <f t="shared" si="206"/>
        <v>0</v>
      </c>
      <c r="AL124" s="467">
        <f t="shared" si="206"/>
        <v>0</v>
      </c>
      <c r="AM124" s="467">
        <f t="shared" si="206"/>
        <v>-333600</v>
      </c>
      <c r="AN124" s="467">
        <f t="shared" si="206"/>
        <v>208500</v>
      </c>
      <c r="AO124" s="467">
        <f t="shared" si="206"/>
        <v>-125100</v>
      </c>
      <c r="AP124" s="467">
        <f t="shared" si="206"/>
        <v>-42202</v>
      </c>
      <c r="AQ124" s="467">
        <f t="shared" si="206"/>
        <v>-21746</v>
      </c>
      <c r="AR124" s="467">
        <f t="shared" si="206"/>
        <v>-63948</v>
      </c>
      <c r="AS124" s="467">
        <f t="shared" si="206"/>
        <v>-21614</v>
      </c>
      <c r="AT124" s="467">
        <f t="shared" si="206"/>
        <v>612</v>
      </c>
      <c r="AU124" s="467">
        <f t="shared" si="206"/>
        <v>0</v>
      </c>
      <c r="AV124" s="467">
        <f t="shared" si="206"/>
        <v>0</v>
      </c>
      <c r="AW124" s="467">
        <f t="shared" si="206"/>
        <v>0</v>
      </c>
      <c r="AX124" s="467">
        <f t="shared" si="206"/>
        <v>0</v>
      </c>
      <c r="AY124" s="467">
        <f t="shared" si="206"/>
        <v>-84950</v>
      </c>
      <c r="AZ124" s="468">
        <f t="shared" si="206"/>
        <v>0</v>
      </c>
      <c r="BA124" s="468">
        <f t="shared" si="206"/>
        <v>0</v>
      </c>
      <c r="BB124" s="468">
        <f t="shared" si="206"/>
        <v>-0.15</v>
      </c>
      <c r="BC124" s="468">
        <f t="shared" si="206"/>
        <v>0</v>
      </c>
      <c r="BD124" s="468">
        <f t="shared" si="206"/>
        <v>-7.0000000000000007E-2</v>
      </c>
      <c r="BE124" s="468">
        <f t="shared" si="206"/>
        <v>0.01</v>
      </c>
      <c r="BF124" s="468">
        <f t="shared" si="206"/>
        <v>0</v>
      </c>
      <c r="BG124" s="468">
        <f t="shared" si="206"/>
        <v>0</v>
      </c>
      <c r="BH124" s="468">
        <f t="shared" si="206"/>
        <v>0</v>
      </c>
      <c r="BI124" s="468">
        <f t="shared" si="206"/>
        <v>-0.13999999999999999</v>
      </c>
      <c r="BJ124" s="468">
        <f t="shared" si="206"/>
        <v>-7.0000000000000007E-2</v>
      </c>
      <c r="BK124" s="328">
        <f t="shared" si="206"/>
        <v>-0.21</v>
      </c>
      <c r="BL124" s="774">
        <f t="shared" ref="BL124:CG124" si="207">SUM(BL119:BL123)</f>
        <v>53377717</v>
      </c>
      <c r="BM124" s="467">
        <f t="shared" si="207"/>
        <v>38461262</v>
      </c>
      <c r="BN124" s="467">
        <f t="shared" si="207"/>
        <v>33005746</v>
      </c>
      <c r="BO124" s="467">
        <f t="shared" si="207"/>
        <v>5455516</v>
      </c>
      <c r="BP124" s="467">
        <f t="shared" si="207"/>
        <v>513500</v>
      </c>
      <c r="BQ124" s="467">
        <f t="shared" si="207"/>
        <v>305000</v>
      </c>
      <c r="BR124" s="467">
        <f t="shared" si="207"/>
        <v>208500</v>
      </c>
      <c r="BS124" s="467">
        <f t="shared" si="207"/>
        <v>13173472</v>
      </c>
      <c r="BT124" s="467">
        <f t="shared" si="207"/>
        <v>384614</v>
      </c>
      <c r="BU124" s="467">
        <f t="shared" si="207"/>
        <v>844869</v>
      </c>
      <c r="BV124" s="468">
        <f t="shared" si="207"/>
        <v>69.870199999999997</v>
      </c>
      <c r="BW124" s="468">
        <f t="shared" si="207"/>
        <v>52.771699999999996</v>
      </c>
      <c r="BX124" s="328">
        <f t="shared" si="207"/>
        <v>17.098499999999998</v>
      </c>
      <c r="BY124" s="838">
        <f t="shared" si="207"/>
        <v>301853</v>
      </c>
      <c r="BZ124" s="721">
        <f t="shared" si="207"/>
        <v>0</v>
      </c>
      <c r="CA124" s="721">
        <f t="shared" si="207"/>
        <v>225600</v>
      </c>
      <c r="CB124" s="721">
        <f t="shared" si="207"/>
        <v>76253</v>
      </c>
      <c r="CC124" s="721">
        <f t="shared" si="207"/>
        <v>0</v>
      </c>
      <c r="CD124" s="826">
        <f t="shared" si="207"/>
        <v>0</v>
      </c>
      <c r="CE124" s="995">
        <f t="shared" si="207"/>
        <v>1427486</v>
      </c>
      <c r="CF124" s="995">
        <f t="shared" si="207"/>
        <v>920464</v>
      </c>
      <c r="CG124" s="995">
        <f t="shared" si="207"/>
        <v>311117</v>
      </c>
      <c r="CH124" s="995">
        <f t="shared" ref="CH124:CJ124" si="208">SUM(CH119:CH123)</f>
        <v>9205</v>
      </c>
      <c r="CI124" s="995">
        <f t="shared" si="208"/>
        <v>186700</v>
      </c>
      <c r="CJ124" s="933">
        <f t="shared" si="208"/>
        <v>2.7797000000000001</v>
      </c>
    </row>
    <row r="125" spans="1:88" ht="12.95" customHeight="1">
      <c r="A125" s="280">
        <v>23</v>
      </c>
      <c r="B125" s="321">
        <v>5424</v>
      </c>
      <c r="C125" s="322">
        <v>600099431</v>
      </c>
      <c r="D125" s="281">
        <v>72742372</v>
      </c>
      <c r="E125" s="323" t="s">
        <v>394</v>
      </c>
      <c r="F125" s="281">
        <v>3114</v>
      </c>
      <c r="G125" s="331" t="s">
        <v>525</v>
      </c>
      <c r="H125" s="284" t="s">
        <v>271</v>
      </c>
      <c r="I125" s="419">
        <v>5752247</v>
      </c>
      <c r="J125" s="414">
        <v>4221381</v>
      </c>
      <c r="K125" s="414">
        <v>3794495</v>
      </c>
      <c r="L125" s="414">
        <v>426886</v>
      </c>
      <c r="M125" s="414">
        <v>15000</v>
      </c>
      <c r="N125" s="414">
        <v>0</v>
      </c>
      <c r="O125" s="414">
        <v>15000</v>
      </c>
      <c r="P125" s="68">
        <v>1431897</v>
      </c>
      <c r="Q125" s="68">
        <v>42214</v>
      </c>
      <c r="R125" s="414">
        <v>41755</v>
      </c>
      <c r="S125" s="415">
        <v>6.0762999999999998</v>
      </c>
      <c r="T125" s="416">
        <v>4.8598999999999997</v>
      </c>
      <c r="U125" s="422">
        <v>1.2163999999999999</v>
      </c>
      <c r="V125" s="423">
        <f t="shared" si="126"/>
        <v>0</v>
      </c>
      <c r="W125" s="417">
        <f t="shared" si="126"/>
        <v>0</v>
      </c>
      <c r="X125" s="417">
        <v>0</v>
      </c>
      <c r="Y125" s="417">
        <v>0</v>
      </c>
      <c r="Z125" s="417">
        <v>57975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27"/>
        <v>57975</v>
      </c>
      <c r="AF125" s="417">
        <f t="shared" si="128"/>
        <v>0</v>
      </c>
      <c r="AG125" s="417">
        <f t="shared" si="129"/>
        <v>57975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30"/>
        <v>0</v>
      </c>
      <c r="AN125" s="417">
        <f t="shared" si="131"/>
        <v>0</v>
      </c>
      <c r="AO125" s="417">
        <f t="shared" si="132"/>
        <v>0</v>
      </c>
      <c r="AP125" s="417">
        <f t="shared" si="133"/>
        <v>57975</v>
      </c>
      <c r="AQ125" s="417">
        <f t="shared" si="133"/>
        <v>0</v>
      </c>
      <c r="AR125" s="417">
        <f t="shared" si="134"/>
        <v>57975</v>
      </c>
      <c r="AS125" s="68">
        <f t="shared" si="135"/>
        <v>19596</v>
      </c>
      <c r="AT125" s="68">
        <f t="shared" si="136"/>
        <v>580</v>
      </c>
      <c r="AU125" s="417">
        <v>0</v>
      </c>
      <c r="AV125" s="417">
        <v>0</v>
      </c>
      <c r="AW125" s="417">
        <v>0</v>
      </c>
      <c r="AX125" s="417">
        <f t="shared" si="137"/>
        <v>0</v>
      </c>
      <c r="AY125" s="417">
        <f t="shared" si="138"/>
        <v>78151</v>
      </c>
      <c r="AZ125" s="418">
        <v>0</v>
      </c>
      <c r="BA125" s="418">
        <v>0</v>
      </c>
      <c r="BB125" s="418">
        <v>0</v>
      </c>
      <c r="BC125" s="418">
        <v>0.11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39"/>
        <v>0.11</v>
      </c>
      <c r="BJ125" s="418">
        <f t="shared" si="140"/>
        <v>0</v>
      </c>
      <c r="BK125" s="420">
        <f t="shared" si="141"/>
        <v>0.11</v>
      </c>
      <c r="BL125" s="772">
        <f>I125+AY125</f>
        <v>5830398</v>
      </c>
      <c r="BM125" s="417">
        <f>J125+AG125</f>
        <v>4279356</v>
      </c>
      <c r="BN125" s="417">
        <f>K125+AE125</f>
        <v>3852470</v>
      </c>
      <c r="BO125" s="417">
        <f>L125+AF125</f>
        <v>426886</v>
      </c>
      <c r="BP125" s="417">
        <f>M125+AO125</f>
        <v>15000</v>
      </c>
      <c r="BQ125" s="417">
        <f>N125+AM125</f>
        <v>0</v>
      </c>
      <c r="BR125" s="417">
        <f>O125+AN125</f>
        <v>15000</v>
      </c>
      <c r="BS125" s="417">
        <f>P125+AS125</f>
        <v>1451493</v>
      </c>
      <c r="BT125" s="417">
        <f>Q125+AT125</f>
        <v>42794</v>
      </c>
      <c r="BU125" s="417">
        <f>R125+AX125</f>
        <v>41755</v>
      </c>
      <c r="BV125" s="418">
        <f>S125+BK125</f>
        <v>6.1863000000000001</v>
      </c>
      <c r="BW125" s="418">
        <f>T125+BI125</f>
        <v>4.9699</v>
      </c>
      <c r="BX125" s="420">
        <f>U125+BJ125</f>
        <v>1.2163999999999999</v>
      </c>
      <c r="BY125" s="998"/>
      <c r="BZ125" s="983"/>
      <c r="CA125" s="983"/>
      <c r="CB125" s="983"/>
      <c r="CC125" s="983"/>
      <c r="CD125" s="984"/>
      <c r="CE125" s="841">
        <v>202627</v>
      </c>
      <c r="CF125" s="729">
        <v>141808</v>
      </c>
      <c r="CG125" s="729">
        <v>47931</v>
      </c>
      <c r="CH125" s="729">
        <v>1418</v>
      </c>
      <c r="CI125" s="729">
        <v>11470</v>
      </c>
      <c r="CJ125" s="828">
        <v>0.40639999999999998</v>
      </c>
    </row>
    <row r="126" spans="1:88" ht="12.95" customHeight="1">
      <c r="A126" s="280">
        <v>23</v>
      </c>
      <c r="B126" s="321">
        <v>5424</v>
      </c>
      <c r="C126" s="322">
        <v>600099431</v>
      </c>
      <c r="D126" s="281">
        <v>72742372</v>
      </c>
      <c r="E126" s="323" t="s">
        <v>394</v>
      </c>
      <c r="F126" s="281">
        <v>3114</v>
      </c>
      <c r="G126" s="331" t="s">
        <v>292</v>
      </c>
      <c r="H126" s="284" t="s">
        <v>271</v>
      </c>
      <c r="I126" s="419">
        <v>557020</v>
      </c>
      <c r="J126" s="414">
        <v>413220</v>
      </c>
      <c r="K126" s="414">
        <v>413220</v>
      </c>
      <c r="L126" s="414">
        <v>0</v>
      </c>
      <c r="M126" s="414">
        <v>0</v>
      </c>
      <c r="N126" s="414">
        <v>0</v>
      </c>
      <c r="O126" s="414">
        <v>0</v>
      </c>
      <c r="P126" s="68">
        <v>139668</v>
      </c>
      <c r="Q126" s="68">
        <v>4132</v>
      </c>
      <c r="R126" s="414">
        <v>0</v>
      </c>
      <c r="S126" s="415">
        <v>1</v>
      </c>
      <c r="T126" s="416">
        <v>1</v>
      </c>
      <c r="U126" s="422">
        <v>0</v>
      </c>
      <c r="V126" s="423">
        <f t="shared" si="126"/>
        <v>0</v>
      </c>
      <c r="W126" s="417">
        <f t="shared" si="126"/>
        <v>0</v>
      </c>
      <c r="X126" s="417">
        <v>0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 t="shared" si="127"/>
        <v>0</v>
      </c>
      <c r="AF126" s="417">
        <f t="shared" si="128"/>
        <v>0</v>
      </c>
      <c r="AG126" s="417">
        <f t="shared" si="129"/>
        <v>0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30"/>
        <v>0</v>
      </c>
      <c r="AN126" s="417">
        <f t="shared" si="131"/>
        <v>0</v>
      </c>
      <c r="AO126" s="417">
        <f t="shared" si="132"/>
        <v>0</v>
      </c>
      <c r="AP126" s="417">
        <f t="shared" si="133"/>
        <v>0</v>
      </c>
      <c r="AQ126" s="417">
        <f t="shared" si="133"/>
        <v>0</v>
      </c>
      <c r="AR126" s="417">
        <f t="shared" si="134"/>
        <v>0</v>
      </c>
      <c r="AS126" s="68">
        <f t="shared" si="135"/>
        <v>0</v>
      </c>
      <c r="AT126" s="68">
        <f t="shared" si="136"/>
        <v>0</v>
      </c>
      <c r="AU126" s="417">
        <v>0</v>
      </c>
      <c r="AV126" s="417">
        <v>0</v>
      </c>
      <c r="AW126" s="417">
        <v>0</v>
      </c>
      <c r="AX126" s="417">
        <f t="shared" si="137"/>
        <v>0</v>
      </c>
      <c r="AY126" s="417">
        <f t="shared" si="138"/>
        <v>0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</v>
      </c>
      <c r="BE126" s="418">
        <v>0</v>
      </c>
      <c r="BF126" s="418">
        <v>0</v>
      </c>
      <c r="BG126" s="418">
        <v>0</v>
      </c>
      <c r="BH126" s="418">
        <v>0</v>
      </c>
      <c r="BI126" s="418">
        <f t="shared" si="139"/>
        <v>0</v>
      </c>
      <c r="BJ126" s="418">
        <f t="shared" si="140"/>
        <v>0</v>
      </c>
      <c r="BK126" s="420">
        <f t="shared" si="141"/>
        <v>0</v>
      </c>
      <c r="BL126" s="772">
        <f>I126+AY126</f>
        <v>557020</v>
      </c>
      <c r="BM126" s="417">
        <f>J126+AG126</f>
        <v>413220</v>
      </c>
      <c r="BN126" s="417">
        <f>K126+AE126</f>
        <v>413220</v>
      </c>
      <c r="BO126" s="417">
        <f>L126+AF126</f>
        <v>0</v>
      </c>
      <c r="BP126" s="417">
        <f>M126+AO126</f>
        <v>0</v>
      </c>
      <c r="BQ126" s="417">
        <f>N126+AM126</f>
        <v>0</v>
      </c>
      <c r="BR126" s="417">
        <f>O126+AN126</f>
        <v>0</v>
      </c>
      <c r="BS126" s="417">
        <f>P126+AS126</f>
        <v>139668</v>
      </c>
      <c r="BT126" s="417">
        <f>Q126+AT126</f>
        <v>4132</v>
      </c>
      <c r="BU126" s="417">
        <f>R126+AX126</f>
        <v>0</v>
      </c>
      <c r="BV126" s="418">
        <f>S126+BK126</f>
        <v>1</v>
      </c>
      <c r="BW126" s="418">
        <f>T126+BI126</f>
        <v>1</v>
      </c>
      <c r="BX126" s="420">
        <f>U126+BJ126</f>
        <v>0</v>
      </c>
      <c r="BY126" s="998"/>
      <c r="BZ126" s="983"/>
      <c r="CA126" s="983"/>
      <c r="CB126" s="983"/>
      <c r="CC126" s="983"/>
      <c r="CD126" s="984"/>
      <c r="CE126" s="841"/>
      <c r="CF126" s="729"/>
      <c r="CG126" s="729"/>
      <c r="CH126" s="729"/>
      <c r="CI126" s="729"/>
      <c r="CJ126" s="828"/>
    </row>
    <row r="127" spans="1:88" ht="12.95" customHeight="1">
      <c r="A127" s="324">
        <v>23</v>
      </c>
      <c r="B127" s="325">
        <v>5424</v>
      </c>
      <c r="C127" s="326">
        <v>600099431</v>
      </c>
      <c r="D127" s="325">
        <v>72742372</v>
      </c>
      <c r="E127" s="327" t="s">
        <v>395</v>
      </c>
      <c r="F127" s="291"/>
      <c r="G127" s="329"/>
      <c r="H127" s="292"/>
      <c r="I127" s="471">
        <v>6309267</v>
      </c>
      <c r="J127" s="467">
        <v>4634601</v>
      </c>
      <c r="K127" s="467">
        <v>4207715</v>
      </c>
      <c r="L127" s="467">
        <v>426886</v>
      </c>
      <c r="M127" s="467">
        <v>15000</v>
      </c>
      <c r="N127" s="467">
        <v>0</v>
      </c>
      <c r="O127" s="467">
        <v>15000</v>
      </c>
      <c r="P127" s="467">
        <v>1571565</v>
      </c>
      <c r="Q127" s="467">
        <v>46346</v>
      </c>
      <c r="R127" s="467">
        <v>41755</v>
      </c>
      <c r="S127" s="468">
        <v>7.0762999999999998</v>
      </c>
      <c r="T127" s="468">
        <v>5.8598999999999997</v>
      </c>
      <c r="U127" s="531">
        <v>1.2163999999999999</v>
      </c>
      <c r="V127" s="471">
        <f t="shared" ref="V127:BK127" si="209">SUM(V125:V126)</f>
        <v>0</v>
      </c>
      <c r="W127" s="467">
        <f t="shared" si="209"/>
        <v>0</v>
      </c>
      <c r="X127" s="467">
        <f t="shared" si="209"/>
        <v>0</v>
      </c>
      <c r="Y127" s="467">
        <f t="shared" si="209"/>
        <v>0</v>
      </c>
      <c r="Z127" s="467">
        <f t="shared" si="209"/>
        <v>57975</v>
      </c>
      <c r="AA127" s="467">
        <f t="shared" si="209"/>
        <v>0</v>
      </c>
      <c r="AB127" s="467">
        <f t="shared" si="209"/>
        <v>0</v>
      </c>
      <c r="AC127" s="467">
        <f t="shared" si="209"/>
        <v>0</v>
      </c>
      <c r="AD127" s="467">
        <f t="shared" si="209"/>
        <v>0</v>
      </c>
      <c r="AE127" s="467">
        <f t="shared" si="209"/>
        <v>57975</v>
      </c>
      <c r="AF127" s="467">
        <f t="shared" si="209"/>
        <v>0</v>
      </c>
      <c r="AG127" s="467">
        <f t="shared" si="209"/>
        <v>57975</v>
      </c>
      <c r="AH127" s="467">
        <f t="shared" si="209"/>
        <v>0</v>
      </c>
      <c r="AI127" s="467">
        <f t="shared" si="209"/>
        <v>0</v>
      </c>
      <c r="AJ127" s="467">
        <f t="shared" si="209"/>
        <v>0</v>
      </c>
      <c r="AK127" s="467">
        <f t="shared" si="209"/>
        <v>0</v>
      </c>
      <c r="AL127" s="467">
        <f t="shared" si="209"/>
        <v>0</v>
      </c>
      <c r="AM127" s="467">
        <f t="shared" si="209"/>
        <v>0</v>
      </c>
      <c r="AN127" s="467">
        <f t="shared" si="209"/>
        <v>0</v>
      </c>
      <c r="AO127" s="467">
        <f t="shared" si="209"/>
        <v>0</v>
      </c>
      <c r="AP127" s="467">
        <f t="shared" si="209"/>
        <v>57975</v>
      </c>
      <c r="AQ127" s="467">
        <f t="shared" si="209"/>
        <v>0</v>
      </c>
      <c r="AR127" s="467">
        <f t="shared" si="209"/>
        <v>57975</v>
      </c>
      <c r="AS127" s="467">
        <f t="shared" si="209"/>
        <v>19596</v>
      </c>
      <c r="AT127" s="467">
        <f t="shared" si="209"/>
        <v>580</v>
      </c>
      <c r="AU127" s="467">
        <f t="shared" si="209"/>
        <v>0</v>
      </c>
      <c r="AV127" s="467">
        <f t="shared" si="209"/>
        <v>0</v>
      </c>
      <c r="AW127" s="467">
        <f t="shared" si="209"/>
        <v>0</v>
      </c>
      <c r="AX127" s="467">
        <f t="shared" si="209"/>
        <v>0</v>
      </c>
      <c r="AY127" s="467">
        <f t="shared" si="209"/>
        <v>78151</v>
      </c>
      <c r="AZ127" s="468">
        <f t="shared" si="209"/>
        <v>0</v>
      </c>
      <c r="BA127" s="468">
        <f t="shared" si="209"/>
        <v>0</v>
      </c>
      <c r="BB127" s="468">
        <f t="shared" si="209"/>
        <v>0</v>
      </c>
      <c r="BC127" s="468">
        <f t="shared" si="209"/>
        <v>0.11</v>
      </c>
      <c r="BD127" s="468">
        <f t="shared" si="209"/>
        <v>0</v>
      </c>
      <c r="BE127" s="468">
        <f t="shared" si="209"/>
        <v>0</v>
      </c>
      <c r="BF127" s="468">
        <f t="shared" si="209"/>
        <v>0</v>
      </c>
      <c r="BG127" s="468">
        <f t="shared" si="209"/>
        <v>0</v>
      </c>
      <c r="BH127" s="468">
        <f t="shared" si="209"/>
        <v>0</v>
      </c>
      <c r="BI127" s="468">
        <f t="shared" si="209"/>
        <v>0.11</v>
      </c>
      <c r="BJ127" s="468">
        <f t="shared" si="209"/>
        <v>0</v>
      </c>
      <c r="BK127" s="328">
        <f t="shared" si="209"/>
        <v>0.11</v>
      </c>
      <c r="BL127" s="774">
        <f t="shared" ref="BL127:CG127" si="210">SUM(BL125:BL126)</f>
        <v>6387418</v>
      </c>
      <c r="BM127" s="467">
        <f t="shared" si="210"/>
        <v>4692576</v>
      </c>
      <c r="BN127" s="467">
        <f t="shared" si="210"/>
        <v>4265690</v>
      </c>
      <c r="BO127" s="467">
        <f t="shared" si="210"/>
        <v>426886</v>
      </c>
      <c r="BP127" s="467">
        <f t="shared" si="210"/>
        <v>15000</v>
      </c>
      <c r="BQ127" s="467">
        <f t="shared" si="210"/>
        <v>0</v>
      </c>
      <c r="BR127" s="467">
        <f t="shared" si="210"/>
        <v>15000</v>
      </c>
      <c r="BS127" s="467">
        <f t="shared" si="210"/>
        <v>1591161</v>
      </c>
      <c r="BT127" s="467">
        <f t="shared" si="210"/>
        <v>46926</v>
      </c>
      <c r="BU127" s="467">
        <f t="shared" si="210"/>
        <v>41755</v>
      </c>
      <c r="BV127" s="468">
        <f t="shared" si="210"/>
        <v>7.1863000000000001</v>
      </c>
      <c r="BW127" s="468">
        <f t="shared" si="210"/>
        <v>5.9699</v>
      </c>
      <c r="BX127" s="328">
        <f t="shared" si="210"/>
        <v>1.2163999999999999</v>
      </c>
      <c r="BY127" s="838">
        <f t="shared" si="210"/>
        <v>0</v>
      </c>
      <c r="BZ127" s="721">
        <f t="shared" si="210"/>
        <v>0</v>
      </c>
      <c r="CA127" s="721">
        <f t="shared" si="210"/>
        <v>0</v>
      </c>
      <c r="CB127" s="721">
        <f t="shared" si="210"/>
        <v>0</v>
      </c>
      <c r="CC127" s="721">
        <f t="shared" si="210"/>
        <v>0</v>
      </c>
      <c r="CD127" s="826">
        <f t="shared" si="210"/>
        <v>0</v>
      </c>
      <c r="CE127" s="995">
        <f t="shared" si="210"/>
        <v>202627</v>
      </c>
      <c r="CF127" s="995">
        <f t="shared" si="210"/>
        <v>141808</v>
      </c>
      <c r="CG127" s="995">
        <f t="shared" si="210"/>
        <v>47931</v>
      </c>
      <c r="CH127" s="995">
        <f t="shared" ref="CH127:CJ127" si="211">SUM(CH125:CH126)</f>
        <v>1418</v>
      </c>
      <c r="CI127" s="995">
        <f t="shared" si="211"/>
        <v>11470</v>
      </c>
      <c r="CJ127" s="933">
        <f t="shared" si="211"/>
        <v>0.40639999999999998</v>
      </c>
    </row>
    <row r="128" spans="1:88" ht="12.95" customHeight="1">
      <c r="A128" s="280">
        <v>24</v>
      </c>
      <c r="B128" s="321">
        <v>5427</v>
      </c>
      <c r="C128" s="322">
        <v>600099407</v>
      </c>
      <c r="D128" s="281">
        <v>72742534</v>
      </c>
      <c r="E128" s="323" t="s">
        <v>396</v>
      </c>
      <c r="F128" s="281">
        <v>3231</v>
      </c>
      <c r="G128" s="323" t="s">
        <v>397</v>
      </c>
      <c r="H128" s="284" t="s">
        <v>271</v>
      </c>
      <c r="I128" s="419">
        <v>12590099</v>
      </c>
      <c r="J128" s="414">
        <v>9322968</v>
      </c>
      <c r="K128" s="414">
        <v>8803462</v>
      </c>
      <c r="L128" s="414">
        <v>519506</v>
      </c>
      <c r="M128" s="414">
        <v>0</v>
      </c>
      <c r="N128" s="414">
        <v>0</v>
      </c>
      <c r="O128" s="414">
        <v>0</v>
      </c>
      <c r="P128" s="68">
        <v>3151163</v>
      </c>
      <c r="Q128" s="68">
        <v>93230</v>
      </c>
      <c r="R128" s="414">
        <v>22738</v>
      </c>
      <c r="S128" s="415">
        <v>15.410700000000002</v>
      </c>
      <c r="T128" s="416">
        <v>13.9533</v>
      </c>
      <c r="U128" s="422">
        <v>1.4574</v>
      </c>
      <c r="V128" s="423">
        <f t="shared" si="126"/>
        <v>0</v>
      </c>
      <c r="W128" s="417">
        <f t="shared" si="126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27"/>
        <v>0</v>
      </c>
      <c r="AF128" s="417">
        <f t="shared" si="128"/>
        <v>0</v>
      </c>
      <c r="AG128" s="417">
        <f t="shared" si="129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30"/>
        <v>0</v>
      </c>
      <c r="AN128" s="417">
        <f t="shared" si="131"/>
        <v>0</v>
      </c>
      <c r="AO128" s="417">
        <f t="shared" si="132"/>
        <v>0</v>
      </c>
      <c r="AP128" s="417">
        <f t="shared" si="133"/>
        <v>0</v>
      </c>
      <c r="AQ128" s="417">
        <f t="shared" si="133"/>
        <v>0</v>
      </c>
      <c r="AR128" s="417">
        <f t="shared" si="134"/>
        <v>0</v>
      </c>
      <c r="AS128" s="68">
        <f t="shared" si="135"/>
        <v>0</v>
      </c>
      <c r="AT128" s="68">
        <f t="shared" si="136"/>
        <v>0</v>
      </c>
      <c r="AU128" s="417">
        <v>0</v>
      </c>
      <c r="AV128" s="417">
        <v>0</v>
      </c>
      <c r="AW128" s="417">
        <v>0</v>
      </c>
      <c r="AX128" s="417">
        <f t="shared" si="137"/>
        <v>0</v>
      </c>
      <c r="AY128" s="417">
        <f t="shared" si="138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39"/>
        <v>0</v>
      </c>
      <c r="BJ128" s="418">
        <f t="shared" si="140"/>
        <v>0</v>
      </c>
      <c r="BK128" s="420">
        <f t="shared" si="141"/>
        <v>0</v>
      </c>
      <c r="BL128" s="772">
        <f>I128+AY128</f>
        <v>12590099</v>
      </c>
      <c r="BM128" s="417">
        <f>J128+AG128</f>
        <v>9322968</v>
      </c>
      <c r="BN128" s="417">
        <f>K128+AE128</f>
        <v>8803462</v>
      </c>
      <c r="BO128" s="417">
        <f>L128+AF128</f>
        <v>519506</v>
      </c>
      <c r="BP128" s="417">
        <f>M128+AO128</f>
        <v>0</v>
      </c>
      <c r="BQ128" s="417">
        <f>N128+AM128</f>
        <v>0</v>
      </c>
      <c r="BR128" s="417">
        <f>O128+AN128</f>
        <v>0</v>
      </c>
      <c r="BS128" s="417">
        <f>P128+AS128</f>
        <v>3151163</v>
      </c>
      <c r="BT128" s="417">
        <f>Q128+AT128</f>
        <v>93230</v>
      </c>
      <c r="BU128" s="417">
        <f>R128+AX128</f>
        <v>22738</v>
      </c>
      <c r="BV128" s="418">
        <f>S128+BK128</f>
        <v>15.410700000000002</v>
      </c>
      <c r="BW128" s="418">
        <f>T128+BI128</f>
        <v>13.9533</v>
      </c>
      <c r="BX128" s="420">
        <f>U128+BJ128</f>
        <v>1.4574</v>
      </c>
      <c r="BY128" s="998"/>
      <c r="BZ128" s="983"/>
      <c r="CA128" s="983"/>
      <c r="CB128" s="983"/>
      <c r="CC128" s="983"/>
      <c r="CD128" s="984"/>
      <c r="CE128" s="841">
        <v>238071</v>
      </c>
      <c r="CF128" s="729">
        <v>171100</v>
      </c>
      <c r="CG128" s="729">
        <v>57832</v>
      </c>
      <c r="CH128" s="729">
        <v>1711</v>
      </c>
      <c r="CI128" s="729">
        <v>7428</v>
      </c>
      <c r="CJ128" s="828">
        <v>0.4798</v>
      </c>
    </row>
    <row r="129" spans="1:88" ht="12.95" customHeight="1">
      <c r="A129" s="280">
        <v>24</v>
      </c>
      <c r="B129" s="321">
        <v>5427</v>
      </c>
      <c r="C129" s="322">
        <v>600099407</v>
      </c>
      <c r="D129" s="281">
        <v>72742534</v>
      </c>
      <c r="E129" s="323" t="s">
        <v>396</v>
      </c>
      <c r="F129" s="281">
        <v>3231</v>
      </c>
      <c r="G129" s="323" t="s">
        <v>298</v>
      </c>
      <c r="H129" s="284" t="s">
        <v>272</v>
      </c>
      <c r="I129" s="419">
        <v>124960</v>
      </c>
      <c r="J129" s="414">
        <v>92700</v>
      </c>
      <c r="K129" s="414">
        <v>92700</v>
      </c>
      <c r="L129" s="414">
        <v>0</v>
      </c>
      <c r="M129" s="414">
        <v>0</v>
      </c>
      <c r="N129" s="414">
        <v>0</v>
      </c>
      <c r="O129" s="414">
        <v>0</v>
      </c>
      <c r="P129" s="68">
        <v>31333</v>
      </c>
      <c r="Q129" s="68">
        <v>927</v>
      </c>
      <c r="R129" s="414">
        <v>0</v>
      </c>
      <c r="S129" s="415">
        <v>0.25</v>
      </c>
      <c r="T129" s="416">
        <v>0.25</v>
      </c>
      <c r="U129" s="422">
        <v>0</v>
      </c>
      <c r="V129" s="423">
        <f t="shared" si="126"/>
        <v>0</v>
      </c>
      <c r="W129" s="417">
        <f t="shared" si="126"/>
        <v>0</v>
      </c>
      <c r="X129" s="417">
        <v>-23175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27"/>
        <v>-23175</v>
      </c>
      <c r="AF129" s="417">
        <f t="shared" si="128"/>
        <v>0</v>
      </c>
      <c r="AG129" s="417">
        <f t="shared" si="129"/>
        <v>-23175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30"/>
        <v>0</v>
      </c>
      <c r="AN129" s="417">
        <f t="shared" si="131"/>
        <v>0</v>
      </c>
      <c r="AO129" s="417">
        <f t="shared" si="132"/>
        <v>0</v>
      </c>
      <c r="AP129" s="417">
        <f t="shared" si="133"/>
        <v>-23175</v>
      </c>
      <c r="AQ129" s="417">
        <f t="shared" si="133"/>
        <v>0</v>
      </c>
      <c r="AR129" s="417">
        <f t="shared" si="134"/>
        <v>-23175</v>
      </c>
      <c r="AS129" s="68">
        <f t="shared" si="135"/>
        <v>-7833</v>
      </c>
      <c r="AT129" s="68">
        <f t="shared" si="136"/>
        <v>-232</v>
      </c>
      <c r="AU129" s="417">
        <v>0</v>
      </c>
      <c r="AV129" s="417">
        <v>0</v>
      </c>
      <c r="AW129" s="417">
        <v>0</v>
      </c>
      <c r="AX129" s="417">
        <f t="shared" si="137"/>
        <v>0</v>
      </c>
      <c r="AY129" s="417">
        <f t="shared" si="138"/>
        <v>-31240</v>
      </c>
      <c r="AZ129" s="418">
        <v>0</v>
      </c>
      <c r="BA129" s="418">
        <v>0</v>
      </c>
      <c r="BB129" s="418">
        <v>-0.06</v>
      </c>
      <c r="BC129" s="418">
        <v>0</v>
      </c>
      <c r="BD129" s="418">
        <v>0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39"/>
        <v>-0.06</v>
      </c>
      <c r="BJ129" s="418">
        <f t="shared" si="140"/>
        <v>0</v>
      </c>
      <c r="BK129" s="420">
        <f t="shared" si="141"/>
        <v>-0.06</v>
      </c>
      <c r="BL129" s="772">
        <f>I129+AY129</f>
        <v>93720</v>
      </c>
      <c r="BM129" s="417">
        <f>J129+AG129</f>
        <v>69525</v>
      </c>
      <c r="BN129" s="417">
        <f>K129+AE129</f>
        <v>69525</v>
      </c>
      <c r="BO129" s="417">
        <f>L129+AF129</f>
        <v>0</v>
      </c>
      <c r="BP129" s="417">
        <f>M129+AO129</f>
        <v>0</v>
      </c>
      <c r="BQ129" s="417">
        <f>N129+AM129</f>
        <v>0</v>
      </c>
      <c r="BR129" s="417">
        <f>O129+AN129</f>
        <v>0</v>
      </c>
      <c r="BS129" s="417">
        <f>P129+AS129</f>
        <v>23500</v>
      </c>
      <c r="BT129" s="417">
        <f>Q129+AT129</f>
        <v>695</v>
      </c>
      <c r="BU129" s="417">
        <f>R129+AX129</f>
        <v>0</v>
      </c>
      <c r="BV129" s="418">
        <f>S129+BK129</f>
        <v>0.19</v>
      </c>
      <c r="BW129" s="418">
        <f>T129+BI129</f>
        <v>0.19</v>
      </c>
      <c r="BX129" s="420">
        <f>U129+BJ129</f>
        <v>0</v>
      </c>
      <c r="BY129" s="998"/>
      <c r="BZ129" s="983"/>
      <c r="CA129" s="983"/>
      <c r="CB129" s="983"/>
      <c r="CC129" s="983"/>
      <c r="CD129" s="984"/>
      <c r="CE129" s="841"/>
      <c r="CF129" s="729"/>
      <c r="CG129" s="729"/>
      <c r="CH129" s="729"/>
      <c r="CI129" s="729"/>
      <c r="CJ129" s="828"/>
    </row>
    <row r="130" spans="1:88" ht="12.95" customHeight="1">
      <c r="A130" s="324">
        <v>24</v>
      </c>
      <c r="B130" s="325">
        <v>5427</v>
      </c>
      <c r="C130" s="326">
        <v>600099431</v>
      </c>
      <c r="D130" s="325">
        <v>72742534</v>
      </c>
      <c r="E130" s="327" t="s">
        <v>398</v>
      </c>
      <c r="F130" s="291"/>
      <c r="G130" s="329"/>
      <c r="H130" s="292"/>
      <c r="I130" s="471">
        <v>12715059</v>
      </c>
      <c r="J130" s="467">
        <v>9415668</v>
      </c>
      <c r="K130" s="467">
        <v>8896162</v>
      </c>
      <c r="L130" s="467">
        <v>519506</v>
      </c>
      <c r="M130" s="467">
        <v>0</v>
      </c>
      <c r="N130" s="467">
        <v>0</v>
      </c>
      <c r="O130" s="467">
        <v>0</v>
      </c>
      <c r="P130" s="467">
        <v>3182496</v>
      </c>
      <c r="Q130" s="467">
        <v>94157</v>
      </c>
      <c r="R130" s="467">
        <v>22738</v>
      </c>
      <c r="S130" s="468">
        <v>15.660700000000002</v>
      </c>
      <c r="T130" s="468">
        <v>14.2033</v>
      </c>
      <c r="U130" s="531">
        <v>1.4574</v>
      </c>
      <c r="V130" s="471">
        <f t="shared" ref="V130:BK130" si="212">SUM(V128:V129)</f>
        <v>0</v>
      </c>
      <c r="W130" s="467">
        <f t="shared" si="212"/>
        <v>0</v>
      </c>
      <c r="X130" s="467">
        <f t="shared" si="212"/>
        <v>-23175</v>
      </c>
      <c r="Y130" s="467">
        <f t="shared" si="212"/>
        <v>0</v>
      </c>
      <c r="Z130" s="467">
        <f t="shared" si="212"/>
        <v>0</v>
      </c>
      <c r="AA130" s="467">
        <f t="shared" si="212"/>
        <v>0</v>
      </c>
      <c r="AB130" s="467">
        <f t="shared" si="212"/>
        <v>0</v>
      </c>
      <c r="AC130" s="467">
        <f t="shared" si="212"/>
        <v>0</v>
      </c>
      <c r="AD130" s="467">
        <f t="shared" si="212"/>
        <v>0</v>
      </c>
      <c r="AE130" s="467">
        <f t="shared" si="212"/>
        <v>-23175</v>
      </c>
      <c r="AF130" s="467">
        <f t="shared" si="212"/>
        <v>0</v>
      </c>
      <c r="AG130" s="467">
        <f t="shared" si="212"/>
        <v>-23175</v>
      </c>
      <c r="AH130" s="467">
        <f t="shared" si="212"/>
        <v>0</v>
      </c>
      <c r="AI130" s="467">
        <f t="shared" si="212"/>
        <v>0</v>
      </c>
      <c r="AJ130" s="467">
        <f t="shared" si="212"/>
        <v>0</v>
      </c>
      <c r="AK130" s="467">
        <f t="shared" si="212"/>
        <v>0</v>
      </c>
      <c r="AL130" s="467">
        <f t="shared" si="212"/>
        <v>0</v>
      </c>
      <c r="AM130" s="467">
        <f t="shared" si="212"/>
        <v>0</v>
      </c>
      <c r="AN130" s="467">
        <f t="shared" si="212"/>
        <v>0</v>
      </c>
      <c r="AO130" s="467">
        <f t="shared" si="212"/>
        <v>0</v>
      </c>
      <c r="AP130" s="467">
        <f t="shared" si="212"/>
        <v>-23175</v>
      </c>
      <c r="AQ130" s="467">
        <f t="shared" si="212"/>
        <v>0</v>
      </c>
      <c r="AR130" s="467">
        <f t="shared" si="212"/>
        <v>-23175</v>
      </c>
      <c r="AS130" s="467">
        <f t="shared" si="212"/>
        <v>-7833</v>
      </c>
      <c r="AT130" s="467">
        <f t="shared" si="212"/>
        <v>-232</v>
      </c>
      <c r="AU130" s="467">
        <f t="shared" si="212"/>
        <v>0</v>
      </c>
      <c r="AV130" s="467">
        <f t="shared" si="212"/>
        <v>0</v>
      </c>
      <c r="AW130" s="467">
        <f t="shared" si="212"/>
        <v>0</v>
      </c>
      <c r="AX130" s="467">
        <f t="shared" si="212"/>
        <v>0</v>
      </c>
      <c r="AY130" s="467">
        <f t="shared" si="212"/>
        <v>-31240</v>
      </c>
      <c r="AZ130" s="468">
        <f t="shared" si="212"/>
        <v>0</v>
      </c>
      <c r="BA130" s="468">
        <f t="shared" si="212"/>
        <v>0</v>
      </c>
      <c r="BB130" s="468">
        <f t="shared" si="212"/>
        <v>-0.06</v>
      </c>
      <c r="BC130" s="468">
        <f t="shared" si="212"/>
        <v>0</v>
      </c>
      <c r="BD130" s="468">
        <f t="shared" si="212"/>
        <v>0</v>
      </c>
      <c r="BE130" s="468">
        <f t="shared" si="212"/>
        <v>0</v>
      </c>
      <c r="BF130" s="468">
        <f t="shared" si="212"/>
        <v>0</v>
      </c>
      <c r="BG130" s="468">
        <f t="shared" si="212"/>
        <v>0</v>
      </c>
      <c r="BH130" s="468">
        <f t="shared" si="212"/>
        <v>0</v>
      </c>
      <c r="BI130" s="468">
        <f t="shared" si="212"/>
        <v>-0.06</v>
      </c>
      <c r="BJ130" s="468">
        <f t="shared" si="212"/>
        <v>0</v>
      </c>
      <c r="BK130" s="328">
        <f t="shared" si="212"/>
        <v>-0.06</v>
      </c>
      <c r="BL130" s="774">
        <f t="shared" ref="BL130:CG130" si="213">SUM(BL128:BL129)</f>
        <v>12683819</v>
      </c>
      <c r="BM130" s="467">
        <f t="shared" si="213"/>
        <v>9392493</v>
      </c>
      <c r="BN130" s="467">
        <f t="shared" si="213"/>
        <v>8872987</v>
      </c>
      <c r="BO130" s="467">
        <f t="shared" si="213"/>
        <v>519506</v>
      </c>
      <c r="BP130" s="467">
        <f t="shared" si="213"/>
        <v>0</v>
      </c>
      <c r="BQ130" s="467">
        <f t="shared" si="213"/>
        <v>0</v>
      </c>
      <c r="BR130" s="467">
        <f t="shared" si="213"/>
        <v>0</v>
      </c>
      <c r="BS130" s="467">
        <f t="shared" si="213"/>
        <v>3174663</v>
      </c>
      <c r="BT130" s="467">
        <f t="shared" si="213"/>
        <v>93925</v>
      </c>
      <c r="BU130" s="467">
        <f t="shared" si="213"/>
        <v>22738</v>
      </c>
      <c r="BV130" s="468">
        <f t="shared" si="213"/>
        <v>15.600700000000002</v>
      </c>
      <c r="BW130" s="468">
        <f t="shared" si="213"/>
        <v>14.1433</v>
      </c>
      <c r="BX130" s="328">
        <f t="shared" si="213"/>
        <v>1.4574</v>
      </c>
      <c r="BY130" s="838">
        <f t="shared" si="213"/>
        <v>0</v>
      </c>
      <c r="BZ130" s="721">
        <f t="shared" si="213"/>
        <v>0</v>
      </c>
      <c r="CA130" s="721">
        <f t="shared" si="213"/>
        <v>0</v>
      </c>
      <c r="CB130" s="721">
        <f t="shared" si="213"/>
        <v>0</v>
      </c>
      <c r="CC130" s="721">
        <f t="shared" si="213"/>
        <v>0</v>
      </c>
      <c r="CD130" s="826">
        <f t="shared" si="213"/>
        <v>0</v>
      </c>
      <c r="CE130" s="995">
        <f t="shared" si="213"/>
        <v>238071</v>
      </c>
      <c r="CF130" s="995">
        <f t="shared" si="213"/>
        <v>171100</v>
      </c>
      <c r="CG130" s="995">
        <f t="shared" si="213"/>
        <v>57832</v>
      </c>
      <c r="CH130" s="995">
        <f t="shared" ref="CH130:CJ130" si="214">SUM(CH128:CH129)</f>
        <v>1711</v>
      </c>
      <c r="CI130" s="995">
        <f t="shared" si="214"/>
        <v>7428</v>
      </c>
      <c r="CJ130" s="933">
        <f t="shared" si="214"/>
        <v>0.4798</v>
      </c>
    </row>
    <row r="131" spans="1:88" ht="12.95" customHeight="1">
      <c r="A131" s="280">
        <v>25</v>
      </c>
      <c r="B131" s="321">
        <v>5432</v>
      </c>
      <c r="C131" s="322">
        <v>600099024</v>
      </c>
      <c r="D131" s="281">
        <v>71003819</v>
      </c>
      <c r="E131" s="323" t="s">
        <v>399</v>
      </c>
      <c r="F131" s="281">
        <v>3111</v>
      </c>
      <c r="G131" s="323" t="s">
        <v>304</v>
      </c>
      <c r="H131" s="284" t="s">
        <v>271</v>
      </c>
      <c r="I131" s="419">
        <v>1717021</v>
      </c>
      <c r="J131" s="414">
        <v>1254619</v>
      </c>
      <c r="K131" s="414">
        <v>1159601</v>
      </c>
      <c r="L131" s="414">
        <v>95018</v>
      </c>
      <c r="M131" s="414">
        <v>13000</v>
      </c>
      <c r="N131" s="414">
        <v>10000</v>
      </c>
      <c r="O131" s="414">
        <v>3000</v>
      </c>
      <c r="P131" s="68">
        <v>428455</v>
      </c>
      <c r="Q131" s="68">
        <v>12547</v>
      </c>
      <c r="R131" s="414">
        <v>8400</v>
      </c>
      <c r="S131" s="415">
        <v>2.3927</v>
      </c>
      <c r="T131" s="416">
        <v>2</v>
      </c>
      <c r="U131" s="422">
        <v>0.39269999999999999</v>
      </c>
      <c r="V131" s="423">
        <f t="shared" si="126"/>
        <v>7000</v>
      </c>
      <c r="W131" s="417">
        <f t="shared" si="126"/>
        <v>1000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27"/>
        <v>7000</v>
      </c>
      <c r="AF131" s="417">
        <f t="shared" si="128"/>
        <v>1000</v>
      </c>
      <c r="AG131" s="417">
        <f t="shared" si="129"/>
        <v>8000</v>
      </c>
      <c r="AH131" s="417">
        <v>-7000</v>
      </c>
      <c r="AI131" s="417">
        <v>-1000</v>
      </c>
      <c r="AJ131" s="417">
        <v>0</v>
      </c>
      <c r="AK131" s="417">
        <v>0</v>
      </c>
      <c r="AL131" s="417">
        <v>0</v>
      </c>
      <c r="AM131" s="417">
        <f t="shared" si="130"/>
        <v>-7000</v>
      </c>
      <c r="AN131" s="417">
        <f t="shared" si="131"/>
        <v>-1000</v>
      </c>
      <c r="AO131" s="417">
        <f t="shared" si="132"/>
        <v>-8000</v>
      </c>
      <c r="AP131" s="417">
        <f t="shared" si="133"/>
        <v>0</v>
      </c>
      <c r="AQ131" s="417">
        <f t="shared" si="133"/>
        <v>0</v>
      </c>
      <c r="AR131" s="417">
        <f t="shared" si="134"/>
        <v>0</v>
      </c>
      <c r="AS131" s="68">
        <f t="shared" si="135"/>
        <v>0</v>
      </c>
      <c r="AT131" s="68">
        <f t="shared" si="136"/>
        <v>80</v>
      </c>
      <c r="AU131" s="417">
        <v>0</v>
      </c>
      <c r="AV131" s="417">
        <v>0</v>
      </c>
      <c r="AW131" s="417">
        <v>0</v>
      </c>
      <c r="AX131" s="417">
        <f t="shared" si="137"/>
        <v>0</v>
      </c>
      <c r="AY131" s="417">
        <f t="shared" si="138"/>
        <v>80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39"/>
        <v>0</v>
      </c>
      <c r="BJ131" s="418">
        <f t="shared" si="140"/>
        <v>0</v>
      </c>
      <c r="BK131" s="420">
        <f t="shared" si="141"/>
        <v>0</v>
      </c>
      <c r="BL131" s="772">
        <f t="shared" ref="BL131:BL136" si="215">I131+AY131</f>
        <v>1717101</v>
      </c>
      <c r="BM131" s="417">
        <f t="shared" ref="BM131:BM136" si="216">J131+AG131</f>
        <v>1262619</v>
      </c>
      <c r="BN131" s="417">
        <f t="shared" ref="BN131:BO136" si="217">K131+AE131</f>
        <v>1166601</v>
      </c>
      <c r="BO131" s="417">
        <f t="shared" si="217"/>
        <v>96018</v>
      </c>
      <c r="BP131" s="417">
        <f t="shared" ref="BP131:BP136" si="218">M131+AO131</f>
        <v>5000</v>
      </c>
      <c r="BQ131" s="417">
        <f t="shared" ref="BQ131:BR136" si="219">N131+AM131</f>
        <v>3000</v>
      </c>
      <c r="BR131" s="417">
        <f t="shared" si="219"/>
        <v>2000</v>
      </c>
      <c r="BS131" s="417">
        <f t="shared" ref="BS131:BT136" si="220">P131+AS131</f>
        <v>428455</v>
      </c>
      <c r="BT131" s="417">
        <f t="shared" si="220"/>
        <v>12627</v>
      </c>
      <c r="BU131" s="417">
        <f t="shared" ref="BU131:BU136" si="221">R131+AX131</f>
        <v>8400</v>
      </c>
      <c r="BV131" s="418">
        <f t="shared" ref="BV131:BV136" si="222">S131+BK131</f>
        <v>2.3927</v>
      </c>
      <c r="BW131" s="418">
        <f t="shared" ref="BW131:BX136" si="223">T131+BI131</f>
        <v>2</v>
      </c>
      <c r="BX131" s="420">
        <f t="shared" si="223"/>
        <v>0.39269999999999999</v>
      </c>
      <c r="BY131" s="842"/>
      <c r="BZ131" s="999"/>
      <c r="CA131" s="999"/>
      <c r="CB131" s="999"/>
      <c r="CC131" s="999"/>
      <c r="CD131" s="1000"/>
      <c r="CE131" s="842">
        <v>45188</v>
      </c>
      <c r="CF131" s="16">
        <v>31450</v>
      </c>
      <c r="CG131" s="16">
        <v>10630</v>
      </c>
      <c r="CH131" s="16">
        <v>315</v>
      </c>
      <c r="CI131" s="16">
        <v>2793</v>
      </c>
      <c r="CJ131" s="17">
        <v>0.126</v>
      </c>
    </row>
    <row r="132" spans="1:88" ht="12.95" customHeight="1">
      <c r="A132" s="280">
        <v>25</v>
      </c>
      <c r="B132" s="321">
        <v>5432</v>
      </c>
      <c r="C132" s="322">
        <v>600099024</v>
      </c>
      <c r="D132" s="281">
        <v>71003819</v>
      </c>
      <c r="E132" s="323" t="s">
        <v>399</v>
      </c>
      <c r="F132" s="281">
        <v>3117</v>
      </c>
      <c r="G132" s="323" t="s">
        <v>293</v>
      </c>
      <c r="H132" s="284" t="s">
        <v>271</v>
      </c>
      <c r="I132" s="419">
        <v>3355019</v>
      </c>
      <c r="J132" s="414">
        <v>2435340</v>
      </c>
      <c r="K132" s="414">
        <v>2027786</v>
      </c>
      <c r="L132" s="414">
        <v>407554</v>
      </c>
      <c r="M132" s="414">
        <v>12000</v>
      </c>
      <c r="N132" s="414">
        <v>10000</v>
      </c>
      <c r="O132" s="414">
        <v>2000</v>
      </c>
      <c r="P132" s="68">
        <v>827201</v>
      </c>
      <c r="Q132" s="68">
        <v>24353</v>
      </c>
      <c r="R132" s="414">
        <v>56125</v>
      </c>
      <c r="S132" s="415">
        <v>4.3166000000000002</v>
      </c>
      <c r="T132" s="416">
        <v>3.2612000000000001</v>
      </c>
      <c r="U132" s="422">
        <v>1.0554000000000001</v>
      </c>
      <c r="V132" s="423">
        <f t="shared" si="126"/>
        <v>4000</v>
      </c>
      <c r="W132" s="417">
        <f t="shared" si="126"/>
        <v>-3000</v>
      </c>
      <c r="X132" s="417">
        <v>0</v>
      </c>
      <c r="Y132" s="417">
        <v>0</v>
      </c>
      <c r="Z132" s="417">
        <v>0</v>
      </c>
      <c r="AA132" s="417">
        <v>0</v>
      </c>
      <c r="AB132" s="417">
        <v>0</v>
      </c>
      <c r="AC132" s="417">
        <v>0</v>
      </c>
      <c r="AD132" s="417">
        <v>0</v>
      </c>
      <c r="AE132" s="417">
        <f t="shared" si="127"/>
        <v>4000</v>
      </c>
      <c r="AF132" s="417">
        <f t="shared" si="128"/>
        <v>-3000</v>
      </c>
      <c r="AG132" s="417">
        <f t="shared" si="129"/>
        <v>1000</v>
      </c>
      <c r="AH132" s="417">
        <v>-4000</v>
      </c>
      <c r="AI132" s="417">
        <v>3000</v>
      </c>
      <c r="AJ132" s="417">
        <v>0</v>
      </c>
      <c r="AK132" s="417">
        <v>0</v>
      </c>
      <c r="AL132" s="417">
        <v>0</v>
      </c>
      <c r="AM132" s="417">
        <f t="shared" si="130"/>
        <v>-4000</v>
      </c>
      <c r="AN132" s="417">
        <f t="shared" si="131"/>
        <v>3000</v>
      </c>
      <c r="AO132" s="417">
        <f t="shared" si="132"/>
        <v>-1000</v>
      </c>
      <c r="AP132" s="417">
        <f t="shared" si="133"/>
        <v>0</v>
      </c>
      <c r="AQ132" s="417">
        <f t="shared" si="133"/>
        <v>0</v>
      </c>
      <c r="AR132" s="417">
        <f t="shared" si="134"/>
        <v>0</v>
      </c>
      <c r="AS132" s="68">
        <f t="shared" si="135"/>
        <v>0</v>
      </c>
      <c r="AT132" s="68">
        <f t="shared" si="136"/>
        <v>10</v>
      </c>
      <c r="AU132" s="417">
        <v>0</v>
      </c>
      <c r="AV132" s="417">
        <v>0</v>
      </c>
      <c r="AW132" s="417">
        <v>0</v>
      </c>
      <c r="AX132" s="417">
        <f t="shared" si="137"/>
        <v>0</v>
      </c>
      <c r="AY132" s="417">
        <f t="shared" si="138"/>
        <v>10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418">
        <v>0</v>
      </c>
      <c r="BG132" s="418">
        <v>0</v>
      </c>
      <c r="BH132" s="418">
        <v>0</v>
      </c>
      <c r="BI132" s="418">
        <f t="shared" si="139"/>
        <v>0</v>
      </c>
      <c r="BJ132" s="418">
        <f t="shared" si="140"/>
        <v>0</v>
      </c>
      <c r="BK132" s="420">
        <f t="shared" si="141"/>
        <v>0</v>
      </c>
      <c r="BL132" s="772">
        <f t="shared" si="215"/>
        <v>3355029</v>
      </c>
      <c r="BM132" s="417">
        <f t="shared" si="216"/>
        <v>2436340</v>
      </c>
      <c r="BN132" s="417">
        <f t="shared" si="217"/>
        <v>2031786</v>
      </c>
      <c r="BO132" s="417">
        <f t="shared" si="217"/>
        <v>404554</v>
      </c>
      <c r="BP132" s="417">
        <f t="shared" si="218"/>
        <v>11000</v>
      </c>
      <c r="BQ132" s="417">
        <f t="shared" si="219"/>
        <v>6000</v>
      </c>
      <c r="BR132" s="417">
        <f t="shared" si="219"/>
        <v>5000</v>
      </c>
      <c r="BS132" s="417">
        <f t="shared" si="220"/>
        <v>827201</v>
      </c>
      <c r="BT132" s="417">
        <f t="shared" si="220"/>
        <v>24363</v>
      </c>
      <c r="BU132" s="417">
        <f t="shared" si="221"/>
        <v>56125</v>
      </c>
      <c r="BV132" s="418">
        <f t="shared" si="222"/>
        <v>4.3166000000000002</v>
      </c>
      <c r="BW132" s="418">
        <f t="shared" si="223"/>
        <v>3.2612000000000001</v>
      </c>
      <c r="BX132" s="420">
        <f t="shared" si="223"/>
        <v>1.0554000000000001</v>
      </c>
      <c r="BY132" s="998"/>
      <c r="BZ132" s="983"/>
      <c r="CA132" s="983"/>
      <c r="CB132" s="983"/>
      <c r="CC132" s="983"/>
      <c r="CD132" s="984"/>
      <c r="CE132" s="841">
        <v>187747</v>
      </c>
      <c r="CF132" s="729">
        <v>131467</v>
      </c>
      <c r="CG132" s="729">
        <v>44436</v>
      </c>
      <c r="CH132" s="729">
        <v>1314</v>
      </c>
      <c r="CI132" s="729">
        <v>10530</v>
      </c>
      <c r="CJ132" s="828">
        <v>0.33879999999999999</v>
      </c>
    </row>
    <row r="133" spans="1:88" ht="12.95" customHeight="1">
      <c r="A133" s="280">
        <v>25</v>
      </c>
      <c r="B133" s="321">
        <v>5432</v>
      </c>
      <c r="C133" s="322">
        <v>600099024</v>
      </c>
      <c r="D133" s="281">
        <v>71003819</v>
      </c>
      <c r="E133" s="323" t="s">
        <v>399</v>
      </c>
      <c r="F133" s="281">
        <v>3117</v>
      </c>
      <c r="G133" s="323" t="s">
        <v>298</v>
      </c>
      <c r="H133" s="284" t="s">
        <v>272</v>
      </c>
      <c r="I133" s="419">
        <v>699478</v>
      </c>
      <c r="J133" s="414">
        <v>515006</v>
      </c>
      <c r="K133" s="414">
        <v>515006</v>
      </c>
      <c r="L133" s="414">
        <v>0</v>
      </c>
      <c r="M133" s="414">
        <v>0</v>
      </c>
      <c r="N133" s="414">
        <v>0</v>
      </c>
      <c r="O133" s="414">
        <v>0</v>
      </c>
      <c r="P133" s="68">
        <v>174072</v>
      </c>
      <c r="Q133" s="68">
        <v>5150</v>
      </c>
      <c r="R133" s="414">
        <v>5250</v>
      </c>
      <c r="S133" s="415">
        <v>1.39</v>
      </c>
      <c r="T133" s="416">
        <v>1.39</v>
      </c>
      <c r="U133" s="422">
        <v>0</v>
      </c>
      <c r="V133" s="423">
        <f t="shared" si="126"/>
        <v>0</v>
      </c>
      <c r="W133" s="417">
        <f t="shared" si="126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27"/>
        <v>0</v>
      </c>
      <c r="AF133" s="417">
        <f t="shared" si="128"/>
        <v>0</v>
      </c>
      <c r="AG133" s="417">
        <f t="shared" si="129"/>
        <v>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30"/>
        <v>0</v>
      </c>
      <c r="AN133" s="417">
        <f t="shared" si="131"/>
        <v>0</v>
      </c>
      <c r="AO133" s="417">
        <f t="shared" si="132"/>
        <v>0</v>
      </c>
      <c r="AP133" s="417">
        <f t="shared" si="133"/>
        <v>0</v>
      </c>
      <c r="AQ133" s="417">
        <f t="shared" si="133"/>
        <v>0</v>
      </c>
      <c r="AR133" s="417">
        <f t="shared" si="134"/>
        <v>0</v>
      </c>
      <c r="AS133" s="68">
        <f t="shared" si="135"/>
        <v>0</v>
      </c>
      <c r="AT133" s="68">
        <f t="shared" si="136"/>
        <v>0</v>
      </c>
      <c r="AU133" s="417">
        <v>0</v>
      </c>
      <c r="AV133" s="417">
        <v>0</v>
      </c>
      <c r="AW133" s="417">
        <v>0</v>
      </c>
      <c r="AX133" s="417">
        <f t="shared" si="137"/>
        <v>0</v>
      </c>
      <c r="AY133" s="417">
        <f t="shared" si="138"/>
        <v>0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418">
        <v>0</v>
      </c>
      <c r="BG133" s="418">
        <v>0</v>
      </c>
      <c r="BH133" s="418">
        <v>0</v>
      </c>
      <c r="BI133" s="418">
        <f t="shared" si="139"/>
        <v>0</v>
      </c>
      <c r="BJ133" s="418">
        <f t="shared" si="140"/>
        <v>0</v>
      </c>
      <c r="BK133" s="420">
        <f t="shared" si="141"/>
        <v>0</v>
      </c>
      <c r="BL133" s="772">
        <f t="shared" si="215"/>
        <v>699478</v>
      </c>
      <c r="BM133" s="417">
        <f t="shared" si="216"/>
        <v>515006</v>
      </c>
      <c r="BN133" s="417">
        <f t="shared" si="217"/>
        <v>515006</v>
      </c>
      <c r="BO133" s="417">
        <f t="shared" si="217"/>
        <v>0</v>
      </c>
      <c r="BP133" s="417">
        <f t="shared" si="218"/>
        <v>0</v>
      </c>
      <c r="BQ133" s="417">
        <f t="shared" si="219"/>
        <v>0</v>
      </c>
      <c r="BR133" s="417">
        <f t="shared" si="219"/>
        <v>0</v>
      </c>
      <c r="BS133" s="417">
        <f t="shared" si="220"/>
        <v>174072</v>
      </c>
      <c r="BT133" s="417">
        <f t="shared" si="220"/>
        <v>5150</v>
      </c>
      <c r="BU133" s="417">
        <f t="shared" si="221"/>
        <v>5250</v>
      </c>
      <c r="BV133" s="418">
        <f t="shared" si="222"/>
        <v>1.39</v>
      </c>
      <c r="BW133" s="418">
        <f t="shared" si="223"/>
        <v>1.39</v>
      </c>
      <c r="BX133" s="420">
        <f t="shared" si="223"/>
        <v>0</v>
      </c>
      <c r="BY133" s="998"/>
      <c r="BZ133" s="983"/>
      <c r="CA133" s="983"/>
      <c r="CB133" s="983"/>
      <c r="CC133" s="983"/>
      <c r="CD133" s="984"/>
      <c r="CE133" s="841"/>
      <c r="CF133" s="729"/>
      <c r="CG133" s="729"/>
      <c r="CH133" s="729"/>
      <c r="CI133" s="729"/>
      <c r="CJ133" s="828"/>
    </row>
    <row r="134" spans="1:88" ht="12.95" customHeight="1">
      <c r="A134" s="280">
        <v>25</v>
      </c>
      <c r="B134" s="321">
        <v>5432</v>
      </c>
      <c r="C134" s="322">
        <v>600099024</v>
      </c>
      <c r="D134" s="281">
        <v>71003819</v>
      </c>
      <c r="E134" s="323" t="s">
        <v>399</v>
      </c>
      <c r="F134" s="281">
        <v>3141</v>
      </c>
      <c r="G134" s="323" t="s">
        <v>294</v>
      </c>
      <c r="H134" s="284" t="s">
        <v>272</v>
      </c>
      <c r="I134" s="419">
        <v>782051</v>
      </c>
      <c r="J134" s="414">
        <v>575019</v>
      </c>
      <c r="K134" s="414">
        <v>0</v>
      </c>
      <c r="L134" s="414">
        <v>575019</v>
      </c>
      <c r="M134" s="414">
        <v>3000</v>
      </c>
      <c r="N134" s="414">
        <v>0</v>
      </c>
      <c r="O134" s="414">
        <v>3000</v>
      </c>
      <c r="P134" s="68">
        <v>195370</v>
      </c>
      <c r="Q134" s="68">
        <v>5750</v>
      </c>
      <c r="R134" s="414">
        <v>2912</v>
      </c>
      <c r="S134" s="415">
        <v>1.7332999999999998</v>
      </c>
      <c r="T134" s="416">
        <v>0</v>
      </c>
      <c r="U134" s="422">
        <v>1.7332999999999998</v>
      </c>
      <c r="V134" s="423">
        <f t="shared" si="126"/>
        <v>0</v>
      </c>
      <c r="W134" s="417">
        <f t="shared" si="126"/>
        <v>-12000</v>
      </c>
      <c r="X134" s="417">
        <v>0</v>
      </c>
      <c r="Y134" s="417">
        <v>0</v>
      </c>
      <c r="Z134" s="417">
        <v>0</v>
      </c>
      <c r="AA134" s="417">
        <v>-15116</v>
      </c>
      <c r="AB134" s="417">
        <v>0</v>
      </c>
      <c r="AC134" s="417">
        <v>0</v>
      </c>
      <c r="AD134" s="417">
        <v>0</v>
      </c>
      <c r="AE134" s="417">
        <f t="shared" si="127"/>
        <v>0</v>
      </c>
      <c r="AF134" s="417">
        <f t="shared" si="128"/>
        <v>-27116</v>
      </c>
      <c r="AG134" s="417">
        <f t="shared" si="129"/>
        <v>-27116</v>
      </c>
      <c r="AH134" s="417">
        <v>0</v>
      </c>
      <c r="AI134" s="417">
        <v>12000</v>
      </c>
      <c r="AJ134" s="417">
        <v>0</v>
      </c>
      <c r="AK134" s="417">
        <v>0</v>
      </c>
      <c r="AL134" s="417">
        <v>0</v>
      </c>
      <c r="AM134" s="417">
        <f t="shared" si="130"/>
        <v>0</v>
      </c>
      <c r="AN134" s="417">
        <f t="shared" si="131"/>
        <v>12000</v>
      </c>
      <c r="AO134" s="417">
        <f t="shared" si="132"/>
        <v>12000</v>
      </c>
      <c r="AP134" s="417">
        <f t="shared" si="133"/>
        <v>0</v>
      </c>
      <c r="AQ134" s="417">
        <f t="shared" si="133"/>
        <v>-15116</v>
      </c>
      <c r="AR134" s="417">
        <f t="shared" si="134"/>
        <v>-15116</v>
      </c>
      <c r="AS134" s="68">
        <f t="shared" si="135"/>
        <v>-5109</v>
      </c>
      <c r="AT134" s="68">
        <f t="shared" si="136"/>
        <v>-271</v>
      </c>
      <c r="AU134" s="417">
        <v>0</v>
      </c>
      <c r="AV134" s="417">
        <v>0</v>
      </c>
      <c r="AW134" s="417">
        <v>0</v>
      </c>
      <c r="AX134" s="417">
        <f t="shared" si="137"/>
        <v>0</v>
      </c>
      <c r="AY134" s="417">
        <f t="shared" si="138"/>
        <v>-20496</v>
      </c>
      <c r="AZ134" s="418">
        <v>0</v>
      </c>
      <c r="BA134" s="418">
        <v>0</v>
      </c>
      <c r="BB134" s="418">
        <v>0</v>
      </c>
      <c r="BC134" s="418">
        <v>0</v>
      </c>
      <c r="BD134" s="418">
        <v>-0.05</v>
      </c>
      <c r="BE134" s="418">
        <v>0</v>
      </c>
      <c r="BF134" s="418">
        <v>0</v>
      </c>
      <c r="BG134" s="418">
        <v>0</v>
      </c>
      <c r="BH134" s="418">
        <v>0</v>
      </c>
      <c r="BI134" s="418">
        <f t="shared" si="139"/>
        <v>0</v>
      </c>
      <c r="BJ134" s="418">
        <f t="shared" si="140"/>
        <v>-0.05</v>
      </c>
      <c r="BK134" s="420">
        <f t="shared" si="141"/>
        <v>-0.05</v>
      </c>
      <c r="BL134" s="772">
        <f t="shared" si="215"/>
        <v>761555</v>
      </c>
      <c r="BM134" s="417">
        <f t="shared" si="216"/>
        <v>547903</v>
      </c>
      <c r="BN134" s="417">
        <f t="shared" si="217"/>
        <v>0</v>
      </c>
      <c r="BO134" s="417">
        <f t="shared" si="217"/>
        <v>547903</v>
      </c>
      <c r="BP134" s="417">
        <f t="shared" si="218"/>
        <v>15000</v>
      </c>
      <c r="BQ134" s="417">
        <f t="shared" si="219"/>
        <v>0</v>
      </c>
      <c r="BR134" s="417">
        <f t="shared" si="219"/>
        <v>15000</v>
      </c>
      <c r="BS134" s="417">
        <f t="shared" si="220"/>
        <v>190261</v>
      </c>
      <c r="BT134" s="417">
        <f t="shared" si="220"/>
        <v>5479</v>
      </c>
      <c r="BU134" s="417">
        <f t="shared" si="221"/>
        <v>2912</v>
      </c>
      <c r="BV134" s="418">
        <f t="shared" si="222"/>
        <v>1.6832999999999998</v>
      </c>
      <c r="BW134" s="418">
        <f t="shared" si="223"/>
        <v>0</v>
      </c>
      <c r="BX134" s="420">
        <f t="shared" si="223"/>
        <v>1.6832999999999998</v>
      </c>
      <c r="BY134" s="998"/>
      <c r="BZ134" s="983"/>
      <c r="CA134" s="983"/>
      <c r="CB134" s="983"/>
      <c r="CC134" s="983"/>
      <c r="CD134" s="984"/>
      <c r="CE134" s="841"/>
      <c r="CF134" s="729"/>
      <c r="CG134" s="729"/>
      <c r="CH134" s="729"/>
      <c r="CI134" s="729"/>
      <c r="CJ134" s="828"/>
    </row>
    <row r="135" spans="1:88" ht="12.95" customHeight="1">
      <c r="A135" s="280">
        <v>25</v>
      </c>
      <c r="B135" s="321">
        <v>5432</v>
      </c>
      <c r="C135" s="322">
        <v>600099024</v>
      </c>
      <c r="D135" s="281">
        <v>71003819</v>
      </c>
      <c r="E135" s="323" t="s">
        <v>399</v>
      </c>
      <c r="F135" s="281">
        <v>3143</v>
      </c>
      <c r="G135" s="323" t="s">
        <v>595</v>
      </c>
      <c r="H135" s="284" t="s">
        <v>271</v>
      </c>
      <c r="I135" s="419">
        <v>707096</v>
      </c>
      <c r="J135" s="414">
        <v>519589</v>
      </c>
      <c r="K135" s="414">
        <v>519589</v>
      </c>
      <c r="L135" s="414">
        <v>0</v>
      </c>
      <c r="M135" s="414">
        <v>5000</v>
      </c>
      <c r="N135" s="414">
        <v>5000</v>
      </c>
      <c r="O135" s="414">
        <v>0</v>
      </c>
      <c r="P135" s="68">
        <v>177311</v>
      </c>
      <c r="Q135" s="68">
        <v>5196</v>
      </c>
      <c r="R135" s="414">
        <v>0</v>
      </c>
      <c r="S135" s="415">
        <v>1.0831999999999999</v>
      </c>
      <c r="T135" s="416">
        <v>1.0831999999999999</v>
      </c>
      <c r="U135" s="422">
        <v>0</v>
      </c>
      <c r="V135" s="423">
        <f t="shared" si="126"/>
        <v>3000</v>
      </c>
      <c r="W135" s="417">
        <f t="shared" si="126"/>
        <v>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27"/>
        <v>3000</v>
      </c>
      <c r="AF135" s="417">
        <f t="shared" si="128"/>
        <v>0</v>
      </c>
      <c r="AG135" s="417">
        <f t="shared" si="129"/>
        <v>3000</v>
      </c>
      <c r="AH135" s="417">
        <v>-3000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30"/>
        <v>-3000</v>
      </c>
      <c r="AN135" s="417">
        <f t="shared" si="131"/>
        <v>0</v>
      </c>
      <c r="AO135" s="417">
        <f t="shared" si="132"/>
        <v>-3000</v>
      </c>
      <c r="AP135" s="417">
        <f t="shared" si="133"/>
        <v>0</v>
      </c>
      <c r="AQ135" s="417">
        <f t="shared" si="133"/>
        <v>0</v>
      </c>
      <c r="AR135" s="417">
        <f t="shared" si="134"/>
        <v>0</v>
      </c>
      <c r="AS135" s="68">
        <f t="shared" si="135"/>
        <v>0</v>
      </c>
      <c r="AT135" s="68">
        <f t="shared" si="136"/>
        <v>30</v>
      </c>
      <c r="AU135" s="417">
        <v>0</v>
      </c>
      <c r="AV135" s="417">
        <v>0</v>
      </c>
      <c r="AW135" s="417">
        <v>0</v>
      </c>
      <c r="AX135" s="417">
        <f t="shared" si="137"/>
        <v>0</v>
      </c>
      <c r="AY135" s="417">
        <f t="shared" si="138"/>
        <v>30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39"/>
        <v>0</v>
      </c>
      <c r="BJ135" s="418">
        <f t="shared" si="140"/>
        <v>0</v>
      </c>
      <c r="BK135" s="420">
        <f t="shared" si="141"/>
        <v>0</v>
      </c>
      <c r="BL135" s="772">
        <f t="shared" si="215"/>
        <v>707126</v>
      </c>
      <c r="BM135" s="417">
        <f t="shared" si="216"/>
        <v>522589</v>
      </c>
      <c r="BN135" s="417">
        <f t="shared" si="217"/>
        <v>522589</v>
      </c>
      <c r="BO135" s="417">
        <f t="shared" si="217"/>
        <v>0</v>
      </c>
      <c r="BP135" s="417">
        <f t="shared" si="218"/>
        <v>2000</v>
      </c>
      <c r="BQ135" s="417">
        <f t="shared" si="219"/>
        <v>2000</v>
      </c>
      <c r="BR135" s="417">
        <f t="shared" si="219"/>
        <v>0</v>
      </c>
      <c r="BS135" s="417">
        <f t="shared" si="220"/>
        <v>177311</v>
      </c>
      <c r="BT135" s="417">
        <f t="shared" si="220"/>
        <v>5226</v>
      </c>
      <c r="BU135" s="417">
        <f t="shared" si="221"/>
        <v>0</v>
      </c>
      <c r="BV135" s="418">
        <f t="shared" si="222"/>
        <v>1.0831999999999999</v>
      </c>
      <c r="BW135" s="418">
        <f t="shared" si="223"/>
        <v>1.0831999999999999</v>
      </c>
      <c r="BX135" s="420">
        <f t="shared" si="223"/>
        <v>0</v>
      </c>
      <c r="BY135" s="998"/>
      <c r="BZ135" s="983"/>
      <c r="CA135" s="983"/>
      <c r="CB135" s="983"/>
      <c r="CC135" s="983"/>
      <c r="CD135" s="984"/>
      <c r="CE135" s="841"/>
      <c r="CF135" s="729"/>
      <c r="CG135" s="729"/>
      <c r="CH135" s="729"/>
      <c r="CI135" s="729"/>
      <c r="CJ135" s="828"/>
    </row>
    <row r="136" spans="1:88" ht="12.95" customHeight="1">
      <c r="A136" s="280">
        <v>25</v>
      </c>
      <c r="B136" s="321">
        <v>5432</v>
      </c>
      <c r="C136" s="322">
        <v>600099024</v>
      </c>
      <c r="D136" s="281">
        <v>71003819</v>
      </c>
      <c r="E136" s="323" t="s">
        <v>399</v>
      </c>
      <c r="F136" s="281">
        <v>3143</v>
      </c>
      <c r="G136" s="323" t="s">
        <v>596</v>
      </c>
      <c r="H136" s="284" t="s">
        <v>272</v>
      </c>
      <c r="I136" s="419">
        <v>19210</v>
      </c>
      <c r="J136" s="414">
        <v>13750</v>
      </c>
      <c r="K136" s="414">
        <v>0</v>
      </c>
      <c r="L136" s="414">
        <v>13750</v>
      </c>
      <c r="M136" s="414">
        <v>0</v>
      </c>
      <c r="N136" s="414">
        <v>0</v>
      </c>
      <c r="O136" s="414">
        <v>0</v>
      </c>
      <c r="P136" s="68">
        <v>4647</v>
      </c>
      <c r="Q136" s="68">
        <v>138</v>
      </c>
      <c r="R136" s="414">
        <v>675</v>
      </c>
      <c r="S136" s="415">
        <v>5.4699999999999999E-2</v>
      </c>
      <c r="T136" s="416">
        <v>0</v>
      </c>
      <c r="U136" s="422">
        <v>5.4699999999999999E-2</v>
      </c>
      <c r="V136" s="423">
        <f t="shared" si="126"/>
        <v>0</v>
      </c>
      <c r="W136" s="417">
        <f t="shared" si="126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27"/>
        <v>0</v>
      </c>
      <c r="AF136" s="417">
        <f t="shared" si="128"/>
        <v>0</v>
      </c>
      <c r="AG136" s="417">
        <f t="shared" si="129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30"/>
        <v>0</v>
      </c>
      <c r="AN136" s="417">
        <f t="shared" si="131"/>
        <v>0</v>
      </c>
      <c r="AO136" s="417">
        <f t="shared" si="132"/>
        <v>0</v>
      </c>
      <c r="AP136" s="417">
        <f t="shared" si="133"/>
        <v>0</v>
      </c>
      <c r="AQ136" s="417">
        <f t="shared" si="133"/>
        <v>0</v>
      </c>
      <c r="AR136" s="417">
        <f t="shared" si="134"/>
        <v>0</v>
      </c>
      <c r="AS136" s="68">
        <f t="shared" si="135"/>
        <v>0</v>
      </c>
      <c r="AT136" s="68">
        <f t="shared" si="136"/>
        <v>0</v>
      </c>
      <c r="AU136" s="417">
        <v>0</v>
      </c>
      <c r="AV136" s="417">
        <v>0</v>
      </c>
      <c r="AW136" s="417">
        <v>0</v>
      </c>
      <c r="AX136" s="417">
        <f t="shared" si="137"/>
        <v>0</v>
      </c>
      <c r="AY136" s="417">
        <f t="shared" si="138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39"/>
        <v>0</v>
      </c>
      <c r="BJ136" s="418">
        <f t="shared" si="140"/>
        <v>0</v>
      </c>
      <c r="BK136" s="420">
        <f t="shared" si="141"/>
        <v>0</v>
      </c>
      <c r="BL136" s="772">
        <f t="shared" si="215"/>
        <v>19210</v>
      </c>
      <c r="BM136" s="417">
        <f t="shared" si="216"/>
        <v>13750</v>
      </c>
      <c r="BN136" s="417">
        <f t="shared" si="217"/>
        <v>0</v>
      </c>
      <c r="BO136" s="417">
        <f t="shared" si="217"/>
        <v>13750</v>
      </c>
      <c r="BP136" s="417">
        <f t="shared" si="218"/>
        <v>0</v>
      </c>
      <c r="BQ136" s="417">
        <f t="shared" si="219"/>
        <v>0</v>
      </c>
      <c r="BR136" s="417">
        <f t="shared" si="219"/>
        <v>0</v>
      </c>
      <c r="BS136" s="417">
        <f t="shared" si="220"/>
        <v>4647</v>
      </c>
      <c r="BT136" s="417">
        <f t="shared" si="220"/>
        <v>138</v>
      </c>
      <c r="BU136" s="417">
        <f t="shared" si="221"/>
        <v>675</v>
      </c>
      <c r="BV136" s="418">
        <f t="shared" si="222"/>
        <v>5.4699999999999999E-2</v>
      </c>
      <c r="BW136" s="418">
        <f t="shared" si="223"/>
        <v>0</v>
      </c>
      <c r="BX136" s="420">
        <f t="shared" si="223"/>
        <v>5.4699999999999999E-2</v>
      </c>
      <c r="BY136" s="998"/>
      <c r="BZ136" s="983"/>
      <c r="CA136" s="983"/>
      <c r="CB136" s="983"/>
      <c r="CC136" s="983"/>
      <c r="CD136" s="984"/>
      <c r="CE136" s="841"/>
      <c r="CF136" s="729"/>
      <c r="CG136" s="729"/>
      <c r="CH136" s="729"/>
      <c r="CI136" s="729"/>
      <c r="CJ136" s="828"/>
    </row>
    <row r="137" spans="1:88" ht="12.95" customHeight="1">
      <c r="A137" s="324">
        <v>25</v>
      </c>
      <c r="B137" s="325">
        <v>5432</v>
      </c>
      <c r="C137" s="326">
        <v>600099024</v>
      </c>
      <c r="D137" s="325">
        <v>71003819</v>
      </c>
      <c r="E137" s="327" t="s">
        <v>400</v>
      </c>
      <c r="F137" s="291"/>
      <c r="G137" s="329"/>
      <c r="H137" s="292"/>
      <c r="I137" s="471">
        <v>7279875</v>
      </c>
      <c r="J137" s="467">
        <v>5313323</v>
      </c>
      <c r="K137" s="467">
        <v>4221982</v>
      </c>
      <c r="L137" s="467">
        <v>1091341</v>
      </c>
      <c r="M137" s="467">
        <v>33000</v>
      </c>
      <c r="N137" s="467">
        <v>25000</v>
      </c>
      <c r="O137" s="467">
        <v>8000</v>
      </c>
      <c r="P137" s="467">
        <v>1807056</v>
      </c>
      <c r="Q137" s="467">
        <v>53134</v>
      </c>
      <c r="R137" s="467">
        <v>73362</v>
      </c>
      <c r="S137" s="468">
        <v>10.970500000000001</v>
      </c>
      <c r="T137" s="468">
        <v>7.7343999999999999</v>
      </c>
      <c r="U137" s="531">
        <v>3.2361</v>
      </c>
      <c r="V137" s="471">
        <f t="shared" ref="V137:BK137" si="224">SUM(V131:V136)</f>
        <v>14000</v>
      </c>
      <c r="W137" s="467">
        <f t="shared" si="224"/>
        <v>-14000</v>
      </c>
      <c r="X137" s="467">
        <f t="shared" si="224"/>
        <v>0</v>
      </c>
      <c r="Y137" s="467">
        <f t="shared" si="224"/>
        <v>0</v>
      </c>
      <c r="Z137" s="467">
        <f t="shared" si="224"/>
        <v>0</v>
      </c>
      <c r="AA137" s="467">
        <f t="shared" si="224"/>
        <v>-15116</v>
      </c>
      <c r="AB137" s="467">
        <f t="shared" si="224"/>
        <v>0</v>
      </c>
      <c r="AC137" s="467">
        <f t="shared" si="224"/>
        <v>0</v>
      </c>
      <c r="AD137" s="467">
        <f t="shared" si="224"/>
        <v>0</v>
      </c>
      <c r="AE137" s="467">
        <f t="shared" si="224"/>
        <v>14000</v>
      </c>
      <c r="AF137" s="467">
        <f t="shared" si="224"/>
        <v>-29116</v>
      </c>
      <c r="AG137" s="467">
        <f t="shared" si="224"/>
        <v>-15116</v>
      </c>
      <c r="AH137" s="467">
        <f t="shared" si="224"/>
        <v>-14000</v>
      </c>
      <c r="AI137" s="467">
        <f t="shared" si="224"/>
        <v>14000</v>
      </c>
      <c r="AJ137" s="467">
        <f t="shared" si="224"/>
        <v>0</v>
      </c>
      <c r="AK137" s="467">
        <f t="shared" si="224"/>
        <v>0</v>
      </c>
      <c r="AL137" s="467">
        <f t="shared" si="224"/>
        <v>0</v>
      </c>
      <c r="AM137" s="467">
        <f t="shared" si="224"/>
        <v>-14000</v>
      </c>
      <c r="AN137" s="467">
        <f t="shared" si="224"/>
        <v>14000</v>
      </c>
      <c r="AO137" s="467">
        <f t="shared" si="224"/>
        <v>0</v>
      </c>
      <c r="AP137" s="467">
        <f t="shared" si="224"/>
        <v>0</v>
      </c>
      <c r="AQ137" s="467">
        <f t="shared" si="224"/>
        <v>-15116</v>
      </c>
      <c r="AR137" s="467">
        <f t="shared" si="224"/>
        <v>-15116</v>
      </c>
      <c r="AS137" s="467">
        <f t="shared" si="224"/>
        <v>-5109</v>
      </c>
      <c r="AT137" s="467">
        <f t="shared" si="224"/>
        <v>-151</v>
      </c>
      <c r="AU137" s="467">
        <f t="shared" si="224"/>
        <v>0</v>
      </c>
      <c r="AV137" s="467">
        <f t="shared" si="224"/>
        <v>0</v>
      </c>
      <c r="AW137" s="467">
        <f t="shared" si="224"/>
        <v>0</v>
      </c>
      <c r="AX137" s="467">
        <f t="shared" si="224"/>
        <v>0</v>
      </c>
      <c r="AY137" s="467">
        <f t="shared" si="224"/>
        <v>-20376</v>
      </c>
      <c r="AZ137" s="468">
        <f t="shared" si="224"/>
        <v>0</v>
      </c>
      <c r="BA137" s="468">
        <f t="shared" si="224"/>
        <v>0</v>
      </c>
      <c r="BB137" s="468">
        <f t="shared" si="224"/>
        <v>0</v>
      </c>
      <c r="BC137" s="468">
        <f t="shared" si="224"/>
        <v>0</v>
      </c>
      <c r="BD137" s="468">
        <f t="shared" si="224"/>
        <v>-0.05</v>
      </c>
      <c r="BE137" s="468">
        <f t="shared" si="224"/>
        <v>0</v>
      </c>
      <c r="BF137" s="468">
        <f t="shared" si="224"/>
        <v>0</v>
      </c>
      <c r="BG137" s="468">
        <f t="shared" si="224"/>
        <v>0</v>
      </c>
      <c r="BH137" s="468">
        <f t="shared" si="224"/>
        <v>0</v>
      </c>
      <c r="BI137" s="468">
        <f t="shared" si="224"/>
        <v>0</v>
      </c>
      <c r="BJ137" s="468">
        <f t="shared" si="224"/>
        <v>-0.05</v>
      </c>
      <c r="BK137" s="328">
        <f t="shared" si="224"/>
        <v>-0.05</v>
      </c>
      <c r="BL137" s="774">
        <f t="shared" ref="BL137:CG137" si="225">SUM(BL131:BL136)</f>
        <v>7259499</v>
      </c>
      <c r="BM137" s="467">
        <f t="shared" si="225"/>
        <v>5298207</v>
      </c>
      <c r="BN137" s="467">
        <f t="shared" si="225"/>
        <v>4235982</v>
      </c>
      <c r="BO137" s="467">
        <f t="shared" si="225"/>
        <v>1062225</v>
      </c>
      <c r="BP137" s="467">
        <f t="shared" si="225"/>
        <v>33000</v>
      </c>
      <c r="BQ137" s="467">
        <f t="shared" si="225"/>
        <v>11000</v>
      </c>
      <c r="BR137" s="467">
        <f t="shared" si="225"/>
        <v>22000</v>
      </c>
      <c r="BS137" s="467">
        <f t="shared" si="225"/>
        <v>1801947</v>
      </c>
      <c r="BT137" s="467">
        <f t="shared" si="225"/>
        <v>52983</v>
      </c>
      <c r="BU137" s="467">
        <f t="shared" si="225"/>
        <v>73362</v>
      </c>
      <c r="BV137" s="468">
        <f t="shared" si="225"/>
        <v>10.920500000000001</v>
      </c>
      <c r="BW137" s="468">
        <f t="shared" si="225"/>
        <v>7.7343999999999999</v>
      </c>
      <c r="BX137" s="328">
        <f t="shared" si="225"/>
        <v>3.1861000000000002</v>
      </c>
      <c r="BY137" s="838">
        <f t="shared" si="225"/>
        <v>0</v>
      </c>
      <c r="BZ137" s="721">
        <f t="shared" si="225"/>
        <v>0</v>
      </c>
      <c r="CA137" s="721">
        <f t="shared" si="225"/>
        <v>0</v>
      </c>
      <c r="CB137" s="721">
        <f t="shared" si="225"/>
        <v>0</v>
      </c>
      <c r="CC137" s="721">
        <f t="shared" si="225"/>
        <v>0</v>
      </c>
      <c r="CD137" s="826">
        <f t="shared" si="225"/>
        <v>0</v>
      </c>
      <c r="CE137" s="995">
        <f t="shared" si="225"/>
        <v>232935</v>
      </c>
      <c r="CF137" s="995">
        <f t="shared" si="225"/>
        <v>162917</v>
      </c>
      <c r="CG137" s="995">
        <f t="shared" si="225"/>
        <v>55066</v>
      </c>
      <c r="CH137" s="995">
        <f t="shared" ref="CH137:CJ137" si="226">SUM(CH131:CH136)</f>
        <v>1629</v>
      </c>
      <c r="CI137" s="995">
        <f t="shared" si="226"/>
        <v>13323</v>
      </c>
      <c r="CJ137" s="933">
        <f t="shared" si="226"/>
        <v>0.46479999999999999</v>
      </c>
    </row>
    <row r="138" spans="1:88" ht="12.95" customHeight="1">
      <c r="A138" s="280">
        <v>26</v>
      </c>
      <c r="B138" s="321">
        <v>5452</v>
      </c>
      <c r="C138" s="322">
        <v>600099245</v>
      </c>
      <c r="D138" s="281">
        <v>70188416</v>
      </c>
      <c r="E138" s="323" t="s">
        <v>401</v>
      </c>
      <c r="F138" s="281">
        <v>3111</v>
      </c>
      <c r="G138" s="323" t="s">
        <v>304</v>
      </c>
      <c r="H138" s="284" t="s">
        <v>271</v>
      </c>
      <c r="I138" s="419">
        <v>1645863</v>
      </c>
      <c r="J138" s="414">
        <v>1197861</v>
      </c>
      <c r="K138" s="414">
        <v>1116843</v>
      </c>
      <c r="L138" s="414">
        <v>81018</v>
      </c>
      <c r="M138" s="414">
        <v>17000</v>
      </c>
      <c r="N138" s="414">
        <v>0</v>
      </c>
      <c r="O138" s="414">
        <v>17000</v>
      </c>
      <c r="P138" s="68">
        <v>410623</v>
      </c>
      <c r="Q138" s="68">
        <v>11979</v>
      </c>
      <c r="R138" s="414">
        <v>8400</v>
      </c>
      <c r="S138" s="415">
        <v>2.2881</v>
      </c>
      <c r="T138" s="416">
        <v>1.9354</v>
      </c>
      <c r="U138" s="422">
        <v>0.35270000000000001</v>
      </c>
      <c r="V138" s="423">
        <f t="shared" si="126"/>
        <v>0</v>
      </c>
      <c r="W138" s="417">
        <f t="shared" si="126"/>
        <v>12000</v>
      </c>
      <c r="X138" s="417">
        <v>0</v>
      </c>
      <c r="Y138" s="417">
        <v>0</v>
      </c>
      <c r="Z138" s="417">
        <v>0</v>
      </c>
      <c r="AA138" s="417">
        <v>0</v>
      </c>
      <c r="AB138" s="417">
        <v>0</v>
      </c>
      <c r="AC138" s="417">
        <v>0</v>
      </c>
      <c r="AD138" s="417">
        <v>0</v>
      </c>
      <c r="AE138" s="417">
        <f t="shared" si="127"/>
        <v>0</v>
      </c>
      <c r="AF138" s="417">
        <f t="shared" si="128"/>
        <v>12000</v>
      </c>
      <c r="AG138" s="417">
        <f t="shared" si="129"/>
        <v>12000</v>
      </c>
      <c r="AH138" s="417">
        <v>0</v>
      </c>
      <c r="AI138" s="417">
        <v>-12000</v>
      </c>
      <c r="AJ138" s="417">
        <v>0</v>
      </c>
      <c r="AK138" s="417">
        <v>0</v>
      </c>
      <c r="AL138" s="417">
        <v>0</v>
      </c>
      <c r="AM138" s="417">
        <f t="shared" si="130"/>
        <v>0</v>
      </c>
      <c r="AN138" s="417">
        <f t="shared" si="131"/>
        <v>-12000</v>
      </c>
      <c r="AO138" s="417">
        <f t="shared" si="132"/>
        <v>-12000</v>
      </c>
      <c r="AP138" s="417">
        <f t="shared" si="133"/>
        <v>0</v>
      </c>
      <c r="AQ138" s="417">
        <f t="shared" si="133"/>
        <v>0</v>
      </c>
      <c r="AR138" s="417">
        <f t="shared" si="134"/>
        <v>0</v>
      </c>
      <c r="AS138" s="68">
        <f t="shared" si="135"/>
        <v>0</v>
      </c>
      <c r="AT138" s="68">
        <f t="shared" si="136"/>
        <v>120</v>
      </c>
      <c r="AU138" s="417">
        <v>0</v>
      </c>
      <c r="AV138" s="417">
        <v>0</v>
      </c>
      <c r="AW138" s="417">
        <v>0</v>
      </c>
      <c r="AX138" s="417">
        <f t="shared" si="137"/>
        <v>0</v>
      </c>
      <c r="AY138" s="417">
        <f t="shared" si="138"/>
        <v>120</v>
      </c>
      <c r="AZ138" s="418">
        <v>0</v>
      </c>
      <c r="BA138" s="418">
        <v>0.04</v>
      </c>
      <c r="BB138" s="418">
        <v>0</v>
      </c>
      <c r="BC138" s="418">
        <v>0</v>
      </c>
      <c r="BD138" s="418">
        <v>0</v>
      </c>
      <c r="BE138" s="418">
        <v>0</v>
      </c>
      <c r="BF138" s="418">
        <v>0</v>
      </c>
      <c r="BG138" s="418">
        <v>0</v>
      </c>
      <c r="BH138" s="418">
        <v>0</v>
      </c>
      <c r="BI138" s="418">
        <f t="shared" si="139"/>
        <v>0</v>
      </c>
      <c r="BJ138" s="418">
        <f t="shared" si="140"/>
        <v>0.04</v>
      </c>
      <c r="BK138" s="420">
        <f t="shared" si="141"/>
        <v>0.04</v>
      </c>
      <c r="BL138" s="772">
        <f t="shared" ref="BL138:BL143" si="227">I138+AY138</f>
        <v>1645983</v>
      </c>
      <c r="BM138" s="417">
        <f t="shared" ref="BM138:BM143" si="228">J138+AG138</f>
        <v>1209861</v>
      </c>
      <c r="BN138" s="417">
        <f t="shared" ref="BN138:BO143" si="229">K138+AE138</f>
        <v>1116843</v>
      </c>
      <c r="BO138" s="417">
        <f t="shared" si="229"/>
        <v>93018</v>
      </c>
      <c r="BP138" s="417">
        <f t="shared" ref="BP138:BP143" si="230">M138+AO138</f>
        <v>5000</v>
      </c>
      <c r="BQ138" s="417">
        <f t="shared" ref="BQ138:BR143" si="231">N138+AM138</f>
        <v>0</v>
      </c>
      <c r="BR138" s="417">
        <f t="shared" si="231"/>
        <v>5000</v>
      </c>
      <c r="BS138" s="417">
        <f t="shared" ref="BS138:BT143" si="232">P138+AS138</f>
        <v>410623</v>
      </c>
      <c r="BT138" s="417">
        <f t="shared" si="232"/>
        <v>12099</v>
      </c>
      <c r="BU138" s="417">
        <f t="shared" ref="BU138:BU143" si="233">R138+AX138</f>
        <v>8400</v>
      </c>
      <c r="BV138" s="418">
        <f t="shared" ref="BV138:BV143" si="234">S138+BK138</f>
        <v>2.3281000000000001</v>
      </c>
      <c r="BW138" s="418">
        <f t="shared" ref="BW138:BX143" si="235">T138+BI138</f>
        <v>1.9354</v>
      </c>
      <c r="BX138" s="420">
        <f t="shared" si="235"/>
        <v>0.39269999999999999</v>
      </c>
      <c r="BY138" s="998"/>
      <c r="BZ138" s="983"/>
      <c r="CA138" s="983"/>
      <c r="CB138" s="983"/>
      <c r="CC138" s="983"/>
      <c r="CD138" s="984"/>
      <c r="CE138" s="841">
        <v>45188</v>
      </c>
      <c r="CF138" s="729">
        <v>31450</v>
      </c>
      <c r="CG138" s="729">
        <v>10630</v>
      </c>
      <c r="CH138" s="729">
        <v>315</v>
      </c>
      <c r="CI138" s="729">
        <v>2793</v>
      </c>
      <c r="CJ138" s="828">
        <v>0.126</v>
      </c>
    </row>
    <row r="139" spans="1:88" ht="12.95" customHeight="1">
      <c r="A139" s="280">
        <v>26</v>
      </c>
      <c r="B139" s="321">
        <v>5452</v>
      </c>
      <c r="C139" s="322">
        <v>600099245</v>
      </c>
      <c r="D139" s="281">
        <v>70188416</v>
      </c>
      <c r="E139" s="323" t="s">
        <v>401</v>
      </c>
      <c r="F139" s="281">
        <v>3117</v>
      </c>
      <c r="G139" s="323" t="s">
        <v>293</v>
      </c>
      <c r="H139" s="284" t="s">
        <v>271</v>
      </c>
      <c r="I139" s="419">
        <v>4020050</v>
      </c>
      <c r="J139" s="414">
        <v>2950501</v>
      </c>
      <c r="K139" s="414">
        <v>2437346</v>
      </c>
      <c r="L139" s="414">
        <v>513155</v>
      </c>
      <c r="M139" s="414">
        <v>0</v>
      </c>
      <c r="N139" s="414">
        <v>0</v>
      </c>
      <c r="O139" s="414">
        <v>0</v>
      </c>
      <c r="P139" s="68">
        <v>997269</v>
      </c>
      <c r="Q139" s="68">
        <v>29505</v>
      </c>
      <c r="R139" s="414">
        <v>42775</v>
      </c>
      <c r="S139" s="415">
        <v>5.3371000000000004</v>
      </c>
      <c r="T139" s="416">
        <v>3.9101000000000004</v>
      </c>
      <c r="U139" s="422">
        <v>1.4269999999999998</v>
      </c>
      <c r="V139" s="423">
        <f t="shared" si="126"/>
        <v>0</v>
      </c>
      <c r="W139" s="417">
        <f t="shared" si="126"/>
        <v>-15000</v>
      </c>
      <c r="X139" s="417">
        <v>0</v>
      </c>
      <c r="Y139" s="417">
        <v>0</v>
      </c>
      <c r="Z139" s="417">
        <v>0</v>
      </c>
      <c r="AA139" s="417">
        <v>0</v>
      </c>
      <c r="AB139" s="417">
        <v>0</v>
      </c>
      <c r="AC139" s="417">
        <v>0</v>
      </c>
      <c r="AD139" s="417">
        <v>0</v>
      </c>
      <c r="AE139" s="417">
        <f t="shared" si="127"/>
        <v>0</v>
      </c>
      <c r="AF139" s="417">
        <f t="shared" si="128"/>
        <v>-15000</v>
      </c>
      <c r="AG139" s="417">
        <f t="shared" si="129"/>
        <v>-15000</v>
      </c>
      <c r="AH139" s="417">
        <v>0</v>
      </c>
      <c r="AI139" s="417">
        <v>15000</v>
      </c>
      <c r="AJ139" s="417">
        <v>0</v>
      </c>
      <c r="AK139" s="417">
        <v>0</v>
      </c>
      <c r="AL139" s="417">
        <v>0</v>
      </c>
      <c r="AM139" s="417">
        <f t="shared" si="130"/>
        <v>0</v>
      </c>
      <c r="AN139" s="417">
        <f t="shared" si="131"/>
        <v>15000</v>
      </c>
      <c r="AO139" s="417">
        <f t="shared" si="132"/>
        <v>15000</v>
      </c>
      <c r="AP139" s="417">
        <f t="shared" si="133"/>
        <v>0</v>
      </c>
      <c r="AQ139" s="417">
        <f t="shared" si="133"/>
        <v>0</v>
      </c>
      <c r="AR139" s="417">
        <f t="shared" si="134"/>
        <v>0</v>
      </c>
      <c r="AS139" s="68">
        <f t="shared" si="135"/>
        <v>0</v>
      </c>
      <c r="AT139" s="68">
        <f t="shared" si="136"/>
        <v>-150</v>
      </c>
      <c r="AU139" s="417">
        <v>0</v>
      </c>
      <c r="AV139" s="417">
        <v>0</v>
      </c>
      <c r="AW139" s="417">
        <v>0</v>
      </c>
      <c r="AX139" s="417">
        <f t="shared" si="137"/>
        <v>0</v>
      </c>
      <c r="AY139" s="417">
        <f t="shared" si="138"/>
        <v>-150</v>
      </c>
      <c r="AZ139" s="418">
        <v>0</v>
      </c>
      <c r="BA139" s="418">
        <v>-0.05</v>
      </c>
      <c r="BB139" s="418">
        <v>0</v>
      </c>
      <c r="BC139" s="418">
        <v>0</v>
      </c>
      <c r="BD139" s="418">
        <v>0</v>
      </c>
      <c r="BE139" s="418">
        <v>0</v>
      </c>
      <c r="BF139" s="418">
        <v>0</v>
      </c>
      <c r="BG139" s="418">
        <v>0</v>
      </c>
      <c r="BH139" s="418">
        <v>0</v>
      </c>
      <c r="BI139" s="418">
        <f t="shared" si="139"/>
        <v>0</v>
      </c>
      <c r="BJ139" s="418">
        <f t="shared" si="140"/>
        <v>-0.05</v>
      </c>
      <c r="BK139" s="420">
        <f t="shared" si="141"/>
        <v>-0.05</v>
      </c>
      <c r="BL139" s="772">
        <f t="shared" si="227"/>
        <v>4019900</v>
      </c>
      <c r="BM139" s="417">
        <f t="shared" si="228"/>
        <v>2935501</v>
      </c>
      <c r="BN139" s="417">
        <f t="shared" si="229"/>
        <v>2437346</v>
      </c>
      <c r="BO139" s="417">
        <f t="shared" si="229"/>
        <v>498155</v>
      </c>
      <c r="BP139" s="417">
        <f t="shared" si="230"/>
        <v>15000</v>
      </c>
      <c r="BQ139" s="417">
        <f t="shared" si="231"/>
        <v>0</v>
      </c>
      <c r="BR139" s="417">
        <f t="shared" si="231"/>
        <v>15000</v>
      </c>
      <c r="BS139" s="417">
        <f t="shared" si="232"/>
        <v>997269</v>
      </c>
      <c r="BT139" s="417">
        <f t="shared" si="232"/>
        <v>29355</v>
      </c>
      <c r="BU139" s="417">
        <f t="shared" si="233"/>
        <v>42775</v>
      </c>
      <c r="BV139" s="418">
        <f t="shared" si="234"/>
        <v>5.2871000000000006</v>
      </c>
      <c r="BW139" s="418">
        <f t="shared" si="235"/>
        <v>3.9101000000000004</v>
      </c>
      <c r="BX139" s="420">
        <f t="shared" si="235"/>
        <v>1.3769999999999998</v>
      </c>
      <c r="BY139" s="841">
        <v>152054</v>
      </c>
      <c r="BZ139" s="729">
        <v>112800</v>
      </c>
      <c r="CA139" s="729">
        <v>0</v>
      </c>
      <c r="CB139" s="729">
        <v>38126</v>
      </c>
      <c r="CC139" s="729">
        <v>1128</v>
      </c>
      <c r="CD139" s="828">
        <v>0.2</v>
      </c>
      <c r="CE139" s="994">
        <v>229502</v>
      </c>
      <c r="CF139" s="595">
        <v>164703</v>
      </c>
      <c r="CG139" s="595">
        <v>55670</v>
      </c>
      <c r="CH139" s="595">
        <v>1647</v>
      </c>
      <c r="CI139" s="595">
        <v>7482</v>
      </c>
      <c r="CJ139" s="981">
        <v>0.45800000000000002</v>
      </c>
    </row>
    <row r="140" spans="1:88" ht="12.95" customHeight="1">
      <c r="A140" s="280">
        <v>26</v>
      </c>
      <c r="B140" s="321">
        <v>5452</v>
      </c>
      <c r="C140" s="322">
        <v>600099245</v>
      </c>
      <c r="D140" s="281">
        <v>70188416</v>
      </c>
      <c r="E140" s="323" t="s">
        <v>401</v>
      </c>
      <c r="F140" s="281">
        <v>3117</v>
      </c>
      <c r="G140" s="323" t="s">
        <v>298</v>
      </c>
      <c r="H140" s="284" t="s">
        <v>272</v>
      </c>
      <c r="I140" s="419">
        <v>1570309</v>
      </c>
      <c r="J140" s="414">
        <v>1161208</v>
      </c>
      <c r="K140" s="414">
        <v>1161208</v>
      </c>
      <c r="L140" s="414">
        <v>0</v>
      </c>
      <c r="M140" s="414">
        <v>0</v>
      </c>
      <c r="N140" s="414">
        <v>0</v>
      </c>
      <c r="O140" s="414">
        <v>0</v>
      </c>
      <c r="P140" s="68">
        <v>392489</v>
      </c>
      <c r="Q140" s="68">
        <v>11612</v>
      </c>
      <c r="R140" s="414">
        <v>5000</v>
      </c>
      <c r="S140" s="415">
        <v>3.12</v>
      </c>
      <c r="T140" s="416">
        <v>3.12</v>
      </c>
      <c r="U140" s="422">
        <v>0</v>
      </c>
      <c r="V140" s="423">
        <f t="shared" si="126"/>
        <v>0</v>
      </c>
      <c r="W140" s="417">
        <f t="shared" si="126"/>
        <v>0</v>
      </c>
      <c r="X140" s="417">
        <v>12876</v>
      </c>
      <c r="Y140" s="417">
        <v>0</v>
      </c>
      <c r="Z140" s="417">
        <v>0</v>
      </c>
      <c r="AA140" s="417">
        <v>0</v>
      </c>
      <c r="AB140" s="417">
        <v>0</v>
      </c>
      <c r="AC140" s="417">
        <v>0</v>
      </c>
      <c r="AD140" s="417">
        <v>0</v>
      </c>
      <c r="AE140" s="417">
        <f t="shared" si="127"/>
        <v>12876</v>
      </c>
      <c r="AF140" s="417">
        <f t="shared" si="128"/>
        <v>0</v>
      </c>
      <c r="AG140" s="417">
        <f t="shared" si="129"/>
        <v>12876</v>
      </c>
      <c r="AH140" s="417">
        <v>0</v>
      </c>
      <c r="AI140" s="417">
        <v>0</v>
      </c>
      <c r="AJ140" s="417">
        <v>0</v>
      </c>
      <c r="AK140" s="417">
        <v>0</v>
      </c>
      <c r="AL140" s="417">
        <v>0</v>
      </c>
      <c r="AM140" s="417">
        <f t="shared" si="130"/>
        <v>0</v>
      </c>
      <c r="AN140" s="417">
        <f t="shared" si="131"/>
        <v>0</v>
      </c>
      <c r="AO140" s="417">
        <f t="shared" si="132"/>
        <v>0</v>
      </c>
      <c r="AP140" s="417">
        <f t="shared" si="133"/>
        <v>12876</v>
      </c>
      <c r="AQ140" s="417">
        <f t="shared" si="133"/>
        <v>0</v>
      </c>
      <c r="AR140" s="417">
        <f t="shared" si="134"/>
        <v>12876</v>
      </c>
      <c r="AS140" s="68">
        <f t="shared" si="135"/>
        <v>4352</v>
      </c>
      <c r="AT140" s="68">
        <f t="shared" si="136"/>
        <v>129</v>
      </c>
      <c r="AU140" s="417">
        <v>0</v>
      </c>
      <c r="AV140" s="417">
        <v>0</v>
      </c>
      <c r="AW140" s="417">
        <v>0</v>
      </c>
      <c r="AX140" s="417">
        <f t="shared" si="137"/>
        <v>0</v>
      </c>
      <c r="AY140" s="417">
        <f t="shared" si="138"/>
        <v>17357</v>
      </c>
      <c r="AZ140" s="418">
        <v>0</v>
      </c>
      <c r="BA140" s="418">
        <v>0</v>
      </c>
      <c r="BB140" s="418">
        <v>0.03</v>
      </c>
      <c r="BC140" s="418">
        <v>0</v>
      </c>
      <c r="BD140" s="418">
        <v>0</v>
      </c>
      <c r="BE140" s="418">
        <v>0</v>
      </c>
      <c r="BF140" s="418">
        <v>0</v>
      </c>
      <c r="BG140" s="418">
        <v>0</v>
      </c>
      <c r="BH140" s="418">
        <v>0</v>
      </c>
      <c r="BI140" s="418">
        <f t="shared" si="139"/>
        <v>0.03</v>
      </c>
      <c r="BJ140" s="418">
        <f t="shared" si="140"/>
        <v>0</v>
      </c>
      <c r="BK140" s="420">
        <f t="shared" si="141"/>
        <v>0.03</v>
      </c>
      <c r="BL140" s="772">
        <f t="shared" si="227"/>
        <v>1587666</v>
      </c>
      <c r="BM140" s="417">
        <f t="shared" si="228"/>
        <v>1174084</v>
      </c>
      <c r="BN140" s="417">
        <f t="shared" si="229"/>
        <v>1174084</v>
      </c>
      <c r="BO140" s="417">
        <f t="shared" si="229"/>
        <v>0</v>
      </c>
      <c r="BP140" s="417">
        <f t="shared" si="230"/>
        <v>0</v>
      </c>
      <c r="BQ140" s="417">
        <f t="shared" si="231"/>
        <v>0</v>
      </c>
      <c r="BR140" s="417">
        <f t="shared" si="231"/>
        <v>0</v>
      </c>
      <c r="BS140" s="417">
        <f t="shared" si="232"/>
        <v>396841</v>
      </c>
      <c r="BT140" s="417">
        <f t="shared" si="232"/>
        <v>11741</v>
      </c>
      <c r="BU140" s="417">
        <f t="shared" si="233"/>
        <v>5000</v>
      </c>
      <c r="BV140" s="418">
        <f t="shared" si="234"/>
        <v>3.15</v>
      </c>
      <c r="BW140" s="418">
        <f t="shared" si="235"/>
        <v>3.15</v>
      </c>
      <c r="BX140" s="420">
        <f t="shared" si="235"/>
        <v>0</v>
      </c>
      <c r="BY140" s="998"/>
      <c r="BZ140" s="983"/>
      <c r="CA140" s="983"/>
      <c r="CB140" s="983"/>
      <c r="CC140" s="983"/>
      <c r="CD140" s="984"/>
      <c r="CE140" s="841"/>
      <c r="CF140" s="729"/>
      <c r="CG140" s="729"/>
      <c r="CH140" s="729"/>
      <c r="CI140" s="729"/>
      <c r="CJ140" s="828"/>
    </row>
    <row r="141" spans="1:88" ht="12.95" customHeight="1">
      <c r="A141" s="280">
        <v>26</v>
      </c>
      <c r="B141" s="321">
        <v>5452</v>
      </c>
      <c r="C141" s="322">
        <v>600099245</v>
      </c>
      <c r="D141" s="281">
        <v>70188416</v>
      </c>
      <c r="E141" s="323" t="s">
        <v>401</v>
      </c>
      <c r="F141" s="281">
        <v>3141</v>
      </c>
      <c r="G141" s="323" t="s">
        <v>294</v>
      </c>
      <c r="H141" s="284" t="s">
        <v>272</v>
      </c>
      <c r="I141" s="419">
        <v>710364</v>
      </c>
      <c r="J141" s="414">
        <v>525086</v>
      </c>
      <c r="K141" s="414">
        <v>0</v>
      </c>
      <c r="L141" s="414">
        <v>525086</v>
      </c>
      <c r="M141" s="414">
        <v>0</v>
      </c>
      <c r="N141" s="414">
        <v>0</v>
      </c>
      <c r="O141" s="414">
        <v>0</v>
      </c>
      <c r="P141" s="68">
        <v>177479</v>
      </c>
      <c r="Q141" s="68">
        <v>5251</v>
      </c>
      <c r="R141" s="414">
        <v>2548</v>
      </c>
      <c r="S141" s="415">
        <v>1.5667</v>
      </c>
      <c r="T141" s="416">
        <v>0</v>
      </c>
      <c r="U141" s="422">
        <v>1.5667</v>
      </c>
      <c r="V141" s="423">
        <f t="shared" ref="V141:W164" si="236">AH141*-1</f>
        <v>0</v>
      </c>
      <c r="W141" s="417">
        <f t="shared" si="236"/>
        <v>-4000</v>
      </c>
      <c r="X141" s="417">
        <v>0</v>
      </c>
      <c r="Y141" s="417">
        <v>0</v>
      </c>
      <c r="Z141" s="417">
        <v>0</v>
      </c>
      <c r="AA141" s="417">
        <v>19610</v>
      </c>
      <c r="AB141" s="417">
        <v>0</v>
      </c>
      <c r="AC141" s="417">
        <v>0</v>
      </c>
      <c r="AD141" s="417">
        <v>0</v>
      </c>
      <c r="AE141" s="417">
        <f t="shared" ref="AE141:AE164" si="237">V141+X141+Y141+Z141+AC141</f>
        <v>0</v>
      </c>
      <c r="AF141" s="417">
        <f t="shared" ref="AF141:AF164" si="238">W141+AA141+AD141+AB141</f>
        <v>15610</v>
      </c>
      <c r="AG141" s="417">
        <f t="shared" ref="AG141:AG164" si="239">SUM(AE141:AF141)</f>
        <v>15610</v>
      </c>
      <c r="AH141" s="417">
        <v>0</v>
      </c>
      <c r="AI141" s="417">
        <v>4000</v>
      </c>
      <c r="AJ141" s="417">
        <v>0</v>
      </c>
      <c r="AK141" s="417">
        <v>0</v>
      </c>
      <c r="AL141" s="417">
        <v>0</v>
      </c>
      <c r="AM141" s="417">
        <f t="shared" ref="AM141:AM164" si="240">AH141+AJ141+AK141</f>
        <v>0</v>
      </c>
      <c r="AN141" s="417">
        <f t="shared" ref="AN141:AN164" si="241">AI141+AL141</f>
        <v>4000</v>
      </c>
      <c r="AO141" s="417">
        <f t="shared" ref="AO141:AO164" si="242">SUM(AM141:AN141)</f>
        <v>4000</v>
      </c>
      <c r="AP141" s="417">
        <f t="shared" ref="AP141:AQ164" si="243">AE141+AM141</f>
        <v>0</v>
      </c>
      <c r="AQ141" s="417">
        <f t="shared" si="243"/>
        <v>19610</v>
      </c>
      <c r="AR141" s="417">
        <f t="shared" ref="AR141:AR164" si="244">SUM(AP141:AQ141)</f>
        <v>19610</v>
      </c>
      <c r="AS141" s="68">
        <f t="shared" ref="AS141:AS164" si="245">ROUND((AG141+AH141+AI141+AJ141)*33.8%,0)</f>
        <v>6628</v>
      </c>
      <c r="AT141" s="68">
        <f t="shared" ref="AT141:AT164" si="246">ROUND(AG141*1%,0)</f>
        <v>156</v>
      </c>
      <c r="AU141" s="417">
        <v>0</v>
      </c>
      <c r="AV141" s="417">
        <v>0</v>
      </c>
      <c r="AW141" s="417">
        <v>0</v>
      </c>
      <c r="AX141" s="417">
        <f t="shared" ref="AX141:AX164" si="247">SUM(AU141:AW141)</f>
        <v>0</v>
      </c>
      <c r="AY141" s="417">
        <f t="shared" ref="AY141:AY164" si="248">AR141+AS141+AT141+AX141</f>
        <v>26394</v>
      </c>
      <c r="AZ141" s="418">
        <v>0</v>
      </c>
      <c r="BA141" s="418">
        <v>-0.01</v>
      </c>
      <c r="BB141" s="418">
        <v>0</v>
      </c>
      <c r="BC141" s="418">
        <v>0</v>
      </c>
      <c r="BD141" s="418">
        <v>0.06</v>
      </c>
      <c r="BE141" s="418">
        <v>0</v>
      </c>
      <c r="BF141" s="418">
        <v>0</v>
      </c>
      <c r="BG141" s="418">
        <v>0</v>
      </c>
      <c r="BH141" s="418">
        <v>0</v>
      </c>
      <c r="BI141" s="418">
        <f t="shared" ref="BI141:BI164" si="249">AZ141+BB141+BC141+BE141+BG141</f>
        <v>0</v>
      </c>
      <c r="BJ141" s="418">
        <f t="shared" ref="BJ141:BJ164" si="250">BA141+BD141+BH141+BF141</f>
        <v>4.9999999999999996E-2</v>
      </c>
      <c r="BK141" s="420">
        <f t="shared" ref="BK141:BK164" si="251">SUM(BI141:BJ141)</f>
        <v>4.9999999999999996E-2</v>
      </c>
      <c r="BL141" s="772">
        <f t="shared" si="227"/>
        <v>736758</v>
      </c>
      <c r="BM141" s="417">
        <f t="shared" si="228"/>
        <v>540696</v>
      </c>
      <c r="BN141" s="417">
        <f t="shared" si="229"/>
        <v>0</v>
      </c>
      <c r="BO141" s="417">
        <f t="shared" si="229"/>
        <v>540696</v>
      </c>
      <c r="BP141" s="417">
        <f t="shared" si="230"/>
        <v>4000</v>
      </c>
      <c r="BQ141" s="417">
        <f t="shared" si="231"/>
        <v>0</v>
      </c>
      <c r="BR141" s="417">
        <f t="shared" si="231"/>
        <v>4000</v>
      </c>
      <c r="BS141" s="417">
        <f t="shared" si="232"/>
        <v>184107</v>
      </c>
      <c r="BT141" s="417">
        <f t="shared" si="232"/>
        <v>5407</v>
      </c>
      <c r="BU141" s="417">
        <f t="shared" si="233"/>
        <v>2548</v>
      </c>
      <c r="BV141" s="418">
        <f t="shared" si="234"/>
        <v>1.6167</v>
      </c>
      <c r="BW141" s="418">
        <f t="shared" si="235"/>
        <v>0</v>
      </c>
      <c r="BX141" s="420">
        <f t="shared" si="235"/>
        <v>1.6167</v>
      </c>
      <c r="BY141" s="998"/>
      <c r="BZ141" s="983"/>
      <c r="CA141" s="983"/>
      <c r="CB141" s="983"/>
      <c r="CC141" s="983"/>
      <c r="CD141" s="984"/>
      <c r="CE141" s="841"/>
      <c r="CF141" s="729"/>
      <c r="CG141" s="729"/>
      <c r="CH141" s="729"/>
      <c r="CI141" s="729"/>
      <c r="CJ141" s="828"/>
    </row>
    <row r="142" spans="1:88" ht="12.95" customHeight="1">
      <c r="A142" s="280">
        <v>26</v>
      </c>
      <c r="B142" s="321">
        <v>5452</v>
      </c>
      <c r="C142" s="322">
        <v>600099245</v>
      </c>
      <c r="D142" s="281">
        <v>70188416</v>
      </c>
      <c r="E142" s="323" t="s">
        <v>401</v>
      </c>
      <c r="F142" s="281">
        <v>3143</v>
      </c>
      <c r="G142" s="323" t="s">
        <v>595</v>
      </c>
      <c r="H142" s="284" t="s">
        <v>271</v>
      </c>
      <c r="I142" s="419">
        <v>581096</v>
      </c>
      <c r="J142" s="414">
        <v>431080</v>
      </c>
      <c r="K142" s="414">
        <v>431080</v>
      </c>
      <c r="L142" s="414">
        <v>0</v>
      </c>
      <c r="M142" s="414">
        <v>0</v>
      </c>
      <c r="N142" s="414">
        <v>0</v>
      </c>
      <c r="O142" s="414">
        <v>0</v>
      </c>
      <c r="P142" s="68">
        <v>145705</v>
      </c>
      <c r="Q142" s="68">
        <v>4311</v>
      </c>
      <c r="R142" s="414">
        <v>0</v>
      </c>
      <c r="S142" s="415">
        <v>0.89639999999999997</v>
      </c>
      <c r="T142" s="416">
        <v>0.89639999999999997</v>
      </c>
      <c r="U142" s="422">
        <v>0</v>
      </c>
      <c r="V142" s="423">
        <f t="shared" si="236"/>
        <v>0</v>
      </c>
      <c r="W142" s="417">
        <f t="shared" si="236"/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si="237"/>
        <v>0</v>
      </c>
      <c r="AF142" s="417">
        <f t="shared" si="238"/>
        <v>0</v>
      </c>
      <c r="AG142" s="417">
        <f t="shared" si="239"/>
        <v>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si="240"/>
        <v>0</v>
      </c>
      <c r="AN142" s="417">
        <f t="shared" si="241"/>
        <v>0</v>
      </c>
      <c r="AO142" s="417">
        <f t="shared" si="242"/>
        <v>0</v>
      </c>
      <c r="AP142" s="417">
        <f t="shared" si="243"/>
        <v>0</v>
      </c>
      <c r="AQ142" s="417">
        <f t="shared" si="243"/>
        <v>0</v>
      </c>
      <c r="AR142" s="417">
        <f t="shared" si="244"/>
        <v>0</v>
      </c>
      <c r="AS142" s="68">
        <f t="shared" si="245"/>
        <v>0</v>
      </c>
      <c r="AT142" s="68">
        <f t="shared" si="246"/>
        <v>0</v>
      </c>
      <c r="AU142" s="417">
        <v>0</v>
      </c>
      <c r="AV142" s="417">
        <v>0</v>
      </c>
      <c r="AW142" s="417">
        <v>0</v>
      </c>
      <c r="AX142" s="417">
        <f t="shared" si="247"/>
        <v>0</v>
      </c>
      <c r="AY142" s="417">
        <f t="shared" si="248"/>
        <v>0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418">
        <v>0</v>
      </c>
      <c r="BG142" s="418">
        <v>0</v>
      </c>
      <c r="BH142" s="418">
        <v>0</v>
      </c>
      <c r="BI142" s="418">
        <f t="shared" si="249"/>
        <v>0</v>
      </c>
      <c r="BJ142" s="418">
        <f t="shared" si="250"/>
        <v>0</v>
      </c>
      <c r="BK142" s="420">
        <f t="shared" si="251"/>
        <v>0</v>
      </c>
      <c r="BL142" s="772">
        <f t="shared" si="227"/>
        <v>581096</v>
      </c>
      <c r="BM142" s="417">
        <f t="shared" si="228"/>
        <v>431080</v>
      </c>
      <c r="BN142" s="417">
        <f t="shared" si="229"/>
        <v>431080</v>
      </c>
      <c r="BO142" s="417">
        <f t="shared" si="229"/>
        <v>0</v>
      </c>
      <c r="BP142" s="417">
        <f t="shared" si="230"/>
        <v>0</v>
      </c>
      <c r="BQ142" s="417">
        <f t="shared" si="231"/>
        <v>0</v>
      </c>
      <c r="BR142" s="417">
        <f t="shared" si="231"/>
        <v>0</v>
      </c>
      <c r="BS142" s="417">
        <f t="shared" si="232"/>
        <v>145705</v>
      </c>
      <c r="BT142" s="417">
        <f t="shared" si="232"/>
        <v>4311</v>
      </c>
      <c r="BU142" s="417">
        <f t="shared" si="233"/>
        <v>0</v>
      </c>
      <c r="BV142" s="418">
        <f t="shared" si="234"/>
        <v>0.89639999999999997</v>
      </c>
      <c r="BW142" s="418">
        <f t="shared" si="235"/>
        <v>0.89639999999999997</v>
      </c>
      <c r="BX142" s="420">
        <f t="shared" si="235"/>
        <v>0</v>
      </c>
      <c r="BY142" s="998"/>
      <c r="BZ142" s="983"/>
      <c r="CA142" s="983"/>
      <c r="CB142" s="983"/>
      <c r="CC142" s="983"/>
      <c r="CD142" s="984"/>
      <c r="CE142" s="841"/>
      <c r="CF142" s="997"/>
      <c r="CG142" s="729"/>
      <c r="CH142" s="729"/>
      <c r="CI142" s="729"/>
      <c r="CJ142" s="828"/>
    </row>
    <row r="143" spans="1:88" ht="12.95" customHeight="1">
      <c r="A143" s="280">
        <v>26</v>
      </c>
      <c r="B143" s="321">
        <v>5452</v>
      </c>
      <c r="C143" s="322">
        <v>600099245</v>
      </c>
      <c r="D143" s="281">
        <v>70188416</v>
      </c>
      <c r="E143" s="498" t="s">
        <v>401</v>
      </c>
      <c r="F143" s="281">
        <v>3143</v>
      </c>
      <c r="G143" s="323" t="s">
        <v>596</v>
      </c>
      <c r="H143" s="284" t="s">
        <v>272</v>
      </c>
      <c r="I143" s="419">
        <v>17673</v>
      </c>
      <c r="J143" s="414">
        <v>12650</v>
      </c>
      <c r="K143" s="414">
        <v>0</v>
      </c>
      <c r="L143" s="414">
        <v>12650</v>
      </c>
      <c r="M143" s="414">
        <v>0</v>
      </c>
      <c r="N143" s="414">
        <v>0</v>
      </c>
      <c r="O143" s="414">
        <v>0</v>
      </c>
      <c r="P143" s="68">
        <v>4276</v>
      </c>
      <c r="Q143" s="68">
        <v>126</v>
      </c>
      <c r="R143" s="414">
        <v>621</v>
      </c>
      <c r="S143" s="415">
        <v>5.1900000000000002E-2</v>
      </c>
      <c r="T143" s="416">
        <v>0</v>
      </c>
      <c r="U143" s="422">
        <v>5.1900000000000002E-2</v>
      </c>
      <c r="V143" s="423">
        <f t="shared" si="236"/>
        <v>0</v>
      </c>
      <c r="W143" s="417">
        <f t="shared" si="236"/>
        <v>-3000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37"/>
        <v>0</v>
      </c>
      <c r="AF143" s="417">
        <f t="shared" si="238"/>
        <v>-3000</v>
      </c>
      <c r="AG143" s="417">
        <f t="shared" si="239"/>
        <v>-3000</v>
      </c>
      <c r="AH143" s="417">
        <v>0</v>
      </c>
      <c r="AI143" s="417">
        <v>3000</v>
      </c>
      <c r="AJ143" s="417">
        <v>0</v>
      </c>
      <c r="AK143" s="417">
        <v>0</v>
      </c>
      <c r="AL143" s="417">
        <v>0</v>
      </c>
      <c r="AM143" s="417">
        <f t="shared" si="240"/>
        <v>0</v>
      </c>
      <c r="AN143" s="417">
        <f t="shared" si="241"/>
        <v>3000</v>
      </c>
      <c r="AO143" s="417">
        <f t="shared" si="242"/>
        <v>3000</v>
      </c>
      <c r="AP143" s="417">
        <f t="shared" si="243"/>
        <v>0</v>
      </c>
      <c r="AQ143" s="417">
        <f t="shared" si="243"/>
        <v>0</v>
      </c>
      <c r="AR143" s="417">
        <f t="shared" si="244"/>
        <v>0</v>
      </c>
      <c r="AS143" s="68">
        <f t="shared" si="245"/>
        <v>0</v>
      </c>
      <c r="AT143" s="68">
        <f t="shared" si="246"/>
        <v>-30</v>
      </c>
      <c r="AU143" s="417">
        <v>0</v>
      </c>
      <c r="AV143" s="417">
        <v>0</v>
      </c>
      <c r="AW143" s="417">
        <v>0</v>
      </c>
      <c r="AX143" s="417">
        <f t="shared" si="247"/>
        <v>0</v>
      </c>
      <c r="AY143" s="417">
        <f t="shared" si="248"/>
        <v>-30</v>
      </c>
      <c r="AZ143" s="418">
        <v>0</v>
      </c>
      <c r="BA143" s="418">
        <v>-0.01</v>
      </c>
      <c r="BB143" s="418">
        <v>0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49"/>
        <v>0</v>
      </c>
      <c r="BJ143" s="418">
        <f t="shared" si="250"/>
        <v>-0.01</v>
      </c>
      <c r="BK143" s="420">
        <f t="shared" si="251"/>
        <v>-0.01</v>
      </c>
      <c r="BL143" s="772">
        <f t="shared" si="227"/>
        <v>17643</v>
      </c>
      <c r="BM143" s="417">
        <f t="shared" si="228"/>
        <v>9650</v>
      </c>
      <c r="BN143" s="417">
        <f t="shared" si="229"/>
        <v>0</v>
      </c>
      <c r="BO143" s="417">
        <f t="shared" si="229"/>
        <v>9650</v>
      </c>
      <c r="BP143" s="417">
        <f t="shared" si="230"/>
        <v>3000</v>
      </c>
      <c r="BQ143" s="417">
        <f t="shared" si="231"/>
        <v>0</v>
      </c>
      <c r="BR143" s="417">
        <f t="shared" si="231"/>
        <v>3000</v>
      </c>
      <c r="BS143" s="417">
        <f t="shared" si="232"/>
        <v>4276</v>
      </c>
      <c r="BT143" s="417">
        <f t="shared" si="232"/>
        <v>96</v>
      </c>
      <c r="BU143" s="417">
        <f t="shared" si="233"/>
        <v>621</v>
      </c>
      <c r="BV143" s="418">
        <f t="shared" si="234"/>
        <v>4.19E-2</v>
      </c>
      <c r="BW143" s="418">
        <f t="shared" si="235"/>
        <v>0</v>
      </c>
      <c r="BX143" s="420">
        <f t="shared" si="235"/>
        <v>4.19E-2</v>
      </c>
      <c r="BY143" s="998"/>
      <c r="BZ143" s="983"/>
      <c r="CA143" s="983"/>
      <c r="CB143" s="983"/>
      <c r="CC143" s="983"/>
      <c r="CD143" s="984"/>
      <c r="CE143" s="841"/>
      <c r="CF143" s="729"/>
      <c r="CG143" s="729"/>
      <c r="CH143" s="729"/>
      <c r="CI143" s="729"/>
      <c r="CJ143" s="828"/>
    </row>
    <row r="144" spans="1:88" ht="12.95" customHeight="1">
      <c r="A144" s="324">
        <v>26</v>
      </c>
      <c r="B144" s="325">
        <v>5452</v>
      </c>
      <c r="C144" s="326">
        <v>600099245</v>
      </c>
      <c r="D144" s="325">
        <v>70188416</v>
      </c>
      <c r="E144" s="327" t="s">
        <v>402</v>
      </c>
      <c r="F144" s="291"/>
      <c r="G144" s="329"/>
      <c r="H144" s="292"/>
      <c r="I144" s="471">
        <v>8545355</v>
      </c>
      <c r="J144" s="467">
        <v>6278386</v>
      </c>
      <c r="K144" s="467">
        <v>5146477</v>
      </c>
      <c r="L144" s="467">
        <v>1131909</v>
      </c>
      <c r="M144" s="467">
        <v>17000</v>
      </c>
      <c r="N144" s="467">
        <v>0</v>
      </c>
      <c r="O144" s="467">
        <v>17000</v>
      </c>
      <c r="P144" s="467">
        <v>2127841</v>
      </c>
      <c r="Q144" s="467">
        <v>62784</v>
      </c>
      <c r="R144" s="467">
        <v>59344</v>
      </c>
      <c r="S144" s="468">
        <v>13.260200000000001</v>
      </c>
      <c r="T144" s="468">
        <v>9.8619000000000003</v>
      </c>
      <c r="U144" s="531">
        <v>3.3982999999999999</v>
      </c>
      <c r="V144" s="471">
        <f t="shared" ref="V144:BK144" si="252">SUM(V138:V143)</f>
        <v>0</v>
      </c>
      <c r="W144" s="467">
        <f t="shared" si="252"/>
        <v>-10000</v>
      </c>
      <c r="X144" s="467">
        <f t="shared" si="252"/>
        <v>12876</v>
      </c>
      <c r="Y144" s="467">
        <f t="shared" si="252"/>
        <v>0</v>
      </c>
      <c r="Z144" s="467">
        <f t="shared" si="252"/>
        <v>0</v>
      </c>
      <c r="AA144" s="467">
        <f t="shared" si="252"/>
        <v>19610</v>
      </c>
      <c r="AB144" s="467">
        <f t="shared" si="252"/>
        <v>0</v>
      </c>
      <c r="AC144" s="467">
        <f t="shared" si="252"/>
        <v>0</v>
      </c>
      <c r="AD144" s="467">
        <f t="shared" si="252"/>
        <v>0</v>
      </c>
      <c r="AE144" s="467">
        <f t="shared" si="252"/>
        <v>12876</v>
      </c>
      <c r="AF144" s="467">
        <f t="shared" si="252"/>
        <v>9610</v>
      </c>
      <c r="AG144" s="467">
        <f t="shared" si="252"/>
        <v>22486</v>
      </c>
      <c r="AH144" s="467">
        <f t="shared" si="252"/>
        <v>0</v>
      </c>
      <c r="AI144" s="467">
        <f t="shared" si="252"/>
        <v>10000</v>
      </c>
      <c r="AJ144" s="467">
        <f t="shared" si="252"/>
        <v>0</v>
      </c>
      <c r="AK144" s="467">
        <f t="shared" si="252"/>
        <v>0</v>
      </c>
      <c r="AL144" s="467">
        <f t="shared" si="252"/>
        <v>0</v>
      </c>
      <c r="AM144" s="467">
        <f t="shared" si="252"/>
        <v>0</v>
      </c>
      <c r="AN144" s="467">
        <f t="shared" si="252"/>
        <v>10000</v>
      </c>
      <c r="AO144" s="467">
        <f t="shared" si="252"/>
        <v>10000</v>
      </c>
      <c r="AP144" s="467">
        <f t="shared" si="252"/>
        <v>12876</v>
      </c>
      <c r="AQ144" s="467">
        <f t="shared" si="252"/>
        <v>19610</v>
      </c>
      <c r="AR144" s="467">
        <f t="shared" si="252"/>
        <v>32486</v>
      </c>
      <c r="AS144" s="467">
        <f t="shared" si="252"/>
        <v>10980</v>
      </c>
      <c r="AT144" s="467">
        <f t="shared" si="252"/>
        <v>225</v>
      </c>
      <c r="AU144" s="467">
        <f t="shared" si="252"/>
        <v>0</v>
      </c>
      <c r="AV144" s="467">
        <f t="shared" si="252"/>
        <v>0</v>
      </c>
      <c r="AW144" s="467">
        <f t="shared" si="252"/>
        <v>0</v>
      </c>
      <c r="AX144" s="467">
        <f t="shared" si="252"/>
        <v>0</v>
      </c>
      <c r="AY144" s="467">
        <f t="shared" si="252"/>
        <v>43691</v>
      </c>
      <c r="AZ144" s="468">
        <f t="shared" si="252"/>
        <v>0</v>
      </c>
      <c r="BA144" s="468">
        <f t="shared" si="252"/>
        <v>-3.0000000000000006E-2</v>
      </c>
      <c r="BB144" s="468">
        <f t="shared" si="252"/>
        <v>0.03</v>
      </c>
      <c r="BC144" s="468">
        <f t="shared" si="252"/>
        <v>0</v>
      </c>
      <c r="BD144" s="468">
        <f t="shared" si="252"/>
        <v>0.06</v>
      </c>
      <c r="BE144" s="468">
        <f t="shared" si="252"/>
        <v>0</v>
      </c>
      <c r="BF144" s="468">
        <f t="shared" si="252"/>
        <v>0</v>
      </c>
      <c r="BG144" s="468">
        <f t="shared" si="252"/>
        <v>0</v>
      </c>
      <c r="BH144" s="468">
        <f t="shared" si="252"/>
        <v>0</v>
      </c>
      <c r="BI144" s="468">
        <f t="shared" si="252"/>
        <v>0.03</v>
      </c>
      <c r="BJ144" s="468">
        <f t="shared" si="252"/>
        <v>2.9999999999999992E-2</v>
      </c>
      <c r="BK144" s="328">
        <f t="shared" si="252"/>
        <v>5.9999999999999991E-2</v>
      </c>
      <c r="BL144" s="774">
        <f t="shared" ref="BL144:CG144" si="253">SUM(BL138:BL143)</f>
        <v>8589046</v>
      </c>
      <c r="BM144" s="467">
        <f t="shared" si="253"/>
        <v>6300872</v>
      </c>
      <c r="BN144" s="467">
        <f t="shared" si="253"/>
        <v>5159353</v>
      </c>
      <c r="BO144" s="467">
        <f t="shared" si="253"/>
        <v>1141519</v>
      </c>
      <c r="BP144" s="467">
        <f t="shared" si="253"/>
        <v>27000</v>
      </c>
      <c r="BQ144" s="467">
        <f t="shared" si="253"/>
        <v>0</v>
      </c>
      <c r="BR144" s="467">
        <f t="shared" si="253"/>
        <v>27000</v>
      </c>
      <c r="BS144" s="467">
        <f t="shared" si="253"/>
        <v>2138821</v>
      </c>
      <c r="BT144" s="467">
        <f t="shared" si="253"/>
        <v>63009</v>
      </c>
      <c r="BU144" s="467">
        <f t="shared" si="253"/>
        <v>59344</v>
      </c>
      <c r="BV144" s="468">
        <f t="shared" si="253"/>
        <v>13.3202</v>
      </c>
      <c r="BW144" s="468">
        <f t="shared" si="253"/>
        <v>9.8918999999999997</v>
      </c>
      <c r="BX144" s="328">
        <f t="shared" si="253"/>
        <v>3.4283000000000001</v>
      </c>
      <c r="BY144" s="838">
        <f t="shared" si="253"/>
        <v>152054</v>
      </c>
      <c r="BZ144" s="721">
        <f t="shared" si="253"/>
        <v>112800</v>
      </c>
      <c r="CA144" s="721">
        <f t="shared" si="253"/>
        <v>0</v>
      </c>
      <c r="CB144" s="721">
        <f t="shared" si="253"/>
        <v>38126</v>
      </c>
      <c r="CC144" s="721">
        <f t="shared" si="253"/>
        <v>1128</v>
      </c>
      <c r="CD144" s="826">
        <f t="shared" si="253"/>
        <v>0.2</v>
      </c>
      <c r="CE144" s="995">
        <f t="shared" si="253"/>
        <v>274690</v>
      </c>
      <c r="CF144" s="995">
        <f t="shared" si="253"/>
        <v>196153</v>
      </c>
      <c r="CG144" s="995">
        <f t="shared" si="253"/>
        <v>66300</v>
      </c>
      <c r="CH144" s="995">
        <f t="shared" ref="CH144:CJ144" si="254">SUM(CH138:CH143)</f>
        <v>1962</v>
      </c>
      <c r="CI144" s="995">
        <f t="shared" si="254"/>
        <v>10275</v>
      </c>
      <c r="CJ144" s="933">
        <f t="shared" si="254"/>
        <v>0.58400000000000007</v>
      </c>
    </row>
    <row r="145" spans="1:88" ht="12.95" customHeight="1">
      <c r="A145" s="280">
        <v>27</v>
      </c>
      <c r="B145" s="321">
        <v>5428</v>
      </c>
      <c r="C145" s="322">
        <v>600099059</v>
      </c>
      <c r="D145" s="281">
        <v>70985740</v>
      </c>
      <c r="E145" s="323" t="s">
        <v>403</v>
      </c>
      <c r="F145" s="281">
        <v>3111</v>
      </c>
      <c r="G145" s="323" t="s">
        <v>304</v>
      </c>
      <c r="H145" s="284" t="s">
        <v>271</v>
      </c>
      <c r="I145" s="419">
        <v>1602785</v>
      </c>
      <c r="J145" s="414">
        <v>1182778</v>
      </c>
      <c r="K145" s="414">
        <v>1084760</v>
      </c>
      <c r="L145" s="414">
        <v>98018</v>
      </c>
      <c r="M145" s="414">
        <v>0</v>
      </c>
      <c r="N145" s="414">
        <v>0</v>
      </c>
      <c r="O145" s="414">
        <v>0</v>
      </c>
      <c r="P145" s="68">
        <v>399779</v>
      </c>
      <c r="Q145" s="68">
        <v>11828</v>
      </c>
      <c r="R145" s="414">
        <v>8400</v>
      </c>
      <c r="S145" s="415">
        <v>2.3281999999999998</v>
      </c>
      <c r="T145" s="416">
        <v>1.9355</v>
      </c>
      <c r="U145" s="422">
        <v>0.39269999999999999</v>
      </c>
      <c r="V145" s="423">
        <f t="shared" si="236"/>
        <v>0</v>
      </c>
      <c r="W145" s="417">
        <f t="shared" si="236"/>
        <v>0</v>
      </c>
      <c r="X145" s="417">
        <v>0</v>
      </c>
      <c r="Y145" s="417">
        <v>0</v>
      </c>
      <c r="Z145" s="417">
        <v>0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237"/>
        <v>0</v>
      </c>
      <c r="AF145" s="417">
        <f t="shared" si="238"/>
        <v>0</v>
      </c>
      <c r="AG145" s="417">
        <f t="shared" si="239"/>
        <v>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240"/>
        <v>0</v>
      </c>
      <c r="AN145" s="417">
        <f t="shared" si="241"/>
        <v>0</v>
      </c>
      <c r="AO145" s="417">
        <f t="shared" si="242"/>
        <v>0</v>
      </c>
      <c r="AP145" s="417">
        <f t="shared" si="243"/>
        <v>0</v>
      </c>
      <c r="AQ145" s="417">
        <f t="shared" si="243"/>
        <v>0</v>
      </c>
      <c r="AR145" s="417">
        <f t="shared" si="244"/>
        <v>0</v>
      </c>
      <c r="AS145" s="68">
        <f t="shared" si="245"/>
        <v>0</v>
      </c>
      <c r="AT145" s="68">
        <f t="shared" si="246"/>
        <v>0</v>
      </c>
      <c r="AU145" s="417">
        <v>0</v>
      </c>
      <c r="AV145" s="417">
        <v>0</v>
      </c>
      <c r="AW145" s="417">
        <v>0</v>
      </c>
      <c r="AX145" s="417">
        <f t="shared" si="247"/>
        <v>0</v>
      </c>
      <c r="AY145" s="417">
        <f t="shared" si="248"/>
        <v>0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49"/>
        <v>0</v>
      </c>
      <c r="BJ145" s="418">
        <f t="shared" si="250"/>
        <v>0</v>
      </c>
      <c r="BK145" s="420">
        <f t="shared" si="251"/>
        <v>0</v>
      </c>
      <c r="BL145" s="772">
        <f t="shared" ref="BL145:BL150" si="255">I145+AY145</f>
        <v>1602785</v>
      </c>
      <c r="BM145" s="417">
        <f t="shared" ref="BM145:BM150" si="256">J145+AG145</f>
        <v>1182778</v>
      </c>
      <c r="BN145" s="417">
        <f t="shared" ref="BN145:BO150" si="257">K145+AE145</f>
        <v>1084760</v>
      </c>
      <c r="BO145" s="417">
        <f t="shared" si="257"/>
        <v>98018</v>
      </c>
      <c r="BP145" s="417">
        <f t="shared" ref="BP145:BP150" si="258">M145+AO145</f>
        <v>0</v>
      </c>
      <c r="BQ145" s="417">
        <f t="shared" ref="BQ145:BR150" si="259">N145+AM145</f>
        <v>0</v>
      </c>
      <c r="BR145" s="417">
        <f t="shared" si="259"/>
        <v>0</v>
      </c>
      <c r="BS145" s="417">
        <f t="shared" ref="BS145:BT150" si="260">P145+AS145</f>
        <v>399779</v>
      </c>
      <c r="BT145" s="417">
        <f t="shared" si="260"/>
        <v>11828</v>
      </c>
      <c r="BU145" s="417">
        <f t="shared" ref="BU145:BU150" si="261">R145+AX145</f>
        <v>8400</v>
      </c>
      <c r="BV145" s="418">
        <f t="shared" ref="BV145:BV150" si="262">S145+BK145</f>
        <v>2.3281999999999998</v>
      </c>
      <c r="BW145" s="418">
        <f t="shared" ref="BW145:BX150" si="263">T145+BI145</f>
        <v>1.9355</v>
      </c>
      <c r="BX145" s="420">
        <f t="shared" si="263"/>
        <v>0.39269999999999999</v>
      </c>
      <c r="BY145" s="998"/>
      <c r="BZ145" s="983"/>
      <c r="CA145" s="983"/>
      <c r="CB145" s="983"/>
      <c r="CC145" s="983"/>
      <c r="CD145" s="984"/>
      <c r="CE145" s="841">
        <v>45188</v>
      </c>
      <c r="CF145" s="729">
        <v>31450</v>
      </c>
      <c r="CG145" s="729">
        <v>10630</v>
      </c>
      <c r="CH145" s="729">
        <v>315</v>
      </c>
      <c r="CI145" s="729">
        <v>2793</v>
      </c>
      <c r="CJ145" s="828">
        <v>0.126</v>
      </c>
    </row>
    <row r="146" spans="1:88" ht="12.95" customHeight="1">
      <c r="A146" s="280">
        <v>27</v>
      </c>
      <c r="B146" s="321">
        <v>5428</v>
      </c>
      <c r="C146" s="322">
        <v>600099059</v>
      </c>
      <c r="D146" s="281">
        <v>70985740</v>
      </c>
      <c r="E146" s="323" t="s">
        <v>403</v>
      </c>
      <c r="F146" s="281">
        <v>3117</v>
      </c>
      <c r="G146" s="323" t="s">
        <v>293</v>
      </c>
      <c r="H146" s="284" t="s">
        <v>271</v>
      </c>
      <c r="I146" s="419">
        <v>2316154</v>
      </c>
      <c r="J146" s="414">
        <v>1666687</v>
      </c>
      <c r="K146" s="414">
        <v>1377131</v>
      </c>
      <c r="L146" s="414">
        <v>289556</v>
      </c>
      <c r="M146" s="414">
        <v>36480</v>
      </c>
      <c r="N146" s="414">
        <v>34480</v>
      </c>
      <c r="O146" s="414">
        <v>2000</v>
      </c>
      <c r="P146" s="68">
        <v>575670</v>
      </c>
      <c r="Q146" s="68">
        <v>16667</v>
      </c>
      <c r="R146" s="414">
        <v>20650</v>
      </c>
      <c r="S146" s="415">
        <v>3.0070000000000006</v>
      </c>
      <c r="T146" s="416">
        <v>2.2626000000000004</v>
      </c>
      <c r="U146" s="422">
        <v>0.74440000000000006</v>
      </c>
      <c r="V146" s="423">
        <f t="shared" si="236"/>
        <v>12000</v>
      </c>
      <c r="W146" s="417">
        <f t="shared" si="236"/>
        <v>0</v>
      </c>
      <c r="X146" s="417">
        <v>0</v>
      </c>
      <c r="Y146" s="417">
        <v>0</v>
      </c>
      <c r="Z146" s="417">
        <v>0</v>
      </c>
      <c r="AA146" s="417">
        <v>0</v>
      </c>
      <c r="AB146" s="417">
        <v>0</v>
      </c>
      <c r="AC146" s="417">
        <v>0</v>
      </c>
      <c r="AD146" s="417">
        <v>0</v>
      </c>
      <c r="AE146" s="417">
        <f t="shared" si="237"/>
        <v>12000</v>
      </c>
      <c r="AF146" s="417">
        <f t="shared" si="238"/>
        <v>0</v>
      </c>
      <c r="AG146" s="417">
        <f t="shared" si="239"/>
        <v>12000</v>
      </c>
      <c r="AH146" s="417">
        <v>-12000</v>
      </c>
      <c r="AI146" s="417">
        <v>0</v>
      </c>
      <c r="AJ146" s="417">
        <v>0</v>
      </c>
      <c r="AK146" s="417">
        <v>0</v>
      </c>
      <c r="AL146" s="417">
        <v>0</v>
      </c>
      <c r="AM146" s="417">
        <f t="shared" si="240"/>
        <v>-12000</v>
      </c>
      <c r="AN146" s="417">
        <f t="shared" si="241"/>
        <v>0</v>
      </c>
      <c r="AO146" s="417">
        <f t="shared" si="242"/>
        <v>-12000</v>
      </c>
      <c r="AP146" s="417">
        <f t="shared" si="243"/>
        <v>0</v>
      </c>
      <c r="AQ146" s="417">
        <f t="shared" si="243"/>
        <v>0</v>
      </c>
      <c r="AR146" s="417">
        <f t="shared" si="244"/>
        <v>0</v>
      </c>
      <c r="AS146" s="68">
        <f t="shared" si="245"/>
        <v>0</v>
      </c>
      <c r="AT146" s="68">
        <f t="shared" si="246"/>
        <v>120</v>
      </c>
      <c r="AU146" s="417">
        <v>0</v>
      </c>
      <c r="AV146" s="417">
        <v>0</v>
      </c>
      <c r="AW146" s="417">
        <v>0</v>
      </c>
      <c r="AX146" s="417">
        <f t="shared" si="247"/>
        <v>0</v>
      </c>
      <c r="AY146" s="417">
        <f t="shared" si="248"/>
        <v>120</v>
      </c>
      <c r="AZ146" s="418">
        <v>0</v>
      </c>
      <c r="BA146" s="418">
        <v>0</v>
      </c>
      <c r="BB146" s="418">
        <v>0</v>
      </c>
      <c r="BC146" s="418">
        <v>0</v>
      </c>
      <c r="BD146" s="418">
        <v>0</v>
      </c>
      <c r="BE146" s="418">
        <v>0</v>
      </c>
      <c r="BF146" s="418">
        <v>0</v>
      </c>
      <c r="BG146" s="418">
        <v>0</v>
      </c>
      <c r="BH146" s="418">
        <v>0</v>
      </c>
      <c r="BI146" s="418">
        <f t="shared" si="249"/>
        <v>0</v>
      </c>
      <c r="BJ146" s="418">
        <f t="shared" si="250"/>
        <v>0</v>
      </c>
      <c r="BK146" s="420">
        <f t="shared" si="251"/>
        <v>0</v>
      </c>
      <c r="BL146" s="772">
        <f t="shared" si="255"/>
        <v>2316274</v>
      </c>
      <c r="BM146" s="417">
        <f t="shared" si="256"/>
        <v>1678687</v>
      </c>
      <c r="BN146" s="417">
        <f t="shared" si="257"/>
        <v>1389131</v>
      </c>
      <c r="BO146" s="417">
        <f t="shared" si="257"/>
        <v>289556</v>
      </c>
      <c r="BP146" s="417">
        <f t="shared" si="258"/>
        <v>24480</v>
      </c>
      <c r="BQ146" s="417">
        <f t="shared" si="259"/>
        <v>22480</v>
      </c>
      <c r="BR146" s="417">
        <f t="shared" si="259"/>
        <v>2000</v>
      </c>
      <c r="BS146" s="417">
        <f t="shared" si="260"/>
        <v>575670</v>
      </c>
      <c r="BT146" s="417">
        <f t="shared" si="260"/>
        <v>16787</v>
      </c>
      <c r="BU146" s="417">
        <f t="shared" si="261"/>
        <v>20650</v>
      </c>
      <c r="BV146" s="418">
        <f t="shared" si="262"/>
        <v>3.0070000000000006</v>
      </c>
      <c r="BW146" s="418">
        <f t="shared" si="263"/>
        <v>2.2626000000000004</v>
      </c>
      <c r="BX146" s="420">
        <f t="shared" si="263"/>
        <v>0.74440000000000006</v>
      </c>
      <c r="BY146" s="998"/>
      <c r="BZ146" s="983"/>
      <c r="CA146" s="983"/>
      <c r="CB146" s="983"/>
      <c r="CC146" s="983"/>
      <c r="CD146" s="984"/>
      <c r="CE146" s="841">
        <v>129754</v>
      </c>
      <c r="CF146" s="729">
        <v>93578</v>
      </c>
      <c r="CG146" s="729">
        <v>31629</v>
      </c>
      <c r="CH146" s="729">
        <v>935</v>
      </c>
      <c r="CI146" s="729">
        <v>3612</v>
      </c>
      <c r="CJ146" s="828">
        <v>0.2389</v>
      </c>
    </row>
    <row r="147" spans="1:88" ht="12.95" customHeight="1">
      <c r="A147" s="280">
        <v>27</v>
      </c>
      <c r="B147" s="321">
        <v>5428</v>
      </c>
      <c r="C147" s="322">
        <v>600099059</v>
      </c>
      <c r="D147" s="281">
        <v>70985740</v>
      </c>
      <c r="E147" s="323" t="s">
        <v>403</v>
      </c>
      <c r="F147" s="281">
        <v>3117</v>
      </c>
      <c r="G147" s="323" t="s">
        <v>298</v>
      </c>
      <c r="H147" s="284" t="s">
        <v>272</v>
      </c>
      <c r="I147" s="419">
        <v>106449</v>
      </c>
      <c r="J147" s="414">
        <v>78968</v>
      </c>
      <c r="K147" s="414">
        <v>78968</v>
      </c>
      <c r="L147" s="414">
        <v>0</v>
      </c>
      <c r="M147" s="414">
        <v>0</v>
      </c>
      <c r="N147" s="414">
        <v>0</v>
      </c>
      <c r="O147" s="414">
        <v>0</v>
      </c>
      <c r="P147" s="68">
        <v>26691</v>
      </c>
      <c r="Q147" s="68">
        <v>790</v>
      </c>
      <c r="R147" s="414">
        <v>0</v>
      </c>
      <c r="S147" s="415">
        <v>0.21</v>
      </c>
      <c r="T147" s="416">
        <v>0.21</v>
      </c>
      <c r="U147" s="422">
        <v>0</v>
      </c>
      <c r="V147" s="423">
        <f t="shared" si="236"/>
        <v>0</v>
      </c>
      <c r="W147" s="417">
        <f t="shared" si="236"/>
        <v>0</v>
      </c>
      <c r="X147" s="417">
        <v>0</v>
      </c>
      <c r="Y147" s="417">
        <v>0</v>
      </c>
      <c r="Z147" s="417">
        <v>0</v>
      </c>
      <c r="AA147" s="417">
        <v>0</v>
      </c>
      <c r="AB147" s="417">
        <v>0</v>
      </c>
      <c r="AC147" s="417">
        <v>0</v>
      </c>
      <c r="AD147" s="417">
        <v>0</v>
      </c>
      <c r="AE147" s="417">
        <f t="shared" si="237"/>
        <v>0</v>
      </c>
      <c r="AF147" s="417">
        <f t="shared" si="238"/>
        <v>0</v>
      </c>
      <c r="AG147" s="417">
        <f t="shared" si="239"/>
        <v>0</v>
      </c>
      <c r="AH147" s="417">
        <v>0</v>
      </c>
      <c r="AI147" s="417">
        <v>0</v>
      </c>
      <c r="AJ147" s="417">
        <v>0</v>
      </c>
      <c r="AK147" s="417">
        <v>0</v>
      </c>
      <c r="AL147" s="417">
        <v>0</v>
      </c>
      <c r="AM147" s="417">
        <f t="shared" si="240"/>
        <v>0</v>
      </c>
      <c r="AN147" s="417">
        <f t="shared" si="241"/>
        <v>0</v>
      </c>
      <c r="AO147" s="417">
        <f t="shared" si="242"/>
        <v>0</v>
      </c>
      <c r="AP147" s="417">
        <f t="shared" si="243"/>
        <v>0</v>
      </c>
      <c r="AQ147" s="417">
        <f t="shared" si="243"/>
        <v>0</v>
      </c>
      <c r="AR147" s="417">
        <f t="shared" si="244"/>
        <v>0</v>
      </c>
      <c r="AS147" s="68">
        <f t="shared" si="245"/>
        <v>0</v>
      </c>
      <c r="AT147" s="68">
        <f t="shared" si="246"/>
        <v>0</v>
      </c>
      <c r="AU147" s="417">
        <v>0</v>
      </c>
      <c r="AV147" s="417">
        <v>0</v>
      </c>
      <c r="AW147" s="417">
        <v>0</v>
      </c>
      <c r="AX147" s="417">
        <f t="shared" si="247"/>
        <v>0</v>
      </c>
      <c r="AY147" s="417">
        <f t="shared" si="248"/>
        <v>0</v>
      </c>
      <c r="AZ147" s="418">
        <v>0</v>
      </c>
      <c r="BA147" s="418">
        <v>0</v>
      </c>
      <c r="BB147" s="418">
        <v>0</v>
      </c>
      <c r="BC147" s="418">
        <v>0</v>
      </c>
      <c r="BD147" s="418">
        <v>0</v>
      </c>
      <c r="BE147" s="418">
        <v>0</v>
      </c>
      <c r="BF147" s="418">
        <v>0</v>
      </c>
      <c r="BG147" s="418">
        <v>0</v>
      </c>
      <c r="BH147" s="418">
        <v>0</v>
      </c>
      <c r="BI147" s="418">
        <f t="shared" si="249"/>
        <v>0</v>
      </c>
      <c r="BJ147" s="418">
        <f t="shared" si="250"/>
        <v>0</v>
      </c>
      <c r="BK147" s="420">
        <f t="shared" si="251"/>
        <v>0</v>
      </c>
      <c r="BL147" s="772">
        <f t="shared" si="255"/>
        <v>106449</v>
      </c>
      <c r="BM147" s="417">
        <f t="shared" si="256"/>
        <v>78968</v>
      </c>
      <c r="BN147" s="417">
        <f t="shared" si="257"/>
        <v>78968</v>
      </c>
      <c r="BO147" s="417">
        <f t="shared" si="257"/>
        <v>0</v>
      </c>
      <c r="BP147" s="417">
        <f t="shared" si="258"/>
        <v>0</v>
      </c>
      <c r="BQ147" s="417">
        <f t="shared" si="259"/>
        <v>0</v>
      </c>
      <c r="BR147" s="417">
        <f t="shared" si="259"/>
        <v>0</v>
      </c>
      <c r="BS147" s="417">
        <f t="shared" si="260"/>
        <v>26691</v>
      </c>
      <c r="BT147" s="417">
        <f t="shared" si="260"/>
        <v>790</v>
      </c>
      <c r="BU147" s="417">
        <f t="shared" si="261"/>
        <v>0</v>
      </c>
      <c r="BV147" s="418">
        <f t="shared" si="262"/>
        <v>0.21</v>
      </c>
      <c r="BW147" s="418">
        <f t="shared" si="263"/>
        <v>0.21</v>
      </c>
      <c r="BX147" s="420">
        <f t="shared" si="263"/>
        <v>0</v>
      </c>
      <c r="BY147" s="998"/>
      <c r="BZ147" s="983"/>
      <c r="CA147" s="983"/>
      <c r="CB147" s="983"/>
      <c r="CC147" s="983"/>
      <c r="CD147" s="984"/>
      <c r="CE147" s="841"/>
      <c r="CF147" s="729"/>
      <c r="CG147" s="729"/>
      <c r="CH147" s="729"/>
      <c r="CI147" s="729"/>
      <c r="CJ147" s="828"/>
    </row>
    <row r="148" spans="1:88" ht="12.95" customHeight="1">
      <c r="A148" s="280">
        <v>27</v>
      </c>
      <c r="B148" s="321">
        <v>5428</v>
      </c>
      <c r="C148" s="322">
        <v>600099059</v>
      </c>
      <c r="D148" s="281">
        <v>70985740</v>
      </c>
      <c r="E148" s="323" t="s">
        <v>403</v>
      </c>
      <c r="F148" s="281">
        <v>3141</v>
      </c>
      <c r="G148" s="323" t="s">
        <v>294</v>
      </c>
      <c r="H148" s="284" t="s">
        <v>272</v>
      </c>
      <c r="I148" s="419">
        <v>540516</v>
      </c>
      <c r="J148" s="414">
        <v>391685</v>
      </c>
      <c r="K148" s="414">
        <v>0</v>
      </c>
      <c r="L148" s="414">
        <v>391685</v>
      </c>
      <c r="M148" s="414">
        <v>8000</v>
      </c>
      <c r="N148" s="414">
        <v>0</v>
      </c>
      <c r="O148" s="414">
        <v>8000</v>
      </c>
      <c r="P148" s="68">
        <v>135094</v>
      </c>
      <c r="Q148" s="68">
        <v>3917</v>
      </c>
      <c r="R148" s="414">
        <v>1820</v>
      </c>
      <c r="S148" s="415">
        <v>1.2000000000000002</v>
      </c>
      <c r="T148" s="416">
        <v>0</v>
      </c>
      <c r="U148" s="422">
        <v>1.2000000000000002</v>
      </c>
      <c r="V148" s="423">
        <f t="shared" si="236"/>
        <v>0</v>
      </c>
      <c r="W148" s="417">
        <f t="shared" si="236"/>
        <v>0</v>
      </c>
      <c r="X148" s="417">
        <v>0</v>
      </c>
      <c r="Y148" s="417">
        <v>0</v>
      </c>
      <c r="Z148" s="417">
        <v>0</v>
      </c>
      <c r="AA148" s="417">
        <v>9048</v>
      </c>
      <c r="AB148" s="417">
        <v>0</v>
      </c>
      <c r="AC148" s="417">
        <v>0</v>
      </c>
      <c r="AD148" s="417">
        <v>0</v>
      </c>
      <c r="AE148" s="417">
        <f t="shared" si="237"/>
        <v>0</v>
      </c>
      <c r="AF148" s="417">
        <f t="shared" si="238"/>
        <v>9048</v>
      </c>
      <c r="AG148" s="417">
        <f t="shared" si="239"/>
        <v>9048</v>
      </c>
      <c r="AH148" s="417">
        <v>0</v>
      </c>
      <c r="AI148" s="417">
        <v>0</v>
      </c>
      <c r="AJ148" s="417">
        <v>0</v>
      </c>
      <c r="AK148" s="417">
        <v>0</v>
      </c>
      <c r="AL148" s="417">
        <v>0</v>
      </c>
      <c r="AM148" s="417">
        <f t="shared" si="240"/>
        <v>0</v>
      </c>
      <c r="AN148" s="417">
        <f t="shared" si="241"/>
        <v>0</v>
      </c>
      <c r="AO148" s="417">
        <f t="shared" si="242"/>
        <v>0</v>
      </c>
      <c r="AP148" s="417">
        <f t="shared" si="243"/>
        <v>0</v>
      </c>
      <c r="AQ148" s="417">
        <f t="shared" si="243"/>
        <v>9048</v>
      </c>
      <c r="AR148" s="417">
        <f t="shared" si="244"/>
        <v>9048</v>
      </c>
      <c r="AS148" s="68">
        <f t="shared" si="245"/>
        <v>3058</v>
      </c>
      <c r="AT148" s="68">
        <f t="shared" si="246"/>
        <v>90</v>
      </c>
      <c r="AU148" s="417">
        <v>0</v>
      </c>
      <c r="AV148" s="417">
        <v>0</v>
      </c>
      <c r="AW148" s="417">
        <v>0</v>
      </c>
      <c r="AX148" s="417">
        <f t="shared" si="247"/>
        <v>0</v>
      </c>
      <c r="AY148" s="417">
        <f t="shared" si="248"/>
        <v>12196</v>
      </c>
      <c r="AZ148" s="418">
        <v>0</v>
      </c>
      <c r="BA148" s="418">
        <v>0</v>
      </c>
      <c r="BB148" s="418">
        <v>0</v>
      </c>
      <c r="BC148" s="418">
        <v>0</v>
      </c>
      <c r="BD148" s="418">
        <v>0.03</v>
      </c>
      <c r="BE148" s="418">
        <v>0</v>
      </c>
      <c r="BF148" s="418">
        <v>0</v>
      </c>
      <c r="BG148" s="418">
        <v>0</v>
      </c>
      <c r="BH148" s="418">
        <v>0</v>
      </c>
      <c r="BI148" s="418">
        <f t="shared" si="249"/>
        <v>0</v>
      </c>
      <c r="BJ148" s="418">
        <f t="shared" si="250"/>
        <v>0.03</v>
      </c>
      <c r="BK148" s="420">
        <f t="shared" si="251"/>
        <v>0.03</v>
      </c>
      <c r="BL148" s="772">
        <f t="shared" si="255"/>
        <v>552712</v>
      </c>
      <c r="BM148" s="417">
        <f t="shared" si="256"/>
        <v>400733</v>
      </c>
      <c r="BN148" s="417">
        <f t="shared" si="257"/>
        <v>0</v>
      </c>
      <c r="BO148" s="417">
        <f t="shared" si="257"/>
        <v>400733</v>
      </c>
      <c r="BP148" s="417">
        <f t="shared" si="258"/>
        <v>8000</v>
      </c>
      <c r="BQ148" s="417">
        <f t="shared" si="259"/>
        <v>0</v>
      </c>
      <c r="BR148" s="417">
        <f t="shared" si="259"/>
        <v>8000</v>
      </c>
      <c r="BS148" s="417">
        <f t="shared" si="260"/>
        <v>138152</v>
      </c>
      <c r="BT148" s="417">
        <f t="shared" si="260"/>
        <v>4007</v>
      </c>
      <c r="BU148" s="417">
        <f t="shared" si="261"/>
        <v>1820</v>
      </c>
      <c r="BV148" s="418">
        <f t="shared" si="262"/>
        <v>1.2300000000000002</v>
      </c>
      <c r="BW148" s="418">
        <f t="shared" si="263"/>
        <v>0</v>
      </c>
      <c r="BX148" s="420">
        <f t="shared" si="263"/>
        <v>1.2300000000000002</v>
      </c>
      <c r="BY148" s="998"/>
      <c r="BZ148" s="983"/>
      <c r="CA148" s="983"/>
      <c r="CB148" s="983"/>
      <c r="CC148" s="983"/>
      <c r="CD148" s="984"/>
      <c r="CE148" s="841"/>
      <c r="CF148" s="729"/>
      <c r="CG148" s="729"/>
      <c r="CH148" s="729"/>
      <c r="CI148" s="729"/>
      <c r="CJ148" s="828"/>
    </row>
    <row r="149" spans="1:88" ht="12.95" customHeight="1">
      <c r="A149" s="280">
        <v>27</v>
      </c>
      <c r="B149" s="321">
        <v>5428</v>
      </c>
      <c r="C149" s="322">
        <v>600099059</v>
      </c>
      <c r="D149" s="281">
        <v>70985740</v>
      </c>
      <c r="E149" s="323" t="s">
        <v>403</v>
      </c>
      <c r="F149" s="281">
        <v>3143</v>
      </c>
      <c r="G149" s="323" t="s">
        <v>595</v>
      </c>
      <c r="H149" s="284" t="s">
        <v>271</v>
      </c>
      <c r="I149" s="419">
        <v>537565</v>
      </c>
      <c r="J149" s="414">
        <v>398787</v>
      </c>
      <c r="K149" s="414">
        <v>398787</v>
      </c>
      <c r="L149" s="414">
        <v>0</v>
      </c>
      <c r="M149" s="414">
        <v>0</v>
      </c>
      <c r="N149" s="414">
        <v>0</v>
      </c>
      <c r="O149" s="414">
        <v>0</v>
      </c>
      <c r="P149" s="68">
        <v>134790</v>
      </c>
      <c r="Q149" s="68">
        <v>3988</v>
      </c>
      <c r="R149" s="414">
        <v>0</v>
      </c>
      <c r="S149" s="415">
        <v>0.8</v>
      </c>
      <c r="T149" s="416">
        <v>0.8</v>
      </c>
      <c r="U149" s="422">
        <v>0</v>
      </c>
      <c r="V149" s="423">
        <f t="shared" si="236"/>
        <v>0</v>
      </c>
      <c r="W149" s="417">
        <f t="shared" si="236"/>
        <v>0</v>
      </c>
      <c r="X149" s="417">
        <v>0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237"/>
        <v>0</v>
      </c>
      <c r="AF149" s="417">
        <f t="shared" si="238"/>
        <v>0</v>
      </c>
      <c r="AG149" s="417">
        <f t="shared" si="239"/>
        <v>0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240"/>
        <v>0</v>
      </c>
      <c r="AN149" s="417">
        <f t="shared" si="241"/>
        <v>0</v>
      </c>
      <c r="AO149" s="417">
        <f t="shared" si="242"/>
        <v>0</v>
      </c>
      <c r="AP149" s="417">
        <f t="shared" si="243"/>
        <v>0</v>
      </c>
      <c r="AQ149" s="417">
        <f t="shared" si="243"/>
        <v>0</v>
      </c>
      <c r="AR149" s="417">
        <f t="shared" si="244"/>
        <v>0</v>
      </c>
      <c r="AS149" s="68">
        <f t="shared" si="245"/>
        <v>0</v>
      </c>
      <c r="AT149" s="68">
        <f t="shared" si="246"/>
        <v>0</v>
      </c>
      <c r="AU149" s="417">
        <v>0</v>
      </c>
      <c r="AV149" s="417">
        <v>0</v>
      </c>
      <c r="AW149" s="417">
        <v>0</v>
      </c>
      <c r="AX149" s="417">
        <f t="shared" si="247"/>
        <v>0</v>
      </c>
      <c r="AY149" s="417">
        <f t="shared" si="248"/>
        <v>0</v>
      </c>
      <c r="AZ149" s="418">
        <v>0</v>
      </c>
      <c r="BA149" s="418">
        <v>0</v>
      </c>
      <c r="BB149" s="418">
        <v>0</v>
      </c>
      <c r="BC149" s="418">
        <v>0</v>
      </c>
      <c r="BD149" s="418">
        <v>0</v>
      </c>
      <c r="BE149" s="418">
        <v>0</v>
      </c>
      <c r="BF149" s="418">
        <v>0</v>
      </c>
      <c r="BG149" s="418">
        <v>0</v>
      </c>
      <c r="BH149" s="418">
        <v>0</v>
      </c>
      <c r="BI149" s="418">
        <f t="shared" si="249"/>
        <v>0</v>
      </c>
      <c r="BJ149" s="418">
        <f t="shared" si="250"/>
        <v>0</v>
      </c>
      <c r="BK149" s="420">
        <f t="shared" si="251"/>
        <v>0</v>
      </c>
      <c r="BL149" s="772">
        <f t="shared" si="255"/>
        <v>537565</v>
      </c>
      <c r="BM149" s="417">
        <f t="shared" si="256"/>
        <v>398787</v>
      </c>
      <c r="BN149" s="417">
        <f t="shared" si="257"/>
        <v>398787</v>
      </c>
      <c r="BO149" s="417">
        <f t="shared" si="257"/>
        <v>0</v>
      </c>
      <c r="BP149" s="417">
        <f t="shared" si="258"/>
        <v>0</v>
      </c>
      <c r="BQ149" s="417">
        <f t="shared" si="259"/>
        <v>0</v>
      </c>
      <c r="BR149" s="417">
        <f t="shared" si="259"/>
        <v>0</v>
      </c>
      <c r="BS149" s="417">
        <f t="shared" si="260"/>
        <v>134790</v>
      </c>
      <c r="BT149" s="417">
        <f t="shared" si="260"/>
        <v>3988</v>
      </c>
      <c r="BU149" s="417">
        <f t="shared" si="261"/>
        <v>0</v>
      </c>
      <c r="BV149" s="418">
        <f t="shared" si="262"/>
        <v>0.8</v>
      </c>
      <c r="BW149" s="418">
        <f t="shared" si="263"/>
        <v>0.8</v>
      </c>
      <c r="BX149" s="420">
        <f t="shared" si="263"/>
        <v>0</v>
      </c>
      <c r="BY149" s="998"/>
      <c r="BZ149" s="983"/>
      <c r="CA149" s="983"/>
      <c r="CB149" s="983"/>
      <c r="CC149" s="983"/>
      <c r="CD149" s="984"/>
      <c r="CE149" s="841"/>
      <c r="CF149" s="729"/>
      <c r="CG149" s="729"/>
      <c r="CH149" s="729"/>
      <c r="CI149" s="729"/>
      <c r="CJ149" s="828"/>
    </row>
    <row r="150" spans="1:88" ht="12.95" customHeight="1">
      <c r="A150" s="280">
        <v>27</v>
      </c>
      <c r="B150" s="321">
        <v>5428</v>
      </c>
      <c r="C150" s="322">
        <v>600099059</v>
      </c>
      <c r="D150" s="281">
        <v>70985740</v>
      </c>
      <c r="E150" s="323" t="s">
        <v>403</v>
      </c>
      <c r="F150" s="281">
        <v>3143</v>
      </c>
      <c r="G150" s="323" t="s">
        <v>596</v>
      </c>
      <c r="H150" s="284" t="s">
        <v>272</v>
      </c>
      <c r="I150" s="419">
        <v>10757</v>
      </c>
      <c r="J150" s="414">
        <v>7700</v>
      </c>
      <c r="K150" s="414">
        <v>0</v>
      </c>
      <c r="L150" s="414">
        <v>7700</v>
      </c>
      <c r="M150" s="414">
        <v>0</v>
      </c>
      <c r="N150" s="414">
        <v>0</v>
      </c>
      <c r="O150" s="414">
        <v>0</v>
      </c>
      <c r="P150" s="68">
        <v>2602</v>
      </c>
      <c r="Q150" s="68">
        <v>77</v>
      </c>
      <c r="R150" s="414">
        <v>378</v>
      </c>
      <c r="S150" s="415">
        <v>2.9400000000000003E-2</v>
      </c>
      <c r="T150" s="416">
        <v>0</v>
      </c>
      <c r="U150" s="422">
        <v>2.9400000000000003E-2</v>
      </c>
      <c r="V150" s="423">
        <f t="shared" si="236"/>
        <v>0</v>
      </c>
      <c r="W150" s="417">
        <f t="shared" si="236"/>
        <v>0</v>
      </c>
      <c r="X150" s="417">
        <v>0</v>
      </c>
      <c r="Y150" s="417">
        <v>0</v>
      </c>
      <c r="Z150" s="417">
        <v>0</v>
      </c>
      <c r="AA150" s="417">
        <v>0</v>
      </c>
      <c r="AB150" s="417">
        <v>0</v>
      </c>
      <c r="AC150" s="417">
        <v>0</v>
      </c>
      <c r="AD150" s="417">
        <v>0</v>
      </c>
      <c r="AE150" s="417">
        <f t="shared" si="237"/>
        <v>0</v>
      </c>
      <c r="AF150" s="417">
        <f t="shared" si="238"/>
        <v>0</v>
      </c>
      <c r="AG150" s="417">
        <f t="shared" si="239"/>
        <v>0</v>
      </c>
      <c r="AH150" s="417">
        <v>0</v>
      </c>
      <c r="AI150" s="417">
        <v>0</v>
      </c>
      <c r="AJ150" s="417">
        <v>0</v>
      </c>
      <c r="AK150" s="417">
        <v>0</v>
      </c>
      <c r="AL150" s="417">
        <v>0</v>
      </c>
      <c r="AM150" s="417">
        <f t="shared" si="240"/>
        <v>0</v>
      </c>
      <c r="AN150" s="417">
        <f t="shared" si="241"/>
        <v>0</v>
      </c>
      <c r="AO150" s="417">
        <f t="shared" si="242"/>
        <v>0</v>
      </c>
      <c r="AP150" s="417">
        <f t="shared" si="243"/>
        <v>0</v>
      </c>
      <c r="AQ150" s="417">
        <f t="shared" si="243"/>
        <v>0</v>
      </c>
      <c r="AR150" s="417">
        <f t="shared" si="244"/>
        <v>0</v>
      </c>
      <c r="AS150" s="68">
        <f t="shared" si="245"/>
        <v>0</v>
      </c>
      <c r="AT150" s="68">
        <f t="shared" si="246"/>
        <v>0</v>
      </c>
      <c r="AU150" s="417">
        <v>0</v>
      </c>
      <c r="AV150" s="417">
        <v>0</v>
      </c>
      <c r="AW150" s="417">
        <v>0</v>
      </c>
      <c r="AX150" s="417">
        <f t="shared" si="247"/>
        <v>0</v>
      </c>
      <c r="AY150" s="417">
        <f t="shared" si="248"/>
        <v>0</v>
      </c>
      <c r="AZ150" s="418">
        <v>0</v>
      </c>
      <c r="BA150" s="418">
        <v>0</v>
      </c>
      <c r="BB150" s="418">
        <v>0</v>
      </c>
      <c r="BC150" s="418">
        <v>0</v>
      </c>
      <c r="BD150" s="418">
        <v>0</v>
      </c>
      <c r="BE150" s="418">
        <v>0</v>
      </c>
      <c r="BF150" s="418">
        <v>0</v>
      </c>
      <c r="BG150" s="418">
        <v>0</v>
      </c>
      <c r="BH150" s="418">
        <v>0</v>
      </c>
      <c r="BI150" s="418">
        <f t="shared" si="249"/>
        <v>0</v>
      </c>
      <c r="BJ150" s="418">
        <f t="shared" si="250"/>
        <v>0</v>
      </c>
      <c r="BK150" s="420">
        <f t="shared" si="251"/>
        <v>0</v>
      </c>
      <c r="BL150" s="772">
        <f t="shared" si="255"/>
        <v>10757</v>
      </c>
      <c r="BM150" s="417">
        <f t="shared" si="256"/>
        <v>7700</v>
      </c>
      <c r="BN150" s="417">
        <f t="shared" si="257"/>
        <v>0</v>
      </c>
      <c r="BO150" s="417">
        <f t="shared" si="257"/>
        <v>7700</v>
      </c>
      <c r="BP150" s="417">
        <f t="shared" si="258"/>
        <v>0</v>
      </c>
      <c r="BQ150" s="417">
        <f t="shared" si="259"/>
        <v>0</v>
      </c>
      <c r="BR150" s="417">
        <f t="shared" si="259"/>
        <v>0</v>
      </c>
      <c r="BS150" s="417">
        <f t="shared" si="260"/>
        <v>2602</v>
      </c>
      <c r="BT150" s="417">
        <f t="shared" si="260"/>
        <v>77</v>
      </c>
      <c r="BU150" s="417">
        <f t="shared" si="261"/>
        <v>378</v>
      </c>
      <c r="BV150" s="418">
        <f t="shared" si="262"/>
        <v>2.9400000000000003E-2</v>
      </c>
      <c r="BW150" s="418">
        <f t="shared" si="263"/>
        <v>0</v>
      </c>
      <c r="BX150" s="420">
        <f t="shared" si="263"/>
        <v>2.9400000000000003E-2</v>
      </c>
      <c r="BY150" s="998"/>
      <c r="BZ150" s="983"/>
      <c r="CA150" s="983"/>
      <c r="CB150" s="983"/>
      <c r="CC150" s="983"/>
      <c r="CD150" s="984"/>
      <c r="CE150" s="841"/>
      <c r="CF150" s="729"/>
      <c r="CG150" s="729"/>
      <c r="CH150" s="729"/>
      <c r="CI150" s="729"/>
      <c r="CJ150" s="828"/>
    </row>
    <row r="151" spans="1:88" ht="12.95" customHeight="1">
      <c r="A151" s="324">
        <v>27</v>
      </c>
      <c r="B151" s="325">
        <v>5428</v>
      </c>
      <c r="C151" s="326">
        <v>600099059</v>
      </c>
      <c r="D151" s="325">
        <v>70985740</v>
      </c>
      <c r="E151" s="327" t="s">
        <v>404</v>
      </c>
      <c r="F151" s="291"/>
      <c r="G151" s="329"/>
      <c r="H151" s="292"/>
      <c r="I151" s="471">
        <v>5114226</v>
      </c>
      <c r="J151" s="467">
        <v>3726605</v>
      </c>
      <c r="K151" s="467">
        <v>2939646</v>
      </c>
      <c r="L151" s="467">
        <v>786959</v>
      </c>
      <c r="M151" s="467">
        <v>44480</v>
      </c>
      <c r="N151" s="467">
        <v>34480</v>
      </c>
      <c r="O151" s="467">
        <v>10000</v>
      </c>
      <c r="P151" s="467">
        <v>1274626</v>
      </c>
      <c r="Q151" s="467">
        <v>37267</v>
      </c>
      <c r="R151" s="467">
        <v>31248</v>
      </c>
      <c r="S151" s="468">
        <v>7.5746000000000002</v>
      </c>
      <c r="T151" s="468">
        <v>5.2081</v>
      </c>
      <c r="U151" s="531">
        <v>2.3665000000000003</v>
      </c>
      <c r="V151" s="471">
        <f t="shared" ref="V151:BK151" si="264">SUM(V145:V150)</f>
        <v>12000</v>
      </c>
      <c r="W151" s="467">
        <f t="shared" si="264"/>
        <v>0</v>
      </c>
      <c r="X151" s="467">
        <f t="shared" si="264"/>
        <v>0</v>
      </c>
      <c r="Y151" s="467">
        <f t="shared" si="264"/>
        <v>0</v>
      </c>
      <c r="Z151" s="467">
        <f t="shared" si="264"/>
        <v>0</v>
      </c>
      <c r="AA151" s="467">
        <f t="shared" si="264"/>
        <v>9048</v>
      </c>
      <c r="AB151" s="467">
        <f t="shared" si="264"/>
        <v>0</v>
      </c>
      <c r="AC151" s="467">
        <f t="shared" si="264"/>
        <v>0</v>
      </c>
      <c r="AD151" s="467">
        <f t="shared" si="264"/>
        <v>0</v>
      </c>
      <c r="AE151" s="467">
        <f t="shared" si="264"/>
        <v>12000</v>
      </c>
      <c r="AF151" s="467">
        <f t="shared" si="264"/>
        <v>9048</v>
      </c>
      <c r="AG151" s="467">
        <f t="shared" si="264"/>
        <v>21048</v>
      </c>
      <c r="AH151" s="467">
        <f t="shared" si="264"/>
        <v>-12000</v>
      </c>
      <c r="AI151" s="467">
        <f t="shared" si="264"/>
        <v>0</v>
      </c>
      <c r="AJ151" s="467">
        <f t="shared" si="264"/>
        <v>0</v>
      </c>
      <c r="AK151" s="467">
        <f t="shared" si="264"/>
        <v>0</v>
      </c>
      <c r="AL151" s="467">
        <f t="shared" si="264"/>
        <v>0</v>
      </c>
      <c r="AM151" s="467">
        <f t="shared" si="264"/>
        <v>-12000</v>
      </c>
      <c r="AN151" s="467">
        <f t="shared" si="264"/>
        <v>0</v>
      </c>
      <c r="AO151" s="467">
        <f t="shared" si="264"/>
        <v>-12000</v>
      </c>
      <c r="AP151" s="467">
        <f t="shared" si="264"/>
        <v>0</v>
      </c>
      <c r="AQ151" s="467">
        <f t="shared" si="264"/>
        <v>9048</v>
      </c>
      <c r="AR151" s="467">
        <f t="shared" si="264"/>
        <v>9048</v>
      </c>
      <c r="AS151" s="467">
        <f t="shared" si="264"/>
        <v>3058</v>
      </c>
      <c r="AT151" s="467">
        <f t="shared" si="264"/>
        <v>210</v>
      </c>
      <c r="AU151" s="467">
        <f t="shared" si="264"/>
        <v>0</v>
      </c>
      <c r="AV151" s="467">
        <f t="shared" si="264"/>
        <v>0</v>
      </c>
      <c r="AW151" s="467">
        <f t="shared" si="264"/>
        <v>0</v>
      </c>
      <c r="AX151" s="467">
        <f t="shared" si="264"/>
        <v>0</v>
      </c>
      <c r="AY151" s="467">
        <f t="shared" si="264"/>
        <v>12316</v>
      </c>
      <c r="AZ151" s="468">
        <f t="shared" si="264"/>
        <v>0</v>
      </c>
      <c r="BA151" s="468">
        <f t="shared" si="264"/>
        <v>0</v>
      </c>
      <c r="BB151" s="468">
        <f t="shared" si="264"/>
        <v>0</v>
      </c>
      <c r="BC151" s="468">
        <f t="shared" si="264"/>
        <v>0</v>
      </c>
      <c r="BD151" s="468">
        <f t="shared" si="264"/>
        <v>0.03</v>
      </c>
      <c r="BE151" s="468">
        <f t="shared" si="264"/>
        <v>0</v>
      </c>
      <c r="BF151" s="468">
        <f t="shared" si="264"/>
        <v>0</v>
      </c>
      <c r="BG151" s="468">
        <f t="shared" si="264"/>
        <v>0</v>
      </c>
      <c r="BH151" s="468">
        <f t="shared" si="264"/>
        <v>0</v>
      </c>
      <c r="BI151" s="468">
        <f t="shared" si="264"/>
        <v>0</v>
      </c>
      <c r="BJ151" s="468">
        <f t="shared" si="264"/>
        <v>0.03</v>
      </c>
      <c r="BK151" s="328">
        <f t="shared" si="264"/>
        <v>0.03</v>
      </c>
      <c r="BL151" s="774">
        <f t="shared" ref="BL151:CG151" si="265">SUM(BL145:BL150)</f>
        <v>5126542</v>
      </c>
      <c r="BM151" s="467">
        <f t="shared" si="265"/>
        <v>3747653</v>
      </c>
      <c r="BN151" s="467">
        <f t="shared" si="265"/>
        <v>2951646</v>
      </c>
      <c r="BO151" s="467">
        <f t="shared" si="265"/>
        <v>796007</v>
      </c>
      <c r="BP151" s="467">
        <f t="shared" si="265"/>
        <v>32480</v>
      </c>
      <c r="BQ151" s="467">
        <f t="shared" si="265"/>
        <v>22480</v>
      </c>
      <c r="BR151" s="467">
        <f t="shared" si="265"/>
        <v>10000</v>
      </c>
      <c r="BS151" s="467">
        <f t="shared" si="265"/>
        <v>1277684</v>
      </c>
      <c r="BT151" s="467">
        <f t="shared" si="265"/>
        <v>37477</v>
      </c>
      <c r="BU151" s="467">
        <f t="shared" si="265"/>
        <v>31248</v>
      </c>
      <c r="BV151" s="468">
        <f t="shared" si="265"/>
        <v>7.6046000000000005</v>
      </c>
      <c r="BW151" s="468">
        <f t="shared" si="265"/>
        <v>5.2081</v>
      </c>
      <c r="BX151" s="328">
        <f t="shared" si="265"/>
        <v>2.3965000000000001</v>
      </c>
      <c r="BY151" s="838">
        <f t="shared" si="265"/>
        <v>0</v>
      </c>
      <c r="BZ151" s="721">
        <f t="shared" si="265"/>
        <v>0</v>
      </c>
      <c r="CA151" s="721">
        <f t="shared" si="265"/>
        <v>0</v>
      </c>
      <c r="CB151" s="721">
        <f t="shared" si="265"/>
        <v>0</v>
      </c>
      <c r="CC151" s="721">
        <f t="shared" si="265"/>
        <v>0</v>
      </c>
      <c r="CD151" s="826">
        <f t="shared" si="265"/>
        <v>0</v>
      </c>
      <c r="CE151" s="995">
        <f t="shared" si="265"/>
        <v>174942</v>
      </c>
      <c r="CF151" s="995">
        <f t="shared" si="265"/>
        <v>125028</v>
      </c>
      <c r="CG151" s="995">
        <f t="shared" si="265"/>
        <v>42259</v>
      </c>
      <c r="CH151" s="995">
        <f t="shared" ref="CH151:CJ151" si="266">SUM(CH145:CH150)</f>
        <v>1250</v>
      </c>
      <c r="CI151" s="995">
        <f t="shared" si="266"/>
        <v>6405</v>
      </c>
      <c r="CJ151" s="933">
        <f t="shared" si="266"/>
        <v>0.3649</v>
      </c>
    </row>
    <row r="152" spans="1:88" ht="12.95" customHeight="1">
      <c r="A152" s="280">
        <v>28</v>
      </c>
      <c r="B152" s="321">
        <v>5472</v>
      </c>
      <c r="C152" s="322">
        <v>600098672</v>
      </c>
      <c r="D152" s="281">
        <v>72743565</v>
      </c>
      <c r="E152" s="323" t="s">
        <v>405</v>
      </c>
      <c r="F152" s="281">
        <v>3111</v>
      </c>
      <c r="G152" s="323" t="s">
        <v>304</v>
      </c>
      <c r="H152" s="284" t="s">
        <v>271</v>
      </c>
      <c r="I152" s="419">
        <v>3808141</v>
      </c>
      <c r="J152" s="414">
        <v>2811084</v>
      </c>
      <c r="K152" s="414">
        <v>2464883</v>
      </c>
      <c r="L152" s="414">
        <v>346201</v>
      </c>
      <c r="M152" s="414">
        <v>0</v>
      </c>
      <c r="N152" s="414">
        <v>0</v>
      </c>
      <c r="O152" s="414">
        <v>0</v>
      </c>
      <c r="P152" s="68">
        <v>950146</v>
      </c>
      <c r="Q152" s="68">
        <v>28111</v>
      </c>
      <c r="R152" s="414">
        <v>18800</v>
      </c>
      <c r="S152" s="415">
        <v>5.1781000000000006</v>
      </c>
      <c r="T152" s="416">
        <v>4</v>
      </c>
      <c r="U152" s="422">
        <v>1.1781000000000001</v>
      </c>
      <c r="V152" s="423">
        <f t="shared" si="236"/>
        <v>0</v>
      </c>
      <c r="W152" s="417">
        <f t="shared" si="236"/>
        <v>0</v>
      </c>
      <c r="X152" s="417">
        <v>0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 t="shared" si="237"/>
        <v>0</v>
      </c>
      <c r="AF152" s="417">
        <f t="shared" si="238"/>
        <v>0</v>
      </c>
      <c r="AG152" s="417">
        <f t="shared" si="239"/>
        <v>0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240"/>
        <v>0</v>
      </c>
      <c r="AN152" s="417">
        <f t="shared" si="241"/>
        <v>0</v>
      </c>
      <c r="AO152" s="417">
        <f t="shared" si="242"/>
        <v>0</v>
      </c>
      <c r="AP152" s="417">
        <f t="shared" si="243"/>
        <v>0</v>
      </c>
      <c r="AQ152" s="417">
        <f t="shared" si="243"/>
        <v>0</v>
      </c>
      <c r="AR152" s="417">
        <f t="shared" si="244"/>
        <v>0</v>
      </c>
      <c r="AS152" s="68">
        <f t="shared" si="245"/>
        <v>0</v>
      </c>
      <c r="AT152" s="68">
        <f t="shared" si="246"/>
        <v>0</v>
      </c>
      <c r="AU152" s="417">
        <v>0</v>
      </c>
      <c r="AV152" s="417">
        <v>0</v>
      </c>
      <c r="AW152" s="417">
        <v>0</v>
      </c>
      <c r="AX152" s="417">
        <f t="shared" si="247"/>
        <v>0</v>
      </c>
      <c r="AY152" s="417">
        <f t="shared" si="248"/>
        <v>0</v>
      </c>
      <c r="AZ152" s="418">
        <v>0</v>
      </c>
      <c r="BA152" s="418">
        <v>0</v>
      </c>
      <c r="BB152" s="418">
        <v>0</v>
      </c>
      <c r="BC152" s="418">
        <v>0</v>
      </c>
      <c r="BD152" s="418">
        <v>0</v>
      </c>
      <c r="BE152" s="418">
        <v>0</v>
      </c>
      <c r="BF152" s="418">
        <v>0</v>
      </c>
      <c r="BG152" s="418">
        <v>0</v>
      </c>
      <c r="BH152" s="418">
        <v>0</v>
      </c>
      <c r="BI152" s="418">
        <f t="shared" si="249"/>
        <v>0</v>
      </c>
      <c r="BJ152" s="418">
        <f t="shared" si="250"/>
        <v>0</v>
      </c>
      <c r="BK152" s="420">
        <f t="shared" si="251"/>
        <v>0</v>
      </c>
      <c r="BL152" s="772">
        <f>I152+AY152</f>
        <v>3808141</v>
      </c>
      <c r="BM152" s="417">
        <f>J152+AG152</f>
        <v>2811084</v>
      </c>
      <c r="BN152" s="417">
        <f t="shared" ref="BN152:BO154" si="267">K152+AE152</f>
        <v>2464883</v>
      </c>
      <c r="BO152" s="417">
        <f t="shared" si="267"/>
        <v>346201</v>
      </c>
      <c r="BP152" s="417">
        <f>M152+AO152</f>
        <v>0</v>
      </c>
      <c r="BQ152" s="417">
        <f t="shared" ref="BQ152:BR154" si="268">N152+AM152</f>
        <v>0</v>
      </c>
      <c r="BR152" s="417">
        <f t="shared" si="268"/>
        <v>0</v>
      </c>
      <c r="BS152" s="417">
        <f t="shared" ref="BS152:BT154" si="269">P152+AS152</f>
        <v>950146</v>
      </c>
      <c r="BT152" s="417">
        <f t="shared" si="269"/>
        <v>28111</v>
      </c>
      <c r="BU152" s="417">
        <f>R152+AX152</f>
        <v>18800</v>
      </c>
      <c r="BV152" s="418">
        <f>S152+BK152</f>
        <v>5.1781000000000006</v>
      </c>
      <c r="BW152" s="418">
        <f t="shared" ref="BW152:BX154" si="270">T152+BI152</f>
        <v>4</v>
      </c>
      <c r="BX152" s="420">
        <f t="shared" si="270"/>
        <v>1.1781000000000001</v>
      </c>
      <c r="BY152" s="998"/>
      <c r="BZ152" s="983"/>
      <c r="CA152" s="983"/>
      <c r="CB152" s="983"/>
      <c r="CC152" s="983"/>
      <c r="CD152" s="984"/>
      <c r="CE152" s="841">
        <v>155988</v>
      </c>
      <c r="CF152" s="729">
        <v>111081</v>
      </c>
      <c r="CG152" s="729">
        <v>37545</v>
      </c>
      <c r="CH152" s="729">
        <v>1111</v>
      </c>
      <c r="CI152" s="729">
        <v>6251</v>
      </c>
      <c r="CJ152" s="828">
        <v>0.378</v>
      </c>
    </row>
    <row r="153" spans="1:88" ht="12.95" customHeight="1">
      <c r="A153" s="280">
        <v>28</v>
      </c>
      <c r="B153" s="321">
        <v>5472</v>
      </c>
      <c r="C153" s="322">
        <v>600098672</v>
      </c>
      <c r="D153" s="281">
        <v>72743565</v>
      </c>
      <c r="E153" s="323" t="s">
        <v>405</v>
      </c>
      <c r="F153" s="281">
        <v>3111</v>
      </c>
      <c r="G153" s="323" t="s">
        <v>298</v>
      </c>
      <c r="H153" s="284" t="s">
        <v>272</v>
      </c>
      <c r="I153" s="419">
        <v>212899</v>
      </c>
      <c r="J153" s="414">
        <v>157937</v>
      </c>
      <c r="K153" s="414">
        <v>157937</v>
      </c>
      <c r="L153" s="414">
        <v>0</v>
      </c>
      <c r="M153" s="414">
        <v>0</v>
      </c>
      <c r="N153" s="414">
        <v>0</v>
      </c>
      <c r="O153" s="414">
        <v>0</v>
      </c>
      <c r="P153" s="68">
        <v>53383</v>
      </c>
      <c r="Q153" s="68">
        <v>1579</v>
      </c>
      <c r="R153" s="414">
        <v>0</v>
      </c>
      <c r="S153" s="415">
        <v>0.43000000000000005</v>
      </c>
      <c r="T153" s="416">
        <v>0.43000000000000005</v>
      </c>
      <c r="U153" s="422">
        <v>0</v>
      </c>
      <c r="V153" s="423">
        <f t="shared" si="236"/>
        <v>0</v>
      </c>
      <c r="W153" s="417">
        <f t="shared" si="236"/>
        <v>0</v>
      </c>
      <c r="X153" s="417">
        <v>0</v>
      </c>
      <c r="Y153" s="417">
        <v>0</v>
      </c>
      <c r="Z153" s="417">
        <v>0</v>
      </c>
      <c r="AA153" s="417">
        <v>0</v>
      </c>
      <c r="AB153" s="417">
        <v>0</v>
      </c>
      <c r="AC153" s="417">
        <v>0</v>
      </c>
      <c r="AD153" s="417">
        <v>0</v>
      </c>
      <c r="AE153" s="417">
        <f t="shared" si="237"/>
        <v>0</v>
      </c>
      <c r="AF153" s="417">
        <f t="shared" si="238"/>
        <v>0</v>
      </c>
      <c r="AG153" s="417">
        <f t="shared" si="239"/>
        <v>0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240"/>
        <v>0</v>
      </c>
      <c r="AN153" s="417">
        <f t="shared" si="241"/>
        <v>0</v>
      </c>
      <c r="AO153" s="417">
        <f t="shared" si="242"/>
        <v>0</v>
      </c>
      <c r="AP153" s="417">
        <f t="shared" si="243"/>
        <v>0</v>
      </c>
      <c r="AQ153" s="417">
        <f t="shared" si="243"/>
        <v>0</v>
      </c>
      <c r="AR153" s="417">
        <f t="shared" si="244"/>
        <v>0</v>
      </c>
      <c r="AS153" s="68">
        <f t="shared" si="245"/>
        <v>0</v>
      </c>
      <c r="AT153" s="68">
        <f t="shared" si="246"/>
        <v>0</v>
      </c>
      <c r="AU153" s="417">
        <v>0</v>
      </c>
      <c r="AV153" s="417">
        <v>0</v>
      </c>
      <c r="AW153" s="417">
        <v>0</v>
      </c>
      <c r="AX153" s="417">
        <f t="shared" si="247"/>
        <v>0</v>
      </c>
      <c r="AY153" s="417">
        <f t="shared" si="248"/>
        <v>0</v>
      </c>
      <c r="AZ153" s="418">
        <v>0</v>
      </c>
      <c r="BA153" s="418">
        <v>0</v>
      </c>
      <c r="BB153" s="418">
        <v>0</v>
      </c>
      <c r="BC153" s="418">
        <v>0</v>
      </c>
      <c r="BD153" s="418">
        <v>0</v>
      </c>
      <c r="BE153" s="418">
        <v>0</v>
      </c>
      <c r="BF153" s="418">
        <v>0</v>
      </c>
      <c r="BG153" s="418">
        <v>0</v>
      </c>
      <c r="BH153" s="418">
        <v>0</v>
      </c>
      <c r="BI153" s="418">
        <f t="shared" si="249"/>
        <v>0</v>
      </c>
      <c r="BJ153" s="418">
        <f t="shared" si="250"/>
        <v>0</v>
      </c>
      <c r="BK153" s="420">
        <f t="shared" si="251"/>
        <v>0</v>
      </c>
      <c r="BL153" s="772">
        <f>I153+AY153</f>
        <v>212899</v>
      </c>
      <c r="BM153" s="417">
        <f>J153+AG153</f>
        <v>157937</v>
      </c>
      <c r="BN153" s="417">
        <f t="shared" si="267"/>
        <v>157937</v>
      </c>
      <c r="BO153" s="417">
        <f t="shared" si="267"/>
        <v>0</v>
      </c>
      <c r="BP153" s="417">
        <f>M153+AO153</f>
        <v>0</v>
      </c>
      <c r="BQ153" s="417">
        <f t="shared" si="268"/>
        <v>0</v>
      </c>
      <c r="BR153" s="417">
        <f t="shared" si="268"/>
        <v>0</v>
      </c>
      <c r="BS153" s="417">
        <f t="shared" si="269"/>
        <v>53383</v>
      </c>
      <c r="BT153" s="417">
        <f t="shared" si="269"/>
        <v>1579</v>
      </c>
      <c r="BU153" s="417">
        <f>R153+AX153</f>
        <v>0</v>
      </c>
      <c r="BV153" s="418">
        <f>S153+BK153</f>
        <v>0.43000000000000005</v>
      </c>
      <c r="BW153" s="418">
        <f t="shared" si="270"/>
        <v>0.43000000000000005</v>
      </c>
      <c r="BX153" s="420">
        <f t="shared" si="270"/>
        <v>0</v>
      </c>
      <c r="BY153" s="998"/>
      <c r="BZ153" s="983"/>
      <c r="CA153" s="983"/>
      <c r="CB153" s="983"/>
      <c r="CC153" s="983"/>
      <c r="CD153" s="984"/>
      <c r="CE153" s="841"/>
      <c r="CF153" s="729"/>
      <c r="CG153" s="729"/>
      <c r="CH153" s="729"/>
      <c r="CI153" s="729"/>
      <c r="CJ153" s="828"/>
    </row>
    <row r="154" spans="1:88" ht="12.95" customHeight="1">
      <c r="A154" s="280">
        <v>28</v>
      </c>
      <c r="B154" s="321">
        <v>5472</v>
      </c>
      <c r="C154" s="322">
        <v>600098672</v>
      </c>
      <c r="D154" s="281">
        <v>72743565</v>
      </c>
      <c r="E154" s="323" t="s">
        <v>405</v>
      </c>
      <c r="F154" s="281">
        <v>3141</v>
      </c>
      <c r="G154" s="323" t="s">
        <v>294</v>
      </c>
      <c r="H154" s="284" t="s">
        <v>272</v>
      </c>
      <c r="I154" s="419">
        <v>666853</v>
      </c>
      <c r="J154" s="414">
        <v>492886</v>
      </c>
      <c r="K154" s="414">
        <v>0</v>
      </c>
      <c r="L154" s="414">
        <v>492886</v>
      </c>
      <c r="M154" s="414">
        <v>0</v>
      </c>
      <c r="N154" s="414">
        <v>0</v>
      </c>
      <c r="O154" s="414">
        <v>0</v>
      </c>
      <c r="P154" s="68">
        <v>166595</v>
      </c>
      <c r="Q154" s="68">
        <v>4928</v>
      </c>
      <c r="R154" s="414">
        <v>2444</v>
      </c>
      <c r="S154" s="415">
        <v>1.4767000000000001</v>
      </c>
      <c r="T154" s="416">
        <v>0</v>
      </c>
      <c r="U154" s="422">
        <v>1.4767000000000001</v>
      </c>
      <c r="V154" s="423">
        <f t="shared" si="236"/>
        <v>0</v>
      </c>
      <c r="W154" s="417">
        <f t="shared" si="236"/>
        <v>0</v>
      </c>
      <c r="X154" s="417">
        <v>0</v>
      </c>
      <c r="Y154" s="417">
        <v>0</v>
      </c>
      <c r="Z154" s="417">
        <v>0</v>
      </c>
      <c r="AA154" s="417">
        <v>-12301</v>
      </c>
      <c r="AB154" s="417">
        <v>0</v>
      </c>
      <c r="AC154" s="417">
        <v>0</v>
      </c>
      <c r="AD154" s="417">
        <v>0</v>
      </c>
      <c r="AE154" s="417">
        <f t="shared" si="237"/>
        <v>0</v>
      </c>
      <c r="AF154" s="417">
        <f t="shared" si="238"/>
        <v>-12301</v>
      </c>
      <c r="AG154" s="417">
        <f t="shared" si="239"/>
        <v>-12301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240"/>
        <v>0</v>
      </c>
      <c r="AN154" s="417">
        <f t="shared" si="241"/>
        <v>0</v>
      </c>
      <c r="AO154" s="417">
        <f t="shared" si="242"/>
        <v>0</v>
      </c>
      <c r="AP154" s="417">
        <f t="shared" si="243"/>
        <v>0</v>
      </c>
      <c r="AQ154" s="417">
        <f t="shared" si="243"/>
        <v>-12301</v>
      </c>
      <c r="AR154" s="417">
        <f t="shared" si="244"/>
        <v>-12301</v>
      </c>
      <c r="AS154" s="68">
        <f t="shared" si="245"/>
        <v>-4158</v>
      </c>
      <c r="AT154" s="68">
        <f t="shared" si="246"/>
        <v>-123</v>
      </c>
      <c r="AU154" s="417">
        <v>0</v>
      </c>
      <c r="AV154" s="417">
        <v>0</v>
      </c>
      <c r="AW154" s="417">
        <v>0</v>
      </c>
      <c r="AX154" s="417">
        <f t="shared" si="247"/>
        <v>0</v>
      </c>
      <c r="AY154" s="417">
        <f t="shared" si="248"/>
        <v>-16582</v>
      </c>
      <c r="AZ154" s="418">
        <v>0</v>
      </c>
      <c r="BA154" s="418">
        <v>0</v>
      </c>
      <c r="BB154" s="418">
        <v>0</v>
      </c>
      <c r="BC154" s="418">
        <v>0</v>
      </c>
      <c r="BD154" s="418">
        <v>-0.03</v>
      </c>
      <c r="BE154" s="418">
        <v>0</v>
      </c>
      <c r="BF154" s="418">
        <v>0</v>
      </c>
      <c r="BG154" s="418">
        <v>0</v>
      </c>
      <c r="BH154" s="418">
        <v>0</v>
      </c>
      <c r="BI154" s="418">
        <f t="shared" si="249"/>
        <v>0</v>
      </c>
      <c r="BJ154" s="418">
        <f t="shared" si="250"/>
        <v>-0.03</v>
      </c>
      <c r="BK154" s="420">
        <f t="shared" si="251"/>
        <v>-0.03</v>
      </c>
      <c r="BL154" s="772">
        <f>I154+AY154</f>
        <v>650271</v>
      </c>
      <c r="BM154" s="417">
        <f>J154+AG154</f>
        <v>480585</v>
      </c>
      <c r="BN154" s="417">
        <f t="shared" si="267"/>
        <v>0</v>
      </c>
      <c r="BO154" s="417">
        <f t="shared" si="267"/>
        <v>480585</v>
      </c>
      <c r="BP154" s="417">
        <f>M154+AO154</f>
        <v>0</v>
      </c>
      <c r="BQ154" s="417">
        <f t="shared" si="268"/>
        <v>0</v>
      </c>
      <c r="BR154" s="417">
        <f t="shared" si="268"/>
        <v>0</v>
      </c>
      <c r="BS154" s="417">
        <f t="shared" si="269"/>
        <v>162437</v>
      </c>
      <c r="BT154" s="417">
        <f t="shared" si="269"/>
        <v>4805</v>
      </c>
      <c r="BU154" s="417">
        <f>R154+AX154</f>
        <v>2444</v>
      </c>
      <c r="BV154" s="418">
        <f>S154+BK154</f>
        <v>1.4467000000000001</v>
      </c>
      <c r="BW154" s="418">
        <f t="shared" si="270"/>
        <v>0</v>
      </c>
      <c r="BX154" s="420">
        <f t="shared" si="270"/>
        <v>1.4467000000000001</v>
      </c>
      <c r="BY154" s="998"/>
      <c r="BZ154" s="983"/>
      <c r="CA154" s="983"/>
      <c r="CB154" s="983"/>
      <c r="CC154" s="983"/>
      <c r="CD154" s="984"/>
      <c r="CE154" s="841"/>
      <c r="CF154" s="729"/>
      <c r="CG154" s="729"/>
      <c r="CH154" s="729"/>
      <c r="CI154" s="729"/>
      <c r="CJ154" s="828"/>
    </row>
    <row r="155" spans="1:88" ht="12.95" customHeight="1">
      <c r="A155" s="324">
        <v>28</v>
      </c>
      <c r="B155" s="325">
        <v>5472</v>
      </c>
      <c r="C155" s="326">
        <v>600098672</v>
      </c>
      <c r="D155" s="325">
        <v>72743565</v>
      </c>
      <c r="E155" s="327" t="s">
        <v>406</v>
      </c>
      <c r="F155" s="291"/>
      <c r="G155" s="329"/>
      <c r="H155" s="292"/>
      <c r="I155" s="465">
        <v>4687893</v>
      </c>
      <c r="J155" s="462">
        <v>3461907</v>
      </c>
      <c r="K155" s="462">
        <v>2622820</v>
      </c>
      <c r="L155" s="462">
        <v>839087</v>
      </c>
      <c r="M155" s="462">
        <v>0</v>
      </c>
      <c r="N155" s="462">
        <v>0</v>
      </c>
      <c r="O155" s="462">
        <v>0</v>
      </c>
      <c r="P155" s="462">
        <v>1170124</v>
      </c>
      <c r="Q155" s="462">
        <v>34618</v>
      </c>
      <c r="R155" s="462">
        <v>21244</v>
      </c>
      <c r="S155" s="463">
        <v>7.0848000000000004</v>
      </c>
      <c r="T155" s="463">
        <v>4.43</v>
      </c>
      <c r="U155" s="533">
        <v>2.6548000000000003</v>
      </c>
      <c r="V155" s="465">
        <f t="shared" ref="V155:BK155" si="271">SUM(V152:V154)</f>
        <v>0</v>
      </c>
      <c r="W155" s="462">
        <f t="shared" si="271"/>
        <v>0</v>
      </c>
      <c r="X155" s="462">
        <f t="shared" si="271"/>
        <v>0</v>
      </c>
      <c r="Y155" s="462">
        <f t="shared" si="271"/>
        <v>0</v>
      </c>
      <c r="Z155" s="462">
        <f t="shared" si="271"/>
        <v>0</v>
      </c>
      <c r="AA155" s="462">
        <f t="shared" si="271"/>
        <v>-12301</v>
      </c>
      <c r="AB155" s="462">
        <f t="shared" si="271"/>
        <v>0</v>
      </c>
      <c r="AC155" s="462">
        <f t="shared" si="271"/>
        <v>0</v>
      </c>
      <c r="AD155" s="462">
        <f t="shared" si="271"/>
        <v>0</v>
      </c>
      <c r="AE155" s="462">
        <f t="shared" si="271"/>
        <v>0</v>
      </c>
      <c r="AF155" s="462">
        <f t="shared" si="271"/>
        <v>-12301</v>
      </c>
      <c r="AG155" s="462">
        <f t="shared" si="271"/>
        <v>-12301</v>
      </c>
      <c r="AH155" s="462">
        <f t="shared" si="271"/>
        <v>0</v>
      </c>
      <c r="AI155" s="462">
        <f t="shared" si="271"/>
        <v>0</v>
      </c>
      <c r="AJ155" s="462">
        <f t="shared" si="271"/>
        <v>0</v>
      </c>
      <c r="AK155" s="462">
        <f t="shared" si="271"/>
        <v>0</v>
      </c>
      <c r="AL155" s="462">
        <f t="shared" si="271"/>
        <v>0</v>
      </c>
      <c r="AM155" s="462">
        <f t="shared" si="271"/>
        <v>0</v>
      </c>
      <c r="AN155" s="462">
        <f t="shared" si="271"/>
        <v>0</v>
      </c>
      <c r="AO155" s="462">
        <f t="shared" si="271"/>
        <v>0</v>
      </c>
      <c r="AP155" s="462">
        <f t="shared" si="271"/>
        <v>0</v>
      </c>
      <c r="AQ155" s="462">
        <f t="shared" si="271"/>
        <v>-12301</v>
      </c>
      <c r="AR155" s="462">
        <f t="shared" si="271"/>
        <v>-12301</v>
      </c>
      <c r="AS155" s="462">
        <f t="shared" si="271"/>
        <v>-4158</v>
      </c>
      <c r="AT155" s="462">
        <f t="shared" si="271"/>
        <v>-123</v>
      </c>
      <c r="AU155" s="462">
        <f t="shared" si="271"/>
        <v>0</v>
      </c>
      <c r="AV155" s="462">
        <f t="shared" si="271"/>
        <v>0</v>
      </c>
      <c r="AW155" s="462">
        <f t="shared" si="271"/>
        <v>0</v>
      </c>
      <c r="AX155" s="462">
        <f t="shared" si="271"/>
        <v>0</v>
      </c>
      <c r="AY155" s="462">
        <f t="shared" si="271"/>
        <v>-16582</v>
      </c>
      <c r="AZ155" s="463">
        <f t="shared" si="271"/>
        <v>0</v>
      </c>
      <c r="BA155" s="463">
        <f t="shared" si="271"/>
        <v>0</v>
      </c>
      <c r="BB155" s="463">
        <f t="shared" si="271"/>
        <v>0</v>
      </c>
      <c r="BC155" s="463">
        <f t="shared" si="271"/>
        <v>0</v>
      </c>
      <c r="BD155" s="463">
        <f t="shared" si="271"/>
        <v>-0.03</v>
      </c>
      <c r="BE155" s="463">
        <f t="shared" si="271"/>
        <v>0</v>
      </c>
      <c r="BF155" s="463">
        <f t="shared" si="271"/>
        <v>0</v>
      </c>
      <c r="BG155" s="463">
        <f t="shared" si="271"/>
        <v>0</v>
      </c>
      <c r="BH155" s="463">
        <f t="shared" si="271"/>
        <v>0</v>
      </c>
      <c r="BI155" s="463">
        <f t="shared" si="271"/>
        <v>0</v>
      </c>
      <c r="BJ155" s="463">
        <f t="shared" si="271"/>
        <v>-0.03</v>
      </c>
      <c r="BK155" s="290">
        <f t="shared" si="271"/>
        <v>-0.03</v>
      </c>
      <c r="BL155" s="776">
        <f t="shared" ref="BL155:CG155" si="272">SUM(BL152:BL154)</f>
        <v>4671311</v>
      </c>
      <c r="BM155" s="462">
        <f t="shared" si="272"/>
        <v>3449606</v>
      </c>
      <c r="BN155" s="462">
        <f t="shared" si="272"/>
        <v>2622820</v>
      </c>
      <c r="BO155" s="462">
        <f t="shared" si="272"/>
        <v>826786</v>
      </c>
      <c r="BP155" s="462">
        <f t="shared" si="272"/>
        <v>0</v>
      </c>
      <c r="BQ155" s="462">
        <f t="shared" si="272"/>
        <v>0</v>
      </c>
      <c r="BR155" s="462">
        <f t="shared" si="272"/>
        <v>0</v>
      </c>
      <c r="BS155" s="462">
        <f t="shared" si="272"/>
        <v>1165966</v>
      </c>
      <c r="BT155" s="462">
        <f t="shared" si="272"/>
        <v>34495</v>
      </c>
      <c r="BU155" s="462">
        <f t="shared" si="272"/>
        <v>21244</v>
      </c>
      <c r="BV155" s="463">
        <f t="shared" si="272"/>
        <v>7.0548000000000002</v>
      </c>
      <c r="BW155" s="463">
        <f t="shared" si="272"/>
        <v>4.43</v>
      </c>
      <c r="BX155" s="290">
        <f t="shared" si="272"/>
        <v>2.6248000000000005</v>
      </c>
      <c r="BY155" s="843">
        <f t="shared" si="272"/>
        <v>0</v>
      </c>
      <c r="BZ155" s="716">
        <f t="shared" si="272"/>
        <v>0</v>
      </c>
      <c r="CA155" s="716">
        <f t="shared" si="272"/>
        <v>0</v>
      </c>
      <c r="CB155" s="716">
        <f t="shared" si="272"/>
        <v>0</v>
      </c>
      <c r="CC155" s="716">
        <f t="shared" si="272"/>
        <v>0</v>
      </c>
      <c r="CD155" s="821">
        <f t="shared" si="272"/>
        <v>0</v>
      </c>
      <c r="CE155" s="1001">
        <f t="shared" si="272"/>
        <v>155988</v>
      </c>
      <c r="CF155" s="1001">
        <f t="shared" si="272"/>
        <v>111081</v>
      </c>
      <c r="CG155" s="1001">
        <f t="shared" si="272"/>
        <v>37545</v>
      </c>
      <c r="CH155" s="1001">
        <f t="shared" ref="CH155:CJ155" si="273">SUM(CH152:CH154)</f>
        <v>1111</v>
      </c>
      <c r="CI155" s="1001">
        <f t="shared" si="273"/>
        <v>6251</v>
      </c>
      <c r="CJ155" s="935">
        <f t="shared" si="273"/>
        <v>0.378</v>
      </c>
    </row>
    <row r="156" spans="1:88" ht="12.95" customHeight="1">
      <c r="A156" s="280">
        <v>29</v>
      </c>
      <c r="B156" s="321">
        <v>5471</v>
      </c>
      <c r="C156" s="322">
        <v>600099229</v>
      </c>
      <c r="D156" s="281">
        <v>72743646</v>
      </c>
      <c r="E156" s="323" t="s">
        <v>407</v>
      </c>
      <c r="F156" s="281">
        <v>3113</v>
      </c>
      <c r="G156" s="323" t="s">
        <v>308</v>
      </c>
      <c r="H156" s="284" t="s">
        <v>271</v>
      </c>
      <c r="I156" s="419">
        <v>13797109</v>
      </c>
      <c r="J156" s="414">
        <v>10068141</v>
      </c>
      <c r="K156" s="414">
        <v>8794003</v>
      </c>
      <c r="L156" s="414">
        <v>1274138</v>
      </c>
      <c r="M156" s="414">
        <v>10000</v>
      </c>
      <c r="N156" s="414">
        <v>10000</v>
      </c>
      <c r="O156" s="414">
        <v>0</v>
      </c>
      <c r="P156" s="68">
        <v>3406411</v>
      </c>
      <c r="Q156" s="68">
        <v>100682</v>
      </c>
      <c r="R156" s="414">
        <v>211875</v>
      </c>
      <c r="S156" s="415">
        <v>16.187799999999999</v>
      </c>
      <c r="T156" s="416">
        <v>12.5457</v>
      </c>
      <c r="U156" s="422">
        <v>3.6421000000000001</v>
      </c>
      <c r="V156" s="423">
        <f t="shared" si="236"/>
        <v>5000</v>
      </c>
      <c r="W156" s="417">
        <f t="shared" si="236"/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 t="shared" si="237"/>
        <v>5000</v>
      </c>
      <c r="AF156" s="417">
        <f t="shared" si="238"/>
        <v>0</v>
      </c>
      <c r="AG156" s="417">
        <f t="shared" si="239"/>
        <v>5000</v>
      </c>
      <c r="AH156" s="417">
        <v>-5000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40"/>
        <v>-5000</v>
      </c>
      <c r="AN156" s="417">
        <f t="shared" si="241"/>
        <v>0</v>
      </c>
      <c r="AO156" s="417">
        <f t="shared" si="242"/>
        <v>-5000</v>
      </c>
      <c r="AP156" s="417">
        <f t="shared" si="243"/>
        <v>0</v>
      </c>
      <c r="AQ156" s="417">
        <f t="shared" si="243"/>
        <v>0</v>
      </c>
      <c r="AR156" s="417">
        <f t="shared" si="244"/>
        <v>0</v>
      </c>
      <c r="AS156" s="68">
        <f t="shared" si="245"/>
        <v>0</v>
      </c>
      <c r="AT156" s="68">
        <f t="shared" si="246"/>
        <v>50</v>
      </c>
      <c r="AU156" s="417">
        <v>0</v>
      </c>
      <c r="AV156" s="417">
        <v>0</v>
      </c>
      <c r="AW156" s="417">
        <v>0</v>
      </c>
      <c r="AX156" s="417">
        <f t="shared" si="247"/>
        <v>0</v>
      </c>
      <c r="AY156" s="417">
        <f t="shared" si="248"/>
        <v>50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418">
        <v>0</v>
      </c>
      <c r="BG156" s="418">
        <v>0</v>
      </c>
      <c r="BH156" s="418">
        <v>0</v>
      </c>
      <c r="BI156" s="418">
        <f t="shared" si="249"/>
        <v>0</v>
      </c>
      <c r="BJ156" s="418">
        <f t="shared" si="250"/>
        <v>0</v>
      </c>
      <c r="BK156" s="420">
        <f t="shared" si="251"/>
        <v>0</v>
      </c>
      <c r="BL156" s="772">
        <f>I156+AY156</f>
        <v>13797159</v>
      </c>
      <c r="BM156" s="417">
        <f>J156+AG156</f>
        <v>10073141</v>
      </c>
      <c r="BN156" s="417">
        <f t="shared" ref="BN156:BO160" si="274">K156+AE156</f>
        <v>8799003</v>
      </c>
      <c r="BO156" s="417">
        <f t="shared" si="274"/>
        <v>1274138</v>
      </c>
      <c r="BP156" s="417">
        <f>M156+AO156</f>
        <v>5000</v>
      </c>
      <c r="BQ156" s="417">
        <f t="shared" ref="BQ156:BR160" si="275">N156+AM156</f>
        <v>5000</v>
      </c>
      <c r="BR156" s="417">
        <f t="shared" si="275"/>
        <v>0</v>
      </c>
      <c r="BS156" s="417">
        <f t="shared" ref="BS156:BT160" si="276">P156+AS156</f>
        <v>3406411</v>
      </c>
      <c r="BT156" s="417">
        <f t="shared" si="276"/>
        <v>100732</v>
      </c>
      <c r="BU156" s="417">
        <f>R156+AX156</f>
        <v>211875</v>
      </c>
      <c r="BV156" s="418">
        <f>S156+BK156</f>
        <v>16.187799999999999</v>
      </c>
      <c r="BW156" s="418">
        <f t="shared" ref="BW156:BX160" si="277">T156+BI156</f>
        <v>12.5457</v>
      </c>
      <c r="BX156" s="420">
        <f t="shared" si="277"/>
        <v>3.6421000000000001</v>
      </c>
      <c r="BY156" s="998"/>
      <c r="BZ156" s="983"/>
      <c r="CA156" s="983"/>
      <c r="CB156" s="983"/>
      <c r="CC156" s="983"/>
      <c r="CD156" s="984"/>
      <c r="CE156" s="841">
        <v>600898</v>
      </c>
      <c r="CF156" s="729">
        <v>408960</v>
      </c>
      <c r="CG156" s="729">
        <v>138228</v>
      </c>
      <c r="CH156" s="729">
        <v>4090</v>
      </c>
      <c r="CI156" s="729">
        <v>49620</v>
      </c>
      <c r="CJ156" s="828">
        <v>1.1691</v>
      </c>
    </row>
    <row r="157" spans="1:88" ht="12.95" customHeight="1">
      <c r="A157" s="280">
        <v>29</v>
      </c>
      <c r="B157" s="321">
        <v>5471</v>
      </c>
      <c r="C157" s="322">
        <v>600099229</v>
      </c>
      <c r="D157" s="281">
        <v>72743646</v>
      </c>
      <c r="E157" s="323" t="s">
        <v>407</v>
      </c>
      <c r="F157" s="281">
        <v>3113</v>
      </c>
      <c r="G157" s="323" t="s">
        <v>298</v>
      </c>
      <c r="H157" s="284" t="s">
        <v>272</v>
      </c>
      <c r="I157" s="419">
        <v>991557</v>
      </c>
      <c r="J157" s="414">
        <v>731422</v>
      </c>
      <c r="K157" s="414">
        <v>731422</v>
      </c>
      <c r="L157" s="414">
        <v>0</v>
      </c>
      <c r="M157" s="414">
        <v>0</v>
      </c>
      <c r="N157" s="414">
        <v>0</v>
      </c>
      <c r="O157" s="414">
        <v>0</v>
      </c>
      <c r="P157" s="68">
        <v>247221</v>
      </c>
      <c r="Q157" s="68">
        <v>7314</v>
      </c>
      <c r="R157" s="414">
        <v>5600</v>
      </c>
      <c r="S157" s="415">
        <v>2.0100000000000002</v>
      </c>
      <c r="T157" s="416">
        <v>2.0100000000000002</v>
      </c>
      <c r="U157" s="422">
        <v>0</v>
      </c>
      <c r="V157" s="423">
        <f t="shared" si="236"/>
        <v>0</v>
      </c>
      <c r="W157" s="417">
        <f t="shared" si="236"/>
        <v>0</v>
      </c>
      <c r="X157" s="417">
        <v>-12379</v>
      </c>
      <c r="Y157" s="417">
        <v>0</v>
      </c>
      <c r="Z157" s="417">
        <v>0</v>
      </c>
      <c r="AA157" s="417">
        <v>0</v>
      </c>
      <c r="AB157" s="417">
        <v>0</v>
      </c>
      <c r="AC157" s="417">
        <v>0</v>
      </c>
      <c r="AD157" s="417">
        <v>0</v>
      </c>
      <c r="AE157" s="417">
        <f t="shared" si="237"/>
        <v>-12379</v>
      </c>
      <c r="AF157" s="417">
        <f t="shared" si="238"/>
        <v>0</v>
      </c>
      <c r="AG157" s="417">
        <f t="shared" si="239"/>
        <v>-12379</v>
      </c>
      <c r="AH157" s="417">
        <v>0</v>
      </c>
      <c r="AI157" s="417">
        <v>0</v>
      </c>
      <c r="AJ157" s="417">
        <v>0</v>
      </c>
      <c r="AK157" s="417">
        <v>0</v>
      </c>
      <c r="AL157" s="417">
        <v>0</v>
      </c>
      <c r="AM157" s="417">
        <f t="shared" si="240"/>
        <v>0</v>
      </c>
      <c r="AN157" s="417">
        <f t="shared" si="241"/>
        <v>0</v>
      </c>
      <c r="AO157" s="417">
        <f t="shared" si="242"/>
        <v>0</v>
      </c>
      <c r="AP157" s="417">
        <f t="shared" si="243"/>
        <v>-12379</v>
      </c>
      <c r="AQ157" s="417">
        <f t="shared" si="243"/>
        <v>0</v>
      </c>
      <c r="AR157" s="417">
        <f t="shared" si="244"/>
        <v>-12379</v>
      </c>
      <c r="AS157" s="68">
        <f t="shared" si="245"/>
        <v>-4184</v>
      </c>
      <c r="AT157" s="68">
        <f t="shared" si="246"/>
        <v>-124</v>
      </c>
      <c r="AU157" s="417">
        <v>0</v>
      </c>
      <c r="AV157" s="417">
        <v>0</v>
      </c>
      <c r="AW157" s="417">
        <v>0</v>
      </c>
      <c r="AX157" s="417">
        <f t="shared" si="247"/>
        <v>0</v>
      </c>
      <c r="AY157" s="417">
        <f t="shared" si="248"/>
        <v>-16687</v>
      </c>
      <c r="AZ157" s="418">
        <v>0</v>
      </c>
      <c r="BA157" s="418">
        <v>0</v>
      </c>
      <c r="BB157" s="418">
        <v>0</v>
      </c>
      <c r="BC157" s="418">
        <v>0</v>
      </c>
      <c r="BD157" s="418">
        <v>0</v>
      </c>
      <c r="BE157" s="418">
        <v>0</v>
      </c>
      <c r="BF157" s="418">
        <v>0</v>
      </c>
      <c r="BG157" s="418">
        <v>0</v>
      </c>
      <c r="BH157" s="418">
        <v>0</v>
      </c>
      <c r="BI157" s="418">
        <f t="shared" si="249"/>
        <v>0</v>
      </c>
      <c r="BJ157" s="418">
        <f t="shared" si="250"/>
        <v>0</v>
      </c>
      <c r="BK157" s="420">
        <f t="shared" si="251"/>
        <v>0</v>
      </c>
      <c r="BL157" s="772">
        <f>I157+AY157</f>
        <v>974870</v>
      </c>
      <c r="BM157" s="417">
        <f>J157+AG157</f>
        <v>719043</v>
      </c>
      <c r="BN157" s="417">
        <f t="shared" si="274"/>
        <v>719043</v>
      </c>
      <c r="BO157" s="417">
        <f t="shared" si="274"/>
        <v>0</v>
      </c>
      <c r="BP157" s="417">
        <f>M157+AO157</f>
        <v>0</v>
      </c>
      <c r="BQ157" s="417">
        <f t="shared" si="275"/>
        <v>0</v>
      </c>
      <c r="BR157" s="417">
        <f t="shared" si="275"/>
        <v>0</v>
      </c>
      <c r="BS157" s="417">
        <f t="shared" si="276"/>
        <v>243037</v>
      </c>
      <c r="BT157" s="417">
        <f t="shared" si="276"/>
        <v>7190</v>
      </c>
      <c r="BU157" s="417">
        <f>R157+AX157</f>
        <v>5600</v>
      </c>
      <c r="BV157" s="418">
        <f>S157+BK157</f>
        <v>2.0100000000000002</v>
      </c>
      <c r="BW157" s="418">
        <f t="shared" si="277"/>
        <v>2.0100000000000002</v>
      </c>
      <c r="BX157" s="420">
        <f t="shared" si="277"/>
        <v>0</v>
      </c>
      <c r="BY157" s="998"/>
      <c r="BZ157" s="983"/>
      <c r="CA157" s="983"/>
      <c r="CB157" s="983"/>
      <c r="CC157" s="983"/>
      <c r="CD157" s="984"/>
      <c r="CE157" s="841"/>
      <c r="CF157" s="729"/>
      <c r="CG157" s="729"/>
      <c r="CH157" s="729"/>
      <c r="CI157" s="729"/>
      <c r="CJ157" s="828"/>
    </row>
    <row r="158" spans="1:88" ht="12.95" customHeight="1">
      <c r="A158" s="280">
        <v>29</v>
      </c>
      <c r="B158" s="321">
        <v>5471</v>
      </c>
      <c r="C158" s="322">
        <v>600099229</v>
      </c>
      <c r="D158" s="281">
        <v>72743646</v>
      </c>
      <c r="E158" s="323" t="s">
        <v>407</v>
      </c>
      <c r="F158" s="281">
        <v>3141</v>
      </c>
      <c r="G158" s="323" t="s">
        <v>294</v>
      </c>
      <c r="H158" s="284" t="s">
        <v>272</v>
      </c>
      <c r="I158" s="419">
        <v>1310263</v>
      </c>
      <c r="J158" s="414">
        <v>957739</v>
      </c>
      <c r="K158" s="414">
        <v>0</v>
      </c>
      <c r="L158" s="414">
        <v>957739</v>
      </c>
      <c r="M158" s="414">
        <v>8000</v>
      </c>
      <c r="N158" s="414">
        <v>0</v>
      </c>
      <c r="O158" s="414">
        <v>8000</v>
      </c>
      <c r="P158" s="68">
        <v>326419</v>
      </c>
      <c r="Q158" s="68">
        <v>9577</v>
      </c>
      <c r="R158" s="414">
        <v>8528</v>
      </c>
      <c r="S158" s="415">
        <v>2.9032999999999998</v>
      </c>
      <c r="T158" s="416">
        <v>0</v>
      </c>
      <c r="U158" s="422">
        <v>2.9032999999999998</v>
      </c>
      <c r="V158" s="423">
        <f t="shared" si="236"/>
        <v>0</v>
      </c>
      <c r="W158" s="417">
        <f t="shared" si="236"/>
        <v>8000</v>
      </c>
      <c r="X158" s="417">
        <v>0</v>
      </c>
      <c r="Y158" s="417">
        <v>0</v>
      </c>
      <c r="Z158" s="417">
        <v>0</v>
      </c>
      <c r="AA158" s="417">
        <v>-10794</v>
      </c>
      <c r="AB158" s="417">
        <v>0</v>
      </c>
      <c r="AC158" s="417">
        <v>0</v>
      </c>
      <c r="AD158" s="417">
        <v>0</v>
      </c>
      <c r="AE158" s="417">
        <f t="shared" si="237"/>
        <v>0</v>
      </c>
      <c r="AF158" s="417">
        <f t="shared" si="238"/>
        <v>-2794</v>
      </c>
      <c r="AG158" s="417">
        <f t="shared" si="239"/>
        <v>-2794</v>
      </c>
      <c r="AH158" s="417">
        <v>0</v>
      </c>
      <c r="AI158" s="417">
        <v>-8000</v>
      </c>
      <c r="AJ158" s="417">
        <v>0</v>
      </c>
      <c r="AK158" s="417">
        <v>0</v>
      </c>
      <c r="AL158" s="417">
        <v>0</v>
      </c>
      <c r="AM158" s="417">
        <f t="shared" si="240"/>
        <v>0</v>
      </c>
      <c r="AN158" s="417">
        <f t="shared" si="241"/>
        <v>-8000</v>
      </c>
      <c r="AO158" s="417">
        <f t="shared" si="242"/>
        <v>-8000</v>
      </c>
      <c r="AP158" s="417">
        <f t="shared" si="243"/>
        <v>0</v>
      </c>
      <c r="AQ158" s="417">
        <f t="shared" si="243"/>
        <v>-10794</v>
      </c>
      <c r="AR158" s="417">
        <f t="shared" si="244"/>
        <v>-10794</v>
      </c>
      <c r="AS158" s="68">
        <f t="shared" si="245"/>
        <v>-3648</v>
      </c>
      <c r="AT158" s="68">
        <f t="shared" si="246"/>
        <v>-28</v>
      </c>
      <c r="AU158" s="417">
        <v>0</v>
      </c>
      <c r="AV158" s="417">
        <v>0</v>
      </c>
      <c r="AW158" s="417">
        <v>0</v>
      </c>
      <c r="AX158" s="417">
        <f t="shared" si="247"/>
        <v>0</v>
      </c>
      <c r="AY158" s="417">
        <f t="shared" si="248"/>
        <v>-14470</v>
      </c>
      <c r="AZ158" s="418">
        <v>0</v>
      </c>
      <c r="BA158" s="418">
        <v>0</v>
      </c>
      <c r="BB158" s="418">
        <v>0</v>
      </c>
      <c r="BC158" s="418">
        <v>0</v>
      </c>
      <c r="BD158" s="418">
        <v>-0.04</v>
      </c>
      <c r="BE158" s="418">
        <v>0</v>
      </c>
      <c r="BF158" s="418">
        <v>0</v>
      </c>
      <c r="BG158" s="418">
        <v>0</v>
      </c>
      <c r="BH158" s="418">
        <v>0</v>
      </c>
      <c r="BI158" s="418">
        <f t="shared" si="249"/>
        <v>0</v>
      </c>
      <c r="BJ158" s="418">
        <f t="shared" si="250"/>
        <v>-0.04</v>
      </c>
      <c r="BK158" s="420">
        <f t="shared" si="251"/>
        <v>-0.04</v>
      </c>
      <c r="BL158" s="772">
        <f>I158+AY158</f>
        <v>1295793</v>
      </c>
      <c r="BM158" s="417">
        <f>J158+AG158</f>
        <v>954945</v>
      </c>
      <c r="BN158" s="417">
        <f t="shared" si="274"/>
        <v>0</v>
      </c>
      <c r="BO158" s="417">
        <f t="shared" si="274"/>
        <v>954945</v>
      </c>
      <c r="BP158" s="417">
        <f>M158+AO158</f>
        <v>0</v>
      </c>
      <c r="BQ158" s="417">
        <f t="shared" si="275"/>
        <v>0</v>
      </c>
      <c r="BR158" s="417">
        <f t="shared" si="275"/>
        <v>0</v>
      </c>
      <c r="BS158" s="417">
        <f t="shared" si="276"/>
        <v>322771</v>
      </c>
      <c r="BT158" s="417">
        <f t="shared" si="276"/>
        <v>9549</v>
      </c>
      <c r="BU158" s="417">
        <f>R158+AX158</f>
        <v>8528</v>
      </c>
      <c r="BV158" s="418">
        <f>S158+BK158</f>
        <v>2.8632999999999997</v>
      </c>
      <c r="BW158" s="418">
        <f t="shared" si="277"/>
        <v>0</v>
      </c>
      <c r="BX158" s="420">
        <f t="shared" si="277"/>
        <v>2.8632999999999997</v>
      </c>
      <c r="BY158" s="998"/>
      <c r="BZ158" s="983"/>
      <c r="CA158" s="983"/>
      <c r="CB158" s="983"/>
      <c r="CC158" s="983"/>
      <c r="CD158" s="984"/>
      <c r="CE158" s="841"/>
      <c r="CF158" s="729"/>
      <c r="CG158" s="729"/>
      <c r="CH158" s="729"/>
      <c r="CI158" s="729"/>
      <c r="CJ158" s="828"/>
    </row>
    <row r="159" spans="1:88" ht="12.95" customHeight="1">
      <c r="A159" s="280">
        <v>29</v>
      </c>
      <c r="B159" s="321">
        <v>5471</v>
      </c>
      <c r="C159" s="322">
        <v>600099229</v>
      </c>
      <c r="D159" s="281">
        <v>72743646</v>
      </c>
      <c r="E159" s="323" t="s">
        <v>407</v>
      </c>
      <c r="F159" s="281">
        <v>3143</v>
      </c>
      <c r="G159" s="323" t="s">
        <v>595</v>
      </c>
      <c r="H159" s="284" t="s">
        <v>271</v>
      </c>
      <c r="I159" s="419">
        <v>832371</v>
      </c>
      <c r="J159" s="414">
        <v>617486</v>
      </c>
      <c r="K159" s="414">
        <v>617486</v>
      </c>
      <c r="L159" s="414">
        <v>0</v>
      </c>
      <c r="M159" s="414">
        <v>0</v>
      </c>
      <c r="N159" s="414">
        <v>0</v>
      </c>
      <c r="O159" s="414">
        <v>0</v>
      </c>
      <c r="P159" s="68">
        <v>208710</v>
      </c>
      <c r="Q159" s="68">
        <v>6175</v>
      </c>
      <c r="R159" s="414">
        <v>0</v>
      </c>
      <c r="S159" s="415">
        <v>1.1834</v>
      </c>
      <c r="T159" s="416">
        <v>1.1834</v>
      </c>
      <c r="U159" s="422">
        <v>0</v>
      </c>
      <c r="V159" s="423">
        <f t="shared" si="236"/>
        <v>0</v>
      </c>
      <c r="W159" s="417">
        <f t="shared" si="236"/>
        <v>0</v>
      </c>
      <c r="X159" s="417">
        <v>0</v>
      </c>
      <c r="Y159" s="417">
        <v>0</v>
      </c>
      <c r="Z159" s="417">
        <v>0</v>
      </c>
      <c r="AA159" s="417">
        <v>0</v>
      </c>
      <c r="AB159" s="417">
        <v>0</v>
      </c>
      <c r="AC159" s="417">
        <v>0</v>
      </c>
      <c r="AD159" s="417">
        <v>0</v>
      </c>
      <c r="AE159" s="417">
        <f t="shared" si="237"/>
        <v>0</v>
      </c>
      <c r="AF159" s="417">
        <f t="shared" si="238"/>
        <v>0</v>
      </c>
      <c r="AG159" s="417">
        <f t="shared" si="239"/>
        <v>0</v>
      </c>
      <c r="AH159" s="417">
        <v>0</v>
      </c>
      <c r="AI159" s="417">
        <v>0</v>
      </c>
      <c r="AJ159" s="417">
        <v>0</v>
      </c>
      <c r="AK159" s="417">
        <v>0</v>
      </c>
      <c r="AL159" s="417">
        <v>0</v>
      </c>
      <c r="AM159" s="417">
        <f t="shared" si="240"/>
        <v>0</v>
      </c>
      <c r="AN159" s="417">
        <f t="shared" si="241"/>
        <v>0</v>
      </c>
      <c r="AO159" s="417">
        <f t="shared" si="242"/>
        <v>0</v>
      </c>
      <c r="AP159" s="417">
        <f t="shared" si="243"/>
        <v>0</v>
      </c>
      <c r="AQ159" s="417">
        <f t="shared" si="243"/>
        <v>0</v>
      </c>
      <c r="AR159" s="417">
        <f t="shared" si="244"/>
        <v>0</v>
      </c>
      <c r="AS159" s="68">
        <f t="shared" si="245"/>
        <v>0</v>
      </c>
      <c r="AT159" s="68">
        <f t="shared" si="246"/>
        <v>0</v>
      </c>
      <c r="AU159" s="417">
        <v>0</v>
      </c>
      <c r="AV159" s="417">
        <v>0</v>
      </c>
      <c r="AW159" s="417">
        <v>0</v>
      </c>
      <c r="AX159" s="417">
        <f t="shared" si="247"/>
        <v>0</v>
      </c>
      <c r="AY159" s="417">
        <f t="shared" si="248"/>
        <v>0</v>
      </c>
      <c r="AZ159" s="418">
        <v>0</v>
      </c>
      <c r="BA159" s="418">
        <v>0</v>
      </c>
      <c r="BB159" s="418">
        <v>0</v>
      </c>
      <c r="BC159" s="418">
        <v>0</v>
      </c>
      <c r="BD159" s="418">
        <v>0</v>
      </c>
      <c r="BE159" s="418">
        <v>0</v>
      </c>
      <c r="BF159" s="418">
        <v>0</v>
      </c>
      <c r="BG159" s="418">
        <v>0</v>
      </c>
      <c r="BH159" s="418">
        <v>0</v>
      </c>
      <c r="BI159" s="418">
        <f t="shared" si="249"/>
        <v>0</v>
      </c>
      <c r="BJ159" s="418">
        <f t="shared" si="250"/>
        <v>0</v>
      </c>
      <c r="BK159" s="420">
        <f t="shared" si="251"/>
        <v>0</v>
      </c>
      <c r="BL159" s="772">
        <f>I159+AY159</f>
        <v>832371</v>
      </c>
      <c r="BM159" s="417">
        <f>J159+AG159</f>
        <v>617486</v>
      </c>
      <c r="BN159" s="417">
        <f t="shared" si="274"/>
        <v>617486</v>
      </c>
      <c r="BO159" s="417">
        <f t="shared" si="274"/>
        <v>0</v>
      </c>
      <c r="BP159" s="417">
        <f>M159+AO159</f>
        <v>0</v>
      </c>
      <c r="BQ159" s="417">
        <f t="shared" si="275"/>
        <v>0</v>
      </c>
      <c r="BR159" s="417">
        <f t="shared" si="275"/>
        <v>0</v>
      </c>
      <c r="BS159" s="417">
        <f t="shared" si="276"/>
        <v>208710</v>
      </c>
      <c r="BT159" s="417">
        <f t="shared" si="276"/>
        <v>6175</v>
      </c>
      <c r="BU159" s="417">
        <f>R159+AX159</f>
        <v>0</v>
      </c>
      <c r="BV159" s="418">
        <f>S159+BK159</f>
        <v>1.1834</v>
      </c>
      <c r="BW159" s="418">
        <f t="shared" si="277"/>
        <v>1.1834</v>
      </c>
      <c r="BX159" s="420">
        <f t="shared" si="277"/>
        <v>0</v>
      </c>
      <c r="BY159" s="998"/>
      <c r="BZ159" s="983"/>
      <c r="CA159" s="983"/>
      <c r="CB159" s="983"/>
      <c r="CC159" s="983"/>
      <c r="CD159" s="984"/>
      <c r="CE159" s="841"/>
      <c r="CF159" s="729"/>
      <c r="CG159" s="729"/>
      <c r="CH159" s="729"/>
      <c r="CI159" s="729"/>
      <c r="CJ159" s="828"/>
    </row>
    <row r="160" spans="1:88" ht="12.95" customHeight="1">
      <c r="A160" s="280">
        <v>29</v>
      </c>
      <c r="B160" s="321">
        <v>5471</v>
      </c>
      <c r="C160" s="322">
        <v>600099229</v>
      </c>
      <c r="D160" s="281">
        <v>72743646</v>
      </c>
      <c r="E160" s="323" t="s">
        <v>407</v>
      </c>
      <c r="F160" s="281">
        <v>3143</v>
      </c>
      <c r="G160" s="323" t="s">
        <v>596</v>
      </c>
      <c r="H160" s="284" t="s">
        <v>272</v>
      </c>
      <c r="I160" s="419">
        <v>34579</v>
      </c>
      <c r="J160" s="414">
        <v>24750</v>
      </c>
      <c r="K160" s="414">
        <v>0</v>
      </c>
      <c r="L160" s="414">
        <v>24750</v>
      </c>
      <c r="M160" s="414">
        <v>0</v>
      </c>
      <c r="N160" s="414">
        <v>0</v>
      </c>
      <c r="O160" s="414">
        <v>0</v>
      </c>
      <c r="P160" s="68">
        <v>8366</v>
      </c>
      <c r="Q160" s="68">
        <v>248</v>
      </c>
      <c r="R160" s="414">
        <v>1215</v>
      </c>
      <c r="S160" s="415">
        <v>9.2499999999999999E-2</v>
      </c>
      <c r="T160" s="416">
        <v>0</v>
      </c>
      <c r="U160" s="422">
        <v>9.2499999999999999E-2</v>
      </c>
      <c r="V160" s="423">
        <f t="shared" si="236"/>
        <v>0</v>
      </c>
      <c r="W160" s="417">
        <f t="shared" si="236"/>
        <v>0</v>
      </c>
      <c r="X160" s="417">
        <v>0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237"/>
        <v>0</v>
      </c>
      <c r="AF160" s="417">
        <f t="shared" si="238"/>
        <v>0</v>
      </c>
      <c r="AG160" s="417">
        <f t="shared" si="239"/>
        <v>0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240"/>
        <v>0</v>
      </c>
      <c r="AN160" s="417">
        <f t="shared" si="241"/>
        <v>0</v>
      </c>
      <c r="AO160" s="417">
        <f t="shared" si="242"/>
        <v>0</v>
      </c>
      <c r="AP160" s="417">
        <f t="shared" si="243"/>
        <v>0</v>
      </c>
      <c r="AQ160" s="417">
        <f t="shared" si="243"/>
        <v>0</v>
      </c>
      <c r="AR160" s="417">
        <f t="shared" si="244"/>
        <v>0</v>
      </c>
      <c r="AS160" s="68">
        <f t="shared" si="245"/>
        <v>0</v>
      </c>
      <c r="AT160" s="68">
        <f t="shared" si="246"/>
        <v>0</v>
      </c>
      <c r="AU160" s="417">
        <v>0</v>
      </c>
      <c r="AV160" s="417">
        <v>0</v>
      </c>
      <c r="AW160" s="417">
        <v>0</v>
      </c>
      <c r="AX160" s="417">
        <f t="shared" si="247"/>
        <v>0</v>
      </c>
      <c r="AY160" s="417">
        <f t="shared" si="248"/>
        <v>0</v>
      </c>
      <c r="AZ160" s="418">
        <v>0</v>
      </c>
      <c r="BA160" s="418">
        <v>0</v>
      </c>
      <c r="BB160" s="418">
        <v>0</v>
      </c>
      <c r="BC160" s="418">
        <v>0</v>
      </c>
      <c r="BD160" s="418">
        <v>0</v>
      </c>
      <c r="BE160" s="418">
        <v>0</v>
      </c>
      <c r="BF160" s="418">
        <v>0</v>
      </c>
      <c r="BG160" s="418">
        <v>0</v>
      </c>
      <c r="BH160" s="418">
        <v>0</v>
      </c>
      <c r="BI160" s="418">
        <f t="shared" si="249"/>
        <v>0</v>
      </c>
      <c r="BJ160" s="418">
        <f t="shared" si="250"/>
        <v>0</v>
      </c>
      <c r="BK160" s="420">
        <f t="shared" si="251"/>
        <v>0</v>
      </c>
      <c r="BL160" s="772">
        <f>I160+AY160</f>
        <v>34579</v>
      </c>
      <c r="BM160" s="417">
        <f>J160+AG160</f>
        <v>24750</v>
      </c>
      <c r="BN160" s="417">
        <f t="shared" si="274"/>
        <v>0</v>
      </c>
      <c r="BO160" s="417">
        <f t="shared" si="274"/>
        <v>24750</v>
      </c>
      <c r="BP160" s="417">
        <f>M160+AO160</f>
        <v>0</v>
      </c>
      <c r="BQ160" s="417">
        <f t="shared" si="275"/>
        <v>0</v>
      </c>
      <c r="BR160" s="417">
        <f t="shared" si="275"/>
        <v>0</v>
      </c>
      <c r="BS160" s="417">
        <f t="shared" si="276"/>
        <v>8366</v>
      </c>
      <c r="BT160" s="417">
        <f t="shared" si="276"/>
        <v>248</v>
      </c>
      <c r="BU160" s="417">
        <f>R160+AX160</f>
        <v>1215</v>
      </c>
      <c r="BV160" s="418">
        <f>S160+BK160</f>
        <v>9.2499999999999999E-2</v>
      </c>
      <c r="BW160" s="418">
        <f t="shared" si="277"/>
        <v>0</v>
      </c>
      <c r="BX160" s="420">
        <f t="shared" si="277"/>
        <v>9.2499999999999999E-2</v>
      </c>
      <c r="BY160" s="998"/>
      <c r="BZ160" s="983"/>
      <c r="CA160" s="983"/>
      <c r="CB160" s="983"/>
      <c r="CC160" s="983"/>
      <c r="CD160" s="984"/>
      <c r="CE160" s="841"/>
      <c r="CF160" s="729"/>
      <c r="CG160" s="729"/>
      <c r="CH160" s="729"/>
      <c r="CI160" s="729"/>
      <c r="CJ160" s="828"/>
    </row>
    <row r="161" spans="1:88" ht="12.95" customHeight="1">
      <c r="A161" s="324">
        <v>29</v>
      </c>
      <c r="B161" s="325">
        <v>5471</v>
      </c>
      <c r="C161" s="326">
        <v>600099229</v>
      </c>
      <c r="D161" s="325">
        <v>72743646</v>
      </c>
      <c r="E161" s="327" t="s">
        <v>408</v>
      </c>
      <c r="F161" s="291"/>
      <c r="G161" s="329"/>
      <c r="H161" s="292"/>
      <c r="I161" s="465">
        <v>16965879</v>
      </c>
      <c r="J161" s="462">
        <v>12399538</v>
      </c>
      <c r="K161" s="462">
        <v>10142911</v>
      </c>
      <c r="L161" s="462">
        <v>2256627</v>
      </c>
      <c r="M161" s="462">
        <v>18000</v>
      </c>
      <c r="N161" s="462">
        <v>10000</v>
      </c>
      <c r="O161" s="462">
        <v>8000</v>
      </c>
      <c r="P161" s="462">
        <v>4197127</v>
      </c>
      <c r="Q161" s="462">
        <v>123996</v>
      </c>
      <c r="R161" s="462">
        <v>227218</v>
      </c>
      <c r="S161" s="463">
        <v>22.377000000000002</v>
      </c>
      <c r="T161" s="463">
        <v>15.739100000000001</v>
      </c>
      <c r="U161" s="533">
        <v>6.6379000000000001</v>
      </c>
      <c r="V161" s="465">
        <f t="shared" ref="V161:BK161" si="278">SUM(V156:V160)</f>
        <v>5000</v>
      </c>
      <c r="W161" s="462">
        <f t="shared" si="278"/>
        <v>8000</v>
      </c>
      <c r="X161" s="462">
        <f t="shared" si="278"/>
        <v>-12379</v>
      </c>
      <c r="Y161" s="462">
        <f t="shared" si="278"/>
        <v>0</v>
      </c>
      <c r="Z161" s="462">
        <f t="shared" si="278"/>
        <v>0</v>
      </c>
      <c r="AA161" s="462">
        <f t="shared" si="278"/>
        <v>-10794</v>
      </c>
      <c r="AB161" s="462">
        <f t="shared" si="278"/>
        <v>0</v>
      </c>
      <c r="AC161" s="462">
        <f t="shared" si="278"/>
        <v>0</v>
      </c>
      <c r="AD161" s="462">
        <f t="shared" si="278"/>
        <v>0</v>
      </c>
      <c r="AE161" s="462">
        <f t="shared" si="278"/>
        <v>-7379</v>
      </c>
      <c r="AF161" s="462">
        <f t="shared" si="278"/>
        <v>-2794</v>
      </c>
      <c r="AG161" s="462">
        <f t="shared" si="278"/>
        <v>-10173</v>
      </c>
      <c r="AH161" s="462">
        <f t="shared" si="278"/>
        <v>-5000</v>
      </c>
      <c r="AI161" s="462">
        <f t="shared" si="278"/>
        <v>-8000</v>
      </c>
      <c r="AJ161" s="462">
        <f t="shared" si="278"/>
        <v>0</v>
      </c>
      <c r="AK161" s="462">
        <f t="shared" si="278"/>
        <v>0</v>
      </c>
      <c r="AL161" s="462">
        <f t="shared" si="278"/>
        <v>0</v>
      </c>
      <c r="AM161" s="462">
        <f t="shared" si="278"/>
        <v>-5000</v>
      </c>
      <c r="AN161" s="462">
        <f t="shared" si="278"/>
        <v>-8000</v>
      </c>
      <c r="AO161" s="462">
        <f t="shared" si="278"/>
        <v>-13000</v>
      </c>
      <c r="AP161" s="462">
        <f t="shared" si="278"/>
        <v>-12379</v>
      </c>
      <c r="AQ161" s="462">
        <f t="shared" si="278"/>
        <v>-10794</v>
      </c>
      <c r="AR161" s="462">
        <f t="shared" si="278"/>
        <v>-23173</v>
      </c>
      <c r="AS161" s="462">
        <f t="shared" si="278"/>
        <v>-7832</v>
      </c>
      <c r="AT161" s="462">
        <f t="shared" si="278"/>
        <v>-102</v>
      </c>
      <c r="AU161" s="462">
        <f t="shared" si="278"/>
        <v>0</v>
      </c>
      <c r="AV161" s="462">
        <f t="shared" si="278"/>
        <v>0</v>
      </c>
      <c r="AW161" s="462">
        <f t="shared" si="278"/>
        <v>0</v>
      </c>
      <c r="AX161" s="462">
        <f t="shared" si="278"/>
        <v>0</v>
      </c>
      <c r="AY161" s="462">
        <f t="shared" si="278"/>
        <v>-31107</v>
      </c>
      <c r="AZ161" s="463">
        <f t="shared" si="278"/>
        <v>0</v>
      </c>
      <c r="BA161" s="463">
        <f t="shared" si="278"/>
        <v>0</v>
      </c>
      <c r="BB161" s="463">
        <f t="shared" si="278"/>
        <v>0</v>
      </c>
      <c r="BC161" s="463">
        <f t="shared" si="278"/>
        <v>0</v>
      </c>
      <c r="BD161" s="463">
        <f t="shared" si="278"/>
        <v>-0.04</v>
      </c>
      <c r="BE161" s="463">
        <f t="shared" si="278"/>
        <v>0</v>
      </c>
      <c r="BF161" s="463">
        <f t="shared" si="278"/>
        <v>0</v>
      </c>
      <c r="BG161" s="463">
        <f t="shared" si="278"/>
        <v>0</v>
      </c>
      <c r="BH161" s="463">
        <f t="shared" si="278"/>
        <v>0</v>
      </c>
      <c r="BI161" s="463">
        <f t="shared" si="278"/>
        <v>0</v>
      </c>
      <c r="BJ161" s="463">
        <f t="shared" si="278"/>
        <v>-0.04</v>
      </c>
      <c r="BK161" s="290">
        <f t="shared" si="278"/>
        <v>-0.04</v>
      </c>
      <c r="BL161" s="776">
        <f t="shared" ref="BL161:CG161" si="279">SUM(BL156:BL160)</f>
        <v>16934772</v>
      </c>
      <c r="BM161" s="462">
        <f t="shared" si="279"/>
        <v>12389365</v>
      </c>
      <c r="BN161" s="462">
        <f t="shared" si="279"/>
        <v>10135532</v>
      </c>
      <c r="BO161" s="462">
        <f t="shared" si="279"/>
        <v>2253833</v>
      </c>
      <c r="BP161" s="462">
        <f t="shared" si="279"/>
        <v>5000</v>
      </c>
      <c r="BQ161" s="462">
        <f t="shared" si="279"/>
        <v>5000</v>
      </c>
      <c r="BR161" s="462">
        <f t="shared" si="279"/>
        <v>0</v>
      </c>
      <c r="BS161" s="462">
        <f t="shared" si="279"/>
        <v>4189295</v>
      </c>
      <c r="BT161" s="462">
        <f t="shared" si="279"/>
        <v>123894</v>
      </c>
      <c r="BU161" s="462">
        <f t="shared" si="279"/>
        <v>227218</v>
      </c>
      <c r="BV161" s="463">
        <f t="shared" si="279"/>
        <v>22.337</v>
      </c>
      <c r="BW161" s="463">
        <f t="shared" si="279"/>
        <v>15.739100000000001</v>
      </c>
      <c r="BX161" s="290">
        <f t="shared" si="279"/>
        <v>6.5979000000000001</v>
      </c>
      <c r="BY161" s="843">
        <f t="shared" si="279"/>
        <v>0</v>
      </c>
      <c r="BZ161" s="716">
        <f t="shared" si="279"/>
        <v>0</v>
      </c>
      <c r="CA161" s="716">
        <f t="shared" si="279"/>
        <v>0</v>
      </c>
      <c r="CB161" s="716">
        <f t="shared" si="279"/>
        <v>0</v>
      </c>
      <c r="CC161" s="716">
        <f t="shared" si="279"/>
        <v>0</v>
      </c>
      <c r="CD161" s="821">
        <f t="shared" si="279"/>
        <v>0</v>
      </c>
      <c r="CE161" s="1001">
        <f t="shared" si="279"/>
        <v>600898</v>
      </c>
      <c r="CF161" s="1001">
        <f t="shared" si="279"/>
        <v>408960</v>
      </c>
      <c r="CG161" s="1001">
        <f t="shared" si="279"/>
        <v>138228</v>
      </c>
      <c r="CH161" s="1001">
        <f t="shared" ref="CH161:CJ161" si="280">SUM(CH156:CH160)</f>
        <v>4090</v>
      </c>
      <c r="CI161" s="1001">
        <f t="shared" si="280"/>
        <v>49620</v>
      </c>
      <c r="CJ161" s="935">
        <f t="shared" si="280"/>
        <v>1.1691</v>
      </c>
    </row>
    <row r="162" spans="1:88" ht="12.95" customHeight="1">
      <c r="A162" s="280">
        <v>30</v>
      </c>
      <c r="B162" s="321">
        <v>5473</v>
      </c>
      <c r="C162" s="322">
        <v>600098583</v>
      </c>
      <c r="D162" s="281">
        <v>75016320</v>
      </c>
      <c r="E162" s="323" t="s">
        <v>409</v>
      </c>
      <c r="F162" s="281">
        <v>3111</v>
      </c>
      <c r="G162" s="323" t="s">
        <v>304</v>
      </c>
      <c r="H162" s="284" t="s">
        <v>271</v>
      </c>
      <c r="I162" s="419">
        <v>2112358</v>
      </c>
      <c r="J162" s="414">
        <v>1560503</v>
      </c>
      <c r="K162" s="414">
        <v>1387421</v>
      </c>
      <c r="L162" s="414">
        <v>173082</v>
      </c>
      <c r="M162" s="414">
        <v>0</v>
      </c>
      <c r="N162" s="414">
        <v>0</v>
      </c>
      <c r="O162" s="414">
        <v>0</v>
      </c>
      <c r="P162" s="68">
        <v>527450</v>
      </c>
      <c r="Q162" s="68">
        <v>15605</v>
      </c>
      <c r="R162" s="414">
        <v>8800</v>
      </c>
      <c r="S162" s="415">
        <v>2.9594</v>
      </c>
      <c r="T162" s="416">
        <v>2.3704000000000001</v>
      </c>
      <c r="U162" s="422">
        <v>0.58899999999999997</v>
      </c>
      <c r="V162" s="423">
        <f t="shared" si="236"/>
        <v>0</v>
      </c>
      <c r="W162" s="417">
        <f t="shared" si="236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237"/>
        <v>0</v>
      </c>
      <c r="AF162" s="417">
        <f t="shared" si="238"/>
        <v>0</v>
      </c>
      <c r="AG162" s="417">
        <f t="shared" si="239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40"/>
        <v>0</v>
      </c>
      <c r="AN162" s="417">
        <f t="shared" si="241"/>
        <v>0</v>
      </c>
      <c r="AO162" s="417">
        <f t="shared" si="242"/>
        <v>0</v>
      </c>
      <c r="AP162" s="417">
        <f t="shared" si="243"/>
        <v>0</v>
      </c>
      <c r="AQ162" s="417">
        <f t="shared" si="243"/>
        <v>0</v>
      </c>
      <c r="AR162" s="417">
        <f t="shared" si="244"/>
        <v>0</v>
      </c>
      <c r="AS162" s="68">
        <f t="shared" si="245"/>
        <v>0</v>
      </c>
      <c r="AT162" s="68">
        <f t="shared" si="246"/>
        <v>0</v>
      </c>
      <c r="AU162" s="417">
        <v>0</v>
      </c>
      <c r="AV162" s="417">
        <v>0</v>
      </c>
      <c r="AW162" s="417">
        <v>0</v>
      </c>
      <c r="AX162" s="417">
        <f t="shared" si="247"/>
        <v>0</v>
      </c>
      <c r="AY162" s="417">
        <f t="shared" si="248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49"/>
        <v>0</v>
      </c>
      <c r="BJ162" s="418">
        <f t="shared" si="250"/>
        <v>0</v>
      </c>
      <c r="BK162" s="420">
        <f t="shared" si="251"/>
        <v>0</v>
      </c>
      <c r="BL162" s="772">
        <f>I162+AY162</f>
        <v>2112358</v>
      </c>
      <c r="BM162" s="417">
        <f>J162+AG162</f>
        <v>1560503</v>
      </c>
      <c r="BN162" s="417">
        <f t="shared" ref="BN162:BO164" si="281">K162+AE162</f>
        <v>1387421</v>
      </c>
      <c r="BO162" s="417">
        <f t="shared" si="281"/>
        <v>173082</v>
      </c>
      <c r="BP162" s="417">
        <f>M162+AO162</f>
        <v>0</v>
      </c>
      <c r="BQ162" s="417">
        <f t="shared" ref="BQ162:BR164" si="282">N162+AM162</f>
        <v>0</v>
      </c>
      <c r="BR162" s="417">
        <f t="shared" si="282"/>
        <v>0</v>
      </c>
      <c r="BS162" s="417">
        <f t="shared" ref="BS162:BT164" si="283">P162+AS162</f>
        <v>527450</v>
      </c>
      <c r="BT162" s="417">
        <f t="shared" si="283"/>
        <v>15605</v>
      </c>
      <c r="BU162" s="417">
        <f>R162+AX162</f>
        <v>8800</v>
      </c>
      <c r="BV162" s="418">
        <f>S162+BK162</f>
        <v>2.9594</v>
      </c>
      <c r="BW162" s="418">
        <f t="shared" ref="BW162:BX164" si="284">T162+BI162</f>
        <v>2.3704000000000001</v>
      </c>
      <c r="BX162" s="420">
        <f t="shared" si="284"/>
        <v>0.58899999999999997</v>
      </c>
      <c r="BY162" s="998"/>
      <c r="BZ162" s="983"/>
      <c r="CA162" s="983"/>
      <c r="CB162" s="983"/>
      <c r="CC162" s="983"/>
      <c r="CD162" s="984"/>
      <c r="CE162" s="841">
        <v>77795</v>
      </c>
      <c r="CF162" s="729">
        <v>55541</v>
      </c>
      <c r="CG162" s="729">
        <v>18773</v>
      </c>
      <c r="CH162" s="729">
        <v>555</v>
      </c>
      <c r="CI162" s="729">
        <v>2926</v>
      </c>
      <c r="CJ162" s="828">
        <v>0.189</v>
      </c>
    </row>
    <row r="163" spans="1:88" ht="12.95" customHeight="1">
      <c r="A163" s="280">
        <v>30</v>
      </c>
      <c r="B163" s="321">
        <v>5473</v>
      </c>
      <c r="C163" s="322">
        <v>600098583</v>
      </c>
      <c r="D163" s="281">
        <v>75016320</v>
      </c>
      <c r="E163" s="323" t="s">
        <v>409</v>
      </c>
      <c r="F163" s="281">
        <v>3111</v>
      </c>
      <c r="G163" s="323" t="s">
        <v>298</v>
      </c>
      <c r="H163" s="284" t="s">
        <v>272</v>
      </c>
      <c r="I163" s="419">
        <v>41653</v>
      </c>
      <c r="J163" s="414">
        <v>30900</v>
      </c>
      <c r="K163" s="414">
        <v>30900</v>
      </c>
      <c r="L163" s="414">
        <v>0</v>
      </c>
      <c r="M163" s="414">
        <v>0</v>
      </c>
      <c r="N163" s="414">
        <v>0</v>
      </c>
      <c r="O163" s="414">
        <v>0</v>
      </c>
      <c r="P163" s="68">
        <v>10444</v>
      </c>
      <c r="Q163" s="68">
        <v>309</v>
      </c>
      <c r="R163" s="414">
        <v>0</v>
      </c>
      <c r="S163" s="415">
        <v>0.08</v>
      </c>
      <c r="T163" s="416">
        <v>0.08</v>
      </c>
      <c r="U163" s="422">
        <v>0</v>
      </c>
      <c r="V163" s="423">
        <f t="shared" si="236"/>
        <v>0</v>
      </c>
      <c r="W163" s="417">
        <f t="shared" si="236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237"/>
        <v>0</v>
      </c>
      <c r="AF163" s="417">
        <f t="shared" si="238"/>
        <v>0</v>
      </c>
      <c r="AG163" s="417">
        <f t="shared" si="239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240"/>
        <v>0</v>
      </c>
      <c r="AN163" s="417">
        <f t="shared" si="241"/>
        <v>0</v>
      </c>
      <c r="AO163" s="417">
        <f t="shared" si="242"/>
        <v>0</v>
      </c>
      <c r="AP163" s="417">
        <f t="shared" si="243"/>
        <v>0</v>
      </c>
      <c r="AQ163" s="417">
        <f t="shared" si="243"/>
        <v>0</v>
      </c>
      <c r="AR163" s="417">
        <f t="shared" si="244"/>
        <v>0</v>
      </c>
      <c r="AS163" s="68">
        <f t="shared" si="245"/>
        <v>0</v>
      </c>
      <c r="AT163" s="68">
        <f t="shared" si="246"/>
        <v>0</v>
      </c>
      <c r="AU163" s="417">
        <v>0</v>
      </c>
      <c r="AV163" s="417">
        <v>0</v>
      </c>
      <c r="AW163" s="417">
        <v>0</v>
      </c>
      <c r="AX163" s="417">
        <f t="shared" si="247"/>
        <v>0</v>
      </c>
      <c r="AY163" s="417">
        <f t="shared" si="248"/>
        <v>0</v>
      </c>
      <c r="AZ163" s="418">
        <v>0</v>
      </c>
      <c r="BA163" s="418">
        <v>0</v>
      </c>
      <c r="BB163" s="418">
        <v>0</v>
      </c>
      <c r="BC163" s="418">
        <v>0</v>
      </c>
      <c r="BD163" s="418">
        <v>0</v>
      </c>
      <c r="BE163" s="418">
        <v>0</v>
      </c>
      <c r="BF163" s="418">
        <v>0</v>
      </c>
      <c r="BG163" s="418">
        <v>0</v>
      </c>
      <c r="BH163" s="418">
        <v>0</v>
      </c>
      <c r="BI163" s="418">
        <f t="shared" si="249"/>
        <v>0</v>
      </c>
      <c r="BJ163" s="418">
        <f t="shared" si="250"/>
        <v>0</v>
      </c>
      <c r="BK163" s="420">
        <f t="shared" si="251"/>
        <v>0</v>
      </c>
      <c r="BL163" s="772">
        <f>I163+AY163</f>
        <v>41653</v>
      </c>
      <c r="BM163" s="417">
        <f>J163+AG163</f>
        <v>30900</v>
      </c>
      <c r="BN163" s="417">
        <f t="shared" si="281"/>
        <v>30900</v>
      </c>
      <c r="BO163" s="417">
        <f t="shared" si="281"/>
        <v>0</v>
      </c>
      <c r="BP163" s="417">
        <f>M163+AO163</f>
        <v>0</v>
      </c>
      <c r="BQ163" s="417">
        <f t="shared" si="282"/>
        <v>0</v>
      </c>
      <c r="BR163" s="417">
        <f t="shared" si="282"/>
        <v>0</v>
      </c>
      <c r="BS163" s="417">
        <f t="shared" si="283"/>
        <v>10444</v>
      </c>
      <c r="BT163" s="417">
        <f t="shared" si="283"/>
        <v>309</v>
      </c>
      <c r="BU163" s="417">
        <f>R163+AX163</f>
        <v>0</v>
      </c>
      <c r="BV163" s="418">
        <f>S163+BK163</f>
        <v>0.08</v>
      </c>
      <c r="BW163" s="418">
        <f t="shared" si="284"/>
        <v>0.08</v>
      </c>
      <c r="BX163" s="420">
        <f t="shared" si="284"/>
        <v>0</v>
      </c>
      <c r="BY163" s="998"/>
      <c r="BZ163" s="983"/>
      <c r="CA163" s="983"/>
      <c r="CB163" s="983"/>
      <c r="CC163" s="983"/>
      <c r="CD163" s="984"/>
      <c r="CE163" s="841"/>
      <c r="CF163" s="729"/>
      <c r="CG163" s="729"/>
      <c r="CH163" s="729"/>
      <c r="CI163" s="729"/>
      <c r="CJ163" s="828"/>
    </row>
    <row r="164" spans="1:88" ht="12.95" customHeight="1">
      <c r="A164" s="280">
        <v>30</v>
      </c>
      <c r="B164" s="321">
        <v>5473</v>
      </c>
      <c r="C164" s="322">
        <v>600098583</v>
      </c>
      <c r="D164" s="281">
        <v>75016320</v>
      </c>
      <c r="E164" s="323" t="s">
        <v>409</v>
      </c>
      <c r="F164" s="281">
        <v>3141</v>
      </c>
      <c r="G164" s="323" t="s">
        <v>294</v>
      </c>
      <c r="H164" s="284" t="s">
        <v>272</v>
      </c>
      <c r="I164" s="419">
        <v>382824</v>
      </c>
      <c r="J164" s="414">
        <v>283145</v>
      </c>
      <c r="K164" s="414">
        <v>0</v>
      </c>
      <c r="L164" s="414">
        <v>283145</v>
      </c>
      <c r="M164" s="414">
        <v>0</v>
      </c>
      <c r="N164" s="414">
        <v>0</v>
      </c>
      <c r="O164" s="414">
        <v>0</v>
      </c>
      <c r="P164" s="68">
        <v>95703</v>
      </c>
      <c r="Q164" s="68">
        <v>2832</v>
      </c>
      <c r="R164" s="414">
        <v>1144</v>
      </c>
      <c r="S164" s="415">
        <v>0.84670000000000001</v>
      </c>
      <c r="T164" s="416">
        <v>0</v>
      </c>
      <c r="U164" s="422">
        <v>0.84670000000000001</v>
      </c>
      <c r="V164" s="423">
        <f t="shared" si="236"/>
        <v>0</v>
      </c>
      <c r="W164" s="417">
        <f t="shared" si="236"/>
        <v>0</v>
      </c>
      <c r="X164" s="417">
        <v>0</v>
      </c>
      <c r="Y164" s="417">
        <v>0</v>
      </c>
      <c r="Z164" s="417">
        <v>0</v>
      </c>
      <c r="AA164" s="417">
        <v>12929</v>
      </c>
      <c r="AB164" s="417">
        <v>0</v>
      </c>
      <c r="AC164" s="417">
        <v>0</v>
      </c>
      <c r="AD164" s="417">
        <v>0</v>
      </c>
      <c r="AE164" s="417">
        <f t="shared" si="237"/>
        <v>0</v>
      </c>
      <c r="AF164" s="417">
        <f t="shared" si="238"/>
        <v>12929</v>
      </c>
      <c r="AG164" s="417">
        <f t="shared" si="239"/>
        <v>12929</v>
      </c>
      <c r="AH164" s="417">
        <v>0</v>
      </c>
      <c r="AI164" s="417">
        <v>0</v>
      </c>
      <c r="AJ164" s="417">
        <v>0</v>
      </c>
      <c r="AK164" s="417">
        <v>0</v>
      </c>
      <c r="AL164" s="417">
        <v>0</v>
      </c>
      <c r="AM164" s="417">
        <f t="shared" si="240"/>
        <v>0</v>
      </c>
      <c r="AN164" s="417">
        <f t="shared" si="241"/>
        <v>0</v>
      </c>
      <c r="AO164" s="417">
        <f t="shared" si="242"/>
        <v>0</v>
      </c>
      <c r="AP164" s="417">
        <f t="shared" si="243"/>
        <v>0</v>
      </c>
      <c r="AQ164" s="417">
        <f t="shared" si="243"/>
        <v>12929</v>
      </c>
      <c r="AR164" s="417">
        <f t="shared" si="244"/>
        <v>12929</v>
      </c>
      <c r="AS164" s="68">
        <f t="shared" si="245"/>
        <v>4370</v>
      </c>
      <c r="AT164" s="68">
        <f t="shared" si="246"/>
        <v>129</v>
      </c>
      <c r="AU164" s="417">
        <v>0</v>
      </c>
      <c r="AV164" s="417">
        <v>0</v>
      </c>
      <c r="AW164" s="417">
        <v>0</v>
      </c>
      <c r="AX164" s="417">
        <f t="shared" si="247"/>
        <v>0</v>
      </c>
      <c r="AY164" s="417">
        <f t="shared" si="248"/>
        <v>17428</v>
      </c>
      <c r="AZ164" s="418">
        <v>0</v>
      </c>
      <c r="BA164" s="418">
        <v>0</v>
      </c>
      <c r="BB164" s="418">
        <v>0</v>
      </c>
      <c r="BC164" s="418">
        <v>0</v>
      </c>
      <c r="BD164" s="418">
        <v>0.04</v>
      </c>
      <c r="BE164" s="418">
        <v>0</v>
      </c>
      <c r="BF164" s="418">
        <v>0</v>
      </c>
      <c r="BG164" s="418">
        <v>0</v>
      </c>
      <c r="BH164" s="418">
        <v>0</v>
      </c>
      <c r="BI164" s="418">
        <f t="shared" si="249"/>
        <v>0</v>
      </c>
      <c r="BJ164" s="418">
        <f t="shared" si="250"/>
        <v>0.04</v>
      </c>
      <c r="BK164" s="420">
        <f t="shared" si="251"/>
        <v>0.04</v>
      </c>
      <c r="BL164" s="772">
        <f>I164+AY164</f>
        <v>400252</v>
      </c>
      <c r="BM164" s="417">
        <f>J164+AG164</f>
        <v>296074</v>
      </c>
      <c r="BN164" s="417">
        <f t="shared" si="281"/>
        <v>0</v>
      </c>
      <c r="BO164" s="417">
        <f t="shared" si="281"/>
        <v>296074</v>
      </c>
      <c r="BP164" s="417">
        <f>M164+AO164</f>
        <v>0</v>
      </c>
      <c r="BQ164" s="417">
        <f t="shared" si="282"/>
        <v>0</v>
      </c>
      <c r="BR164" s="417">
        <f t="shared" si="282"/>
        <v>0</v>
      </c>
      <c r="BS164" s="417">
        <f t="shared" si="283"/>
        <v>100073</v>
      </c>
      <c r="BT164" s="417">
        <f t="shared" si="283"/>
        <v>2961</v>
      </c>
      <c r="BU164" s="417">
        <f>R164+AX164</f>
        <v>1144</v>
      </c>
      <c r="BV164" s="418">
        <f>S164+BK164</f>
        <v>0.88670000000000004</v>
      </c>
      <c r="BW164" s="418">
        <f t="shared" si="284"/>
        <v>0</v>
      </c>
      <c r="BX164" s="420">
        <f t="shared" si="284"/>
        <v>0.88670000000000004</v>
      </c>
      <c r="BY164" s="998"/>
      <c r="BZ164" s="983"/>
      <c r="CA164" s="983"/>
      <c r="CB164" s="983"/>
      <c r="CC164" s="983"/>
      <c r="CD164" s="984"/>
      <c r="CE164" s="841"/>
      <c r="CF164" s="729"/>
      <c r="CG164" s="729"/>
      <c r="CH164" s="729"/>
      <c r="CI164" s="729"/>
      <c r="CJ164" s="828"/>
    </row>
    <row r="165" spans="1:88" ht="12.95" customHeight="1" thickBot="1">
      <c r="A165" s="335">
        <v>30</v>
      </c>
      <c r="B165" s="336">
        <v>5473</v>
      </c>
      <c r="C165" s="337">
        <v>600098583</v>
      </c>
      <c r="D165" s="336">
        <v>75016320</v>
      </c>
      <c r="E165" s="338" t="s">
        <v>410</v>
      </c>
      <c r="F165" s="295"/>
      <c r="G165" s="339"/>
      <c r="H165" s="296"/>
      <c r="I165" s="499">
        <v>2536835</v>
      </c>
      <c r="J165" s="500">
        <v>1874548</v>
      </c>
      <c r="K165" s="500">
        <v>1418321</v>
      </c>
      <c r="L165" s="500">
        <v>456227</v>
      </c>
      <c r="M165" s="500">
        <v>0</v>
      </c>
      <c r="N165" s="500">
        <v>0</v>
      </c>
      <c r="O165" s="500">
        <v>0</v>
      </c>
      <c r="P165" s="500">
        <v>633597</v>
      </c>
      <c r="Q165" s="500">
        <v>18746</v>
      </c>
      <c r="R165" s="500">
        <v>9944</v>
      </c>
      <c r="S165" s="501">
        <v>3.8860999999999999</v>
      </c>
      <c r="T165" s="501">
        <v>2.4504000000000001</v>
      </c>
      <c r="U165" s="576">
        <v>1.4357</v>
      </c>
      <c r="V165" s="499">
        <f t="shared" ref="V165:BK165" si="285">SUM(V162:V164)</f>
        <v>0</v>
      </c>
      <c r="W165" s="500">
        <f t="shared" si="285"/>
        <v>0</v>
      </c>
      <c r="X165" s="500">
        <f t="shared" si="285"/>
        <v>0</v>
      </c>
      <c r="Y165" s="500">
        <f t="shared" si="285"/>
        <v>0</v>
      </c>
      <c r="Z165" s="500">
        <f t="shared" si="285"/>
        <v>0</v>
      </c>
      <c r="AA165" s="500">
        <f t="shared" si="285"/>
        <v>12929</v>
      </c>
      <c r="AB165" s="500">
        <f t="shared" si="285"/>
        <v>0</v>
      </c>
      <c r="AC165" s="500">
        <f t="shared" si="285"/>
        <v>0</v>
      </c>
      <c r="AD165" s="500">
        <f t="shared" si="285"/>
        <v>0</v>
      </c>
      <c r="AE165" s="500">
        <f t="shared" si="285"/>
        <v>0</v>
      </c>
      <c r="AF165" s="500">
        <f t="shared" si="285"/>
        <v>12929</v>
      </c>
      <c r="AG165" s="500">
        <f t="shared" si="285"/>
        <v>12929</v>
      </c>
      <c r="AH165" s="500">
        <f t="shared" si="285"/>
        <v>0</v>
      </c>
      <c r="AI165" s="500">
        <f t="shared" si="285"/>
        <v>0</v>
      </c>
      <c r="AJ165" s="500">
        <f t="shared" si="285"/>
        <v>0</v>
      </c>
      <c r="AK165" s="500">
        <f t="shared" si="285"/>
        <v>0</v>
      </c>
      <c r="AL165" s="500">
        <f t="shared" si="285"/>
        <v>0</v>
      </c>
      <c r="AM165" s="500">
        <f t="shared" si="285"/>
        <v>0</v>
      </c>
      <c r="AN165" s="500">
        <f t="shared" si="285"/>
        <v>0</v>
      </c>
      <c r="AO165" s="500">
        <f t="shared" si="285"/>
        <v>0</v>
      </c>
      <c r="AP165" s="500">
        <f t="shared" si="285"/>
        <v>0</v>
      </c>
      <c r="AQ165" s="500">
        <f t="shared" si="285"/>
        <v>12929</v>
      </c>
      <c r="AR165" s="500">
        <f t="shared" si="285"/>
        <v>12929</v>
      </c>
      <c r="AS165" s="500">
        <f t="shared" si="285"/>
        <v>4370</v>
      </c>
      <c r="AT165" s="500">
        <f t="shared" si="285"/>
        <v>129</v>
      </c>
      <c r="AU165" s="500">
        <f t="shared" si="285"/>
        <v>0</v>
      </c>
      <c r="AV165" s="500">
        <f t="shared" si="285"/>
        <v>0</v>
      </c>
      <c r="AW165" s="500">
        <f t="shared" si="285"/>
        <v>0</v>
      </c>
      <c r="AX165" s="500">
        <f t="shared" si="285"/>
        <v>0</v>
      </c>
      <c r="AY165" s="500">
        <f t="shared" si="285"/>
        <v>17428</v>
      </c>
      <c r="AZ165" s="501">
        <f t="shared" si="285"/>
        <v>0</v>
      </c>
      <c r="BA165" s="501">
        <f t="shared" si="285"/>
        <v>0</v>
      </c>
      <c r="BB165" s="501">
        <f t="shared" si="285"/>
        <v>0</v>
      </c>
      <c r="BC165" s="501">
        <f t="shared" si="285"/>
        <v>0</v>
      </c>
      <c r="BD165" s="501">
        <f t="shared" si="285"/>
        <v>0.04</v>
      </c>
      <c r="BE165" s="501">
        <f t="shared" si="285"/>
        <v>0</v>
      </c>
      <c r="BF165" s="501">
        <f t="shared" si="285"/>
        <v>0</v>
      </c>
      <c r="BG165" s="501">
        <f t="shared" si="285"/>
        <v>0</v>
      </c>
      <c r="BH165" s="501">
        <f t="shared" si="285"/>
        <v>0</v>
      </c>
      <c r="BI165" s="501">
        <f t="shared" si="285"/>
        <v>0</v>
      </c>
      <c r="BJ165" s="501">
        <f t="shared" si="285"/>
        <v>0.04</v>
      </c>
      <c r="BK165" s="511">
        <f t="shared" si="285"/>
        <v>0.04</v>
      </c>
      <c r="BL165" s="777">
        <f t="shared" ref="BL165:CD165" si="286">SUM(BL162:BL164)</f>
        <v>2554263</v>
      </c>
      <c r="BM165" s="500">
        <f t="shared" si="286"/>
        <v>1887477</v>
      </c>
      <c r="BN165" s="500">
        <f t="shared" si="286"/>
        <v>1418321</v>
      </c>
      <c r="BO165" s="500">
        <f t="shared" si="286"/>
        <v>469156</v>
      </c>
      <c r="BP165" s="500">
        <f t="shared" si="286"/>
        <v>0</v>
      </c>
      <c r="BQ165" s="500">
        <f t="shared" si="286"/>
        <v>0</v>
      </c>
      <c r="BR165" s="500">
        <f t="shared" si="286"/>
        <v>0</v>
      </c>
      <c r="BS165" s="500">
        <f t="shared" si="286"/>
        <v>637967</v>
      </c>
      <c r="BT165" s="500">
        <f t="shared" si="286"/>
        <v>18875</v>
      </c>
      <c r="BU165" s="500">
        <f t="shared" si="286"/>
        <v>9944</v>
      </c>
      <c r="BV165" s="501">
        <f t="shared" si="286"/>
        <v>3.9260999999999999</v>
      </c>
      <c r="BW165" s="501">
        <f t="shared" si="286"/>
        <v>2.4504000000000001</v>
      </c>
      <c r="BX165" s="511">
        <f t="shared" si="286"/>
        <v>1.4757</v>
      </c>
      <c r="BY165" s="844">
        <f t="shared" si="286"/>
        <v>0</v>
      </c>
      <c r="BZ165" s="730">
        <f t="shared" si="286"/>
        <v>0</v>
      </c>
      <c r="CA165" s="730">
        <f t="shared" si="286"/>
        <v>0</v>
      </c>
      <c r="CB165" s="730">
        <f t="shared" si="286"/>
        <v>0</v>
      </c>
      <c r="CC165" s="730">
        <f t="shared" si="286"/>
        <v>0</v>
      </c>
      <c r="CD165" s="829">
        <f t="shared" si="286"/>
        <v>0</v>
      </c>
      <c r="CE165" s="1002">
        <f t="shared" ref="CE165:CJ165" si="287">SUM(CE162:CE164)</f>
        <v>77795</v>
      </c>
      <c r="CF165" s="1002">
        <f t="shared" si="287"/>
        <v>55541</v>
      </c>
      <c r="CG165" s="1002">
        <f t="shared" si="287"/>
        <v>18773</v>
      </c>
      <c r="CH165" s="1002">
        <f t="shared" si="287"/>
        <v>555</v>
      </c>
      <c r="CI165" s="1002">
        <f t="shared" si="287"/>
        <v>2926</v>
      </c>
      <c r="CJ165" s="936">
        <f t="shared" si="287"/>
        <v>0.189</v>
      </c>
    </row>
    <row r="166" spans="1:88" ht="12.95" customHeight="1" thickBot="1">
      <c r="A166" s="340"/>
      <c r="B166" s="303"/>
      <c r="C166" s="341"/>
      <c r="D166" s="303"/>
      <c r="E166" s="305" t="s">
        <v>757</v>
      </c>
      <c r="F166" s="303"/>
      <c r="G166" s="303"/>
      <c r="H166" s="306"/>
      <c r="I166" s="575">
        <f t="shared" ref="I166:BW166" si="288">I165+I161+I155+I151+I144+I137+I130+I127+I124+I118+I114+I110+I108+I102+I98+I92+I88+I81+I74+I67+I60+I53+I51+I44+I38+I32+I25+I23+I19+I15</f>
        <v>389686027</v>
      </c>
      <c r="J166" s="745">
        <f t="shared" si="288"/>
        <v>284003542</v>
      </c>
      <c r="K166" s="745">
        <f t="shared" si="288"/>
        <v>237385030</v>
      </c>
      <c r="L166" s="745">
        <f t="shared" si="288"/>
        <v>46618512</v>
      </c>
      <c r="M166" s="745">
        <f t="shared" si="288"/>
        <v>2340388</v>
      </c>
      <c r="N166" s="745">
        <f t="shared" si="288"/>
        <v>1876108</v>
      </c>
      <c r="O166" s="745">
        <f t="shared" si="288"/>
        <v>464280</v>
      </c>
      <c r="P166" s="745">
        <f t="shared" si="288"/>
        <v>96689663</v>
      </c>
      <c r="Q166" s="745">
        <f t="shared" si="288"/>
        <v>2840043</v>
      </c>
      <c r="R166" s="745">
        <f t="shared" si="288"/>
        <v>3812391</v>
      </c>
      <c r="S166" s="746">
        <f t="shared" si="288"/>
        <v>535.18000000000006</v>
      </c>
      <c r="T166" s="746">
        <f t="shared" si="288"/>
        <v>393.72929999999997</v>
      </c>
      <c r="U166" s="817">
        <f t="shared" si="288"/>
        <v>141.45070000000001</v>
      </c>
      <c r="V166" s="575">
        <f t="shared" si="288"/>
        <v>650700</v>
      </c>
      <c r="W166" s="555">
        <f t="shared" si="288"/>
        <v>-300700</v>
      </c>
      <c r="X166" s="555">
        <f t="shared" si="288"/>
        <v>-158621</v>
      </c>
      <c r="Y166" s="555">
        <f t="shared" si="288"/>
        <v>8606</v>
      </c>
      <c r="Z166" s="753">
        <f t="shared" si="288"/>
        <v>460271</v>
      </c>
      <c r="AA166" s="555">
        <f t="shared" si="288"/>
        <v>-126390</v>
      </c>
      <c r="AB166" s="555">
        <f t="shared" si="288"/>
        <v>0</v>
      </c>
      <c r="AC166" s="555">
        <f t="shared" si="288"/>
        <v>-300000</v>
      </c>
      <c r="AD166" s="555">
        <f t="shared" si="288"/>
        <v>0</v>
      </c>
      <c r="AE166" s="555">
        <f t="shared" si="288"/>
        <v>660956</v>
      </c>
      <c r="AF166" s="555">
        <f t="shared" si="288"/>
        <v>-427090</v>
      </c>
      <c r="AG166" s="818">
        <f t="shared" si="288"/>
        <v>233866</v>
      </c>
      <c r="AH166" s="555">
        <f t="shared" si="288"/>
        <v>-650700</v>
      </c>
      <c r="AI166" s="555">
        <f t="shared" si="288"/>
        <v>300700</v>
      </c>
      <c r="AJ166" s="555">
        <f t="shared" si="288"/>
        <v>0</v>
      </c>
      <c r="AK166" s="555">
        <f t="shared" si="288"/>
        <v>-101733</v>
      </c>
      <c r="AL166" s="555">
        <f t="shared" si="288"/>
        <v>0</v>
      </c>
      <c r="AM166" s="555">
        <f t="shared" si="288"/>
        <v>-728433</v>
      </c>
      <c r="AN166" s="555">
        <f t="shared" si="288"/>
        <v>290700</v>
      </c>
      <c r="AO166" s="555">
        <f t="shared" si="288"/>
        <v>-437733</v>
      </c>
      <c r="AP166" s="555">
        <f t="shared" si="288"/>
        <v>-67477</v>
      </c>
      <c r="AQ166" s="555">
        <f t="shared" si="288"/>
        <v>-136390</v>
      </c>
      <c r="AR166" s="555">
        <f t="shared" si="288"/>
        <v>-203867</v>
      </c>
      <c r="AS166" s="555">
        <f t="shared" si="288"/>
        <v>-39253</v>
      </c>
      <c r="AT166" s="555">
        <f t="shared" si="288"/>
        <v>2336</v>
      </c>
      <c r="AU166" s="555">
        <f t="shared" si="288"/>
        <v>5900</v>
      </c>
      <c r="AV166" s="555">
        <f t="shared" si="288"/>
        <v>0</v>
      </c>
      <c r="AW166" s="555">
        <f t="shared" si="288"/>
        <v>0</v>
      </c>
      <c r="AX166" s="555">
        <f t="shared" si="288"/>
        <v>5900</v>
      </c>
      <c r="AY166" s="555">
        <f t="shared" si="288"/>
        <v>-234884</v>
      </c>
      <c r="AZ166" s="567">
        <f t="shared" si="288"/>
        <v>-0.04</v>
      </c>
      <c r="BA166" s="567">
        <f t="shared" si="288"/>
        <v>-0.2</v>
      </c>
      <c r="BB166" s="567">
        <f t="shared" si="288"/>
        <v>-0.15999999999999998</v>
      </c>
      <c r="BC166" s="567">
        <f t="shared" si="288"/>
        <v>0.8899999999999999</v>
      </c>
      <c r="BD166" s="567">
        <f t="shared" si="288"/>
        <v>-0.39</v>
      </c>
      <c r="BE166" s="567">
        <f t="shared" si="288"/>
        <v>0.01</v>
      </c>
      <c r="BF166" s="567">
        <f t="shared" si="288"/>
        <v>0</v>
      </c>
      <c r="BG166" s="567">
        <f t="shared" si="288"/>
        <v>0</v>
      </c>
      <c r="BH166" s="567">
        <f t="shared" si="288"/>
        <v>0</v>
      </c>
      <c r="BI166" s="567">
        <f t="shared" si="288"/>
        <v>0.69999999999999973</v>
      </c>
      <c r="BJ166" s="567">
        <f t="shared" si="288"/>
        <v>-0.59</v>
      </c>
      <c r="BK166" s="577">
        <f t="shared" si="288"/>
        <v>0.10999999999999985</v>
      </c>
      <c r="BL166" s="575">
        <f t="shared" si="288"/>
        <v>389451143</v>
      </c>
      <c r="BM166" s="555">
        <f t="shared" si="288"/>
        <v>284237408</v>
      </c>
      <c r="BN166" s="555">
        <f t="shared" si="288"/>
        <v>238045986</v>
      </c>
      <c r="BO166" s="555">
        <f t="shared" si="288"/>
        <v>46191422</v>
      </c>
      <c r="BP166" s="555">
        <f t="shared" si="288"/>
        <v>1902655</v>
      </c>
      <c r="BQ166" s="555">
        <f t="shared" si="288"/>
        <v>1147675</v>
      </c>
      <c r="BR166" s="555">
        <f t="shared" si="288"/>
        <v>754980</v>
      </c>
      <c r="BS166" s="555">
        <f t="shared" si="288"/>
        <v>96650410</v>
      </c>
      <c r="BT166" s="555">
        <f t="shared" si="288"/>
        <v>2842379</v>
      </c>
      <c r="BU166" s="555">
        <f t="shared" si="288"/>
        <v>3818291</v>
      </c>
      <c r="BV166" s="567">
        <f t="shared" si="288"/>
        <v>535.29000000000008</v>
      </c>
      <c r="BW166" s="567">
        <f t="shared" si="288"/>
        <v>394.4292999999999</v>
      </c>
      <c r="BX166" s="577">
        <f t="shared" ref="BX166:CJ166" si="289">BX165+BX161+BX155+BX151+BX144+BX137+BX130+BX127+BX124+BX118+BX114+BX110+BX108+BX102+BX98+BX92+BX88+BX81+BX74+BX67+BX60+BX53+BX51+BX44+BX38+BX32+BX25+BX23+BX19+BX15</f>
        <v>140.86070000000001</v>
      </c>
      <c r="BY166" s="719">
        <f t="shared" si="289"/>
        <v>1974452</v>
      </c>
      <c r="BZ166" s="720">
        <f t="shared" si="289"/>
        <v>1240800</v>
      </c>
      <c r="CA166" s="720">
        <f t="shared" si="289"/>
        <v>225600</v>
      </c>
      <c r="CB166" s="720">
        <f t="shared" si="289"/>
        <v>495644</v>
      </c>
      <c r="CC166" s="720">
        <f t="shared" si="289"/>
        <v>12408</v>
      </c>
      <c r="CD166" s="825">
        <f t="shared" si="289"/>
        <v>2.2000000000000002</v>
      </c>
      <c r="CE166" s="988">
        <f t="shared" si="289"/>
        <v>11877431</v>
      </c>
      <c r="CF166" s="988">
        <f t="shared" si="289"/>
        <v>8163186</v>
      </c>
      <c r="CG166" s="988">
        <f t="shared" si="289"/>
        <v>2759153</v>
      </c>
      <c r="CH166" s="988">
        <f t="shared" si="289"/>
        <v>81634</v>
      </c>
      <c r="CI166" s="988">
        <f t="shared" si="289"/>
        <v>873458</v>
      </c>
      <c r="CJ166" s="937">
        <f t="shared" si="289"/>
        <v>24.647199999999998</v>
      </c>
    </row>
    <row r="167" spans="1:88" ht="12.95" customHeight="1">
      <c r="B167" s="309"/>
      <c r="D167" s="309"/>
      <c r="E167" s="310"/>
      <c r="F167" s="309"/>
      <c r="I167" s="427">
        <f>J166+M166+P166+Q166+R166</f>
        <v>389686027</v>
      </c>
      <c r="J167" s="427">
        <f>SUM(K166:L166)</f>
        <v>284003542</v>
      </c>
      <c r="K167" s="427"/>
      <c r="L167" s="427"/>
      <c r="M167" s="427">
        <f>SUM(N166:O166)</f>
        <v>2340388</v>
      </c>
      <c r="N167" s="427"/>
      <c r="O167" s="427"/>
      <c r="P167" s="427"/>
      <c r="Q167" s="427"/>
      <c r="R167" s="427"/>
      <c r="S167" s="428">
        <f>SUM(T166:U166)</f>
        <v>535.17999999999995</v>
      </c>
      <c r="T167" s="428"/>
      <c r="U167" s="428"/>
      <c r="V167" s="427">
        <f>AH166</f>
        <v>-650700</v>
      </c>
      <c r="W167" s="427">
        <f>AI166</f>
        <v>300700</v>
      </c>
      <c r="X167" s="428"/>
      <c r="Y167" s="428"/>
      <c r="Z167" s="428"/>
      <c r="AA167" s="428"/>
      <c r="AB167" s="427"/>
      <c r="AC167" s="428"/>
      <c r="AD167" s="428"/>
      <c r="AE167" s="429"/>
      <c r="AF167" s="429"/>
      <c r="AG167" s="429">
        <f>SUM(AE166:AF166)</f>
        <v>233866</v>
      </c>
      <c r="AH167" s="429">
        <f>V166</f>
        <v>650700</v>
      </c>
      <c r="AI167" s="429">
        <f>W166</f>
        <v>-300700</v>
      </c>
      <c r="AJ167" s="430"/>
      <c r="AK167" s="430"/>
      <c r="AL167" s="430"/>
      <c r="AM167" s="429"/>
      <c r="AN167" s="429"/>
      <c r="AO167" s="429">
        <f>SUM(AM166:AN166)</f>
        <v>-437733</v>
      </c>
      <c r="AP167" s="429"/>
      <c r="AQ167" s="429"/>
      <c r="AR167" s="429">
        <f>SUM(AP166:AQ166)</f>
        <v>-203867</v>
      </c>
      <c r="AS167" s="431"/>
      <c r="AT167" s="431"/>
      <c r="AU167" s="430"/>
      <c r="AV167" s="430"/>
      <c r="AW167" s="429"/>
      <c r="AX167" s="429">
        <f>SUM(AU166:AW166)</f>
        <v>5900</v>
      </c>
      <c r="AY167" s="429">
        <f>AG166+AO166+AS166+AT166+AX166</f>
        <v>-234884</v>
      </c>
      <c r="AZ167" s="432"/>
      <c r="BA167" s="432"/>
      <c r="BB167" s="432"/>
      <c r="BC167" s="432"/>
      <c r="BD167" s="432"/>
      <c r="BE167" s="432"/>
      <c r="BF167" s="507"/>
      <c r="BG167" s="432"/>
      <c r="BH167" s="432"/>
      <c r="BI167" s="507">
        <f>AZ166+BB166+BC166+BE166+BG166</f>
        <v>0.7</v>
      </c>
      <c r="BJ167" s="507">
        <f>BA166+BD166+BF166+BH166</f>
        <v>-0.59000000000000008</v>
      </c>
      <c r="BK167" s="507">
        <f>SUM(BI166:BJ166)</f>
        <v>0.10999999999999976</v>
      </c>
      <c r="BL167" s="427">
        <f>BM166+BP166+BS166+BT166+BU166</f>
        <v>389451143</v>
      </c>
      <c r="BM167" s="427">
        <f>SUM(BN166:BO166)</f>
        <v>284237408</v>
      </c>
      <c r="BN167" s="429">
        <f>K166+AE166</f>
        <v>238045986</v>
      </c>
      <c r="BO167" s="429">
        <f>L166+AF166</f>
        <v>46191422</v>
      </c>
      <c r="BP167" s="86">
        <f>SUM(BQ166:BR166)</f>
        <v>1902655</v>
      </c>
      <c r="BQ167" s="429">
        <f>N166+AM166</f>
        <v>1147675</v>
      </c>
      <c r="BR167" s="429">
        <f>O166+AN166</f>
        <v>754980</v>
      </c>
      <c r="BS167" s="429">
        <f>P166+AS166</f>
        <v>96650410</v>
      </c>
      <c r="BT167" s="429">
        <f>Q166+AT166</f>
        <v>2842379</v>
      </c>
      <c r="BU167" s="429">
        <f>R166+AX166</f>
        <v>3818291</v>
      </c>
      <c r="BV167" s="428">
        <f>SUM(BW166:BX166)</f>
        <v>535.29</v>
      </c>
      <c r="BW167" s="507">
        <f>T166+BI166</f>
        <v>394.42929999999996</v>
      </c>
      <c r="BX167" s="507">
        <f>U166+BJ166</f>
        <v>140.86070000000001</v>
      </c>
      <c r="BY167" s="235">
        <f>SUM(BZ166:CC166)</f>
        <v>1974452</v>
      </c>
      <c r="BZ167" s="989"/>
      <c r="CA167" s="989"/>
      <c r="CB167" s="989"/>
      <c r="CC167" s="989"/>
      <c r="CD167" s="990"/>
      <c r="CE167" s="235">
        <f>SUM(CF166:CI166)</f>
        <v>11877431</v>
      </c>
      <c r="CF167" s="989"/>
      <c r="CG167" s="989"/>
      <c r="CH167" s="989"/>
      <c r="CI167" s="989"/>
      <c r="CJ167" s="990"/>
    </row>
    <row r="168" spans="1:88" ht="12.95" customHeight="1" thickBot="1">
      <c r="B168" s="309"/>
      <c r="D168" s="309"/>
      <c r="F168" s="309"/>
      <c r="I168" s="427">
        <f>J169+M169+P169+Q169+R169</f>
        <v>389686027</v>
      </c>
      <c r="J168" s="427">
        <f>SUM(K169:L169)</f>
        <v>284003542</v>
      </c>
      <c r="K168" s="427"/>
      <c r="L168" s="427"/>
      <c r="M168" s="427">
        <f>SUM(N169:O169)</f>
        <v>2340388</v>
      </c>
      <c r="N168" s="427"/>
      <c r="O168" s="427"/>
      <c r="P168" s="427"/>
      <c r="Q168" s="427"/>
      <c r="R168" s="427"/>
      <c r="S168" s="428">
        <f>SUM(T169:U169)</f>
        <v>535.17999999999995</v>
      </c>
      <c r="T168" s="428"/>
      <c r="U168" s="428"/>
      <c r="V168" s="427">
        <f>AH169</f>
        <v>-650700</v>
      </c>
      <c r="W168" s="427">
        <f>AI169</f>
        <v>300700</v>
      </c>
      <c r="X168" s="428"/>
      <c r="Y168" s="428"/>
      <c r="Z168" s="428"/>
      <c r="AA168" s="428"/>
      <c r="AB168" s="427"/>
      <c r="AC168" s="428"/>
      <c r="AD168" s="428"/>
      <c r="AE168" s="429"/>
      <c r="AF168" s="429"/>
      <c r="AG168" s="429">
        <f>SUM(AE169:AF169)</f>
        <v>233866</v>
      </c>
      <c r="AH168" s="429"/>
      <c r="AI168" s="429"/>
      <c r="AJ168" s="430"/>
      <c r="AK168" s="430"/>
      <c r="AL168" s="430"/>
      <c r="AM168" s="429"/>
      <c r="AN168" s="429"/>
      <c r="AO168" s="429">
        <f>SUM(AM169:AN169)</f>
        <v>-437733</v>
      </c>
      <c r="AP168" s="429"/>
      <c r="AQ168" s="429"/>
      <c r="AR168" s="429">
        <f>SUM(AP169:AQ169)</f>
        <v>-203867</v>
      </c>
      <c r="AS168" s="431"/>
      <c r="AT168" s="431"/>
      <c r="AU168" s="430"/>
      <c r="AV168" s="430"/>
      <c r="AW168" s="429"/>
      <c r="AX168" s="429">
        <f>SUM(AU169:AW169)</f>
        <v>5900</v>
      </c>
      <c r="AY168" s="429">
        <f>AG169+AO169+AS169+AT169+AX169</f>
        <v>-234884</v>
      </c>
      <c r="AZ168" s="432"/>
      <c r="BA168" s="432"/>
      <c r="BB168" s="432"/>
      <c r="BC168" s="432"/>
      <c r="BD168" s="432"/>
      <c r="BE168" s="432"/>
      <c r="BF168" s="507"/>
      <c r="BG168" s="432"/>
      <c r="BH168" s="432"/>
      <c r="BI168" s="507">
        <f>AZ169+BB169+BC169+BE169+BG169</f>
        <v>0.69999999999999984</v>
      </c>
      <c r="BJ168" s="507">
        <f>BA169+BD169+BF169+BH169</f>
        <v>-0.59000000000000008</v>
      </c>
      <c r="BK168" s="507">
        <f>SUM(BI169:BJ169)</f>
        <v>0.10999999999999988</v>
      </c>
      <c r="BL168" s="427">
        <f>BM169+BP169+BS169+BT169+BU169</f>
        <v>389451143</v>
      </c>
      <c r="BM168" s="427">
        <f>SUM(BN169:BO169)</f>
        <v>284237408</v>
      </c>
      <c r="BN168" s="53"/>
      <c r="BO168" s="53"/>
      <c r="BP168" s="86">
        <f>SUM(BQ169:BR169)</f>
        <v>1902655</v>
      </c>
      <c r="BQ168" s="53"/>
      <c r="BR168" s="53"/>
      <c r="BS168" s="53"/>
      <c r="BT168" s="53"/>
      <c r="BU168" s="53"/>
      <c r="BV168" s="428">
        <f>SUM(BW169:BX169)</f>
        <v>535.29</v>
      </c>
      <c r="BW168" s="87"/>
      <c r="BX168" s="87"/>
      <c r="BY168" s="235">
        <f>SUM(BZ169:CC169)</f>
        <v>1974452</v>
      </c>
      <c r="BZ168" s="989"/>
      <c r="CA168" s="989"/>
      <c r="CB168" s="989"/>
      <c r="CC168" s="989"/>
      <c r="CD168" s="990"/>
      <c r="CE168" s="235">
        <f>SUM(CF169:CI169)</f>
        <v>11877431</v>
      </c>
      <c r="CF168" s="989"/>
      <c r="CG168" s="989"/>
      <c r="CH168" s="989"/>
      <c r="CI168" s="989"/>
      <c r="CJ168" s="990"/>
    </row>
    <row r="169" spans="1:88" s="89" customFormat="1" ht="12.95" customHeight="1" thickBot="1">
      <c r="D169" s="311"/>
      <c r="E169" s="312"/>
      <c r="F169" s="311"/>
      <c r="G169" s="313"/>
      <c r="H169" s="22" t="s">
        <v>0</v>
      </c>
      <c r="I169" s="139">
        <f t="shared" ref="I169:BW169" si="290">SUM(I170:I179)</f>
        <v>389686027</v>
      </c>
      <c r="J169" s="34">
        <f t="shared" si="290"/>
        <v>284003542</v>
      </c>
      <c r="K169" s="34">
        <f t="shared" si="290"/>
        <v>237385030</v>
      </c>
      <c r="L169" s="34">
        <f t="shared" si="290"/>
        <v>46618512</v>
      </c>
      <c r="M169" s="34">
        <f t="shared" si="290"/>
        <v>2340388</v>
      </c>
      <c r="N169" s="34">
        <f t="shared" si="290"/>
        <v>1876108</v>
      </c>
      <c r="O169" s="34">
        <f t="shared" si="290"/>
        <v>464280</v>
      </c>
      <c r="P169" s="34">
        <f t="shared" si="290"/>
        <v>96689663</v>
      </c>
      <c r="Q169" s="34">
        <f t="shared" si="290"/>
        <v>2840043</v>
      </c>
      <c r="R169" s="34">
        <f t="shared" si="290"/>
        <v>3812391</v>
      </c>
      <c r="S169" s="35">
        <f t="shared" si="290"/>
        <v>535.17999999999995</v>
      </c>
      <c r="T169" s="35">
        <f t="shared" si="290"/>
        <v>393.72929999999997</v>
      </c>
      <c r="U169" s="36">
        <f t="shared" si="290"/>
        <v>141.45069999999998</v>
      </c>
      <c r="V169" s="149">
        <f t="shared" si="290"/>
        <v>650700</v>
      </c>
      <c r="W169" s="34">
        <f t="shared" si="290"/>
        <v>-300700</v>
      </c>
      <c r="X169" s="34">
        <f t="shared" si="290"/>
        <v>-158621</v>
      </c>
      <c r="Y169" s="34">
        <f t="shared" si="290"/>
        <v>8606</v>
      </c>
      <c r="Z169" s="34">
        <f t="shared" si="290"/>
        <v>460271</v>
      </c>
      <c r="AA169" s="34">
        <f t="shared" si="290"/>
        <v>-126390</v>
      </c>
      <c r="AB169" s="34">
        <f t="shared" si="290"/>
        <v>0</v>
      </c>
      <c r="AC169" s="34">
        <f t="shared" si="290"/>
        <v>-300000</v>
      </c>
      <c r="AD169" s="34">
        <f t="shared" si="290"/>
        <v>0</v>
      </c>
      <c r="AE169" s="34">
        <f t="shared" si="290"/>
        <v>660956</v>
      </c>
      <c r="AF169" s="34">
        <f t="shared" si="290"/>
        <v>-427090</v>
      </c>
      <c r="AG169" s="34">
        <f t="shared" si="290"/>
        <v>233866</v>
      </c>
      <c r="AH169" s="34">
        <f t="shared" si="290"/>
        <v>-650700</v>
      </c>
      <c r="AI169" s="34">
        <f t="shared" si="290"/>
        <v>300700</v>
      </c>
      <c r="AJ169" s="34">
        <f t="shared" si="290"/>
        <v>0</v>
      </c>
      <c r="AK169" s="34">
        <f t="shared" si="290"/>
        <v>-101733</v>
      </c>
      <c r="AL169" s="34">
        <f t="shared" si="290"/>
        <v>0</v>
      </c>
      <c r="AM169" s="34">
        <f t="shared" si="290"/>
        <v>-728433</v>
      </c>
      <c r="AN169" s="34">
        <f t="shared" si="290"/>
        <v>290700</v>
      </c>
      <c r="AO169" s="34">
        <f t="shared" si="290"/>
        <v>-437733</v>
      </c>
      <c r="AP169" s="34">
        <f t="shared" si="290"/>
        <v>-67477</v>
      </c>
      <c r="AQ169" s="34">
        <f t="shared" si="290"/>
        <v>-136390</v>
      </c>
      <c r="AR169" s="34">
        <f t="shared" si="290"/>
        <v>-203867</v>
      </c>
      <c r="AS169" s="34">
        <f t="shared" si="290"/>
        <v>-39253</v>
      </c>
      <c r="AT169" s="34">
        <f t="shared" si="290"/>
        <v>2336</v>
      </c>
      <c r="AU169" s="34">
        <f t="shared" si="290"/>
        <v>5900</v>
      </c>
      <c r="AV169" s="34">
        <f t="shared" si="290"/>
        <v>0</v>
      </c>
      <c r="AW169" s="34">
        <f t="shared" si="290"/>
        <v>0</v>
      </c>
      <c r="AX169" s="34">
        <f t="shared" si="290"/>
        <v>5900</v>
      </c>
      <c r="AY169" s="34">
        <f t="shared" si="290"/>
        <v>-234884</v>
      </c>
      <c r="AZ169" s="35">
        <f t="shared" si="290"/>
        <v>-3.9999999999999994E-2</v>
      </c>
      <c r="BA169" s="35">
        <f t="shared" si="290"/>
        <v>-0.2</v>
      </c>
      <c r="BB169" s="35">
        <f t="shared" si="290"/>
        <v>-0.16000000000000006</v>
      </c>
      <c r="BC169" s="35">
        <f t="shared" si="290"/>
        <v>0.8899999999999999</v>
      </c>
      <c r="BD169" s="35">
        <f t="shared" si="290"/>
        <v>-0.39</v>
      </c>
      <c r="BE169" s="35">
        <f t="shared" si="290"/>
        <v>0.01</v>
      </c>
      <c r="BF169" s="35">
        <f t="shared" si="290"/>
        <v>0</v>
      </c>
      <c r="BG169" s="35">
        <f t="shared" si="290"/>
        <v>0</v>
      </c>
      <c r="BH169" s="35">
        <f t="shared" si="290"/>
        <v>0</v>
      </c>
      <c r="BI169" s="35">
        <f t="shared" si="290"/>
        <v>0.7</v>
      </c>
      <c r="BJ169" s="35">
        <f t="shared" si="290"/>
        <v>-0.59000000000000008</v>
      </c>
      <c r="BK169" s="148">
        <f t="shared" si="290"/>
        <v>0.10999999999999983</v>
      </c>
      <c r="BL169" s="139">
        <f t="shared" si="290"/>
        <v>389451143</v>
      </c>
      <c r="BM169" s="34">
        <f t="shared" si="290"/>
        <v>284237408</v>
      </c>
      <c r="BN169" s="34">
        <f t="shared" si="290"/>
        <v>238045986</v>
      </c>
      <c r="BO169" s="34">
        <f t="shared" si="290"/>
        <v>46191422</v>
      </c>
      <c r="BP169" s="34">
        <f t="shared" si="290"/>
        <v>1902655</v>
      </c>
      <c r="BQ169" s="34">
        <f t="shared" si="290"/>
        <v>1147675</v>
      </c>
      <c r="BR169" s="34">
        <f t="shared" si="290"/>
        <v>754980</v>
      </c>
      <c r="BS169" s="34">
        <f t="shared" si="290"/>
        <v>96650410</v>
      </c>
      <c r="BT169" s="34">
        <f t="shared" si="290"/>
        <v>2842379</v>
      </c>
      <c r="BU169" s="34">
        <f t="shared" si="290"/>
        <v>3818291</v>
      </c>
      <c r="BV169" s="35">
        <f t="shared" si="290"/>
        <v>535.29</v>
      </c>
      <c r="BW169" s="35">
        <f t="shared" si="290"/>
        <v>394.42929999999996</v>
      </c>
      <c r="BX169" s="148">
        <f t="shared" ref="BX169:CJ169" si="291">SUM(BX170:BX179)</f>
        <v>140.86069999999995</v>
      </c>
      <c r="BY169" s="671">
        <f t="shared" si="291"/>
        <v>1974452</v>
      </c>
      <c r="BZ169" s="667">
        <f t="shared" si="291"/>
        <v>1240800</v>
      </c>
      <c r="CA169" s="667">
        <f t="shared" si="291"/>
        <v>225600</v>
      </c>
      <c r="CB169" s="667">
        <f t="shared" si="291"/>
        <v>495644</v>
      </c>
      <c r="CC169" s="667">
        <f t="shared" si="291"/>
        <v>12408</v>
      </c>
      <c r="CD169" s="672">
        <f t="shared" si="291"/>
        <v>2.2000000000000002</v>
      </c>
      <c r="CE169" s="1003">
        <f t="shared" si="291"/>
        <v>11877431</v>
      </c>
      <c r="CF169" s="1003">
        <f t="shared" si="291"/>
        <v>8163186</v>
      </c>
      <c r="CG169" s="1003">
        <f t="shared" si="291"/>
        <v>2759153</v>
      </c>
      <c r="CH169" s="1003">
        <f t="shared" si="291"/>
        <v>81634</v>
      </c>
      <c r="CI169" s="1003">
        <f t="shared" si="291"/>
        <v>873458</v>
      </c>
      <c r="CJ169" s="885">
        <f t="shared" si="291"/>
        <v>24.647200000000005</v>
      </c>
    </row>
    <row r="170" spans="1:88" s="89" customFormat="1" ht="12.95" customHeight="1">
      <c r="D170" s="311"/>
      <c r="E170" s="312"/>
      <c r="F170" s="311"/>
      <c r="G170" s="313"/>
      <c r="H170" s="1">
        <v>3111</v>
      </c>
      <c r="I170" s="488">
        <f t="shared" ref="I170:BY170" si="292">SUMIF($F$12:$F$463,"=3111",I$12:I$463)</f>
        <v>78693417</v>
      </c>
      <c r="J170" s="489">
        <f t="shared" si="292"/>
        <v>57796811</v>
      </c>
      <c r="K170" s="489">
        <f t="shared" si="292"/>
        <v>51604175</v>
      </c>
      <c r="L170" s="489">
        <f t="shared" si="292"/>
        <v>6192636</v>
      </c>
      <c r="M170" s="489">
        <f t="shared" si="292"/>
        <v>344615</v>
      </c>
      <c r="N170" s="489">
        <f t="shared" si="292"/>
        <v>237815</v>
      </c>
      <c r="O170" s="489">
        <f t="shared" si="292"/>
        <v>106800</v>
      </c>
      <c r="P170" s="489">
        <f t="shared" si="292"/>
        <v>19616911</v>
      </c>
      <c r="Q170" s="489">
        <f t="shared" si="292"/>
        <v>577970</v>
      </c>
      <c r="R170" s="489">
        <f t="shared" si="292"/>
        <v>357110</v>
      </c>
      <c r="S170" s="492">
        <f t="shared" si="292"/>
        <v>115.5714</v>
      </c>
      <c r="T170" s="492">
        <f t="shared" si="292"/>
        <v>93.583000000000013</v>
      </c>
      <c r="U170" s="495">
        <f t="shared" si="292"/>
        <v>21.988399999999999</v>
      </c>
      <c r="V170" s="490">
        <f t="shared" si="292"/>
        <v>34980</v>
      </c>
      <c r="W170" s="489">
        <f t="shared" si="292"/>
        <v>9400</v>
      </c>
      <c r="X170" s="489">
        <f t="shared" si="292"/>
        <v>-171668</v>
      </c>
      <c r="Y170" s="489">
        <f t="shared" si="292"/>
        <v>0</v>
      </c>
      <c r="Z170" s="489">
        <f t="shared" si="292"/>
        <v>-142012</v>
      </c>
      <c r="AA170" s="489">
        <f t="shared" si="292"/>
        <v>0</v>
      </c>
      <c r="AB170" s="489">
        <f t="shared" si="292"/>
        <v>0</v>
      </c>
      <c r="AC170" s="489">
        <f t="shared" si="292"/>
        <v>0</v>
      </c>
      <c r="AD170" s="489">
        <f t="shared" si="292"/>
        <v>0</v>
      </c>
      <c r="AE170" s="489">
        <f t="shared" si="292"/>
        <v>-278700</v>
      </c>
      <c r="AF170" s="489">
        <f t="shared" si="292"/>
        <v>9400</v>
      </c>
      <c r="AG170" s="489">
        <f t="shared" si="292"/>
        <v>-269300</v>
      </c>
      <c r="AH170" s="489">
        <f t="shared" si="292"/>
        <v>-34980</v>
      </c>
      <c r="AI170" s="489">
        <f t="shared" si="292"/>
        <v>-9400</v>
      </c>
      <c r="AJ170" s="489">
        <f t="shared" si="292"/>
        <v>0</v>
      </c>
      <c r="AK170" s="489">
        <f t="shared" si="292"/>
        <v>0</v>
      </c>
      <c r="AL170" s="489">
        <f t="shared" si="292"/>
        <v>0</v>
      </c>
      <c r="AM170" s="489">
        <f t="shared" si="292"/>
        <v>-34980</v>
      </c>
      <c r="AN170" s="489">
        <f t="shared" si="292"/>
        <v>-9400</v>
      </c>
      <c r="AO170" s="489">
        <f t="shared" si="292"/>
        <v>-44380</v>
      </c>
      <c r="AP170" s="489">
        <f t="shared" si="292"/>
        <v>-313680</v>
      </c>
      <c r="AQ170" s="489">
        <f t="shared" si="292"/>
        <v>0</v>
      </c>
      <c r="AR170" s="489">
        <f t="shared" si="292"/>
        <v>-313680</v>
      </c>
      <c r="AS170" s="489">
        <f t="shared" si="292"/>
        <v>-106024</v>
      </c>
      <c r="AT170" s="489">
        <f t="shared" si="292"/>
        <v>-2693</v>
      </c>
      <c r="AU170" s="489">
        <f t="shared" si="292"/>
        <v>0</v>
      </c>
      <c r="AV170" s="489">
        <f t="shared" si="292"/>
        <v>0</v>
      </c>
      <c r="AW170" s="489">
        <f t="shared" si="292"/>
        <v>0</v>
      </c>
      <c r="AX170" s="489">
        <f t="shared" si="292"/>
        <v>0</v>
      </c>
      <c r="AY170" s="489">
        <f t="shared" si="292"/>
        <v>-422397</v>
      </c>
      <c r="AZ170" s="492">
        <f t="shared" si="292"/>
        <v>-0.01</v>
      </c>
      <c r="BA170" s="492">
        <f t="shared" si="292"/>
        <v>1.0000000000000002E-2</v>
      </c>
      <c r="BB170" s="492">
        <f t="shared" si="292"/>
        <v>-0.47</v>
      </c>
      <c r="BC170" s="492">
        <f t="shared" si="292"/>
        <v>-0.33</v>
      </c>
      <c r="BD170" s="492">
        <f t="shared" si="292"/>
        <v>0</v>
      </c>
      <c r="BE170" s="492">
        <f t="shared" si="292"/>
        <v>0</v>
      </c>
      <c r="BF170" s="492">
        <f t="shared" si="292"/>
        <v>0</v>
      </c>
      <c r="BG170" s="492">
        <f t="shared" si="292"/>
        <v>0</v>
      </c>
      <c r="BH170" s="492">
        <f t="shared" si="292"/>
        <v>0</v>
      </c>
      <c r="BI170" s="492">
        <f t="shared" si="292"/>
        <v>-0.81</v>
      </c>
      <c r="BJ170" s="492">
        <f t="shared" si="292"/>
        <v>1.0000000000000002E-2</v>
      </c>
      <c r="BK170" s="493">
        <f t="shared" si="292"/>
        <v>-0.8</v>
      </c>
      <c r="BL170" s="488">
        <f t="shared" si="292"/>
        <v>78271020</v>
      </c>
      <c r="BM170" s="489">
        <f t="shared" si="292"/>
        <v>57527511</v>
      </c>
      <c r="BN170" s="489">
        <f t="shared" si="292"/>
        <v>51325475</v>
      </c>
      <c r="BO170" s="489">
        <f t="shared" si="292"/>
        <v>6202036</v>
      </c>
      <c r="BP170" s="489">
        <f t="shared" si="292"/>
        <v>300235</v>
      </c>
      <c r="BQ170" s="489">
        <f t="shared" si="292"/>
        <v>202835</v>
      </c>
      <c r="BR170" s="489">
        <f t="shared" si="292"/>
        <v>97400</v>
      </c>
      <c r="BS170" s="489">
        <f t="shared" si="292"/>
        <v>19510887</v>
      </c>
      <c r="BT170" s="489">
        <f t="shared" si="292"/>
        <v>575277</v>
      </c>
      <c r="BU170" s="489">
        <f t="shared" si="292"/>
        <v>357110</v>
      </c>
      <c r="BV170" s="492">
        <f t="shared" si="292"/>
        <v>114.7714</v>
      </c>
      <c r="BW170" s="492">
        <f t="shared" si="292"/>
        <v>92.77300000000001</v>
      </c>
      <c r="BX170" s="493">
        <f t="shared" si="292"/>
        <v>21.9984</v>
      </c>
      <c r="BY170" s="488">
        <f t="shared" si="292"/>
        <v>0</v>
      </c>
      <c r="BZ170" s="489">
        <f t="shared" ref="BZ170:CJ170" si="293">SUMIF($F$12:$F$463,"=3111",BZ$12:BZ$463)</f>
        <v>0</v>
      </c>
      <c r="CA170" s="489">
        <f t="shared" si="293"/>
        <v>0</v>
      </c>
      <c r="CB170" s="489">
        <f t="shared" si="293"/>
        <v>0</v>
      </c>
      <c r="CC170" s="489">
        <f t="shared" si="293"/>
        <v>0</v>
      </c>
      <c r="CD170" s="495">
        <f t="shared" si="293"/>
        <v>0</v>
      </c>
      <c r="CE170" s="488">
        <f t="shared" si="293"/>
        <v>2843140</v>
      </c>
      <c r="CF170" s="489">
        <f t="shared" si="293"/>
        <v>2021358</v>
      </c>
      <c r="CG170" s="489">
        <f t="shared" si="293"/>
        <v>683216</v>
      </c>
      <c r="CH170" s="489">
        <f t="shared" si="293"/>
        <v>20216</v>
      </c>
      <c r="CI170" s="489">
        <f t="shared" si="293"/>
        <v>118350</v>
      </c>
      <c r="CJ170" s="495">
        <f t="shared" si="293"/>
        <v>7.087600000000001</v>
      </c>
    </row>
    <row r="171" spans="1:88" s="89" customFormat="1" ht="12.95" customHeight="1">
      <c r="D171" s="311"/>
      <c r="E171" s="312"/>
      <c r="F171" s="311"/>
      <c r="G171" s="313"/>
      <c r="H171" s="2">
        <v>3113</v>
      </c>
      <c r="I171" s="167">
        <f t="shared" ref="I171:BY171" si="294">SUMIF($F$12:$F$463,"=3113",I$12:I$463)</f>
        <v>162723882</v>
      </c>
      <c r="J171" s="16">
        <f t="shared" si="294"/>
        <v>117848729</v>
      </c>
      <c r="K171" s="16">
        <f t="shared" si="294"/>
        <v>105710127</v>
      </c>
      <c r="L171" s="16">
        <f t="shared" si="294"/>
        <v>12138602</v>
      </c>
      <c r="M171" s="16">
        <f t="shared" si="294"/>
        <v>1019333</v>
      </c>
      <c r="N171" s="16">
        <f t="shared" si="294"/>
        <v>965333</v>
      </c>
      <c r="O171" s="16">
        <f t="shared" si="294"/>
        <v>54000</v>
      </c>
      <c r="P171" s="16">
        <f t="shared" si="294"/>
        <v>40143021</v>
      </c>
      <c r="Q171" s="16">
        <f t="shared" si="294"/>
        <v>1178489</v>
      </c>
      <c r="R171" s="16">
        <f t="shared" si="294"/>
        <v>2534310</v>
      </c>
      <c r="S171" s="13">
        <f t="shared" si="294"/>
        <v>202.42839999999998</v>
      </c>
      <c r="T171" s="13">
        <f t="shared" si="294"/>
        <v>167.25889999999998</v>
      </c>
      <c r="U171" s="17">
        <f t="shared" si="294"/>
        <v>35.169499999999999</v>
      </c>
      <c r="V171" s="168">
        <f t="shared" si="294"/>
        <v>434600</v>
      </c>
      <c r="W171" s="16">
        <f t="shared" si="294"/>
        <v>-202000</v>
      </c>
      <c r="X171" s="16">
        <f t="shared" si="294"/>
        <v>30369</v>
      </c>
      <c r="Y171" s="16">
        <f t="shared" si="294"/>
        <v>8606</v>
      </c>
      <c r="Z171" s="16">
        <f t="shared" si="294"/>
        <v>0</v>
      </c>
      <c r="AA171" s="16">
        <f t="shared" si="294"/>
        <v>0</v>
      </c>
      <c r="AB171" s="16">
        <f t="shared" si="294"/>
        <v>0</v>
      </c>
      <c r="AC171" s="16">
        <f t="shared" si="294"/>
        <v>0</v>
      </c>
      <c r="AD171" s="16">
        <f t="shared" si="294"/>
        <v>0</v>
      </c>
      <c r="AE171" s="16">
        <f t="shared" si="294"/>
        <v>473575</v>
      </c>
      <c r="AF171" s="16">
        <f t="shared" si="294"/>
        <v>-202000</v>
      </c>
      <c r="AG171" s="16">
        <f t="shared" si="294"/>
        <v>271575</v>
      </c>
      <c r="AH171" s="16">
        <f t="shared" si="294"/>
        <v>-434600</v>
      </c>
      <c r="AI171" s="16">
        <f t="shared" si="294"/>
        <v>202000</v>
      </c>
      <c r="AJ171" s="16">
        <f t="shared" si="294"/>
        <v>0</v>
      </c>
      <c r="AK171" s="16">
        <f t="shared" si="294"/>
        <v>-101733</v>
      </c>
      <c r="AL171" s="16">
        <f t="shared" si="294"/>
        <v>0</v>
      </c>
      <c r="AM171" s="16">
        <f t="shared" si="294"/>
        <v>-536333</v>
      </c>
      <c r="AN171" s="16">
        <f t="shared" si="294"/>
        <v>202000</v>
      </c>
      <c r="AO171" s="16">
        <f t="shared" si="294"/>
        <v>-334333</v>
      </c>
      <c r="AP171" s="16">
        <f t="shared" si="294"/>
        <v>-62758</v>
      </c>
      <c r="AQ171" s="16">
        <f t="shared" si="294"/>
        <v>0</v>
      </c>
      <c r="AR171" s="16">
        <f t="shared" si="294"/>
        <v>-62758</v>
      </c>
      <c r="AS171" s="16">
        <f t="shared" si="294"/>
        <v>13174</v>
      </c>
      <c r="AT171" s="16">
        <f t="shared" si="294"/>
        <v>2715</v>
      </c>
      <c r="AU171" s="16">
        <f t="shared" si="294"/>
        <v>1400</v>
      </c>
      <c r="AV171" s="16">
        <f t="shared" si="294"/>
        <v>0</v>
      </c>
      <c r="AW171" s="16">
        <f t="shared" si="294"/>
        <v>0</v>
      </c>
      <c r="AX171" s="16">
        <f t="shared" si="294"/>
        <v>1400</v>
      </c>
      <c r="AY171" s="16">
        <f t="shared" si="294"/>
        <v>-45469</v>
      </c>
      <c r="AZ171" s="13">
        <f t="shared" si="294"/>
        <v>0.08</v>
      </c>
      <c r="BA171" s="13">
        <f t="shared" si="294"/>
        <v>-0.02</v>
      </c>
      <c r="BB171" s="13">
        <f t="shared" si="294"/>
        <v>0.27999999999999992</v>
      </c>
      <c r="BC171" s="13">
        <f t="shared" si="294"/>
        <v>0</v>
      </c>
      <c r="BD171" s="13">
        <f t="shared" si="294"/>
        <v>0</v>
      </c>
      <c r="BE171" s="13">
        <f t="shared" si="294"/>
        <v>0.01</v>
      </c>
      <c r="BF171" s="13">
        <f t="shared" si="294"/>
        <v>0</v>
      </c>
      <c r="BG171" s="13">
        <f t="shared" si="294"/>
        <v>0</v>
      </c>
      <c r="BH171" s="13">
        <f t="shared" si="294"/>
        <v>0</v>
      </c>
      <c r="BI171" s="13">
        <f t="shared" si="294"/>
        <v>0.37</v>
      </c>
      <c r="BJ171" s="13">
        <f t="shared" si="294"/>
        <v>-0.02</v>
      </c>
      <c r="BK171" s="169">
        <f t="shared" si="294"/>
        <v>0.35</v>
      </c>
      <c r="BL171" s="167">
        <f t="shared" si="294"/>
        <v>162678413</v>
      </c>
      <c r="BM171" s="16">
        <f t="shared" si="294"/>
        <v>118120304</v>
      </c>
      <c r="BN171" s="16">
        <f t="shared" si="294"/>
        <v>106183702</v>
      </c>
      <c r="BO171" s="16">
        <f t="shared" si="294"/>
        <v>11936602</v>
      </c>
      <c r="BP171" s="16">
        <f t="shared" si="294"/>
        <v>685000</v>
      </c>
      <c r="BQ171" s="16">
        <f t="shared" si="294"/>
        <v>429000</v>
      </c>
      <c r="BR171" s="16">
        <f t="shared" si="294"/>
        <v>256000</v>
      </c>
      <c r="BS171" s="16">
        <f t="shared" si="294"/>
        <v>40156195</v>
      </c>
      <c r="BT171" s="16">
        <f t="shared" si="294"/>
        <v>1181204</v>
      </c>
      <c r="BU171" s="16">
        <f t="shared" si="294"/>
        <v>2535710</v>
      </c>
      <c r="BV171" s="13">
        <f t="shared" si="294"/>
        <v>202.77839999999998</v>
      </c>
      <c r="BW171" s="13">
        <f t="shared" si="294"/>
        <v>167.62889999999999</v>
      </c>
      <c r="BX171" s="169">
        <f t="shared" si="294"/>
        <v>35.149499999999996</v>
      </c>
      <c r="BY171" s="167">
        <f t="shared" si="294"/>
        <v>1822398</v>
      </c>
      <c r="BZ171" s="16">
        <f t="shared" ref="BZ171:CJ171" si="295">SUMIF($F$12:$F$463,"=3113",BZ$12:BZ$463)</f>
        <v>1128000</v>
      </c>
      <c r="CA171" s="16">
        <f t="shared" si="295"/>
        <v>225600</v>
      </c>
      <c r="CB171" s="16">
        <f t="shared" si="295"/>
        <v>457518</v>
      </c>
      <c r="CC171" s="16">
        <f t="shared" si="295"/>
        <v>11280</v>
      </c>
      <c r="CD171" s="17">
        <f t="shared" si="295"/>
        <v>2</v>
      </c>
      <c r="CE171" s="167">
        <f t="shared" si="295"/>
        <v>5866115</v>
      </c>
      <c r="CF171" s="16">
        <f t="shared" si="295"/>
        <v>3913374</v>
      </c>
      <c r="CG171" s="16">
        <f t="shared" si="295"/>
        <v>1322719</v>
      </c>
      <c r="CH171" s="16">
        <f t="shared" si="295"/>
        <v>39134</v>
      </c>
      <c r="CI171" s="16">
        <f t="shared" si="295"/>
        <v>590888</v>
      </c>
      <c r="CJ171" s="17">
        <f t="shared" si="295"/>
        <v>11.3371</v>
      </c>
    </row>
    <row r="172" spans="1:88" s="89" customFormat="1" ht="12.95" customHeight="1">
      <c r="D172" s="311"/>
      <c r="E172" s="312"/>
      <c r="F172" s="311"/>
      <c r="G172" s="313"/>
      <c r="H172" s="2">
        <v>3114</v>
      </c>
      <c r="I172" s="167">
        <f t="shared" ref="I172:BY172" si="296">SUMIF($F$12:$F$463,"=3114",I$12:I$463)</f>
        <v>21191727</v>
      </c>
      <c r="J172" s="16">
        <f t="shared" si="296"/>
        <v>15398796</v>
      </c>
      <c r="K172" s="16">
        <f t="shared" si="296"/>
        <v>13833617</v>
      </c>
      <c r="L172" s="16">
        <f t="shared" si="296"/>
        <v>1565179</v>
      </c>
      <c r="M172" s="16">
        <f t="shared" si="296"/>
        <v>210920</v>
      </c>
      <c r="N172" s="16">
        <f t="shared" si="296"/>
        <v>155920</v>
      </c>
      <c r="O172" s="16">
        <f t="shared" si="296"/>
        <v>55000</v>
      </c>
      <c r="P172" s="16">
        <f t="shared" si="296"/>
        <v>5276084</v>
      </c>
      <c r="Q172" s="16">
        <f t="shared" si="296"/>
        <v>153987</v>
      </c>
      <c r="R172" s="16">
        <f t="shared" si="296"/>
        <v>151940</v>
      </c>
      <c r="S172" s="13">
        <f t="shared" si="296"/>
        <v>24.674399999999999</v>
      </c>
      <c r="T172" s="13">
        <f t="shared" si="296"/>
        <v>20.201099999999997</v>
      </c>
      <c r="U172" s="17">
        <f t="shared" si="296"/>
        <v>4.4733000000000001</v>
      </c>
      <c r="V172" s="168">
        <f t="shared" si="296"/>
        <v>95920</v>
      </c>
      <c r="W172" s="16">
        <f t="shared" si="296"/>
        <v>-30000</v>
      </c>
      <c r="X172" s="16">
        <f t="shared" si="296"/>
        <v>0</v>
      </c>
      <c r="Y172" s="16">
        <f t="shared" si="296"/>
        <v>0</v>
      </c>
      <c r="Z172" s="16">
        <f t="shared" si="296"/>
        <v>418223</v>
      </c>
      <c r="AA172" s="16">
        <f t="shared" si="296"/>
        <v>0</v>
      </c>
      <c r="AB172" s="16">
        <f t="shared" si="296"/>
        <v>0</v>
      </c>
      <c r="AC172" s="16">
        <f t="shared" si="296"/>
        <v>0</v>
      </c>
      <c r="AD172" s="16">
        <f t="shared" si="296"/>
        <v>0</v>
      </c>
      <c r="AE172" s="16">
        <f t="shared" si="296"/>
        <v>514143</v>
      </c>
      <c r="AF172" s="16">
        <f t="shared" si="296"/>
        <v>-30000</v>
      </c>
      <c r="AG172" s="16">
        <f t="shared" si="296"/>
        <v>484143</v>
      </c>
      <c r="AH172" s="16">
        <f t="shared" si="296"/>
        <v>-95920</v>
      </c>
      <c r="AI172" s="16">
        <f t="shared" si="296"/>
        <v>30000</v>
      </c>
      <c r="AJ172" s="16">
        <f t="shared" si="296"/>
        <v>0</v>
      </c>
      <c r="AK172" s="16">
        <f t="shared" si="296"/>
        <v>0</v>
      </c>
      <c r="AL172" s="16">
        <f t="shared" si="296"/>
        <v>0</v>
      </c>
      <c r="AM172" s="16">
        <f t="shared" si="296"/>
        <v>-95920</v>
      </c>
      <c r="AN172" s="16">
        <f t="shared" si="296"/>
        <v>30000</v>
      </c>
      <c r="AO172" s="16">
        <f t="shared" si="296"/>
        <v>-65920</v>
      </c>
      <c r="AP172" s="16">
        <f t="shared" si="296"/>
        <v>418223</v>
      </c>
      <c r="AQ172" s="16">
        <f t="shared" si="296"/>
        <v>0</v>
      </c>
      <c r="AR172" s="16">
        <f t="shared" si="296"/>
        <v>418223</v>
      </c>
      <c r="AS172" s="16">
        <f t="shared" si="296"/>
        <v>141360</v>
      </c>
      <c r="AT172" s="16">
        <f t="shared" si="296"/>
        <v>4841</v>
      </c>
      <c r="AU172" s="16">
        <f t="shared" si="296"/>
        <v>0</v>
      </c>
      <c r="AV172" s="16">
        <f t="shared" si="296"/>
        <v>0</v>
      </c>
      <c r="AW172" s="16">
        <f t="shared" si="296"/>
        <v>0</v>
      </c>
      <c r="AX172" s="16">
        <f t="shared" si="296"/>
        <v>0</v>
      </c>
      <c r="AY172" s="16">
        <f t="shared" si="296"/>
        <v>564424</v>
      </c>
      <c r="AZ172" s="13">
        <f t="shared" si="296"/>
        <v>-0.01</v>
      </c>
      <c r="BA172" s="13">
        <f t="shared" si="296"/>
        <v>-0.09</v>
      </c>
      <c r="BB172" s="13">
        <f t="shared" si="296"/>
        <v>0</v>
      </c>
      <c r="BC172" s="13">
        <f t="shared" si="296"/>
        <v>0.83</v>
      </c>
      <c r="BD172" s="13">
        <f t="shared" si="296"/>
        <v>0</v>
      </c>
      <c r="BE172" s="13">
        <f t="shared" si="296"/>
        <v>0</v>
      </c>
      <c r="BF172" s="13">
        <f t="shared" si="296"/>
        <v>0</v>
      </c>
      <c r="BG172" s="13">
        <f t="shared" si="296"/>
        <v>0</v>
      </c>
      <c r="BH172" s="13">
        <f t="shared" si="296"/>
        <v>0</v>
      </c>
      <c r="BI172" s="13">
        <f t="shared" si="296"/>
        <v>0.82</v>
      </c>
      <c r="BJ172" s="13">
        <f t="shared" si="296"/>
        <v>-0.09</v>
      </c>
      <c r="BK172" s="169">
        <f t="shared" si="296"/>
        <v>0.73</v>
      </c>
      <c r="BL172" s="167">
        <f t="shared" si="296"/>
        <v>21756151</v>
      </c>
      <c r="BM172" s="16">
        <f t="shared" si="296"/>
        <v>15882939</v>
      </c>
      <c r="BN172" s="16">
        <f t="shared" si="296"/>
        <v>14347760</v>
      </c>
      <c r="BO172" s="16">
        <f t="shared" si="296"/>
        <v>1535179</v>
      </c>
      <c r="BP172" s="16">
        <f t="shared" si="296"/>
        <v>145000</v>
      </c>
      <c r="BQ172" s="16">
        <f t="shared" si="296"/>
        <v>60000</v>
      </c>
      <c r="BR172" s="16">
        <f t="shared" si="296"/>
        <v>85000</v>
      </c>
      <c r="BS172" s="16">
        <f t="shared" si="296"/>
        <v>5417444</v>
      </c>
      <c r="BT172" s="16">
        <f t="shared" si="296"/>
        <v>158828</v>
      </c>
      <c r="BU172" s="16">
        <f t="shared" si="296"/>
        <v>151940</v>
      </c>
      <c r="BV172" s="13">
        <f t="shared" si="296"/>
        <v>25.404399999999999</v>
      </c>
      <c r="BW172" s="13">
        <f t="shared" si="296"/>
        <v>21.021099999999997</v>
      </c>
      <c r="BX172" s="169">
        <f t="shared" si="296"/>
        <v>4.3833000000000002</v>
      </c>
      <c r="BY172" s="167">
        <f t="shared" si="296"/>
        <v>0</v>
      </c>
      <c r="BZ172" s="16">
        <f t="shared" ref="BZ172:CJ172" si="297">SUMIF($F$12:$F$463,"=3114",BZ$12:BZ$463)</f>
        <v>0</v>
      </c>
      <c r="CA172" s="16">
        <f t="shared" si="297"/>
        <v>0</v>
      </c>
      <c r="CB172" s="16">
        <f t="shared" si="297"/>
        <v>0</v>
      </c>
      <c r="CC172" s="16">
        <f t="shared" si="297"/>
        <v>0</v>
      </c>
      <c r="CD172" s="17">
        <f t="shared" si="297"/>
        <v>0</v>
      </c>
      <c r="CE172" s="167">
        <f t="shared" si="297"/>
        <v>740394</v>
      </c>
      <c r="CF172" s="16">
        <f t="shared" si="297"/>
        <v>519907</v>
      </c>
      <c r="CG172" s="16">
        <f t="shared" si="297"/>
        <v>175728</v>
      </c>
      <c r="CH172" s="16">
        <f t="shared" si="297"/>
        <v>5199</v>
      </c>
      <c r="CI172" s="16">
        <f t="shared" si="297"/>
        <v>39560</v>
      </c>
      <c r="CJ172" s="17">
        <f t="shared" si="297"/>
        <v>1.4900000000000002</v>
      </c>
    </row>
    <row r="173" spans="1:88" s="89" customFormat="1" ht="12.95" customHeight="1">
      <c r="D173" s="311"/>
      <c r="E173" s="312"/>
      <c r="F173" s="311"/>
      <c r="G173" s="313"/>
      <c r="H173" s="2">
        <v>3117</v>
      </c>
      <c r="I173" s="167">
        <f t="shared" ref="I173:BY173" si="298">SUMIF($F$12:$F$463,"=3117",I$12:I$463)</f>
        <v>31111147</v>
      </c>
      <c r="J173" s="16">
        <f t="shared" si="298"/>
        <v>22559686</v>
      </c>
      <c r="K173" s="16">
        <f t="shared" si="298"/>
        <v>19110005</v>
      </c>
      <c r="L173" s="16">
        <f t="shared" si="298"/>
        <v>3449681</v>
      </c>
      <c r="M173" s="16">
        <f t="shared" si="298"/>
        <v>190480</v>
      </c>
      <c r="N173" s="16">
        <f t="shared" si="298"/>
        <v>140080</v>
      </c>
      <c r="O173" s="16">
        <f t="shared" si="298"/>
        <v>50400</v>
      </c>
      <c r="P173" s="16">
        <f t="shared" si="298"/>
        <v>7689557</v>
      </c>
      <c r="Q173" s="16">
        <f t="shared" si="298"/>
        <v>225599</v>
      </c>
      <c r="R173" s="16">
        <f t="shared" si="298"/>
        <v>445825</v>
      </c>
      <c r="S173" s="13">
        <f t="shared" si="298"/>
        <v>42.571100000000001</v>
      </c>
      <c r="T173" s="13">
        <f t="shared" si="298"/>
        <v>33.031000000000006</v>
      </c>
      <c r="U173" s="17">
        <f t="shared" si="298"/>
        <v>9.5401000000000007</v>
      </c>
      <c r="V173" s="168">
        <f t="shared" si="298"/>
        <v>49600</v>
      </c>
      <c r="W173" s="16">
        <f t="shared" si="298"/>
        <v>17400</v>
      </c>
      <c r="X173" s="16">
        <f t="shared" si="298"/>
        <v>5853</v>
      </c>
      <c r="Y173" s="16">
        <f t="shared" si="298"/>
        <v>0</v>
      </c>
      <c r="Z173" s="16">
        <f t="shared" si="298"/>
        <v>163564</v>
      </c>
      <c r="AA173" s="16">
        <f t="shared" si="298"/>
        <v>0</v>
      </c>
      <c r="AB173" s="16">
        <f t="shared" si="298"/>
        <v>0</v>
      </c>
      <c r="AC173" s="16">
        <f t="shared" si="298"/>
        <v>0</v>
      </c>
      <c r="AD173" s="16">
        <f t="shared" si="298"/>
        <v>0</v>
      </c>
      <c r="AE173" s="16">
        <f t="shared" si="298"/>
        <v>219017</v>
      </c>
      <c r="AF173" s="16">
        <f t="shared" si="298"/>
        <v>17400</v>
      </c>
      <c r="AG173" s="16">
        <f t="shared" si="298"/>
        <v>236417</v>
      </c>
      <c r="AH173" s="16">
        <f t="shared" si="298"/>
        <v>-49600</v>
      </c>
      <c r="AI173" s="16">
        <f t="shared" si="298"/>
        <v>-17400</v>
      </c>
      <c r="AJ173" s="16">
        <f t="shared" si="298"/>
        <v>0</v>
      </c>
      <c r="AK173" s="16">
        <f t="shared" si="298"/>
        <v>0</v>
      </c>
      <c r="AL173" s="16">
        <f t="shared" si="298"/>
        <v>0</v>
      </c>
      <c r="AM173" s="16">
        <f t="shared" si="298"/>
        <v>-25600</v>
      </c>
      <c r="AN173" s="16">
        <f t="shared" si="298"/>
        <v>-17400</v>
      </c>
      <c r="AO173" s="16">
        <f t="shared" si="298"/>
        <v>-43000</v>
      </c>
      <c r="AP173" s="16">
        <f t="shared" si="298"/>
        <v>193417</v>
      </c>
      <c r="AQ173" s="16">
        <f t="shared" si="298"/>
        <v>0</v>
      </c>
      <c r="AR173" s="16">
        <f t="shared" si="298"/>
        <v>193417</v>
      </c>
      <c r="AS173" s="16">
        <f t="shared" si="298"/>
        <v>57262</v>
      </c>
      <c r="AT173" s="16">
        <f t="shared" si="298"/>
        <v>2364</v>
      </c>
      <c r="AU173" s="16">
        <f t="shared" si="298"/>
        <v>4500</v>
      </c>
      <c r="AV173" s="16">
        <f t="shared" si="298"/>
        <v>0</v>
      </c>
      <c r="AW173" s="16">
        <f t="shared" si="298"/>
        <v>0</v>
      </c>
      <c r="AX173" s="16">
        <f t="shared" si="298"/>
        <v>4500</v>
      </c>
      <c r="AY173" s="16">
        <f t="shared" si="298"/>
        <v>257543</v>
      </c>
      <c r="AZ173" s="13">
        <f t="shared" si="298"/>
        <v>-0.03</v>
      </c>
      <c r="BA173" s="13">
        <f t="shared" si="298"/>
        <v>-0.05</v>
      </c>
      <c r="BB173" s="13">
        <f t="shared" si="298"/>
        <v>0.09</v>
      </c>
      <c r="BC173" s="13">
        <f t="shared" si="298"/>
        <v>0.33999999999999997</v>
      </c>
      <c r="BD173" s="13">
        <f t="shared" si="298"/>
        <v>0</v>
      </c>
      <c r="BE173" s="13">
        <f t="shared" si="298"/>
        <v>0</v>
      </c>
      <c r="BF173" s="13">
        <f t="shared" si="298"/>
        <v>0</v>
      </c>
      <c r="BG173" s="13">
        <f t="shared" si="298"/>
        <v>0</v>
      </c>
      <c r="BH173" s="13">
        <f t="shared" si="298"/>
        <v>0</v>
      </c>
      <c r="BI173" s="13">
        <f t="shared" si="298"/>
        <v>0.4</v>
      </c>
      <c r="BJ173" s="13">
        <f t="shared" si="298"/>
        <v>-0.05</v>
      </c>
      <c r="BK173" s="169">
        <f t="shared" si="298"/>
        <v>0.35</v>
      </c>
      <c r="BL173" s="167">
        <f t="shared" si="298"/>
        <v>31368690</v>
      </c>
      <c r="BM173" s="16">
        <f t="shared" si="298"/>
        <v>22796103</v>
      </c>
      <c r="BN173" s="16">
        <f t="shared" si="298"/>
        <v>19329022</v>
      </c>
      <c r="BO173" s="16">
        <f t="shared" si="298"/>
        <v>3467081</v>
      </c>
      <c r="BP173" s="16">
        <f t="shared" si="298"/>
        <v>147480</v>
      </c>
      <c r="BQ173" s="16">
        <f t="shared" si="298"/>
        <v>114480</v>
      </c>
      <c r="BR173" s="16">
        <f t="shared" si="298"/>
        <v>33000</v>
      </c>
      <c r="BS173" s="16">
        <f t="shared" si="298"/>
        <v>7746819</v>
      </c>
      <c r="BT173" s="16">
        <f t="shared" si="298"/>
        <v>227963</v>
      </c>
      <c r="BU173" s="16">
        <f t="shared" si="298"/>
        <v>450325</v>
      </c>
      <c r="BV173" s="13">
        <f t="shared" si="298"/>
        <v>42.921100000000003</v>
      </c>
      <c r="BW173" s="13">
        <f t="shared" si="298"/>
        <v>33.430999999999997</v>
      </c>
      <c r="BX173" s="169">
        <f t="shared" si="298"/>
        <v>9.4901</v>
      </c>
      <c r="BY173" s="167">
        <f t="shared" si="298"/>
        <v>152054</v>
      </c>
      <c r="BZ173" s="16">
        <f t="shared" ref="BZ173:CJ173" si="299">SUMIF($F$12:$F$463,"=3117",BZ$12:BZ$463)</f>
        <v>112800</v>
      </c>
      <c r="CA173" s="16">
        <f t="shared" si="299"/>
        <v>0</v>
      </c>
      <c r="CB173" s="16">
        <f t="shared" si="299"/>
        <v>38126</v>
      </c>
      <c r="CC173" s="16">
        <f t="shared" si="299"/>
        <v>1128</v>
      </c>
      <c r="CD173" s="17">
        <f t="shared" si="299"/>
        <v>0.2</v>
      </c>
      <c r="CE173" s="167">
        <f t="shared" si="299"/>
        <v>1591342</v>
      </c>
      <c r="CF173" s="16">
        <f t="shared" si="299"/>
        <v>1123365</v>
      </c>
      <c r="CG173" s="16">
        <f t="shared" si="299"/>
        <v>379698</v>
      </c>
      <c r="CH173" s="16">
        <f t="shared" si="299"/>
        <v>11233</v>
      </c>
      <c r="CI173" s="16">
        <f t="shared" si="299"/>
        <v>77046</v>
      </c>
      <c r="CJ173" s="17">
        <f t="shared" si="299"/>
        <v>3.0716000000000006</v>
      </c>
    </row>
    <row r="174" spans="1:88" s="89" customFormat="1" ht="12.95" customHeight="1">
      <c r="D174" s="311"/>
      <c r="E174" s="312"/>
      <c r="F174" s="311"/>
      <c r="G174" s="313"/>
      <c r="H174" s="2">
        <v>3122</v>
      </c>
      <c r="I174" s="167">
        <f t="shared" ref="I174:BY174" si="300">SUMIF($F$12:$F$463,"=3122",I$12:I$463)</f>
        <v>10574387</v>
      </c>
      <c r="J174" s="16">
        <f t="shared" si="300"/>
        <v>7656692</v>
      </c>
      <c r="K174" s="16">
        <f t="shared" si="300"/>
        <v>7314644</v>
      </c>
      <c r="L174" s="16">
        <f t="shared" si="300"/>
        <v>342048</v>
      </c>
      <c r="M174" s="16">
        <f t="shared" si="300"/>
        <v>128360</v>
      </c>
      <c r="N174" s="16">
        <f t="shared" si="300"/>
        <v>128360</v>
      </c>
      <c r="O174" s="16">
        <f t="shared" si="300"/>
        <v>0</v>
      </c>
      <c r="P174" s="16">
        <f t="shared" si="300"/>
        <v>2631348</v>
      </c>
      <c r="Q174" s="16">
        <f t="shared" si="300"/>
        <v>76567</v>
      </c>
      <c r="R174" s="16">
        <f t="shared" si="300"/>
        <v>81420</v>
      </c>
      <c r="S174" s="13">
        <f t="shared" si="300"/>
        <v>11.046200000000001</v>
      </c>
      <c r="T174" s="13">
        <f t="shared" si="300"/>
        <v>10.025400000000001</v>
      </c>
      <c r="U174" s="17">
        <f t="shared" si="300"/>
        <v>1.0207999999999999</v>
      </c>
      <c r="V174" s="168">
        <f t="shared" si="300"/>
        <v>50000</v>
      </c>
      <c r="W174" s="16">
        <f t="shared" si="300"/>
        <v>-15000</v>
      </c>
      <c r="X174" s="16">
        <f t="shared" si="300"/>
        <v>0</v>
      </c>
      <c r="Y174" s="16">
        <f t="shared" si="300"/>
        <v>0</v>
      </c>
      <c r="Z174" s="16">
        <f t="shared" si="300"/>
        <v>0</v>
      </c>
      <c r="AA174" s="16">
        <f t="shared" si="300"/>
        <v>0</v>
      </c>
      <c r="AB174" s="16">
        <f t="shared" si="300"/>
        <v>0</v>
      </c>
      <c r="AC174" s="16">
        <f t="shared" si="300"/>
        <v>0</v>
      </c>
      <c r="AD174" s="16">
        <f t="shared" si="300"/>
        <v>0</v>
      </c>
      <c r="AE174" s="16">
        <f t="shared" si="300"/>
        <v>50000</v>
      </c>
      <c r="AF174" s="16">
        <f t="shared" si="300"/>
        <v>-15000</v>
      </c>
      <c r="AG174" s="16">
        <f t="shared" si="300"/>
        <v>35000</v>
      </c>
      <c r="AH174" s="16">
        <f t="shared" si="300"/>
        <v>-50000</v>
      </c>
      <c r="AI174" s="16">
        <f t="shared" si="300"/>
        <v>15000</v>
      </c>
      <c r="AJ174" s="16">
        <f t="shared" si="300"/>
        <v>0</v>
      </c>
      <c r="AK174" s="16">
        <f t="shared" si="300"/>
        <v>0</v>
      </c>
      <c r="AL174" s="16">
        <f t="shared" si="300"/>
        <v>0</v>
      </c>
      <c r="AM174" s="16">
        <f t="shared" si="300"/>
        <v>-50000</v>
      </c>
      <c r="AN174" s="16">
        <f t="shared" si="300"/>
        <v>15000</v>
      </c>
      <c r="AO174" s="16">
        <f t="shared" si="300"/>
        <v>-35000</v>
      </c>
      <c r="AP174" s="16">
        <f t="shared" si="300"/>
        <v>0</v>
      </c>
      <c r="AQ174" s="16">
        <f t="shared" si="300"/>
        <v>0</v>
      </c>
      <c r="AR174" s="16">
        <f t="shared" si="300"/>
        <v>0</v>
      </c>
      <c r="AS174" s="16">
        <f t="shared" si="300"/>
        <v>0</v>
      </c>
      <c r="AT174" s="16">
        <f t="shared" si="300"/>
        <v>350</v>
      </c>
      <c r="AU174" s="16">
        <f t="shared" si="300"/>
        <v>0</v>
      </c>
      <c r="AV174" s="16">
        <f t="shared" si="300"/>
        <v>0</v>
      </c>
      <c r="AW174" s="16">
        <f t="shared" si="300"/>
        <v>0</v>
      </c>
      <c r="AX174" s="16">
        <f t="shared" si="300"/>
        <v>0</v>
      </c>
      <c r="AY174" s="16">
        <f t="shared" si="300"/>
        <v>350</v>
      </c>
      <c r="AZ174" s="13">
        <f t="shared" si="300"/>
        <v>0</v>
      </c>
      <c r="BA174" s="13">
        <f t="shared" si="300"/>
        <v>0</v>
      </c>
      <c r="BB174" s="13">
        <f t="shared" si="300"/>
        <v>0</v>
      </c>
      <c r="BC174" s="13">
        <f t="shared" si="300"/>
        <v>0</v>
      </c>
      <c r="BD174" s="13">
        <f t="shared" si="300"/>
        <v>0</v>
      </c>
      <c r="BE174" s="13">
        <f t="shared" si="300"/>
        <v>0</v>
      </c>
      <c r="BF174" s="13">
        <f t="shared" si="300"/>
        <v>0</v>
      </c>
      <c r="BG174" s="13">
        <f t="shared" si="300"/>
        <v>0</v>
      </c>
      <c r="BH174" s="13">
        <f t="shared" si="300"/>
        <v>0</v>
      </c>
      <c r="BI174" s="13">
        <f t="shared" si="300"/>
        <v>0</v>
      </c>
      <c r="BJ174" s="13">
        <f t="shared" si="300"/>
        <v>0</v>
      </c>
      <c r="BK174" s="169">
        <f t="shared" si="300"/>
        <v>0</v>
      </c>
      <c r="BL174" s="167">
        <f t="shared" si="300"/>
        <v>10574737</v>
      </c>
      <c r="BM174" s="16">
        <f t="shared" si="300"/>
        <v>7691692</v>
      </c>
      <c r="BN174" s="16">
        <f t="shared" si="300"/>
        <v>7364644</v>
      </c>
      <c r="BO174" s="16">
        <f t="shared" si="300"/>
        <v>327048</v>
      </c>
      <c r="BP174" s="16">
        <f t="shared" si="300"/>
        <v>93360</v>
      </c>
      <c r="BQ174" s="16">
        <f t="shared" si="300"/>
        <v>78360</v>
      </c>
      <c r="BR174" s="16">
        <f t="shared" si="300"/>
        <v>15000</v>
      </c>
      <c r="BS174" s="16">
        <f t="shared" si="300"/>
        <v>2631348</v>
      </c>
      <c r="BT174" s="16">
        <f t="shared" si="300"/>
        <v>76917</v>
      </c>
      <c r="BU174" s="16">
        <f t="shared" si="300"/>
        <v>81420</v>
      </c>
      <c r="BV174" s="13">
        <f t="shared" si="300"/>
        <v>11.046200000000001</v>
      </c>
      <c r="BW174" s="13">
        <f t="shared" si="300"/>
        <v>10.025400000000001</v>
      </c>
      <c r="BX174" s="169">
        <f t="shared" si="300"/>
        <v>1.0207999999999999</v>
      </c>
      <c r="BY174" s="167">
        <f t="shared" si="300"/>
        <v>0</v>
      </c>
      <c r="BZ174" s="16">
        <f t="shared" ref="BZ174:CJ174" si="301">SUMIF($F$12:$F$463,"=3122",BZ$12:BZ$463)</f>
        <v>0</v>
      </c>
      <c r="CA174" s="16">
        <f t="shared" si="301"/>
        <v>0</v>
      </c>
      <c r="CB174" s="16">
        <f t="shared" si="301"/>
        <v>0</v>
      </c>
      <c r="CC174" s="16">
        <f t="shared" si="301"/>
        <v>0</v>
      </c>
      <c r="CD174" s="17">
        <f t="shared" si="301"/>
        <v>0</v>
      </c>
      <c r="CE174" s="167">
        <f t="shared" si="301"/>
        <v>175113</v>
      </c>
      <c r="CF174" s="16">
        <f t="shared" si="301"/>
        <v>109772</v>
      </c>
      <c r="CG174" s="16">
        <f t="shared" si="301"/>
        <v>37103</v>
      </c>
      <c r="CH174" s="16">
        <f t="shared" si="301"/>
        <v>1098</v>
      </c>
      <c r="CI174" s="16">
        <f t="shared" si="301"/>
        <v>27140</v>
      </c>
      <c r="CJ174" s="17">
        <f t="shared" si="301"/>
        <v>0.3276</v>
      </c>
    </row>
    <row r="175" spans="1:88" s="89" customFormat="1" ht="12.95" customHeight="1">
      <c r="D175" s="311"/>
      <c r="E175" s="312"/>
      <c r="F175" s="311"/>
      <c r="G175" s="313"/>
      <c r="H175" s="2">
        <v>3124</v>
      </c>
      <c r="I175" s="167">
        <f t="shared" ref="I175:BY175" si="302">SUMIF($F$12:$F$463,"=3124",I$12:I$463)</f>
        <v>0</v>
      </c>
      <c r="J175" s="16">
        <f t="shared" si="302"/>
        <v>0</v>
      </c>
      <c r="K175" s="16">
        <f t="shared" si="302"/>
        <v>0</v>
      </c>
      <c r="L175" s="16">
        <f t="shared" si="302"/>
        <v>0</v>
      </c>
      <c r="M175" s="16">
        <f t="shared" si="302"/>
        <v>0</v>
      </c>
      <c r="N175" s="16">
        <f t="shared" si="302"/>
        <v>0</v>
      </c>
      <c r="O175" s="16">
        <f t="shared" si="302"/>
        <v>0</v>
      </c>
      <c r="P175" s="16">
        <f t="shared" si="302"/>
        <v>0</v>
      </c>
      <c r="Q175" s="16">
        <f t="shared" si="302"/>
        <v>0</v>
      </c>
      <c r="R175" s="16">
        <f t="shared" si="302"/>
        <v>0</v>
      </c>
      <c r="S175" s="13">
        <f t="shared" si="302"/>
        <v>0</v>
      </c>
      <c r="T175" s="13">
        <f t="shared" si="302"/>
        <v>0</v>
      </c>
      <c r="U175" s="17">
        <f t="shared" si="302"/>
        <v>0</v>
      </c>
      <c r="V175" s="168">
        <f t="shared" si="302"/>
        <v>0</v>
      </c>
      <c r="W175" s="16">
        <f t="shared" si="302"/>
        <v>0</v>
      </c>
      <c r="X175" s="16">
        <f t="shared" si="302"/>
        <v>0</v>
      </c>
      <c r="Y175" s="16">
        <f t="shared" si="302"/>
        <v>0</v>
      </c>
      <c r="Z175" s="16">
        <f t="shared" si="302"/>
        <v>0</v>
      </c>
      <c r="AA175" s="16">
        <f t="shared" si="302"/>
        <v>0</v>
      </c>
      <c r="AB175" s="16">
        <f t="shared" si="302"/>
        <v>0</v>
      </c>
      <c r="AC175" s="16">
        <f t="shared" si="302"/>
        <v>0</v>
      </c>
      <c r="AD175" s="16">
        <f t="shared" si="302"/>
        <v>0</v>
      </c>
      <c r="AE175" s="16">
        <f t="shared" si="302"/>
        <v>0</v>
      </c>
      <c r="AF175" s="16">
        <f t="shared" si="302"/>
        <v>0</v>
      </c>
      <c r="AG175" s="16">
        <f t="shared" si="302"/>
        <v>0</v>
      </c>
      <c r="AH175" s="16">
        <f t="shared" si="302"/>
        <v>0</v>
      </c>
      <c r="AI175" s="16">
        <f t="shared" si="302"/>
        <v>0</v>
      </c>
      <c r="AJ175" s="16">
        <f t="shared" si="302"/>
        <v>0</v>
      </c>
      <c r="AK175" s="16">
        <f t="shared" si="302"/>
        <v>0</v>
      </c>
      <c r="AL175" s="16">
        <f t="shared" si="302"/>
        <v>0</v>
      </c>
      <c r="AM175" s="16">
        <f t="shared" si="302"/>
        <v>0</v>
      </c>
      <c r="AN175" s="16">
        <f t="shared" si="302"/>
        <v>0</v>
      </c>
      <c r="AO175" s="16">
        <f t="shared" si="302"/>
        <v>0</v>
      </c>
      <c r="AP175" s="16">
        <f t="shared" si="302"/>
        <v>0</v>
      </c>
      <c r="AQ175" s="16">
        <f t="shared" si="302"/>
        <v>0</v>
      </c>
      <c r="AR175" s="16">
        <f t="shared" si="302"/>
        <v>0</v>
      </c>
      <c r="AS175" s="16">
        <f t="shared" si="302"/>
        <v>0</v>
      </c>
      <c r="AT175" s="16">
        <f t="shared" si="302"/>
        <v>0</v>
      </c>
      <c r="AU175" s="16">
        <f t="shared" si="302"/>
        <v>0</v>
      </c>
      <c r="AV175" s="16">
        <f t="shared" si="302"/>
        <v>0</v>
      </c>
      <c r="AW175" s="16">
        <f t="shared" si="302"/>
        <v>0</v>
      </c>
      <c r="AX175" s="16">
        <f t="shared" si="302"/>
        <v>0</v>
      </c>
      <c r="AY175" s="16">
        <f t="shared" si="302"/>
        <v>0</v>
      </c>
      <c r="AZ175" s="13">
        <f t="shared" si="302"/>
        <v>0</v>
      </c>
      <c r="BA175" s="13">
        <f t="shared" si="302"/>
        <v>0</v>
      </c>
      <c r="BB175" s="13">
        <f t="shared" si="302"/>
        <v>0</v>
      </c>
      <c r="BC175" s="13">
        <f t="shared" si="302"/>
        <v>0</v>
      </c>
      <c r="BD175" s="13">
        <f t="shared" si="302"/>
        <v>0</v>
      </c>
      <c r="BE175" s="13">
        <f t="shared" si="302"/>
        <v>0</v>
      </c>
      <c r="BF175" s="13">
        <f t="shared" si="302"/>
        <v>0</v>
      </c>
      <c r="BG175" s="13">
        <f t="shared" si="302"/>
        <v>0</v>
      </c>
      <c r="BH175" s="13">
        <f t="shared" si="302"/>
        <v>0</v>
      </c>
      <c r="BI175" s="13">
        <f t="shared" si="302"/>
        <v>0</v>
      </c>
      <c r="BJ175" s="13">
        <f t="shared" si="302"/>
        <v>0</v>
      </c>
      <c r="BK175" s="169">
        <f t="shared" si="302"/>
        <v>0</v>
      </c>
      <c r="BL175" s="167">
        <f t="shared" si="302"/>
        <v>0</v>
      </c>
      <c r="BM175" s="16">
        <f t="shared" si="302"/>
        <v>0</v>
      </c>
      <c r="BN175" s="16">
        <f t="shared" si="302"/>
        <v>0</v>
      </c>
      <c r="BO175" s="16">
        <f t="shared" si="302"/>
        <v>0</v>
      </c>
      <c r="BP175" s="16">
        <f t="shared" si="302"/>
        <v>0</v>
      </c>
      <c r="BQ175" s="16">
        <f t="shared" si="302"/>
        <v>0</v>
      </c>
      <c r="BR175" s="16">
        <f t="shared" si="302"/>
        <v>0</v>
      </c>
      <c r="BS175" s="16">
        <f t="shared" si="302"/>
        <v>0</v>
      </c>
      <c r="BT175" s="16">
        <f t="shared" si="302"/>
        <v>0</v>
      </c>
      <c r="BU175" s="16">
        <f t="shared" si="302"/>
        <v>0</v>
      </c>
      <c r="BV175" s="13">
        <f t="shared" si="302"/>
        <v>0</v>
      </c>
      <c r="BW175" s="13">
        <f t="shared" si="302"/>
        <v>0</v>
      </c>
      <c r="BX175" s="169">
        <f t="shared" si="302"/>
        <v>0</v>
      </c>
      <c r="BY175" s="167">
        <f t="shared" si="302"/>
        <v>0</v>
      </c>
      <c r="BZ175" s="16">
        <f t="shared" ref="BZ175:CJ175" si="303">SUMIF($F$12:$F$463,"=3124",BZ$12:BZ$463)</f>
        <v>0</v>
      </c>
      <c r="CA175" s="16">
        <f t="shared" si="303"/>
        <v>0</v>
      </c>
      <c r="CB175" s="16">
        <f t="shared" si="303"/>
        <v>0</v>
      </c>
      <c r="CC175" s="16">
        <f t="shared" si="303"/>
        <v>0</v>
      </c>
      <c r="CD175" s="17">
        <f t="shared" si="303"/>
        <v>0</v>
      </c>
      <c r="CE175" s="167">
        <f t="shared" si="303"/>
        <v>0</v>
      </c>
      <c r="CF175" s="16">
        <f t="shared" si="303"/>
        <v>0</v>
      </c>
      <c r="CG175" s="16">
        <f t="shared" si="303"/>
        <v>0</v>
      </c>
      <c r="CH175" s="16">
        <f t="shared" si="303"/>
        <v>0</v>
      </c>
      <c r="CI175" s="16">
        <f t="shared" si="303"/>
        <v>0</v>
      </c>
      <c r="CJ175" s="17">
        <f t="shared" si="303"/>
        <v>0</v>
      </c>
    </row>
    <row r="176" spans="1:88" s="89" customFormat="1" ht="12.95" customHeight="1">
      <c r="D176" s="311"/>
      <c r="E176" s="312"/>
      <c r="F176" s="311"/>
      <c r="G176" s="313"/>
      <c r="H176" s="2">
        <v>3141</v>
      </c>
      <c r="I176" s="167">
        <f t="shared" ref="I176:BY176" si="304">SUMIF($F$12:$F$463,"=3141",I$12:I$463)</f>
        <v>27224536</v>
      </c>
      <c r="J176" s="16">
        <f t="shared" si="304"/>
        <v>19928670</v>
      </c>
      <c r="K176" s="16">
        <f t="shared" si="304"/>
        <v>0</v>
      </c>
      <c r="L176" s="16">
        <f t="shared" si="304"/>
        <v>19928670</v>
      </c>
      <c r="M176" s="16">
        <f t="shared" si="304"/>
        <v>173880</v>
      </c>
      <c r="N176" s="16">
        <f t="shared" si="304"/>
        <v>0</v>
      </c>
      <c r="O176" s="16">
        <f t="shared" si="304"/>
        <v>173880</v>
      </c>
      <c r="P176" s="16">
        <f t="shared" si="304"/>
        <v>6769351</v>
      </c>
      <c r="Q176" s="16">
        <f t="shared" si="304"/>
        <v>199287</v>
      </c>
      <c r="R176" s="16">
        <f t="shared" si="304"/>
        <v>153348</v>
      </c>
      <c r="S176" s="13">
        <f t="shared" si="304"/>
        <v>59.956599999999995</v>
      </c>
      <c r="T176" s="13">
        <f t="shared" si="304"/>
        <v>0</v>
      </c>
      <c r="U176" s="17">
        <f t="shared" si="304"/>
        <v>59.956599999999995</v>
      </c>
      <c r="V176" s="168">
        <f t="shared" si="304"/>
        <v>0</v>
      </c>
      <c r="W176" s="16">
        <f t="shared" si="304"/>
        <v>-76500</v>
      </c>
      <c r="X176" s="16">
        <f t="shared" si="304"/>
        <v>0</v>
      </c>
      <c r="Y176" s="16">
        <f t="shared" si="304"/>
        <v>0</v>
      </c>
      <c r="Z176" s="16">
        <f t="shared" si="304"/>
        <v>0</v>
      </c>
      <c r="AA176" s="16">
        <f t="shared" si="304"/>
        <v>-126390</v>
      </c>
      <c r="AB176" s="16">
        <f t="shared" si="304"/>
        <v>0</v>
      </c>
      <c r="AC176" s="16">
        <f t="shared" si="304"/>
        <v>0</v>
      </c>
      <c r="AD176" s="16">
        <f t="shared" si="304"/>
        <v>0</v>
      </c>
      <c r="AE176" s="16">
        <f t="shared" si="304"/>
        <v>0</v>
      </c>
      <c r="AF176" s="16">
        <f t="shared" si="304"/>
        <v>-202890</v>
      </c>
      <c r="AG176" s="16">
        <f t="shared" si="304"/>
        <v>-202890</v>
      </c>
      <c r="AH176" s="16">
        <f t="shared" si="304"/>
        <v>0</v>
      </c>
      <c r="AI176" s="16">
        <f t="shared" si="304"/>
        <v>76500</v>
      </c>
      <c r="AJ176" s="16">
        <f t="shared" si="304"/>
        <v>0</v>
      </c>
      <c r="AK176" s="16">
        <f t="shared" si="304"/>
        <v>0</v>
      </c>
      <c r="AL176" s="16">
        <f t="shared" si="304"/>
        <v>0</v>
      </c>
      <c r="AM176" s="16">
        <f t="shared" si="304"/>
        <v>0</v>
      </c>
      <c r="AN176" s="16">
        <f t="shared" si="304"/>
        <v>66500</v>
      </c>
      <c r="AO176" s="16">
        <f t="shared" si="304"/>
        <v>66500</v>
      </c>
      <c r="AP176" s="16">
        <f t="shared" si="304"/>
        <v>0</v>
      </c>
      <c r="AQ176" s="16">
        <f t="shared" si="304"/>
        <v>-136390</v>
      </c>
      <c r="AR176" s="16">
        <f t="shared" si="304"/>
        <v>-136390</v>
      </c>
      <c r="AS176" s="16">
        <f t="shared" si="304"/>
        <v>-42720</v>
      </c>
      <c r="AT176" s="16">
        <f t="shared" si="304"/>
        <v>-2030</v>
      </c>
      <c r="AU176" s="16">
        <f t="shared" si="304"/>
        <v>0</v>
      </c>
      <c r="AV176" s="16">
        <f t="shared" si="304"/>
        <v>0</v>
      </c>
      <c r="AW176" s="16">
        <f t="shared" si="304"/>
        <v>0</v>
      </c>
      <c r="AX176" s="16">
        <f t="shared" si="304"/>
        <v>0</v>
      </c>
      <c r="AY176" s="16">
        <f t="shared" si="304"/>
        <v>-181140</v>
      </c>
      <c r="AZ176" s="13">
        <f t="shared" si="304"/>
        <v>0</v>
      </c>
      <c r="BA176" s="13">
        <f t="shared" si="304"/>
        <v>-0.04</v>
      </c>
      <c r="BB176" s="13">
        <f t="shared" si="304"/>
        <v>0</v>
      </c>
      <c r="BC176" s="13">
        <f t="shared" si="304"/>
        <v>0</v>
      </c>
      <c r="BD176" s="13">
        <f t="shared" si="304"/>
        <v>-0.39</v>
      </c>
      <c r="BE176" s="13">
        <f t="shared" si="304"/>
        <v>0</v>
      </c>
      <c r="BF176" s="13">
        <f t="shared" si="304"/>
        <v>0</v>
      </c>
      <c r="BG176" s="13">
        <f t="shared" si="304"/>
        <v>0</v>
      </c>
      <c r="BH176" s="13">
        <f t="shared" si="304"/>
        <v>0</v>
      </c>
      <c r="BI176" s="13">
        <f t="shared" si="304"/>
        <v>0</v>
      </c>
      <c r="BJ176" s="13">
        <f t="shared" si="304"/>
        <v>-0.43000000000000005</v>
      </c>
      <c r="BK176" s="169">
        <f t="shared" si="304"/>
        <v>-0.43000000000000005</v>
      </c>
      <c r="BL176" s="167">
        <f t="shared" si="304"/>
        <v>27043396</v>
      </c>
      <c r="BM176" s="16">
        <f t="shared" si="304"/>
        <v>19725780</v>
      </c>
      <c r="BN176" s="16">
        <f t="shared" si="304"/>
        <v>0</v>
      </c>
      <c r="BO176" s="16">
        <f t="shared" si="304"/>
        <v>19725780</v>
      </c>
      <c r="BP176" s="16">
        <f t="shared" si="304"/>
        <v>240380</v>
      </c>
      <c r="BQ176" s="16">
        <f t="shared" si="304"/>
        <v>0</v>
      </c>
      <c r="BR176" s="16">
        <f t="shared" si="304"/>
        <v>240380</v>
      </c>
      <c r="BS176" s="16">
        <f t="shared" si="304"/>
        <v>6726631</v>
      </c>
      <c r="BT176" s="16">
        <f t="shared" si="304"/>
        <v>197257</v>
      </c>
      <c r="BU176" s="16">
        <f t="shared" si="304"/>
        <v>153348</v>
      </c>
      <c r="BV176" s="13">
        <f t="shared" si="304"/>
        <v>59.526599999999995</v>
      </c>
      <c r="BW176" s="13">
        <f t="shared" si="304"/>
        <v>0</v>
      </c>
      <c r="BX176" s="169">
        <f t="shared" si="304"/>
        <v>59.526599999999995</v>
      </c>
      <c r="BY176" s="167">
        <f t="shared" si="304"/>
        <v>0</v>
      </c>
      <c r="BZ176" s="16">
        <f t="shared" ref="BZ176:CJ176" si="305">SUMIF($F$12:$F$463,"=3141",BZ$12:BZ$463)</f>
        <v>0</v>
      </c>
      <c r="CA176" s="16">
        <f t="shared" si="305"/>
        <v>0</v>
      </c>
      <c r="CB176" s="16">
        <f t="shared" si="305"/>
        <v>0</v>
      </c>
      <c r="CC176" s="16">
        <f t="shared" si="305"/>
        <v>0</v>
      </c>
      <c r="CD176" s="17">
        <f t="shared" si="305"/>
        <v>0</v>
      </c>
      <c r="CE176" s="167">
        <f t="shared" si="305"/>
        <v>0</v>
      </c>
      <c r="CF176" s="16">
        <f t="shared" si="305"/>
        <v>0</v>
      </c>
      <c r="CG176" s="16">
        <f t="shared" si="305"/>
        <v>0</v>
      </c>
      <c r="CH176" s="16">
        <f t="shared" si="305"/>
        <v>0</v>
      </c>
      <c r="CI176" s="16">
        <f t="shared" si="305"/>
        <v>0</v>
      </c>
      <c r="CJ176" s="17">
        <f t="shared" si="305"/>
        <v>0</v>
      </c>
    </row>
    <row r="177" spans="1:88" s="89" customFormat="1" ht="12.95" customHeight="1">
      <c r="D177" s="311"/>
      <c r="E177" s="312"/>
      <c r="F177" s="311"/>
      <c r="G177" s="313"/>
      <c r="H177" s="2">
        <v>3143</v>
      </c>
      <c r="I177" s="167">
        <f t="shared" ref="I177:BY177" si="306">SUMIF($F$12:$F$463,"=3143",I$12:I$463)</f>
        <v>15535468</v>
      </c>
      <c r="J177" s="16">
        <f t="shared" si="306"/>
        <v>11347704</v>
      </c>
      <c r="K177" s="16">
        <f t="shared" si="306"/>
        <v>10977454</v>
      </c>
      <c r="L177" s="16">
        <f t="shared" si="306"/>
        <v>370250</v>
      </c>
      <c r="M177" s="16">
        <f t="shared" si="306"/>
        <v>165000</v>
      </c>
      <c r="N177" s="16">
        <f t="shared" si="306"/>
        <v>159600</v>
      </c>
      <c r="O177" s="16">
        <f t="shared" si="306"/>
        <v>5400</v>
      </c>
      <c r="P177" s="16">
        <f t="shared" si="306"/>
        <v>3891293</v>
      </c>
      <c r="Q177" s="16">
        <f t="shared" si="306"/>
        <v>113480</v>
      </c>
      <c r="R177" s="16">
        <f t="shared" si="306"/>
        <v>17991</v>
      </c>
      <c r="S177" s="13">
        <f t="shared" si="306"/>
        <v>24.300800000000002</v>
      </c>
      <c r="T177" s="13">
        <f t="shared" si="306"/>
        <v>22.8825</v>
      </c>
      <c r="U177" s="17">
        <f t="shared" si="306"/>
        <v>1.4183000000000001</v>
      </c>
      <c r="V177" s="168">
        <f t="shared" si="306"/>
        <v>9200</v>
      </c>
      <c r="W177" s="16">
        <f t="shared" si="306"/>
        <v>2400</v>
      </c>
      <c r="X177" s="16">
        <f t="shared" si="306"/>
        <v>0</v>
      </c>
      <c r="Y177" s="16">
        <f t="shared" si="306"/>
        <v>0</v>
      </c>
      <c r="Z177" s="16">
        <f t="shared" si="306"/>
        <v>20496</v>
      </c>
      <c r="AA177" s="16">
        <f t="shared" si="306"/>
        <v>0</v>
      </c>
      <c r="AB177" s="16">
        <f t="shared" si="306"/>
        <v>0</v>
      </c>
      <c r="AC177" s="16">
        <f t="shared" si="306"/>
        <v>0</v>
      </c>
      <c r="AD177" s="16">
        <f t="shared" si="306"/>
        <v>0</v>
      </c>
      <c r="AE177" s="16">
        <f t="shared" si="306"/>
        <v>29696</v>
      </c>
      <c r="AF177" s="16">
        <f t="shared" si="306"/>
        <v>2400</v>
      </c>
      <c r="AG177" s="16">
        <f t="shared" si="306"/>
        <v>32096</v>
      </c>
      <c r="AH177" s="16">
        <f t="shared" si="306"/>
        <v>-9200</v>
      </c>
      <c r="AI177" s="16">
        <f t="shared" si="306"/>
        <v>-2400</v>
      </c>
      <c r="AJ177" s="16">
        <f t="shared" si="306"/>
        <v>0</v>
      </c>
      <c r="AK177" s="16">
        <f t="shared" si="306"/>
        <v>0</v>
      </c>
      <c r="AL177" s="16">
        <f t="shared" si="306"/>
        <v>0</v>
      </c>
      <c r="AM177" s="16">
        <f t="shared" si="306"/>
        <v>-9200</v>
      </c>
      <c r="AN177" s="16">
        <f t="shared" si="306"/>
        <v>-2400</v>
      </c>
      <c r="AO177" s="16">
        <f t="shared" si="306"/>
        <v>-11600</v>
      </c>
      <c r="AP177" s="16">
        <f t="shared" si="306"/>
        <v>20496</v>
      </c>
      <c r="AQ177" s="16">
        <f t="shared" si="306"/>
        <v>0</v>
      </c>
      <c r="AR177" s="16">
        <f t="shared" si="306"/>
        <v>20496</v>
      </c>
      <c r="AS177" s="16">
        <f t="shared" si="306"/>
        <v>6928</v>
      </c>
      <c r="AT177" s="16">
        <f t="shared" si="306"/>
        <v>321</v>
      </c>
      <c r="AU177" s="16">
        <f t="shared" si="306"/>
        <v>0</v>
      </c>
      <c r="AV177" s="16">
        <f t="shared" si="306"/>
        <v>0</v>
      </c>
      <c r="AW177" s="16">
        <f t="shared" si="306"/>
        <v>0</v>
      </c>
      <c r="AX177" s="16">
        <f t="shared" si="306"/>
        <v>0</v>
      </c>
      <c r="AY177" s="16">
        <f t="shared" si="306"/>
        <v>27745</v>
      </c>
      <c r="AZ177" s="13">
        <f t="shared" si="306"/>
        <v>0</v>
      </c>
      <c r="BA177" s="13">
        <f t="shared" si="306"/>
        <v>0</v>
      </c>
      <c r="BB177" s="13">
        <f t="shared" si="306"/>
        <v>0</v>
      </c>
      <c r="BC177" s="13">
        <f t="shared" si="306"/>
        <v>0.05</v>
      </c>
      <c r="BD177" s="13">
        <f t="shared" si="306"/>
        <v>0</v>
      </c>
      <c r="BE177" s="13">
        <f t="shared" si="306"/>
        <v>0</v>
      </c>
      <c r="BF177" s="13">
        <f t="shared" si="306"/>
        <v>0</v>
      </c>
      <c r="BG177" s="13">
        <f t="shared" si="306"/>
        <v>0</v>
      </c>
      <c r="BH177" s="13">
        <f t="shared" si="306"/>
        <v>0</v>
      </c>
      <c r="BI177" s="13">
        <f t="shared" si="306"/>
        <v>0.05</v>
      </c>
      <c r="BJ177" s="13">
        <f t="shared" si="306"/>
        <v>0</v>
      </c>
      <c r="BK177" s="169">
        <f t="shared" si="306"/>
        <v>0.05</v>
      </c>
      <c r="BL177" s="167">
        <f t="shared" si="306"/>
        <v>15563213</v>
      </c>
      <c r="BM177" s="16">
        <f t="shared" si="306"/>
        <v>11379800</v>
      </c>
      <c r="BN177" s="16">
        <f t="shared" si="306"/>
        <v>11007150</v>
      </c>
      <c r="BO177" s="16">
        <f t="shared" si="306"/>
        <v>372650</v>
      </c>
      <c r="BP177" s="16">
        <f t="shared" si="306"/>
        <v>153400</v>
      </c>
      <c r="BQ177" s="16">
        <f t="shared" si="306"/>
        <v>150400</v>
      </c>
      <c r="BR177" s="16">
        <f t="shared" si="306"/>
        <v>3000</v>
      </c>
      <c r="BS177" s="16">
        <f t="shared" si="306"/>
        <v>3898221</v>
      </c>
      <c r="BT177" s="16">
        <f t="shared" si="306"/>
        <v>113801</v>
      </c>
      <c r="BU177" s="16">
        <f t="shared" si="306"/>
        <v>17991</v>
      </c>
      <c r="BV177" s="13">
        <f t="shared" si="306"/>
        <v>24.3508</v>
      </c>
      <c r="BW177" s="13">
        <f t="shared" si="306"/>
        <v>22.932500000000001</v>
      </c>
      <c r="BX177" s="169">
        <f t="shared" si="306"/>
        <v>1.4183000000000003</v>
      </c>
      <c r="BY177" s="167">
        <f t="shared" si="306"/>
        <v>0</v>
      </c>
      <c r="BZ177" s="16">
        <f t="shared" ref="BZ177:CJ177" si="307">SUMIF($F$12:$F$463,"=3143",BZ$12:BZ$463)</f>
        <v>0</v>
      </c>
      <c r="CA177" s="16">
        <f t="shared" si="307"/>
        <v>0</v>
      </c>
      <c r="CB177" s="16">
        <f t="shared" si="307"/>
        <v>0</v>
      </c>
      <c r="CC177" s="16">
        <f t="shared" si="307"/>
        <v>0</v>
      </c>
      <c r="CD177" s="17">
        <f t="shared" si="307"/>
        <v>0</v>
      </c>
      <c r="CE177" s="167">
        <f t="shared" si="307"/>
        <v>0</v>
      </c>
      <c r="CF177" s="16">
        <f t="shared" si="307"/>
        <v>0</v>
      </c>
      <c r="CG177" s="16">
        <f t="shared" si="307"/>
        <v>0</v>
      </c>
      <c r="CH177" s="16">
        <f t="shared" si="307"/>
        <v>0</v>
      </c>
      <c r="CI177" s="16">
        <f t="shared" si="307"/>
        <v>0</v>
      </c>
      <c r="CJ177" s="17">
        <f t="shared" si="307"/>
        <v>0</v>
      </c>
    </row>
    <row r="178" spans="1:88" s="89" customFormat="1" ht="12.95" customHeight="1">
      <c r="D178" s="311"/>
      <c r="E178" s="312"/>
      <c r="F178" s="311"/>
      <c r="G178" s="313"/>
      <c r="H178" s="2">
        <v>3231</v>
      </c>
      <c r="I178" s="167">
        <f t="shared" ref="I178:BY178" si="308">SUMIF($F$12:$F$463,"=3231",I$12:I$463)</f>
        <v>35342042</v>
      </c>
      <c r="J178" s="16">
        <f t="shared" si="308"/>
        <v>26084518</v>
      </c>
      <c r="K178" s="16">
        <f t="shared" si="308"/>
        <v>24653395</v>
      </c>
      <c r="L178" s="16">
        <f t="shared" si="308"/>
        <v>1431123</v>
      </c>
      <c r="M178" s="16">
        <f t="shared" si="308"/>
        <v>87800</v>
      </c>
      <c r="N178" s="16">
        <f t="shared" si="308"/>
        <v>74000</v>
      </c>
      <c r="O178" s="16">
        <f t="shared" si="308"/>
        <v>13800</v>
      </c>
      <c r="P178" s="16">
        <f t="shared" si="308"/>
        <v>8846244</v>
      </c>
      <c r="Q178" s="16">
        <f t="shared" si="308"/>
        <v>260845</v>
      </c>
      <c r="R178" s="16">
        <f t="shared" si="308"/>
        <v>62635</v>
      </c>
      <c r="S178" s="13">
        <f t="shared" si="308"/>
        <v>43.201099999999997</v>
      </c>
      <c r="T178" s="13">
        <f t="shared" si="308"/>
        <v>39.177399999999999</v>
      </c>
      <c r="U178" s="17">
        <f t="shared" si="308"/>
        <v>4.0236999999999998</v>
      </c>
      <c r="V178" s="168">
        <f t="shared" si="308"/>
        <v>11400</v>
      </c>
      <c r="W178" s="16">
        <f t="shared" si="308"/>
        <v>-11400</v>
      </c>
      <c r="X178" s="16">
        <f t="shared" si="308"/>
        <v>-23175</v>
      </c>
      <c r="Y178" s="16">
        <f t="shared" si="308"/>
        <v>0</v>
      </c>
      <c r="Z178" s="16">
        <f t="shared" si="308"/>
        <v>0</v>
      </c>
      <c r="AA178" s="16">
        <f t="shared" si="308"/>
        <v>0</v>
      </c>
      <c r="AB178" s="16">
        <f t="shared" si="308"/>
        <v>0</v>
      </c>
      <c r="AC178" s="16">
        <f t="shared" si="308"/>
        <v>0</v>
      </c>
      <c r="AD178" s="16">
        <f t="shared" si="308"/>
        <v>0</v>
      </c>
      <c r="AE178" s="16">
        <f t="shared" si="308"/>
        <v>-11775</v>
      </c>
      <c r="AF178" s="16">
        <f t="shared" si="308"/>
        <v>-11400</v>
      </c>
      <c r="AG178" s="16">
        <f t="shared" si="308"/>
        <v>-23175</v>
      </c>
      <c r="AH178" s="16">
        <f t="shared" si="308"/>
        <v>-11400</v>
      </c>
      <c r="AI178" s="16">
        <f t="shared" si="308"/>
        <v>11400</v>
      </c>
      <c r="AJ178" s="16">
        <f t="shared" si="308"/>
        <v>0</v>
      </c>
      <c r="AK178" s="16">
        <f t="shared" si="308"/>
        <v>0</v>
      </c>
      <c r="AL178" s="16">
        <f t="shared" si="308"/>
        <v>0</v>
      </c>
      <c r="AM178" s="16">
        <f t="shared" si="308"/>
        <v>-11400</v>
      </c>
      <c r="AN178" s="16">
        <f t="shared" si="308"/>
        <v>11400</v>
      </c>
      <c r="AO178" s="16">
        <f t="shared" si="308"/>
        <v>0</v>
      </c>
      <c r="AP178" s="16">
        <f t="shared" si="308"/>
        <v>-23175</v>
      </c>
      <c r="AQ178" s="16">
        <f t="shared" si="308"/>
        <v>0</v>
      </c>
      <c r="AR178" s="16">
        <f t="shared" si="308"/>
        <v>-23175</v>
      </c>
      <c r="AS178" s="16">
        <f t="shared" si="308"/>
        <v>-7833</v>
      </c>
      <c r="AT178" s="16">
        <f t="shared" si="308"/>
        <v>-232</v>
      </c>
      <c r="AU178" s="16">
        <f t="shared" si="308"/>
        <v>0</v>
      </c>
      <c r="AV178" s="16">
        <f t="shared" si="308"/>
        <v>0</v>
      </c>
      <c r="AW178" s="16">
        <f t="shared" si="308"/>
        <v>0</v>
      </c>
      <c r="AX178" s="16">
        <f t="shared" si="308"/>
        <v>0</v>
      </c>
      <c r="AY178" s="16">
        <f t="shared" si="308"/>
        <v>-31240</v>
      </c>
      <c r="AZ178" s="13">
        <f t="shared" si="308"/>
        <v>-0.01</v>
      </c>
      <c r="BA178" s="13">
        <f t="shared" si="308"/>
        <v>-0.03</v>
      </c>
      <c r="BB178" s="13">
        <f t="shared" si="308"/>
        <v>-0.06</v>
      </c>
      <c r="BC178" s="13">
        <f t="shared" si="308"/>
        <v>0</v>
      </c>
      <c r="BD178" s="13">
        <f t="shared" si="308"/>
        <v>0</v>
      </c>
      <c r="BE178" s="13">
        <f t="shared" si="308"/>
        <v>0</v>
      </c>
      <c r="BF178" s="13">
        <f t="shared" si="308"/>
        <v>0</v>
      </c>
      <c r="BG178" s="13">
        <f t="shared" si="308"/>
        <v>0</v>
      </c>
      <c r="BH178" s="13">
        <f t="shared" si="308"/>
        <v>0</v>
      </c>
      <c r="BI178" s="13">
        <f t="shared" si="308"/>
        <v>-6.9999999999999993E-2</v>
      </c>
      <c r="BJ178" s="13">
        <f t="shared" si="308"/>
        <v>-0.03</v>
      </c>
      <c r="BK178" s="169">
        <f t="shared" si="308"/>
        <v>-0.1</v>
      </c>
      <c r="BL178" s="167">
        <f t="shared" si="308"/>
        <v>35310802</v>
      </c>
      <c r="BM178" s="16">
        <f t="shared" si="308"/>
        <v>26061343</v>
      </c>
      <c r="BN178" s="16">
        <f t="shared" si="308"/>
        <v>24641620</v>
      </c>
      <c r="BO178" s="16">
        <f t="shared" si="308"/>
        <v>1419723</v>
      </c>
      <c r="BP178" s="16">
        <f t="shared" si="308"/>
        <v>87800</v>
      </c>
      <c r="BQ178" s="16">
        <f t="shared" si="308"/>
        <v>62600</v>
      </c>
      <c r="BR178" s="16">
        <f t="shared" si="308"/>
        <v>25200</v>
      </c>
      <c r="BS178" s="16">
        <f t="shared" si="308"/>
        <v>8838411</v>
      </c>
      <c r="BT178" s="16">
        <f t="shared" si="308"/>
        <v>260613</v>
      </c>
      <c r="BU178" s="16">
        <f t="shared" si="308"/>
        <v>62635</v>
      </c>
      <c r="BV178" s="13">
        <f t="shared" si="308"/>
        <v>43.101100000000002</v>
      </c>
      <c r="BW178" s="13">
        <f t="shared" si="308"/>
        <v>39.107399999999991</v>
      </c>
      <c r="BX178" s="169">
        <f t="shared" si="308"/>
        <v>3.9937000000000005</v>
      </c>
      <c r="BY178" s="167">
        <f t="shared" si="308"/>
        <v>0</v>
      </c>
      <c r="BZ178" s="16">
        <f t="shared" ref="BZ178:CJ178" si="309">SUMIF($F$12:$F$463,"=3231",BZ$12:BZ$463)</f>
        <v>0</v>
      </c>
      <c r="CA178" s="16">
        <f t="shared" si="309"/>
        <v>0</v>
      </c>
      <c r="CB178" s="16">
        <f t="shared" si="309"/>
        <v>0</v>
      </c>
      <c r="CC178" s="16">
        <f t="shared" si="309"/>
        <v>0</v>
      </c>
      <c r="CD178" s="17">
        <f t="shared" si="309"/>
        <v>0</v>
      </c>
      <c r="CE178" s="167">
        <f t="shared" si="309"/>
        <v>661327</v>
      </c>
      <c r="CF178" s="16">
        <f t="shared" si="309"/>
        <v>475410</v>
      </c>
      <c r="CG178" s="16">
        <f t="shared" si="309"/>
        <v>160689</v>
      </c>
      <c r="CH178" s="16">
        <f t="shared" si="309"/>
        <v>4754</v>
      </c>
      <c r="CI178" s="16">
        <f t="shared" si="309"/>
        <v>20474</v>
      </c>
      <c r="CJ178" s="17">
        <f t="shared" si="309"/>
        <v>1.3332999999999999</v>
      </c>
    </row>
    <row r="179" spans="1:88" s="89" customFormat="1" ht="12.95" customHeight="1" thickBot="1">
      <c r="D179" s="311"/>
      <c r="E179" s="312"/>
      <c r="F179" s="311"/>
      <c r="G179" s="313"/>
      <c r="H179" s="151">
        <v>3233</v>
      </c>
      <c r="I179" s="170">
        <f t="shared" ref="I179:BY179" si="310">SUMIF($F$12:$F$463,"=3233",I$12:I$463)</f>
        <v>7289421</v>
      </c>
      <c r="J179" s="171">
        <f t="shared" si="310"/>
        <v>5381936</v>
      </c>
      <c r="K179" s="171">
        <f t="shared" si="310"/>
        <v>4181613</v>
      </c>
      <c r="L179" s="171">
        <f t="shared" si="310"/>
        <v>1200323</v>
      </c>
      <c r="M179" s="171">
        <f t="shared" si="310"/>
        <v>20000</v>
      </c>
      <c r="N179" s="171">
        <f t="shared" si="310"/>
        <v>15000</v>
      </c>
      <c r="O179" s="171">
        <f t="shared" si="310"/>
        <v>5000</v>
      </c>
      <c r="P179" s="171">
        <f t="shared" si="310"/>
        <v>1825854</v>
      </c>
      <c r="Q179" s="171">
        <f t="shared" si="310"/>
        <v>53819</v>
      </c>
      <c r="R179" s="171">
        <f t="shared" si="310"/>
        <v>7812</v>
      </c>
      <c r="S179" s="172">
        <f t="shared" si="310"/>
        <v>11.43</v>
      </c>
      <c r="T179" s="172">
        <f t="shared" si="310"/>
        <v>7.57</v>
      </c>
      <c r="U179" s="173">
        <f t="shared" si="310"/>
        <v>3.86</v>
      </c>
      <c r="V179" s="174">
        <f t="shared" si="310"/>
        <v>-35000</v>
      </c>
      <c r="W179" s="171">
        <f t="shared" si="310"/>
        <v>5000</v>
      </c>
      <c r="X179" s="171">
        <f t="shared" si="310"/>
        <v>0</v>
      </c>
      <c r="Y179" s="171">
        <f t="shared" si="310"/>
        <v>0</v>
      </c>
      <c r="Z179" s="171">
        <f t="shared" si="310"/>
        <v>0</v>
      </c>
      <c r="AA179" s="171">
        <f t="shared" si="310"/>
        <v>0</v>
      </c>
      <c r="AB179" s="171">
        <f t="shared" si="310"/>
        <v>0</v>
      </c>
      <c r="AC179" s="171">
        <f t="shared" si="310"/>
        <v>-300000</v>
      </c>
      <c r="AD179" s="171">
        <f t="shared" si="310"/>
        <v>0</v>
      </c>
      <c r="AE179" s="171">
        <f t="shared" si="310"/>
        <v>-335000</v>
      </c>
      <c r="AF179" s="171">
        <f t="shared" si="310"/>
        <v>5000</v>
      </c>
      <c r="AG179" s="171">
        <f t="shared" si="310"/>
        <v>-330000</v>
      </c>
      <c r="AH179" s="171">
        <f t="shared" si="310"/>
        <v>35000</v>
      </c>
      <c r="AI179" s="171">
        <f t="shared" si="310"/>
        <v>-5000</v>
      </c>
      <c r="AJ179" s="171">
        <f t="shared" si="310"/>
        <v>0</v>
      </c>
      <c r="AK179" s="171">
        <f t="shared" si="310"/>
        <v>0</v>
      </c>
      <c r="AL179" s="171">
        <f t="shared" si="310"/>
        <v>0</v>
      </c>
      <c r="AM179" s="171">
        <f t="shared" si="310"/>
        <v>35000</v>
      </c>
      <c r="AN179" s="171">
        <f t="shared" si="310"/>
        <v>-5000</v>
      </c>
      <c r="AO179" s="171">
        <f t="shared" si="310"/>
        <v>30000</v>
      </c>
      <c r="AP179" s="171">
        <f t="shared" si="310"/>
        <v>-300000</v>
      </c>
      <c r="AQ179" s="171">
        <f t="shared" si="310"/>
        <v>0</v>
      </c>
      <c r="AR179" s="171">
        <f t="shared" si="310"/>
        <v>-300000</v>
      </c>
      <c r="AS179" s="171">
        <f t="shared" si="310"/>
        <v>-101400</v>
      </c>
      <c r="AT179" s="171">
        <f t="shared" si="310"/>
        <v>-3300</v>
      </c>
      <c r="AU179" s="171">
        <f t="shared" si="310"/>
        <v>0</v>
      </c>
      <c r="AV179" s="171">
        <f t="shared" si="310"/>
        <v>0</v>
      </c>
      <c r="AW179" s="171">
        <f t="shared" si="310"/>
        <v>0</v>
      </c>
      <c r="AX179" s="171">
        <f t="shared" si="310"/>
        <v>0</v>
      </c>
      <c r="AY179" s="171">
        <f t="shared" si="310"/>
        <v>-404700</v>
      </c>
      <c r="AZ179" s="172">
        <f t="shared" si="310"/>
        <v>-0.06</v>
      </c>
      <c r="BA179" s="172">
        <f t="shared" si="310"/>
        <v>0.02</v>
      </c>
      <c r="BB179" s="172">
        <f t="shared" si="310"/>
        <v>0</v>
      </c>
      <c r="BC179" s="172">
        <f t="shared" si="310"/>
        <v>0</v>
      </c>
      <c r="BD179" s="172">
        <f t="shared" si="310"/>
        <v>0</v>
      </c>
      <c r="BE179" s="172">
        <f t="shared" si="310"/>
        <v>0</v>
      </c>
      <c r="BF179" s="172">
        <f t="shared" si="310"/>
        <v>0</v>
      </c>
      <c r="BG179" s="172">
        <f t="shared" si="310"/>
        <v>0</v>
      </c>
      <c r="BH179" s="172">
        <f t="shared" si="310"/>
        <v>0</v>
      </c>
      <c r="BI179" s="172">
        <f t="shared" si="310"/>
        <v>-0.06</v>
      </c>
      <c r="BJ179" s="172">
        <f t="shared" si="310"/>
        <v>0.02</v>
      </c>
      <c r="BK179" s="175">
        <f t="shared" si="310"/>
        <v>-3.9999999999999994E-2</v>
      </c>
      <c r="BL179" s="170">
        <f t="shared" si="310"/>
        <v>6884721</v>
      </c>
      <c r="BM179" s="171">
        <f t="shared" si="310"/>
        <v>5051936</v>
      </c>
      <c r="BN179" s="171">
        <f t="shared" si="310"/>
        <v>3846613</v>
      </c>
      <c r="BO179" s="171">
        <f t="shared" si="310"/>
        <v>1205323</v>
      </c>
      <c r="BP179" s="171">
        <f t="shared" si="310"/>
        <v>50000</v>
      </c>
      <c r="BQ179" s="171">
        <f t="shared" si="310"/>
        <v>50000</v>
      </c>
      <c r="BR179" s="171">
        <f t="shared" si="310"/>
        <v>0</v>
      </c>
      <c r="BS179" s="171">
        <f t="shared" si="310"/>
        <v>1724454</v>
      </c>
      <c r="BT179" s="171">
        <f t="shared" si="310"/>
        <v>50519</v>
      </c>
      <c r="BU179" s="171">
        <f t="shared" si="310"/>
        <v>7812</v>
      </c>
      <c r="BV179" s="172">
        <f t="shared" si="310"/>
        <v>11.39</v>
      </c>
      <c r="BW179" s="172">
        <f t="shared" si="310"/>
        <v>7.5100000000000016</v>
      </c>
      <c r="BX179" s="175">
        <f t="shared" si="310"/>
        <v>3.88</v>
      </c>
      <c r="BY179" s="170">
        <f t="shared" si="310"/>
        <v>0</v>
      </c>
      <c r="BZ179" s="171">
        <f t="shared" ref="BZ179:CJ179" si="311">SUMIF($F$12:$F$463,"=3233",BZ$12:BZ$463)</f>
        <v>0</v>
      </c>
      <c r="CA179" s="171">
        <f t="shared" si="311"/>
        <v>0</v>
      </c>
      <c r="CB179" s="171">
        <f t="shared" si="311"/>
        <v>0</v>
      </c>
      <c r="CC179" s="171">
        <f t="shared" si="311"/>
        <v>0</v>
      </c>
      <c r="CD179" s="173">
        <f t="shared" si="311"/>
        <v>0</v>
      </c>
      <c r="CE179" s="170">
        <f t="shared" si="311"/>
        <v>0</v>
      </c>
      <c r="CF179" s="171">
        <f t="shared" si="311"/>
        <v>0</v>
      </c>
      <c r="CG179" s="171">
        <f t="shared" si="311"/>
        <v>0</v>
      </c>
      <c r="CH179" s="171">
        <f t="shared" si="311"/>
        <v>0</v>
      </c>
      <c r="CI179" s="171">
        <f t="shared" si="311"/>
        <v>0</v>
      </c>
      <c r="CJ179" s="173">
        <f t="shared" si="311"/>
        <v>0</v>
      </c>
    </row>
    <row r="181" spans="1:88" s="314" customFormat="1">
      <c r="A181" s="308"/>
      <c r="B181" s="250"/>
      <c r="C181" s="342"/>
      <c r="D181" s="250"/>
      <c r="E181" s="250"/>
      <c r="F181" s="250"/>
      <c r="G181" s="250"/>
      <c r="H181" s="250"/>
      <c r="S181" s="315"/>
      <c r="T181" s="315"/>
      <c r="U181" s="315"/>
      <c r="AB181" s="1059"/>
      <c r="AQ181" s="315"/>
      <c r="AR181" s="315"/>
      <c r="AS181" s="315"/>
      <c r="AW181" s="1059"/>
      <c r="AZ181" s="315"/>
      <c r="BA181" s="315"/>
      <c r="BB181" s="315"/>
      <c r="BC181" s="315"/>
      <c r="BD181" s="315"/>
      <c r="BE181" s="315"/>
      <c r="BF181" s="1060"/>
      <c r="BG181" s="315"/>
      <c r="BH181" s="315"/>
      <c r="BI181" s="315"/>
      <c r="BJ181" s="315"/>
      <c r="BK181" s="315"/>
      <c r="BL181" s="315"/>
      <c r="BM181" s="315"/>
      <c r="BN181" s="315"/>
      <c r="BO181" s="315"/>
      <c r="BP181" s="315"/>
      <c r="BQ181" s="315"/>
      <c r="BR181" s="315"/>
      <c r="BS181" s="315"/>
      <c r="BT181" s="315"/>
      <c r="BU181" s="315"/>
      <c r="BV181" s="315"/>
      <c r="BW181" s="315"/>
      <c r="BX181" s="315"/>
      <c r="CD181" s="315"/>
      <c r="CJ181" s="315"/>
    </row>
    <row r="184" spans="1:88">
      <c r="AQ184" s="314"/>
    </row>
  </sheetData>
  <mergeCells count="58">
    <mergeCell ref="CE6:CJ7"/>
    <mergeCell ref="CE8:CJ9"/>
    <mergeCell ref="AB9:AB10"/>
    <mergeCell ref="BF8:BF9"/>
    <mergeCell ref="BY6:CD7"/>
    <mergeCell ref="BY8:CD9"/>
    <mergeCell ref="BL6:BX7"/>
    <mergeCell ref="BP9:BP10"/>
    <mergeCell ref="BW8:BX9"/>
    <mergeCell ref="BV8:BV10"/>
    <mergeCell ref="BQ9:BR9"/>
    <mergeCell ref="BN9:BO9"/>
    <mergeCell ref="AZ8:BA9"/>
    <mergeCell ref="BM8:BU8"/>
    <mergeCell ref="BB8:BB9"/>
    <mergeCell ref="BM9:BM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BS9:BS10"/>
    <mergeCell ref="BT9:BT10"/>
    <mergeCell ref="BL8:BL10"/>
    <mergeCell ref="BU9:BU10"/>
    <mergeCell ref="BE8:BE9"/>
    <mergeCell ref="BG8:BH9"/>
    <mergeCell ref="BI8:BK9"/>
    <mergeCell ref="BC8:BD9"/>
    <mergeCell ref="AY7:AY10"/>
    <mergeCell ref="V9:W9"/>
    <mergeCell ref="X9:X10"/>
    <mergeCell ref="V7:AG8"/>
    <mergeCell ref="AH7:AO8"/>
    <mergeCell ref="AP7:AR9"/>
    <mergeCell ref="AS7:AS10"/>
    <mergeCell ref="AT7:AT10"/>
    <mergeCell ref="AE9:AF9"/>
    <mergeCell ref="A3:E3"/>
    <mergeCell ref="I8:I10"/>
    <mergeCell ref="I6:U7"/>
    <mergeCell ref="AO9:AO10"/>
    <mergeCell ref="AM9:AN9"/>
    <mergeCell ref="V6:BK6"/>
    <mergeCell ref="AG9:AG10"/>
    <mergeCell ref="AH9:AI9"/>
    <mergeCell ref="AJ9:AJ10"/>
    <mergeCell ref="AK9:AL9"/>
    <mergeCell ref="Y9:Y10"/>
    <mergeCell ref="AC9:AD9"/>
    <mergeCell ref="AZ7:BK7"/>
    <mergeCell ref="Z9:AA9"/>
    <mergeCell ref="Q9:Q10"/>
    <mergeCell ref="AU7:AX9"/>
  </mergeCell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admin;katerina.parmova@kraj-lbc.cz</dc:creator>
  <cp:lastModifiedBy>Löfflerová Kamila</cp:lastModifiedBy>
  <cp:lastPrinted>2025-09-24T15:07:39Z</cp:lastPrinted>
  <dcterms:created xsi:type="dcterms:W3CDTF">2009-03-06T07:28:09Z</dcterms:created>
  <dcterms:modified xsi:type="dcterms:W3CDTF">2025-11-13T09:36:57Z</dcterms:modified>
</cp:coreProperties>
</file>